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4.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drawings/drawing5.xml" ContentType="application/vnd.openxmlformats-officedocument.drawing+xml"/>
  <Override PartName="/xl/comments6.xml" ContentType="application/vnd.openxmlformats-officedocument.spreadsheetml.comments+xml"/>
  <Override PartName="/xl/threadedComments/threadedComment6.xml" ContentType="application/vnd.ms-excel.threadedcomments+xml"/>
  <Override PartName="/xl/drawings/drawing6.xml" ContentType="application/vnd.openxmlformats-officedocument.drawing+xml"/>
  <Override PartName="/xl/comments7.xml" ContentType="application/vnd.openxmlformats-officedocument.spreadsheetml.comments+xml"/>
  <Override PartName="/xl/threadedComments/threadedComment7.xml" ContentType="application/vnd.ms-excel.threadedcomments+xml"/>
  <Override PartName="/xl/drawings/drawing7.xml" ContentType="application/vnd.openxmlformats-officedocument.drawing+xml"/>
  <Override PartName="/xl/comments8.xml" ContentType="application/vnd.openxmlformats-officedocument.spreadsheetml.comments+xml"/>
  <Override PartName="/xl/threadedComments/threadedComment8.xml" ContentType="application/vnd.ms-excel.threadedcomments+xml"/>
  <Override PartName="/xl/drawings/drawing8.xml" ContentType="application/vnd.openxmlformats-officedocument.drawing+xml"/>
  <Override PartName="/xl/comments9.xml" ContentType="application/vnd.openxmlformats-officedocument.spreadsheetml.comments+xml"/>
  <Override PartName="/xl/threadedComments/threadedComment9.xml" ContentType="application/vnd.ms-excel.threadedcomments+xml"/>
  <Override PartName="/xl/drawings/drawing9.xml" ContentType="application/vnd.openxmlformats-officedocument.drawing+xml"/>
  <Override PartName="/xl/comments10.xml" ContentType="application/vnd.openxmlformats-officedocument.spreadsheetml.comments+xml"/>
  <Override PartName="/xl/threadedComments/threadedComment10.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66925"/>
  <mc:AlternateContent xmlns:mc="http://schemas.openxmlformats.org/markup-compatibility/2006">
    <mc:Choice Requires="x15">
      <x15ac:absPath xmlns:x15ac="http://schemas.microsoft.com/office/spreadsheetml/2010/11/ac" url="C:\Users\CGV\Desktop\2023년도분 지속가능경영보고서\00_보고서 최최최종\240819 최종본\"/>
    </mc:Choice>
  </mc:AlternateContent>
  <bookViews>
    <workbookView xWindow="28680" yWindow="-120" windowWidth="29040" windowHeight="15840" tabRatio="885" xr2:uid="{64A33467-6304-4951-A7C9-90493406E3B9}"/>
  </bookViews>
  <sheets>
    <sheet name="Index" sheetId="17" r:id="rId1"/>
    <sheet name="1. 재무성과" sheetId="12" r:id="rId2"/>
    <sheet name="2. 경제성과" sheetId="15" r:id="rId3"/>
    <sheet name="3. 환경성과" sheetId="10" r:id="rId4"/>
    <sheet name="ESG DataSheet_통합(연결기준)" sheetId="8" state="hidden" r:id="rId5"/>
    <sheet name="확정급여연금제도, 정부의 재정적 지원" sheetId="9" state="hidden" r:id="rId6"/>
    <sheet name="ESG DataSheet_통합" sheetId="7" state="hidden" r:id="rId7"/>
    <sheet name="4. 사회성과" sheetId="14" r:id="rId8"/>
    <sheet name="5. 지배구조 성과" sheetId="16" r:id="rId9"/>
    <sheet name="종합" sheetId="13" state="hidden" r:id="rId10"/>
    <sheet name="CGV국내" sheetId="1" state="hidden" r:id="rId11"/>
    <sheet name="4DPLEX" sheetId="2" state="hidden" r:id="rId12"/>
    <sheet name="(참고) 연도별 기말환율" sheetId="11" r:id="rId13"/>
    <sheet name="China" sheetId="5" state="hidden" r:id="rId14"/>
    <sheet name="Vietnam" sheetId="3" state="hidden" r:id="rId15"/>
    <sheet name="Indonesia" sheetId="4" state="hidden" r:id="rId16"/>
    <sheet name="Türkiye" sheetId="6" state="hidden" r:id="rId17"/>
  </sheets>
  <externalReferences>
    <externalReference r:id="rId18"/>
  </externalReferences>
  <definedNames>
    <definedName name="_bdm.4EBE89809F32474BB2027E65DB891F75.edm" localSheetId="1" hidden="1">#REF!</definedName>
    <definedName name="_bdm.4EBE89809F32474BB2027E65DB891F75.edm" localSheetId="2" hidden="1">#REF!</definedName>
    <definedName name="_bdm.4EBE89809F32474BB2027E65DB891F75.edm" localSheetId="3" hidden="1">#REF!</definedName>
    <definedName name="_bdm.4EBE89809F32474BB2027E65DB891F75.edm" localSheetId="7" hidden="1">#REF!</definedName>
    <definedName name="_bdm.4EBE89809F32474BB2027E65DB891F75.edm" localSheetId="11" hidden="1">#REF!</definedName>
    <definedName name="_bdm.4EBE89809F32474BB2027E65DB891F75.edm" localSheetId="8" hidden="1">#REF!</definedName>
    <definedName name="_bdm.4EBE89809F32474BB2027E65DB891F75.edm" localSheetId="10" hidden="1">#REF!</definedName>
    <definedName name="_bdm.4EBE89809F32474BB2027E65DB891F75.edm" localSheetId="13" hidden="1">#REF!</definedName>
    <definedName name="_bdm.4EBE89809F32474BB2027E65DB891F75.edm" localSheetId="6" hidden="1">#REF!</definedName>
    <definedName name="_bdm.4EBE89809F32474BB2027E65DB891F75.edm" localSheetId="4" hidden="1">#REF!</definedName>
    <definedName name="_bdm.4EBE89809F32474BB2027E65DB891F75.edm" localSheetId="15" hidden="1">#REF!</definedName>
    <definedName name="_bdm.4EBE89809F32474BB2027E65DB891F75.edm" localSheetId="16" hidden="1">#REF!</definedName>
    <definedName name="_bdm.4EBE89809F32474BB2027E65DB891F75.edm" localSheetId="14" hidden="1">#REF!</definedName>
    <definedName name="_bdm.4EBE89809F32474BB2027E65DB891F75.edm" localSheetId="9" hidden="1">#REF!</definedName>
    <definedName name="_bdm.4EBE89809F32474BB2027E65DB891F75.edm" hidden="1">#REF!</definedName>
    <definedName name="_xlnm._FilterDatabase" localSheetId="1" hidden="1">'1. 재무성과'!$B$13:$R$58</definedName>
    <definedName name="_xlnm._FilterDatabase" localSheetId="2" hidden="1">'2. 경제성과'!$B$13:$R$59</definedName>
    <definedName name="_xlnm._FilterDatabase" localSheetId="3" hidden="1">'3. 환경성과'!$B$13:$R$377</definedName>
    <definedName name="_xlnm._FilterDatabase" localSheetId="7" hidden="1">'4. 사회성과'!$B$13:$R$736</definedName>
    <definedName name="_xlnm._FilterDatabase" localSheetId="11" hidden="1">'4DPLEX'!$A$13:$AZ$417</definedName>
    <definedName name="_xlnm._FilterDatabase" localSheetId="8" hidden="1">'5. 지배구조 성과'!$B$13:$R$171</definedName>
    <definedName name="_xlnm._FilterDatabase" localSheetId="10" hidden="1">CGV국내!$B$13:$AF$457</definedName>
    <definedName name="_xlnm._FilterDatabase" localSheetId="13" hidden="1">China!$B$12:$BR$457</definedName>
    <definedName name="_xlnm._FilterDatabase" localSheetId="6" hidden="1">'ESG DataSheet_통합'!$B$13:$BC$457</definedName>
    <definedName name="_xlnm._FilterDatabase" localSheetId="4" hidden="1">'ESG DataSheet_통합(연결기준)'!$B$13:$AA$2176</definedName>
    <definedName name="_xlnm._FilterDatabase" localSheetId="15" hidden="1">Indonesia!$B$12:$AI$456</definedName>
    <definedName name="_xlnm._FilterDatabase" localSheetId="16" hidden="1">Türkiye!$B$12:$AI$456</definedName>
    <definedName name="_xlnm._FilterDatabase" localSheetId="14" hidden="1">Vietnam!$B$12:$AI$456</definedName>
    <definedName name="_xlnm._FilterDatabase" localSheetId="9" hidden="1">종합!$B$13:$AC$1881</definedName>
    <definedName name="_Key1" localSheetId="1" hidden="1">#REF!</definedName>
    <definedName name="_Key1" localSheetId="2" hidden="1">#REF!</definedName>
    <definedName name="_Key1" localSheetId="3" hidden="1">#REF!</definedName>
    <definedName name="_Key1" localSheetId="7" hidden="1">#REF!</definedName>
    <definedName name="_Key1" localSheetId="11" hidden="1">#REF!</definedName>
    <definedName name="_Key1" localSheetId="8" hidden="1">#REF!</definedName>
    <definedName name="_Key1" localSheetId="10" hidden="1">#REF!</definedName>
    <definedName name="_Key1" localSheetId="13" hidden="1">#REF!</definedName>
    <definedName name="_Key1" localSheetId="6" hidden="1">#REF!</definedName>
    <definedName name="_Key1" localSheetId="4" hidden="1">#REF!</definedName>
    <definedName name="_Key1" localSheetId="15" hidden="1">#REF!</definedName>
    <definedName name="_Key1" localSheetId="16" hidden="1">#REF!</definedName>
    <definedName name="_Key1" localSheetId="14" hidden="1">#REF!</definedName>
    <definedName name="_Key1" localSheetId="9" hidden="1">#REF!</definedName>
    <definedName name="_Key1" hidden="1">#REF!</definedName>
    <definedName name="_key2" localSheetId="1" hidden="1">#REF!</definedName>
    <definedName name="_key2" localSheetId="2" hidden="1">#REF!</definedName>
    <definedName name="_key2" localSheetId="3" hidden="1">#REF!</definedName>
    <definedName name="_key2" localSheetId="7" hidden="1">#REF!</definedName>
    <definedName name="_key2" localSheetId="11" hidden="1">#REF!</definedName>
    <definedName name="_key2" localSheetId="8" hidden="1">#REF!</definedName>
    <definedName name="_key2" localSheetId="10" hidden="1">#REF!</definedName>
    <definedName name="_key2" localSheetId="13" hidden="1">#REF!</definedName>
    <definedName name="_key2" localSheetId="6" hidden="1">#REF!</definedName>
    <definedName name="_key2" localSheetId="4" hidden="1">#REF!</definedName>
    <definedName name="_key2" localSheetId="15" hidden="1">#REF!</definedName>
    <definedName name="_key2" localSheetId="16" hidden="1">#REF!</definedName>
    <definedName name="_key2" localSheetId="14" hidden="1">#REF!</definedName>
    <definedName name="_key2" localSheetId="9" hidden="1">#REF!</definedName>
    <definedName name="_key2" hidden="1">#REF!</definedName>
    <definedName name="_Order1" hidden="1">255</definedName>
    <definedName name="_Sort" localSheetId="1" hidden="1">#REF!</definedName>
    <definedName name="_Sort" localSheetId="2" hidden="1">#REF!</definedName>
    <definedName name="_Sort" localSheetId="3" hidden="1">#REF!</definedName>
    <definedName name="_Sort" localSheetId="7" hidden="1">#REF!</definedName>
    <definedName name="_Sort" localSheetId="11" hidden="1">#REF!</definedName>
    <definedName name="_Sort" localSheetId="8" hidden="1">#REF!</definedName>
    <definedName name="_Sort" localSheetId="10" hidden="1">#REF!</definedName>
    <definedName name="_Sort" localSheetId="13" hidden="1">#REF!</definedName>
    <definedName name="_Sort" localSheetId="6" hidden="1">#REF!</definedName>
    <definedName name="_Sort" localSheetId="4" hidden="1">#REF!</definedName>
    <definedName name="_Sort" localSheetId="15" hidden="1">#REF!</definedName>
    <definedName name="_Sort" localSheetId="16" hidden="1">#REF!</definedName>
    <definedName name="_Sort" localSheetId="14" hidden="1">#REF!</definedName>
    <definedName name="_Sort" localSheetId="9" hidden="1">#REF!</definedName>
    <definedName name="_Sort" hidden="1">#REF!</definedName>
    <definedName name="BLPH10" localSheetId="1" hidden="1">[1]Sheet3!#REF!</definedName>
    <definedName name="BLPH10" localSheetId="2" hidden="1">[1]Sheet3!#REF!</definedName>
    <definedName name="BLPH10" localSheetId="3" hidden="1">[1]Sheet3!#REF!</definedName>
    <definedName name="BLPH10" localSheetId="7" hidden="1">[1]Sheet3!#REF!</definedName>
    <definedName name="BLPH10" localSheetId="11" hidden="1">[1]Sheet3!#REF!</definedName>
    <definedName name="BLPH10" localSheetId="8" hidden="1">[1]Sheet3!#REF!</definedName>
    <definedName name="BLPH10" localSheetId="10" hidden="1">[1]Sheet3!#REF!</definedName>
    <definedName name="BLPH10" localSheetId="13" hidden="1">[1]Sheet3!#REF!</definedName>
    <definedName name="BLPH10" localSheetId="6" hidden="1">[1]Sheet3!#REF!</definedName>
    <definedName name="BLPH10" localSheetId="4" hidden="1">[1]Sheet3!#REF!</definedName>
    <definedName name="BLPH10" localSheetId="15" hidden="1">[1]Sheet3!#REF!</definedName>
    <definedName name="BLPH10" localSheetId="16" hidden="1">[1]Sheet3!#REF!</definedName>
    <definedName name="BLPH10" localSheetId="14" hidden="1">[1]Sheet3!#REF!</definedName>
    <definedName name="BLPH10" localSheetId="9" hidden="1">[1]Sheet3!#REF!</definedName>
    <definedName name="BLPH10" hidden="1">[1]Sheet3!#REF!</definedName>
    <definedName name="BLPH11" localSheetId="1" hidden="1">[1]Sheet3!#REF!</definedName>
    <definedName name="BLPH11" localSheetId="2" hidden="1">[1]Sheet3!#REF!</definedName>
    <definedName name="BLPH11" localSheetId="3" hidden="1">[1]Sheet3!#REF!</definedName>
    <definedName name="BLPH11" localSheetId="7" hidden="1">[1]Sheet3!#REF!</definedName>
    <definedName name="BLPH11" localSheetId="8" hidden="1">[1]Sheet3!#REF!</definedName>
    <definedName name="BLPH11" localSheetId="10" hidden="1">[1]Sheet3!#REF!</definedName>
    <definedName name="BLPH11" localSheetId="13" hidden="1">[1]Sheet3!#REF!</definedName>
    <definedName name="BLPH11" localSheetId="6" hidden="1">[1]Sheet3!#REF!</definedName>
    <definedName name="BLPH11" localSheetId="4" hidden="1">[1]Sheet3!#REF!</definedName>
    <definedName name="BLPH11" localSheetId="15" hidden="1">[1]Sheet3!#REF!</definedName>
    <definedName name="BLPH11" localSheetId="16" hidden="1">[1]Sheet3!#REF!</definedName>
    <definedName name="BLPH11" localSheetId="14" hidden="1">[1]Sheet3!#REF!</definedName>
    <definedName name="BLPH11" localSheetId="9" hidden="1">[1]Sheet3!#REF!</definedName>
    <definedName name="BLPH11" hidden="1">[1]Sheet3!#REF!</definedName>
    <definedName name="BLPH12" localSheetId="1" hidden="1">[1]Sheet3!#REF!</definedName>
    <definedName name="BLPH12" localSheetId="2" hidden="1">[1]Sheet3!#REF!</definedName>
    <definedName name="BLPH12" localSheetId="3" hidden="1">[1]Sheet3!#REF!</definedName>
    <definedName name="BLPH12" localSheetId="7" hidden="1">[1]Sheet3!#REF!</definedName>
    <definedName name="BLPH12" localSheetId="8" hidden="1">[1]Sheet3!#REF!</definedName>
    <definedName name="BLPH12" localSheetId="10" hidden="1">[1]Sheet3!#REF!</definedName>
    <definedName name="BLPH12" localSheetId="13" hidden="1">[1]Sheet3!#REF!</definedName>
    <definedName name="BLPH12" localSheetId="6" hidden="1">[1]Sheet3!#REF!</definedName>
    <definedName name="BLPH12" localSheetId="4" hidden="1">[1]Sheet3!#REF!</definedName>
    <definedName name="BLPH12" localSheetId="15" hidden="1">[1]Sheet3!#REF!</definedName>
    <definedName name="BLPH12" localSheetId="16" hidden="1">[1]Sheet3!#REF!</definedName>
    <definedName name="BLPH12" localSheetId="14" hidden="1">[1]Sheet3!#REF!</definedName>
    <definedName name="BLPH12" localSheetId="9" hidden="1">[1]Sheet3!#REF!</definedName>
    <definedName name="BLPH12" hidden="1">[1]Sheet3!#REF!</definedName>
    <definedName name="BLPH8" localSheetId="1" hidden="1">#REF!</definedName>
    <definedName name="BLPH8" localSheetId="2" hidden="1">#REF!</definedName>
    <definedName name="BLPH8" localSheetId="3" hidden="1">#REF!</definedName>
    <definedName name="BLPH8" localSheetId="7" hidden="1">#REF!</definedName>
    <definedName name="BLPH8" localSheetId="11" hidden="1">#REF!</definedName>
    <definedName name="BLPH8" localSheetId="8" hidden="1">#REF!</definedName>
    <definedName name="BLPH8" localSheetId="10" hidden="1">#REF!</definedName>
    <definedName name="BLPH8" localSheetId="13" hidden="1">#REF!</definedName>
    <definedName name="BLPH8" localSheetId="6" hidden="1">#REF!</definedName>
    <definedName name="BLPH8" localSheetId="4" hidden="1">#REF!</definedName>
    <definedName name="BLPH8" localSheetId="15" hidden="1">#REF!</definedName>
    <definedName name="BLPH8" localSheetId="16" hidden="1">#REF!</definedName>
    <definedName name="BLPH8" localSheetId="14" hidden="1">#REF!</definedName>
    <definedName name="BLPH8" localSheetId="9" hidden="1">#REF!</definedName>
    <definedName name="BLPH8" hidden="1">#REF!</definedName>
    <definedName name="CIQWBGuid" hidden="1">"86aec423-fd46-4a63-9a22-6e92a456d4f9"</definedName>
    <definedName name="earnings" localSheetId="1" hidden="1">{"'7-2지역별'!$A$1:$R$44"}</definedName>
    <definedName name="earnings" localSheetId="2" hidden="1">{"'7-2지역별'!$A$1:$R$44"}</definedName>
    <definedName name="earnings" localSheetId="3" hidden="1">{"'7-2지역별'!$A$1:$R$44"}</definedName>
    <definedName name="earnings" localSheetId="7" hidden="1">{"'7-2지역별'!$A$1:$R$44"}</definedName>
    <definedName name="earnings" localSheetId="11" hidden="1">{"'7-2지역별'!$A$1:$R$44"}</definedName>
    <definedName name="earnings" localSheetId="8" hidden="1">{"'7-2지역별'!$A$1:$R$44"}</definedName>
    <definedName name="earnings" localSheetId="10" hidden="1">{"'7-2지역별'!$A$1:$R$44"}</definedName>
    <definedName name="earnings" localSheetId="13" hidden="1">{"'7-2지역별'!$A$1:$R$44"}</definedName>
    <definedName name="earnings" localSheetId="6" hidden="1">{"'7-2지역별'!$A$1:$R$44"}</definedName>
    <definedName name="earnings" localSheetId="4" hidden="1">{"'7-2지역별'!$A$1:$R$44"}</definedName>
    <definedName name="earnings" localSheetId="15" hidden="1">{"'7-2지역별'!$A$1:$R$44"}</definedName>
    <definedName name="earnings" localSheetId="16" hidden="1">{"'7-2지역별'!$A$1:$R$44"}</definedName>
    <definedName name="earnings" localSheetId="14" hidden="1">{"'7-2지역별'!$A$1:$R$44"}</definedName>
    <definedName name="earnings" localSheetId="9" hidden="1">{"'7-2지역별'!$A$1:$R$44"}</definedName>
    <definedName name="earnings" hidden="1">{"'7-2지역별'!$A$1:$R$44"}</definedName>
    <definedName name="HTML_CodePage" hidden="1">949</definedName>
    <definedName name="HTML_Control" localSheetId="1" hidden="1">{"'7-2지역별'!$A$1:$R$44"}</definedName>
    <definedName name="HTML_Control" localSheetId="2" hidden="1">{"'7-2지역별'!$A$1:$R$44"}</definedName>
    <definedName name="HTML_Control" localSheetId="3" hidden="1">{"'7-2지역별'!$A$1:$R$44"}</definedName>
    <definedName name="HTML_Control" localSheetId="7" hidden="1">{"'7-2지역별'!$A$1:$R$44"}</definedName>
    <definedName name="HTML_Control" localSheetId="11" hidden="1">{"'7-2지역별'!$A$1:$R$44"}</definedName>
    <definedName name="HTML_Control" localSheetId="8" hidden="1">{"'7-2지역별'!$A$1:$R$44"}</definedName>
    <definedName name="HTML_Control" localSheetId="10" hidden="1">{"'7-2지역별'!$A$1:$R$44"}</definedName>
    <definedName name="HTML_Control" localSheetId="13" hidden="1">{"'7-2지역별'!$A$1:$R$44"}</definedName>
    <definedName name="HTML_Control" localSheetId="6" hidden="1">{"'7-2지역별'!$A$1:$R$44"}</definedName>
    <definedName name="HTML_Control" localSheetId="4" hidden="1">{"'7-2지역별'!$A$1:$R$44"}</definedName>
    <definedName name="HTML_Control" localSheetId="15" hidden="1">{"'7-2지역별'!$A$1:$R$44"}</definedName>
    <definedName name="HTML_Control" localSheetId="16" hidden="1">{"'7-2지역별'!$A$1:$R$44"}</definedName>
    <definedName name="HTML_Control" localSheetId="14" hidden="1">{"'7-2지역별'!$A$1:$R$44"}</definedName>
    <definedName name="HTML_Control" localSheetId="9" hidden="1">{"'7-2지역별'!$A$1:$R$44"}</definedName>
    <definedName name="HTML_Control" hidden="1">{"'7-2지역별'!$A$1:$R$44"}</definedName>
    <definedName name="HTML_Description" hidden="1">""</definedName>
    <definedName name="HTML_Email" hidden="1">""</definedName>
    <definedName name="HTML_Header" hidden="1">"7-2지역별"</definedName>
    <definedName name="HTML_LastUpdate" hidden="1">"98-11-28"</definedName>
    <definedName name="HTML_LineAfter" hidden="1">FALSE</definedName>
    <definedName name="HTML_LineBefore" hidden="1">FALSE</definedName>
    <definedName name="HTML_Name" hidden="1">"서준호"</definedName>
    <definedName name="HTML_OBDlg2" hidden="1">TRUE</definedName>
    <definedName name="HTML_OBDlg4" hidden="1">TRUE</definedName>
    <definedName name="HTML_OS" hidden="1">0</definedName>
    <definedName name="HTML_PathFile" hidden="1">"C:\My Documents\981151"</definedName>
    <definedName name="HTML_Title" hidden="1">"월보"</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DATE" hidden="1">"c1634"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RKET_CAP_LFCF" hidden="1">"c2209"</definedName>
    <definedName name="IQ_MARKETCAP" hidden="1">"c712"</definedName>
    <definedName name="IQ_MARKETING" hidden="1">"c2239"</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41533.6436805556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39239.5718865741</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kljk" localSheetId="1" hidden="1">{"'7-2지역별'!$A$1:$R$44"}</definedName>
    <definedName name="kljk" localSheetId="2" hidden="1">{"'7-2지역별'!$A$1:$R$44"}</definedName>
    <definedName name="kljk" localSheetId="3" hidden="1">{"'7-2지역별'!$A$1:$R$44"}</definedName>
    <definedName name="kljk" localSheetId="7" hidden="1">{"'7-2지역별'!$A$1:$R$44"}</definedName>
    <definedName name="kljk" localSheetId="11" hidden="1">{"'7-2지역별'!$A$1:$R$44"}</definedName>
    <definedName name="kljk" localSheetId="8" hidden="1">{"'7-2지역별'!$A$1:$R$44"}</definedName>
    <definedName name="kljk" localSheetId="10" hidden="1">{"'7-2지역별'!$A$1:$R$44"}</definedName>
    <definedName name="kljk" localSheetId="13" hidden="1">{"'7-2지역별'!$A$1:$R$44"}</definedName>
    <definedName name="kljk" localSheetId="6" hidden="1">{"'7-2지역별'!$A$1:$R$44"}</definedName>
    <definedName name="kljk" localSheetId="4" hidden="1">{"'7-2지역별'!$A$1:$R$44"}</definedName>
    <definedName name="kljk" localSheetId="15" hidden="1">{"'7-2지역별'!$A$1:$R$44"}</definedName>
    <definedName name="kljk" localSheetId="16" hidden="1">{"'7-2지역별'!$A$1:$R$44"}</definedName>
    <definedName name="kljk" localSheetId="14" hidden="1">{"'7-2지역별'!$A$1:$R$44"}</definedName>
    <definedName name="kljk" localSheetId="9" hidden="1">{"'7-2지역별'!$A$1:$R$44"}</definedName>
    <definedName name="kljk" hidden="1">{"'7-2지역별'!$A$1:$R$44"}</definedName>
    <definedName name="km" localSheetId="1" hidden="1">{"'7-2지역별'!$A$1:$R$44"}</definedName>
    <definedName name="km" localSheetId="2" hidden="1">{"'7-2지역별'!$A$1:$R$44"}</definedName>
    <definedName name="km" localSheetId="3" hidden="1">{"'7-2지역별'!$A$1:$R$44"}</definedName>
    <definedName name="km" localSheetId="7" hidden="1">{"'7-2지역별'!$A$1:$R$44"}</definedName>
    <definedName name="km" localSheetId="11" hidden="1">{"'7-2지역별'!$A$1:$R$44"}</definedName>
    <definedName name="km" localSheetId="8" hidden="1">{"'7-2지역별'!$A$1:$R$44"}</definedName>
    <definedName name="km" localSheetId="10" hidden="1">{"'7-2지역별'!$A$1:$R$44"}</definedName>
    <definedName name="km" localSheetId="13" hidden="1">{"'7-2지역별'!$A$1:$R$44"}</definedName>
    <definedName name="km" localSheetId="6" hidden="1">{"'7-2지역별'!$A$1:$R$44"}</definedName>
    <definedName name="km" localSheetId="4" hidden="1">{"'7-2지역별'!$A$1:$R$44"}</definedName>
    <definedName name="km" localSheetId="15" hidden="1">{"'7-2지역별'!$A$1:$R$44"}</definedName>
    <definedName name="km" localSheetId="16" hidden="1">{"'7-2지역별'!$A$1:$R$44"}</definedName>
    <definedName name="km" localSheetId="14" hidden="1">{"'7-2지역별'!$A$1:$R$44"}</definedName>
    <definedName name="km" localSheetId="9" hidden="1">{"'7-2지역별'!$A$1:$R$44"}</definedName>
    <definedName name="km" hidden="1">{"'7-2지역별'!$A$1:$R$44"}</definedName>
    <definedName name="_xlnm.Print_Area" localSheetId="1">'1. 재무성과'!$A$1:$R$59</definedName>
    <definedName name="_xlnm.Print_Area" localSheetId="2">'2. 경제성과'!$A$1:$R$59</definedName>
    <definedName name="sor" localSheetId="1" hidden="1">#REF!</definedName>
    <definedName name="sor" localSheetId="2" hidden="1">#REF!</definedName>
    <definedName name="sor" localSheetId="3" hidden="1">#REF!</definedName>
    <definedName name="sor" localSheetId="7" hidden="1">#REF!</definedName>
    <definedName name="sor" localSheetId="11" hidden="1">#REF!</definedName>
    <definedName name="sor" localSheetId="8" hidden="1">#REF!</definedName>
    <definedName name="sor" localSheetId="10" hidden="1">#REF!</definedName>
    <definedName name="sor" localSheetId="13" hidden="1">#REF!</definedName>
    <definedName name="sor" localSheetId="6" hidden="1">#REF!</definedName>
    <definedName name="sor" localSheetId="4" hidden="1">#REF!</definedName>
    <definedName name="sor" localSheetId="15" hidden="1">#REF!</definedName>
    <definedName name="sor" localSheetId="16" hidden="1">#REF!</definedName>
    <definedName name="sor" localSheetId="14" hidden="1">#REF!</definedName>
    <definedName name="sor" localSheetId="9" hidden="1">#REF!</definedName>
    <definedName name="sor" hidden="1">#REF!</definedName>
    <definedName name="뭐야" localSheetId="1" hidden="1">#REF!</definedName>
    <definedName name="뭐야" localSheetId="2" hidden="1">#REF!</definedName>
    <definedName name="뭐야" localSheetId="3" hidden="1">#REF!</definedName>
    <definedName name="뭐야" localSheetId="7" hidden="1">#REF!</definedName>
    <definedName name="뭐야" localSheetId="11" hidden="1">#REF!</definedName>
    <definedName name="뭐야" localSheetId="8" hidden="1">#REF!</definedName>
    <definedName name="뭐야" localSheetId="10" hidden="1">#REF!</definedName>
    <definedName name="뭐야" localSheetId="13" hidden="1">#REF!</definedName>
    <definedName name="뭐야" localSheetId="6" hidden="1">#REF!</definedName>
    <definedName name="뭐야" localSheetId="4" hidden="1">#REF!</definedName>
    <definedName name="뭐야" localSheetId="15" hidden="1">#REF!</definedName>
    <definedName name="뭐야" localSheetId="16" hidden="1">#REF!</definedName>
    <definedName name="뭐야" localSheetId="14" hidden="1">#REF!</definedName>
    <definedName name="뭐야" localSheetId="9" hidden="1">#REF!</definedName>
    <definedName name="뭐야" hidden="1">#REF!</definedName>
    <definedName name="포시에스1" localSheetId="1" hidden="1">#REF!</definedName>
    <definedName name="포시에스1" localSheetId="2" hidden="1">#REF!</definedName>
    <definedName name="포시에스1" localSheetId="3" hidden="1">#REF!</definedName>
    <definedName name="포시에스1" localSheetId="7" hidden="1">#REF!</definedName>
    <definedName name="포시에스1" localSheetId="11" hidden="1">#REF!</definedName>
    <definedName name="포시에스1" localSheetId="8" hidden="1">#REF!</definedName>
    <definedName name="포시에스1" localSheetId="10" hidden="1">#REF!</definedName>
    <definedName name="포시에스1" localSheetId="13" hidden="1">#REF!</definedName>
    <definedName name="포시에스1" localSheetId="6" hidden="1">#REF!</definedName>
    <definedName name="포시에스1" localSheetId="4" hidden="1">#REF!</definedName>
    <definedName name="포시에스1" localSheetId="15" hidden="1">#REF!</definedName>
    <definedName name="포시에스1" localSheetId="16" hidden="1">#REF!</definedName>
    <definedName name="포시에스1" localSheetId="14" hidden="1">#REF!</definedName>
    <definedName name="포시에스1" localSheetId="9" hidden="1">#REF!</definedName>
    <definedName name="포시에스1" hidden="1">#REF!</definedName>
    <definedName name="포시에스2" localSheetId="1" hidden="1">#REF!</definedName>
    <definedName name="포시에스2" localSheetId="2" hidden="1">#REF!</definedName>
    <definedName name="포시에스2" localSheetId="3" hidden="1">#REF!</definedName>
    <definedName name="포시에스2" localSheetId="7" hidden="1">#REF!</definedName>
    <definedName name="포시에스2" localSheetId="11" hidden="1">#REF!</definedName>
    <definedName name="포시에스2" localSheetId="8" hidden="1">#REF!</definedName>
    <definedName name="포시에스2" localSheetId="10" hidden="1">#REF!</definedName>
    <definedName name="포시에스2" localSheetId="13" hidden="1">#REF!</definedName>
    <definedName name="포시에스2" localSheetId="6" hidden="1">#REF!</definedName>
    <definedName name="포시에스2" localSheetId="4" hidden="1">#REF!</definedName>
    <definedName name="포시에스2" localSheetId="15" hidden="1">#REF!</definedName>
    <definedName name="포시에스2" localSheetId="16" hidden="1">#REF!</definedName>
    <definedName name="포시에스2" localSheetId="14" hidden="1">#REF!</definedName>
    <definedName name="포시에스2" localSheetId="9" hidden="1">#REF!</definedName>
    <definedName name="포시에스2" hidden="1">#REF!</definedName>
    <definedName name="환위험" localSheetId="1" hidden="1">{"'7-2지역별'!$A$1:$R$44"}</definedName>
    <definedName name="환위험" localSheetId="2" hidden="1">{"'7-2지역별'!$A$1:$R$44"}</definedName>
    <definedName name="환위험" localSheetId="3" hidden="1">{"'7-2지역별'!$A$1:$R$44"}</definedName>
    <definedName name="환위험" localSheetId="7" hidden="1">{"'7-2지역별'!$A$1:$R$44"}</definedName>
    <definedName name="환위험" localSheetId="11" hidden="1">{"'7-2지역별'!$A$1:$R$44"}</definedName>
    <definedName name="환위험" localSheetId="8" hidden="1">{"'7-2지역별'!$A$1:$R$44"}</definedName>
    <definedName name="환위험" localSheetId="10" hidden="1">{"'7-2지역별'!$A$1:$R$44"}</definedName>
    <definedName name="환위험" localSheetId="13" hidden="1">{"'7-2지역별'!$A$1:$R$44"}</definedName>
    <definedName name="환위험" localSheetId="6" hidden="1">{"'7-2지역별'!$A$1:$R$44"}</definedName>
    <definedName name="환위험" localSheetId="4" hidden="1">{"'7-2지역별'!$A$1:$R$44"}</definedName>
    <definedName name="환위험" localSheetId="15" hidden="1">{"'7-2지역별'!$A$1:$R$44"}</definedName>
    <definedName name="환위험" localSheetId="16" hidden="1">{"'7-2지역별'!$A$1:$R$44"}</definedName>
    <definedName name="환위험" localSheetId="14" hidden="1">{"'7-2지역별'!$A$1:$R$44"}</definedName>
    <definedName name="환위험" localSheetId="9" hidden="1">{"'7-2지역별'!$A$1:$R$44"}</definedName>
    <definedName name="환위험" hidden="1">{"'7-2지역별'!$A$1:$R$44"}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71" i="10" l="1"/>
  <c r="M271" i="10"/>
  <c r="L271" i="10"/>
  <c r="L19" i="10"/>
  <c r="N385" i="14"/>
  <c r="M385" i="14"/>
  <c r="L385" i="14"/>
  <c r="N406" i="14"/>
  <c r="M406" i="14"/>
  <c r="L406" i="14"/>
  <c r="N22" i="14" l="1"/>
  <c r="L215" i="14" l="1"/>
  <c r="M215" i="14"/>
  <c r="N215" i="14"/>
  <c r="L18" i="14" l="1"/>
  <c r="N20" i="10" l="1"/>
  <c r="N41" i="10" s="1"/>
  <c r="M20" i="10"/>
  <c r="M41" i="10" s="1"/>
  <c r="L20" i="10"/>
  <c r="L41" i="10" s="1"/>
  <c r="M22" i="10" l="1"/>
  <c r="L22" i="10"/>
  <c r="M74" i="10"/>
  <c r="N22" i="10"/>
  <c r="N43" i="10" l="1"/>
  <c r="M43" i="10"/>
  <c r="L43" i="10"/>
  <c r="L252" i="10"/>
  <c r="M252" i="10"/>
  <c r="N252" i="10"/>
  <c r="N258" i="10" l="1"/>
  <c r="N260" i="10"/>
  <c r="N253" i="10" s="1"/>
  <c r="N263" i="10"/>
  <c r="N256" i="10" s="1"/>
  <c r="N305" i="10" s="1"/>
  <c r="M258" i="10"/>
  <c r="M260" i="10"/>
  <c r="M253" i="10" s="1"/>
  <c r="M263" i="10"/>
  <c r="M256" i="10" s="1"/>
  <c r="M305" i="10" s="1"/>
  <c r="L258" i="10"/>
  <c r="L260" i="10"/>
  <c r="L253" i="10" s="1"/>
  <c r="L263" i="10"/>
  <c r="L256" i="10" s="1"/>
  <c r="L305" i="10" s="1"/>
  <c r="N18" i="14"/>
  <c r="N257" i="10" l="1"/>
  <c r="L257" i="10"/>
  <c r="M257" i="10"/>
  <c r="L65" i="10" l="1"/>
  <c r="N380" i="14"/>
  <c r="M380" i="14"/>
  <c r="N17" i="14"/>
  <c r="N145" i="16"/>
  <c r="M145" i="16"/>
  <c r="L145" i="16"/>
  <c r="N146" i="16"/>
  <c r="M148" i="16"/>
  <c r="N148" i="16"/>
  <c r="N149" i="16"/>
  <c r="M158" i="16"/>
  <c r="N158" i="16"/>
  <c r="N400" i="14"/>
  <c r="M448" i="14"/>
  <c r="L448" i="14"/>
  <c r="N436" i="14" l="1"/>
  <c r="N443" i="14"/>
  <c r="N450" i="14"/>
  <c r="N730" i="14"/>
  <c r="M730" i="14"/>
  <c r="L730" i="14"/>
  <c r="N723" i="14"/>
  <c r="M723" i="14"/>
  <c r="L723" i="14"/>
  <c r="N709" i="14"/>
  <c r="M709" i="14"/>
  <c r="L709" i="14"/>
  <c r="N648" i="14"/>
  <c r="M648" i="14"/>
  <c r="L648" i="14"/>
  <c r="N644" i="14"/>
  <c r="M644" i="14"/>
  <c r="L644" i="14"/>
  <c r="M643" i="14"/>
  <c r="L643" i="14"/>
  <c r="N642" i="14"/>
  <c r="M642" i="14"/>
  <c r="L642" i="14"/>
  <c r="M316" i="14"/>
  <c r="L316" i="14"/>
  <c r="M313" i="14"/>
  <c r="L313" i="14"/>
  <c r="N309" i="14"/>
  <c r="M309" i="14"/>
  <c r="L309" i="14"/>
  <c r="L306" i="14"/>
  <c r="N306" i="14"/>
  <c r="M306" i="14"/>
  <c r="N82" i="10"/>
  <c r="N75" i="10" s="1"/>
  <c r="M96" i="10"/>
  <c r="M82" i="10" s="1"/>
  <c r="M75" i="10" s="1"/>
  <c r="L96" i="10"/>
  <c r="L82" i="10" s="1"/>
  <c r="L75" i="10" s="1"/>
  <c r="L173" i="10" s="1"/>
  <c r="N210" i="14"/>
  <c r="N211" i="14"/>
  <c r="N212" i="14"/>
  <c r="N213" i="14"/>
  <c r="N214" i="14"/>
  <c r="M210" i="14"/>
  <c r="M211" i="14"/>
  <c r="M212" i="14"/>
  <c r="M213" i="14"/>
  <c r="M214" i="14"/>
  <c r="L211" i="14"/>
  <c r="L212" i="14"/>
  <c r="L213" i="14"/>
  <c r="L214" i="14"/>
  <c r="L210" i="14"/>
  <c r="L162" i="10"/>
  <c r="M179" i="10"/>
  <c r="N179" i="10"/>
  <c r="M180" i="10"/>
  <c r="N180" i="10"/>
  <c r="M181" i="10"/>
  <c r="N181" i="10"/>
  <c r="L180" i="10"/>
  <c r="L181" i="10"/>
  <c r="L179" i="10"/>
  <c r="N210" i="10"/>
  <c r="N211" i="10"/>
  <c r="N212" i="10"/>
  <c r="N213" i="10"/>
  <c r="M210" i="10"/>
  <c r="M211" i="10"/>
  <c r="M212" i="10"/>
  <c r="M213" i="10"/>
  <c r="L211" i="10"/>
  <c r="L212" i="10"/>
  <c r="L213" i="10"/>
  <c r="L210" i="10"/>
  <c r="M131" i="10"/>
  <c r="L131" i="10"/>
  <c r="N134" i="10"/>
  <c r="M134" i="10"/>
  <c r="L134" i="10"/>
  <c r="M138" i="10"/>
  <c r="N138" i="10"/>
  <c r="N585" i="14"/>
  <c r="M585" i="14"/>
  <c r="L585" i="14"/>
  <c r="N499" i="14"/>
  <c r="M499" i="14"/>
  <c r="L499" i="14"/>
  <c r="N492" i="14"/>
  <c r="M492" i="14"/>
  <c r="L492" i="14"/>
  <c r="N490" i="14"/>
  <c r="N489" i="14"/>
  <c r="N488" i="14"/>
  <c r="N487" i="14"/>
  <c r="N486" i="14"/>
  <c r="M490" i="14"/>
  <c r="M489" i="14"/>
  <c r="M488" i="14"/>
  <c r="M487" i="14"/>
  <c r="M486" i="14"/>
  <c r="L487" i="14"/>
  <c r="L488" i="14"/>
  <c r="L489" i="14"/>
  <c r="L490" i="14"/>
  <c r="L486" i="14"/>
  <c r="M173" i="10" l="1"/>
  <c r="N166" i="10"/>
  <c r="N485" i="14"/>
  <c r="M485" i="14"/>
  <c r="L485" i="14"/>
  <c r="N279" i="10"/>
  <c r="N251" i="10" s="1"/>
  <c r="N250" i="10" s="1"/>
  <c r="M279" i="10"/>
  <c r="M251" i="10" s="1"/>
  <c r="M250" i="10" s="1"/>
  <c r="L279" i="10"/>
  <c r="L251" i="10" s="1"/>
  <c r="L250" i="10" s="1"/>
  <c r="N209" i="10"/>
  <c r="N208" i="10"/>
  <c r="M208" i="10"/>
  <c r="L208" i="10"/>
  <c r="N52" i="14"/>
  <c r="M52" i="14"/>
  <c r="L52" i="14"/>
  <c r="N45" i="14"/>
  <c r="M45" i="14"/>
  <c r="L45" i="14"/>
  <c r="N37" i="14"/>
  <c r="M37" i="14"/>
  <c r="L37" i="14"/>
  <c r="N30" i="14"/>
  <c r="M30" i="14"/>
  <c r="L30" i="14"/>
  <c r="N23" i="14"/>
  <c r="M23" i="14"/>
  <c r="L23" i="14"/>
  <c r="M18" i="14"/>
  <c r="M19" i="14"/>
  <c r="M20" i="14"/>
  <c r="M21" i="14"/>
  <c r="M22" i="14"/>
  <c r="L19" i="14"/>
  <c r="L20" i="14"/>
  <c r="L21" i="14"/>
  <c r="L22" i="14"/>
  <c r="N170" i="10"/>
  <c r="N168" i="10"/>
  <c r="N167" i="10"/>
  <c r="N165" i="10"/>
  <c r="M170" i="10"/>
  <c r="M168" i="10"/>
  <c r="M167" i="10"/>
  <c r="M165" i="10"/>
  <c r="L170" i="10"/>
  <c r="L169" i="10"/>
  <c r="L168" i="10"/>
  <c r="L167" i="10"/>
  <c r="L165" i="10"/>
  <c r="L278" i="10" l="1"/>
  <c r="L300" i="10"/>
  <c r="M278" i="10"/>
  <c r="N278" i="10"/>
  <c r="N16" i="14"/>
  <c r="N44" i="14"/>
  <c r="M44" i="14"/>
  <c r="M16" i="14"/>
  <c r="L16" i="14"/>
  <c r="L44" i="14"/>
  <c r="N302" i="10"/>
  <c r="N137" i="10"/>
  <c r="M302" i="10"/>
  <c r="M137" i="10"/>
  <c r="L302" i="10"/>
  <c r="L137" i="10"/>
  <c r="N104" i="10"/>
  <c r="M104" i="10"/>
  <c r="L104" i="10"/>
  <c r="M303" i="14" l="1"/>
  <c r="M281" i="14"/>
  <c r="M259" i="14"/>
  <c r="M296" i="14"/>
  <c r="M274" i="14"/>
  <c r="M237" i="14"/>
  <c r="M251" i="14"/>
  <c r="M288" i="14"/>
  <c r="M244" i="14"/>
  <c r="M266" i="14"/>
  <c r="N259" i="14"/>
  <c r="N274" i="14"/>
  <c r="N251" i="14"/>
  <c r="N266" i="14"/>
  <c r="N303" i="14"/>
  <c r="N281" i="14"/>
  <c r="N237" i="14"/>
  <c r="N296" i="14"/>
  <c r="N244" i="14"/>
  <c r="L244" i="14"/>
  <c r="L303" i="14"/>
  <c r="L259" i="14"/>
  <c r="L296" i="14"/>
  <c r="L274" i="14"/>
  <c r="L237" i="14"/>
  <c r="L251" i="14"/>
  <c r="L266" i="14"/>
  <c r="L281" i="14"/>
  <c r="L288" i="14"/>
  <c r="N301" i="14"/>
  <c r="N300" i="14"/>
  <c r="N299" i="14"/>
  <c r="N298" i="14"/>
  <c r="N291" i="14"/>
  <c r="N294" i="14"/>
  <c r="N293" i="14"/>
  <c r="N292" i="14"/>
  <c r="N278" i="14"/>
  <c r="N270" i="14"/>
  <c r="N257" i="14"/>
  <c r="N241" i="14"/>
  <c r="N236" i="14"/>
  <c r="N263" i="14"/>
  <c r="N250" i="14"/>
  <c r="N262" i="14"/>
  <c r="N234" i="14"/>
  <c r="N261" i="14"/>
  <c r="N233" i="14"/>
  <c r="N271" i="14"/>
  <c r="N242" i="14"/>
  <c r="N277" i="14"/>
  <c r="N269" i="14"/>
  <c r="N256" i="14"/>
  <c r="N240" i="14"/>
  <c r="N254" i="14"/>
  <c r="N284" i="14"/>
  <c r="N235" i="14"/>
  <c r="N246" i="14"/>
  <c r="N272" i="14"/>
  <c r="N243" i="14"/>
  <c r="N279" i="14"/>
  <c r="N258" i="14"/>
  <c r="N232" i="14"/>
  <c r="N276" i="14"/>
  <c r="N265" i="14"/>
  <c r="N255" i="14"/>
  <c r="N239" i="14"/>
  <c r="N264" i="14"/>
  <c r="N283" i="14"/>
  <c r="N285" i="14"/>
  <c r="M293" i="14"/>
  <c r="M294" i="14"/>
  <c r="M301" i="14"/>
  <c r="M300" i="14"/>
  <c r="M292" i="14"/>
  <c r="M298" i="14"/>
  <c r="M291" i="14"/>
  <c r="M283" i="14"/>
  <c r="M261" i="14"/>
  <c r="M256" i="14"/>
  <c r="M250" i="14"/>
  <c r="M241" i="14"/>
  <c r="M236" i="14"/>
  <c r="M255" i="14"/>
  <c r="M240" i="14"/>
  <c r="M235" i="14"/>
  <c r="M254" i="14"/>
  <c r="M239" i="14"/>
  <c r="M234" i="14"/>
  <c r="M272" i="14"/>
  <c r="M233" i="14"/>
  <c r="M271" i="14"/>
  <c r="M265" i="14"/>
  <c r="M232" i="14"/>
  <c r="M258" i="14"/>
  <c r="M257" i="14"/>
  <c r="M269" i="14"/>
  <c r="M249" i="14"/>
  <c r="M279" i="14"/>
  <c r="M278" i="14"/>
  <c r="M247" i="14"/>
  <c r="M284" i="14"/>
  <c r="M242" i="14"/>
  <c r="M277" i="14"/>
  <c r="M270" i="14"/>
  <c r="M264" i="14"/>
  <c r="M246" i="14"/>
  <c r="M276" i="14"/>
  <c r="M263" i="14"/>
  <c r="M243" i="14"/>
  <c r="M262" i="14"/>
  <c r="L300" i="14"/>
  <c r="L299" i="14"/>
  <c r="L298" i="14"/>
  <c r="L291" i="14"/>
  <c r="L294" i="14"/>
  <c r="L293" i="14"/>
  <c r="L292" i="14"/>
  <c r="L301" i="14"/>
  <c r="L276" i="14"/>
  <c r="L264" i="14"/>
  <c r="L285" i="14"/>
  <c r="L272" i="14"/>
  <c r="L263" i="14"/>
  <c r="L255" i="14"/>
  <c r="L247" i="14"/>
  <c r="L239" i="14"/>
  <c r="L271" i="14"/>
  <c r="L268" i="14" s="1"/>
  <c r="L262" i="14"/>
  <c r="L254" i="14"/>
  <c r="L246" i="14"/>
  <c r="L235" i="14"/>
  <c r="L278" i="14"/>
  <c r="L258" i="14"/>
  <c r="L232" i="14"/>
  <c r="L284" i="14"/>
  <c r="L256" i="14"/>
  <c r="L283" i="14"/>
  <c r="L270" i="14"/>
  <c r="L261" i="14"/>
  <c r="L234" i="14"/>
  <c r="L269" i="14"/>
  <c r="L236" i="14"/>
  <c r="L279" i="14"/>
  <c r="L242" i="14"/>
  <c r="L243" i="14"/>
  <c r="L277" i="14"/>
  <c r="L265" i="14"/>
  <c r="L257" i="14"/>
  <c r="L241" i="14"/>
  <c r="L233" i="14"/>
  <c r="L240" i="14"/>
  <c r="N300" i="10"/>
  <c r="N301" i="10"/>
  <c r="M300" i="10"/>
  <c r="M301" i="10"/>
  <c r="L301" i="10"/>
  <c r="N122" i="10"/>
  <c r="M122" i="10"/>
  <c r="L122" i="10"/>
  <c r="N115" i="10"/>
  <c r="M115" i="10"/>
  <c r="L115" i="10"/>
  <c r="N108" i="10"/>
  <c r="M108" i="10"/>
  <c r="N86" i="10"/>
  <c r="N79" i="10" s="1"/>
  <c r="N84" i="10"/>
  <c r="N77" i="10" s="1"/>
  <c r="N83" i="10"/>
  <c r="N76" i="10" s="1"/>
  <c r="N74" i="10"/>
  <c r="N172" i="10" s="1"/>
  <c r="M86" i="10"/>
  <c r="M79" i="10" s="1"/>
  <c r="M84" i="10"/>
  <c r="M77" i="10" s="1"/>
  <c r="M83" i="10"/>
  <c r="M76" i="10" s="1"/>
  <c r="M172" i="10"/>
  <c r="L86" i="10"/>
  <c r="L79" i="10" s="1"/>
  <c r="L84" i="10"/>
  <c r="L77" i="10" s="1"/>
  <c r="L83" i="10"/>
  <c r="L76" i="10" s="1"/>
  <c r="L174" i="10" s="1"/>
  <c r="L160" i="10" s="1"/>
  <c r="L74" i="10"/>
  <c r="L172" i="10" s="1"/>
  <c r="N94" i="10"/>
  <c r="M94" i="10"/>
  <c r="L94" i="10"/>
  <c r="N87" i="10"/>
  <c r="M87" i="10"/>
  <c r="L87" i="10"/>
  <c r="N607" i="14"/>
  <c r="N608" i="14"/>
  <c r="M608" i="14"/>
  <c r="M609" i="14"/>
  <c r="M610" i="14"/>
  <c r="M611" i="14"/>
  <c r="M612" i="14"/>
  <c r="L608" i="14"/>
  <c r="L609" i="14"/>
  <c r="L610" i="14"/>
  <c r="L611" i="14"/>
  <c r="L612" i="14"/>
  <c r="N78" i="10"/>
  <c r="N176" i="10" s="1"/>
  <c r="M78" i="10"/>
  <c r="M176" i="10" s="1"/>
  <c r="L78" i="10"/>
  <c r="L176" i="10" s="1"/>
  <c r="N173" i="10"/>
  <c r="N19" i="10"/>
  <c r="N18" i="10"/>
  <c r="M19" i="10"/>
  <c r="M37" i="10" s="1"/>
  <c r="L37" i="10"/>
  <c r="N30" i="10"/>
  <c r="M30" i="10"/>
  <c r="L30" i="10"/>
  <c r="N23" i="10"/>
  <c r="M23" i="10"/>
  <c r="L23" i="10"/>
  <c r="N185" i="10"/>
  <c r="M185" i="10"/>
  <c r="L185" i="10"/>
  <c r="N192" i="10"/>
  <c r="M192" i="10"/>
  <c r="L192" i="10"/>
  <c r="N207" i="10"/>
  <c r="M207" i="10"/>
  <c r="L207" i="10"/>
  <c r="N214" i="10"/>
  <c r="M214" i="10"/>
  <c r="L214" i="10"/>
  <c r="N221" i="10"/>
  <c r="M221" i="10"/>
  <c r="L221" i="10"/>
  <c r="N228" i="10"/>
  <c r="M228" i="10"/>
  <c r="L228" i="10"/>
  <c r="N235" i="10"/>
  <c r="M235" i="10"/>
  <c r="L235" i="10"/>
  <c r="N264" i="10"/>
  <c r="M264" i="10"/>
  <c r="L264" i="10"/>
  <c r="N285" i="10"/>
  <c r="M285" i="10"/>
  <c r="L285" i="10"/>
  <c r="N292" i="10"/>
  <c r="M292" i="10"/>
  <c r="L292" i="10"/>
  <c r="N313" i="10"/>
  <c r="M313" i="10"/>
  <c r="L313" i="10"/>
  <c r="N350" i="10"/>
  <c r="M350" i="10"/>
  <c r="L350" i="10"/>
  <c r="N357" i="10"/>
  <c r="M357" i="10"/>
  <c r="L357" i="10"/>
  <c r="N371" i="10"/>
  <c r="M371" i="10"/>
  <c r="L371" i="10"/>
  <c r="M364" i="10"/>
  <c r="L364" i="10"/>
  <c r="N364" i="10"/>
  <c r="N343" i="10"/>
  <c r="M343" i="10"/>
  <c r="L343" i="10"/>
  <c r="N122" i="16"/>
  <c r="M122" i="16"/>
  <c r="L122" i="16"/>
  <c r="N115" i="16"/>
  <c r="M115" i="16"/>
  <c r="L115" i="16"/>
  <c r="L158" i="16"/>
  <c r="N151" i="16"/>
  <c r="N144" i="16" s="1"/>
  <c r="M151" i="16"/>
  <c r="M144" i="16" s="1"/>
  <c r="L151" i="16"/>
  <c r="N165" i="16"/>
  <c r="M165" i="16"/>
  <c r="L165" i="16"/>
  <c r="N129" i="16"/>
  <c r="M129" i="16"/>
  <c r="L129" i="16"/>
  <c r="N108" i="16"/>
  <c r="M108" i="16"/>
  <c r="L108" i="16"/>
  <c r="N101" i="16"/>
  <c r="M101" i="16"/>
  <c r="L101" i="16"/>
  <c r="N94" i="16"/>
  <c r="M94" i="16"/>
  <c r="L94" i="16"/>
  <c r="N87" i="16"/>
  <c r="M87" i="16"/>
  <c r="L87" i="16"/>
  <c r="N67" i="16"/>
  <c r="M67" i="16"/>
  <c r="L67" i="16"/>
  <c r="N64" i="16"/>
  <c r="M64" i="16"/>
  <c r="L64" i="16"/>
  <c r="N61" i="16"/>
  <c r="M61" i="16"/>
  <c r="L61" i="16"/>
  <c r="N52" i="16"/>
  <c r="M52" i="16"/>
  <c r="L52" i="16"/>
  <c r="N49" i="16"/>
  <c r="M49" i="16"/>
  <c r="L49" i="16"/>
  <c r="N46" i="16"/>
  <c r="M46" i="16"/>
  <c r="L46" i="16"/>
  <c r="N42" i="16"/>
  <c r="M42" i="16"/>
  <c r="L42" i="16"/>
  <c r="N581" i="14"/>
  <c r="N577" i="14" s="1"/>
  <c r="M581" i="14"/>
  <c r="M577" i="14" s="1"/>
  <c r="L581" i="14"/>
  <c r="L577" i="14" s="1"/>
  <c r="N564" i="14"/>
  <c r="M565" i="14"/>
  <c r="M564" i="14"/>
  <c r="L564" i="14"/>
  <c r="N544" i="14"/>
  <c r="M544" i="14"/>
  <c r="L544" i="14"/>
  <c r="N543" i="14"/>
  <c r="M543" i="14"/>
  <c r="L543" i="14"/>
  <c r="N523" i="14"/>
  <c r="N522" i="14"/>
  <c r="M523" i="14"/>
  <c r="M522" i="14"/>
  <c r="L523" i="14"/>
  <c r="L522" i="14"/>
  <c r="N570" i="14"/>
  <c r="M570" i="14"/>
  <c r="L570" i="14"/>
  <c r="N556" i="14"/>
  <c r="M556" i="14"/>
  <c r="L556" i="14"/>
  <c r="N549" i="14"/>
  <c r="M549" i="14"/>
  <c r="L549" i="14"/>
  <c r="N535" i="14"/>
  <c r="M535" i="14"/>
  <c r="L535" i="14"/>
  <c r="N528" i="14"/>
  <c r="M528" i="14"/>
  <c r="L528" i="14"/>
  <c r="N507" i="14"/>
  <c r="M507" i="14"/>
  <c r="L507" i="14"/>
  <c r="N82" i="16"/>
  <c r="M82" i="16"/>
  <c r="L82" i="16"/>
  <c r="N81" i="16"/>
  <c r="M81" i="16"/>
  <c r="L81" i="16"/>
  <c r="N75" i="16"/>
  <c r="M75" i="16"/>
  <c r="L75" i="16"/>
  <c r="N74" i="16"/>
  <c r="M74" i="16"/>
  <c r="L74" i="16"/>
  <c r="N44" i="15"/>
  <c r="M44" i="15"/>
  <c r="L44" i="15"/>
  <c r="N40" i="15"/>
  <c r="M40" i="15"/>
  <c r="L40" i="15"/>
  <c r="N34" i="15"/>
  <c r="N31" i="15" s="1"/>
  <c r="M34" i="15"/>
  <c r="M31" i="15" s="1"/>
  <c r="L34" i="15"/>
  <c r="L31" i="15" s="1"/>
  <c r="N26" i="15"/>
  <c r="N24" i="15" s="1"/>
  <c r="M26" i="15"/>
  <c r="M24" i="15" s="1"/>
  <c r="L26" i="15"/>
  <c r="L24" i="15" s="1"/>
  <c r="N22" i="15"/>
  <c r="M22" i="15"/>
  <c r="L22" i="15"/>
  <c r="N21" i="15"/>
  <c r="M21" i="15"/>
  <c r="L21" i="15"/>
  <c r="N20" i="15"/>
  <c r="M20" i="15"/>
  <c r="L20" i="15"/>
  <c r="N717" i="14"/>
  <c r="N716" i="14" s="1"/>
  <c r="M717" i="14"/>
  <c r="M716" i="14" s="1"/>
  <c r="L717" i="14"/>
  <c r="L716" i="14" s="1"/>
  <c r="N701" i="14"/>
  <c r="M701" i="14"/>
  <c r="L701" i="14"/>
  <c r="N694" i="14"/>
  <c r="M694" i="14"/>
  <c r="L694" i="14"/>
  <c r="N690" i="14"/>
  <c r="N689" i="14"/>
  <c r="M689" i="14"/>
  <c r="L689" i="14"/>
  <c r="N688" i="14"/>
  <c r="M688" i="14"/>
  <c r="L688" i="14"/>
  <c r="N680" i="14"/>
  <c r="M680" i="14"/>
  <c r="L680" i="14"/>
  <c r="N673" i="14"/>
  <c r="M673" i="14"/>
  <c r="L673" i="14"/>
  <c r="N671" i="14"/>
  <c r="N657" i="14" s="1"/>
  <c r="M671" i="14"/>
  <c r="M657" i="14" s="1"/>
  <c r="L671" i="14"/>
  <c r="L657" i="14" s="1"/>
  <c r="N670" i="14"/>
  <c r="N656" i="14" s="1"/>
  <c r="M670" i="14"/>
  <c r="M656" i="14" s="1"/>
  <c r="L670" i="14"/>
  <c r="L656" i="14" s="1"/>
  <c r="N669" i="14"/>
  <c r="N655" i="14" s="1"/>
  <c r="M669" i="14"/>
  <c r="M655" i="14" s="1"/>
  <c r="L669" i="14"/>
  <c r="L655" i="14" s="1"/>
  <c r="N668" i="14"/>
  <c r="N654" i="14" s="1"/>
  <c r="M668" i="14"/>
  <c r="M654" i="14" s="1"/>
  <c r="L668" i="14"/>
  <c r="L654" i="14" s="1"/>
  <c r="N667" i="14"/>
  <c r="N653" i="14" s="1"/>
  <c r="M667" i="14"/>
  <c r="M653" i="14" s="1"/>
  <c r="L667" i="14"/>
  <c r="L653" i="14" s="1"/>
  <c r="N666" i="14"/>
  <c r="N659" i="14" s="1"/>
  <c r="N658" i="14" s="1"/>
  <c r="M666" i="14"/>
  <c r="M659" i="14" s="1"/>
  <c r="M658" i="14" s="1"/>
  <c r="L666" i="14"/>
  <c r="L659" i="14" s="1"/>
  <c r="L658" i="14" s="1"/>
  <c r="N641" i="14"/>
  <c r="N634" i="14" s="1"/>
  <c r="M641" i="14"/>
  <c r="M634" i="14" s="1"/>
  <c r="L641" i="14"/>
  <c r="L634" i="14" s="1"/>
  <c r="N640" i="14"/>
  <c r="M640" i="14"/>
  <c r="L640" i="14"/>
  <c r="N639" i="14"/>
  <c r="M639" i="14"/>
  <c r="L639" i="14"/>
  <c r="N638" i="14"/>
  <c r="M638" i="14"/>
  <c r="L638" i="14"/>
  <c r="N637" i="14"/>
  <c r="M637" i="14"/>
  <c r="L637" i="14"/>
  <c r="N636" i="14"/>
  <c r="M636" i="14"/>
  <c r="L636" i="14"/>
  <c r="N635" i="14"/>
  <c r="M635" i="14"/>
  <c r="L635" i="14"/>
  <c r="N627" i="14"/>
  <c r="M627" i="14"/>
  <c r="L627" i="14"/>
  <c r="N620" i="14"/>
  <c r="M620" i="14"/>
  <c r="L620" i="14"/>
  <c r="M618" i="14"/>
  <c r="L618" i="14"/>
  <c r="M617" i="14"/>
  <c r="L617" i="14"/>
  <c r="N616" i="14"/>
  <c r="M616" i="14"/>
  <c r="L616" i="14"/>
  <c r="N615" i="14"/>
  <c r="M615" i="14"/>
  <c r="L615" i="14"/>
  <c r="N605" i="14"/>
  <c r="M605" i="14"/>
  <c r="L605" i="14"/>
  <c r="N604" i="14"/>
  <c r="M604" i="14"/>
  <c r="L604" i="14"/>
  <c r="M603" i="14"/>
  <c r="L603" i="14"/>
  <c r="N602" i="14"/>
  <c r="M602" i="14"/>
  <c r="L602" i="14"/>
  <c r="N601" i="14"/>
  <c r="M601" i="14"/>
  <c r="L601" i="14"/>
  <c r="N600" i="14"/>
  <c r="M600" i="14"/>
  <c r="L600" i="14"/>
  <c r="N514" i="14"/>
  <c r="M514" i="14"/>
  <c r="L514" i="14"/>
  <c r="N478" i="14"/>
  <c r="M478" i="14"/>
  <c r="L478" i="14"/>
  <c r="N476" i="14"/>
  <c r="M476" i="14"/>
  <c r="L476" i="14"/>
  <c r="N475" i="14"/>
  <c r="M475" i="14"/>
  <c r="L475" i="14"/>
  <c r="L473" i="14"/>
  <c r="N469" i="14"/>
  <c r="M469" i="14"/>
  <c r="L469" i="14"/>
  <c r="N468" i="14"/>
  <c r="M468" i="14"/>
  <c r="L468" i="14"/>
  <c r="L466" i="14"/>
  <c r="N460" i="14"/>
  <c r="M460" i="14"/>
  <c r="L460" i="14"/>
  <c r="N459" i="14"/>
  <c r="M459" i="14"/>
  <c r="N458" i="14"/>
  <c r="M458" i="14"/>
  <c r="L458" i="14"/>
  <c r="M455" i="14"/>
  <c r="L455" i="14"/>
  <c r="L453" i="14"/>
  <c r="L446" i="14"/>
  <c r="M443" i="14"/>
  <c r="M441" i="14"/>
  <c r="L441" i="14"/>
  <c r="L439" i="14"/>
  <c r="N432" i="14"/>
  <c r="M432" i="14"/>
  <c r="L432" i="14"/>
  <c r="N431" i="14"/>
  <c r="M431" i="14"/>
  <c r="L431" i="14"/>
  <c r="N430" i="14"/>
  <c r="M430" i="14"/>
  <c r="L430" i="14"/>
  <c r="N425" i="14"/>
  <c r="M425" i="14"/>
  <c r="L425" i="14"/>
  <c r="N424" i="14"/>
  <c r="M424" i="14"/>
  <c r="L424" i="14"/>
  <c r="N423" i="14"/>
  <c r="N417" i="14"/>
  <c r="N413" i="14" s="1"/>
  <c r="M417" i="14"/>
  <c r="M413" i="14" s="1"/>
  <c r="L417" i="14"/>
  <c r="L413" i="14" s="1"/>
  <c r="N405" i="14"/>
  <c r="M405" i="14"/>
  <c r="L405" i="14"/>
  <c r="N403" i="14"/>
  <c r="M403" i="14"/>
  <c r="L403" i="14"/>
  <c r="N402" i="14"/>
  <c r="M402" i="14"/>
  <c r="L402" i="14"/>
  <c r="N401" i="14"/>
  <c r="M401" i="14"/>
  <c r="L401" i="14"/>
  <c r="M400" i="14"/>
  <c r="L400" i="14"/>
  <c r="N392" i="14"/>
  <c r="M392" i="14"/>
  <c r="L392" i="14"/>
  <c r="L380" i="14"/>
  <c r="L373" i="14"/>
  <c r="N364" i="14"/>
  <c r="M364" i="14"/>
  <c r="L364" i="14"/>
  <c r="L371" i="14" s="1"/>
  <c r="N363" i="14"/>
  <c r="M363" i="14"/>
  <c r="L363" i="14"/>
  <c r="L349" i="14" s="1"/>
  <c r="N362" i="14"/>
  <c r="N348" i="14" s="1"/>
  <c r="M362" i="14"/>
  <c r="M369" i="14" s="1"/>
  <c r="L362" i="14"/>
  <c r="L369" i="14" s="1"/>
  <c r="N361" i="14"/>
  <c r="M361" i="14"/>
  <c r="M368" i="14" s="1"/>
  <c r="L361" i="14"/>
  <c r="L368" i="14" s="1"/>
  <c r="N360" i="14"/>
  <c r="N367" i="14" s="1"/>
  <c r="M360" i="14"/>
  <c r="M367" i="14" s="1"/>
  <c r="L360" i="14"/>
  <c r="L367" i="14" s="1"/>
  <c r="N352" i="14"/>
  <c r="M352" i="14"/>
  <c r="L352" i="14"/>
  <c r="N335" i="14"/>
  <c r="M335" i="14"/>
  <c r="L335" i="14"/>
  <c r="N334" i="14"/>
  <c r="M334" i="14"/>
  <c r="L334" i="14"/>
  <c r="N333" i="14"/>
  <c r="M333" i="14"/>
  <c r="L333" i="14"/>
  <c r="N332" i="14"/>
  <c r="N342" i="14"/>
  <c r="M342" i="14"/>
  <c r="L342" i="14"/>
  <c r="N341" i="14"/>
  <c r="M341" i="14"/>
  <c r="L341" i="14"/>
  <c r="N340" i="14"/>
  <c r="M340" i="14"/>
  <c r="L340" i="14"/>
  <c r="N339" i="14"/>
  <c r="N318" i="14"/>
  <c r="N316" i="14" s="1"/>
  <c r="N315" i="14"/>
  <c r="N313" i="14" s="1"/>
  <c r="M297" i="14"/>
  <c r="N223" i="14"/>
  <c r="M223" i="14"/>
  <c r="L223" i="14"/>
  <c r="N216" i="14"/>
  <c r="M216" i="14"/>
  <c r="L216" i="14"/>
  <c r="N209" i="14"/>
  <c r="M209" i="14"/>
  <c r="L209" i="14"/>
  <c r="N201" i="14"/>
  <c r="M201" i="14"/>
  <c r="L201" i="14"/>
  <c r="N194" i="14"/>
  <c r="M194" i="14"/>
  <c r="L194" i="14"/>
  <c r="N186" i="14"/>
  <c r="M186" i="14"/>
  <c r="L186" i="14"/>
  <c r="N179" i="14"/>
  <c r="M179" i="14"/>
  <c r="L179" i="14"/>
  <c r="N172" i="14"/>
  <c r="M172" i="14"/>
  <c r="L172" i="14"/>
  <c r="N164" i="14"/>
  <c r="M164" i="14"/>
  <c r="L164" i="14"/>
  <c r="N157" i="14"/>
  <c r="M157" i="14"/>
  <c r="L157" i="14"/>
  <c r="N149" i="14"/>
  <c r="M149" i="14"/>
  <c r="L149" i="14"/>
  <c r="N141" i="14"/>
  <c r="M141" i="14"/>
  <c r="L141" i="14"/>
  <c r="N134" i="14"/>
  <c r="M134" i="14"/>
  <c r="L134" i="14"/>
  <c r="N104" i="14"/>
  <c r="M104" i="14"/>
  <c r="L104" i="14"/>
  <c r="N97" i="14"/>
  <c r="M97" i="14"/>
  <c r="L97" i="14"/>
  <c r="N90" i="14"/>
  <c r="M90" i="14"/>
  <c r="L90" i="14"/>
  <c r="N65" i="14"/>
  <c r="N72" i="14" s="1"/>
  <c r="M65" i="14"/>
  <c r="M72" i="14" s="1"/>
  <c r="L65" i="14"/>
  <c r="N21" i="14"/>
  <c r="N20" i="14"/>
  <c r="N19" i="14"/>
  <c r="M17" i="14"/>
  <c r="L17" i="14"/>
  <c r="P1875" i="13"/>
  <c r="N1875" i="13"/>
  <c r="L1875" i="13"/>
  <c r="P1868" i="13"/>
  <c r="N1868" i="13"/>
  <c r="L1868" i="13"/>
  <c r="P1861" i="13"/>
  <c r="N1861" i="13"/>
  <c r="L1861" i="13"/>
  <c r="P1853" i="13"/>
  <c r="N1853" i="13"/>
  <c r="L1853" i="13"/>
  <c r="P1846" i="13"/>
  <c r="N1846" i="13"/>
  <c r="L1846" i="13"/>
  <c r="P1839" i="13"/>
  <c r="N1839" i="13"/>
  <c r="L1839" i="13"/>
  <c r="P1832" i="13"/>
  <c r="N1832" i="13"/>
  <c r="L1832" i="13"/>
  <c r="P1825" i="13"/>
  <c r="N1825" i="13"/>
  <c r="L1825" i="13"/>
  <c r="P1818" i="13"/>
  <c r="N1818" i="13"/>
  <c r="L1818" i="13"/>
  <c r="P1811" i="13"/>
  <c r="N1811" i="13"/>
  <c r="L1811" i="13"/>
  <c r="P1804" i="13"/>
  <c r="N1804" i="13"/>
  <c r="L1804" i="13"/>
  <c r="P1799" i="13"/>
  <c r="N1799" i="13"/>
  <c r="L1799" i="13"/>
  <c r="P1798" i="13"/>
  <c r="N1798" i="13"/>
  <c r="L1798" i="13"/>
  <c r="L1796" i="13" s="1"/>
  <c r="P1796" i="13"/>
  <c r="N1796" i="13"/>
  <c r="P1792" i="13"/>
  <c r="N1792" i="13"/>
  <c r="L1792" i="13"/>
  <c r="P1791" i="13"/>
  <c r="N1791" i="13"/>
  <c r="N1789" i="13" s="1"/>
  <c r="L1791" i="13"/>
  <c r="L1789" i="13" s="1"/>
  <c r="P1789" i="13"/>
  <c r="P1721" i="13"/>
  <c r="N1721" i="13"/>
  <c r="L1721" i="13"/>
  <c r="P1714" i="13"/>
  <c r="N1714" i="13"/>
  <c r="L1714" i="13"/>
  <c r="P1708" i="13"/>
  <c r="N1708" i="13"/>
  <c r="L1708" i="13"/>
  <c r="P1700" i="13"/>
  <c r="N1700" i="13"/>
  <c r="L1700" i="13"/>
  <c r="P1685" i="13"/>
  <c r="N1685" i="13"/>
  <c r="L1685" i="13"/>
  <c r="P1678" i="13"/>
  <c r="N1678" i="13"/>
  <c r="L1678" i="13"/>
  <c r="P1674" i="13"/>
  <c r="P1673" i="13"/>
  <c r="N1673" i="13"/>
  <c r="L1673" i="13"/>
  <c r="P1672" i="13"/>
  <c r="P1671" i="13" s="1"/>
  <c r="N1672" i="13"/>
  <c r="N1671" i="13" s="1"/>
  <c r="L1672" i="13"/>
  <c r="L1671" i="13"/>
  <c r="P1664" i="13"/>
  <c r="N1664" i="13"/>
  <c r="L1664" i="13"/>
  <c r="P1657" i="13"/>
  <c r="N1657" i="13"/>
  <c r="L1657" i="13"/>
  <c r="P1655" i="13"/>
  <c r="N1655" i="13"/>
  <c r="L1655" i="13"/>
  <c r="P1654" i="13"/>
  <c r="N1654" i="13"/>
  <c r="L1654" i="13"/>
  <c r="P1653" i="13"/>
  <c r="N1653" i="13"/>
  <c r="L1653" i="13"/>
  <c r="P1652" i="13"/>
  <c r="N1652" i="13"/>
  <c r="N1649" i="13" s="1"/>
  <c r="L1652" i="13"/>
  <c r="P1651" i="13"/>
  <c r="N1651" i="13"/>
  <c r="L1651" i="13"/>
  <c r="P1650" i="13"/>
  <c r="N1650" i="13"/>
  <c r="L1650" i="13"/>
  <c r="L1649" i="13" s="1"/>
  <c r="P1649" i="13"/>
  <c r="P1642" i="13"/>
  <c r="N1642" i="13"/>
  <c r="L1642" i="13"/>
  <c r="P1641" i="13"/>
  <c r="N1641" i="13"/>
  <c r="L1641" i="13"/>
  <c r="P1640" i="13"/>
  <c r="N1640" i="13"/>
  <c r="L1640" i="13"/>
  <c r="P1639" i="13"/>
  <c r="N1639" i="13"/>
  <c r="L1639" i="13"/>
  <c r="P1638" i="13"/>
  <c r="L1638" i="13"/>
  <c r="P1637" i="13"/>
  <c r="N1637" i="13"/>
  <c r="L1637" i="13"/>
  <c r="P1636" i="13"/>
  <c r="N1636" i="13"/>
  <c r="L1636" i="13"/>
  <c r="L1635" i="13" s="1"/>
  <c r="P1635" i="13"/>
  <c r="P1632" i="13"/>
  <c r="N1632" i="13"/>
  <c r="L1632" i="13"/>
  <c r="P1629" i="13"/>
  <c r="N1629" i="13"/>
  <c r="L1629" i="13"/>
  <c r="P1622" i="13"/>
  <c r="N1622" i="13"/>
  <c r="L1622" i="13"/>
  <c r="P1621" i="13"/>
  <c r="N1621" i="13"/>
  <c r="L1621" i="13"/>
  <c r="P1620" i="13"/>
  <c r="N1620" i="13"/>
  <c r="N1615" i="13" s="1"/>
  <c r="L1620" i="13"/>
  <c r="P1619" i="13"/>
  <c r="N1619" i="13"/>
  <c r="L1619" i="13"/>
  <c r="P1618" i="13"/>
  <c r="N1618" i="13"/>
  <c r="L1618" i="13"/>
  <c r="P1617" i="13"/>
  <c r="N1617" i="13"/>
  <c r="L1617" i="13"/>
  <c r="P1616" i="13"/>
  <c r="P1615" i="13" s="1"/>
  <c r="N1616" i="13"/>
  <c r="L1616" i="13"/>
  <c r="L1615" i="13"/>
  <c r="P1608" i="13"/>
  <c r="N1608" i="13"/>
  <c r="L1608" i="13"/>
  <c r="P1601" i="13"/>
  <c r="N1601" i="13"/>
  <c r="L1601" i="13"/>
  <c r="N1599" i="13"/>
  <c r="L1599" i="13"/>
  <c r="N1598" i="13"/>
  <c r="L1598" i="13"/>
  <c r="P1597" i="13"/>
  <c r="N1597" i="13"/>
  <c r="L1597" i="13"/>
  <c r="P1596" i="13"/>
  <c r="N1596" i="13"/>
  <c r="N1594" i="13" s="1"/>
  <c r="L1596" i="13"/>
  <c r="L1594" i="13" s="1"/>
  <c r="P1594" i="13"/>
  <c r="P1593" i="13"/>
  <c r="N1593" i="13"/>
  <c r="L1593" i="13"/>
  <c r="P1592" i="13"/>
  <c r="N1592" i="13"/>
  <c r="L1592" i="13"/>
  <c r="N1591" i="13"/>
  <c r="L1591" i="13"/>
  <c r="P1590" i="13"/>
  <c r="N1590" i="13"/>
  <c r="L1590" i="13"/>
  <c r="P1589" i="13"/>
  <c r="N1589" i="13"/>
  <c r="L1589" i="13"/>
  <c r="P1588" i="13"/>
  <c r="P1587" i="13" s="1"/>
  <c r="N1588" i="13"/>
  <c r="N1587" i="13" s="1"/>
  <c r="L1588" i="13"/>
  <c r="L1587" i="13"/>
  <c r="P1580" i="13"/>
  <c r="N1580" i="13"/>
  <c r="L1580" i="13"/>
  <c r="P1572" i="13"/>
  <c r="N1572" i="13"/>
  <c r="L1572" i="13"/>
  <c r="P1565" i="13"/>
  <c r="N1565" i="13"/>
  <c r="L1565" i="13"/>
  <c r="P1558" i="13"/>
  <c r="N1558" i="13"/>
  <c r="L1558" i="13"/>
  <c r="P1551" i="13"/>
  <c r="N1551" i="13"/>
  <c r="L1551" i="13"/>
  <c r="P1544" i="13"/>
  <c r="N1544" i="13"/>
  <c r="L1544" i="13"/>
  <c r="P1537" i="13"/>
  <c r="N1537" i="13"/>
  <c r="L1537" i="13"/>
  <c r="P1530" i="13"/>
  <c r="N1530" i="13"/>
  <c r="L1530" i="13"/>
  <c r="P1523" i="13"/>
  <c r="N1523" i="13"/>
  <c r="L1523" i="13"/>
  <c r="P1516" i="13"/>
  <c r="N1516" i="13"/>
  <c r="L1516" i="13"/>
  <c r="P1509" i="13"/>
  <c r="N1509" i="13"/>
  <c r="L1509" i="13"/>
  <c r="P1502" i="13"/>
  <c r="N1502" i="13"/>
  <c r="L1502" i="13"/>
  <c r="P1495" i="13"/>
  <c r="N1495" i="13"/>
  <c r="L1495" i="13"/>
  <c r="P1492" i="13"/>
  <c r="P1487" i="13" s="1"/>
  <c r="N1492" i="13"/>
  <c r="N1487" i="13" s="1"/>
  <c r="L1492" i="13"/>
  <c r="L1487" i="13"/>
  <c r="P1480" i="13"/>
  <c r="N1480" i="13"/>
  <c r="L1480" i="13"/>
  <c r="P1478" i="13"/>
  <c r="N1478" i="13"/>
  <c r="L1478" i="13"/>
  <c r="P1477" i="13"/>
  <c r="N1477" i="13"/>
  <c r="L1477" i="13"/>
  <c r="L1475" i="13"/>
  <c r="P1471" i="13"/>
  <c r="P1464" i="13" s="1"/>
  <c r="N1471" i="13"/>
  <c r="N1464" i="13" s="1"/>
  <c r="L1471" i="13"/>
  <c r="P1470" i="13"/>
  <c r="N1470" i="13"/>
  <c r="N1463" i="13" s="1"/>
  <c r="L1470" i="13"/>
  <c r="L1463" i="13" s="1"/>
  <c r="L1459" i="13" s="1"/>
  <c r="L1468" i="13"/>
  <c r="L1464" i="13"/>
  <c r="P1463" i="13"/>
  <c r="P1462" i="13"/>
  <c r="N1462" i="13"/>
  <c r="L1462" i="13"/>
  <c r="P1461" i="13"/>
  <c r="N1461" i="13"/>
  <c r="L1461" i="13"/>
  <c r="P1460" i="13"/>
  <c r="N1460" i="13"/>
  <c r="N1459" i="13" s="1"/>
  <c r="L1460" i="13"/>
  <c r="N1457" i="13"/>
  <c r="L1457" i="13"/>
  <c r="L1452" i="13" s="1"/>
  <c r="L1455" i="13"/>
  <c r="N1454" i="13"/>
  <c r="N1452" i="13" s="1"/>
  <c r="P1452" i="13"/>
  <c r="N1450" i="13"/>
  <c r="N1445" i="13" s="1"/>
  <c r="L1450" i="13"/>
  <c r="L1448" i="13"/>
  <c r="L1445" i="13" s="1"/>
  <c r="N1447" i="13"/>
  <c r="P1445" i="13"/>
  <c r="N1443" i="13"/>
  <c r="L1443" i="13"/>
  <c r="L1441" i="13"/>
  <c r="L1438" i="13" s="1"/>
  <c r="N1440" i="13"/>
  <c r="P1438" i="13"/>
  <c r="N1438" i="13"/>
  <c r="P1434" i="13"/>
  <c r="N1434" i="13"/>
  <c r="L1434" i="13"/>
  <c r="P1433" i="13"/>
  <c r="N1433" i="13"/>
  <c r="L1433" i="13"/>
  <c r="P1432" i="13"/>
  <c r="P1430" i="13" s="1"/>
  <c r="N1432" i="13"/>
  <c r="L1432" i="13"/>
  <c r="N1430" i="13"/>
  <c r="L1430" i="13"/>
  <c r="P1427" i="13"/>
  <c r="N1427" i="13"/>
  <c r="L1427" i="13"/>
  <c r="P1426" i="13"/>
  <c r="N1426" i="13"/>
  <c r="L1426" i="13"/>
  <c r="L1423" i="13" s="1"/>
  <c r="P1425" i="13"/>
  <c r="P1423" i="13"/>
  <c r="N1423" i="13"/>
  <c r="P1419" i="13"/>
  <c r="P1415" i="13" s="1"/>
  <c r="N1419" i="13"/>
  <c r="L1419" i="13"/>
  <c r="N1415" i="13"/>
  <c r="L1415" i="13"/>
  <c r="P1408" i="13"/>
  <c r="N1408" i="13"/>
  <c r="L1408" i="13"/>
  <c r="P1407" i="13"/>
  <c r="N1407" i="13"/>
  <c r="L1407" i="13"/>
  <c r="N1406" i="13"/>
  <c r="P1405" i="13"/>
  <c r="N1405" i="13"/>
  <c r="L1405" i="13"/>
  <c r="P1404" i="13"/>
  <c r="N1404" i="13"/>
  <c r="L1404" i="13"/>
  <c r="L1401" i="13" s="1"/>
  <c r="P1403" i="13"/>
  <c r="N1403" i="13"/>
  <c r="L1403" i="13"/>
  <c r="P1402" i="13"/>
  <c r="N1402" i="13"/>
  <c r="L1402" i="13"/>
  <c r="S1401" i="13"/>
  <c r="N1401" i="13"/>
  <c r="P1394" i="13"/>
  <c r="N1394" i="13"/>
  <c r="L1394" i="13"/>
  <c r="P1389" i="13"/>
  <c r="P1387" i="13"/>
  <c r="N1387" i="13"/>
  <c r="L1387" i="13"/>
  <c r="P1382" i="13"/>
  <c r="N1382" i="13"/>
  <c r="L1382" i="13"/>
  <c r="P1379" i="13"/>
  <c r="N1379" i="13"/>
  <c r="L1379" i="13"/>
  <c r="P1376" i="13"/>
  <c r="N1376" i="13"/>
  <c r="L1376" i="13"/>
  <c r="P1374" i="13"/>
  <c r="N1374" i="13"/>
  <c r="P1373" i="13"/>
  <c r="P1366" i="13" s="1"/>
  <c r="N1373" i="13"/>
  <c r="L1373" i="13"/>
  <c r="L1369" i="13" s="1"/>
  <c r="P1369" i="13"/>
  <c r="N1369" i="13"/>
  <c r="L1367" i="13"/>
  <c r="L1366" i="13"/>
  <c r="P1365" i="13"/>
  <c r="N1364" i="13"/>
  <c r="N1363" i="13"/>
  <c r="L1363" i="13"/>
  <c r="P1360" i="13"/>
  <c r="P1367" i="13" s="1"/>
  <c r="N1360" i="13"/>
  <c r="N1367" i="13" s="1"/>
  <c r="L1360" i="13"/>
  <c r="P1359" i="13"/>
  <c r="N1359" i="13"/>
  <c r="N1366" i="13" s="1"/>
  <c r="L1359" i="13"/>
  <c r="L1345" i="13" s="1"/>
  <c r="P1358" i="13"/>
  <c r="N1358" i="13"/>
  <c r="N1365" i="13" s="1"/>
  <c r="L1358" i="13"/>
  <c r="L1365" i="13" s="1"/>
  <c r="P1357" i="13"/>
  <c r="P1364" i="13" s="1"/>
  <c r="N1357" i="13"/>
  <c r="L1357" i="13"/>
  <c r="L1364" i="13" s="1"/>
  <c r="P1356" i="13"/>
  <c r="P1363" i="13" s="1"/>
  <c r="N1356" i="13"/>
  <c r="N1342" i="13" s="1"/>
  <c r="L1356" i="13"/>
  <c r="P1348" i="13"/>
  <c r="N1348" i="13"/>
  <c r="L1348" i="13"/>
  <c r="L1346" i="13"/>
  <c r="P1345" i="13"/>
  <c r="N1345" i="13"/>
  <c r="P1344" i="13"/>
  <c r="N1344" i="13"/>
  <c r="N1343" i="13"/>
  <c r="L1343" i="13"/>
  <c r="P1342" i="13"/>
  <c r="L1342" i="13"/>
  <c r="P1338" i="13"/>
  <c r="N1338" i="13"/>
  <c r="N1333" i="13" s="1"/>
  <c r="L1338" i="13"/>
  <c r="P1337" i="13"/>
  <c r="N1337" i="13"/>
  <c r="L1337" i="13"/>
  <c r="P1336" i="13"/>
  <c r="N1336" i="13"/>
  <c r="L1336" i="13"/>
  <c r="L1333" i="13" s="1"/>
  <c r="P1335" i="13"/>
  <c r="P1333" i="13"/>
  <c r="P1331" i="13"/>
  <c r="N1331" i="13"/>
  <c r="L1331" i="13"/>
  <c r="P1330" i="13"/>
  <c r="N1330" i="13"/>
  <c r="N1326" i="13" s="1"/>
  <c r="L1330" i="13"/>
  <c r="L1326" i="13" s="1"/>
  <c r="P1329" i="13"/>
  <c r="N1329" i="13"/>
  <c r="L1329" i="13"/>
  <c r="P1328" i="13"/>
  <c r="P1326" i="13" s="1"/>
  <c r="P1322" i="13"/>
  <c r="N1322" i="13"/>
  <c r="L1322" i="13"/>
  <c r="P1319" i="13"/>
  <c r="N1319" i="13"/>
  <c r="L1319" i="13"/>
  <c r="P1316" i="13"/>
  <c r="N1316" i="13"/>
  <c r="L1316" i="13"/>
  <c r="P1314" i="13"/>
  <c r="P1312" i="13" s="1"/>
  <c r="N1312" i="13"/>
  <c r="L1312" i="13"/>
  <c r="P1311" i="13"/>
  <c r="P1309" i="13"/>
  <c r="N1309" i="13"/>
  <c r="L1309" i="13"/>
  <c r="P1305" i="13"/>
  <c r="N1305" i="13"/>
  <c r="L1305" i="13"/>
  <c r="P1302" i="13"/>
  <c r="N1302" i="13"/>
  <c r="L1302" i="13"/>
  <c r="P1299" i="13"/>
  <c r="N1299" i="13"/>
  <c r="L1299" i="13"/>
  <c r="P1298" i="13"/>
  <c r="N1298" i="13"/>
  <c r="L1298" i="13"/>
  <c r="P1297" i="13"/>
  <c r="N1297" i="13"/>
  <c r="L1297" i="13"/>
  <c r="P1296" i="13"/>
  <c r="N1296" i="13"/>
  <c r="L1296" i="13"/>
  <c r="P1295" i="13"/>
  <c r="N1295" i="13"/>
  <c r="L1295" i="13"/>
  <c r="P1294" i="13"/>
  <c r="N1294" i="13"/>
  <c r="L1294" i="13"/>
  <c r="P1292" i="13"/>
  <c r="N1292" i="13"/>
  <c r="L1292" i="13"/>
  <c r="P1291" i="13"/>
  <c r="N1291" i="13"/>
  <c r="L1291" i="13"/>
  <c r="P1290" i="13"/>
  <c r="N1290" i="13"/>
  <c r="L1290" i="13"/>
  <c r="P1289" i="13"/>
  <c r="N1289" i="13"/>
  <c r="L1289" i="13"/>
  <c r="P1288" i="13"/>
  <c r="N1288" i="13"/>
  <c r="L1288" i="13"/>
  <c r="P1287" i="13"/>
  <c r="P1284" i="13"/>
  <c r="N1284" i="13"/>
  <c r="L1284" i="13"/>
  <c r="P1283" i="13"/>
  <c r="N1283" i="13"/>
  <c r="L1283" i="13"/>
  <c r="P1282" i="13"/>
  <c r="N1282" i="13"/>
  <c r="L1282" i="13"/>
  <c r="P1281" i="13"/>
  <c r="N1281" i="13"/>
  <c r="L1281" i="13"/>
  <c r="P1280" i="13"/>
  <c r="N1280" i="13"/>
  <c r="L1280" i="13"/>
  <c r="P1279" i="13"/>
  <c r="N1279" i="13"/>
  <c r="L1279" i="13"/>
  <c r="P1277" i="13"/>
  <c r="N1277" i="13"/>
  <c r="L1277" i="13"/>
  <c r="P1276" i="13"/>
  <c r="N1276" i="13"/>
  <c r="L1276" i="13"/>
  <c r="P1275" i="13"/>
  <c r="N1275" i="13"/>
  <c r="L1275" i="13"/>
  <c r="P1274" i="13"/>
  <c r="N1274" i="13"/>
  <c r="L1274" i="13"/>
  <c r="P1273" i="13"/>
  <c r="N1273" i="13"/>
  <c r="L1273" i="13"/>
  <c r="P1272" i="13"/>
  <c r="N1272" i="13"/>
  <c r="L1272" i="13"/>
  <c r="P1270" i="13"/>
  <c r="N1270" i="13"/>
  <c r="L1270" i="13"/>
  <c r="P1269" i="13"/>
  <c r="N1269" i="13"/>
  <c r="L1269" i="13"/>
  <c r="P1268" i="13"/>
  <c r="N1268" i="13"/>
  <c r="L1268" i="13"/>
  <c r="P1267" i="13"/>
  <c r="N1267" i="13"/>
  <c r="L1267" i="13"/>
  <c r="P1266" i="13"/>
  <c r="N1266" i="13"/>
  <c r="L1266" i="13"/>
  <c r="P1265" i="13"/>
  <c r="N1265" i="13"/>
  <c r="L1265" i="13"/>
  <c r="P1256" i="13"/>
  <c r="N1256" i="13"/>
  <c r="L1256" i="13"/>
  <c r="P1249" i="13"/>
  <c r="N1249" i="13"/>
  <c r="L1249" i="13"/>
  <c r="P1241" i="13"/>
  <c r="N1241" i="13"/>
  <c r="L1241" i="13"/>
  <c r="P1234" i="13"/>
  <c r="N1234" i="13"/>
  <c r="L1234" i="13"/>
  <c r="P1227" i="13"/>
  <c r="N1227" i="13"/>
  <c r="L1227" i="13"/>
  <c r="P1219" i="13"/>
  <c r="N1219" i="13"/>
  <c r="L1219" i="13"/>
  <c r="N1213" i="13"/>
  <c r="N1287" i="13" s="1"/>
  <c r="L1213" i="13"/>
  <c r="L1287" i="13" s="1"/>
  <c r="P1212" i="13"/>
  <c r="N1212" i="13"/>
  <c r="L1212" i="13"/>
  <c r="P1204" i="13"/>
  <c r="N1204" i="13"/>
  <c r="L1204" i="13"/>
  <c r="P1197" i="13"/>
  <c r="N1197" i="13"/>
  <c r="L1197" i="13"/>
  <c r="P1190" i="13"/>
  <c r="N1190" i="13"/>
  <c r="L1190" i="13"/>
  <c r="P1188" i="13"/>
  <c r="N1188" i="13"/>
  <c r="L1188" i="13"/>
  <c r="P1187" i="13"/>
  <c r="N1187" i="13"/>
  <c r="L1187" i="13"/>
  <c r="P1186" i="13"/>
  <c r="N1186" i="13"/>
  <c r="L1186" i="13"/>
  <c r="P1185" i="13"/>
  <c r="N1185" i="13"/>
  <c r="L1185" i="13"/>
  <c r="P1184" i="13"/>
  <c r="N1184" i="13"/>
  <c r="L1184" i="13"/>
  <c r="P1183" i="13"/>
  <c r="N1183" i="13"/>
  <c r="L1183" i="13"/>
  <c r="P1176" i="13"/>
  <c r="N1176" i="13"/>
  <c r="L1176" i="13"/>
  <c r="P1169" i="13"/>
  <c r="N1169" i="13"/>
  <c r="L1169" i="13"/>
  <c r="P1162" i="13"/>
  <c r="N1162" i="13"/>
  <c r="L1162" i="13"/>
  <c r="P1153" i="13"/>
  <c r="N1153" i="13"/>
  <c r="L1153" i="13"/>
  <c r="P1152" i="13"/>
  <c r="N1152" i="13"/>
  <c r="L1152" i="13"/>
  <c r="P1151" i="13"/>
  <c r="N1151" i="13"/>
  <c r="L1151" i="13"/>
  <c r="P1150" i="13"/>
  <c r="N1150" i="13"/>
  <c r="L1150" i="13"/>
  <c r="P1149" i="13"/>
  <c r="N1149" i="13"/>
  <c r="L1149" i="13"/>
  <c r="P1148" i="13"/>
  <c r="N1148" i="13"/>
  <c r="L1148" i="13"/>
  <c r="P1141" i="13"/>
  <c r="N1141" i="13"/>
  <c r="L1141" i="13"/>
  <c r="P1134" i="13"/>
  <c r="N1134" i="13"/>
  <c r="L1134" i="13"/>
  <c r="P1132" i="13"/>
  <c r="N1132" i="13"/>
  <c r="L1132" i="13"/>
  <c r="P1131" i="13"/>
  <c r="N1131" i="13"/>
  <c r="L1131" i="13"/>
  <c r="P1130" i="13"/>
  <c r="N1130" i="13"/>
  <c r="L1130" i="13"/>
  <c r="P1129" i="13"/>
  <c r="N1129" i="13"/>
  <c r="L1129" i="13"/>
  <c r="P1128" i="13"/>
  <c r="N1128" i="13"/>
  <c r="L1128" i="13"/>
  <c r="P1127" i="13"/>
  <c r="N1127" i="13"/>
  <c r="L1127" i="13"/>
  <c r="P1120" i="13"/>
  <c r="N1120" i="13"/>
  <c r="L1120" i="13"/>
  <c r="P1113" i="13"/>
  <c r="N1113" i="13"/>
  <c r="L1113" i="13"/>
  <c r="P1106" i="13"/>
  <c r="N1106" i="13"/>
  <c r="L1106" i="13"/>
  <c r="P1104" i="13"/>
  <c r="N1104" i="13"/>
  <c r="L1104" i="13"/>
  <c r="P1103" i="13"/>
  <c r="N1103" i="13"/>
  <c r="L1103" i="13"/>
  <c r="P1102" i="13"/>
  <c r="N1102" i="13"/>
  <c r="L1102" i="13"/>
  <c r="P1101" i="13"/>
  <c r="N1101" i="13"/>
  <c r="L1101" i="13"/>
  <c r="P1100" i="13"/>
  <c r="N1100" i="13"/>
  <c r="L1100" i="13"/>
  <c r="P1099" i="13"/>
  <c r="N1099" i="13"/>
  <c r="L1099" i="13"/>
  <c r="P1092" i="13"/>
  <c r="N1092" i="13"/>
  <c r="L1092" i="13"/>
  <c r="P1085" i="13"/>
  <c r="N1085" i="13"/>
  <c r="L1085" i="13"/>
  <c r="P1078" i="13"/>
  <c r="N1078" i="13"/>
  <c r="L1078" i="13"/>
  <c r="L1075" i="13"/>
  <c r="P1074" i="13"/>
  <c r="P1072" i="13"/>
  <c r="N1072" i="13"/>
  <c r="L1072" i="13"/>
  <c r="P1022" i="13"/>
  <c r="N1022" i="13"/>
  <c r="L1022" i="13"/>
  <c r="S1018" i="13"/>
  <c r="S1016" i="13"/>
  <c r="S1015" i="13"/>
  <c r="P1014" i="13"/>
  <c r="N1014" i="13"/>
  <c r="L1014" i="13"/>
  <c r="S1011" i="13"/>
  <c r="S1009" i="13"/>
  <c r="S1008" i="13"/>
  <c r="P1007" i="13"/>
  <c r="N1007" i="13"/>
  <c r="L1007" i="13"/>
  <c r="S1002" i="13"/>
  <c r="P999" i="13"/>
  <c r="N999" i="13"/>
  <c r="L999" i="13"/>
  <c r="S995" i="13"/>
  <c r="P992" i="13"/>
  <c r="N992" i="13"/>
  <c r="L992" i="13"/>
  <c r="S988" i="13"/>
  <c r="P985" i="13"/>
  <c r="N985" i="13"/>
  <c r="L985" i="13"/>
  <c r="S981" i="13"/>
  <c r="S978" i="13"/>
  <c r="P977" i="13"/>
  <c r="N977" i="13"/>
  <c r="L977" i="13"/>
  <c r="S974" i="13"/>
  <c r="S971" i="13"/>
  <c r="P970" i="13"/>
  <c r="N970" i="13"/>
  <c r="L970" i="13"/>
  <c r="S967" i="13"/>
  <c r="S964" i="13"/>
  <c r="P963" i="13"/>
  <c r="N963" i="13"/>
  <c r="L963" i="13"/>
  <c r="N938" i="13"/>
  <c r="N933" i="13" s="1"/>
  <c r="L938" i="13"/>
  <c r="L1406" i="13" s="1"/>
  <c r="P931" i="13"/>
  <c r="P938" i="13" s="1"/>
  <c r="N931" i="13"/>
  <c r="L931" i="13"/>
  <c r="P926" i="13"/>
  <c r="N926" i="13"/>
  <c r="L926" i="13"/>
  <c r="S922" i="13"/>
  <c r="S919" i="13"/>
  <c r="P918" i="13"/>
  <c r="N918" i="13"/>
  <c r="L918" i="13"/>
  <c r="S915" i="13"/>
  <c r="S912" i="13"/>
  <c r="P911" i="13"/>
  <c r="N911" i="13"/>
  <c r="L911" i="13"/>
  <c r="S905" i="13"/>
  <c r="P903" i="13"/>
  <c r="N903" i="13"/>
  <c r="L903" i="13"/>
  <c r="S898" i="13"/>
  <c r="P896" i="13"/>
  <c r="N896" i="13"/>
  <c r="L896" i="13"/>
  <c r="S891" i="13"/>
  <c r="P889" i="13"/>
  <c r="N889" i="13"/>
  <c r="L889" i="13"/>
  <c r="P888" i="13"/>
  <c r="P1076" i="13" s="1"/>
  <c r="N888" i="13"/>
  <c r="N1076" i="13" s="1"/>
  <c r="L888" i="13"/>
  <c r="L1076" i="13" s="1"/>
  <c r="P887" i="13"/>
  <c r="P1075" i="13" s="1"/>
  <c r="N887" i="13"/>
  <c r="N1075" i="13" s="1"/>
  <c r="L887" i="13"/>
  <c r="P886" i="13"/>
  <c r="N886" i="13"/>
  <c r="N1074" i="13" s="1"/>
  <c r="L886" i="13"/>
  <c r="L882" i="13" s="1"/>
  <c r="P885" i="13"/>
  <c r="P1073" i="13" s="1"/>
  <c r="N885" i="13"/>
  <c r="N1073" i="13" s="1"/>
  <c r="L885" i="13"/>
  <c r="L1073" i="13" s="1"/>
  <c r="P883" i="13"/>
  <c r="P1071" i="13" s="1"/>
  <c r="N883" i="13"/>
  <c r="N1071" i="13" s="1"/>
  <c r="L883" i="13"/>
  <c r="L1071" i="13" s="1"/>
  <c r="N882" i="13"/>
  <c r="P873" i="13"/>
  <c r="N873" i="13"/>
  <c r="L873" i="13"/>
  <c r="P866" i="13"/>
  <c r="N866" i="13"/>
  <c r="L866" i="13"/>
  <c r="P859" i="13"/>
  <c r="N859" i="13"/>
  <c r="L859" i="13"/>
  <c r="P852" i="13"/>
  <c r="N852" i="13"/>
  <c r="L852" i="13"/>
  <c r="P845" i="13"/>
  <c r="N845" i="13"/>
  <c r="L845" i="13"/>
  <c r="P838" i="13"/>
  <c r="N838" i="13"/>
  <c r="L838" i="13"/>
  <c r="P831" i="13"/>
  <c r="N831" i="13"/>
  <c r="L831" i="13"/>
  <c r="P824" i="13"/>
  <c r="N824" i="13"/>
  <c r="L824" i="13"/>
  <c r="P817" i="13"/>
  <c r="N817" i="13"/>
  <c r="L817" i="13"/>
  <c r="P810" i="13"/>
  <c r="N810" i="13"/>
  <c r="L810" i="13"/>
  <c r="P803" i="13"/>
  <c r="N803" i="13"/>
  <c r="L803" i="13"/>
  <c r="P796" i="13"/>
  <c r="N796" i="13"/>
  <c r="L796" i="13"/>
  <c r="P789" i="13"/>
  <c r="N789" i="13"/>
  <c r="L789" i="13"/>
  <c r="P782" i="13"/>
  <c r="N782" i="13"/>
  <c r="L782" i="13"/>
  <c r="P775" i="13"/>
  <c r="N775" i="13"/>
  <c r="L775" i="13"/>
  <c r="P768" i="13"/>
  <c r="N768" i="13"/>
  <c r="L768" i="13"/>
  <c r="P761" i="13"/>
  <c r="N761" i="13"/>
  <c r="L761" i="13"/>
  <c r="P754" i="13"/>
  <c r="N754" i="13"/>
  <c r="L754" i="13"/>
  <c r="P747" i="13"/>
  <c r="N747" i="13"/>
  <c r="L747" i="13"/>
  <c r="P740" i="13"/>
  <c r="N740" i="13"/>
  <c r="L740" i="13"/>
  <c r="P733" i="13"/>
  <c r="N733" i="13"/>
  <c r="L733" i="13"/>
  <c r="P726" i="13"/>
  <c r="N726" i="13"/>
  <c r="L726" i="13"/>
  <c r="P719" i="13"/>
  <c r="N719" i="13"/>
  <c r="L719" i="13"/>
  <c r="P712" i="13"/>
  <c r="N712" i="13"/>
  <c r="L712" i="13"/>
  <c r="P705" i="13"/>
  <c r="N705" i="13"/>
  <c r="L705" i="13"/>
  <c r="P697" i="13"/>
  <c r="N697" i="13"/>
  <c r="L697" i="13"/>
  <c r="P690" i="13"/>
  <c r="N690" i="13"/>
  <c r="L690" i="13"/>
  <c r="P683" i="13"/>
  <c r="N683" i="13"/>
  <c r="L683" i="13"/>
  <c r="P676" i="13"/>
  <c r="N676" i="13"/>
  <c r="L676" i="13"/>
  <c r="P669" i="13"/>
  <c r="N669" i="13"/>
  <c r="L669" i="13"/>
  <c r="P662" i="13"/>
  <c r="N662" i="13"/>
  <c r="L662" i="13"/>
  <c r="P655" i="13"/>
  <c r="N655" i="13"/>
  <c r="L655" i="13"/>
  <c r="P648" i="13"/>
  <c r="N648" i="13"/>
  <c r="L648" i="13"/>
  <c r="P641" i="13"/>
  <c r="N641" i="13"/>
  <c r="L641" i="13"/>
  <c r="P633" i="13"/>
  <c r="N633" i="13"/>
  <c r="L633" i="13"/>
  <c r="P626" i="13"/>
  <c r="N626" i="13"/>
  <c r="L626" i="13"/>
  <c r="P619" i="13"/>
  <c r="N619" i="13"/>
  <c r="L619" i="13"/>
  <c r="P612" i="13"/>
  <c r="N612" i="13"/>
  <c r="L612" i="13"/>
  <c r="P605" i="13"/>
  <c r="N605" i="13"/>
  <c r="L605" i="13"/>
  <c r="P598" i="13"/>
  <c r="N598" i="13"/>
  <c r="L598" i="13"/>
  <c r="P591" i="13"/>
  <c r="N591" i="13"/>
  <c r="L591" i="13"/>
  <c r="P584" i="13"/>
  <c r="N584" i="13"/>
  <c r="L584" i="13"/>
  <c r="P577" i="13"/>
  <c r="N577" i="13"/>
  <c r="L577" i="13"/>
  <c r="P570" i="13"/>
  <c r="N570" i="13"/>
  <c r="L570" i="13"/>
  <c r="P563" i="13"/>
  <c r="N563" i="13"/>
  <c r="L563" i="13"/>
  <c r="P556" i="13"/>
  <c r="N556" i="13"/>
  <c r="L556" i="13"/>
  <c r="P549" i="13"/>
  <c r="N549" i="13"/>
  <c r="L549" i="13"/>
  <c r="P542" i="13"/>
  <c r="N542" i="13"/>
  <c r="L542" i="13"/>
  <c r="P535" i="13"/>
  <c r="N535" i="13"/>
  <c r="L535" i="13"/>
  <c r="P528" i="13"/>
  <c r="N528" i="13"/>
  <c r="L528" i="13"/>
  <c r="P521" i="13"/>
  <c r="N521" i="13"/>
  <c r="L521" i="13"/>
  <c r="P514" i="13"/>
  <c r="N514" i="13"/>
  <c r="L514" i="13"/>
  <c r="P507" i="13"/>
  <c r="N507" i="13"/>
  <c r="L507" i="13"/>
  <c r="P500" i="13"/>
  <c r="N500" i="13"/>
  <c r="L500" i="13"/>
  <c r="P492" i="13"/>
  <c r="N492" i="13"/>
  <c r="L492" i="13"/>
  <c r="P485" i="13"/>
  <c r="N485" i="13"/>
  <c r="L485" i="13"/>
  <c r="P478" i="13"/>
  <c r="N478" i="13"/>
  <c r="L478" i="13"/>
  <c r="P471" i="13"/>
  <c r="N471" i="13"/>
  <c r="L471" i="13"/>
  <c r="P464" i="13"/>
  <c r="N464" i="13"/>
  <c r="L464" i="13"/>
  <c r="P457" i="13"/>
  <c r="N457" i="13"/>
  <c r="L457" i="13"/>
  <c r="P450" i="13"/>
  <c r="N450" i="13"/>
  <c r="L450" i="13"/>
  <c r="P443" i="13"/>
  <c r="N443" i="13"/>
  <c r="L443" i="13"/>
  <c r="P436" i="13"/>
  <c r="N436" i="13"/>
  <c r="L436" i="13"/>
  <c r="P429" i="13"/>
  <c r="N429" i="13"/>
  <c r="L429" i="13" a="1"/>
  <c r="L429" i="13" s="1"/>
  <c r="P422" i="13"/>
  <c r="N422" i="13"/>
  <c r="L422" i="13"/>
  <c r="P415" i="13"/>
  <c r="N415" i="13"/>
  <c r="L415" i="13"/>
  <c r="P408" i="13"/>
  <c r="N408" i="13"/>
  <c r="L408" i="13"/>
  <c r="P401" i="13"/>
  <c r="N401" i="13"/>
  <c r="L401" i="13"/>
  <c r="P394" i="13"/>
  <c r="N394" i="13"/>
  <c r="L394" i="13"/>
  <c r="P387" i="13"/>
  <c r="N387" i="13"/>
  <c r="L387" i="13"/>
  <c r="P380" i="13"/>
  <c r="N380" i="13"/>
  <c r="L380" i="13"/>
  <c r="P373" i="13"/>
  <c r="N373" i="13"/>
  <c r="L373" i="13"/>
  <c r="P366" i="13"/>
  <c r="N366" i="13"/>
  <c r="L366" i="13"/>
  <c r="P359" i="13"/>
  <c r="N359" i="13"/>
  <c r="L359" i="13"/>
  <c r="P352" i="13"/>
  <c r="N352" i="13"/>
  <c r="L352" i="13"/>
  <c r="P345" i="13"/>
  <c r="N345" i="13"/>
  <c r="L345" i="13"/>
  <c r="P338" i="13"/>
  <c r="N338" i="13"/>
  <c r="L338" i="13"/>
  <c r="P330" i="13"/>
  <c r="N330" i="13"/>
  <c r="L330" i="13"/>
  <c r="P323" i="13"/>
  <c r="N323" i="13"/>
  <c r="L323" i="13"/>
  <c r="P316" i="13"/>
  <c r="N316" i="13"/>
  <c r="L316" i="13"/>
  <c r="P308" i="13"/>
  <c r="N308" i="13"/>
  <c r="L308" i="13"/>
  <c r="P301" i="13"/>
  <c r="N301" i="13"/>
  <c r="L301" i="13"/>
  <c r="P297" i="13"/>
  <c r="N297" i="13"/>
  <c r="N294" i="13" s="1"/>
  <c r="L297" i="13"/>
  <c r="P294" i="13"/>
  <c r="L294" i="13"/>
  <c r="P287" i="13"/>
  <c r="N287" i="13"/>
  <c r="L287" i="13"/>
  <c r="P280" i="13"/>
  <c r="N280" i="13"/>
  <c r="L280" i="13"/>
  <c r="P273" i="13"/>
  <c r="N273" i="13"/>
  <c r="L273" i="13"/>
  <c r="L272" i="13"/>
  <c r="L270" i="13"/>
  <c r="L269" i="13"/>
  <c r="P267" i="13"/>
  <c r="N267" i="13"/>
  <c r="L267" i="13"/>
  <c r="P266" i="13"/>
  <c r="N266" i="13"/>
  <c r="L266" i="13"/>
  <c r="P259" i="13"/>
  <c r="N259" i="13"/>
  <c r="L259" i="13"/>
  <c r="P252" i="13"/>
  <c r="N252" i="13"/>
  <c r="L252" i="13"/>
  <c r="P245" i="13"/>
  <c r="N245" i="13"/>
  <c r="L245" i="13"/>
  <c r="P231" i="13"/>
  <c r="N231" i="13"/>
  <c r="L231" i="13"/>
  <c r="P224" i="13"/>
  <c r="N224" i="13"/>
  <c r="L224" i="13"/>
  <c r="P217" i="13"/>
  <c r="N217" i="13"/>
  <c r="L217" i="13"/>
  <c r="P210" i="13"/>
  <c r="N210" i="13"/>
  <c r="L210" i="13"/>
  <c r="P203" i="13"/>
  <c r="N203" i="13"/>
  <c r="L203" i="13"/>
  <c r="P196" i="13"/>
  <c r="N196" i="13"/>
  <c r="L196" i="13"/>
  <c r="P189" i="13"/>
  <c r="N189" i="13"/>
  <c r="L189" i="13"/>
  <c r="P182" i="13"/>
  <c r="N182" i="13"/>
  <c r="L182" i="13"/>
  <c r="P175" i="13"/>
  <c r="N175" i="13"/>
  <c r="L175" i="13"/>
  <c r="P168" i="13"/>
  <c r="N168" i="13"/>
  <c r="L168" i="13"/>
  <c r="P161" i="13"/>
  <c r="N161" i="13"/>
  <c r="L161" i="13"/>
  <c r="P154" i="13"/>
  <c r="N154" i="13"/>
  <c r="L154" i="13"/>
  <c r="P147" i="13"/>
  <c r="N147" i="13"/>
  <c r="L147" i="13"/>
  <c r="P145" i="13"/>
  <c r="N145" i="13"/>
  <c r="L145" i="13"/>
  <c r="P144" i="13"/>
  <c r="N144" i="13"/>
  <c r="L144" i="13"/>
  <c r="P143" i="13"/>
  <c r="N143" i="13"/>
  <c r="L143" i="13"/>
  <c r="P142" i="13"/>
  <c r="N142" i="13"/>
  <c r="L142" i="13"/>
  <c r="P141" i="13"/>
  <c r="N141" i="13"/>
  <c r="L141" i="13"/>
  <c r="P140" i="13"/>
  <c r="P139" i="13" s="1"/>
  <c r="N140" i="13"/>
  <c r="N139" i="13" s="1"/>
  <c r="L140" i="13"/>
  <c r="L139" i="13" s="1"/>
  <c r="P132" i="13"/>
  <c r="N132" i="13"/>
  <c r="L132" i="13"/>
  <c r="P125" i="13"/>
  <c r="N125" i="13"/>
  <c r="L125" i="13"/>
  <c r="P111" i="13"/>
  <c r="N111" i="13"/>
  <c r="L111" i="13"/>
  <c r="P107" i="13"/>
  <c r="N107" i="13"/>
  <c r="N100" i="13" s="1"/>
  <c r="L107" i="13"/>
  <c r="P105" i="13"/>
  <c r="P98" i="13" s="1"/>
  <c r="N105" i="13"/>
  <c r="L105" i="13"/>
  <c r="L104" i="13"/>
  <c r="P100" i="13"/>
  <c r="L100" i="13"/>
  <c r="N98" i="13"/>
  <c r="L98" i="13"/>
  <c r="L97" i="13"/>
  <c r="P90" i="13"/>
  <c r="N90" i="13"/>
  <c r="L90" i="13"/>
  <c r="P83" i="13"/>
  <c r="N83" i="13"/>
  <c r="L83" i="13"/>
  <c r="P76" i="13"/>
  <c r="N76" i="13"/>
  <c r="L76" i="13"/>
  <c r="P67" i="13"/>
  <c r="N67" i="13"/>
  <c r="L67" i="13"/>
  <c r="P60" i="13"/>
  <c r="N60" i="13"/>
  <c r="L60" i="13"/>
  <c r="P58" i="13"/>
  <c r="N58" i="13"/>
  <c r="L58" i="13"/>
  <c r="P54" i="13"/>
  <c r="N54" i="13"/>
  <c r="L54" i="13"/>
  <c r="P48" i="13"/>
  <c r="N48" i="13"/>
  <c r="L48" i="13"/>
  <c r="P40" i="13"/>
  <c r="N40" i="13"/>
  <c r="L40" i="13"/>
  <c r="P30" i="13"/>
  <c r="N30" i="13"/>
  <c r="L30" i="13"/>
  <c r="P22" i="13"/>
  <c r="N22" i="13"/>
  <c r="L22" i="13"/>
  <c r="P21" i="13"/>
  <c r="N21" i="13"/>
  <c r="L21" i="13"/>
  <c r="P20" i="13"/>
  <c r="N20" i="13"/>
  <c r="L20" i="13"/>
  <c r="B15" i="13"/>
  <c r="L175" i="10" l="1"/>
  <c r="L161" i="10" s="1"/>
  <c r="L133" i="10"/>
  <c r="N175" i="10"/>
  <c r="N133" i="10"/>
  <c r="M175" i="10"/>
  <c r="M161" i="10" s="1"/>
  <c r="M133" i="10"/>
  <c r="N297" i="14"/>
  <c r="M238" i="14"/>
  <c r="M260" i="14"/>
  <c r="M290" i="14"/>
  <c r="N282" i="14"/>
  <c r="N275" i="14"/>
  <c r="M275" i="14"/>
  <c r="N268" i="14"/>
  <c r="L260" i="14"/>
  <c r="L282" i="14"/>
  <c r="N40" i="10"/>
  <c r="N37" i="10"/>
  <c r="M268" i="14"/>
  <c r="L275" i="14"/>
  <c r="L290" i="14"/>
  <c r="L238" i="14"/>
  <c r="M231" i="14"/>
  <c r="M282" i="14"/>
  <c r="N260" i="14"/>
  <c r="N245" i="14"/>
  <c r="N290" i="14"/>
  <c r="N238" i="14"/>
  <c r="N231" i="14"/>
  <c r="L231" i="14"/>
  <c r="L297" i="14"/>
  <c r="M245" i="14"/>
  <c r="L245" i="14"/>
  <c r="N253" i="14"/>
  <c r="L177" i="10"/>
  <c r="L163" i="10" s="1"/>
  <c r="L135" i="10"/>
  <c r="N177" i="10"/>
  <c r="N135" i="10"/>
  <c r="L40" i="10"/>
  <c r="L16" i="10"/>
  <c r="M40" i="10"/>
  <c r="M16" i="10"/>
  <c r="M177" i="10"/>
  <c r="M163" i="10" s="1"/>
  <c r="M135" i="10"/>
  <c r="N39" i="10"/>
  <c r="N16" i="10"/>
  <c r="L144" i="16"/>
  <c r="N178" i="10"/>
  <c r="L38" i="15"/>
  <c r="N368" i="14"/>
  <c r="N347" i="14"/>
  <c r="M436" i="14"/>
  <c r="L436" i="14"/>
  <c r="L443" i="14"/>
  <c r="M450" i="14"/>
  <c r="L450" i="14"/>
  <c r="N665" i="14"/>
  <c r="N651" i="14" s="1"/>
  <c r="N613" i="14"/>
  <c r="L652" i="14"/>
  <c r="L665" i="14"/>
  <c r="L651" i="14" s="1"/>
  <c r="M652" i="14"/>
  <c r="M665" i="14"/>
  <c r="M651" i="14" s="1"/>
  <c r="L613" i="14"/>
  <c r="M613" i="14"/>
  <c r="L16" i="15"/>
  <c r="M38" i="15"/>
  <c r="N38" i="15"/>
  <c r="N16" i="15"/>
  <c r="M16" i="15"/>
  <c r="M178" i="10"/>
  <c r="N132" i="10"/>
  <c r="N174" i="10"/>
  <c r="L178" i="10"/>
  <c r="M132" i="10"/>
  <c r="M174" i="10"/>
  <c r="M160" i="10" s="1"/>
  <c r="M158" i="10"/>
  <c r="L158" i="10"/>
  <c r="N131" i="10"/>
  <c r="N159" i="10"/>
  <c r="L306" i="10"/>
  <c r="L144" i="10"/>
  <c r="L129" i="10"/>
  <c r="N130" i="10"/>
  <c r="N144" i="10"/>
  <c r="N129" i="10"/>
  <c r="M130" i="10"/>
  <c r="M144" i="10"/>
  <c r="M129" i="10"/>
  <c r="L200" i="10"/>
  <c r="L130" i="10"/>
  <c r="L202" i="10"/>
  <c r="L132" i="10"/>
  <c r="N161" i="10"/>
  <c r="N163" i="10"/>
  <c r="L72" i="16"/>
  <c r="N79" i="16"/>
  <c r="N72" i="16"/>
  <c r="M79" i="16"/>
  <c r="N38" i="10"/>
  <c r="N59" i="10"/>
  <c r="L38" i="10"/>
  <c r="L59" i="10"/>
  <c r="M38" i="10"/>
  <c r="M59" i="10"/>
  <c r="N306" i="10"/>
  <c r="M72" i="16"/>
  <c r="M306" i="10"/>
  <c r="M595" i="14"/>
  <c r="N599" i="14"/>
  <c r="L596" i="14"/>
  <c r="M594" i="14"/>
  <c r="N594" i="14"/>
  <c r="M598" i="14"/>
  <c r="L599" i="14"/>
  <c r="M599" i="14"/>
  <c r="N593" i="14"/>
  <c r="N612" i="14"/>
  <c r="N598" i="14" s="1"/>
  <c r="L595" i="14"/>
  <c r="L594" i="14"/>
  <c r="N611" i="14"/>
  <c r="N597" i="14" s="1"/>
  <c r="N610" i="14"/>
  <c r="N596" i="14" s="1"/>
  <c r="M597" i="14"/>
  <c r="N609" i="14"/>
  <c r="N595" i="14" s="1"/>
  <c r="L607" i="14"/>
  <c r="L606" i="14" s="1"/>
  <c r="M596" i="14"/>
  <c r="L598" i="14"/>
  <c r="M607" i="14"/>
  <c r="M593" i="14" s="1"/>
  <c r="L597" i="14"/>
  <c r="N160" i="10"/>
  <c r="N202" i="10"/>
  <c r="M200" i="10"/>
  <c r="M202" i="10"/>
  <c r="N200" i="10"/>
  <c r="N158" i="10"/>
  <c r="N542" i="14"/>
  <c r="L542" i="14"/>
  <c r="M563" i="14"/>
  <c r="L563" i="14"/>
  <c r="M542" i="14"/>
  <c r="L350" i="14"/>
  <c r="M461" i="14"/>
  <c r="L79" i="16"/>
  <c r="N563" i="14"/>
  <c r="N521" i="14"/>
  <c r="N421" i="14"/>
  <c r="M370" i="14"/>
  <c r="M373" i="14"/>
  <c r="M348" i="14"/>
  <c r="L521" i="14"/>
  <c r="L459" i="14"/>
  <c r="M521" i="14"/>
  <c r="M349" i="14"/>
  <c r="N370" i="14"/>
  <c r="L462" i="14"/>
  <c r="M346" i="14"/>
  <c r="M687" i="14"/>
  <c r="N346" i="14"/>
  <c r="L428" i="14"/>
  <c r="L461" i="14"/>
  <c r="M330" i="14"/>
  <c r="L348" i="14"/>
  <c r="N369" i="14"/>
  <c r="N428" i="14"/>
  <c r="N371" i="14"/>
  <c r="L72" i="14"/>
  <c r="L404" i="14" s="1"/>
  <c r="L399" i="14" s="1"/>
  <c r="N687" i="14"/>
  <c r="L346" i="14"/>
  <c r="N330" i="14"/>
  <c r="N350" i="14"/>
  <c r="N404" i="14"/>
  <c r="N399" i="14" s="1"/>
  <c r="N461" i="14"/>
  <c r="M462" i="14"/>
  <c r="N462" i="14"/>
  <c r="L687" i="14"/>
  <c r="L337" i="14"/>
  <c r="M347" i="14"/>
  <c r="M371" i="14"/>
  <c r="N652" i="14"/>
  <c r="M337" i="14"/>
  <c r="L421" i="14"/>
  <c r="M428" i="14"/>
  <c r="N337" i="14"/>
  <c r="L330" i="14"/>
  <c r="M421" i="14"/>
  <c r="N373" i="14"/>
  <c r="M404" i="14"/>
  <c r="M399" i="14" s="1"/>
  <c r="L253" i="14"/>
  <c r="L347" i="14"/>
  <c r="N349" i="14"/>
  <c r="L370" i="14"/>
  <c r="M253" i="14"/>
  <c r="L365" i="14"/>
  <c r="M350" i="14"/>
  <c r="M365" i="14"/>
  <c r="N365" i="14"/>
  <c r="L1341" i="13"/>
  <c r="P933" i="13"/>
  <c r="P1406" i="13"/>
  <c r="P1401" i="13" s="1"/>
  <c r="L1362" i="13"/>
  <c r="P1459" i="13"/>
  <c r="N1362" i="13"/>
  <c r="P1362" i="13"/>
  <c r="N97" i="13"/>
  <c r="P882" i="13"/>
  <c r="P97" i="13"/>
  <c r="N104" i="13"/>
  <c r="L1361" i="13"/>
  <c r="L1355" i="13" s="1"/>
  <c r="P104" i="13"/>
  <c r="P1343" i="13"/>
  <c r="P1341" i="13" s="1"/>
  <c r="N1346" i="13"/>
  <c r="N1341" i="13" s="1"/>
  <c r="N1361" i="13"/>
  <c r="N1355" i="13" s="1"/>
  <c r="L1344" i="13"/>
  <c r="P1346" i="13"/>
  <c r="P1361" i="13"/>
  <c r="P1355" i="13" s="1"/>
  <c r="L933" i="13"/>
  <c r="N1638" i="13"/>
  <c r="N1635" i="13" s="1"/>
  <c r="L1074" i="13"/>
  <c r="L171" i="10" l="1"/>
  <c r="N171" i="10"/>
  <c r="L359" i="14"/>
  <c r="L372" i="14"/>
  <c r="L366" i="14" s="1"/>
  <c r="N359" i="14"/>
  <c r="N372" i="14"/>
  <c r="N366" i="14" s="1"/>
  <c r="M359" i="14"/>
  <c r="M372" i="14"/>
  <c r="M366" i="14" s="1"/>
  <c r="M171" i="10"/>
  <c r="L592" i="14"/>
  <c r="L593" i="14"/>
  <c r="M606" i="14"/>
  <c r="M592" i="14" s="1"/>
  <c r="N606" i="14"/>
  <c r="N592" i="14" s="1"/>
  <c r="L457" i="14"/>
  <c r="M457" i="14"/>
  <c r="L345" i="14"/>
  <c r="M345" i="14"/>
  <c r="N345" i="14"/>
  <c r="N457" i="14"/>
  <c r="D58" i="11" l="1"/>
  <c r="C58" i="11"/>
  <c r="D27" i="11"/>
  <c r="C27" i="11"/>
  <c r="D24" i="11"/>
  <c r="C24" i="11"/>
  <c r="D7" i="11"/>
  <c r="C7" i="11"/>
  <c r="N164" i="10" l="1"/>
  <c r="N157" i="10" s="1"/>
  <c r="M164" i="10"/>
  <c r="M157" i="10" s="1"/>
  <c r="L164" i="10"/>
  <c r="L157" i="10" s="1"/>
  <c r="N136" i="10"/>
  <c r="M136" i="10"/>
  <c r="L136" i="10"/>
  <c r="N150" i="10"/>
  <c r="M150" i="10"/>
  <c r="L150" i="10"/>
  <c r="N143" i="10"/>
  <c r="M143" i="10"/>
  <c r="L143" i="10"/>
  <c r="N101" i="10"/>
  <c r="M101" i="10"/>
  <c r="L101" i="10"/>
  <c r="N80" i="10"/>
  <c r="M80" i="10"/>
  <c r="L80" i="10"/>
  <c r="N73" i="10"/>
  <c r="M73" i="10"/>
  <c r="L73" i="10"/>
  <c r="N58" i="10"/>
  <c r="M58" i="10"/>
  <c r="L58" i="10"/>
  <c r="N65" i="10"/>
  <c r="M65" i="10"/>
  <c r="N44" i="10"/>
  <c r="M44" i="10"/>
  <c r="L44" i="10"/>
  <c r="P1130" i="8"/>
  <c r="N1130" i="8"/>
  <c r="L1130" i="8"/>
  <c r="N199" i="10" l="1"/>
  <c r="L199" i="10"/>
  <c r="M199" i="10"/>
  <c r="P1722" i="8"/>
  <c r="M1912" i="8"/>
  <c r="O1912" i="8"/>
  <c r="Q1912" i="8"/>
  <c r="P2159" i="8"/>
  <c r="P2157" i="8"/>
  <c r="P1499" i="8" l="1"/>
  <c r="N1499" i="8"/>
  <c r="L1499" i="8"/>
  <c r="P404" i="8" l="1"/>
  <c r="N404" i="8"/>
  <c r="L404" i="8"/>
  <c r="P411" i="8"/>
  <c r="N411" i="8"/>
  <c r="L411" i="8"/>
  <c r="P111" i="8"/>
  <c r="N111" i="8"/>
  <c r="L111" i="8"/>
  <c r="P104" i="8"/>
  <c r="N104" i="8"/>
  <c r="L104" i="8"/>
  <c r="AA336" i="6"/>
  <c r="P2106" i="8"/>
  <c r="N2106" i="8"/>
  <c r="L2106" i="8"/>
  <c r="P1981" i="8"/>
  <c r="N1981" i="8"/>
  <c r="L1981" i="8"/>
  <c r="P1937" i="8"/>
  <c r="N1937" i="8"/>
  <c r="L1937" i="8"/>
  <c r="P1909" i="8"/>
  <c r="N1909" i="8"/>
  <c r="L1909" i="8"/>
  <c r="N1888" i="8"/>
  <c r="L1888" i="8"/>
  <c r="P1867" i="8"/>
  <c r="N1867" i="8"/>
  <c r="L1867" i="8"/>
  <c r="P1846" i="8"/>
  <c r="N1846" i="8"/>
  <c r="L1846" i="8"/>
  <c r="P1713" i="8"/>
  <c r="N1713" i="8"/>
  <c r="L1713" i="8"/>
  <c r="P1706" i="8"/>
  <c r="N1706" i="8"/>
  <c r="L1706" i="8"/>
  <c r="P1678" i="8"/>
  <c r="N1678" i="8"/>
  <c r="L1678" i="8"/>
  <c r="P1671" i="8"/>
  <c r="N1671" i="8"/>
  <c r="L1671" i="8"/>
  <c r="P1648" i="8"/>
  <c r="N1648" i="8"/>
  <c r="L1648" i="8"/>
  <c r="P1547" i="8"/>
  <c r="N1547" i="8"/>
  <c r="L1547" i="8"/>
  <c r="P1540" i="8"/>
  <c r="N1540" i="8"/>
  <c r="L1540" i="8"/>
  <c r="P1533" i="8"/>
  <c r="N1533" i="8"/>
  <c r="L1533" i="8"/>
  <c r="P1495" i="8"/>
  <c r="N1495" i="8"/>
  <c r="L1495" i="8"/>
  <c r="P1488" i="8"/>
  <c r="N1488" i="8"/>
  <c r="L1488" i="8"/>
  <c r="P1481" i="8"/>
  <c r="N1481" i="8"/>
  <c r="L1481" i="8"/>
  <c r="P1474" i="8"/>
  <c r="N1474" i="8"/>
  <c r="L1474" i="8"/>
  <c r="P1467" i="8"/>
  <c r="N1467" i="8"/>
  <c r="L1467" i="8"/>
  <c r="P1460" i="8"/>
  <c r="N1460" i="8"/>
  <c r="L1460" i="8"/>
  <c r="P1452" i="8"/>
  <c r="N1452" i="8"/>
  <c r="L1452" i="8"/>
  <c r="P1445" i="8"/>
  <c r="N1445" i="8"/>
  <c r="L1445" i="8"/>
  <c r="P1365" i="8"/>
  <c r="N1365" i="8"/>
  <c r="L1365" i="8"/>
  <c r="P1344" i="8"/>
  <c r="N1344" i="8"/>
  <c r="L1344" i="8"/>
  <c r="P1323" i="8"/>
  <c r="N1323" i="8"/>
  <c r="L1323" i="8"/>
  <c r="P1294" i="8"/>
  <c r="N1294" i="8"/>
  <c r="L1294" i="8"/>
  <c r="P1287" i="8"/>
  <c r="N1287" i="8"/>
  <c r="L1287" i="8"/>
  <c r="P1280" i="8"/>
  <c r="N1280" i="8"/>
  <c r="L1280" i="8"/>
  <c r="P1273" i="8"/>
  <c r="N1273" i="8"/>
  <c r="L1273" i="8"/>
  <c r="P1266" i="8"/>
  <c r="N1266" i="8"/>
  <c r="L1266" i="8"/>
  <c r="P1258" i="8"/>
  <c r="N1258" i="8"/>
  <c r="L1258" i="8"/>
  <c r="P1251" i="8"/>
  <c r="N1251" i="8"/>
  <c r="L1251" i="8"/>
  <c r="P1244" i="8"/>
  <c r="N1244" i="8"/>
  <c r="L1244" i="8"/>
  <c r="P1237" i="8"/>
  <c r="N1237" i="8"/>
  <c r="L1237" i="8"/>
  <c r="P1230" i="8"/>
  <c r="P1135" i="8"/>
  <c r="N1135" i="8"/>
  <c r="L1135" i="8"/>
  <c r="P1128" i="8"/>
  <c r="N1128" i="8"/>
  <c r="L1128" i="8"/>
  <c r="P1121" i="8"/>
  <c r="N1121" i="8"/>
  <c r="L1121" i="8"/>
  <c r="P1041" i="8"/>
  <c r="N1041" i="8"/>
  <c r="L1041" i="8"/>
  <c r="P1034" i="8"/>
  <c r="N1034" i="8"/>
  <c r="L1034" i="8"/>
  <c r="P910" i="8"/>
  <c r="N910" i="8"/>
  <c r="L910" i="8"/>
  <c r="P868" i="8"/>
  <c r="N868" i="8"/>
  <c r="L868" i="8"/>
  <c r="P847" i="8"/>
  <c r="N847" i="8"/>
  <c r="L847" i="8"/>
  <c r="P495" i="8"/>
  <c r="N495" i="8"/>
  <c r="L495" i="8" a="1"/>
  <c r="L495" i="8" s="1"/>
  <c r="P474" i="8"/>
  <c r="N474" i="8"/>
  <c r="L474" i="8"/>
  <c r="L363" i="8"/>
  <c r="L360" i="8" s="1"/>
  <c r="N363" i="8"/>
  <c r="N360" i="8" s="1"/>
  <c r="P363" i="8"/>
  <c r="P360" i="8" s="1"/>
  <c r="P332" i="8"/>
  <c r="N332" i="8"/>
  <c r="L332" i="8"/>
  <c r="P74" i="8"/>
  <c r="N74" i="8"/>
  <c r="L74" i="8"/>
  <c r="P67" i="8"/>
  <c r="N67" i="8"/>
  <c r="L67" i="8"/>
  <c r="P1052" i="8"/>
  <c r="P1049" i="8" s="1"/>
  <c r="N1052" i="8"/>
  <c r="N1049" i="8" s="1"/>
  <c r="L1052" i="8"/>
  <c r="L1049" i="8" s="1"/>
  <c r="P1059" i="8"/>
  <c r="P1056" i="8" s="1"/>
  <c r="N1059" i="8"/>
  <c r="N1056" i="8" s="1"/>
  <c r="L1059" i="8"/>
  <c r="L1056" i="8" s="1"/>
  <c r="P948" i="8"/>
  <c r="P950" i="8"/>
  <c r="P952" i="8"/>
  <c r="P953" i="8"/>
  <c r="N948" i="8"/>
  <c r="N950" i="8"/>
  <c r="N952" i="8"/>
  <c r="N953" i="8"/>
  <c r="P951" i="8"/>
  <c r="N951" i="8"/>
  <c r="L948" i="8"/>
  <c r="L950" i="8"/>
  <c r="L951" i="8"/>
  <c r="L952" i="8"/>
  <c r="L953" i="8"/>
  <c r="P1724" i="8"/>
  <c r="P1726" i="8"/>
  <c r="N1726" i="8"/>
  <c r="L1726" i="8"/>
  <c r="N1231" i="8"/>
  <c r="N1230" i="8" s="1"/>
  <c r="L1231" i="8"/>
  <c r="L1230" i="8" s="1"/>
  <c r="L1945" i="8"/>
  <c r="P1930" i="8"/>
  <c r="N1930" i="8"/>
  <c r="L1930" i="8"/>
  <c r="P1923" i="8"/>
  <c r="N1923" i="8"/>
  <c r="L1923" i="8"/>
  <c r="P1916" i="8"/>
  <c r="N1916" i="8"/>
  <c r="L1916" i="8"/>
  <c r="N1902" i="8"/>
  <c r="L1902" i="8"/>
  <c r="N1895" i="8"/>
  <c r="L1895" i="8"/>
  <c r="P1881" i="8"/>
  <c r="N1881" i="8"/>
  <c r="L1881" i="8"/>
  <c r="P1874" i="8"/>
  <c r="N1874" i="8"/>
  <c r="L1874" i="8"/>
  <c r="P1860" i="8"/>
  <c r="N1860" i="8"/>
  <c r="L1860" i="8"/>
  <c r="P1853" i="8"/>
  <c r="N1853" i="8"/>
  <c r="L1853" i="8"/>
  <c r="P1818" i="8"/>
  <c r="N1818" i="8"/>
  <c r="L1818" i="8"/>
  <c r="P1811" i="8"/>
  <c r="N1811" i="8"/>
  <c r="L1811" i="8"/>
  <c r="P1790" i="8"/>
  <c r="N1790" i="8"/>
  <c r="L1790" i="8"/>
  <c r="P1783" i="8"/>
  <c r="N1783" i="8"/>
  <c r="L1783" i="8"/>
  <c r="P1769" i="8"/>
  <c r="N1769" i="8"/>
  <c r="L1769" i="8"/>
  <c r="P1762" i="8"/>
  <c r="N1762" i="8"/>
  <c r="L1762" i="8"/>
  <c r="P1755" i="8"/>
  <c r="N1755" i="8"/>
  <c r="L1755" i="8"/>
  <c r="P1748" i="8"/>
  <c r="N1748" i="8"/>
  <c r="L1748" i="8"/>
  <c r="P1741" i="8"/>
  <c r="N1741" i="8"/>
  <c r="L1741" i="8"/>
  <c r="P1634" i="8"/>
  <c r="N1634" i="8"/>
  <c r="L1634" i="8"/>
  <c r="N1526" i="8"/>
  <c r="L1526" i="8"/>
  <c r="N1519" i="8"/>
  <c r="L1519" i="8"/>
  <c r="P1511" i="8"/>
  <c r="N1511" i="8"/>
  <c r="L1511" i="8"/>
  <c r="P1504" i="8"/>
  <c r="N1504" i="8"/>
  <c r="L1504" i="8"/>
  <c r="P1436" i="8"/>
  <c r="N1436" i="8"/>
  <c r="L1436" i="8"/>
  <c r="P1429" i="8"/>
  <c r="N1429" i="8"/>
  <c r="L1429" i="8"/>
  <c r="P1422" i="8"/>
  <c r="N1422" i="8"/>
  <c r="L1422" i="8"/>
  <c r="P1415" i="8"/>
  <c r="N1415" i="8"/>
  <c r="L1415" i="8"/>
  <c r="P1408" i="8"/>
  <c r="N1408" i="8"/>
  <c r="L1408" i="8"/>
  <c r="P1401" i="8"/>
  <c r="N1401" i="8"/>
  <c r="L1401" i="8"/>
  <c r="P1394" i="8"/>
  <c r="N1394" i="8"/>
  <c r="L1394" i="8"/>
  <c r="P1387" i="8"/>
  <c r="N1387" i="8"/>
  <c r="L1387" i="8"/>
  <c r="P1379" i="8"/>
  <c r="N1379" i="8"/>
  <c r="L1379" i="8"/>
  <c r="P1372" i="8"/>
  <c r="N1372" i="8"/>
  <c r="L1372" i="8"/>
  <c r="P1358" i="8"/>
  <c r="N1358" i="8"/>
  <c r="L1358" i="8"/>
  <c r="P1351" i="8"/>
  <c r="N1351" i="8"/>
  <c r="L1351" i="8"/>
  <c r="P1337" i="8"/>
  <c r="N1337" i="8"/>
  <c r="L1337" i="8"/>
  <c r="P1330" i="8"/>
  <c r="N1330" i="8"/>
  <c r="L1330" i="8"/>
  <c r="P1316" i="8"/>
  <c r="N1316" i="8"/>
  <c r="L1316" i="8"/>
  <c r="P1309" i="8"/>
  <c r="N1309" i="8"/>
  <c r="L1309" i="8"/>
  <c r="P1302" i="8"/>
  <c r="N1302" i="8"/>
  <c r="L1302" i="8"/>
  <c r="P1222" i="8"/>
  <c r="N1222" i="8"/>
  <c r="L1222" i="8"/>
  <c r="P1215" i="8"/>
  <c r="N1215" i="8"/>
  <c r="L1215" i="8"/>
  <c r="P1208" i="8"/>
  <c r="N1208" i="8"/>
  <c r="L1208" i="8"/>
  <c r="P1201" i="8"/>
  <c r="N1201" i="8"/>
  <c r="L1201" i="8"/>
  <c r="P1194" i="8"/>
  <c r="N1194" i="8"/>
  <c r="L1194" i="8"/>
  <c r="P1187" i="8"/>
  <c r="N1187" i="8"/>
  <c r="L1187" i="8"/>
  <c r="P1180" i="8"/>
  <c r="N1180" i="8"/>
  <c r="L1180" i="8"/>
  <c r="P1172" i="8"/>
  <c r="N1172" i="8"/>
  <c r="L1172" i="8"/>
  <c r="P1165" i="8"/>
  <c r="N1165" i="8"/>
  <c r="L1165" i="8"/>
  <c r="P1157" i="8"/>
  <c r="N1157" i="8"/>
  <c r="L1157" i="8"/>
  <c r="P1150" i="8"/>
  <c r="N1150" i="8"/>
  <c r="L1150" i="8"/>
  <c r="P1143" i="8"/>
  <c r="N1143" i="8"/>
  <c r="L1143" i="8"/>
  <c r="P1114" i="8"/>
  <c r="N1114" i="8"/>
  <c r="L1114" i="8"/>
  <c r="P1107" i="8"/>
  <c r="N1107" i="8"/>
  <c r="L1107" i="8"/>
  <c r="P1100" i="8"/>
  <c r="N1100" i="8"/>
  <c r="L1100" i="8"/>
  <c r="P1093" i="8"/>
  <c r="N1093" i="8"/>
  <c r="L1093" i="8"/>
  <c r="P1085" i="8"/>
  <c r="N1085" i="8"/>
  <c r="L1085" i="8"/>
  <c r="P1078" i="8"/>
  <c r="N1078" i="8"/>
  <c r="L1078" i="8"/>
  <c r="P1071" i="8"/>
  <c r="N1071" i="8"/>
  <c r="L1071" i="8"/>
  <c r="P1064" i="8"/>
  <c r="N1064" i="8"/>
  <c r="L1064" i="8"/>
  <c r="P1026" i="8"/>
  <c r="N1026" i="8"/>
  <c r="L1026" i="8"/>
  <c r="P1019" i="8"/>
  <c r="N1019" i="8"/>
  <c r="L1019" i="8"/>
  <c r="P1011" i="8"/>
  <c r="N1011" i="8"/>
  <c r="L1011" i="8"/>
  <c r="P1004" i="8"/>
  <c r="N1004" i="8"/>
  <c r="L1004" i="8"/>
  <c r="P997" i="8"/>
  <c r="N997" i="8"/>
  <c r="L997" i="8"/>
  <c r="P990" i="8"/>
  <c r="N990" i="8"/>
  <c r="L990" i="8"/>
  <c r="P983" i="8"/>
  <c r="N983" i="8"/>
  <c r="L983" i="8"/>
  <c r="P975" i="8"/>
  <c r="N975" i="8"/>
  <c r="L975" i="8"/>
  <c r="P968" i="8"/>
  <c r="N968" i="8"/>
  <c r="L968" i="8"/>
  <c r="P961" i="8"/>
  <c r="N961" i="8"/>
  <c r="L961" i="8"/>
  <c r="P954" i="8"/>
  <c r="N954" i="8"/>
  <c r="L954" i="8"/>
  <c r="P938" i="8"/>
  <c r="N938" i="8"/>
  <c r="L938" i="8"/>
  <c r="P931" i="8"/>
  <c r="N931" i="8"/>
  <c r="L931" i="8"/>
  <c r="P924" i="8"/>
  <c r="N924" i="8"/>
  <c r="L924" i="8"/>
  <c r="P917" i="8"/>
  <c r="N917" i="8"/>
  <c r="L917" i="8"/>
  <c r="P903" i="8"/>
  <c r="N903" i="8"/>
  <c r="L903" i="8"/>
  <c r="P896" i="8"/>
  <c r="N896" i="8"/>
  <c r="L896" i="8"/>
  <c r="P889" i="8"/>
  <c r="N889" i="8"/>
  <c r="L889" i="8"/>
  <c r="P882" i="8"/>
  <c r="N882" i="8"/>
  <c r="L882" i="8"/>
  <c r="P875" i="8"/>
  <c r="N875" i="8"/>
  <c r="L875" i="8"/>
  <c r="P861" i="8"/>
  <c r="N861" i="8"/>
  <c r="L861" i="8"/>
  <c r="P854" i="8"/>
  <c r="N854" i="8"/>
  <c r="L854" i="8"/>
  <c r="P840" i="8"/>
  <c r="N840" i="8"/>
  <c r="L840" i="8"/>
  <c r="P833" i="8"/>
  <c r="N833" i="8"/>
  <c r="L833" i="8"/>
  <c r="P826" i="8"/>
  <c r="N826" i="8"/>
  <c r="L826" i="8"/>
  <c r="P819" i="8"/>
  <c r="N819" i="8"/>
  <c r="L819" i="8"/>
  <c r="P812" i="8"/>
  <c r="N812" i="8"/>
  <c r="L812" i="8"/>
  <c r="P805" i="8"/>
  <c r="N805" i="8"/>
  <c r="L805" i="8"/>
  <c r="P798" i="8"/>
  <c r="N798" i="8"/>
  <c r="L798" i="8"/>
  <c r="P791" i="8"/>
  <c r="N791" i="8"/>
  <c r="L791" i="8"/>
  <c r="P784" i="8"/>
  <c r="N784" i="8"/>
  <c r="L784" i="8"/>
  <c r="P777" i="8"/>
  <c r="N777" i="8"/>
  <c r="L777" i="8"/>
  <c r="P770" i="8"/>
  <c r="N770" i="8"/>
  <c r="L770" i="8"/>
  <c r="P762" i="8"/>
  <c r="N762" i="8"/>
  <c r="L762" i="8"/>
  <c r="P755" i="8"/>
  <c r="N755" i="8"/>
  <c r="L755" i="8"/>
  <c r="P748" i="8"/>
  <c r="N748" i="8"/>
  <c r="L748" i="8"/>
  <c r="P741" i="8"/>
  <c r="N741" i="8"/>
  <c r="L741" i="8"/>
  <c r="P734" i="8"/>
  <c r="N734" i="8"/>
  <c r="L734" i="8"/>
  <c r="P727" i="8"/>
  <c r="N727" i="8"/>
  <c r="L727" i="8"/>
  <c r="P720" i="8"/>
  <c r="N720" i="8"/>
  <c r="L720" i="8"/>
  <c r="P713" i="8"/>
  <c r="N713" i="8"/>
  <c r="L713" i="8"/>
  <c r="P706" i="8"/>
  <c r="N706" i="8"/>
  <c r="L706" i="8"/>
  <c r="P699" i="8"/>
  <c r="N699" i="8"/>
  <c r="L699" i="8"/>
  <c r="P692" i="8"/>
  <c r="N692" i="8"/>
  <c r="L692" i="8"/>
  <c r="P685" i="8"/>
  <c r="N685" i="8"/>
  <c r="L685" i="8"/>
  <c r="P678" i="8"/>
  <c r="N678" i="8"/>
  <c r="L678" i="8"/>
  <c r="P671" i="8"/>
  <c r="N671" i="8"/>
  <c r="L671" i="8"/>
  <c r="P664" i="8"/>
  <c r="N664" i="8"/>
  <c r="L664" i="8"/>
  <c r="P657" i="8"/>
  <c r="N657" i="8"/>
  <c r="L657" i="8"/>
  <c r="P650" i="8"/>
  <c r="N650" i="8"/>
  <c r="L650" i="8"/>
  <c r="P643" i="8"/>
  <c r="N643" i="8"/>
  <c r="L643" i="8"/>
  <c r="P636" i="8"/>
  <c r="N636" i="8"/>
  <c r="L636" i="8"/>
  <c r="P629" i="8"/>
  <c r="N629" i="8"/>
  <c r="L629" i="8"/>
  <c r="P622" i="8"/>
  <c r="N622" i="8"/>
  <c r="L622" i="8"/>
  <c r="P615" i="8"/>
  <c r="N615" i="8"/>
  <c r="L615" i="8"/>
  <c r="P608" i="8"/>
  <c r="N608" i="8"/>
  <c r="L608" i="8"/>
  <c r="P601" i="8"/>
  <c r="N601" i="8"/>
  <c r="L601" i="8"/>
  <c r="P594" i="8"/>
  <c r="N594" i="8"/>
  <c r="L594" i="8"/>
  <c r="P587" i="8"/>
  <c r="N587" i="8"/>
  <c r="L587" i="8"/>
  <c r="P580" i="8"/>
  <c r="N580" i="8"/>
  <c r="L580" i="8"/>
  <c r="P573" i="8"/>
  <c r="N573" i="8"/>
  <c r="L573" i="8"/>
  <c r="P566" i="8"/>
  <c r="N566" i="8"/>
  <c r="L566" i="8"/>
  <c r="P558" i="8"/>
  <c r="N558" i="8"/>
  <c r="L558" i="8"/>
  <c r="P551" i="8"/>
  <c r="N551" i="8"/>
  <c r="L551" i="8"/>
  <c r="P544" i="8"/>
  <c r="N544" i="8"/>
  <c r="L544" i="8"/>
  <c r="P537" i="8"/>
  <c r="N537" i="8"/>
  <c r="L537" i="8"/>
  <c r="P530" i="8"/>
  <c r="N530" i="8"/>
  <c r="L530" i="8"/>
  <c r="P523" i="8"/>
  <c r="N523" i="8"/>
  <c r="L523" i="8"/>
  <c r="P516" i="8"/>
  <c r="N516" i="8"/>
  <c r="L516" i="8"/>
  <c r="P509" i="8"/>
  <c r="N509" i="8"/>
  <c r="L509" i="8"/>
  <c r="P502" i="8"/>
  <c r="N502" i="8"/>
  <c r="L502" i="8"/>
  <c r="P488" i="8"/>
  <c r="N488" i="8"/>
  <c r="L488" i="8"/>
  <c r="P481" i="8"/>
  <c r="N481" i="8"/>
  <c r="L481" i="8"/>
  <c r="P467" i="8"/>
  <c r="N467" i="8"/>
  <c r="L467" i="8"/>
  <c r="P460" i="8"/>
  <c r="N460" i="8"/>
  <c r="L460" i="8"/>
  <c r="P453" i="8"/>
  <c r="N453" i="8"/>
  <c r="L453" i="8"/>
  <c r="P446" i="8"/>
  <c r="N446" i="8"/>
  <c r="L446" i="8"/>
  <c r="P439" i="8"/>
  <c r="N439" i="8"/>
  <c r="L439" i="8"/>
  <c r="P432" i="8"/>
  <c r="N432" i="8"/>
  <c r="L432" i="8"/>
  <c r="P425" i="8"/>
  <c r="N425" i="8"/>
  <c r="L425" i="8"/>
  <c r="P418" i="8"/>
  <c r="N418" i="8"/>
  <c r="L418" i="8"/>
  <c r="P396" i="8"/>
  <c r="N396" i="8"/>
  <c r="L396" i="8"/>
  <c r="P389" i="8"/>
  <c r="N389" i="8"/>
  <c r="L389" i="8"/>
  <c r="P382" i="8"/>
  <c r="N382" i="8"/>
  <c r="L382" i="8"/>
  <c r="P374" i="8"/>
  <c r="N374" i="8"/>
  <c r="L374" i="8"/>
  <c r="P367" i="8"/>
  <c r="N367" i="8"/>
  <c r="L367" i="8"/>
  <c r="P353" i="8"/>
  <c r="N353" i="8"/>
  <c r="L353" i="8"/>
  <c r="P346" i="8"/>
  <c r="N346" i="8"/>
  <c r="L346" i="8"/>
  <c r="P339" i="8"/>
  <c r="N339" i="8"/>
  <c r="L339" i="8"/>
  <c r="P304" i="8"/>
  <c r="N304" i="8"/>
  <c r="L304" i="8"/>
  <c r="P297" i="8"/>
  <c r="N297" i="8"/>
  <c r="L297" i="8"/>
  <c r="P290" i="8"/>
  <c r="N290" i="8"/>
  <c r="L290" i="8"/>
  <c r="P283" i="8"/>
  <c r="N283" i="8"/>
  <c r="L283" i="8"/>
  <c r="P276" i="8"/>
  <c r="N276" i="8"/>
  <c r="L276" i="8"/>
  <c r="P269" i="8"/>
  <c r="N269" i="8"/>
  <c r="L269" i="8"/>
  <c r="P262" i="8"/>
  <c r="N262" i="8"/>
  <c r="L262" i="8"/>
  <c r="P255" i="8"/>
  <c r="N255" i="8"/>
  <c r="L255" i="8"/>
  <c r="P248" i="8"/>
  <c r="N248" i="8"/>
  <c r="L248" i="8"/>
  <c r="P241" i="8"/>
  <c r="N241" i="8"/>
  <c r="L241" i="8"/>
  <c r="P234" i="8"/>
  <c r="N234" i="8"/>
  <c r="L234" i="8"/>
  <c r="P227" i="8"/>
  <c r="N227" i="8"/>
  <c r="L227" i="8"/>
  <c r="P220" i="8"/>
  <c r="N220" i="8"/>
  <c r="L220" i="8"/>
  <c r="P213" i="8"/>
  <c r="N213" i="8"/>
  <c r="L213" i="8"/>
  <c r="P205" i="8"/>
  <c r="N205" i="8"/>
  <c r="L205" i="8"/>
  <c r="P198" i="8"/>
  <c r="N198" i="8"/>
  <c r="L198" i="8"/>
  <c r="P191" i="8"/>
  <c r="N191" i="8"/>
  <c r="L191" i="8"/>
  <c r="P183" i="8"/>
  <c r="N183" i="8"/>
  <c r="L183" i="8"/>
  <c r="P176" i="8"/>
  <c r="N176" i="8"/>
  <c r="L176" i="8"/>
  <c r="P169" i="8"/>
  <c r="N169" i="8"/>
  <c r="L169" i="8"/>
  <c r="P162" i="8"/>
  <c r="N162" i="8"/>
  <c r="L162" i="8"/>
  <c r="P155" i="8"/>
  <c r="N155" i="8"/>
  <c r="L155" i="8"/>
  <c r="P148" i="8"/>
  <c r="N148" i="8"/>
  <c r="L148" i="8"/>
  <c r="P141" i="8"/>
  <c r="N141" i="8"/>
  <c r="L141" i="8"/>
  <c r="P134" i="8"/>
  <c r="N134" i="8"/>
  <c r="L134" i="8"/>
  <c r="P127" i="8"/>
  <c r="N127" i="8"/>
  <c r="L127" i="8"/>
  <c r="P120" i="8"/>
  <c r="N120" i="8"/>
  <c r="L120" i="8"/>
  <c r="P325" i="8"/>
  <c r="N325" i="8"/>
  <c r="L325" i="8"/>
  <c r="L318" i="8"/>
  <c r="P318" i="8"/>
  <c r="N318" i="8"/>
  <c r="P311" i="8"/>
  <c r="N311" i="8"/>
  <c r="L311" i="8"/>
  <c r="L947" i="8" l="1"/>
  <c r="P947" i="8"/>
  <c r="N947" i="8"/>
  <c r="L1609" i="8" l="1"/>
  <c r="L1607" i="8"/>
  <c r="P1609" i="8"/>
  <c r="P1608" i="8"/>
  <c r="P1607" i="8"/>
  <c r="N1607" i="8"/>
  <c r="N1608" i="8"/>
  <c r="N1609" i="8"/>
  <c r="P1572" i="8"/>
  <c r="L1573" i="8"/>
  <c r="N1573" i="8"/>
  <c r="P1573" i="8"/>
  <c r="L1574" i="8"/>
  <c r="N1574" i="8"/>
  <c r="P1574" i="8"/>
  <c r="L1579" i="8"/>
  <c r="N1579" i="8"/>
  <c r="P1579" i="8"/>
  <c r="L1580" i="8"/>
  <c r="N1580" i="8"/>
  <c r="P1580" i="8"/>
  <c r="L1581" i="8"/>
  <c r="N1581" i="8"/>
  <c r="P1581" i="8"/>
  <c r="W119" i="2"/>
  <c r="Y119" i="2"/>
  <c r="AA119" i="2"/>
  <c r="AA79" i="2"/>
  <c r="L1570" i="8" l="1"/>
  <c r="P1577" i="8"/>
  <c r="N1577" i="8"/>
  <c r="P1570" i="8"/>
  <c r="L1577" i="8"/>
  <c r="N1570" i="8"/>
  <c r="B74" i="8"/>
  <c r="B96" i="8"/>
  <c r="P98" i="8"/>
  <c r="N98" i="8"/>
  <c r="L98" i="8"/>
  <c r="P91" i="8"/>
  <c r="N91" i="8"/>
  <c r="L91" i="8"/>
  <c r="AS319" i="5"/>
  <c r="P1702" i="8"/>
  <c r="P1688" i="8"/>
  <c r="AO260" i="5"/>
  <c r="AQ260" i="5"/>
  <c r="AS260" i="5"/>
  <c r="AO261" i="5"/>
  <c r="AQ261" i="5"/>
  <c r="AS261" i="5"/>
  <c r="AO262" i="5"/>
  <c r="AQ262" i="5"/>
  <c r="AS262" i="5"/>
  <c r="AO263" i="5"/>
  <c r="AQ263" i="5"/>
  <c r="AS263" i="5"/>
  <c r="AO264" i="5"/>
  <c r="AQ264" i="5"/>
  <c r="AS264" i="5"/>
  <c r="W148" i="2"/>
  <c r="P1960" i="8"/>
  <c r="N1960" i="8"/>
  <c r="L1960" i="8"/>
  <c r="P1945" i="8"/>
  <c r="N1945" i="8"/>
  <c r="P1658" i="8"/>
  <c r="N1658" i="8"/>
  <c r="L1658" i="8"/>
  <c r="P1642" i="8"/>
  <c r="N1642" i="8"/>
  <c r="L1642" i="8"/>
  <c r="U347" i="3"/>
  <c r="S347" i="3"/>
  <c r="Q347" i="3"/>
  <c r="U344" i="3"/>
  <c r="S344" i="3"/>
  <c r="Q344" i="3"/>
  <c r="S336" i="3"/>
  <c r="Q336" i="3"/>
  <c r="U324" i="3"/>
  <c r="S324" i="3"/>
  <c r="Q324" i="3"/>
  <c r="U321" i="3"/>
  <c r="S321" i="3"/>
  <c r="Q321" i="3"/>
  <c r="U319" i="3"/>
  <c r="S319" i="3"/>
  <c r="Q319" i="3"/>
  <c r="U318" i="3"/>
  <c r="S318" i="3"/>
  <c r="Q318" i="3"/>
  <c r="U293" i="3"/>
  <c r="S293" i="3"/>
  <c r="Q293" i="3"/>
  <c r="U290" i="3"/>
  <c r="S290" i="3"/>
  <c r="Q290" i="3"/>
  <c r="U284" i="3"/>
  <c r="S284" i="3"/>
  <c r="Q284" i="3"/>
  <c r="S282" i="3"/>
  <c r="Q282" i="3"/>
  <c r="U281" i="3"/>
  <c r="U282" i="3" s="1"/>
  <c r="U279" i="3"/>
  <c r="S279" i="3"/>
  <c r="Q279" i="3"/>
  <c r="U275" i="3"/>
  <c r="S275" i="3"/>
  <c r="Q275" i="3"/>
  <c r="U272" i="3"/>
  <c r="S272" i="3"/>
  <c r="U269" i="3"/>
  <c r="S269" i="3"/>
  <c r="U250" i="3"/>
  <c r="S250" i="3"/>
  <c r="Q250" i="3"/>
  <c r="U245" i="3"/>
  <c r="S245" i="3"/>
  <c r="Q245" i="3"/>
  <c r="U242" i="3"/>
  <c r="S242" i="3"/>
  <c r="Q242" i="3"/>
  <c r="S241" i="3"/>
  <c r="U239" i="3"/>
  <c r="U236" i="3"/>
  <c r="S236" i="3"/>
  <c r="Q236" i="3"/>
  <c r="U235" i="3"/>
  <c r="S235" i="3"/>
  <c r="Q235" i="3"/>
  <c r="U229" i="3"/>
  <c r="S229" i="3"/>
  <c r="Q229" i="3"/>
  <c r="U209" i="3"/>
  <c r="S209" i="3"/>
  <c r="Q209" i="3"/>
  <c r="U205" i="3"/>
  <c r="S205" i="3"/>
  <c r="Q205" i="3"/>
  <c r="U164" i="3"/>
  <c r="S164" i="3"/>
  <c r="Q164" i="3"/>
  <c r="U161" i="3"/>
  <c r="S161" i="3"/>
  <c r="Q161" i="3"/>
  <c r="U148" i="3"/>
  <c r="S148" i="3"/>
  <c r="Q148" i="3"/>
  <c r="U129" i="3"/>
  <c r="S129" i="3"/>
  <c r="Q129" i="3"/>
  <c r="U124" i="3"/>
  <c r="S124" i="3"/>
  <c r="Q124" i="3"/>
  <c r="U113" i="3"/>
  <c r="S113" i="3"/>
  <c r="Q113" i="3"/>
  <c r="U108" i="3"/>
  <c r="S108" i="3"/>
  <c r="Q108" i="3"/>
  <c r="U104" i="3"/>
  <c r="S104" i="3"/>
  <c r="Q104" i="3"/>
  <c r="U101" i="3"/>
  <c r="S101" i="3"/>
  <c r="Q101" i="3"/>
  <c r="U100" i="3"/>
  <c r="S100" i="3"/>
  <c r="Q100" i="3"/>
  <c r="U95" i="3"/>
  <c r="S95" i="3"/>
  <c r="Q95" i="3"/>
  <c r="U89" i="3"/>
  <c r="S89" i="3"/>
  <c r="Q89" i="3"/>
  <c r="U83" i="3"/>
  <c r="S83" i="3"/>
  <c r="Q83" i="3"/>
  <c r="X347" i="4"/>
  <c r="V347" i="4"/>
  <c r="X344" i="4"/>
  <c r="V344" i="4"/>
  <c r="Z338" i="4"/>
  <c r="Z344" i="4" s="1"/>
  <c r="X336" i="4"/>
  <c r="V336" i="4"/>
  <c r="Z329" i="4"/>
  <c r="X329" i="4"/>
  <c r="V329" i="4"/>
  <c r="Z321" i="4"/>
  <c r="X321" i="4"/>
  <c r="V321" i="4"/>
  <c r="Z318" i="4"/>
  <c r="X318" i="4"/>
  <c r="V318" i="4"/>
  <c r="Z295" i="4"/>
  <c r="Z284" i="4"/>
  <c r="X284" i="4"/>
  <c r="V284" i="4"/>
  <c r="Z282" i="4"/>
  <c r="X282" i="4"/>
  <c r="V282" i="4"/>
  <c r="Z279" i="4"/>
  <c r="X279" i="4"/>
  <c r="V279" i="4"/>
  <c r="Z272" i="4"/>
  <c r="X272" i="4"/>
  <c r="V272" i="4"/>
  <c r="Z269" i="4"/>
  <c r="X269" i="4"/>
  <c r="V269" i="4"/>
  <c r="Z250" i="4"/>
  <c r="X250" i="4"/>
  <c r="V250" i="4"/>
  <c r="Z239" i="4"/>
  <c r="X239" i="4"/>
  <c r="V239" i="4"/>
  <c r="X236" i="4"/>
  <c r="V236" i="4"/>
  <c r="Z235" i="4"/>
  <c r="Z236" i="4" s="1"/>
  <c r="X235" i="4"/>
  <c r="V235" i="4"/>
  <c r="Z221" i="4"/>
  <c r="X221" i="4"/>
  <c r="V221" i="4"/>
  <c r="Z220" i="4"/>
  <c r="X220" i="4"/>
  <c r="V220" i="4"/>
  <c r="Z212" i="4"/>
  <c r="Z211" i="4"/>
  <c r="Z205" i="4"/>
  <c r="Z213" i="4" s="1"/>
  <c r="X205" i="4"/>
  <c r="V205" i="4"/>
  <c r="Z164" i="4"/>
  <c r="X164" i="4"/>
  <c r="V164" i="4"/>
  <c r="Z161" i="4"/>
  <c r="X161" i="4"/>
  <c r="V161" i="4"/>
  <c r="Z148" i="4"/>
  <c r="X148" i="4"/>
  <c r="V148" i="4"/>
  <c r="Z129" i="4"/>
  <c r="X129" i="4"/>
  <c r="V129" i="4"/>
  <c r="Z124" i="4"/>
  <c r="X124" i="4"/>
  <c r="V124" i="4"/>
  <c r="Z108" i="4"/>
  <c r="X108" i="4"/>
  <c r="V108" i="4"/>
  <c r="Z100" i="4"/>
  <c r="X100" i="4"/>
  <c r="V100" i="4"/>
  <c r="Z95" i="4"/>
  <c r="X95" i="4"/>
  <c r="V95" i="4"/>
  <c r="Z89" i="4"/>
  <c r="X89" i="4"/>
  <c r="V89" i="4"/>
  <c r="Z83" i="4"/>
  <c r="X83" i="4"/>
  <c r="V83" i="4"/>
  <c r="AE351" i="6"/>
  <c r="AC351" i="6"/>
  <c r="AA351" i="6"/>
  <c r="AE321" i="6"/>
  <c r="AC321" i="6"/>
  <c r="AA321" i="6"/>
  <c r="AE318" i="6"/>
  <c r="AC318" i="6"/>
  <c r="AA318" i="6"/>
  <c r="AE284" i="6"/>
  <c r="AC284" i="6"/>
  <c r="AA284" i="6"/>
  <c r="AE282" i="6"/>
  <c r="AC282" i="6"/>
  <c r="AA282" i="6"/>
  <c r="AE272" i="6"/>
  <c r="AC272" i="6"/>
  <c r="AA272" i="6"/>
  <c r="AE269" i="6"/>
  <c r="AC269" i="6"/>
  <c r="AA269" i="6"/>
  <c r="AE250" i="6"/>
  <c r="AC250" i="6"/>
  <c r="AA250" i="6"/>
  <c r="AE239" i="6"/>
  <c r="AC239" i="6"/>
  <c r="AA239" i="6"/>
  <c r="AE235" i="6"/>
  <c r="AC235" i="6"/>
  <c r="AA235" i="6"/>
  <c r="AE221" i="6"/>
  <c r="AC221" i="6"/>
  <c r="AA221" i="6"/>
  <c r="AE220" i="6"/>
  <c r="AC220" i="6"/>
  <c r="AA220" i="6"/>
  <c r="AE205" i="6"/>
  <c r="AC205" i="6"/>
  <c r="AA205" i="6"/>
  <c r="AE164" i="6"/>
  <c r="AC164" i="6"/>
  <c r="AA164" i="6"/>
  <c r="AE161" i="6"/>
  <c r="AC161" i="6"/>
  <c r="AA161" i="6"/>
  <c r="AE148" i="6"/>
  <c r="AC148" i="6"/>
  <c r="AA148" i="6"/>
  <c r="AE129" i="6"/>
  <c r="AC129" i="6"/>
  <c r="AA129" i="6"/>
  <c r="AE124" i="6"/>
  <c r="AC124" i="6"/>
  <c r="AA124" i="6"/>
  <c r="AE122" i="6"/>
  <c r="AC122" i="6"/>
  <c r="AA122" i="6"/>
  <c r="AE113" i="6"/>
  <c r="AC113" i="6"/>
  <c r="AA113" i="6"/>
  <c r="AE108" i="6"/>
  <c r="AC108" i="6"/>
  <c r="AA108" i="6"/>
  <c r="AE104" i="6"/>
  <c r="AC104" i="6"/>
  <c r="AA104" i="6"/>
  <c r="AE101" i="6"/>
  <c r="AC101" i="6"/>
  <c r="AA101" i="6"/>
  <c r="AE100" i="6"/>
  <c r="AC100" i="6"/>
  <c r="AA100" i="6"/>
  <c r="AC95" i="6"/>
  <c r="AA95" i="6"/>
  <c r="AE89" i="6"/>
  <c r="AC89" i="6"/>
  <c r="AA89" i="6"/>
  <c r="AE83" i="6"/>
  <c r="AC83" i="6"/>
  <c r="AA83" i="6"/>
  <c r="V455" i="1"/>
  <c r="T455" i="1"/>
  <c r="R455" i="1"/>
  <c r="V433" i="1"/>
  <c r="T433" i="1"/>
  <c r="R433" i="1"/>
  <c r="V430" i="1"/>
  <c r="T430" i="1"/>
  <c r="R430" i="1"/>
  <c r="V427" i="1"/>
  <c r="T427" i="1"/>
  <c r="R427" i="1"/>
  <c r="T422" i="1"/>
  <c r="R422" i="1"/>
  <c r="T418" i="1"/>
  <c r="R418" i="1"/>
  <c r="T415" i="1"/>
  <c r="R415" i="1"/>
  <c r="T412" i="1"/>
  <c r="R412" i="1"/>
  <c r="V403" i="1"/>
  <c r="T403" i="1"/>
  <c r="R403" i="1"/>
  <c r="V319" i="1"/>
  <c r="V308" i="1"/>
  <c r="V307" i="1"/>
  <c r="V306" i="1"/>
  <c r="V297" i="1"/>
  <c r="V296" i="1"/>
  <c r="V295" i="1"/>
  <c r="T295" i="1"/>
  <c r="R295" i="1"/>
  <c r="V294" i="1"/>
  <c r="T294" i="1"/>
  <c r="R294" i="1"/>
  <c r="V291" i="1"/>
  <c r="T291" i="1"/>
  <c r="R291" i="1"/>
  <c r="V290" i="1"/>
  <c r="V285" i="1"/>
  <c r="T285" i="1"/>
  <c r="R285" i="1"/>
  <c r="T283" i="1"/>
  <c r="R283" i="1"/>
  <c r="T280" i="1"/>
  <c r="R280" i="1"/>
  <c r="T273" i="1"/>
  <c r="R273" i="1"/>
  <c r="T270" i="1"/>
  <c r="R270" i="1"/>
  <c r="V265" i="1"/>
  <c r="V264" i="1"/>
  <c r="V263" i="1"/>
  <c r="V262" i="1"/>
  <c r="V261" i="1"/>
  <c r="V258" i="1"/>
  <c r="V257" i="1"/>
  <c r="V256" i="1"/>
  <c r="V255" i="1"/>
  <c r="V251" i="1"/>
  <c r="T251" i="1"/>
  <c r="R251" i="1"/>
  <c r="V240" i="1"/>
  <c r="T240" i="1"/>
  <c r="R240" i="1"/>
  <c r="R237" i="1"/>
  <c r="V236" i="1"/>
  <c r="T236" i="1"/>
  <c r="R236" i="1"/>
  <c r="V206" i="1"/>
  <c r="T206" i="1"/>
  <c r="R206" i="1"/>
  <c r="V190" i="1"/>
  <c r="T190" i="1"/>
  <c r="R190" i="1"/>
  <c r="T184" i="1"/>
  <c r="R184" i="1"/>
  <c r="V165" i="1"/>
  <c r="T165" i="1"/>
  <c r="R165" i="1"/>
  <c r="V162" i="1"/>
  <c r="T162" i="1"/>
  <c r="R162" i="1"/>
  <c r="V149" i="1"/>
  <c r="T149" i="1"/>
  <c r="R149" i="1"/>
  <c r="V130" i="1"/>
  <c r="T130" i="1"/>
  <c r="R130" i="1"/>
  <c r="T125" i="1"/>
  <c r="V114" i="1"/>
  <c r="T114" i="1"/>
  <c r="R114" i="1"/>
  <c r="V111" i="1"/>
  <c r="T111" i="1"/>
  <c r="R111" i="1"/>
  <c r="V105" i="1"/>
  <c r="T105" i="1"/>
  <c r="R105" i="1"/>
  <c r="R102" i="1"/>
  <c r="V101" i="1"/>
  <c r="U101" i="1"/>
  <c r="T101" i="1"/>
  <c r="R101" i="1"/>
  <c r="R96" i="1"/>
  <c r="V90" i="1"/>
  <c r="T90" i="1"/>
  <c r="R90" i="1"/>
  <c r="V84" i="1"/>
  <c r="T84" i="1"/>
  <c r="R84" i="1"/>
  <c r="T77" i="1"/>
  <c r="V75" i="1"/>
  <c r="T75" i="1"/>
  <c r="R75" i="1"/>
  <c r="V34" i="1"/>
  <c r="T34" i="1"/>
  <c r="R34" i="1"/>
  <c r="V33" i="1"/>
  <c r="T33" i="1"/>
  <c r="R33" i="1"/>
  <c r="AM415" i="2" l="1"/>
  <c r="AL415" i="2"/>
  <c r="AK415" i="2"/>
  <c r="AJ415" i="2"/>
  <c r="AI415" i="2"/>
  <c r="AH415" i="2"/>
  <c r="AG415" i="2"/>
  <c r="AF415" i="2"/>
  <c r="AE415" i="2"/>
  <c r="AD415" i="2"/>
  <c r="AC415" i="2"/>
  <c r="AB415" i="2"/>
  <c r="AM396" i="2"/>
  <c r="AL396" i="2"/>
  <c r="AK396" i="2"/>
  <c r="AJ396" i="2"/>
  <c r="AI396" i="2"/>
  <c r="AH396" i="2"/>
  <c r="AG396" i="2"/>
  <c r="AF396" i="2"/>
  <c r="AE396" i="2"/>
  <c r="AD396" i="2"/>
  <c r="AC396" i="2"/>
  <c r="AB396" i="2"/>
  <c r="AM393" i="2"/>
  <c r="AL393" i="2"/>
  <c r="AK393" i="2"/>
  <c r="AJ393" i="2"/>
  <c r="AI393" i="2"/>
  <c r="AH393" i="2"/>
  <c r="AG393" i="2"/>
  <c r="AF393" i="2"/>
  <c r="AE393" i="2"/>
  <c r="AD393" i="2"/>
  <c r="AC393" i="2"/>
  <c r="AB393" i="2"/>
  <c r="AM390" i="2"/>
  <c r="AL390" i="2"/>
  <c r="AK390" i="2"/>
  <c r="AJ390" i="2"/>
  <c r="AI390" i="2"/>
  <c r="AH390" i="2"/>
  <c r="AG390" i="2"/>
  <c r="AF390" i="2"/>
  <c r="AE390" i="2"/>
  <c r="AD390" i="2"/>
  <c r="AC390" i="2"/>
  <c r="AB390" i="2"/>
  <c r="AM385" i="2"/>
  <c r="AL385" i="2"/>
  <c r="AK385" i="2"/>
  <c r="AJ385" i="2"/>
  <c r="AI385" i="2"/>
  <c r="AH385" i="2"/>
  <c r="AG385" i="2"/>
  <c r="AF385" i="2"/>
  <c r="AE385" i="2"/>
  <c r="AD385" i="2"/>
  <c r="AC385" i="2"/>
  <c r="AB385" i="2"/>
  <c r="AM381" i="2"/>
  <c r="AL381" i="2"/>
  <c r="AK381" i="2"/>
  <c r="AJ381" i="2"/>
  <c r="AI381" i="2"/>
  <c r="AH381" i="2"/>
  <c r="AG381" i="2"/>
  <c r="AF381" i="2"/>
  <c r="AE381" i="2"/>
  <c r="AD381" i="2"/>
  <c r="AC381" i="2"/>
  <c r="AB381" i="2"/>
  <c r="AM378" i="2"/>
  <c r="AL378" i="2"/>
  <c r="AK378" i="2"/>
  <c r="AJ378" i="2"/>
  <c r="AI378" i="2"/>
  <c r="AH378" i="2"/>
  <c r="AG378" i="2"/>
  <c r="AF378" i="2"/>
  <c r="AE378" i="2"/>
  <c r="AD378" i="2"/>
  <c r="AC378" i="2"/>
  <c r="AB378" i="2"/>
  <c r="AM375" i="2"/>
  <c r="AL375" i="2"/>
  <c r="AK375" i="2"/>
  <c r="AJ375" i="2"/>
  <c r="AI375" i="2"/>
  <c r="AH375" i="2"/>
  <c r="AG375" i="2"/>
  <c r="AF375" i="2"/>
  <c r="AE375" i="2"/>
  <c r="AD375" i="2"/>
  <c r="AC375" i="2"/>
  <c r="AB375" i="2"/>
  <c r="AL367" i="2"/>
  <c r="AK367" i="2"/>
  <c r="AI367" i="2"/>
  <c r="AH367" i="2"/>
  <c r="AF367" i="2"/>
  <c r="AE367" i="2"/>
  <c r="AC367" i="2"/>
  <c r="AB367" i="2"/>
  <c r="AG332" i="2"/>
  <c r="AF332" i="2"/>
  <c r="AE332" i="2"/>
  <c r="AD332" i="2"/>
  <c r="AD325" i="2"/>
  <c r="AC325" i="2"/>
  <c r="AD323" i="2"/>
  <c r="AC323" i="2"/>
  <c r="AL319" i="2"/>
  <c r="AK319" i="2"/>
  <c r="AI319" i="2"/>
  <c r="AH319" i="2"/>
  <c r="AF319" i="2"/>
  <c r="AE319" i="2"/>
  <c r="AC319" i="2"/>
  <c r="AB319" i="2"/>
  <c r="AL316" i="2"/>
  <c r="AK316" i="2"/>
  <c r="AI316" i="2"/>
  <c r="AH316" i="2"/>
  <c r="AF316" i="2"/>
  <c r="AE316" i="2"/>
  <c r="AD310" i="2"/>
  <c r="AC310" i="2"/>
  <c r="AC316" i="2" s="1"/>
  <c r="AB310" i="2"/>
  <c r="AB316" i="2" s="1"/>
  <c r="AD300" i="2"/>
  <c r="AJ296" i="2"/>
  <c r="AJ294" i="2" s="1"/>
  <c r="AG296" i="2"/>
  <c r="AF296" i="2"/>
  <c r="AE296" i="2"/>
  <c r="AD296" i="2"/>
  <c r="AC296" i="2"/>
  <c r="AC294" i="2" s="1"/>
  <c r="AB296" i="2"/>
  <c r="AB294" i="2" s="1"/>
  <c r="AM291" i="2"/>
  <c r="AL291" i="2"/>
  <c r="AK291" i="2"/>
  <c r="AJ291" i="2"/>
  <c r="AI291" i="2"/>
  <c r="AH291" i="2"/>
  <c r="AG291" i="2"/>
  <c r="AF291" i="2"/>
  <c r="AE291" i="2"/>
  <c r="AD291" i="2"/>
  <c r="AC291" i="2"/>
  <c r="AB291" i="2"/>
  <c r="AJ274" i="2"/>
  <c r="AI274" i="2"/>
  <c r="AH274" i="2"/>
  <c r="AG274" i="2"/>
  <c r="AJ273" i="2"/>
  <c r="AI273" i="2"/>
  <c r="AH273" i="2"/>
  <c r="AJ272" i="2"/>
  <c r="AI272" i="2"/>
  <c r="AH272" i="2"/>
  <c r="AJ271" i="2"/>
  <c r="AI271" i="2"/>
  <c r="AH271" i="2"/>
  <c r="AM265" i="2"/>
  <c r="AL265" i="2"/>
  <c r="AK265" i="2"/>
  <c r="AJ265" i="2"/>
  <c r="AI265" i="2"/>
  <c r="AH265" i="2"/>
  <c r="AG265" i="2"/>
  <c r="AF265" i="2"/>
  <c r="AE265" i="2"/>
  <c r="AD265" i="2"/>
  <c r="AC265" i="2"/>
  <c r="AB265" i="2"/>
  <c r="AM263" i="2"/>
  <c r="AL263" i="2"/>
  <c r="AK263" i="2"/>
  <c r="AJ263" i="2"/>
  <c r="AI263" i="2"/>
  <c r="AH263" i="2"/>
  <c r="AG263" i="2"/>
  <c r="AF263" i="2"/>
  <c r="AE263" i="2"/>
  <c r="AD263" i="2"/>
  <c r="AC263" i="2"/>
  <c r="AB263" i="2"/>
  <c r="AM260" i="2"/>
  <c r="AL260" i="2"/>
  <c r="AK260" i="2"/>
  <c r="AJ260" i="2"/>
  <c r="AI260" i="2"/>
  <c r="AH260" i="2"/>
  <c r="AG260" i="2"/>
  <c r="AF260" i="2"/>
  <c r="AE260" i="2"/>
  <c r="AD260" i="2"/>
  <c r="AC260" i="2"/>
  <c r="AB260" i="2"/>
  <c r="AM253" i="2"/>
  <c r="AL253" i="2"/>
  <c r="AK253" i="2"/>
  <c r="AJ253" i="2"/>
  <c r="AI253" i="2"/>
  <c r="AH253" i="2"/>
  <c r="AG253" i="2"/>
  <c r="AF253" i="2"/>
  <c r="AE253" i="2"/>
  <c r="AD253" i="2"/>
  <c r="AC253" i="2"/>
  <c r="AB253" i="2"/>
  <c r="AM250" i="2"/>
  <c r="AL250" i="2"/>
  <c r="AK250" i="2"/>
  <c r="AJ250" i="2"/>
  <c r="AI250" i="2"/>
  <c r="AH250" i="2"/>
  <c r="AG250" i="2"/>
  <c r="AF250" i="2"/>
  <c r="AE250" i="2"/>
  <c r="AD250" i="2"/>
  <c r="AC250" i="2"/>
  <c r="AB250" i="2"/>
  <c r="AM233" i="2"/>
  <c r="AL233" i="2"/>
  <c r="AK233" i="2"/>
  <c r="AJ233" i="2"/>
  <c r="AI233" i="2"/>
  <c r="AH233" i="2"/>
  <c r="AG233" i="2"/>
  <c r="AF233" i="2"/>
  <c r="AE233" i="2"/>
  <c r="AD233" i="2"/>
  <c r="AC233" i="2"/>
  <c r="AB233" i="2"/>
  <c r="AM224" i="2"/>
  <c r="AL224" i="2"/>
  <c r="AK224" i="2"/>
  <c r="AJ224" i="2"/>
  <c r="AI224" i="2"/>
  <c r="AH224" i="2"/>
  <c r="AG224" i="2"/>
  <c r="AF224" i="2"/>
  <c r="AE224" i="2"/>
  <c r="AD224" i="2"/>
  <c r="AC224" i="2"/>
  <c r="AB224" i="2"/>
  <c r="AM196" i="2"/>
  <c r="AM296" i="2" s="1"/>
  <c r="AM294" i="2" s="1"/>
  <c r="AL196" i="2"/>
  <c r="AL296" i="2" s="1"/>
  <c r="AL294" i="2" s="1"/>
  <c r="AK196" i="2"/>
  <c r="AK296" i="2" s="1"/>
  <c r="AK294" i="2" s="1"/>
  <c r="AJ196" i="2"/>
  <c r="AI196" i="2"/>
  <c r="AI296" i="2" s="1"/>
  <c r="AI294" i="2" s="1"/>
  <c r="AH196" i="2"/>
  <c r="AH296" i="2" s="1"/>
  <c r="AH294" i="2" s="1"/>
  <c r="AG196" i="2"/>
  <c r="AF196" i="2"/>
  <c r="AE196" i="2"/>
  <c r="AD196" i="2"/>
  <c r="AD274" i="2" s="1"/>
  <c r="AC196" i="2"/>
  <c r="AB196" i="2"/>
  <c r="AM180" i="2"/>
  <c r="AL180" i="2"/>
  <c r="AK180" i="2"/>
  <c r="AJ180" i="2"/>
  <c r="AI180" i="2"/>
  <c r="AH180" i="2"/>
  <c r="AG180" i="2"/>
  <c r="AF180" i="2"/>
  <c r="AE180" i="2"/>
  <c r="AD180" i="2"/>
  <c r="AC180" i="2"/>
  <c r="AB180" i="2"/>
  <c r="AM174" i="2"/>
  <c r="AL174" i="2"/>
  <c r="AK174" i="2"/>
  <c r="AJ174" i="2"/>
  <c r="AI174" i="2"/>
  <c r="AH174" i="2"/>
  <c r="AG174" i="2"/>
  <c r="AF174" i="2"/>
  <c r="AE174" i="2"/>
  <c r="AD174" i="2"/>
  <c r="AC174" i="2"/>
  <c r="AB174" i="2"/>
  <c r="AM155" i="2"/>
  <c r="AL155" i="2"/>
  <c r="AK155" i="2"/>
  <c r="AJ155" i="2"/>
  <c r="AI155" i="2"/>
  <c r="AH155" i="2"/>
  <c r="AG155" i="2"/>
  <c r="AF155" i="2"/>
  <c r="AE155" i="2"/>
  <c r="AD155" i="2"/>
  <c r="AC155" i="2"/>
  <c r="AB155" i="2"/>
  <c r="AM152" i="2"/>
  <c r="AL152" i="2"/>
  <c r="AK152" i="2"/>
  <c r="AJ152" i="2"/>
  <c r="AI152" i="2"/>
  <c r="AH152" i="2"/>
  <c r="AG152" i="2"/>
  <c r="AF152" i="2"/>
  <c r="AE152" i="2"/>
  <c r="AD152" i="2"/>
  <c r="AC152" i="2"/>
  <c r="AB152" i="2"/>
  <c r="AM148" i="2"/>
  <c r="AL148" i="2"/>
  <c r="AE148" i="2"/>
  <c r="AD148" i="2"/>
  <c r="AC148" i="2"/>
  <c r="AB148" i="2"/>
  <c r="AD144" i="2"/>
  <c r="AA144" i="2" s="1"/>
  <c r="AC144" i="2"/>
  <c r="Y144" i="2" s="1"/>
  <c r="AB144" i="2"/>
  <c r="AD143" i="2"/>
  <c r="AC143" i="2"/>
  <c r="AB143" i="2"/>
  <c r="AM141" i="2"/>
  <c r="AL141" i="2"/>
  <c r="AK141" i="2"/>
  <c r="AK148" i="2" s="1"/>
  <c r="AJ141" i="2"/>
  <c r="AJ148" i="2" s="1"/>
  <c r="AI141" i="2"/>
  <c r="AI148" i="2" s="1"/>
  <c r="AH141" i="2"/>
  <c r="AH148" i="2" s="1"/>
  <c r="AG141" i="2"/>
  <c r="AG148" i="2" s="1"/>
  <c r="AF141" i="2"/>
  <c r="AF148" i="2" s="1"/>
  <c r="AE141" i="2"/>
  <c r="AD141" i="2"/>
  <c r="AC141" i="2"/>
  <c r="AB141" i="2"/>
  <c r="AM123" i="2"/>
  <c r="AL123" i="2"/>
  <c r="AK123" i="2"/>
  <c r="AJ123" i="2"/>
  <c r="AI123" i="2"/>
  <c r="AH123" i="2"/>
  <c r="AG123" i="2"/>
  <c r="AF123" i="2"/>
  <c r="AE123" i="2"/>
  <c r="AC123" i="2"/>
  <c r="AB123" i="2"/>
  <c r="AM118" i="2"/>
  <c r="AL118" i="2"/>
  <c r="AK118" i="2"/>
  <c r="AJ118" i="2"/>
  <c r="AI118" i="2"/>
  <c r="AH118" i="2"/>
  <c r="AG118" i="2"/>
  <c r="AA118" i="2" s="1"/>
  <c r="AF118" i="2"/>
  <c r="Y118" i="2" s="1"/>
  <c r="AE118" i="2"/>
  <c r="W118" i="2" s="1"/>
  <c r="AD118" i="2"/>
  <c r="AC118" i="2"/>
  <c r="AB118" i="2"/>
  <c r="AM108" i="2"/>
  <c r="AL108" i="2"/>
  <c r="AK108" i="2"/>
  <c r="AJ108" i="2"/>
  <c r="AI108" i="2"/>
  <c r="AH108" i="2"/>
  <c r="AG108" i="2"/>
  <c r="AF108" i="2"/>
  <c r="AE108" i="2"/>
  <c r="AD108" i="2"/>
  <c r="AC108" i="2"/>
  <c r="AB108" i="2"/>
  <c r="AM103" i="2"/>
  <c r="AL103" i="2"/>
  <c r="AK103" i="2"/>
  <c r="AI103" i="2"/>
  <c r="AH103" i="2"/>
  <c r="AG103" i="2"/>
  <c r="AF103" i="2"/>
  <c r="AE103" i="2"/>
  <c r="AC103" i="2"/>
  <c r="AB103" i="2"/>
  <c r="AM99" i="2"/>
  <c r="AL99" i="2"/>
  <c r="AK99" i="2"/>
  <c r="AJ99" i="2"/>
  <c r="AI99" i="2"/>
  <c r="AH99" i="2"/>
  <c r="AG99" i="2"/>
  <c r="AF99" i="2"/>
  <c r="AE99" i="2"/>
  <c r="AD99" i="2"/>
  <c r="AC99" i="2"/>
  <c r="AB99" i="2"/>
  <c r="AJ98" i="2"/>
  <c r="AD98" i="2"/>
  <c r="AD96" i="2" s="1"/>
  <c r="AM96" i="2"/>
  <c r="AL96" i="2"/>
  <c r="AK96" i="2"/>
  <c r="AJ96" i="2"/>
  <c r="AI96" i="2"/>
  <c r="AH96" i="2"/>
  <c r="AG96" i="2"/>
  <c r="AF96" i="2"/>
  <c r="AE96" i="2"/>
  <c r="AC96" i="2"/>
  <c r="AB96" i="2"/>
  <c r="AM95" i="2"/>
  <c r="AL95" i="2"/>
  <c r="AK95" i="2"/>
  <c r="AJ95" i="2"/>
  <c r="AA95" i="2" s="1"/>
  <c r="AI95" i="2"/>
  <c r="AH95" i="2"/>
  <c r="AF95" i="2"/>
  <c r="AE95" i="2"/>
  <c r="AD95" i="2"/>
  <c r="AC95" i="2"/>
  <c r="Y95" i="2" s="1"/>
  <c r="AB95" i="2"/>
  <c r="AM90" i="2"/>
  <c r="AL90" i="2"/>
  <c r="AK90" i="2"/>
  <c r="AJ90" i="2"/>
  <c r="AJ104" i="2" s="1"/>
  <c r="AJ103" i="2" s="1"/>
  <c r="AI90" i="2"/>
  <c r="Y90" i="2" s="1"/>
  <c r="AH90" i="2"/>
  <c r="AG90" i="2"/>
  <c r="AF90" i="2"/>
  <c r="AE90" i="2"/>
  <c r="AD90" i="2"/>
  <c r="AD104" i="2" s="1"/>
  <c r="AD103" i="2" s="1"/>
  <c r="AC90" i="2"/>
  <c r="AB90" i="2"/>
  <c r="AD85" i="2"/>
  <c r="AC85" i="2"/>
  <c r="AB85" i="2"/>
  <c r="AD81" i="2"/>
  <c r="AM80" i="2"/>
  <c r="AL80" i="2"/>
  <c r="AK80" i="2"/>
  <c r="AI80" i="2"/>
  <c r="AH80" i="2"/>
  <c r="AD80" i="2"/>
  <c r="AC80" i="2"/>
  <c r="AB80" i="2"/>
  <c r="AG79" i="2"/>
  <c r="AF79" i="2"/>
  <c r="AE79" i="2"/>
  <c r="AE77" i="2" s="1"/>
  <c r="AE81" i="2" s="1"/>
  <c r="AJ77" i="2"/>
  <c r="AJ81" i="2" s="1"/>
  <c r="AJ80" i="2" s="1"/>
  <c r="AG77" i="2"/>
  <c r="AG81" i="2" s="1"/>
  <c r="AF77" i="2"/>
  <c r="AF81" i="2" s="1"/>
  <c r="AD77" i="2"/>
  <c r="AG74" i="2"/>
  <c r="AF74" i="2"/>
  <c r="AE74" i="2"/>
  <c r="AG72" i="2"/>
  <c r="AF72" i="2"/>
  <c r="AE72" i="2"/>
  <c r="AG71" i="2"/>
  <c r="AF71" i="2"/>
  <c r="AE71" i="2"/>
  <c r="W95" i="2"/>
  <c r="W144" i="2"/>
  <c r="AA416" i="2"/>
  <c r="Y143" i="2"/>
  <c r="W90" i="2"/>
  <c r="W66" i="2"/>
  <c r="Y66" i="2"/>
  <c r="AA66" i="2"/>
  <c r="AA78" i="2"/>
  <c r="W80" i="2"/>
  <c r="Y80" i="2"/>
  <c r="W85" i="2"/>
  <c r="Y85" i="2"/>
  <c r="W96" i="2"/>
  <c r="Y96" i="2"/>
  <c r="AA96" i="2"/>
  <c r="W99" i="2"/>
  <c r="Y99" i="2"/>
  <c r="AA99" i="2"/>
  <c r="W105" i="2"/>
  <c r="W103" i="2" s="1"/>
  <c r="Y105" i="2"/>
  <c r="Y103" i="2" s="1"/>
  <c r="AA105" i="2"/>
  <c r="AA103" i="2" s="1"/>
  <c r="W106" i="2"/>
  <c r="Y106" i="2"/>
  <c r="AA106" i="2"/>
  <c r="W108" i="2"/>
  <c r="Y108" i="2"/>
  <c r="AA108" i="2"/>
  <c r="W123" i="2"/>
  <c r="Y123" i="2"/>
  <c r="AA123" i="2"/>
  <c r="W126" i="2"/>
  <c r="Y126" i="2"/>
  <c r="W143" i="2"/>
  <c r="AA143" i="2"/>
  <c r="W152" i="2"/>
  <c r="Y152" i="2"/>
  <c r="AA152" i="2"/>
  <c r="W155" i="2"/>
  <c r="Y155" i="2"/>
  <c r="AA155" i="2"/>
  <c r="W174" i="2"/>
  <c r="Y174" i="2"/>
  <c r="AA174" i="2"/>
  <c r="W180" i="2"/>
  <c r="Y180" i="2"/>
  <c r="AA180" i="2"/>
  <c r="W196" i="2"/>
  <c r="W296" i="2" s="1"/>
  <c r="W294" i="2" s="1"/>
  <c r="Y196" i="2"/>
  <c r="AA197" i="2"/>
  <c r="AA198" i="2"/>
  <c r="AA199" i="2"/>
  <c r="AA200" i="2"/>
  <c r="AA201" i="2"/>
  <c r="AA202" i="2"/>
  <c r="AA203" i="2"/>
  <c r="AA204" i="2"/>
  <c r="AA205" i="2"/>
  <c r="AA206" i="2"/>
  <c r="AA207" i="2"/>
  <c r="AA212" i="2"/>
  <c r="AA213" i="2"/>
  <c r="AA214" i="2"/>
  <c r="AA215" i="2"/>
  <c r="AA216" i="2"/>
  <c r="AA217" i="2"/>
  <c r="AA218" i="2"/>
  <c r="AA219" i="2"/>
  <c r="W224" i="2"/>
  <c r="Y224" i="2"/>
  <c r="AA225" i="2"/>
  <c r="AA226" i="2"/>
  <c r="AA227" i="2"/>
  <c r="AA228" i="2"/>
  <c r="AA229" i="2"/>
  <c r="AA230" i="2"/>
  <c r="AA231" i="2"/>
  <c r="W233" i="2"/>
  <c r="Y233" i="2"/>
  <c r="AA234" i="2"/>
  <c r="AA235" i="2"/>
  <c r="AA247" i="2"/>
  <c r="AA248" i="2"/>
  <c r="W250" i="2"/>
  <c r="Y250" i="2"/>
  <c r="AA251" i="2"/>
  <c r="AA252" i="2"/>
  <c r="W253" i="2"/>
  <c r="Y253" i="2"/>
  <c r="AA254" i="2"/>
  <c r="AA255" i="2"/>
  <c r="AA257" i="2"/>
  <c r="AA258" i="2"/>
  <c r="W260" i="2"/>
  <c r="Y260" i="2"/>
  <c r="AA261" i="2"/>
  <c r="AA262" i="2"/>
  <c r="AA263" i="2" s="1"/>
  <c r="W263" i="2"/>
  <c r="Y263" i="2"/>
  <c r="W265" i="2"/>
  <c r="Y265" i="2"/>
  <c r="AA266" i="2"/>
  <c r="AA267" i="2"/>
  <c r="AA277" i="2"/>
  <c r="AA278" i="2"/>
  <c r="AA279" i="2"/>
  <c r="AA280" i="2"/>
  <c r="AA284" i="2"/>
  <c r="AA285" i="2"/>
  <c r="AA286" i="2"/>
  <c r="AA287" i="2"/>
  <c r="W291" i="2"/>
  <c r="Y291" i="2"/>
  <c r="AA291" i="2"/>
  <c r="Y294" i="2"/>
  <c r="Y296" i="2"/>
  <c r="AA303" i="2"/>
  <c r="AA305" i="2"/>
  <c r="Y308" i="2"/>
  <c r="AA309" i="2"/>
  <c r="W316" i="2"/>
  <c r="Y316" i="2"/>
  <c r="W319" i="2"/>
  <c r="Y319" i="2"/>
  <c r="AA320" i="2"/>
  <c r="AA324" i="2"/>
  <c r="AA333" i="2"/>
  <c r="AA334" i="2"/>
  <c r="AA343" i="2"/>
  <c r="AA344" i="2"/>
  <c r="W367" i="2"/>
  <c r="Y367" i="2"/>
  <c r="W375" i="2"/>
  <c r="Y375" i="2"/>
  <c r="AA375" i="2"/>
  <c r="W378" i="2"/>
  <c r="Y378" i="2"/>
  <c r="AA378" i="2"/>
  <c r="W381" i="2"/>
  <c r="Y381" i="2"/>
  <c r="AA381" i="2"/>
  <c r="W385" i="2"/>
  <c r="Y385" i="2"/>
  <c r="AA385" i="2"/>
  <c r="W390" i="2"/>
  <c r="Y390" i="2"/>
  <c r="AA390" i="2"/>
  <c r="W393" i="2"/>
  <c r="Y393" i="2"/>
  <c r="AA393" i="2"/>
  <c r="W396" i="2"/>
  <c r="Y396" i="2"/>
  <c r="AA396" i="2"/>
  <c r="AA400" i="2"/>
  <c r="AA401" i="2"/>
  <c r="AA402" i="2"/>
  <c r="AA403" i="2"/>
  <c r="AA404" i="2"/>
  <c r="AA406" i="2"/>
  <c r="AA407" i="2"/>
  <c r="AA411" i="2"/>
  <c r="AA412" i="2"/>
  <c r="W415" i="2"/>
  <c r="Y415" i="2"/>
  <c r="AA417" i="2"/>
  <c r="AF85" i="2" l="1"/>
  <c r="AF80" i="2"/>
  <c r="AG80" i="2"/>
  <c r="AG85" i="2"/>
  <c r="AE80" i="2"/>
  <c r="AE85" i="2"/>
  <c r="AA77" i="2"/>
  <c r="AA90" i="2"/>
  <c r="AA224" i="2"/>
  <c r="AA332" i="2"/>
  <c r="AA253" i="2"/>
  <c r="AA233" i="2"/>
  <c r="AA415" i="2"/>
  <c r="AA142" i="2"/>
  <c r="AA141" i="2" s="1"/>
  <c r="AA148" i="2" s="1"/>
  <c r="AA265" i="2"/>
  <c r="AA250" i="2"/>
  <c r="AA260" i="2"/>
  <c r="AA196" i="2"/>
  <c r="AA296" i="2" s="1"/>
  <c r="AA294" i="2" s="1"/>
  <c r="Y142" i="2"/>
  <c r="Y141" i="2" s="1"/>
  <c r="Y148" i="2" s="1"/>
  <c r="W142" i="2"/>
  <c r="W141" i="2" s="1"/>
  <c r="AA325" i="2"/>
  <c r="AA81" i="2" l="1"/>
  <c r="AA80" i="2" l="1"/>
  <c r="AA85" i="2"/>
  <c r="P1725" i="8" l="1"/>
  <c r="N1725" i="8"/>
  <c r="L1725" i="8"/>
  <c r="N1704" i="8"/>
  <c r="L1704" i="8"/>
  <c r="P1690" i="8"/>
  <c r="N1690" i="8"/>
  <c r="L1690" i="8"/>
  <c r="P1662" i="8"/>
  <c r="N1662" i="8"/>
  <c r="L1662" i="8"/>
  <c r="P1590" i="8"/>
  <c r="P1585" i="8" s="1"/>
  <c r="N1590" i="8"/>
  <c r="P1597" i="8"/>
  <c r="P1592" i="8" s="1"/>
  <c r="N1597" i="8"/>
  <c r="P1604" i="8"/>
  <c r="P1599" i="8" s="1"/>
  <c r="N1604" i="8"/>
  <c r="P1618" i="8"/>
  <c r="N1618" i="8"/>
  <c r="P1625" i="8"/>
  <c r="N1625" i="8"/>
  <c r="L1625" i="8"/>
  <c r="L1618" i="8"/>
  <c r="L1604" i="8"/>
  <c r="L1597" i="8"/>
  <c r="L1590" i="8"/>
  <c r="P1567" i="8"/>
  <c r="N1567" i="8"/>
  <c r="P1560" i="8"/>
  <c r="N1560" i="8"/>
  <c r="L1567" i="8"/>
  <c r="L1560" i="8"/>
  <c r="N1724" i="8"/>
  <c r="L1724" i="8"/>
  <c r="N1703" i="8"/>
  <c r="L1703" i="8"/>
  <c r="N1689" i="8"/>
  <c r="L1689" i="8"/>
  <c r="P1624" i="8"/>
  <c r="N1624" i="8"/>
  <c r="L1624" i="8"/>
  <c r="P1617" i="8"/>
  <c r="N1617" i="8"/>
  <c r="L1617" i="8"/>
  <c r="P1566" i="8"/>
  <c r="N1566" i="8"/>
  <c r="P1559" i="8"/>
  <c r="N1559" i="8"/>
  <c r="L1566" i="8"/>
  <c r="L1559" i="8"/>
  <c r="N2159" i="8"/>
  <c r="L2159" i="8"/>
  <c r="P2059" i="8"/>
  <c r="N2059" i="8"/>
  <c r="P2052" i="8"/>
  <c r="N2052" i="8"/>
  <c r="L2059" i="8"/>
  <c r="L2052" i="8"/>
  <c r="Q1933" i="8"/>
  <c r="O1933" i="8"/>
  <c r="M1933" i="8"/>
  <c r="Q1891" i="8"/>
  <c r="O1891" i="8"/>
  <c r="M1891" i="8"/>
  <c r="Q1870" i="8"/>
  <c r="O1870" i="8"/>
  <c r="M1870" i="8"/>
  <c r="Q1849" i="8"/>
  <c r="O1849" i="8"/>
  <c r="M1849" i="8"/>
  <c r="L1804" i="8"/>
  <c r="P1797" i="8"/>
  <c r="P1776" i="8"/>
  <c r="N1702" i="8"/>
  <c r="P1695" i="8"/>
  <c r="P1692" i="8" s="1"/>
  <c r="N1695" i="8"/>
  <c r="N1692" i="8" s="1"/>
  <c r="N1688" i="8"/>
  <c r="L1702" i="8"/>
  <c r="L1695" i="8"/>
  <c r="L1692" i="8" s="1"/>
  <c r="L1688" i="8"/>
  <c r="P1667" i="8"/>
  <c r="P1664" i="8" s="1"/>
  <c r="N1667" i="8"/>
  <c r="N1664" i="8" s="1"/>
  <c r="P1660" i="8"/>
  <c r="N1660" i="8"/>
  <c r="L1667" i="8"/>
  <c r="L1664" i="8" s="1"/>
  <c r="L1660" i="8"/>
  <c r="L1657" i="8" s="1"/>
  <c r="P1644" i="8"/>
  <c r="N1644" i="8"/>
  <c r="L1644" i="8"/>
  <c r="L1602" i="8"/>
  <c r="L1595" i="8"/>
  <c r="L1588" i="8"/>
  <c r="P1565" i="8"/>
  <c r="N1565" i="8"/>
  <c r="P1558" i="8"/>
  <c r="N1558" i="8"/>
  <c r="L1565" i="8"/>
  <c r="L1558" i="8"/>
  <c r="L2051" i="8"/>
  <c r="N1974" i="8"/>
  <c r="P1902" i="8"/>
  <c r="P1895" i="8"/>
  <c r="P1888" i="8"/>
  <c r="N1839" i="8"/>
  <c r="N1797" i="8"/>
  <c r="L1797" i="8"/>
  <c r="L1776" i="8"/>
  <c r="N1734" i="8"/>
  <c r="P1701" i="8"/>
  <c r="P1699" i="8" s="1"/>
  <c r="N1701" i="8"/>
  <c r="L1701" i="8"/>
  <c r="P1687" i="8"/>
  <c r="N1687" i="8"/>
  <c r="L1687" i="8"/>
  <c r="P1643" i="8"/>
  <c r="N1643" i="8"/>
  <c r="P1629" i="8"/>
  <c r="P1627" i="8" s="1"/>
  <c r="N1629" i="8"/>
  <c r="N1627" i="8" s="1"/>
  <c r="L1643" i="8"/>
  <c r="L1629" i="8"/>
  <c r="L1627" i="8" s="1"/>
  <c r="L1622" i="8"/>
  <c r="L1615" i="8"/>
  <c r="N1601" i="8"/>
  <c r="N1594" i="8"/>
  <c r="N1587" i="8"/>
  <c r="N1585" i="8" s="1"/>
  <c r="P1564" i="8"/>
  <c r="P1557" i="8"/>
  <c r="P1528" i="8"/>
  <c r="P1526" i="8" s="1"/>
  <c r="P1521" i="8"/>
  <c r="P1519" i="8" s="1"/>
  <c r="P2142" i="8"/>
  <c r="N2142" i="8"/>
  <c r="L2142" i="8"/>
  <c r="P84" i="8"/>
  <c r="N84" i="8"/>
  <c r="L84" i="8"/>
  <c r="P1641" i="8" l="1"/>
  <c r="L1555" i="8"/>
  <c r="L1599" i="8"/>
  <c r="N1657" i="8"/>
  <c r="N1599" i="8"/>
  <c r="N1562" i="8"/>
  <c r="P1685" i="8"/>
  <c r="N1832" i="8"/>
  <c r="P1974" i="8"/>
  <c r="P1555" i="8"/>
  <c r="L1832" i="8"/>
  <c r="L1699" i="8"/>
  <c r="P1832" i="8"/>
  <c r="N1699" i="8"/>
  <c r="N1776" i="8"/>
  <c r="L1592" i="8"/>
  <c r="N1685" i="8"/>
  <c r="L1967" i="8"/>
  <c r="N1592" i="8"/>
  <c r="N1641" i="8"/>
  <c r="P1839" i="8"/>
  <c r="N1967" i="8"/>
  <c r="L1562" i="8"/>
  <c r="L1723" i="8"/>
  <c r="P1611" i="8"/>
  <c r="N1804" i="8"/>
  <c r="P1562" i="8"/>
  <c r="L1734" i="8"/>
  <c r="N1555" i="8"/>
  <c r="N1723" i="8"/>
  <c r="L1685" i="8"/>
  <c r="P1804" i="8"/>
  <c r="L1974" i="8"/>
  <c r="P1723" i="8"/>
  <c r="L1611" i="8"/>
  <c r="P1967" i="8"/>
  <c r="L1641" i="8"/>
  <c r="L1585" i="8"/>
  <c r="P1734" i="8"/>
  <c r="L1839" i="8"/>
  <c r="P1657" i="8"/>
  <c r="L1722" i="8"/>
  <c r="L1727" i="8"/>
  <c r="L1608" i="8"/>
  <c r="N1722" i="8"/>
  <c r="N1727" i="8"/>
  <c r="P1727" i="8"/>
  <c r="L1610" i="8"/>
  <c r="N1610" i="8"/>
  <c r="P1610" i="8"/>
  <c r="N1611" i="8"/>
  <c r="P2149" i="8"/>
  <c r="N2149" i="8"/>
  <c r="P2120" i="8"/>
  <c r="N2120" i="8"/>
  <c r="P2113" i="8"/>
  <c r="N2113" i="8"/>
  <c r="P2085" i="8"/>
  <c r="N2085" i="8"/>
  <c r="L2157" i="8"/>
  <c r="L2149" i="8"/>
  <c r="L2120" i="8"/>
  <c r="L2113" i="8"/>
  <c r="L2085" i="8"/>
  <c r="L2049" i="8"/>
  <c r="P1606" i="8" l="1"/>
  <c r="N2157" i="8"/>
  <c r="L1606" i="8"/>
  <c r="AS433" i="5"/>
  <c r="AS430" i="5"/>
  <c r="AS427" i="5"/>
  <c r="AS422" i="5"/>
  <c r="AS418" i="5"/>
  <c r="AS415" i="5"/>
  <c r="AS412" i="5"/>
  <c r="AS333" i="5"/>
  <c r="AS338" i="5" s="1"/>
  <c r="AS322" i="5"/>
  <c r="AS318" i="5"/>
  <c r="AS297" i="5"/>
  <c r="AS284" i="5"/>
  <c r="AS280" i="5"/>
  <c r="AS272" i="5"/>
  <c r="AS269" i="5"/>
  <c r="AS250" i="5"/>
  <c r="AS239" i="5"/>
  <c r="AS234" i="5"/>
  <c r="AS213" i="5"/>
  <c r="AS205" i="5"/>
  <c r="AQ455" i="5"/>
  <c r="AQ433" i="5"/>
  <c r="AQ430" i="5"/>
  <c r="AQ427" i="5"/>
  <c r="AQ422" i="5"/>
  <c r="AQ418" i="5"/>
  <c r="AQ415" i="5"/>
  <c r="AQ412" i="5"/>
  <c r="AQ403" i="5"/>
  <c r="AQ348" i="5"/>
  <c r="AQ345" i="5"/>
  <c r="AQ337" i="5"/>
  <c r="AQ333" i="5"/>
  <c r="AQ322" i="5"/>
  <c r="AQ318" i="5"/>
  <c r="AQ284" i="5"/>
  <c r="AQ282" i="5"/>
  <c r="AQ279" i="5"/>
  <c r="AQ272" i="5"/>
  <c r="AQ269" i="5"/>
  <c r="AQ250" i="5"/>
  <c r="AQ239" i="5"/>
  <c r="AQ234" i="5"/>
  <c r="AQ205" i="5"/>
  <c r="AO455" i="5"/>
  <c r="AO433" i="5"/>
  <c r="AO430" i="5"/>
  <c r="AO427" i="5"/>
  <c r="AO422" i="5"/>
  <c r="AO418" i="5"/>
  <c r="AO415" i="5"/>
  <c r="AO412" i="5"/>
  <c r="AO403" i="5"/>
  <c r="AO348" i="5"/>
  <c r="AO345" i="5"/>
  <c r="AO337" i="5"/>
  <c r="AO333" i="5"/>
  <c r="AO322" i="5"/>
  <c r="AO318" i="5"/>
  <c r="AO284" i="5"/>
  <c r="AO282" i="5"/>
  <c r="AO279" i="5"/>
  <c r="AO272" i="5"/>
  <c r="AO269" i="5"/>
  <c r="AO250" i="5"/>
  <c r="AO239" i="5"/>
  <c r="AO234" i="5"/>
  <c r="AO205" i="5"/>
  <c r="AS339" i="5" l="1"/>
  <c r="AS345" i="5" s="1"/>
  <c r="AO235" i="5"/>
  <c r="AS224" i="5"/>
  <c r="AS235" i="5"/>
  <c r="AQ235" i="5"/>
  <c r="AS457" i="5"/>
  <c r="AS456" i="5" s="1"/>
  <c r="AS455" i="5" s="1"/>
  <c r="AS348" i="5"/>
  <c r="AS255" i="5"/>
  <c r="AS256" i="5"/>
  <c r="AS281" i="5"/>
  <c r="AS257" i="5"/>
  <c r="AS258" i="5"/>
  <c r="AS254" i="5"/>
  <c r="AQ254" i="5"/>
  <c r="AQ255" i="5"/>
  <c r="AQ256" i="5"/>
  <c r="AQ257" i="5"/>
  <c r="AQ258" i="5"/>
  <c r="AO254" i="5"/>
  <c r="AO258" i="5"/>
  <c r="AO255" i="5"/>
  <c r="AO256" i="5"/>
  <c r="AO257" i="5"/>
  <c r="AO224" i="5" l="1"/>
  <c r="AQ223" i="5"/>
  <c r="AS223" i="5"/>
  <c r="AO223" i="5"/>
  <c r="AQ224" i="5"/>
  <c r="AS279" i="5"/>
  <c r="AS282" i="5"/>
  <c r="P1721" i="8" l="1"/>
  <c r="P1720" i="8" s="1"/>
  <c r="N1721" i="8"/>
  <c r="N1720" i="8" s="1"/>
  <c r="L1721" i="8"/>
  <c r="L1720" i="8" s="1"/>
  <c r="N1606" i="8"/>
  <c r="R270" i="7"/>
  <c r="P1825" i="8" l="1"/>
  <c r="N1825" i="8"/>
  <c r="L1825" i="8"/>
  <c r="P81" i="7"/>
  <c r="B89" i="8"/>
  <c r="B82" i="8"/>
  <c r="B67" i="8"/>
  <c r="B60" i="8"/>
  <c r="B59" i="8"/>
  <c r="B58" i="8"/>
  <c r="B57" i="8"/>
  <c r="B56" i="8"/>
  <c r="B55" i="8"/>
  <c r="B54" i="8"/>
  <c r="B53" i="8"/>
  <c r="B52" i="8"/>
  <c r="B51" i="8"/>
  <c r="B50" i="8"/>
  <c r="B49" i="8"/>
  <c r="B48" i="8"/>
  <c r="B46" i="8"/>
  <c r="B45" i="8"/>
  <c r="B44" i="8"/>
  <c r="B43" i="8"/>
  <c r="B42" i="8"/>
  <c r="B41" i="8"/>
  <c r="B40" i="8"/>
  <c r="B39" i="8"/>
  <c r="B37" i="8"/>
  <c r="B36" i="8"/>
  <c r="B35" i="8"/>
  <c r="B34" i="8"/>
  <c r="B33" i="8"/>
  <c r="B30" i="8"/>
  <c r="B29" i="8"/>
  <c r="B28" i="8"/>
  <c r="B27" i="8"/>
  <c r="B26" i="8"/>
  <c r="B24" i="8"/>
  <c r="B23" i="8"/>
  <c r="B22" i="8"/>
  <c r="B21" i="8"/>
  <c r="B20" i="8"/>
  <c r="B19" i="8"/>
  <c r="B18" i="8"/>
  <c r="B17" i="8"/>
  <c r="B16" i="8"/>
  <c r="B31" i="8" l="1"/>
  <c r="B32" i="8"/>
  <c r="V296" i="7" l="1"/>
  <c r="V294" i="7" l="1"/>
  <c r="V295" i="7"/>
  <c r="V297" i="7"/>
  <c r="V251" i="7"/>
  <c r="V240" i="7"/>
  <c r="V206" i="7"/>
  <c r="B246" i="1" l="1"/>
  <c r="B243" i="1"/>
  <c r="B231" i="1"/>
  <c r="B226" i="1"/>
  <c r="B217" i="1"/>
  <c r="B211" i="1"/>
  <c r="B220" i="1"/>
  <c r="B457" i="7"/>
  <c r="B456" i="7"/>
  <c r="V455" i="7"/>
  <c r="T455" i="7"/>
  <c r="R455" i="7"/>
  <c r="P455" i="7"/>
  <c r="O455" i="7"/>
  <c r="N455" i="7"/>
  <c r="L455" i="7"/>
  <c r="AE454" i="7"/>
  <c r="AD454" i="7"/>
  <c r="AC454" i="7"/>
  <c r="AB454" i="7"/>
  <c r="AA454" i="7"/>
  <c r="B454" i="7"/>
  <c r="B453" i="7"/>
  <c r="B452" i="7"/>
  <c r="B451" i="7"/>
  <c r="B450" i="7"/>
  <c r="AE449" i="7"/>
  <c r="AD449" i="7"/>
  <c r="AC449" i="7"/>
  <c r="AB449" i="7"/>
  <c r="AA449" i="7"/>
  <c r="B449" i="7"/>
  <c r="AE448" i="7"/>
  <c r="AD448" i="7"/>
  <c r="AC448" i="7"/>
  <c r="AB448" i="7"/>
  <c r="AA448" i="7"/>
  <c r="B448" i="7"/>
  <c r="AE447" i="7"/>
  <c r="AD447" i="7"/>
  <c r="AC447" i="7"/>
  <c r="AB447" i="7"/>
  <c r="AA447" i="7"/>
  <c r="B447" i="7"/>
  <c r="AE446" i="7"/>
  <c r="AD446" i="7"/>
  <c r="AC446" i="7"/>
  <c r="AB446" i="7"/>
  <c r="AA446" i="7"/>
  <c r="B446" i="7"/>
  <c r="AE445" i="7"/>
  <c r="AD445" i="7"/>
  <c r="AC445" i="7"/>
  <c r="AB445" i="7"/>
  <c r="AA445" i="7"/>
  <c r="B445" i="7"/>
  <c r="AE444" i="7"/>
  <c r="AD444" i="7"/>
  <c r="AC444" i="7"/>
  <c r="AB444" i="7"/>
  <c r="AA444" i="7"/>
  <c r="B444" i="7"/>
  <c r="AE443" i="7"/>
  <c r="AD443" i="7"/>
  <c r="AC443" i="7"/>
  <c r="AB443" i="7"/>
  <c r="AA443" i="7"/>
  <c r="B443" i="7"/>
  <c r="AE442" i="7"/>
  <c r="AD442" i="7"/>
  <c r="AC442" i="7"/>
  <c r="AB442" i="7"/>
  <c r="AA442" i="7"/>
  <c r="B442" i="7"/>
  <c r="AE441" i="7"/>
  <c r="AD441" i="7"/>
  <c r="AC441" i="7"/>
  <c r="AB441" i="7"/>
  <c r="AA441" i="7"/>
  <c r="B441" i="7"/>
  <c r="B440" i="7"/>
  <c r="AE439" i="7"/>
  <c r="AD439" i="7"/>
  <c r="AC439" i="7"/>
  <c r="AB439" i="7"/>
  <c r="AA439" i="7"/>
  <c r="B439" i="7"/>
  <c r="AE438" i="7"/>
  <c r="AD438" i="7"/>
  <c r="AC438" i="7"/>
  <c r="AB438" i="7"/>
  <c r="AA438" i="7"/>
  <c r="B438" i="7"/>
  <c r="B437" i="7"/>
  <c r="B435" i="7"/>
  <c r="B434" i="7"/>
  <c r="V433" i="7"/>
  <c r="T433" i="7"/>
  <c r="R433" i="7"/>
  <c r="P433" i="7"/>
  <c r="N433" i="7"/>
  <c r="L433" i="7"/>
  <c r="B433" i="7"/>
  <c r="B432" i="7"/>
  <c r="B431" i="7"/>
  <c r="V430" i="7"/>
  <c r="T430" i="7"/>
  <c r="R430" i="7"/>
  <c r="P430" i="7"/>
  <c r="N430" i="7"/>
  <c r="L430" i="7"/>
  <c r="B430" i="7"/>
  <c r="B429" i="7"/>
  <c r="B428" i="7"/>
  <c r="V427" i="7"/>
  <c r="T427" i="7"/>
  <c r="R427" i="7"/>
  <c r="P427" i="7"/>
  <c r="N427" i="7"/>
  <c r="L427" i="7"/>
  <c r="B427" i="7"/>
  <c r="B425" i="7"/>
  <c r="B424" i="7"/>
  <c r="B423" i="7"/>
  <c r="T422" i="7"/>
  <c r="R422" i="7"/>
  <c r="P422" i="7"/>
  <c r="N422" i="7"/>
  <c r="L422" i="7"/>
  <c r="B421" i="7"/>
  <c r="B420" i="7"/>
  <c r="B419" i="7"/>
  <c r="T418" i="7"/>
  <c r="R418" i="7"/>
  <c r="P418" i="7"/>
  <c r="N418" i="7"/>
  <c r="L418" i="7"/>
  <c r="B417" i="7"/>
  <c r="B416" i="7"/>
  <c r="T415" i="7"/>
  <c r="R415" i="7"/>
  <c r="B415" i="7" s="1"/>
  <c r="P415" i="7"/>
  <c r="N415" i="7"/>
  <c r="L415" i="7"/>
  <c r="B414" i="7"/>
  <c r="B413" i="7"/>
  <c r="T412" i="7"/>
  <c r="R412" i="7"/>
  <c r="P412" i="7"/>
  <c r="N412" i="7"/>
  <c r="L412" i="7"/>
  <c r="B410" i="7"/>
  <c r="B409" i="7"/>
  <c r="B408" i="7"/>
  <c r="B407" i="7"/>
  <c r="B406" i="7"/>
  <c r="V403" i="7"/>
  <c r="T403" i="7"/>
  <c r="R403" i="7"/>
  <c r="N403" i="7"/>
  <c r="L403" i="7"/>
  <c r="B402" i="7"/>
  <c r="B401" i="7"/>
  <c r="B400" i="7"/>
  <c r="B399" i="7"/>
  <c r="B398" i="7"/>
  <c r="B397" i="7"/>
  <c r="B396" i="7"/>
  <c r="B395" i="7"/>
  <c r="B394" i="7"/>
  <c r="B393" i="7"/>
  <c r="B392" i="7"/>
  <c r="B391" i="7"/>
  <c r="B389" i="7"/>
  <c r="B388" i="7"/>
  <c r="B385" i="7"/>
  <c r="B384" i="7"/>
  <c r="B382" i="7"/>
  <c r="B381" i="7"/>
  <c r="B380" i="7"/>
  <c r="B376" i="7"/>
  <c r="AE375" i="7"/>
  <c r="AD375" i="7"/>
  <c r="AC375" i="7"/>
  <c r="AB375" i="7"/>
  <c r="AA375" i="7"/>
  <c r="B375" i="7"/>
  <c r="AE374" i="7"/>
  <c r="AD374" i="7"/>
  <c r="AC374" i="7"/>
  <c r="AB374" i="7"/>
  <c r="AA374" i="7"/>
  <c r="B374" i="7"/>
  <c r="B373" i="7"/>
  <c r="B372" i="7"/>
  <c r="AE371" i="7"/>
  <c r="AD371" i="7"/>
  <c r="AC371" i="7"/>
  <c r="AB371" i="7"/>
  <c r="AA371" i="7"/>
  <c r="B371" i="7"/>
  <c r="B370" i="7"/>
  <c r="B368" i="7"/>
  <c r="B367" i="7"/>
  <c r="B366" i="7"/>
  <c r="B365" i="7"/>
  <c r="B364" i="7"/>
  <c r="B363" i="7"/>
  <c r="B362" i="7"/>
  <c r="B361" i="7"/>
  <c r="B360" i="7"/>
  <c r="B359" i="7"/>
  <c r="B358" i="7"/>
  <c r="B357" i="7"/>
  <c r="B356" i="7"/>
  <c r="B355" i="7"/>
  <c r="AT354" i="7"/>
  <c r="AS354" i="7"/>
  <c r="AR354" i="7"/>
  <c r="AQ354" i="7"/>
  <c r="AP354" i="7"/>
  <c r="AJ354" i="7"/>
  <c r="AI354" i="7"/>
  <c r="AH354" i="7"/>
  <c r="AG354" i="7"/>
  <c r="AF354" i="7"/>
  <c r="B354" i="7"/>
  <c r="AT353" i="7"/>
  <c r="AS353" i="7"/>
  <c r="AR353" i="7"/>
  <c r="AQ353" i="7"/>
  <c r="AP353" i="7"/>
  <c r="AP352" i="7" s="1"/>
  <c r="AJ353" i="7"/>
  <c r="AI353" i="7"/>
  <c r="AH353" i="7"/>
  <c r="AG353" i="7"/>
  <c r="AF353" i="7"/>
  <c r="B353" i="7"/>
  <c r="AI352" i="7"/>
  <c r="B352" i="7"/>
  <c r="B351" i="7"/>
  <c r="B350" i="7"/>
  <c r="AE349" i="7"/>
  <c r="AD349" i="7"/>
  <c r="AC349" i="7"/>
  <c r="AB349" i="7"/>
  <c r="AA349" i="7"/>
  <c r="B349" i="7"/>
  <c r="B348" i="7"/>
  <c r="B347" i="7"/>
  <c r="B346" i="7"/>
  <c r="B345" i="7"/>
  <c r="B344" i="7"/>
  <c r="B343" i="7"/>
  <c r="B342" i="7"/>
  <c r="B341" i="7"/>
  <c r="B340" i="7"/>
  <c r="AD339" i="7"/>
  <c r="AC339" i="7"/>
  <c r="AB339" i="7"/>
  <c r="AA339" i="7"/>
  <c r="B339" i="7"/>
  <c r="AD338" i="7"/>
  <c r="AC338" i="7"/>
  <c r="AB338" i="7"/>
  <c r="AA338" i="7"/>
  <c r="B338" i="7"/>
  <c r="B337" i="7"/>
  <c r="B336" i="7"/>
  <c r="B335" i="7"/>
  <c r="AT334" i="7"/>
  <c r="AS334" i="7"/>
  <c r="AR334" i="7"/>
  <c r="AQ334" i="7"/>
  <c r="AP334" i="7"/>
  <c r="AO334" i="7"/>
  <c r="AN334" i="7"/>
  <c r="AM334" i="7"/>
  <c r="AL334" i="7"/>
  <c r="AK334" i="7"/>
  <c r="AJ334" i="7"/>
  <c r="AI334" i="7"/>
  <c r="AH334" i="7"/>
  <c r="AG334" i="7"/>
  <c r="AF334" i="7"/>
  <c r="AE334" i="7"/>
  <c r="AD334" i="7"/>
  <c r="AC334" i="7"/>
  <c r="AB334" i="7"/>
  <c r="AA334" i="7"/>
  <c r="B334" i="7"/>
  <c r="AT333" i="7"/>
  <c r="AS333" i="7"/>
  <c r="AR333" i="7"/>
  <c r="AQ333" i="7"/>
  <c r="AP333" i="7"/>
  <c r="AJ333" i="7"/>
  <c r="AI333" i="7"/>
  <c r="AH333" i="7"/>
  <c r="AG333" i="7"/>
  <c r="AF333" i="7"/>
  <c r="AD333" i="7"/>
  <c r="AB333" i="7"/>
  <c r="B333" i="7"/>
  <c r="AT332" i="7"/>
  <c r="AS332" i="7"/>
  <c r="AR332" i="7"/>
  <c r="AQ332" i="7"/>
  <c r="AP332" i="7"/>
  <c r="AO332" i="7"/>
  <c r="AN332" i="7"/>
  <c r="AM332" i="7"/>
  <c r="AL332" i="7"/>
  <c r="AK332" i="7"/>
  <c r="AJ332" i="7"/>
  <c r="AI332" i="7"/>
  <c r="AH332" i="7"/>
  <c r="AG332" i="7"/>
  <c r="AF332" i="7"/>
  <c r="AE332" i="7"/>
  <c r="AD332" i="7"/>
  <c r="AC332" i="7"/>
  <c r="AB332" i="7"/>
  <c r="AA332" i="7"/>
  <c r="B332" i="7"/>
  <c r="B331" i="7"/>
  <c r="AT330" i="7"/>
  <c r="AS330" i="7"/>
  <c r="AR330" i="7"/>
  <c r="AQ330" i="7"/>
  <c r="AP330" i="7"/>
  <c r="AO330" i="7"/>
  <c r="AN330" i="7"/>
  <c r="AM330" i="7"/>
  <c r="AL330" i="7"/>
  <c r="AK330" i="7"/>
  <c r="B330" i="7"/>
  <c r="AE329" i="7"/>
  <c r="AD329" i="7"/>
  <c r="AC329" i="7"/>
  <c r="AB329" i="7"/>
  <c r="AA329" i="7"/>
  <c r="B329" i="7"/>
  <c r="AT328" i="7"/>
  <c r="AS328" i="7"/>
  <c r="AR328" i="7"/>
  <c r="AQ328" i="7"/>
  <c r="AP328" i="7"/>
  <c r="AO328" i="7"/>
  <c r="AN328" i="7"/>
  <c r="AM328" i="7"/>
  <c r="AL328" i="7"/>
  <c r="AK328" i="7"/>
  <c r="AE328" i="7"/>
  <c r="AD328" i="7"/>
  <c r="AC328" i="7"/>
  <c r="AB328" i="7"/>
  <c r="AA328" i="7"/>
  <c r="B328" i="7"/>
  <c r="B327" i="7"/>
  <c r="B325" i="7"/>
  <c r="B324" i="7"/>
  <c r="B323" i="7"/>
  <c r="V322" i="7"/>
  <c r="P322" i="7"/>
  <c r="N322" i="7"/>
  <c r="L322" i="7"/>
  <c r="B322" i="7"/>
  <c r="B321" i="7"/>
  <c r="B320" i="7"/>
  <c r="V319" i="7"/>
  <c r="B319" i="7" s="1"/>
  <c r="P319" i="7"/>
  <c r="N319" i="7"/>
  <c r="L319" i="7"/>
  <c r="AO318" i="7"/>
  <c r="AN318" i="7"/>
  <c r="AM318" i="7"/>
  <c r="AL318" i="7"/>
  <c r="AK318" i="7"/>
  <c r="AE318" i="7"/>
  <c r="AD318" i="7"/>
  <c r="AC318" i="7"/>
  <c r="AB318" i="7"/>
  <c r="AA318" i="7"/>
  <c r="B318" i="7"/>
  <c r="AO317" i="7"/>
  <c r="AN317" i="7"/>
  <c r="AM317" i="7"/>
  <c r="AL317" i="7"/>
  <c r="AK317" i="7"/>
  <c r="AE317" i="7"/>
  <c r="AD317" i="7"/>
  <c r="AC317" i="7"/>
  <c r="AB317" i="7"/>
  <c r="AA317" i="7"/>
  <c r="B317" i="7"/>
  <c r="AO316" i="7"/>
  <c r="AN316" i="7"/>
  <c r="AM316" i="7"/>
  <c r="AL316" i="7"/>
  <c r="AK316" i="7"/>
  <c r="AE316" i="7"/>
  <c r="AD316" i="7"/>
  <c r="AC316" i="7"/>
  <c r="AB316" i="7"/>
  <c r="AA316" i="7"/>
  <c r="B316" i="7"/>
  <c r="B315" i="7"/>
  <c r="AJ314" i="7"/>
  <c r="AI314" i="7"/>
  <c r="AH314" i="7"/>
  <c r="AG314" i="7"/>
  <c r="AF314" i="7"/>
  <c r="AE314" i="7"/>
  <c r="AD314" i="7"/>
  <c r="AC314" i="7"/>
  <c r="AB314" i="7"/>
  <c r="AA314" i="7"/>
  <c r="Z314" i="7"/>
  <c r="Y314" i="7"/>
  <c r="X314" i="7"/>
  <c r="B314" i="7"/>
  <c r="AT313" i="7"/>
  <c r="AS313" i="7"/>
  <c r="AR313" i="7"/>
  <c r="AQ313" i="7"/>
  <c r="AP313" i="7"/>
  <c r="AJ313" i="7"/>
  <c r="AI313" i="7"/>
  <c r="AH313" i="7"/>
  <c r="AG313" i="7"/>
  <c r="AF313" i="7"/>
  <c r="AE313" i="7"/>
  <c r="AC313" i="7"/>
  <c r="AA313" i="7"/>
  <c r="Z313" i="7"/>
  <c r="Y313" i="7"/>
  <c r="X313" i="7"/>
  <c r="B313" i="7"/>
  <c r="AT311" i="7"/>
  <c r="AS311" i="7"/>
  <c r="AR311" i="7"/>
  <c r="AQ311" i="7"/>
  <c r="AP311" i="7"/>
  <c r="AO311" i="7"/>
  <c r="AN311" i="7"/>
  <c r="AM311" i="7"/>
  <c r="AL311" i="7"/>
  <c r="AK311" i="7"/>
  <c r="AJ311" i="7"/>
  <c r="AI311" i="7"/>
  <c r="AH311" i="7"/>
  <c r="AG311" i="7"/>
  <c r="AF311" i="7"/>
  <c r="AE311" i="7"/>
  <c r="AD311" i="7"/>
  <c r="AC311" i="7"/>
  <c r="AB311" i="7"/>
  <c r="AA311" i="7"/>
  <c r="B311" i="7"/>
  <c r="AT310" i="7"/>
  <c r="AS310" i="7"/>
  <c r="AR310" i="7"/>
  <c r="AQ310" i="7"/>
  <c r="AP310" i="7"/>
  <c r="AO310" i="7"/>
  <c r="AN310" i="7"/>
  <c r="AM310" i="7"/>
  <c r="AL310" i="7"/>
  <c r="AK310" i="7"/>
  <c r="AJ310" i="7"/>
  <c r="AI310" i="7"/>
  <c r="AH310" i="7"/>
  <c r="AG310" i="7"/>
  <c r="AF310" i="7"/>
  <c r="AE310" i="7"/>
  <c r="AD310" i="7"/>
  <c r="AC310" i="7"/>
  <c r="AB310" i="7"/>
  <c r="AA310" i="7"/>
  <c r="B310" i="7"/>
  <c r="V308" i="7"/>
  <c r="B308" i="7" s="1"/>
  <c r="V307" i="7"/>
  <c r="B307" i="7" s="1"/>
  <c r="V306" i="7"/>
  <c r="B306" i="7" s="1"/>
  <c r="B305" i="7"/>
  <c r="B304" i="7"/>
  <c r="B302" i="7"/>
  <c r="B301" i="7"/>
  <c r="AJ298" i="7"/>
  <c r="AI298" i="7"/>
  <c r="AH298" i="7"/>
  <c r="AG298" i="7"/>
  <c r="AF298" i="7"/>
  <c r="AD298" i="7"/>
  <c r="AC298" i="7"/>
  <c r="AB298" i="7"/>
  <c r="AA298" i="7"/>
  <c r="B298" i="7"/>
  <c r="AJ297" i="7"/>
  <c r="AI297" i="7"/>
  <c r="AH297" i="7"/>
  <c r="AG297" i="7"/>
  <c r="AF297" i="7"/>
  <c r="AE297" i="7"/>
  <c r="AD297" i="7"/>
  <c r="AC297" i="7"/>
  <c r="AB297" i="7"/>
  <c r="AA297" i="7"/>
  <c r="B297" i="7"/>
  <c r="AO296" i="7"/>
  <c r="AN296" i="7"/>
  <c r="AM296" i="7"/>
  <c r="AL296" i="7"/>
  <c r="AK296" i="7"/>
  <c r="AJ296" i="7"/>
  <c r="AI296" i="7"/>
  <c r="AH296" i="7"/>
  <c r="AG296" i="7"/>
  <c r="AF296" i="7"/>
  <c r="AE296" i="7"/>
  <c r="AD296" i="7"/>
  <c r="AC296" i="7"/>
  <c r="AB296" i="7"/>
  <c r="AA296" i="7"/>
  <c r="B296" i="7"/>
  <c r="AO295" i="7"/>
  <c r="AN295" i="7"/>
  <c r="AM295" i="7"/>
  <c r="AL295" i="7"/>
  <c r="AK295" i="7"/>
  <c r="AJ295" i="7"/>
  <c r="AI295" i="7"/>
  <c r="AH295" i="7"/>
  <c r="AG295" i="7"/>
  <c r="AF295" i="7"/>
  <c r="AE295" i="7"/>
  <c r="AD295" i="7"/>
  <c r="AC295" i="7"/>
  <c r="AB295" i="7"/>
  <c r="AA295" i="7"/>
  <c r="T295" i="7"/>
  <c r="R295" i="7"/>
  <c r="B295" i="7"/>
  <c r="AO294" i="7"/>
  <c r="AN294" i="7"/>
  <c r="AM294" i="7"/>
  <c r="AL294" i="7"/>
  <c r="AK294" i="7"/>
  <c r="AJ294" i="7"/>
  <c r="AI294" i="7"/>
  <c r="AH294" i="7"/>
  <c r="AG294" i="7"/>
  <c r="AF294" i="7"/>
  <c r="AE294" i="7"/>
  <c r="AD294" i="7"/>
  <c r="AC294" i="7"/>
  <c r="AB294" i="7"/>
  <c r="AA294" i="7"/>
  <c r="T294" i="7"/>
  <c r="R294" i="7"/>
  <c r="AO293" i="7"/>
  <c r="AN293" i="7"/>
  <c r="AM293" i="7"/>
  <c r="AL293" i="7"/>
  <c r="AK293" i="7"/>
  <c r="AJ293" i="7"/>
  <c r="AI293" i="7"/>
  <c r="AH293" i="7"/>
  <c r="AG293" i="7"/>
  <c r="AF293" i="7"/>
  <c r="AE293" i="7"/>
  <c r="AD293" i="7"/>
  <c r="AC293" i="7"/>
  <c r="AB293" i="7"/>
  <c r="AA293" i="7"/>
  <c r="B293" i="7"/>
  <c r="AO291" i="7"/>
  <c r="AN291" i="7"/>
  <c r="AM291" i="7"/>
  <c r="AL291" i="7"/>
  <c r="AK291" i="7"/>
  <c r="AJ291" i="7"/>
  <c r="AI291" i="7"/>
  <c r="AH291" i="7"/>
  <c r="AG291" i="7"/>
  <c r="AF291" i="7"/>
  <c r="AE291" i="7"/>
  <c r="AD291" i="7"/>
  <c r="AC291" i="7"/>
  <c r="AB291" i="7"/>
  <c r="AA291" i="7"/>
  <c r="V291" i="7"/>
  <c r="T291" i="7"/>
  <c r="R291" i="7"/>
  <c r="AO290" i="7"/>
  <c r="AN290" i="7"/>
  <c r="AM290" i="7"/>
  <c r="AL290" i="7"/>
  <c r="AK290" i="7"/>
  <c r="AJ290" i="7"/>
  <c r="AI290" i="7"/>
  <c r="AH290" i="7"/>
  <c r="AG290" i="7"/>
  <c r="AF290" i="7"/>
  <c r="AE290" i="7"/>
  <c r="AD290" i="7"/>
  <c r="AC290" i="7"/>
  <c r="AB290" i="7"/>
  <c r="AA290" i="7"/>
  <c r="V290" i="7"/>
  <c r="B290" i="7"/>
  <c r="B289" i="7"/>
  <c r="B287" i="7"/>
  <c r="B286" i="7"/>
  <c r="V285" i="7"/>
  <c r="T285" i="7"/>
  <c r="R285" i="7"/>
  <c r="P285" i="7"/>
  <c r="N285" i="7"/>
  <c r="L285" i="7"/>
  <c r="B285" i="7"/>
  <c r="B284" i="7"/>
  <c r="V283" i="7"/>
  <c r="T283" i="7"/>
  <c r="R283" i="7"/>
  <c r="P283" i="7"/>
  <c r="N283" i="7"/>
  <c r="L283" i="7"/>
  <c r="B283" i="7"/>
  <c r="B282" i="7"/>
  <c r="AO281" i="7"/>
  <c r="AN281" i="7"/>
  <c r="AM281" i="7"/>
  <c r="AL281" i="7"/>
  <c r="AK281" i="7"/>
  <c r="AJ281" i="7"/>
  <c r="AI281" i="7"/>
  <c r="AH281" i="7"/>
  <c r="AG281" i="7"/>
  <c r="AF281" i="7"/>
  <c r="AE281" i="7"/>
  <c r="AD281" i="7"/>
  <c r="AC281" i="7"/>
  <c r="AB281" i="7"/>
  <c r="AA281" i="7"/>
  <c r="B281" i="7"/>
  <c r="T280" i="7"/>
  <c r="R280" i="7"/>
  <c r="P280" i="7"/>
  <c r="N280" i="7"/>
  <c r="L280" i="7"/>
  <c r="B280" i="7"/>
  <c r="B278" i="7"/>
  <c r="AJ277" i="7"/>
  <c r="AI277" i="7"/>
  <c r="AH277" i="7"/>
  <c r="AG277" i="7"/>
  <c r="AF277" i="7"/>
  <c r="B277" i="7"/>
  <c r="AJ276" i="7"/>
  <c r="AI276" i="7"/>
  <c r="AH276" i="7"/>
  <c r="AG276" i="7"/>
  <c r="AF276" i="7"/>
  <c r="B276" i="7"/>
  <c r="AE275" i="7"/>
  <c r="AD275" i="7"/>
  <c r="AC275" i="7"/>
  <c r="AB275" i="7"/>
  <c r="AA275" i="7"/>
  <c r="B275" i="7"/>
  <c r="AE274" i="7"/>
  <c r="AD274" i="7"/>
  <c r="AC274" i="7"/>
  <c r="AB274" i="7"/>
  <c r="AA274" i="7"/>
  <c r="B274" i="7"/>
  <c r="T273" i="7"/>
  <c r="R273" i="7"/>
  <c r="P273" i="7"/>
  <c r="N273" i="7"/>
  <c r="L273" i="7"/>
  <c r="B273" i="7"/>
  <c r="AE272" i="7"/>
  <c r="AD272" i="7"/>
  <c r="AC272" i="7"/>
  <c r="AB272" i="7"/>
  <c r="AA272" i="7"/>
  <c r="B272" i="7"/>
  <c r="AE271" i="7"/>
  <c r="AD271" i="7"/>
  <c r="AC271" i="7"/>
  <c r="AB271" i="7"/>
  <c r="AA271" i="7"/>
  <c r="B271" i="7"/>
  <c r="T270" i="7"/>
  <c r="P270" i="7"/>
  <c r="N270" i="7"/>
  <c r="L270" i="7"/>
  <c r="B269" i="7"/>
  <c r="AE268" i="7"/>
  <c r="AD268" i="7"/>
  <c r="AC268" i="7"/>
  <c r="AB268" i="7"/>
  <c r="AA268" i="7"/>
  <c r="B268" i="7"/>
  <c r="AE267" i="7"/>
  <c r="AD267" i="7"/>
  <c r="AC267" i="7"/>
  <c r="AB267" i="7"/>
  <c r="AA267" i="7"/>
  <c r="B267" i="7"/>
  <c r="AT265" i="7"/>
  <c r="AS265" i="7"/>
  <c r="AR265" i="7"/>
  <c r="AQ265" i="7"/>
  <c r="AP265" i="7"/>
  <c r="AO265" i="7"/>
  <c r="AN265" i="7"/>
  <c r="AM265" i="7"/>
  <c r="AL265" i="7"/>
  <c r="AK265" i="7"/>
  <c r="AJ265" i="7"/>
  <c r="AI265" i="7"/>
  <c r="AH265" i="7"/>
  <c r="AG265" i="7"/>
  <c r="AF265" i="7"/>
  <c r="AD265" i="7"/>
  <c r="AB265" i="7"/>
  <c r="V265" i="7"/>
  <c r="B265" i="7" s="1"/>
  <c r="AT264" i="7"/>
  <c r="AS264" i="7"/>
  <c r="AR264" i="7"/>
  <c r="AQ264" i="7"/>
  <c r="AP264" i="7"/>
  <c r="AO264" i="7"/>
  <c r="AN264" i="7"/>
  <c r="AM264" i="7"/>
  <c r="AL264" i="7"/>
  <c r="AK264" i="7"/>
  <c r="AJ264" i="7"/>
  <c r="AI264" i="7"/>
  <c r="AH264" i="7"/>
  <c r="AG264" i="7"/>
  <c r="AF264" i="7"/>
  <c r="AD264" i="7"/>
  <c r="AB264" i="7"/>
  <c r="V264" i="7"/>
  <c r="B264" i="7" s="1"/>
  <c r="AT263" i="7"/>
  <c r="AS263" i="7"/>
  <c r="AR263" i="7"/>
  <c r="AQ263" i="7"/>
  <c r="AP263" i="7"/>
  <c r="AO263" i="7"/>
  <c r="AN263" i="7"/>
  <c r="AM263" i="7"/>
  <c r="AL263" i="7"/>
  <c r="AK263" i="7"/>
  <c r="AJ263" i="7"/>
  <c r="AI263" i="7"/>
  <c r="AH263" i="7"/>
  <c r="AG263" i="7"/>
  <c r="AF263" i="7"/>
  <c r="AD263" i="7"/>
  <c r="AB263" i="7"/>
  <c r="V263" i="7"/>
  <c r="B263" i="7" s="1"/>
  <c r="AT262" i="7"/>
  <c r="AS262" i="7"/>
  <c r="AR262" i="7"/>
  <c r="AQ262" i="7"/>
  <c r="AP262" i="7"/>
  <c r="AO262" i="7"/>
  <c r="AN262" i="7"/>
  <c r="AM262" i="7"/>
  <c r="AL262" i="7"/>
  <c r="AK262" i="7"/>
  <c r="AJ262" i="7"/>
  <c r="AI262" i="7"/>
  <c r="AH262" i="7"/>
  <c r="AG262" i="7"/>
  <c r="AF262" i="7"/>
  <c r="AD262" i="7"/>
  <c r="AB262" i="7"/>
  <c r="V262" i="7"/>
  <c r="B262" i="7" s="1"/>
  <c r="AT261" i="7"/>
  <c r="AS261" i="7"/>
  <c r="AR261" i="7"/>
  <c r="AQ261" i="7"/>
  <c r="AP261" i="7"/>
  <c r="AO261" i="7"/>
  <c r="AN261" i="7"/>
  <c r="AM261" i="7"/>
  <c r="AL261" i="7"/>
  <c r="AK261" i="7"/>
  <c r="AJ261" i="7"/>
  <c r="AI261" i="7"/>
  <c r="AH261" i="7"/>
  <c r="AG261" i="7"/>
  <c r="AF261" i="7"/>
  <c r="AD261" i="7"/>
  <c r="AB261" i="7"/>
  <c r="V261" i="7"/>
  <c r="B261" i="7" s="1"/>
  <c r="AT259" i="7"/>
  <c r="AS259" i="7"/>
  <c r="AR259" i="7"/>
  <c r="AQ259" i="7"/>
  <c r="AP259" i="7"/>
  <c r="AO259" i="7"/>
  <c r="AN259" i="7"/>
  <c r="AM259" i="7"/>
  <c r="AL259" i="7"/>
  <c r="AK259" i="7"/>
  <c r="AJ259" i="7"/>
  <c r="AI259" i="7"/>
  <c r="AH259" i="7"/>
  <c r="AG259" i="7"/>
  <c r="AF259" i="7"/>
  <c r="AD259" i="7"/>
  <c r="AB259" i="7"/>
  <c r="B259" i="7"/>
  <c r="AT258" i="7"/>
  <c r="AS258" i="7"/>
  <c r="AR258" i="7"/>
  <c r="AQ258" i="7"/>
  <c r="AP258" i="7"/>
  <c r="AO258" i="7"/>
  <c r="AN258" i="7"/>
  <c r="AM258" i="7"/>
  <c r="AL258" i="7"/>
  <c r="AK258" i="7"/>
  <c r="AJ258" i="7"/>
  <c r="AI258" i="7"/>
  <c r="AH258" i="7"/>
  <c r="AG258" i="7"/>
  <c r="AF258" i="7"/>
  <c r="AD258" i="7"/>
  <c r="AB258" i="7"/>
  <c r="V258" i="7"/>
  <c r="B258" i="7" s="1"/>
  <c r="AT257" i="7"/>
  <c r="AS257" i="7"/>
  <c r="AR257" i="7"/>
  <c r="AQ257" i="7"/>
  <c r="AP257" i="7"/>
  <c r="AO257" i="7"/>
  <c r="AN257" i="7"/>
  <c r="AM257" i="7"/>
  <c r="AL257" i="7"/>
  <c r="AK257" i="7"/>
  <c r="AJ257" i="7"/>
  <c r="AI257" i="7"/>
  <c r="AH257" i="7"/>
  <c r="AG257" i="7"/>
  <c r="AF257" i="7"/>
  <c r="AD257" i="7"/>
  <c r="AB257" i="7"/>
  <c r="V257" i="7"/>
  <c r="B257" i="7" s="1"/>
  <c r="AT256" i="7"/>
  <c r="AS256" i="7"/>
  <c r="AR256" i="7"/>
  <c r="AQ256" i="7"/>
  <c r="AP256" i="7"/>
  <c r="AO256" i="7"/>
  <c r="AN256" i="7"/>
  <c r="AM256" i="7"/>
  <c r="AL256" i="7"/>
  <c r="AK256" i="7"/>
  <c r="AJ256" i="7"/>
  <c r="AI256" i="7"/>
  <c r="AH256" i="7"/>
  <c r="AG256" i="7"/>
  <c r="AF256" i="7"/>
  <c r="AD256" i="7"/>
  <c r="AB256" i="7"/>
  <c r="V256" i="7"/>
  <c r="B256" i="7" s="1"/>
  <c r="AT255" i="7"/>
  <c r="AS255" i="7"/>
  <c r="AR255" i="7"/>
  <c r="AQ255" i="7"/>
  <c r="AP255" i="7"/>
  <c r="AO255" i="7"/>
  <c r="AN255" i="7"/>
  <c r="AM255" i="7"/>
  <c r="AL255" i="7"/>
  <c r="AK255" i="7"/>
  <c r="AJ255" i="7"/>
  <c r="AI255" i="7"/>
  <c r="AH255" i="7"/>
  <c r="AG255" i="7"/>
  <c r="AF255" i="7"/>
  <c r="AD255" i="7"/>
  <c r="AB255" i="7"/>
  <c r="V255" i="7"/>
  <c r="B255" i="7"/>
  <c r="AT253" i="7"/>
  <c r="AS253" i="7"/>
  <c r="AR253" i="7"/>
  <c r="AQ253" i="7"/>
  <c r="AP253" i="7"/>
  <c r="AO253" i="7"/>
  <c r="AN253" i="7"/>
  <c r="AM253" i="7"/>
  <c r="AL253" i="7"/>
  <c r="AK253" i="7"/>
  <c r="AJ253" i="7"/>
  <c r="AI253" i="7"/>
  <c r="AH253" i="7"/>
  <c r="AG253" i="7"/>
  <c r="AF253" i="7"/>
  <c r="AE253" i="7"/>
  <c r="AD253" i="7"/>
  <c r="AC253" i="7"/>
  <c r="AB253" i="7"/>
  <c r="AA253" i="7"/>
  <c r="B253" i="7"/>
  <c r="AT252" i="7"/>
  <c r="AS252" i="7"/>
  <c r="AR252" i="7"/>
  <c r="AQ252" i="7"/>
  <c r="AP252" i="7"/>
  <c r="AO252" i="7"/>
  <c r="AN252" i="7"/>
  <c r="AM252" i="7"/>
  <c r="AM251" i="7" s="1"/>
  <c r="AL252" i="7"/>
  <c r="AL251" i="7" s="1"/>
  <c r="AK252" i="7"/>
  <c r="AK251" i="7" s="1"/>
  <c r="AJ252" i="7"/>
  <c r="AI252" i="7"/>
  <c r="AH252" i="7"/>
  <c r="AG252" i="7"/>
  <c r="AF252" i="7"/>
  <c r="AE252" i="7"/>
  <c r="AD252" i="7"/>
  <c r="AC252" i="7"/>
  <c r="AB252" i="7"/>
  <c r="AA252" i="7"/>
  <c r="B252" i="7"/>
  <c r="AO251" i="7"/>
  <c r="T251" i="7"/>
  <c r="R251" i="7"/>
  <c r="P251" i="7"/>
  <c r="N251" i="7"/>
  <c r="L251" i="7"/>
  <c r="B250" i="7"/>
  <c r="AT249" i="7"/>
  <c r="AS249" i="7"/>
  <c r="AR249" i="7"/>
  <c r="AQ249" i="7"/>
  <c r="AP249" i="7"/>
  <c r="AO249" i="7"/>
  <c r="AN249" i="7"/>
  <c r="AM249" i="7"/>
  <c r="AL249" i="7"/>
  <c r="AK249" i="7"/>
  <c r="AJ249" i="7"/>
  <c r="AI249" i="7"/>
  <c r="AH249" i="7"/>
  <c r="AG249" i="7"/>
  <c r="AF249" i="7"/>
  <c r="AE249" i="7"/>
  <c r="AD249" i="7"/>
  <c r="AC249" i="7"/>
  <c r="AB249" i="7"/>
  <c r="AA249" i="7"/>
  <c r="B249" i="7"/>
  <c r="AT248" i="7"/>
  <c r="AS248" i="7"/>
  <c r="AR248" i="7"/>
  <c r="AQ248" i="7"/>
  <c r="AP248" i="7"/>
  <c r="AO248" i="7"/>
  <c r="AN248" i="7"/>
  <c r="AM248" i="7"/>
  <c r="AL248" i="7"/>
  <c r="AK248" i="7"/>
  <c r="AJ248" i="7"/>
  <c r="AI248" i="7"/>
  <c r="AH248" i="7"/>
  <c r="AG248" i="7"/>
  <c r="AF248" i="7"/>
  <c r="AE248" i="7"/>
  <c r="AD248" i="7"/>
  <c r="AC248" i="7"/>
  <c r="AB248" i="7"/>
  <c r="AA248" i="7"/>
  <c r="B248" i="7"/>
  <c r="AT247" i="7"/>
  <c r="AS247" i="7"/>
  <c r="AR247" i="7"/>
  <c r="AQ247" i="7"/>
  <c r="AP247" i="7"/>
  <c r="AO247" i="7"/>
  <c r="AN247" i="7"/>
  <c r="AM247" i="7"/>
  <c r="AL247" i="7"/>
  <c r="AK247" i="7"/>
  <c r="AJ247" i="7"/>
  <c r="AI247" i="7"/>
  <c r="AH247" i="7"/>
  <c r="AG247" i="7"/>
  <c r="AF247" i="7"/>
  <c r="AE247" i="7"/>
  <c r="AD247" i="7"/>
  <c r="AC247" i="7"/>
  <c r="AB247" i="7"/>
  <c r="AA247" i="7"/>
  <c r="B247" i="7"/>
  <c r="AT245" i="7"/>
  <c r="AS245" i="7"/>
  <c r="AR245" i="7"/>
  <c r="AQ245" i="7"/>
  <c r="AP245" i="7"/>
  <c r="AO245" i="7"/>
  <c r="AN245" i="7"/>
  <c r="AM245" i="7"/>
  <c r="AL245" i="7"/>
  <c r="AK245" i="7"/>
  <c r="AJ245" i="7"/>
  <c r="AI245" i="7"/>
  <c r="AH245" i="7"/>
  <c r="AG245" i="7"/>
  <c r="AF245" i="7"/>
  <c r="AE245" i="7"/>
  <c r="AD245" i="7"/>
  <c r="AC245" i="7"/>
  <c r="AB245" i="7"/>
  <c r="AA245" i="7"/>
  <c r="B245" i="7"/>
  <c r="AT244" i="7"/>
  <c r="AS244" i="7"/>
  <c r="AR244" i="7"/>
  <c r="AQ244" i="7"/>
  <c r="AP244" i="7"/>
  <c r="AO244" i="7"/>
  <c r="AN244" i="7"/>
  <c r="AM244" i="7"/>
  <c r="AL244" i="7"/>
  <c r="AK244" i="7"/>
  <c r="AJ244" i="7"/>
  <c r="AI244" i="7"/>
  <c r="AH244" i="7"/>
  <c r="AG244" i="7"/>
  <c r="AF244" i="7"/>
  <c r="AE244" i="7"/>
  <c r="AD244" i="7"/>
  <c r="AC244" i="7"/>
  <c r="AB244" i="7"/>
  <c r="AA244" i="7"/>
  <c r="B244" i="7"/>
  <c r="AT242" i="7"/>
  <c r="AS242" i="7"/>
  <c r="AR242" i="7"/>
  <c r="AQ242" i="7"/>
  <c r="AP242" i="7"/>
  <c r="AO242" i="7"/>
  <c r="AN242" i="7"/>
  <c r="AM242" i="7"/>
  <c r="AL242" i="7"/>
  <c r="AK242" i="7"/>
  <c r="AJ242" i="7"/>
  <c r="AI242" i="7"/>
  <c r="AH242" i="7"/>
  <c r="AH240" i="7" s="1"/>
  <c r="AG242" i="7"/>
  <c r="AF242" i="7"/>
  <c r="AE242" i="7"/>
  <c r="AD242" i="7"/>
  <c r="AC242" i="7"/>
  <c r="AB242" i="7"/>
  <c r="AA242" i="7"/>
  <c r="B242" i="7"/>
  <c r="AT241" i="7"/>
  <c r="AS241" i="7"/>
  <c r="AR241" i="7"/>
  <c r="AQ241" i="7"/>
  <c r="AP241" i="7"/>
  <c r="AO241" i="7"/>
  <c r="AN241" i="7"/>
  <c r="AM241" i="7"/>
  <c r="AL241" i="7"/>
  <c r="AL240" i="7" s="1"/>
  <c r="AK241" i="7"/>
  <c r="AK240" i="7" s="1"/>
  <c r="AJ241" i="7"/>
  <c r="AJ240" i="7" s="1"/>
  <c r="AI241" i="7"/>
  <c r="AH241" i="7"/>
  <c r="AG241" i="7"/>
  <c r="AF241" i="7"/>
  <c r="AE241" i="7"/>
  <c r="AD241" i="7"/>
  <c r="AC241" i="7"/>
  <c r="AB241" i="7"/>
  <c r="AA241" i="7"/>
  <c r="B241" i="7"/>
  <c r="T240" i="7"/>
  <c r="R240" i="7"/>
  <c r="B240" i="7" s="1"/>
  <c r="P240" i="7"/>
  <c r="N240" i="7"/>
  <c r="L240" i="7"/>
  <c r="B238" i="7"/>
  <c r="R237" i="7"/>
  <c r="B237" i="7" s="1"/>
  <c r="AS236" i="7"/>
  <c r="AQ236" i="7"/>
  <c r="V236" i="7"/>
  <c r="T236" i="7"/>
  <c r="R236" i="7"/>
  <c r="B236" i="7" s="1"/>
  <c r="AT235" i="7"/>
  <c r="AS235" i="7"/>
  <c r="AR235" i="7"/>
  <c r="AQ235" i="7"/>
  <c r="AP235" i="7"/>
  <c r="AO235" i="7"/>
  <c r="AN235" i="7"/>
  <c r="AM235" i="7"/>
  <c r="AL235" i="7"/>
  <c r="AK235" i="7"/>
  <c r="AJ235" i="7"/>
  <c r="AI235" i="7"/>
  <c r="AH235" i="7"/>
  <c r="AG235" i="7"/>
  <c r="AF235" i="7"/>
  <c r="AD235" i="7"/>
  <c r="AB235" i="7"/>
  <c r="B235" i="7"/>
  <c r="AT234" i="7"/>
  <c r="AS234" i="7"/>
  <c r="AR234" i="7"/>
  <c r="AQ234" i="7"/>
  <c r="AP234" i="7"/>
  <c r="AO234" i="7"/>
  <c r="AN234" i="7"/>
  <c r="AM234" i="7"/>
  <c r="AL234" i="7"/>
  <c r="AK234" i="7"/>
  <c r="AE234" i="7"/>
  <c r="AD234" i="7"/>
  <c r="AC234" i="7"/>
  <c r="AB234" i="7"/>
  <c r="AA234" i="7"/>
  <c r="B234" i="7"/>
  <c r="AT233" i="7"/>
  <c r="AS233" i="7"/>
  <c r="AR233" i="7"/>
  <c r="AQ233" i="7"/>
  <c r="AP233" i="7"/>
  <c r="AO233" i="7"/>
  <c r="AN233" i="7"/>
  <c r="AM233" i="7"/>
  <c r="AL233" i="7"/>
  <c r="AK233" i="7"/>
  <c r="AJ233" i="7"/>
  <c r="AI233" i="7"/>
  <c r="AH233" i="7"/>
  <c r="AF233" i="7"/>
  <c r="AE233" i="7"/>
  <c r="AD233" i="7"/>
  <c r="AC233" i="7"/>
  <c r="AB233" i="7"/>
  <c r="AA233" i="7"/>
  <c r="B233" i="7"/>
  <c r="AT232" i="7"/>
  <c r="AS232" i="7"/>
  <c r="AR232" i="7"/>
  <c r="AQ232" i="7"/>
  <c r="AP232" i="7"/>
  <c r="AO232" i="7"/>
  <c r="AN232" i="7"/>
  <c r="AM232" i="7"/>
  <c r="AL232" i="7"/>
  <c r="AK232" i="7"/>
  <c r="AE232" i="7"/>
  <c r="AD232" i="7"/>
  <c r="AC232" i="7"/>
  <c r="AB232" i="7"/>
  <c r="AA232" i="7"/>
  <c r="B232" i="7"/>
  <c r="B230" i="7"/>
  <c r="AT229" i="7"/>
  <c r="AS229" i="7"/>
  <c r="AR229" i="7"/>
  <c r="AQ229" i="7"/>
  <c r="AP229" i="7"/>
  <c r="AO229" i="7"/>
  <c r="AN229" i="7"/>
  <c r="AM229" i="7"/>
  <c r="AL229" i="7"/>
  <c r="AK229" i="7"/>
  <c r="AJ229" i="7"/>
  <c r="AI229" i="7"/>
  <c r="AH229" i="7"/>
  <c r="AG229" i="7"/>
  <c r="AF229" i="7"/>
  <c r="AE229" i="7"/>
  <c r="AD229" i="7"/>
  <c r="AC229" i="7"/>
  <c r="AB229" i="7"/>
  <c r="AA229" i="7"/>
  <c r="B229" i="7"/>
  <c r="AT228" i="7"/>
  <c r="AS228" i="7"/>
  <c r="AR228" i="7"/>
  <c r="AQ228" i="7"/>
  <c r="AP228" i="7"/>
  <c r="AO228" i="7"/>
  <c r="AN228" i="7"/>
  <c r="AM228" i="7"/>
  <c r="AL228" i="7"/>
  <c r="AK228" i="7"/>
  <c r="AJ228" i="7"/>
  <c r="AI228" i="7"/>
  <c r="AH228" i="7"/>
  <c r="AG228" i="7"/>
  <c r="AF228" i="7"/>
  <c r="AE228" i="7"/>
  <c r="AD228" i="7"/>
  <c r="AC228" i="7"/>
  <c r="AB228" i="7"/>
  <c r="AA228" i="7"/>
  <c r="B228" i="7"/>
  <c r="AT227" i="7"/>
  <c r="AS227" i="7"/>
  <c r="AR227" i="7"/>
  <c r="AQ227" i="7"/>
  <c r="AP227" i="7"/>
  <c r="AO227" i="7"/>
  <c r="AN227" i="7"/>
  <c r="AM227" i="7"/>
  <c r="AL227" i="7"/>
  <c r="AK227" i="7"/>
  <c r="AJ227" i="7"/>
  <c r="AI227" i="7"/>
  <c r="AH227" i="7"/>
  <c r="AG227" i="7"/>
  <c r="AF227" i="7"/>
  <c r="AE227" i="7"/>
  <c r="AD227" i="7"/>
  <c r="AC227" i="7"/>
  <c r="AB227" i="7"/>
  <c r="AA227" i="7"/>
  <c r="B227" i="7"/>
  <c r="B225" i="7"/>
  <c r="B224" i="7"/>
  <c r="B223" i="7"/>
  <c r="B222" i="7"/>
  <c r="B221" i="7"/>
  <c r="AT219" i="7"/>
  <c r="AS219" i="7"/>
  <c r="AR219" i="7"/>
  <c r="AQ219" i="7"/>
  <c r="AP219" i="7"/>
  <c r="AO219" i="7"/>
  <c r="AN219" i="7"/>
  <c r="AM219" i="7"/>
  <c r="AL219" i="7"/>
  <c r="AK219" i="7"/>
  <c r="AJ219" i="7"/>
  <c r="AI219" i="7"/>
  <c r="AH219" i="7"/>
  <c r="AG219" i="7"/>
  <c r="AF219" i="7"/>
  <c r="AE219" i="7"/>
  <c r="AD219" i="7"/>
  <c r="AC219" i="7"/>
  <c r="AB219" i="7"/>
  <c r="AA219" i="7"/>
  <c r="B219" i="7"/>
  <c r="AT218" i="7"/>
  <c r="AS218" i="7"/>
  <c r="AR218" i="7"/>
  <c r="AQ218" i="7"/>
  <c r="AP218" i="7"/>
  <c r="AO218" i="7"/>
  <c r="AN218" i="7"/>
  <c r="AM218" i="7"/>
  <c r="AL218" i="7"/>
  <c r="AK218" i="7"/>
  <c r="AJ218" i="7"/>
  <c r="AI218" i="7"/>
  <c r="AH218" i="7"/>
  <c r="AG218" i="7"/>
  <c r="AF218" i="7"/>
  <c r="AE218" i="7"/>
  <c r="AD218" i="7"/>
  <c r="AC218" i="7"/>
  <c r="AB218" i="7"/>
  <c r="AA218" i="7"/>
  <c r="B218" i="7"/>
  <c r="AT216" i="7"/>
  <c r="AS216" i="7"/>
  <c r="AR216" i="7"/>
  <c r="AQ216" i="7"/>
  <c r="AP216" i="7"/>
  <c r="AO216" i="7"/>
  <c r="AN216" i="7"/>
  <c r="AM216" i="7"/>
  <c r="AL216" i="7"/>
  <c r="AK216" i="7"/>
  <c r="AE216" i="7"/>
  <c r="AD216" i="7"/>
  <c r="AC216" i="7"/>
  <c r="AB216" i="7"/>
  <c r="AA216" i="7"/>
  <c r="B216" i="7"/>
  <c r="AT215" i="7"/>
  <c r="AS215" i="7"/>
  <c r="AR215" i="7"/>
  <c r="AQ215" i="7"/>
  <c r="AP215" i="7"/>
  <c r="AO215" i="7"/>
  <c r="AN215" i="7"/>
  <c r="AM215" i="7"/>
  <c r="AL215" i="7"/>
  <c r="AK215" i="7"/>
  <c r="AJ215" i="7"/>
  <c r="AI215" i="7"/>
  <c r="AH215" i="7"/>
  <c r="AG215" i="7"/>
  <c r="AF215" i="7"/>
  <c r="AE215" i="7"/>
  <c r="AD215" i="7"/>
  <c r="AC215" i="7"/>
  <c r="AB215" i="7"/>
  <c r="AA215" i="7"/>
  <c r="B215" i="7"/>
  <c r="AT214" i="7"/>
  <c r="AS214" i="7"/>
  <c r="AR214" i="7"/>
  <c r="AQ214" i="7"/>
  <c r="AP214" i="7"/>
  <c r="AO214" i="7"/>
  <c r="AN214" i="7"/>
  <c r="AM214" i="7"/>
  <c r="AL214" i="7"/>
  <c r="AK214" i="7"/>
  <c r="AJ214" i="7"/>
  <c r="AI214" i="7"/>
  <c r="AH214" i="7"/>
  <c r="AG214" i="7"/>
  <c r="AF214" i="7"/>
  <c r="AD214" i="7"/>
  <c r="AC214" i="7"/>
  <c r="AB214" i="7"/>
  <c r="AA214" i="7"/>
  <c r="B214" i="7"/>
  <c r="AT213" i="7"/>
  <c r="AS213" i="7"/>
  <c r="AR213" i="7"/>
  <c r="AQ213" i="7"/>
  <c r="AP213" i="7"/>
  <c r="AO213" i="7"/>
  <c r="AN213" i="7"/>
  <c r="AM213" i="7"/>
  <c r="AL213" i="7"/>
  <c r="AK213" i="7"/>
  <c r="AJ213" i="7"/>
  <c r="AI213" i="7"/>
  <c r="AH213" i="7"/>
  <c r="AG213" i="7"/>
  <c r="AF213" i="7"/>
  <c r="AE213" i="7"/>
  <c r="AD213" i="7"/>
  <c r="AC213" i="7"/>
  <c r="AB213" i="7"/>
  <c r="AA213" i="7"/>
  <c r="B213" i="7"/>
  <c r="AT212" i="7"/>
  <c r="AS212" i="7"/>
  <c r="AR212" i="7"/>
  <c r="AQ212" i="7"/>
  <c r="AP212" i="7"/>
  <c r="AO212" i="7"/>
  <c r="AN212" i="7"/>
  <c r="AM212" i="7"/>
  <c r="AL212" i="7"/>
  <c r="AK212" i="7"/>
  <c r="AJ212" i="7"/>
  <c r="AI212" i="7"/>
  <c r="AH212" i="7"/>
  <c r="AG212" i="7"/>
  <c r="AF212" i="7"/>
  <c r="AE212" i="7"/>
  <c r="AD212" i="7"/>
  <c r="AC212" i="7"/>
  <c r="AB212" i="7"/>
  <c r="AA212" i="7"/>
  <c r="B212" i="7"/>
  <c r="AT210" i="7"/>
  <c r="AS210" i="7"/>
  <c r="AR210" i="7"/>
  <c r="AQ210" i="7"/>
  <c r="AP210" i="7"/>
  <c r="AO210" i="7"/>
  <c r="AN210" i="7"/>
  <c r="AM210" i="7"/>
  <c r="AL210" i="7"/>
  <c r="AK210" i="7"/>
  <c r="AJ210" i="7"/>
  <c r="AI210" i="7"/>
  <c r="AH210" i="7"/>
  <c r="AG210" i="7"/>
  <c r="AF210" i="7"/>
  <c r="AE210" i="7"/>
  <c r="AD210" i="7"/>
  <c r="AC210" i="7"/>
  <c r="AB210" i="7"/>
  <c r="AA210" i="7"/>
  <c r="B210" i="7"/>
  <c r="AT209" i="7"/>
  <c r="AS209" i="7"/>
  <c r="AR209" i="7"/>
  <c r="AQ209" i="7"/>
  <c r="AP209" i="7"/>
  <c r="AO209" i="7"/>
  <c r="AN209" i="7"/>
  <c r="AM209" i="7"/>
  <c r="AL209" i="7"/>
  <c r="AK209" i="7"/>
  <c r="AJ209" i="7"/>
  <c r="AI209" i="7"/>
  <c r="AH209" i="7"/>
  <c r="AG209" i="7"/>
  <c r="AF209" i="7"/>
  <c r="AE209" i="7"/>
  <c r="AD209" i="7"/>
  <c r="AC209" i="7"/>
  <c r="AB209" i="7"/>
  <c r="AA209" i="7"/>
  <c r="B209" i="7"/>
  <c r="AT208" i="7"/>
  <c r="AS208" i="7"/>
  <c r="AR208" i="7"/>
  <c r="AQ208" i="7"/>
  <c r="AP208" i="7"/>
  <c r="AO208" i="7"/>
  <c r="AN208" i="7"/>
  <c r="AM208" i="7"/>
  <c r="AL208" i="7"/>
  <c r="AK208" i="7"/>
  <c r="AJ208" i="7"/>
  <c r="AI208" i="7"/>
  <c r="AH208" i="7"/>
  <c r="AG208" i="7"/>
  <c r="AF208" i="7"/>
  <c r="AE208" i="7"/>
  <c r="AD208" i="7"/>
  <c r="AC208" i="7"/>
  <c r="AB208" i="7"/>
  <c r="AA208" i="7"/>
  <c r="B208" i="7"/>
  <c r="AT207" i="7"/>
  <c r="AS207" i="7"/>
  <c r="AR207" i="7"/>
  <c r="AQ207" i="7"/>
  <c r="AP207" i="7"/>
  <c r="AO207" i="7"/>
  <c r="AN207" i="7"/>
  <c r="AM207" i="7"/>
  <c r="AL207" i="7"/>
  <c r="AK207" i="7"/>
  <c r="AJ207" i="7"/>
  <c r="AI207" i="7"/>
  <c r="AH207" i="7"/>
  <c r="AG207" i="7"/>
  <c r="AF207" i="7"/>
  <c r="AE207" i="7"/>
  <c r="AD207" i="7"/>
  <c r="AC207" i="7"/>
  <c r="AB207" i="7"/>
  <c r="AA207" i="7"/>
  <c r="B207" i="7"/>
  <c r="N206" i="7"/>
  <c r="L206" i="7"/>
  <c r="B206" i="7"/>
  <c r="B203" i="7"/>
  <c r="B202" i="7"/>
  <c r="B201" i="7"/>
  <c r="B200" i="7"/>
  <c r="B199" i="7"/>
  <c r="B198" i="7"/>
  <c r="B197" i="7"/>
  <c r="B196" i="7"/>
  <c r="B195" i="7"/>
  <c r="B194" i="7"/>
  <c r="B193" i="7"/>
  <c r="B192" i="7"/>
  <c r="B191" i="7"/>
  <c r="V190" i="7"/>
  <c r="T190" i="7"/>
  <c r="R190" i="7"/>
  <c r="P190" i="7"/>
  <c r="N190" i="7"/>
  <c r="L190" i="7"/>
  <c r="B189" i="7"/>
  <c r="B188" i="7"/>
  <c r="B187" i="7"/>
  <c r="B186" i="7"/>
  <c r="B185" i="7"/>
  <c r="T184" i="7"/>
  <c r="R184" i="7"/>
  <c r="P184" i="7"/>
  <c r="N184" i="7"/>
  <c r="L184" i="7"/>
  <c r="AE183" i="7"/>
  <c r="AD183" i="7"/>
  <c r="AC183" i="7"/>
  <c r="AB183" i="7"/>
  <c r="AA183" i="7"/>
  <c r="B183" i="7"/>
  <c r="AE182" i="7"/>
  <c r="AD182" i="7"/>
  <c r="AC182" i="7"/>
  <c r="AB182" i="7"/>
  <c r="AA182" i="7"/>
  <c r="B182" i="7"/>
  <c r="AE181" i="7"/>
  <c r="AD181" i="7"/>
  <c r="AC181" i="7"/>
  <c r="AB181" i="7"/>
  <c r="AA181" i="7"/>
  <c r="B181" i="7"/>
  <c r="AE180" i="7"/>
  <c r="AD180" i="7"/>
  <c r="AC180" i="7"/>
  <c r="AB180" i="7"/>
  <c r="AA180" i="7"/>
  <c r="B180" i="7"/>
  <c r="AE179" i="7"/>
  <c r="AD179" i="7"/>
  <c r="AC179" i="7"/>
  <c r="AB179" i="7"/>
  <c r="AA179" i="7"/>
  <c r="B179" i="7"/>
  <c r="B177" i="7"/>
  <c r="B176" i="7"/>
  <c r="B175" i="7"/>
  <c r="B174" i="7"/>
  <c r="B173" i="7"/>
  <c r="B172" i="7"/>
  <c r="B171" i="7"/>
  <c r="B170" i="7"/>
  <c r="B169" i="7"/>
  <c r="AT168" i="7"/>
  <c r="AS168" i="7"/>
  <c r="AR168" i="7"/>
  <c r="AQ168" i="7"/>
  <c r="AP168" i="7"/>
  <c r="AE168" i="7"/>
  <c r="AD168" i="7"/>
  <c r="AC168" i="7"/>
  <c r="AB168" i="7"/>
  <c r="AA168" i="7"/>
  <c r="B168" i="7"/>
  <c r="B167" i="7"/>
  <c r="B166" i="7"/>
  <c r="V165" i="7"/>
  <c r="T165" i="7"/>
  <c r="R165" i="7"/>
  <c r="P165" i="7"/>
  <c r="N165" i="7"/>
  <c r="L165" i="7"/>
  <c r="B165" i="7"/>
  <c r="B164" i="7"/>
  <c r="B163" i="7"/>
  <c r="V162" i="7"/>
  <c r="T162" i="7"/>
  <c r="R162" i="7"/>
  <c r="P162" i="7"/>
  <c r="N162" i="7"/>
  <c r="L162" i="7"/>
  <c r="B161" i="7"/>
  <c r="B160" i="7"/>
  <c r="B159" i="7"/>
  <c r="AT158" i="7"/>
  <c r="AS158" i="7"/>
  <c r="AR158" i="7"/>
  <c r="AQ158" i="7"/>
  <c r="AQ156" i="7" s="1"/>
  <c r="AP158" i="7"/>
  <c r="B158" i="7"/>
  <c r="B157" i="7"/>
  <c r="B156" i="7"/>
  <c r="AT155" i="7"/>
  <c r="AS155" i="7"/>
  <c r="AR155" i="7"/>
  <c r="AQ155" i="7"/>
  <c r="AP155" i="7"/>
  <c r="AE155" i="7"/>
  <c r="AD155" i="7"/>
  <c r="AC155" i="7"/>
  <c r="AB155" i="7"/>
  <c r="AA155" i="7"/>
  <c r="B155" i="7"/>
  <c r="AT154" i="7"/>
  <c r="AS154" i="7"/>
  <c r="AS153" i="7" s="1"/>
  <c r="AR154" i="7"/>
  <c r="AQ154" i="7"/>
  <c r="AP154" i="7"/>
  <c r="AE154" i="7"/>
  <c r="AD154" i="7"/>
  <c r="AC154" i="7"/>
  <c r="AB154" i="7"/>
  <c r="AA154" i="7"/>
  <c r="B154" i="7"/>
  <c r="AB153" i="7"/>
  <c r="B153" i="7"/>
  <c r="AT152" i="7"/>
  <c r="AS152" i="7"/>
  <c r="AR152" i="7"/>
  <c r="AQ152" i="7"/>
  <c r="AP152" i="7"/>
  <c r="AP150" i="7" s="1"/>
  <c r="AE152" i="7"/>
  <c r="AD152" i="7"/>
  <c r="AC152" i="7"/>
  <c r="AB152" i="7"/>
  <c r="AA152" i="7"/>
  <c r="B152" i="7"/>
  <c r="AT151" i="7"/>
  <c r="AS151" i="7"/>
  <c r="AS150" i="7" s="1"/>
  <c r="AS149" i="7" s="1"/>
  <c r="AS157" i="7" s="1"/>
  <c r="AR151" i="7"/>
  <c r="AQ151" i="7"/>
  <c r="AP151" i="7"/>
  <c r="AE151" i="7"/>
  <c r="AD151" i="7"/>
  <c r="AC151" i="7"/>
  <c r="AB151" i="7"/>
  <c r="AA151" i="7"/>
  <c r="B151" i="7"/>
  <c r="AB150" i="7"/>
  <c r="B150" i="7"/>
  <c r="V149" i="7"/>
  <c r="T149" i="7"/>
  <c r="R149" i="7"/>
  <c r="N149" i="7"/>
  <c r="L149" i="7"/>
  <c r="B147" i="7"/>
  <c r="B146" i="7"/>
  <c r="B145" i="7"/>
  <c r="B144" i="7"/>
  <c r="B143" i="7"/>
  <c r="B142" i="7"/>
  <c r="B141" i="7"/>
  <c r="B140" i="7"/>
  <c r="B139" i="7"/>
  <c r="B138" i="7"/>
  <c r="B137" i="7"/>
  <c r="B136" i="7"/>
  <c r="B135" i="7"/>
  <c r="B134" i="7"/>
  <c r="B133" i="7"/>
  <c r="B132" i="7"/>
  <c r="B131" i="7"/>
  <c r="V130" i="7"/>
  <c r="T130" i="7"/>
  <c r="R130" i="7"/>
  <c r="P130" i="7"/>
  <c r="N130" i="7"/>
  <c r="L130" i="7"/>
  <c r="AE129" i="7"/>
  <c r="AD129" i="7"/>
  <c r="AC129" i="7"/>
  <c r="AB129" i="7"/>
  <c r="AA129" i="7"/>
  <c r="B129" i="7"/>
  <c r="AE128" i="7"/>
  <c r="AD128" i="7"/>
  <c r="AC128" i="7"/>
  <c r="AB128" i="7"/>
  <c r="AA128" i="7"/>
  <c r="B128" i="7"/>
  <c r="AE127" i="7"/>
  <c r="AD127" i="7"/>
  <c r="AC127" i="7"/>
  <c r="AB127" i="7"/>
  <c r="AA127" i="7"/>
  <c r="B127" i="7"/>
  <c r="AT126" i="7"/>
  <c r="AT125" i="7" s="1"/>
  <c r="AS126" i="7"/>
  <c r="AS125" i="7" s="1"/>
  <c r="AR126" i="7"/>
  <c r="AR125" i="7" s="1"/>
  <c r="AQ126" i="7"/>
  <c r="AQ125" i="7" s="1"/>
  <c r="AP126" i="7"/>
  <c r="AP125" i="7" s="1"/>
  <c r="AO126" i="7"/>
  <c r="AO125" i="7" s="1"/>
  <c r="AN126" i="7"/>
  <c r="AN125" i="7" s="1"/>
  <c r="AM126" i="7"/>
  <c r="AM125" i="7" s="1"/>
  <c r="AL126" i="7"/>
  <c r="AL125" i="7" s="1"/>
  <c r="AK126" i="7"/>
  <c r="AK125" i="7" s="1"/>
  <c r="AJ126" i="7"/>
  <c r="AJ125" i="7" s="1"/>
  <c r="AI126" i="7"/>
  <c r="AI125" i="7" s="1"/>
  <c r="AH126" i="7"/>
  <c r="AH125" i="7" s="1"/>
  <c r="AG126" i="7"/>
  <c r="AF126" i="7"/>
  <c r="AF125" i="7" s="1"/>
  <c r="AE126" i="7"/>
  <c r="AD126" i="7"/>
  <c r="AC126" i="7"/>
  <c r="AB126" i="7"/>
  <c r="AA126" i="7"/>
  <c r="B126" i="7"/>
  <c r="V125" i="7"/>
  <c r="T125" i="7"/>
  <c r="B125" i="7" s="1"/>
  <c r="AT123" i="7"/>
  <c r="AS123" i="7"/>
  <c r="AR123" i="7"/>
  <c r="AQ123" i="7"/>
  <c r="AP123" i="7"/>
  <c r="B123" i="7"/>
  <c r="AT122" i="7"/>
  <c r="AS122" i="7"/>
  <c r="AR122" i="7"/>
  <c r="AQ122" i="7"/>
  <c r="AP122" i="7"/>
  <c r="B122" i="7"/>
  <c r="AT121" i="7"/>
  <c r="AS121" i="7"/>
  <c r="AR121" i="7"/>
  <c r="AQ121" i="7"/>
  <c r="AP121" i="7"/>
  <c r="B121" i="7"/>
  <c r="B120" i="7"/>
  <c r="B119" i="7"/>
  <c r="B118" i="7"/>
  <c r="B117" i="7"/>
  <c r="AE116" i="7"/>
  <c r="AD116" i="7"/>
  <c r="AC116" i="7"/>
  <c r="AB116" i="7"/>
  <c r="AA116" i="7"/>
  <c r="B116" i="7"/>
  <c r="AE115" i="7"/>
  <c r="AD115" i="7"/>
  <c r="AC115" i="7"/>
  <c r="AB115" i="7"/>
  <c r="AA115" i="7"/>
  <c r="B115" i="7"/>
  <c r="V114" i="7"/>
  <c r="T114" i="7"/>
  <c r="R114" i="7"/>
  <c r="B114" i="7" s="1"/>
  <c r="P114" i="7"/>
  <c r="N114" i="7"/>
  <c r="L114" i="7"/>
  <c r="AE113" i="7"/>
  <c r="AD113" i="7"/>
  <c r="AC113" i="7"/>
  <c r="AB113" i="7"/>
  <c r="AA113" i="7"/>
  <c r="B113" i="7"/>
  <c r="AT112" i="7"/>
  <c r="AS112" i="7"/>
  <c r="AR112" i="7"/>
  <c r="AQ112" i="7"/>
  <c r="AP112" i="7"/>
  <c r="AE112" i="7"/>
  <c r="AD112" i="7"/>
  <c r="AC112" i="7"/>
  <c r="AB112" i="7"/>
  <c r="AA112" i="7"/>
  <c r="B112" i="7"/>
  <c r="AJ111" i="7"/>
  <c r="AI111" i="7"/>
  <c r="AH111" i="7"/>
  <c r="AG111" i="7"/>
  <c r="AF111" i="7"/>
  <c r="V111" i="7"/>
  <c r="T111" i="7"/>
  <c r="R111" i="7"/>
  <c r="B110" i="7"/>
  <c r="B109" i="7"/>
  <c r="AE108" i="7"/>
  <c r="AD108" i="7"/>
  <c r="AC108" i="7"/>
  <c r="AB108" i="7"/>
  <c r="AA108" i="7"/>
  <c r="B108" i="7"/>
  <c r="AE107" i="7"/>
  <c r="AD107" i="7"/>
  <c r="AC107" i="7"/>
  <c r="AB107" i="7"/>
  <c r="AA107" i="7"/>
  <c r="B107" i="7"/>
  <c r="AE106" i="7"/>
  <c r="AD106" i="7"/>
  <c r="AC106" i="7"/>
  <c r="AB106" i="7"/>
  <c r="AA106" i="7"/>
  <c r="B106" i="7"/>
  <c r="V105" i="7"/>
  <c r="T105" i="7"/>
  <c r="R105" i="7"/>
  <c r="P105" i="7"/>
  <c r="N105" i="7"/>
  <c r="L105" i="7"/>
  <c r="AT104" i="7"/>
  <c r="AS104" i="7"/>
  <c r="AR104" i="7"/>
  <c r="AQ104" i="7"/>
  <c r="AP104" i="7"/>
  <c r="AE104" i="7"/>
  <c r="AD104" i="7"/>
  <c r="AC104" i="7"/>
  <c r="AB104" i="7"/>
  <c r="AA104" i="7"/>
  <c r="B104" i="7"/>
  <c r="AT103" i="7"/>
  <c r="AS103" i="7"/>
  <c r="AR103" i="7"/>
  <c r="AQ103" i="7"/>
  <c r="AP103" i="7"/>
  <c r="AE103" i="7"/>
  <c r="AD103" i="7"/>
  <c r="AC103" i="7"/>
  <c r="AB103" i="7"/>
  <c r="AA103" i="7"/>
  <c r="B103" i="7"/>
  <c r="R102" i="7"/>
  <c r="V101" i="7"/>
  <c r="U101" i="7"/>
  <c r="T101" i="7"/>
  <c r="R101" i="7"/>
  <c r="P101" i="7"/>
  <c r="N101" i="7"/>
  <c r="L101" i="7"/>
  <c r="B100" i="7"/>
  <c r="B99" i="7"/>
  <c r="AT98" i="7"/>
  <c r="AS98" i="7"/>
  <c r="AR98" i="7"/>
  <c r="AQ98" i="7"/>
  <c r="AP98" i="7"/>
  <c r="AB98" i="7"/>
  <c r="AB118" i="7" s="1"/>
  <c r="B98" i="7"/>
  <c r="AJ97" i="7"/>
  <c r="AJ96" i="7" s="1"/>
  <c r="AJ110" i="7" s="1"/>
  <c r="AJ109" i="7" s="1"/>
  <c r="AI97" i="7"/>
  <c r="AI96" i="7" s="1"/>
  <c r="AI110" i="7" s="1"/>
  <c r="AI109" i="7" s="1"/>
  <c r="AH97" i="7"/>
  <c r="AH96" i="7" s="1"/>
  <c r="AH110" i="7" s="1"/>
  <c r="AG97" i="7"/>
  <c r="AG96" i="7" s="1"/>
  <c r="AG110" i="7" s="1"/>
  <c r="AF97" i="7"/>
  <c r="AF96" i="7" s="1"/>
  <c r="AF110" i="7" s="1"/>
  <c r="B97" i="7"/>
  <c r="R96" i="7"/>
  <c r="P96" i="7"/>
  <c r="N96" i="7"/>
  <c r="L96" i="7"/>
  <c r="B94" i="7"/>
  <c r="B93" i="7"/>
  <c r="B92" i="7"/>
  <c r="B91" i="7"/>
  <c r="V90" i="7"/>
  <c r="T90" i="7"/>
  <c r="R90" i="7"/>
  <c r="N90" i="7"/>
  <c r="L90" i="7"/>
  <c r="B89" i="7"/>
  <c r="B88" i="7"/>
  <c r="B87" i="7"/>
  <c r="AE86" i="7"/>
  <c r="AE111" i="7" s="1"/>
  <c r="AE158" i="7" s="1"/>
  <c r="AD86" i="7"/>
  <c r="AD111" i="7" s="1"/>
  <c r="AD158" i="7" s="1"/>
  <c r="AC86" i="7"/>
  <c r="AC111" i="7" s="1"/>
  <c r="AC158" i="7" s="1"/>
  <c r="AB86" i="7"/>
  <c r="AB111" i="7" s="1"/>
  <c r="AB158" i="7" s="1"/>
  <c r="AA86" i="7"/>
  <c r="AA111" i="7" s="1"/>
  <c r="AA158" i="7" s="1"/>
  <c r="B86" i="7"/>
  <c r="B85" i="7"/>
  <c r="V84" i="7"/>
  <c r="T84" i="7"/>
  <c r="R84" i="7"/>
  <c r="P84" i="7"/>
  <c r="N84" i="7"/>
  <c r="L84" i="7"/>
  <c r="AE83" i="7"/>
  <c r="AD83" i="7"/>
  <c r="AC83" i="7"/>
  <c r="AB83" i="7"/>
  <c r="AA83" i="7"/>
  <c r="B83" i="7"/>
  <c r="AE82" i="7"/>
  <c r="AD82" i="7"/>
  <c r="AC82" i="7"/>
  <c r="AB82" i="7"/>
  <c r="AB81" i="7" s="1"/>
  <c r="AB85" i="7" s="1"/>
  <c r="AA82" i="7"/>
  <c r="B82" i="7"/>
  <c r="B81" i="7"/>
  <c r="N81" i="7"/>
  <c r="L81" i="7"/>
  <c r="B78" i="7"/>
  <c r="T77" i="7"/>
  <c r="B77" i="7" s="1"/>
  <c r="B76" i="7"/>
  <c r="V75" i="7"/>
  <c r="T75" i="7"/>
  <c r="R75" i="7"/>
  <c r="B75" i="7"/>
  <c r="B74" i="7"/>
  <c r="B73" i="7"/>
  <c r="B72" i="7"/>
  <c r="B70" i="7"/>
  <c r="B69" i="7"/>
  <c r="B68" i="7"/>
  <c r="B67" i="7"/>
  <c r="B66" i="7"/>
  <c r="B65" i="7"/>
  <c r="B64" i="7"/>
  <c r="B63" i="7"/>
  <c r="B62" i="7"/>
  <c r="B61" i="7"/>
  <c r="B60" i="7"/>
  <c r="B59" i="7"/>
  <c r="B58" i="7"/>
  <c r="B57" i="7"/>
  <c r="B56" i="7"/>
  <c r="B55" i="7"/>
  <c r="B54" i="7"/>
  <c r="B53" i="7"/>
  <c r="B52" i="7"/>
  <c r="B51" i="7"/>
  <c r="B50" i="7"/>
  <c r="B48" i="7"/>
  <c r="B47" i="7"/>
  <c r="B46" i="7"/>
  <c r="B45" i="7"/>
  <c r="B44" i="7"/>
  <c r="B43" i="7"/>
  <c r="B42" i="7"/>
  <c r="B41" i="7"/>
  <c r="B39" i="7"/>
  <c r="B38" i="7"/>
  <c r="B37" i="7"/>
  <c r="B36" i="7"/>
  <c r="B35" i="7"/>
  <c r="V34" i="7"/>
  <c r="T34" i="7"/>
  <c r="R34" i="7"/>
  <c r="B34" i="7" s="1"/>
  <c r="P34" i="7"/>
  <c r="V33" i="7"/>
  <c r="T33" i="7"/>
  <c r="R33" i="7"/>
  <c r="P33" i="7"/>
  <c r="B32" i="7"/>
  <c r="B31" i="7"/>
  <c r="B30" i="7"/>
  <c r="B29" i="7"/>
  <c r="B28" i="7"/>
  <c r="B27" i="7"/>
  <c r="B26" i="7"/>
  <c r="B24" i="7"/>
  <c r="B23" i="7"/>
  <c r="B22" i="7"/>
  <c r="B21" i="7"/>
  <c r="B20" i="7"/>
  <c r="B19" i="7"/>
  <c r="B18" i="7"/>
  <c r="B17" i="7"/>
  <c r="B16" i="7"/>
  <c r="T325" i="2"/>
  <c r="Y354" i="7" s="1"/>
  <c r="R325" i="2"/>
  <c r="T324" i="2"/>
  <c r="R324" i="2"/>
  <c r="V341" i="2"/>
  <c r="T341" i="2"/>
  <c r="R341" i="2"/>
  <c r="T344" i="2"/>
  <c r="R344" i="2"/>
  <c r="T343" i="2"/>
  <c r="R343" i="2"/>
  <c r="T412" i="2"/>
  <c r="R412" i="2"/>
  <c r="T411" i="2"/>
  <c r="R411" i="2"/>
  <c r="X451" i="7" s="1"/>
  <c r="T407" i="2"/>
  <c r="N2099" i="8" s="1"/>
  <c r="R407" i="2"/>
  <c r="T406" i="2"/>
  <c r="N2092" i="8" s="1"/>
  <c r="R406" i="2"/>
  <c r="T404" i="2"/>
  <c r="R404" i="2"/>
  <c r="T403" i="2"/>
  <c r="N2071" i="8" s="1"/>
  <c r="R403" i="2"/>
  <c r="T402" i="2"/>
  <c r="N2064" i="8" s="1"/>
  <c r="R402" i="2"/>
  <c r="T401" i="2"/>
  <c r="T267" i="2"/>
  <c r="R267" i="2"/>
  <c r="T266" i="2"/>
  <c r="R266" i="2"/>
  <c r="T262" i="2"/>
  <c r="T296" i="2" s="1"/>
  <c r="T261" i="2"/>
  <c r="R261" i="2"/>
  <c r="T248" i="2"/>
  <c r="R248" i="2"/>
  <c r="T247" i="2"/>
  <c r="R247" i="2"/>
  <c r="T255" i="2"/>
  <c r="Y275" i="7" s="1"/>
  <c r="R255" i="2"/>
  <c r="X275" i="7" s="1"/>
  <c r="T254" i="2"/>
  <c r="R254" i="2"/>
  <c r="X274" i="7" s="1"/>
  <c r="T252" i="2"/>
  <c r="R252" i="2"/>
  <c r="T251" i="2"/>
  <c r="R251" i="2"/>
  <c r="X271" i="7" s="1"/>
  <c r="T235" i="2"/>
  <c r="R235" i="2"/>
  <c r="T234" i="2"/>
  <c r="R234" i="2"/>
  <c r="T231" i="2"/>
  <c r="R231" i="2"/>
  <c r="T230" i="2"/>
  <c r="R230" i="2"/>
  <c r="T229" i="2"/>
  <c r="R229" i="2"/>
  <c r="T228" i="2"/>
  <c r="R228" i="2"/>
  <c r="T227" i="2"/>
  <c r="R227" i="2"/>
  <c r="T226" i="2"/>
  <c r="R226" i="2"/>
  <c r="T225" i="2"/>
  <c r="R225" i="2"/>
  <c r="T214" i="2"/>
  <c r="R214" i="2"/>
  <c r="T213" i="2"/>
  <c r="R213" i="2"/>
  <c r="T212" i="2"/>
  <c r="R212" i="2"/>
  <c r="T207" i="2"/>
  <c r="R207" i="2"/>
  <c r="T206" i="2"/>
  <c r="R206" i="2"/>
  <c r="T205" i="2"/>
  <c r="R205" i="2"/>
  <c r="T204" i="2"/>
  <c r="R204" i="2"/>
  <c r="T203" i="2"/>
  <c r="R203" i="2"/>
  <c r="T202" i="2"/>
  <c r="R202" i="2"/>
  <c r="T201" i="2"/>
  <c r="R201" i="2"/>
  <c r="T200" i="2"/>
  <c r="R200" i="2"/>
  <c r="T199" i="2"/>
  <c r="R199" i="2"/>
  <c r="T198" i="2"/>
  <c r="R198" i="2"/>
  <c r="T197" i="2"/>
  <c r="R197" i="2"/>
  <c r="V82" i="2"/>
  <c r="R400" i="2"/>
  <c r="X438" i="7" s="1"/>
  <c r="R401" i="2"/>
  <c r="T417" i="2"/>
  <c r="T416" i="2"/>
  <c r="R417" i="2"/>
  <c r="R416" i="2"/>
  <c r="X456" i="7" s="1"/>
  <c r="T400" i="2"/>
  <c r="V171" i="2"/>
  <c r="T171" i="2"/>
  <c r="R171" i="2"/>
  <c r="AE454" i="6"/>
  <c r="AC454" i="6"/>
  <c r="AA454" i="6"/>
  <c r="Z454" i="6"/>
  <c r="X454" i="6"/>
  <c r="V454" i="6"/>
  <c r="U454" i="6"/>
  <c r="S454" i="6"/>
  <c r="Q454" i="6"/>
  <c r="P454" i="6"/>
  <c r="N454" i="6"/>
  <c r="L454" i="6"/>
  <c r="AE432" i="6"/>
  <c r="AC432" i="6"/>
  <c r="AA432" i="6"/>
  <c r="Z432" i="6"/>
  <c r="X432" i="6"/>
  <c r="V432" i="6"/>
  <c r="U432" i="6"/>
  <c r="S432" i="6"/>
  <c r="Q432" i="6"/>
  <c r="P432" i="6"/>
  <c r="N432" i="6"/>
  <c r="L432" i="6"/>
  <c r="AE429" i="6"/>
  <c r="AC429" i="6"/>
  <c r="AA429" i="6"/>
  <c r="Z429" i="6"/>
  <c r="X429" i="6"/>
  <c r="V429" i="6"/>
  <c r="U429" i="6"/>
  <c r="S429" i="6"/>
  <c r="Q429" i="6"/>
  <c r="P429" i="6"/>
  <c r="N429" i="6"/>
  <c r="L429" i="6"/>
  <c r="AE426" i="6"/>
  <c r="AC426" i="6"/>
  <c r="AA426" i="6"/>
  <c r="Z426" i="6"/>
  <c r="Q426" i="6"/>
  <c r="P426" i="6"/>
  <c r="N426" i="6"/>
  <c r="L426" i="6"/>
  <c r="AE421" i="6"/>
  <c r="AC421" i="6"/>
  <c r="AA421" i="6"/>
  <c r="Z421" i="6"/>
  <c r="X421" i="6"/>
  <c r="V421" i="6"/>
  <c r="U421" i="6"/>
  <c r="S421" i="6"/>
  <c r="Q421" i="6"/>
  <c r="P421" i="6"/>
  <c r="N421" i="6"/>
  <c r="L421" i="6"/>
  <c r="AE417" i="6"/>
  <c r="AC417" i="6"/>
  <c r="AA417" i="6"/>
  <c r="Z417" i="6"/>
  <c r="X417" i="6"/>
  <c r="V417" i="6"/>
  <c r="U417" i="6"/>
  <c r="S417" i="6"/>
  <c r="Q417" i="6"/>
  <c r="P417" i="6"/>
  <c r="N417" i="6"/>
  <c r="L417" i="6"/>
  <c r="AE414" i="6"/>
  <c r="AC414" i="6"/>
  <c r="AA414" i="6"/>
  <c r="Z414" i="6"/>
  <c r="X414" i="6"/>
  <c r="V414" i="6"/>
  <c r="U414" i="6"/>
  <c r="S414" i="6"/>
  <c r="Q414" i="6"/>
  <c r="P414" i="6"/>
  <c r="N414" i="6"/>
  <c r="L414" i="6"/>
  <c r="AE411" i="6"/>
  <c r="AC411" i="6"/>
  <c r="AA411" i="6"/>
  <c r="Z411" i="6"/>
  <c r="X411" i="6"/>
  <c r="V411" i="6"/>
  <c r="U411" i="6"/>
  <c r="S411" i="6"/>
  <c r="Q411" i="6"/>
  <c r="P411" i="6"/>
  <c r="O411" i="6"/>
  <c r="N411" i="6"/>
  <c r="L411" i="6"/>
  <c r="N402" i="6"/>
  <c r="L402" i="6"/>
  <c r="X347" i="6"/>
  <c r="V347" i="6"/>
  <c r="U347" i="6"/>
  <c r="S347" i="6"/>
  <c r="Q347" i="6"/>
  <c r="P347" i="6"/>
  <c r="N347" i="6"/>
  <c r="L347" i="6"/>
  <c r="Z344" i="6"/>
  <c r="X344" i="6"/>
  <c r="V344" i="6"/>
  <c r="U344" i="6"/>
  <c r="S344" i="6"/>
  <c r="Q344" i="6"/>
  <c r="P344" i="6"/>
  <c r="N344" i="6"/>
  <c r="L344" i="6"/>
  <c r="X336" i="6"/>
  <c r="V336" i="6"/>
  <c r="S336" i="6"/>
  <c r="Q336" i="6"/>
  <c r="N336" i="6"/>
  <c r="L336" i="6"/>
  <c r="Z321" i="6"/>
  <c r="X321" i="6"/>
  <c r="V321" i="6"/>
  <c r="U321" i="6"/>
  <c r="S321" i="6"/>
  <c r="Q321" i="6"/>
  <c r="P321" i="6"/>
  <c r="N321" i="6"/>
  <c r="L321" i="6"/>
  <c r="Z318" i="6"/>
  <c r="X318" i="6"/>
  <c r="V318" i="6"/>
  <c r="U318" i="6"/>
  <c r="S318" i="6"/>
  <c r="Q318" i="6"/>
  <c r="P318" i="6"/>
  <c r="N318" i="6"/>
  <c r="L318" i="6"/>
  <c r="Z284" i="6"/>
  <c r="X284" i="6"/>
  <c r="V284" i="6"/>
  <c r="U284" i="6"/>
  <c r="S284" i="6"/>
  <c r="Q284" i="6"/>
  <c r="P284" i="6"/>
  <c r="N284" i="6"/>
  <c r="L284" i="6"/>
  <c r="Z282" i="6"/>
  <c r="X282" i="6"/>
  <c r="V282" i="6"/>
  <c r="U282" i="6"/>
  <c r="S282" i="6"/>
  <c r="Q282" i="6"/>
  <c r="P282" i="6"/>
  <c r="N282" i="6"/>
  <c r="L282" i="6"/>
  <c r="X279" i="6"/>
  <c r="V279" i="6"/>
  <c r="U279" i="6"/>
  <c r="S279" i="6"/>
  <c r="Q279" i="6"/>
  <c r="P279" i="6"/>
  <c r="N279" i="6"/>
  <c r="L279" i="6"/>
  <c r="Z272" i="6"/>
  <c r="X272" i="6"/>
  <c r="V272" i="6"/>
  <c r="U272" i="6"/>
  <c r="S272" i="6"/>
  <c r="Q272" i="6"/>
  <c r="P272" i="6"/>
  <c r="N272" i="6"/>
  <c r="L272" i="6"/>
  <c r="Z269" i="6"/>
  <c r="X269" i="6"/>
  <c r="V269" i="6"/>
  <c r="U269" i="6"/>
  <c r="S269" i="6"/>
  <c r="Q269" i="6"/>
  <c r="P269" i="6"/>
  <c r="N269" i="6"/>
  <c r="L269" i="6"/>
  <c r="Z250" i="6"/>
  <c r="X250" i="6"/>
  <c r="V250" i="6"/>
  <c r="U250" i="6"/>
  <c r="S250" i="6"/>
  <c r="Q250" i="6"/>
  <c r="P250" i="6"/>
  <c r="N250" i="6"/>
  <c r="L250" i="6"/>
  <c r="Z239" i="6"/>
  <c r="X239" i="6"/>
  <c r="V239" i="6"/>
  <c r="U239" i="6"/>
  <c r="S239" i="6"/>
  <c r="Q239" i="6"/>
  <c r="P239" i="6"/>
  <c r="N239" i="6"/>
  <c r="L239" i="6"/>
  <c r="AT236" i="7"/>
  <c r="AR236" i="7"/>
  <c r="AP236" i="7"/>
  <c r="Z205" i="6"/>
  <c r="X205" i="6"/>
  <c r="V205" i="6"/>
  <c r="U205" i="6"/>
  <c r="S205" i="6"/>
  <c r="Q205" i="6"/>
  <c r="P205" i="6"/>
  <c r="N205" i="6"/>
  <c r="L205" i="6"/>
  <c r="Z164" i="6"/>
  <c r="X164" i="6"/>
  <c r="V164" i="6"/>
  <c r="U164" i="6"/>
  <c r="S164" i="6"/>
  <c r="Q164" i="6"/>
  <c r="P164" i="6"/>
  <c r="N164" i="6"/>
  <c r="L164" i="6"/>
  <c r="Z161" i="6"/>
  <c r="X161" i="6"/>
  <c r="V161" i="6"/>
  <c r="U161" i="6"/>
  <c r="S161" i="6"/>
  <c r="Q161" i="6"/>
  <c r="P161" i="6"/>
  <c r="N161" i="6"/>
  <c r="L161" i="6"/>
  <c r="Z148" i="6"/>
  <c r="X148" i="6"/>
  <c r="V148" i="6"/>
  <c r="U148" i="6"/>
  <c r="S148" i="6"/>
  <c r="Q148" i="6"/>
  <c r="P148" i="6"/>
  <c r="N148" i="6"/>
  <c r="L148" i="6"/>
  <c r="Z129" i="6"/>
  <c r="X129" i="6"/>
  <c r="V129" i="6"/>
  <c r="U129" i="6"/>
  <c r="S129" i="6"/>
  <c r="Q129" i="6"/>
  <c r="P129" i="6"/>
  <c r="N129" i="6"/>
  <c r="L129" i="6"/>
  <c r="Z124" i="6"/>
  <c r="X124" i="6"/>
  <c r="V124" i="6"/>
  <c r="U124" i="6"/>
  <c r="S124" i="6"/>
  <c r="Q124" i="6"/>
  <c r="P124" i="6"/>
  <c r="N124" i="6"/>
  <c r="L124" i="6"/>
  <c r="Z113" i="6"/>
  <c r="X113" i="6"/>
  <c r="V113" i="6"/>
  <c r="U113" i="6"/>
  <c r="S113" i="6"/>
  <c r="Q113" i="6"/>
  <c r="P113" i="6"/>
  <c r="N113" i="6"/>
  <c r="L113" i="6"/>
  <c r="Z108" i="6"/>
  <c r="X108" i="6"/>
  <c r="V108" i="6"/>
  <c r="U108" i="6"/>
  <c r="S108" i="6"/>
  <c r="Q108" i="6"/>
  <c r="P108" i="6"/>
  <c r="N108" i="6"/>
  <c r="L108" i="6"/>
  <c r="Z104" i="6"/>
  <c r="X104" i="6"/>
  <c r="V104" i="6"/>
  <c r="U104" i="6"/>
  <c r="S104" i="6"/>
  <c r="Q104" i="6"/>
  <c r="P104" i="6"/>
  <c r="N104" i="6"/>
  <c r="L104" i="6"/>
  <c r="Z101" i="6"/>
  <c r="X101" i="6"/>
  <c r="V101" i="6"/>
  <c r="U101" i="6"/>
  <c r="S101" i="6"/>
  <c r="Q101" i="6"/>
  <c r="P101" i="6"/>
  <c r="N101" i="6"/>
  <c r="L101" i="6"/>
  <c r="Z100" i="6"/>
  <c r="X100" i="6"/>
  <c r="V100" i="6"/>
  <c r="U100" i="6"/>
  <c r="S100" i="6"/>
  <c r="Q100" i="6"/>
  <c r="P100" i="6"/>
  <c r="N100" i="6"/>
  <c r="L100" i="6"/>
  <c r="Z95" i="6"/>
  <c r="X95" i="6"/>
  <c r="V95" i="6"/>
  <c r="U95" i="6"/>
  <c r="S95" i="6"/>
  <c r="Q95" i="6"/>
  <c r="P95" i="6"/>
  <c r="N95" i="6"/>
  <c r="L95" i="6"/>
  <c r="Z89" i="6"/>
  <c r="X89" i="6"/>
  <c r="V89" i="6"/>
  <c r="U89" i="6"/>
  <c r="S89" i="6"/>
  <c r="Q89" i="6"/>
  <c r="P89" i="6"/>
  <c r="N89" i="6"/>
  <c r="L89" i="6"/>
  <c r="Z83" i="6"/>
  <c r="X83" i="6"/>
  <c r="V83" i="6"/>
  <c r="U83" i="6"/>
  <c r="S83" i="6"/>
  <c r="Q83" i="6"/>
  <c r="P83" i="6"/>
  <c r="N83" i="6"/>
  <c r="L83" i="6"/>
  <c r="AF251" i="7" l="1"/>
  <c r="AJ352" i="7"/>
  <c r="AF240" i="7"/>
  <c r="AI240" i="7"/>
  <c r="AI206" i="7"/>
  <c r="AI282" i="7" s="1"/>
  <c r="AI280" i="7" s="1"/>
  <c r="AG251" i="7"/>
  <c r="AH352" i="7"/>
  <c r="AH109" i="7"/>
  <c r="AM240" i="7"/>
  <c r="AN240" i="7"/>
  <c r="AN251" i="7"/>
  <c r="AS240" i="7"/>
  <c r="AT251" i="7"/>
  <c r="AS156" i="7"/>
  <c r="X209" i="7"/>
  <c r="Y209" i="7"/>
  <c r="N2163" i="8"/>
  <c r="N2135" i="8"/>
  <c r="N2170" i="8"/>
  <c r="N2078" i="8"/>
  <c r="Y274" i="7"/>
  <c r="Y273" i="7" s="1"/>
  <c r="N2051" i="8"/>
  <c r="N2049" i="8" s="1"/>
  <c r="N2058" i="8"/>
  <c r="N2056" i="8" s="1"/>
  <c r="N2128" i="8"/>
  <c r="AD251" i="7"/>
  <c r="AB337" i="7"/>
  <c r="AD240" i="7"/>
  <c r="AA81" i="7"/>
  <c r="AA85" i="7" s="1"/>
  <c r="AA337" i="7"/>
  <c r="Y245" i="7"/>
  <c r="Y457" i="7"/>
  <c r="X207" i="7"/>
  <c r="X214" i="7"/>
  <c r="Y439" i="7"/>
  <c r="X445" i="7"/>
  <c r="L2092" i="8"/>
  <c r="R253" i="2"/>
  <c r="X457" i="7"/>
  <c r="X455" i="7" s="1"/>
  <c r="L2170" i="8"/>
  <c r="Y207" i="7"/>
  <c r="T415" i="2"/>
  <c r="Y210" i="7"/>
  <c r="Y218" i="7"/>
  <c r="Y242" i="7"/>
  <c r="Y252" i="7"/>
  <c r="Y267" i="7"/>
  <c r="X441" i="7"/>
  <c r="L2064" i="8"/>
  <c r="X452" i="7"/>
  <c r="L2135" i="8"/>
  <c r="T323" i="2"/>
  <c r="X215" i="7"/>
  <c r="Y216" i="7"/>
  <c r="X241" i="7"/>
  <c r="X375" i="7"/>
  <c r="X210" i="7"/>
  <c r="X267" i="7"/>
  <c r="X354" i="7"/>
  <c r="X216" i="7"/>
  <c r="X219" i="7"/>
  <c r="X244" i="7"/>
  <c r="X253" i="7"/>
  <c r="X268" i="7"/>
  <c r="Y441" i="7"/>
  <c r="Y215" i="7"/>
  <c r="Y241" i="7"/>
  <c r="Y240" i="7" s="1"/>
  <c r="X286" i="7"/>
  <c r="Y375" i="7"/>
  <c r="Y438" i="7"/>
  <c r="X208" i="7"/>
  <c r="X371" i="7"/>
  <c r="Y208" i="7"/>
  <c r="R233" i="2"/>
  <c r="Y268" i="7"/>
  <c r="X229" i="7"/>
  <c r="Y451" i="7"/>
  <c r="R250" i="2"/>
  <c r="Y442" i="7"/>
  <c r="Y374" i="7"/>
  <c r="X213" i="7"/>
  <c r="Y214" i="7"/>
  <c r="X228" i="7"/>
  <c r="Y229" i="7"/>
  <c r="X248" i="7"/>
  <c r="Y249" i="7"/>
  <c r="X281" i="7"/>
  <c r="Y272" i="7"/>
  <c r="Y445" i="7"/>
  <c r="X287" i="7"/>
  <c r="Y287" i="7"/>
  <c r="Y353" i="7"/>
  <c r="Y352" i="7" s="1"/>
  <c r="X218" i="7"/>
  <c r="Y244" i="7"/>
  <c r="X442" i="7"/>
  <c r="L2071" i="8"/>
  <c r="T250" i="2"/>
  <c r="L2078" i="8"/>
  <c r="X212" i="7"/>
  <c r="Y213" i="7"/>
  <c r="X227" i="7"/>
  <c r="Y228" i="7"/>
  <c r="X247" i="7"/>
  <c r="Y248" i="7"/>
  <c r="Y281" i="7"/>
  <c r="X443" i="7"/>
  <c r="Y452" i="7"/>
  <c r="Y181" i="7"/>
  <c r="Y371" i="7"/>
  <c r="X181" i="7"/>
  <c r="Z181" i="7"/>
  <c r="X446" i="7"/>
  <c r="L2099" i="8"/>
  <c r="Z371" i="7"/>
  <c r="Y446" i="7"/>
  <c r="X353" i="7"/>
  <c r="L2128" i="8"/>
  <c r="X242" i="7"/>
  <c r="X439" i="7"/>
  <c r="L2058" i="8"/>
  <c r="L2056" i="8" s="1"/>
  <c r="Y219" i="7"/>
  <c r="X374" i="7"/>
  <c r="X249" i="7"/>
  <c r="Y286" i="7"/>
  <c r="Y212" i="7"/>
  <c r="Y227" i="7"/>
  <c r="X245" i="7"/>
  <c r="Y247" i="7"/>
  <c r="X272" i="7"/>
  <c r="X270" i="7" s="1"/>
  <c r="Y443" i="7"/>
  <c r="AS251" i="7"/>
  <c r="AR150" i="7"/>
  <c r="AQ240" i="7"/>
  <c r="AT240" i="7"/>
  <c r="AP240" i="7"/>
  <c r="AR240" i="7"/>
  <c r="AT150" i="7"/>
  <c r="AT153" i="7"/>
  <c r="AT102" i="7"/>
  <c r="AT97" i="7" s="1"/>
  <c r="AT96" i="7" s="1"/>
  <c r="AT113" i="7" s="1"/>
  <c r="AG240" i="7"/>
  <c r="AO240" i="7"/>
  <c r="B251" i="7"/>
  <c r="AH251" i="7"/>
  <c r="AP251" i="7"/>
  <c r="AM206" i="7"/>
  <c r="AM282" i="7" s="1"/>
  <c r="AI251" i="7"/>
  <c r="AQ251" i="7"/>
  <c r="AF206" i="7"/>
  <c r="AF282" i="7" s="1"/>
  <c r="AF280" i="7" s="1"/>
  <c r="AJ251" i="7"/>
  <c r="AR251" i="7"/>
  <c r="AF352" i="7"/>
  <c r="AS352" i="7"/>
  <c r="AG206" i="7"/>
  <c r="AG282" i="7" s="1"/>
  <c r="AG280" i="7" s="1"/>
  <c r="X273" i="7"/>
  <c r="B291" i="7"/>
  <c r="AC337" i="7"/>
  <c r="AG352" i="7"/>
  <c r="B33" i="7"/>
  <c r="AA84" i="7"/>
  <c r="AS102" i="7"/>
  <c r="AS97" i="7" s="1"/>
  <c r="AS96" i="7" s="1"/>
  <c r="AS113" i="7" s="1"/>
  <c r="B105" i="7"/>
  <c r="AR153" i="7"/>
  <c r="AH206" i="7"/>
  <c r="AH282" i="7" s="1"/>
  <c r="AH280" i="7" s="1"/>
  <c r="AD337" i="7"/>
  <c r="B111" i="7"/>
  <c r="AN206" i="7"/>
  <c r="AN282" i="7" s="1"/>
  <c r="AC81" i="7"/>
  <c r="AC85" i="7" s="1"/>
  <c r="AC84" i="7" s="1"/>
  <c r="AC114" i="7"/>
  <c r="B101" i="7"/>
  <c r="AM280" i="7"/>
  <c r="AC105" i="7"/>
  <c r="AC98" i="7" s="1"/>
  <c r="AC118" i="7" s="1"/>
  <c r="AN236" i="7"/>
  <c r="AP102" i="7"/>
  <c r="AP97" i="7" s="1"/>
  <c r="AP96" i="7" s="1"/>
  <c r="AP113" i="7" s="1"/>
  <c r="AJ206" i="7"/>
  <c r="AJ282" i="7" s="1"/>
  <c r="AE251" i="7"/>
  <c r="AQ352" i="7"/>
  <c r="AA105" i="7"/>
  <c r="AA98" i="7" s="1"/>
  <c r="AA118" i="7" s="1"/>
  <c r="AE240" i="7"/>
  <c r="B455" i="7"/>
  <c r="AN280" i="7"/>
  <c r="AF109" i="7"/>
  <c r="AQ102" i="7"/>
  <c r="AQ97" i="7" s="1"/>
  <c r="AQ96" i="7" s="1"/>
  <c r="AQ113" i="7" s="1"/>
  <c r="AQ150" i="7"/>
  <c r="AP153" i="7"/>
  <c r="AP149" i="7" s="1"/>
  <c r="AP157" i="7" s="1"/>
  <c r="AP156" i="7" s="1"/>
  <c r="AK206" i="7"/>
  <c r="AK282" i="7" s="1"/>
  <c r="AK280" i="7" s="1"/>
  <c r="B294" i="7"/>
  <c r="AR352" i="7"/>
  <c r="Y285" i="7"/>
  <c r="AO206" i="7"/>
  <c r="AO282" i="7" s="1"/>
  <c r="AO280" i="7" s="1"/>
  <c r="AD81" i="7"/>
  <c r="AD85" i="7" s="1"/>
  <c r="AD84" i="7" s="1"/>
  <c r="AD114" i="7"/>
  <c r="AE114" i="7"/>
  <c r="AT352" i="7"/>
  <c r="B90" i="7"/>
  <c r="AG109" i="7"/>
  <c r="AR102" i="7"/>
  <c r="AR97" i="7" s="1"/>
  <c r="AR96" i="7" s="1"/>
  <c r="AR113" i="7" s="1"/>
  <c r="B149" i="7"/>
  <c r="AQ153" i="7"/>
  <c r="AL206" i="7"/>
  <c r="AL282" i="7" s="1"/>
  <c r="AL280" i="7" s="1"/>
  <c r="B418" i="7"/>
  <c r="B422" i="7"/>
  <c r="B96" i="7"/>
  <c r="B84" i="7"/>
  <c r="AE206" i="7"/>
  <c r="AE282" i="7" s="1"/>
  <c r="AE280" i="7" s="1"/>
  <c r="AE81" i="7"/>
  <c r="AE85" i="7" s="1"/>
  <c r="AE84" i="7" s="1"/>
  <c r="AE125" i="7"/>
  <c r="AD153" i="7"/>
  <c r="AA251" i="7"/>
  <c r="AE150" i="7"/>
  <c r="AA206" i="7"/>
  <c r="AA282" i="7" s="1"/>
  <c r="AA280" i="7" s="1"/>
  <c r="AC251" i="7"/>
  <c r="AC240" i="7"/>
  <c r="AA153" i="7"/>
  <c r="AD102" i="7"/>
  <c r="AD97" i="7" s="1"/>
  <c r="AA240" i="7"/>
  <c r="AC102" i="7"/>
  <c r="AC97" i="7" s="1"/>
  <c r="AC125" i="7"/>
  <c r="AC150" i="7"/>
  <c r="AE102" i="7"/>
  <c r="AE97" i="7" s="1"/>
  <c r="AD125" i="7"/>
  <c r="AA125" i="7"/>
  <c r="AD150" i="7"/>
  <c r="AC153" i="7"/>
  <c r="AB206" i="7"/>
  <c r="AB282" i="7" s="1"/>
  <c r="AB280" i="7" s="1"/>
  <c r="AA102" i="7"/>
  <c r="AA97" i="7" s="1"/>
  <c r="AC206" i="7"/>
  <c r="AC282" i="7" s="1"/>
  <c r="AA150" i="7"/>
  <c r="AD206" i="7"/>
  <c r="AD282" i="7" s="1"/>
  <c r="AD280" i="7" s="1"/>
  <c r="AD105" i="7"/>
  <c r="AD98" i="7" s="1"/>
  <c r="AD118" i="7" s="1"/>
  <c r="AE153" i="7"/>
  <c r="AE105" i="7"/>
  <c r="AE98" i="7" s="1"/>
  <c r="AE118" i="7" s="1"/>
  <c r="AA114" i="7"/>
  <c r="AB149" i="7"/>
  <c r="AB157" i="7" s="1"/>
  <c r="AB156" i="7" s="1"/>
  <c r="T233" i="2"/>
  <c r="T260" i="2"/>
  <c r="X252" i="7"/>
  <c r="Y253" i="7"/>
  <c r="T196" i="2"/>
  <c r="Y271" i="7"/>
  <c r="Y456" i="7"/>
  <c r="R196" i="2"/>
  <c r="R262" i="2" s="1"/>
  <c r="R296" i="2" s="1"/>
  <c r="T253" i="2"/>
  <c r="R224" i="2"/>
  <c r="R415" i="2"/>
  <c r="T224" i="2"/>
  <c r="AO236" i="7"/>
  <c r="AC280" i="7"/>
  <c r="B412" i="7"/>
  <c r="B102" i="7"/>
  <c r="AH236" i="7"/>
  <c r="B190" i="7"/>
  <c r="B184" i="7"/>
  <c r="B403" i="7"/>
  <c r="B162" i="7"/>
  <c r="AB102" i="7"/>
  <c r="AB97" i="7" s="1"/>
  <c r="AB96" i="7" s="1"/>
  <c r="AL236" i="7"/>
  <c r="AJ236" i="7"/>
  <c r="AJ280" i="7"/>
  <c r="L2163" i="8" l="1"/>
  <c r="L2158" i="8"/>
  <c r="L2156" i="8" s="1"/>
  <c r="N2158" i="8"/>
  <c r="N2156" i="8" s="1"/>
  <c r="AI236" i="7"/>
  <c r="AF236" i="7"/>
  <c r="X206" i="7"/>
  <c r="X282" i="7" s="1"/>
  <c r="X280" i="7" s="1"/>
  <c r="R260" i="2"/>
  <c r="Y455" i="7"/>
  <c r="X240" i="7"/>
  <c r="AC96" i="7"/>
  <c r="AC110" i="7" s="1"/>
  <c r="AC109" i="7" s="1"/>
  <c r="AD236" i="7"/>
  <c r="AC149" i="7"/>
  <c r="AC157" i="7" s="1"/>
  <c r="AC156" i="7" s="1"/>
  <c r="AD149" i="7"/>
  <c r="AD157" i="7" s="1"/>
  <c r="AD156" i="7" s="1"/>
  <c r="Y206" i="7"/>
  <c r="Y282" i="7" s="1"/>
  <c r="Y280" i="7" s="1"/>
  <c r="Y251" i="7"/>
  <c r="Y270" i="7"/>
  <c r="X251" i="7"/>
  <c r="AA96" i="7"/>
  <c r="AA110" i="7" s="1"/>
  <c r="AA109" i="7" s="1"/>
  <c r="AR149" i="7"/>
  <c r="AR157" i="7" s="1"/>
  <c r="AR156" i="7" s="1"/>
  <c r="AT149" i="7"/>
  <c r="AT157" i="7" s="1"/>
  <c r="AT156" i="7" s="1"/>
  <c r="AM236" i="7"/>
  <c r="AG236" i="7"/>
  <c r="AK236" i="7"/>
  <c r="AE149" i="7"/>
  <c r="AE157" i="7" s="1"/>
  <c r="AE156" i="7" s="1"/>
  <c r="AB236" i="7"/>
  <c r="AD96" i="7"/>
  <c r="AD110" i="7" s="1"/>
  <c r="AD109" i="7" s="1"/>
  <c r="AQ149" i="7"/>
  <c r="AE96" i="7"/>
  <c r="AE119" i="7" s="1"/>
  <c r="AE117" i="7" s="1"/>
  <c r="AA149" i="7"/>
  <c r="AA157" i="7" s="1"/>
  <c r="AA156" i="7" s="1"/>
  <c r="AC119" i="7"/>
  <c r="AC117" i="7" s="1"/>
  <c r="AA119" i="7"/>
  <c r="AA117" i="7" s="1"/>
  <c r="AB110" i="7"/>
  <c r="AB109" i="7" s="1"/>
  <c r="AB119" i="7"/>
  <c r="AB117" i="7" s="1"/>
  <c r="AD119" i="7" l="1"/>
  <c r="AD117" i="7" s="1"/>
  <c r="AE110" i="7"/>
  <c r="AE109" i="7" s="1"/>
  <c r="BI455" i="5"/>
  <c r="BG455" i="5"/>
  <c r="BE455" i="5"/>
  <c r="BD455" i="5"/>
  <c r="BB455" i="5"/>
  <c r="AZ455" i="5"/>
  <c r="AY455" i="5"/>
  <c r="AW455" i="5"/>
  <c r="AU455" i="5"/>
  <c r="AN455" i="5"/>
  <c r="AM455" i="5"/>
  <c r="AL455" i="5"/>
  <c r="AK455" i="5"/>
  <c r="AJ455" i="5"/>
  <c r="AI455" i="5"/>
  <c r="AH455" i="5"/>
  <c r="AG455" i="5"/>
  <c r="AF455" i="5"/>
  <c r="AE455" i="5"/>
  <c r="AD455" i="5"/>
  <c r="AC455" i="5"/>
  <c r="AB455" i="5"/>
  <c r="Z455" i="5"/>
  <c r="X455" i="5"/>
  <c r="V455" i="5"/>
  <c r="T455" i="5"/>
  <c r="R455" i="5"/>
  <c r="P455" i="5"/>
  <c r="O455" i="5"/>
  <c r="N455" i="5"/>
  <c r="L455" i="5"/>
  <c r="BI433" i="5"/>
  <c r="BG433" i="5"/>
  <c r="BE433" i="5"/>
  <c r="BD433" i="5"/>
  <c r="BB433" i="5"/>
  <c r="AZ433" i="5"/>
  <c r="AY433" i="5"/>
  <c r="AW433" i="5"/>
  <c r="AU433" i="5"/>
  <c r="AN433" i="5"/>
  <c r="AM433" i="5"/>
  <c r="AL433" i="5"/>
  <c r="AK433" i="5"/>
  <c r="AJ433" i="5"/>
  <c r="AI433" i="5"/>
  <c r="AH433" i="5"/>
  <c r="AG433" i="5"/>
  <c r="AF433" i="5"/>
  <c r="AE433" i="5"/>
  <c r="AD433" i="5"/>
  <c r="AC433" i="5"/>
  <c r="AB433" i="5"/>
  <c r="Z433" i="5"/>
  <c r="X433" i="5"/>
  <c r="V433" i="5"/>
  <c r="T433" i="5"/>
  <c r="R433" i="5"/>
  <c r="P433" i="5"/>
  <c r="N433" i="5"/>
  <c r="L433" i="5"/>
  <c r="BI430" i="5"/>
  <c r="BG430" i="5"/>
  <c r="BE430" i="5"/>
  <c r="BD430" i="5"/>
  <c r="BB430" i="5"/>
  <c r="AZ430" i="5"/>
  <c r="AY430" i="5"/>
  <c r="AW430" i="5"/>
  <c r="AU430" i="5"/>
  <c r="AN430" i="5"/>
  <c r="AM430" i="5"/>
  <c r="AL430" i="5"/>
  <c r="AK430" i="5"/>
  <c r="AJ430" i="5"/>
  <c r="AI430" i="5"/>
  <c r="AH430" i="5"/>
  <c r="AG430" i="5"/>
  <c r="AF430" i="5"/>
  <c r="AE430" i="5"/>
  <c r="AD430" i="5"/>
  <c r="AC430" i="5"/>
  <c r="AB430" i="5"/>
  <c r="Z430" i="5"/>
  <c r="X430" i="5"/>
  <c r="V430" i="5"/>
  <c r="T430" i="5"/>
  <c r="R430" i="5"/>
  <c r="P430" i="5"/>
  <c r="N430" i="5"/>
  <c r="L430" i="5"/>
  <c r="BI427" i="5"/>
  <c r="BG427" i="5"/>
  <c r="BE427" i="5"/>
  <c r="BD427" i="5"/>
  <c r="AU427" i="5"/>
  <c r="AN427" i="5"/>
  <c r="AM427" i="5"/>
  <c r="AL427" i="5"/>
  <c r="AK427" i="5"/>
  <c r="AJ427" i="5"/>
  <c r="AI427" i="5"/>
  <c r="AH427" i="5"/>
  <c r="AG427" i="5"/>
  <c r="AF427" i="5"/>
  <c r="AE427" i="5"/>
  <c r="AD427" i="5"/>
  <c r="AC427" i="5"/>
  <c r="AB427" i="5"/>
  <c r="Z427" i="5"/>
  <c r="X427" i="5"/>
  <c r="V427" i="5"/>
  <c r="T427" i="5"/>
  <c r="R427" i="5"/>
  <c r="P427" i="5"/>
  <c r="N427" i="5"/>
  <c r="L427" i="5"/>
  <c r="BI422" i="5"/>
  <c r="BG422" i="5"/>
  <c r="BE422" i="5"/>
  <c r="BD422" i="5"/>
  <c r="BB422" i="5"/>
  <c r="AZ422" i="5"/>
  <c r="AY422" i="5"/>
  <c r="AW422" i="5"/>
  <c r="AU422" i="5"/>
  <c r="AN422" i="5"/>
  <c r="AM422" i="5"/>
  <c r="AL422" i="5"/>
  <c r="AK422" i="5"/>
  <c r="AJ422" i="5"/>
  <c r="AI422" i="5"/>
  <c r="AH422" i="5"/>
  <c r="AG422" i="5"/>
  <c r="AF422" i="5"/>
  <c r="AE422" i="5"/>
  <c r="AD422" i="5"/>
  <c r="AC422" i="5"/>
  <c r="AB422" i="5"/>
  <c r="Z422" i="5"/>
  <c r="X422" i="5"/>
  <c r="V422" i="5"/>
  <c r="T422" i="5"/>
  <c r="R422" i="5"/>
  <c r="P422" i="5"/>
  <c r="N422" i="5"/>
  <c r="L422" i="5"/>
  <c r="BI418" i="5"/>
  <c r="BG418" i="5"/>
  <c r="BE418" i="5"/>
  <c r="BD418" i="5"/>
  <c r="BB418" i="5"/>
  <c r="AZ418" i="5"/>
  <c r="AY418" i="5"/>
  <c r="AW418" i="5"/>
  <c r="AU418" i="5"/>
  <c r="AN418" i="5"/>
  <c r="AM418" i="5"/>
  <c r="AL418" i="5"/>
  <c r="AK418" i="5"/>
  <c r="AJ418" i="5"/>
  <c r="AI418" i="5"/>
  <c r="AH418" i="5"/>
  <c r="AG418" i="5"/>
  <c r="AF418" i="5"/>
  <c r="AE418" i="5"/>
  <c r="AD418" i="5"/>
  <c r="AC418" i="5"/>
  <c r="AB418" i="5"/>
  <c r="Z418" i="5"/>
  <c r="X418" i="5"/>
  <c r="V418" i="5"/>
  <c r="T418" i="5"/>
  <c r="R418" i="5"/>
  <c r="P418" i="5"/>
  <c r="N418" i="5"/>
  <c r="L418" i="5"/>
  <c r="BI415" i="5"/>
  <c r="BG415" i="5"/>
  <c r="BE415" i="5"/>
  <c r="BD415" i="5"/>
  <c r="BB415" i="5"/>
  <c r="AZ415" i="5"/>
  <c r="AY415" i="5"/>
  <c r="AW415" i="5"/>
  <c r="AU415" i="5"/>
  <c r="AN415" i="5"/>
  <c r="AM415" i="5"/>
  <c r="AL415" i="5"/>
  <c r="AK415" i="5"/>
  <c r="AJ415" i="5"/>
  <c r="AI415" i="5"/>
  <c r="AH415" i="5"/>
  <c r="AG415" i="5"/>
  <c r="AF415" i="5"/>
  <c r="AE415" i="5"/>
  <c r="AD415" i="5"/>
  <c r="AC415" i="5"/>
  <c r="AB415" i="5"/>
  <c r="Z415" i="5"/>
  <c r="X415" i="5"/>
  <c r="V415" i="5"/>
  <c r="T415" i="5"/>
  <c r="R415" i="5"/>
  <c r="P415" i="5"/>
  <c r="N415" i="5"/>
  <c r="L415" i="5"/>
  <c r="BI412" i="5"/>
  <c r="BG412" i="5"/>
  <c r="BE412" i="5"/>
  <c r="BD412" i="5"/>
  <c r="BB412" i="5"/>
  <c r="AZ412" i="5"/>
  <c r="AY412" i="5"/>
  <c r="AW412" i="5"/>
  <c r="AU412" i="5"/>
  <c r="AT412" i="5"/>
  <c r="AR412" i="5"/>
  <c r="AN412" i="5"/>
  <c r="AM412" i="5"/>
  <c r="AL412" i="5"/>
  <c r="AK412" i="5"/>
  <c r="AJ412" i="5"/>
  <c r="AI412" i="5"/>
  <c r="AH412" i="5"/>
  <c r="AG412" i="5"/>
  <c r="AF412" i="5"/>
  <c r="AE412" i="5"/>
  <c r="AD412" i="5"/>
  <c r="AC412" i="5"/>
  <c r="AB412" i="5"/>
  <c r="Z412" i="5"/>
  <c r="X412" i="5"/>
  <c r="V412" i="5"/>
  <c r="T412" i="5"/>
  <c r="R412" i="5"/>
  <c r="P412" i="5"/>
  <c r="N412" i="5"/>
  <c r="L412" i="5"/>
  <c r="AM403" i="5"/>
  <c r="AL403" i="5"/>
  <c r="AJ403" i="5"/>
  <c r="AI403" i="5"/>
  <c r="AG403" i="5"/>
  <c r="AF403" i="5"/>
  <c r="AD403" i="5"/>
  <c r="AC403" i="5"/>
  <c r="Z403" i="5"/>
  <c r="X403" i="5"/>
  <c r="T403" i="5"/>
  <c r="R403" i="5"/>
  <c r="N403" i="5"/>
  <c r="L403" i="5"/>
  <c r="BB348" i="5"/>
  <c r="AZ348" i="5"/>
  <c r="AY348" i="5"/>
  <c r="AW348" i="5"/>
  <c r="AU348" i="5"/>
  <c r="AM348" i="5"/>
  <c r="AL348" i="5"/>
  <c r="AJ348" i="5"/>
  <c r="AI348" i="5"/>
  <c r="AG348" i="5"/>
  <c r="AF348" i="5"/>
  <c r="BI345" i="5"/>
  <c r="BG345" i="5"/>
  <c r="BE345" i="5"/>
  <c r="BD345" i="5"/>
  <c r="BB345" i="5"/>
  <c r="AZ345" i="5"/>
  <c r="AY345" i="5"/>
  <c r="AW345" i="5"/>
  <c r="AU345" i="5"/>
  <c r="AM345" i="5"/>
  <c r="AL345" i="5"/>
  <c r="AJ345" i="5"/>
  <c r="AI345" i="5"/>
  <c r="AG345" i="5"/>
  <c r="AF345" i="5"/>
  <c r="BB337" i="5"/>
  <c r="AZ337" i="5"/>
  <c r="AW337" i="5"/>
  <c r="AU337" i="5"/>
  <c r="AM337" i="5"/>
  <c r="AJ337" i="5"/>
  <c r="AG337" i="5"/>
  <c r="AC333" i="7"/>
  <c r="AA333" i="7"/>
  <c r="BI322" i="5"/>
  <c r="BG322" i="5"/>
  <c r="BE322" i="5"/>
  <c r="BD322" i="5"/>
  <c r="BB322" i="5"/>
  <c r="AZ322" i="5"/>
  <c r="AY322" i="5"/>
  <c r="AW322" i="5"/>
  <c r="AU322" i="5"/>
  <c r="AN322" i="5"/>
  <c r="AM322" i="5"/>
  <c r="AL322" i="5"/>
  <c r="AK322" i="5"/>
  <c r="AJ322" i="5"/>
  <c r="AI322" i="5"/>
  <c r="AH322" i="5"/>
  <c r="AG322" i="5"/>
  <c r="AF322" i="5"/>
  <c r="AE322" i="5"/>
  <c r="AD322" i="5"/>
  <c r="AC322" i="5"/>
  <c r="AB322" i="5"/>
  <c r="Z322" i="5"/>
  <c r="X322" i="5"/>
  <c r="V322" i="5"/>
  <c r="P322" i="5"/>
  <c r="N322" i="5"/>
  <c r="L322" i="5"/>
  <c r="BI318" i="5"/>
  <c r="BG318" i="5"/>
  <c r="BE318" i="5"/>
  <c r="BD318" i="5"/>
  <c r="BB318" i="5"/>
  <c r="AZ318" i="5"/>
  <c r="AY318" i="5"/>
  <c r="AW318" i="5"/>
  <c r="AU318" i="5"/>
  <c r="AN318" i="5"/>
  <c r="AM318" i="5"/>
  <c r="AL318" i="5"/>
  <c r="AK318" i="5"/>
  <c r="AJ318" i="5"/>
  <c r="AI318" i="5"/>
  <c r="AH318" i="5"/>
  <c r="AG318" i="5"/>
  <c r="AF318" i="5"/>
  <c r="AE318" i="5"/>
  <c r="AD318" i="5"/>
  <c r="AC318" i="5"/>
  <c r="AB318" i="5"/>
  <c r="Z318" i="5"/>
  <c r="X318" i="5"/>
  <c r="V318" i="5"/>
  <c r="P318" i="5"/>
  <c r="N318" i="5"/>
  <c r="L318" i="5"/>
  <c r="V307" i="5"/>
  <c r="V306" i="5"/>
  <c r="V305" i="5"/>
  <c r="AE298" i="7"/>
  <c r="V296" i="5"/>
  <c r="V295" i="5"/>
  <c r="V294" i="5"/>
  <c r="T294" i="5"/>
  <c r="R294" i="5"/>
  <c r="V293" i="5"/>
  <c r="T293" i="5"/>
  <c r="R293" i="5"/>
  <c r="V290" i="5"/>
  <c r="T290" i="5"/>
  <c r="R290" i="5"/>
  <c r="V289" i="5"/>
  <c r="BI284" i="5"/>
  <c r="BG284" i="5"/>
  <c r="BE284" i="5"/>
  <c r="BD284" i="5"/>
  <c r="BB284" i="5"/>
  <c r="AZ284" i="5"/>
  <c r="AY284" i="5"/>
  <c r="AW284" i="5"/>
  <c r="AU284" i="5"/>
  <c r="AN284" i="5"/>
  <c r="AM284" i="5"/>
  <c r="AL284" i="5"/>
  <c r="AK284" i="5"/>
  <c r="AJ284" i="5"/>
  <c r="AI284" i="5"/>
  <c r="AH284" i="5"/>
  <c r="AG284" i="5"/>
  <c r="AF284" i="5"/>
  <c r="AE284" i="5"/>
  <c r="AD284" i="5"/>
  <c r="AC284" i="5"/>
  <c r="AB284" i="5"/>
  <c r="Z284" i="5"/>
  <c r="X284" i="5"/>
  <c r="V284" i="5"/>
  <c r="T284" i="5"/>
  <c r="R284" i="5"/>
  <c r="P284" i="5"/>
  <c r="N284" i="5"/>
  <c r="L284" i="5"/>
  <c r="BI282" i="5"/>
  <c r="BG282" i="5"/>
  <c r="BE282" i="5"/>
  <c r="BD282" i="5"/>
  <c r="BB282" i="5"/>
  <c r="AZ282" i="5"/>
  <c r="AY282" i="5"/>
  <c r="AW282" i="5"/>
  <c r="AU282" i="5"/>
  <c r="AN282" i="5"/>
  <c r="AM282" i="5"/>
  <c r="AL282" i="5"/>
  <c r="AK282" i="5"/>
  <c r="AJ282" i="5"/>
  <c r="AI282" i="5"/>
  <c r="AH282" i="5"/>
  <c r="AG282" i="5"/>
  <c r="AF282" i="5"/>
  <c r="AE282" i="5"/>
  <c r="AD282" i="5"/>
  <c r="AC282" i="5"/>
  <c r="AB282" i="5"/>
  <c r="Z282" i="5"/>
  <c r="X282" i="5"/>
  <c r="V282" i="5"/>
  <c r="T282" i="5"/>
  <c r="R282" i="5"/>
  <c r="P282" i="5"/>
  <c r="N282" i="5"/>
  <c r="L282" i="5"/>
  <c r="BB279" i="5"/>
  <c r="AZ279" i="5"/>
  <c r="AY279" i="5"/>
  <c r="AW279" i="5"/>
  <c r="AU279" i="5"/>
  <c r="AN279" i="5"/>
  <c r="AM279" i="5"/>
  <c r="AL279" i="5"/>
  <c r="AK279" i="5"/>
  <c r="AJ279" i="5"/>
  <c r="AI279" i="5"/>
  <c r="AH279" i="5"/>
  <c r="AG279" i="5"/>
  <c r="AF279" i="5"/>
  <c r="AE279" i="5"/>
  <c r="AD279" i="5"/>
  <c r="AC279" i="5"/>
  <c r="AB279" i="5"/>
  <c r="Z279" i="5"/>
  <c r="X279" i="5"/>
  <c r="V279" i="5"/>
  <c r="T279" i="5"/>
  <c r="R279" i="5"/>
  <c r="P279" i="5"/>
  <c r="N279" i="5"/>
  <c r="L279" i="5"/>
  <c r="BI272" i="5"/>
  <c r="BG272" i="5"/>
  <c r="BE272" i="5"/>
  <c r="BD272" i="5"/>
  <c r="BB272" i="5"/>
  <c r="AZ272" i="5"/>
  <c r="AY272" i="5"/>
  <c r="AW272" i="5"/>
  <c r="AU272" i="5"/>
  <c r="AN272" i="5"/>
  <c r="AM272" i="5"/>
  <c r="AL272" i="5"/>
  <c r="AK272" i="5"/>
  <c r="AJ272" i="5"/>
  <c r="AI272" i="5"/>
  <c r="AH272" i="5"/>
  <c r="AG272" i="5"/>
  <c r="AF272" i="5"/>
  <c r="AE272" i="5"/>
  <c r="AD272" i="5"/>
  <c r="AC272" i="5"/>
  <c r="AB272" i="5"/>
  <c r="Z272" i="5"/>
  <c r="X272" i="5"/>
  <c r="V272" i="5"/>
  <c r="T272" i="5"/>
  <c r="R272" i="5"/>
  <c r="P272" i="5"/>
  <c r="N272" i="5"/>
  <c r="L272" i="5"/>
  <c r="BI269" i="5"/>
  <c r="BG269" i="5"/>
  <c r="BE269" i="5"/>
  <c r="BD269" i="5"/>
  <c r="BB269" i="5"/>
  <c r="AZ269" i="5"/>
  <c r="AY269" i="5"/>
  <c r="AW269" i="5"/>
  <c r="AU269" i="5"/>
  <c r="AN269" i="5"/>
  <c r="AM269" i="5"/>
  <c r="AL269" i="5"/>
  <c r="AK269" i="5"/>
  <c r="AJ269" i="5"/>
  <c r="AI269" i="5"/>
  <c r="AH269" i="5"/>
  <c r="AG269" i="5"/>
  <c r="AF269" i="5"/>
  <c r="AE269" i="5"/>
  <c r="AD269" i="5"/>
  <c r="AC269" i="5"/>
  <c r="AB269" i="5"/>
  <c r="Z269" i="5"/>
  <c r="X269" i="5"/>
  <c r="V269" i="5"/>
  <c r="T269" i="5"/>
  <c r="R269" i="5"/>
  <c r="P269" i="5"/>
  <c r="N269" i="5"/>
  <c r="L269" i="5"/>
  <c r="V264" i="5"/>
  <c r="V263" i="5"/>
  <c r="V262" i="5"/>
  <c r="V261" i="5"/>
  <c r="V260" i="5"/>
  <c r="V257" i="5"/>
  <c r="V256" i="5"/>
  <c r="V255" i="5"/>
  <c r="V254" i="5"/>
  <c r="BI250" i="5"/>
  <c r="BG250" i="5"/>
  <c r="BE250" i="5"/>
  <c r="BD250" i="5"/>
  <c r="BB250" i="5"/>
  <c r="AZ250" i="5"/>
  <c r="AY250" i="5"/>
  <c r="AW250" i="5"/>
  <c r="AU250" i="5"/>
  <c r="AE263" i="7"/>
  <c r="AC256" i="7"/>
  <c r="AA255" i="7"/>
  <c r="AN250" i="5"/>
  <c r="AM250" i="5"/>
  <c r="AL250" i="5"/>
  <c r="AK250" i="5"/>
  <c r="AJ250" i="5"/>
  <c r="AI250" i="5"/>
  <c r="AH250" i="5"/>
  <c r="AG250" i="5"/>
  <c r="AF250" i="5"/>
  <c r="AE250" i="5"/>
  <c r="AD250" i="5"/>
  <c r="AC250" i="5"/>
  <c r="AB250" i="5"/>
  <c r="Z250" i="5"/>
  <c r="X250" i="5"/>
  <c r="V250" i="5"/>
  <c r="T250" i="5"/>
  <c r="R250" i="5"/>
  <c r="P250" i="5"/>
  <c r="N250" i="5"/>
  <c r="L250" i="5"/>
  <c r="BI239" i="5"/>
  <c r="BG239" i="5"/>
  <c r="BE239" i="5"/>
  <c r="BD239" i="5"/>
  <c r="BB239" i="5"/>
  <c r="AZ239" i="5"/>
  <c r="AY239" i="5"/>
  <c r="AW239" i="5"/>
  <c r="AU239" i="5"/>
  <c r="AN239" i="5"/>
  <c r="AM239" i="5"/>
  <c r="AL239" i="5"/>
  <c r="AK239" i="5"/>
  <c r="AJ239" i="5"/>
  <c r="AI239" i="5"/>
  <c r="AH239" i="5"/>
  <c r="AG239" i="5"/>
  <c r="AF239" i="5"/>
  <c r="AE239" i="5"/>
  <c r="AD239" i="5"/>
  <c r="AC239" i="5"/>
  <c r="AB239" i="5"/>
  <c r="Z239" i="5"/>
  <c r="X239" i="5"/>
  <c r="V239" i="5"/>
  <c r="T239" i="5"/>
  <c r="R239" i="5"/>
  <c r="P239" i="5"/>
  <c r="N239" i="5"/>
  <c r="L239" i="5"/>
  <c r="V236" i="5"/>
  <c r="T236" i="5"/>
  <c r="R236" i="5"/>
  <c r="V235" i="5"/>
  <c r="T235" i="5"/>
  <c r="R235" i="5"/>
  <c r="AA235" i="7"/>
  <c r="AA236" i="7" s="1"/>
  <c r="AE214" i="7"/>
  <c r="V212" i="5"/>
  <c r="BI205" i="5"/>
  <c r="BG205" i="5"/>
  <c r="BE205" i="5"/>
  <c r="BD205" i="5"/>
  <c r="BB205" i="5"/>
  <c r="AZ205" i="5"/>
  <c r="AY205" i="5"/>
  <c r="AW205" i="5"/>
  <c r="AU205" i="5"/>
  <c r="AN205" i="5"/>
  <c r="AM205" i="5"/>
  <c r="AL205" i="5"/>
  <c r="AK205" i="5"/>
  <c r="AJ205" i="5"/>
  <c r="AI205" i="5"/>
  <c r="AH205" i="5"/>
  <c r="AG205" i="5"/>
  <c r="AF205" i="5"/>
  <c r="AE205" i="5"/>
  <c r="AD205" i="5"/>
  <c r="AC205" i="5"/>
  <c r="AB205" i="5"/>
  <c r="Z205" i="5"/>
  <c r="X205" i="5"/>
  <c r="V205" i="5"/>
  <c r="T205" i="5"/>
  <c r="R205" i="5"/>
  <c r="N205" i="5"/>
  <c r="L205" i="5"/>
  <c r="V189" i="5"/>
  <c r="T189" i="5"/>
  <c r="R189" i="5"/>
  <c r="P189" i="5"/>
  <c r="N189" i="5"/>
  <c r="L189" i="5"/>
  <c r="T183" i="5"/>
  <c r="R183" i="5"/>
  <c r="P183" i="5"/>
  <c r="N183" i="5"/>
  <c r="L183" i="5"/>
  <c r="BI164" i="5"/>
  <c r="BG164" i="5"/>
  <c r="BE164" i="5"/>
  <c r="BD164" i="5"/>
  <c r="BB164" i="5"/>
  <c r="AZ164" i="5"/>
  <c r="AY164" i="5"/>
  <c r="AW164" i="5"/>
  <c r="AU164" i="5"/>
  <c r="AN164" i="5"/>
  <c r="AM164" i="5"/>
  <c r="AL164" i="5"/>
  <c r="AK164" i="5"/>
  <c r="AJ164" i="5"/>
  <c r="AI164" i="5"/>
  <c r="AH164" i="5"/>
  <c r="AG164" i="5"/>
  <c r="AF164" i="5"/>
  <c r="AE164" i="5"/>
  <c r="AD164" i="5"/>
  <c r="AC164" i="5"/>
  <c r="AB164" i="5"/>
  <c r="Z164" i="5"/>
  <c r="X164" i="5"/>
  <c r="V164" i="5"/>
  <c r="T164" i="5"/>
  <c r="R164" i="5"/>
  <c r="P164" i="5"/>
  <c r="N164" i="5"/>
  <c r="L164" i="5"/>
  <c r="BI161" i="5"/>
  <c r="BG161" i="5"/>
  <c r="BE161" i="5"/>
  <c r="BD161" i="5"/>
  <c r="BB161" i="5"/>
  <c r="AZ161" i="5"/>
  <c r="AY161" i="5"/>
  <c r="AW161" i="5"/>
  <c r="AU161" i="5"/>
  <c r="AN161" i="5"/>
  <c r="AM161" i="5"/>
  <c r="AL161" i="5"/>
  <c r="AK161" i="5"/>
  <c r="AJ161" i="5"/>
  <c r="AI161" i="5"/>
  <c r="AH161" i="5"/>
  <c r="AG161" i="5"/>
  <c r="AF161" i="5"/>
  <c r="AE161" i="5"/>
  <c r="AD161" i="5"/>
  <c r="AC161" i="5"/>
  <c r="AB161" i="5"/>
  <c r="Z161" i="5"/>
  <c r="X161" i="5"/>
  <c r="V161" i="5"/>
  <c r="T161" i="5"/>
  <c r="R161" i="5"/>
  <c r="P161" i="5"/>
  <c r="N161" i="5"/>
  <c r="L161" i="5"/>
  <c r="BI148" i="5"/>
  <c r="BG148" i="5"/>
  <c r="BE148" i="5"/>
  <c r="BD148" i="5"/>
  <c r="BB148" i="5"/>
  <c r="AZ148" i="5"/>
  <c r="AY148" i="5"/>
  <c r="AW148" i="5"/>
  <c r="AU148" i="5"/>
  <c r="AN148" i="5"/>
  <c r="AM148" i="5"/>
  <c r="AL148" i="5"/>
  <c r="AK148" i="5"/>
  <c r="AJ148" i="5"/>
  <c r="AI148" i="5"/>
  <c r="AH148" i="5"/>
  <c r="AG148" i="5"/>
  <c r="AF148" i="5"/>
  <c r="AE148" i="5"/>
  <c r="AD148" i="5"/>
  <c r="AC148" i="5"/>
  <c r="AB148" i="5"/>
  <c r="Z148" i="5"/>
  <c r="Z155" i="5" s="1"/>
  <c r="X148" i="5"/>
  <c r="V148" i="5"/>
  <c r="T148" i="5"/>
  <c r="R148" i="5"/>
  <c r="N148" i="5"/>
  <c r="L148" i="5"/>
  <c r="BI129" i="5"/>
  <c r="BG129" i="5"/>
  <c r="BE129" i="5"/>
  <c r="BD129" i="5"/>
  <c r="BB129" i="5"/>
  <c r="AZ129" i="5"/>
  <c r="AY129" i="5"/>
  <c r="AW129" i="5"/>
  <c r="AU129" i="5"/>
  <c r="AN129" i="5"/>
  <c r="AM129" i="5"/>
  <c r="AL129" i="5"/>
  <c r="AK129" i="5"/>
  <c r="AJ129" i="5"/>
  <c r="AI129" i="5"/>
  <c r="AH129" i="5"/>
  <c r="AG129" i="5"/>
  <c r="AF129" i="5"/>
  <c r="V129" i="5"/>
  <c r="T129" i="5"/>
  <c r="R129" i="5"/>
  <c r="P129" i="5"/>
  <c r="N129" i="5"/>
  <c r="L129" i="5"/>
  <c r="BI124" i="5"/>
  <c r="BG124" i="5"/>
  <c r="BE124" i="5"/>
  <c r="BD124" i="5"/>
  <c r="BB124" i="5"/>
  <c r="AZ124" i="5"/>
  <c r="AY124" i="5"/>
  <c r="AW124" i="5"/>
  <c r="AU124" i="5"/>
  <c r="AN124" i="5"/>
  <c r="AM124" i="5"/>
  <c r="AL124" i="5"/>
  <c r="AK124" i="5"/>
  <c r="AJ124" i="5"/>
  <c r="AI124" i="5"/>
  <c r="AH124" i="5"/>
  <c r="AG124" i="5"/>
  <c r="AF124" i="5"/>
  <c r="AD124" i="5"/>
  <c r="AB124" i="5"/>
  <c r="Z124" i="5"/>
  <c r="Y124" i="5"/>
  <c r="V124" i="5"/>
  <c r="T124" i="5"/>
  <c r="BI113" i="5"/>
  <c r="BG113" i="5"/>
  <c r="BE113" i="5"/>
  <c r="BD113" i="5"/>
  <c r="BB113" i="5"/>
  <c r="AZ113" i="5"/>
  <c r="AY113" i="5"/>
  <c r="AW113" i="5"/>
  <c r="AU113" i="5"/>
  <c r="AN113" i="5"/>
  <c r="AM113" i="5"/>
  <c r="AL113" i="5"/>
  <c r="AK113" i="5"/>
  <c r="AJ113" i="5"/>
  <c r="AI113" i="5"/>
  <c r="AH113" i="5"/>
  <c r="AG113" i="5"/>
  <c r="AF113" i="5"/>
  <c r="AE113" i="5"/>
  <c r="AD113" i="5"/>
  <c r="AC113" i="5"/>
  <c r="AB113" i="5"/>
  <c r="Z113" i="5"/>
  <c r="X113" i="5"/>
  <c r="V113" i="5"/>
  <c r="T113" i="5"/>
  <c r="R113" i="5"/>
  <c r="P113" i="5"/>
  <c r="N113" i="5"/>
  <c r="L113" i="5"/>
  <c r="BI108" i="5"/>
  <c r="BG108" i="5"/>
  <c r="BE108" i="5"/>
  <c r="BD108" i="5"/>
  <c r="BB108" i="5"/>
  <c r="AZ108" i="5"/>
  <c r="AY108" i="5"/>
  <c r="AW108" i="5"/>
  <c r="AU108" i="5"/>
  <c r="AN108" i="5"/>
  <c r="AM108" i="5"/>
  <c r="AL108" i="5"/>
  <c r="AK108" i="5"/>
  <c r="AJ108" i="5"/>
  <c r="AI108" i="5"/>
  <c r="AH108" i="5"/>
  <c r="AG108" i="5"/>
  <c r="AF108" i="5"/>
  <c r="AE108" i="5"/>
  <c r="AD108" i="5"/>
  <c r="AC108" i="5"/>
  <c r="AB108" i="5"/>
  <c r="Z108" i="5"/>
  <c r="BI104" i="5"/>
  <c r="BG104" i="5"/>
  <c r="BE104" i="5"/>
  <c r="BD104" i="5"/>
  <c r="BB104" i="5"/>
  <c r="AZ104" i="5"/>
  <c r="AY104" i="5"/>
  <c r="AW104" i="5"/>
  <c r="AU104" i="5"/>
  <c r="AN104" i="5"/>
  <c r="AM104" i="5"/>
  <c r="AL104" i="5"/>
  <c r="AK104" i="5"/>
  <c r="AJ104" i="5"/>
  <c r="AI104" i="5"/>
  <c r="AH104" i="5"/>
  <c r="AG104" i="5"/>
  <c r="AF104" i="5"/>
  <c r="AE104" i="5"/>
  <c r="AD104" i="5"/>
  <c r="AC104" i="5"/>
  <c r="AB104" i="5"/>
  <c r="Z104" i="5"/>
  <c r="X104" i="5"/>
  <c r="V104" i="5"/>
  <c r="T104" i="5"/>
  <c r="R104" i="5"/>
  <c r="P104" i="5"/>
  <c r="N104" i="5"/>
  <c r="L104" i="5"/>
  <c r="BI101" i="5"/>
  <c r="BG101" i="5"/>
  <c r="BE101" i="5"/>
  <c r="BD101" i="5"/>
  <c r="BB101" i="5"/>
  <c r="AZ101" i="5"/>
  <c r="AY101" i="5"/>
  <c r="AW101" i="5"/>
  <c r="AU101" i="5"/>
  <c r="AN101" i="5"/>
  <c r="AM101" i="5"/>
  <c r="AL101" i="5"/>
  <c r="AK101" i="5"/>
  <c r="AJ101" i="5"/>
  <c r="AI101" i="5"/>
  <c r="AH101" i="5"/>
  <c r="AG101" i="5"/>
  <c r="AF101" i="5"/>
  <c r="BI100" i="5"/>
  <c r="BG100" i="5"/>
  <c r="BE100" i="5"/>
  <c r="BD100" i="5"/>
  <c r="BB100" i="5"/>
  <c r="AZ100" i="5"/>
  <c r="AY100" i="5"/>
  <c r="AW100" i="5"/>
  <c r="AU100" i="5"/>
  <c r="AN100" i="5"/>
  <c r="AM100" i="5"/>
  <c r="AL100" i="5"/>
  <c r="AK100" i="5"/>
  <c r="AJ100" i="5"/>
  <c r="AI100" i="5"/>
  <c r="AH100" i="5"/>
  <c r="AG100" i="5"/>
  <c r="AF100" i="5"/>
  <c r="AE100" i="5"/>
  <c r="AD100" i="5"/>
  <c r="AC100" i="5"/>
  <c r="AB100" i="5"/>
  <c r="Z100" i="5"/>
  <c r="X100" i="5"/>
  <c r="V100" i="5"/>
  <c r="U100" i="5"/>
  <c r="T100" i="5"/>
  <c r="R100" i="5"/>
  <c r="P100" i="5"/>
  <c r="N100" i="5"/>
  <c r="L100" i="5"/>
  <c r="BG95" i="5"/>
  <c r="BE95" i="5"/>
  <c r="BD95" i="5"/>
  <c r="BB95" i="5"/>
  <c r="AZ95" i="5"/>
  <c r="AY95" i="5"/>
  <c r="AW95" i="5"/>
  <c r="AU95" i="5"/>
  <c r="AN95" i="5"/>
  <c r="AM95" i="5"/>
  <c r="AL95" i="5"/>
  <c r="AK95" i="5"/>
  <c r="AJ95" i="5"/>
  <c r="AI95" i="5"/>
  <c r="AH95" i="5"/>
  <c r="AG95" i="5"/>
  <c r="AF95" i="5"/>
  <c r="AE95" i="5"/>
  <c r="AD95" i="5"/>
  <c r="AC95" i="5"/>
  <c r="AB95" i="5"/>
  <c r="Z95" i="5"/>
  <c r="X95" i="5"/>
  <c r="V95" i="5"/>
  <c r="T95" i="5"/>
  <c r="R95" i="5"/>
  <c r="P95" i="5"/>
  <c r="N95" i="5"/>
  <c r="L95" i="5"/>
  <c r="BI89" i="5"/>
  <c r="BG89" i="5"/>
  <c r="BE89" i="5"/>
  <c r="BD89" i="5"/>
  <c r="BB89" i="5"/>
  <c r="AZ89" i="5"/>
  <c r="AY89" i="5"/>
  <c r="AW89" i="5"/>
  <c r="AU89" i="5"/>
  <c r="AN89" i="5"/>
  <c r="AM89" i="5"/>
  <c r="AL89" i="5"/>
  <c r="AK89" i="5"/>
  <c r="AJ89" i="5"/>
  <c r="AI89" i="5"/>
  <c r="AH89" i="5"/>
  <c r="AG89" i="5"/>
  <c r="AF89" i="5"/>
  <c r="AE89" i="5"/>
  <c r="AD89" i="5"/>
  <c r="AC89" i="5"/>
  <c r="AB89" i="5"/>
  <c r="Z89" i="5"/>
  <c r="X89" i="5"/>
  <c r="V89" i="5"/>
  <c r="T89" i="5"/>
  <c r="R89" i="5"/>
  <c r="N89" i="5"/>
  <c r="L89" i="5"/>
  <c r="BI83" i="5"/>
  <c r="BG83" i="5"/>
  <c r="BE83" i="5"/>
  <c r="BD83" i="5"/>
  <c r="BB83" i="5"/>
  <c r="AZ83" i="5"/>
  <c r="AY83" i="5"/>
  <c r="AW83" i="5"/>
  <c r="AU83" i="5"/>
  <c r="AN83" i="5"/>
  <c r="AM83" i="5"/>
  <c r="AL83" i="5"/>
  <c r="AK83" i="5"/>
  <c r="AJ83" i="5"/>
  <c r="AI83" i="5"/>
  <c r="AH83" i="5"/>
  <c r="AG83" i="5"/>
  <c r="AF83" i="5"/>
  <c r="AE83" i="5"/>
  <c r="AD83" i="5"/>
  <c r="AC83" i="5"/>
  <c r="AB83" i="5"/>
  <c r="Z83" i="5"/>
  <c r="X83" i="5"/>
  <c r="V83" i="5"/>
  <c r="T83" i="5"/>
  <c r="R83" i="5"/>
  <c r="P83" i="5"/>
  <c r="N83" i="5"/>
  <c r="L83" i="5"/>
  <c r="V80" i="5"/>
  <c r="P80" i="5"/>
  <c r="N80" i="5"/>
  <c r="L80" i="5"/>
  <c r="T76" i="5"/>
  <c r="AA264" i="7" l="1"/>
  <c r="AE256" i="7"/>
  <c r="AC257" i="7"/>
  <c r="AA261" i="7"/>
  <c r="AC264" i="7"/>
  <c r="AA257" i="7"/>
  <c r="AC261" i="7"/>
  <c r="AE257" i="7"/>
  <c r="AE338" i="7"/>
  <c r="AE333" i="7"/>
  <c r="AE235" i="7"/>
  <c r="AE236" i="7" s="1"/>
  <c r="AC235" i="7"/>
  <c r="AC236" i="7" s="1"/>
  <c r="AE261" i="7"/>
  <c r="AE264" i="7"/>
  <c r="AA262" i="7"/>
  <c r="AC262" i="7"/>
  <c r="AC255" i="7"/>
  <c r="AE262" i="7"/>
  <c r="AE255" i="7"/>
  <c r="AE258" i="7"/>
  <c r="AA259" i="7"/>
  <c r="AA263" i="7"/>
  <c r="AA258" i="7"/>
  <c r="AC265" i="7"/>
  <c r="AE265" i="7"/>
  <c r="AA256" i="7"/>
  <c r="AC259" i="7"/>
  <c r="AC263" i="7"/>
  <c r="AE339" i="7"/>
  <c r="AA265" i="7"/>
  <c r="AC258" i="7"/>
  <c r="AE259" i="7"/>
  <c r="AE337" i="7" l="1"/>
  <c r="AE454" i="4" l="1"/>
  <c r="AC454" i="4"/>
  <c r="AA454" i="4"/>
  <c r="Z454" i="4"/>
  <c r="X454" i="4"/>
  <c r="V454" i="4"/>
  <c r="U454" i="4"/>
  <c r="S454" i="4"/>
  <c r="Q454" i="4"/>
  <c r="P454" i="4"/>
  <c r="N454" i="4"/>
  <c r="L454" i="4"/>
  <c r="AE432" i="4"/>
  <c r="AC432" i="4"/>
  <c r="AA432" i="4"/>
  <c r="Z432" i="4"/>
  <c r="X432" i="4"/>
  <c r="V432" i="4"/>
  <c r="U432" i="4"/>
  <c r="S432" i="4"/>
  <c r="Q432" i="4"/>
  <c r="P432" i="4"/>
  <c r="N432" i="4"/>
  <c r="L432" i="4"/>
  <c r="AE429" i="4"/>
  <c r="AC429" i="4"/>
  <c r="AA429" i="4"/>
  <c r="Z429" i="4"/>
  <c r="X429" i="4"/>
  <c r="V429" i="4"/>
  <c r="U429" i="4"/>
  <c r="S429" i="4"/>
  <c r="Q429" i="4"/>
  <c r="P429" i="4"/>
  <c r="N429" i="4"/>
  <c r="L429" i="4"/>
  <c r="AE426" i="4"/>
  <c r="AC426" i="4"/>
  <c r="AA426" i="4"/>
  <c r="Z426" i="4"/>
  <c r="Q426" i="4"/>
  <c r="P426" i="4"/>
  <c r="N426" i="4"/>
  <c r="L426" i="4"/>
  <c r="AE421" i="4"/>
  <c r="AC421" i="4"/>
  <c r="AA421" i="4"/>
  <c r="Z421" i="4"/>
  <c r="X421" i="4"/>
  <c r="V421" i="4"/>
  <c r="U421" i="4"/>
  <c r="S421" i="4"/>
  <c r="Q421" i="4"/>
  <c r="P421" i="4"/>
  <c r="N421" i="4"/>
  <c r="L421" i="4"/>
  <c r="AE417" i="4"/>
  <c r="AC417" i="4"/>
  <c r="AA417" i="4"/>
  <c r="Z417" i="4"/>
  <c r="X417" i="4"/>
  <c r="V417" i="4"/>
  <c r="U417" i="4"/>
  <c r="S417" i="4"/>
  <c r="Q417" i="4"/>
  <c r="P417" i="4"/>
  <c r="N417" i="4"/>
  <c r="L417" i="4"/>
  <c r="AE414" i="4"/>
  <c r="AC414" i="4"/>
  <c r="AA414" i="4"/>
  <c r="Z414" i="4"/>
  <c r="X414" i="4"/>
  <c r="V414" i="4"/>
  <c r="U414" i="4"/>
  <c r="S414" i="4"/>
  <c r="Q414" i="4"/>
  <c r="P414" i="4"/>
  <c r="N414" i="4"/>
  <c r="L414" i="4"/>
  <c r="AE411" i="4"/>
  <c r="AC411" i="4"/>
  <c r="AA411" i="4"/>
  <c r="Z411" i="4"/>
  <c r="X411" i="4"/>
  <c r="V411" i="4"/>
  <c r="U411" i="4"/>
  <c r="S411" i="4"/>
  <c r="Q411" i="4"/>
  <c r="P411" i="4"/>
  <c r="O411" i="4"/>
  <c r="N411" i="4"/>
  <c r="L411" i="4"/>
  <c r="N402" i="4"/>
  <c r="L402" i="4"/>
  <c r="U347" i="4"/>
  <c r="S347" i="4"/>
  <c r="Q347" i="4"/>
  <c r="P347" i="4"/>
  <c r="N347" i="4"/>
  <c r="L347" i="4"/>
  <c r="AE344" i="4"/>
  <c r="AC344" i="4"/>
  <c r="AA344" i="4"/>
  <c r="U344" i="4"/>
  <c r="S344" i="4"/>
  <c r="Q344" i="4"/>
  <c r="P344" i="4"/>
  <c r="N344" i="4"/>
  <c r="L344" i="4"/>
  <c r="S336" i="4"/>
  <c r="Q336" i="4"/>
  <c r="N336" i="4"/>
  <c r="L336" i="4"/>
  <c r="AE321" i="4"/>
  <c r="AC321" i="4"/>
  <c r="AA321" i="4"/>
  <c r="U321" i="4"/>
  <c r="S321" i="4"/>
  <c r="Q321" i="4"/>
  <c r="P321" i="4"/>
  <c r="N321" i="4"/>
  <c r="L321" i="4"/>
  <c r="AE318" i="4"/>
  <c r="AC318" i="4"/>
  <c r="AA318" i="4"/>
  <c r="U318" i="4"/>
  <c r="S318" i="4"/>
  <c r="Q318" i="4"/>
  <c r="P318" i="4"/>
  <c r="N318" i="4"/>
  <c r="L318" i="4"/>
  <c r="AE284" i="4"/>
  <c r="AC284" i="4"/>
  <c r="AA284" i="4"/>
  <c r="U284" i="4"/>
  <c r="S284" i="4"/>
  <c r="Q284" i="4"/>
  <c r="P284" i="4"/>
  <c r="N284" i="4"/>
  <c r="L284" i="4"/>
  <c r="AE282" i="4"/>
  <c r="AC282" i="4"/>
  <c r="AA282" i="4"/>
  <c r="U282" i="4"/>
  <c r="S282" i="4"/>
  <c r="Q282" i="4"/>
  <c r="P282" i="4"/>
  <c r="N282" i="4"/>
  <c r="L282" i="4"/>
  <c r="U279" i="4"/>
  <c r="S279" i="4"/>
  <c r="Q279" i="4"/>
  <c r="P279" i="4"/>
  <c r="N279" i="4"/>
  <c r="L279" i="4"/>
  <c r="AE272" i="4"/>
  <c r="AC272" i="4"/>
  <c r="AA272" i="4"/>
  <c r="U272" i="4"/>
  <c r="S272" i="4"/>
  <c r="Q272" i="4"/>
  <c r="P272" i="4"/>
  <c r="N272" i="4"/>
  <c r="L272" i="4"/>
  <c r="AE269" i="4"/>
  <c r="AC269" i="4"/>
  <c r="AA269" i="4"/>
  <c r="U269" i="4"/>
  <c r="S269" i="4"/>
  <c r="Q269" i="4"/>
  <c r="P269" i="4"/>
  <c r="N269" i="4"/>
  <c r="L269" i="4"/>
  <c r="AE250" i="4"/>
  <c r="AC250" i="4"/>
  <c r="AA250" i="4"/>
  <c r="U250" i="4"/>
  <c r="S250" i="4"/>
  <c r="Q250" i="4"/>
  <c r="P250" i="4"/>
  <c r="N250" i="4"/>
  <c r="L250" i="4"/>
  <c r="AE239" i="4"/>
  <c r="AC239" i="4"/>
  <c r="AA239" i="4"/>
  <c r="U239" i="4"/>
  <c r="S239" i="4"/>
  <c r="Q239" i="4"/>
  <c r="P239" i="4"/>
  <c r="N239" i="4"/>
  <c r="L239" i="4"/>
  <c r="AE205" i="4"/>
  <c r="AC205" i="4"/>
  <c r="AA205" i="4"/>
  <c r="U205" i="4"/>
  <c r="S205" i="4"/>
  <c r="Q205" i="4"/>
  <c r="P205" i="4"/>
  <c r="N205" i="4"/>
  <c r="L205" i="4"/>
  <c r="AE164" i="4"/>
  <c r="AC164" i="4"/>
  <c r="AA164" i="4"/>
  <c r="U164" i="4"/>
  <c r="S164" i="4"/>
  <c r="Q164" i="4"/>
  <c r="P164" i="4"/>
  <c r="N164" i="4"/>
  <c r="L164" i="4"/>
  <c r="AE161" i="4"/>
  <c r="AC161" i="4"/>
  <c r="AA161" i="4"/>
  <c r="U161" i="4"/>
  <c r="S161" i="4"/>
  <c r="Q161" i="4"/>
  <c r="P161" i="4"/>
  <c r="N161" i="4"/>
  <c r="L161" i="4"/>
  <c r="AE148" i="4"/>
  <c r="AC148" i="4"/>
  <c r="AA148" i="4"/>
  <c r="U148" i="4"/>
  <c r="S148" i="4"/>
  <c r="Q148" i="4"/>
  <c r="P148" i="4"/>
  <c r="N148" i="4"/>
  <c r="L148" i="4"/>
  <c r="AE129" i="4"/>
  <c r="AC129" i="4"/>
  <c r="AA129" i="4"/>
  <c r="U129" i="4"/>
  <c r="S129" i="4"/>
  <c r="Q129" i="4"/>
  <c r="P129" i="4"/>
  <c r="N129" i="4"/>
  <c r="L129" i="4"/>
  <c r="AE124" i="4"/>
  <c r="AC124" i="4"/>
  <c r="AA124" i="4"/>
  <c r="U124" i="4"/>
  <c r="S124" i="4"/>
  <c r="Q124" i="4"/>
  <c r="P124" i="4"/>
  <c r="N124" i="4"/>
  <c r="L124" i="4"/>
  <c r="AE113" i="4"/>
  <c r="AC113" i="4"/>
  <c r="AA113" i="4"/>
  <c r="U113" i="4"/>
  <c r="S113" i="4"/>
  <c r="Q113" i="4"/>
  <c r="P113" i="4"/>
  <c r="N113" i="4"/>
  <c r="L113" i="4"/>
  <c r="AE108" i="4"/>
  <c r="AC108" i="4"/>
  <c r="AA108" i="4"/>
  <c r="U108" i="4"/>
  <c r="S108" i="4"/>
  <c r="Q108" i="4"/>
  <c r="P108" i="4"/>
  <c r="N108" i="4"/>
  <c r="L108" i="4"/>
  <c r="AE104" i="4"/>
  <c r="AC104" i="4"/>
  <c r="AA104" i="4"/>
  <c r="U104" i="4"/>
  <c r="S104" i="4"/>
  <c r="Q104" i="4"/>
  <c r="P104" i="4"/>
  <c r="N104" i="4"/>
  <c r="L104" i="4"/>
  <c r="AE101" i="4"/>
  <c r="AC101" i="4"/>
  <c r="AA101" i="4"/>
  <c r="U101" i="4"/>
  <c r="S101" i="4"/>
  <c r="Q101" i="4"/>
  <c r="P101" i="4"/>
  <c r="N101" i="4"/>
  <c r="L101" i="4"/>
  <c r="AE100" i="4"/>
  <c r="AC100" i="4"/>
  <c r="AA100" i="4"/>
  <c r="U100" i="4"/>
  <c r="S100" i="4"/>
  <c r="Q100" i="4"/>
  <c r="P100" i="4"/>
  <c r="N100" i="4"/>
  <c r="L100" i="4"/>
  <c r="AC95" i="4"/>
  <c r="AA95" i="4"/>
  <c r="U95" i="4"/>
  <c r="S95" i="4"/>
  <c r="Q95" i="4"/>
  <c r="P95" i="4"/>
  <c r="N95" i="4"/>
  <c r="L95" i="4"/>
  <c r="AE89" i="4"/>
  <c r="AC89" i="4"/>
  <c r="AA89" i="4"/>
  <c r="U89" i="4"/>
  <c r="S89" i="4"/>
  <c r="Q89" i="4"/>
  <c r="P89" i="4"/>
  <c r="N89" i="4"/>
  <c r="L89" i="4"/>
  <c r="AE83" i="4"/>
  <c r="AC83" i="4"/>
  <c r="AA83" i="4"/>
  <c r="U83" i="4"/>
  <c r="S83" i="4"/>
  <c r="Q83" i="4"/>
  <c r="P83" i="4"/>
  <c r="N83" i="4"/>
  <c r="L83" i="4"/>
  <c r="AE454" i="3" l="1"/>
  <c r="AC454" i="3"/>
  <c r="AA454" i="3"/>
  <c r="Z454" i="3"/>
  <c r="X454" i="3"/>
  <c r="V454" i="3"/>
  <c r="U454" i="3"/>
  <c r="S454" i="3"/>
  <c r="Q454" i="3"/>
  <c r="P454" i="3"/>
  <c r="N454" i="3"/>
  <c r="L454" i="3"/>
  <c r="AE432" i="3"/>
  <c r="AC432" i="3"/>
  <c r="AA432" i="3"/>
  <c r="Z432" i="3"/>
  <c r="X432" i="3"/>
  <c r="V432" i="3"/>
  <c r="U432" i="3"/>
  <c r="S432" i="3"/>
  <c r="Q432" i="3"/>
  <c r="P432" i="3"/>
  <c r="N432" i="3"/>
  <c r="L432" i="3"/>
  <c r="AE429" i="3"/>
  <c r="AC429" i="3"/>
  <c r="AA429" i="3"/>
  <c r="Z429" i="3"/>
  <c r="X429" i="3"/>
  <c r="V429" i="3"/>
  <c r="U429" i="3"/>
  <c r="S429" i="3"/>
  <c r="Q429" i="3"/>
  <c r="P429" i="3"/>
  <c r="N429" i="3"/>
  <c r="L429" i="3"/>
  <c r="AE426" i="3"/>
  <c r="AC426" i="3"/>
  <c r="AA426" i="3"/>
  <c r="Z426" i="3"/>
  <c r="Q426" i="3"/>
  <c r="P426" i="3"/>
  <c r="N426" i="3"/>
  <c r="L426" i="3"/>
  <c r="AE421" i="3"/>
  <c r="AC421" i="3"/>
  <c r="AA421" i="3"/>
  <c r="Z421" i="3"/>
  <c r="X421" i="3"/>
  <c r="V421" i="3"/>
  <c r="U421" i="3"/>
  <c r="S421" i="3"/>
  <c r="Q421" i="3"/>
  <c r="P421" i="3"/>
  <c r="N421" i="3"/>
  <c r="L421" i="3"/>
  <c r="AE417" i="3"/>
  <c r="AC417" i="3"/>
  <c r="AA417" i="3"/>
  <c r="Z417" i="3"/>
  <c r="X417" i="3"/>
  <c r="V417" i="3"/>
  <c r="U417" i="3"/>
  <c r="S417" i="3"/>
  <c r="Q417" i="3"/>
  <c r="P417" i="3"/>
  <c r="N417" i="3"/>
  <c r="L417" i="3"/>
  <c r="AE414" i="3"/>
  <c r="AC414" i="3"/>
  <c r="AA414" i="3"/>
  <c r="Z414" i="3"/>
  <c r="X414" i="3"/>
  <c r="V414" i="3"/>
  <c r="U414" i="3"/>
  <c r="S414" i="3"/>
  <c r="Q414" i="3"/>
  <c r="P414" i="3"/>
  <c r="N414" i="3"/>
  <c r="L414" i="3"/>
  <c r="AE411" i="3"/>
  <c r="AC411" i="3"/>
  <c r="AA411" i="3"/>
  <c r="Z411" i="3"/>
  <c r="X411" i="3"/>
  <c r="V411" i="3"/>
  <c r="U411" i="3"/>
  <c r="S411" i="3"/>
  <c r="Q411" i="3"/>
  <c r="P411" i="3"/>
  <c r="O411" i="3"/>
  <c r="N411" i="3"/>
  <c r="L411" i="3"/>
  <c r="N402" i="3"/>
  <c r="L402" i="3"/>
  <c r="X347" i="3"/>
  <c r="V347" i="3"/>
  <c r="P347" i="3"/>
  <c r="N347" i="3"/>
  <c r="L347" i="3"/>
  <c r="AE344" i="3"/>
  <c r="AC344" i="3"/>
  <c r="AA344" i="3"/>
  <c r="Z344" i="3"/>
  <c r="X344" i="3"/>
  <c r="V344" i="3"/>
  <c r="P344" i="3"/>
  <c r="N344" i="3"/>
  <c r="L344" i="3"/>
  <c r="X336" i="3"/>
  <c r="V336" i="3"/>
  <c r="N336" i="3"/>
  <c r="L336" i="3"/>
  <c r="AE321" i="3"/>
  <c r="AC321" i="3"/>
  <c r="AA321" i="3"/>
  <c r="Z321" i="3"/>
  <c r="X321" i="3"/>
  <c r="V321" i="3"/>
  <c r="P321" i="3"/>
  <c r="N321" i="3"/>
  <c r="L321" i="3"/>
  <c r="AE318" i="3"/>
  <c r="AC318" i="3"/>
  <c r="AA318" i="3"/>
  <c r="Z318" i="3"/>
  <c r="X318" i="3"/>
  <c r="V318" i="3"/>
  <c r="P318" i="3"/>
  <c r="N318" i="3"/>
  <c r="L318" i="3"/>
  <c r="AE284" i="3"/>
  <c r="AC284" i="3"/>
  <c r="AA284" i="3"/>
  <c r="Z284" i="3"/>
  <c r="X284" i="3"/>
  <c r="V284" i="3"/>
  <c r="P284" i="3"/>
  <c r="N284" i="3"/>
  <c r="L284" i="3"/>
  <c r="AE282" i="3"/>
  <c r="AC282" i="3"/>
  <c r="AA282" i="3"/>
  <c r="Z282" i="3"/>
  <c r="X282" i="3"/>
  <c r="V282" i="3"/>
  <c r="P282" i="3"/>
  <c r="N282" i="3"/>
  <c r="L282" i="3"/>
  <c r="X279" i="3"/>
  <c r="V279" i="3"/>
  <c r="P279" i="3"/>
  <c r="N279" i="3"/>
  <c r="L279" i="3"/>
  <c r="AE272" i="3"/>
  <c r="AC272" i="3"/>
  <c r="AA272" i="3"/>
  <c r="Z272" i="3"/>
  <c r="X272" i="3"/>
  <c r="V272" i="3"/>
  <c r="P272" i="3"/>
  <c r="N272" i="3"/>
  <c r="L272" i="3"/>
  <c r="AE269" i="3"/>
  <c r="AC269" i="3"/>
  <c r="AA269" i="3"/>
  <c r="Z269" i="3"/>
  <c r="X269" i="3"/>
  <c r="V269" i="3"/>
  <c r="P269" i="3"/>
  <c r="N269" i="3"/>
  <c r="L269" i="3"/>
  <c r="AE250" i="3"/>
  <c r="AC250" i="3"/>
  <c r="AA250" i="3"/>
  <c r="Z250" i="3"/>
  <c r="X250" i="3"/>
  <c r="V250" i="3"/>
  <c r="P250" i="3"/>
  <c r="N250" i="3"/>
  <c r="L250" i="3"/>
  <c r="AE239" i="3"/>
  <c r="AC239" i="3"/>
  <c r="AA239" i="3"/>
  <c r="Z239" i="3"/>
  <c r="X239" i="3"/>
  <c r="V239" i="3"/>
  <c r="P239" i="3"/>
  <c r="N239" i="3"/>
  <c r="L239" i="3"/>
  <c r="AE205" i="3"/>
  <c r="AC205" i="3"/>
  <c r="AA205" i="3"/>
  <c r="Z205" i="3"/>
  <c r="X205" i="3"/>
  <c r="V205" i="3"/>
  <c r="P205" i="3"/>
  <c r="N205" i="3"/>
  <c r="L205" i="3"/>
  <c r="AE164" i="3"/>
  <c r="AC164" i="3"/>
  <c r="AA164" i="3"/>
  <c r="Z164" i="3"/>
  <c r="X164" i="3"/>
  <c r="V164" i="3"/>
  <c r="P164" i="3"/>
  <c r="N164" i="3"/>
  <c r="L164" i="3"/>
  <c r="AE161" i="3"/>
  <c r="AC161" i="3"/>
  <c r="AA161" i="3"/>
  <c r="Z161" i="3"/>
  <c r="X161" i="3"/>
  <c r="V161" i="3"/>
  <c r="P161" i="3"/>
  <c r="N161" i="3"/>
  <c r="L161" i="3"/>
  <c r="AE148" i="3"/>
  <c r="AC148" i="3"/>
  <c r="AA148" i="3"/>
  <c r="Z148" i="3"/>
  <c r="X148" i="3"/>
  <c r="V148" i="3"/>
  <c r="P148" i="3"/>
  <c r="N148" i="3"/>
  <c r="L148" i="3"/>
  <c r="AE129" i="3"/>
  <c r="AC129" i="3"/>
  <c r="AA129" i="3"/>
  <c r="Z129" i="3"/>
  <c r="X129" i="3"/>
  <c r="V129" i="3"/>
  <c r="P129" i="3"/>
  <c r="N129" i="3"/>
  <c r="L129" i="3"/>
  <c r="AE124" i="3"/>
  <c r="AC124" i="3"/>
  <c r="AA124" i="3"/>
  <c r="Z124" i="3"/>
  <c r="X124" i="3"/>
  <c r="V124" i="3"/>
  <c r="P124" i="3"/>
  <c r="N124" i="3"/>
  <c r="L124" i="3"/>
  <c r="AE113" i="3"/>
  <c r="AC113" i="3"/>
  <c r="AA113" i="3"/>
  <c r="Z113" i="3"/>
  <c r="X113" i="3"/>
  <c r="V113" i="3"/>
  <c r="P113" i="3"/>
  <c r="N113" i="3"/>
  <c r="L113" i="3"/>
  <c r="AE108" i="3"/>
  <c r="AC108" i="3"/>
  <c r="AA108" i="3"/>
  <c r="Z108" i="3"/>
  <c r="X108" i="3"/>
  <c r="V108" i="3"/>
  <c r="P108" i="3"/>
  <c r="N108" i="3"/>
  <c r="L108" i="3"/>
  <c r="AE104" i="3"/>
  <c r="AC104" i="3"/>
  <c r="AA104" i="3"/>
  <c r="Z104" i="3"/>
  <c r="X104" i="3"/>
  <c r="V104" i="3"/>
  <c r="P104" i="3"/>
  <c r="N104" i="3"/>
  <c r="L104" i="3"/>
  <c r="AE101" i="3"/>
  <c r="AC101" i="3"/>
  <c r="AA101" i="3"/>
  <c r="Z101" i="3"/>
  <c r="X101" i="3"/>
  <c r="V101" i="3"/>
  <c r="P101" i="3"/>
  <c r="N101" i="3"/>
  <c r="L101" i="3"/>
  <c r="AE100" i="3"/>
  <c r="AC100" i="3"/>
  <c r="AA100" i="3"/>
  <c r="Z100" i="3"/>
  <c r="X100" i="3"/>
  <c r="V100" i="3"/>
  <c r="P100" i="3"/>
  <c r="N100" i="3"/>
  <c r="L100" i="3"/>
  <c r="AC95" i="3"/>
  <c r="AA95" i="3"/>
  <c r="Z95" i="3"/>
  <c r="X95" i="3"/>
  <c r="V95" i="3"/>
  <c r="P95" i="3"/>
  <c r="N95" i="3"/>
  <c r="L95" i="3"/>
  <c r="AE89" i="3"/>
  <c r="AC89" i="3"/>
  <c r="AA89" i="3"/>
  <c r="Z89" i="3"/>
  <c r="X89" i="3"/>
  <c r="V89" i="3"/>
  <c r="P89" i="3"/>
  <c r="N89" i="3"/>
  <c r="L89" i="3"/>
  <c r="AE83" i="3"/>
  <c r="AC83" i="3"/>
  <c r="AA83" i="3"/>
  <c r="Z83" i="3"/>
  <c r="X83" i="3"/>
  <c r="V83" i="3"/>
  <c r="P83" i="3"/>
  <c r="N83" i="3"/>
  <c r="L83" i="3"/>
  <c r="V78" i="2" l="1"/>
  <c r="V79" i="2"/>
  <c r="V66" i="2"/>
  <c r="T66" i="2"/>
  <c r="R66" i="2"/>
  <c r="V417" i="2"/>
  <c r="P2170" i="8" s="1"/>
  <c r="Q415" i="2"/>
  <c r="O415" i="2"/>
  <c r="M415" i="2"/>
  <c r="L415" i="2"/>
  <c r="K415" i="2"/>
  <c r="J415" i="2"/>
  <c r="H415" i="2"/>
  <c r="V412" i="2"/>
  <c r="P2135" i="8" s="1"/>
  <c r="V411" i="2"/>
  <c r="P2128" i="8" s="1"/>
  <c r="V407" i="2"/>
  <c r="P2099" i="8" s="1"/>
  <c r="V406" i="2"/>
  <c r="P2092" i="8" s="1"/>
  <c r="V404" i="2"/>
  <c r="P2078" i="8" s="1"/>
  <c r="V403" i="2"/>
  <c r="P2071" i="8" s="1"/>
  <c r="V402" i="2"/>
  <c r="P2064" i="8" s="1"/>
  <c r="V401" i="2"/>
  <c r="P2058" i="8" s="1"/>
  <c r="P2056" i="8" s="1"/>
  <c r="V400" i="2"/>
  <c r="P2051" i="8" s="1"/>
  <c r="P2049" i="8" s="1"/>
  <c r="Q396" i="2"/>
  <c r="O396" i="2"/>
  <c r="M396" i="2"/>
  <c r="L396" i="2"/>
  <c r="J396" i="2"/>
  <c r="H396" i="2"/>
  <c r="Q393" i="2"/>
  <c r="O393" i="2"/>
  <c r="M393" i="2"/>
  <c r="L393" i="2"/>
  <c r="J393" i="2"/>
  <c r="H393" i="2"/>
  <c r="Q390" i="2"/>
  <c r="O390" i="2"/>
  <c r="M390" i="2"/>
  <c r="L390" i="2"/>
  <c r="J390" i="2"/>
  <c r="H390" i="2"/>
  <c r="Q385" i="2"/>
  <c r="O385" i="2"/>
  <c r="M385" i="2"/>
  <c r="L385" i="2"/>
  <c r="J385" i="2"/>
  <c r="H385" i="2"/>
  <c r="Q381" i="2"/>
  <c r="O381" i="2"/>
  <c r="M381" i="2"/>
  <c r="L381" i="2"/>
  <c r="J381" i="2"/>
  <c r="H381" i="2"/>
  <c r="Q378" i="2"/>
  <c r="O378" i="2"/>
  <c r="M378" i="2"/>
  <c r="L378" i="2"/>
  <c r="J378" i="2"/>
  <c r="H378" i="2"/>
  <c r="Q375" i="2"/>
  <c r="O375" i="2"/>
  <c r="M375" i="2"/>
  <c r="L375" i="2"/>
  <c r="J375" i="2"/>
  <c r="H375" i="2"/>
  <c r="O367" i="2"/>
  <c r="M367" i="2"/>
  <c r="J367" i="2"/>
  <c r="H367" i="2"/>
  <c r="V344" i="2"/>
  <c r="V343" i="2"/>
  <c r="V325" i="2"/>
  <c r="V324" i="2"/>
  <c r="O319" i="2"/>
  <c r="M319" i="2"/>
  <c r="J319" i="2"/>
  <c r="H319" i="2"/>
  <c r="O316" i="2"/>
  <c r="M316" i="2"/>
  <c r="J316" i="2"/>
  <c r="H316" i="2"/>
  <c r="O308" i="2"/>
  <c r="M308" i="2"/>
  <c r="J308" i="2"/>
  <c r="H308" i="2"/>
  <c r="L296" i="2"/>
  <c r="L294" i="2" s="1"/>
  <c r="Q291" i="2"/>
  <c r="L291" i="2"/>
  <c r="J291" i="2"/>
  <c r="H291" i="2"/>
  <c r="V267" i="2"/>
  <c r="V266" i="2"/>
  <c r="Q265" i="2"/>
  <c r="O265" i="2"/>
  <c r="M265" i="2"/>
  <c r="L265" i="2"/>
  <c r="J265" i="2"/>
  <c r="H265" i="2"/>
  <c r="Q263" i="2"/>
  <c r="O263" i="2"/>
  <c r="M263" i="2"/>
  <c r="L263" i="2"/>
  <c r="J263" i="2"/>
  <c r="H263" i="2"/>
  <c r="V261" i="2"/>
  <c r="Q260" i="2"/>
  <c r="O260" i="2"/>
  <c r="M260" i="2"/>
  <c r="L260" i="2"/>
  <c r="J260" i="2"/>
  <c r="H260" i="2"/>
  <c r="V255" i="2"/>
  <c r="Z275" i="7" s="1"/>
  <c r="Q253" i="2"/>
  <c r="O253" i="2"/>
  <c r="M253" i="2"/>
  <c r="L253" i="2"/>
  <c r="J253" i="2"/>
  <c r="H253" i="2"/>
  <c r="V252" i="2"/>
  <c r="V251" i="2"/>
  <c r="Q250" i="2"/>
  <c r="O250" i="2"/>
  <c r="M250" i="2"/>
  <c r="L250" i="2"/>
  <c r="J250" i="2"/>
  <c r="H250" i="2"/>
  <c r="V248" i="2"/>
  <c r="V247" i="2"/>
  <c r="V235" i="2"/>
  <c r="Q233" i="2"/>
  <c r="O233" i="2"/>
  <c r="M233" i="2"/>
  <c r="L233" i="2"/>
  <c r="J233" i="2"/>
  <c r="H233" i="2"/>
  <c r="V231" i="2"/>
  <c r="V230" i="2"/>
  <c r="V229" i="2"/>
  <c r="V228" i="2"/>
  <c r="V227" i="2"/>
  <c r="V226" i="2"/>
  <c r="V225" i="2"/>
  <c r="Q224" i="2"/>
  <c r="O224" i="2"/>
  <c r="M224" i="2"/>
  <c r="L224" i="2"/>
  <c r="J224" i="2"/>
  <c r="H224" i="2"/>
  <c r="V214" i="2"/>
  <c r="V213" i="2"/>
  <c r="V212" i="2"/>
  <c r="V207" i="2"/>
  <c r="V206" i="2"/>
  <c r="V205" i="2"/>
  <c r="V204" i="2"/>
  <c r="V203" i="2"/>
  <c r="V202" i="2"/>
  <c r="V201" i="2"/>
  <c r="V200" i="2"/>
  <c r="V199" i="2"/>
  <c r="V198" i="2"/>
  <c r="V197" i="2"/>
  <c r="Q196" i="2"/>
  <c r="Q296" i="2" s="1"/>
  <c r="Q294" i="2" s="1"/>
  <c r="O196" i="2"/>
  <c r="M196" i="2"/>
  <c r="J196" i="2"/>
  <c r="J296" i="2" s="1"/>
  <c r="J294" i="2" s="1"/>
  <c r="H196" i="2"/>
  <c r="H296" i="2" s="1"/>
  <c r="H294" i="2" s="1"/>
  <c r="Q180" i="2"/>
  <c r="O180" i="2"/>
  <c r="M180" i="2"/>
  <c r="L180" i="2"/>
  <c r="J180" i="2"/>
  <c r="H180" i="2"/>
  <c r="Q174" i="2"/>
  <c r="O174" i="2"/>
  <c r="M174" i="2"/>
  <c r="L174" i="2"/>
  <c r="J174" i="2"/>
  <c r="H174" i="2"/>
  <c r="Q155" i="2"/>
  <c r="O155" i="2"/>
  <c r="M155" i="2"/>
  <c r="L155" i="2"/>
  <c r="J155" i="2"/>
  <c r="Q152" i="2"/>
  <c r="O152" i="2"/>
  <c r="M152" i="2"/>
  <c r="L152" i="2"/>
  <c r="J152" i="2"/>
  <c r="H152" i="2"/>
  <c r="Q141" i="2"/>
  <c r="Q148" i="2" s="1"/>
  <c r="O141" i="2"/>
  <c r="O148" i="2" s="1"/>
  <c r="M141" i="2"/>
  <c r="M148" i="2" s="1"/>
  <c r="J141" i="2"/>
  <c r="J148" i="2" s="1"/>
  <c r="H141" i="2"/>
  <c r="H148" i="2" s="1"/>
  <c r="Q123" i="2"/>
  <c r="O123" i="2"/>
  <c r="M123" i="2"/>
  <c r="L123" i="2"/>
  <c r="J123" i="2"/>
  <c r="H123" i="2"/>
  <c r="Q118" i="2"/>
  <c r="O118" i="2"/>
  <c r="M118" i="2"/>
  <c r="L118" i="2"/>
  <c r="J118" i="2"/>
  <c r="H118" i="2"/>
  <c r="Q108" i="2"/>
  <c r="O108" i="2"/>
  <c r="M108" i="2"/>
  <c r="L108" i="2"/>
  <c r="J108" i="2"/>
  <c r="H108" i="2"/>
  <c r="Q103" i="2"/>
  <c r="O103" i="2"/>
  <c r="M103" i="2"/>
  <c r="L103" i="2"/>
  <c r="J103" i="2"/>
  <c r="H103" i="2"/>
  <c r="Q99" i="2"/>
  <c r="O99" i="2"/>
  <c r="M99" i="2"/>
  <c r="L99" i="2"/>
  <c r="J99" i="2"/>
  <c r="H99" i="2"/>
  <c r="Q96" i="2"/>
  <c r="O96" i="2"/>
  <c r="M96" i="2"/>
  <c r="L96" i="2"/>
  <c r="J96" i="2"/>
  <c r="H96" i="2"/>
  <c r="Q95" i="2"/>
  <c r="P95" i="2"/>
  <c r="O95" i="2"/>
  <c r="M95" i="2"/>
  <c r="L95" i="2"/>
  <c r="J95" i="2"/>
  <c r="H95" i="2"/>
  <c r="Q90" i="2"/>
  <c r="O90" i="2"/>
  <c r="M90" i="2"/>
  <c r="L90" i="2"/>
  <c r="J90" i="2"/>
  <c r="H90" i="2"/>
  <c r="Q85" i="2"/>
  <c r="O85" i="2"/>
  <c r="M85" i="2"/>
  <c r="J85" i="2"/>
  <c r="H85" i="2"/>
  <c r="Q80" i="2"/>
  <c r="O80" i="2"/>
  <c r="M80" i="2"/>
  <c r="L80" i="2"/>
  <c r="J80" i="2"/>
  <c r="H80" i="2"/>
  <c r="O73" i="2"/>
  <c r="Z439" i="7" l="1"/>
  <c r="Z215" i="7"/>
  <c r="Z247" i="7"/>
  <c r="Z286" i="7"/>
  <c r="Z285" i="7" s="1"/>
  <c r="Z375" i="7"/>
  <c r="Z446" i="7"/>
  <c r="Z228" i="7"/>
  <c r="Z287" i="7"/>
  <c r="Z451" i="7"/>
  <c r="Z457" i="7"/>
  <c r="Z442" i="7"/>
  <c r="Z248" i="7"/>
  <c r="Z219" i="7"/>
  <c r="Z249" i="7"/>
  <c r="Z268" i="7"/>
  <c r="Z374" i="7"/>
  <c r="Z445" i="7"/>
  <c r="Z227" i="7"/>
  <c r="Z208" i="7"/>
  <c r="Z229" i="7"/>
  <c r="Z452" i="7"/>
  <c r="X68" i="7"/>
  <c r="Z214" i="7"/>
  <c r="Z244" i="7"/>
  <c r="Z245" i="7"/>
  <c r="Z216" i="7"/>
  <c r="Z253" i="7"/>
  <c r="Z272" i="7"/>
  <c r="Z443" i="7"/>
  <c r="Y68" i="7"/>
  <c r="Z354" i="7"/>
  <c r="Z212" i="7"/>
  <c r="Z241" i="7"/>
  <c r="Z271" i="7"/>
  <c r="Z270" i="7" s="1"/>
  <c r="Z441" i="7"/>
  <c r="Z218" i="7"/>
  <c r="Z267" i="7"/>
  <c r="Z209" i="7"/>
  <c r="Z210" i="7"/>
  <c r="Z68" i="7"/>
  <c r="Z213" i="7"/>
  <c r="Z242" i="7"/>
  <c r="Z281" i="7"/>
  <c r="Z438" i="7"/>
  <c r="V196" i="2"/>
  <c r="Z207" i="7"/>
  <c r="Z353" i="7"/>
  <c r="V323" i="2"/>
  <c r="V224" i="2"/>
  <c r="V254" i="2"/>
  <c r="V262" i="2"/>
  <c r="V296" i="2" s="1"/>
  <c r="V234" i="2"/>
  <c r="V250" i="2"/>
  <c r="V416" i="2"/>
  <c r="P2158" i="8" s="1"/>
  <c r="P2156" i="8" s="1"/>
  <c r="V77" i="2"/>
  <c r="V81" i="2"/>
  <c r="V80" i="2" s="1"/>
  <c r="P2163" i="8" l="1"/>
  <c r="Z352" i="7"/>
  <c r="Z206" i="7"/>
  <c r="Z282" i="7" s="1"/>
  <c r="Z280" i="7" s="1"/>
  <c r="Z240" i="7"/>
  <c r="V233" i="2"/>
  <c r="Z252" i="7"/>
  <c r="Z251" i="7" s="1"/>
  <c r="V253" i="2"/>
  <c r="Z274" i="7"/>
  <c r="Z273" i="7" s="1"/>
  <c r="V415" i="2"/>
  <c r="Z456" i="7"/>
  <c r="Z455" i="7" s="1"/>
  <c r="V260" i="2"/>
  <c r="B322" i="1" l="1"/>
  <c r="P34" i="1" l="1"/>
  <c r="P33" i="1"/>
  <c r="B456" i="1"/>
  <c r="B454" i="1"/>
  <c r="B453" i="1"/>
  <c r="B452" i="1"/>
  <c r="B451" i="1"/>
  <c r="B457" i="1"/>
  <c r="B449" i="1"/>
  <c r="B448" i="1"/>
  <c r="B447" i="1"/>
  <c r="B446" i="1"/>
  <c r="B445" i="1"/>
  <c r="B444" i="1"/>
  <c r="B443" i="1"/>
  <c r="B442" i="1"/>
  <c r="B441" i="1"/>
  <c r="B439" i="1"/>
  <c r="B438" i="1"/>
  <c r="B435" i="1"/>
  <c r="B434" i="1"/>
  <c r="B432" i="1"/>
  <c r="B431" i="1"/>
  <c r="B429" i="1"/>
  <c r="B428" i="1"/>
  <c r="B425" i="1"/>
  <c r="B424" i="1"/>
  <c r="B423" i="1"/>
  <c r="B421" i="1"/>
  <c r="B420" i="1"/>
  <c r="B419" i="1"/>
  <c r="B417" i="1"/>
  <c r="B416" i="1"/>
  <c r="B414" i="1"/>
  <c r="B413" i="1"/>
  <c r="B410" i="1"/>
  <c r="B409" i="1"/>
  <c r="B408" i="1"/>
  <c r="B407" i="1"/>
  <c r="B406" i="1"/>
  <c r="B402" i="1"/>
  <c r="B401" i="1"/>
  <c r="B400" i="1"/>
  <c r="B399" i="1"/>
  <c r="B398" i="1"/>
  <c r="B397" i="1"/>
  <c r="B396" i="1"/>
  <c r="B395" i="1"/>
  <c r="B394" i="1"/>
  <c r="B392" i="1"/>
  <c r="B391" i="1"/>
  <c r="B389" i="1"/>
  <c r="B388" i="1"/>
  <c r="B385" i="1"/>
  <c r="B384" i="1"/>
  <c r="B382" i="1"/>
  <c r="B381" i="1"/>
  <c r="B380" i="1"/>
  <c r="B376" i="1"/>
  <c r="B375" i="1"/>
  <c r="B374" i="1"/>
  <c r="B372" i="1"/>
  <c r="B371" i="1"/>
  <c r="B370" i="1"/>
  <c r="B368" i="1"/>
  <c r="B367" i="1"/>
  <c r="B366" i="1"/>
  <c r="B365" i="1"/>
  <c r="B364" i="1"/>
  <c r="B363" i="1"/>
  <c r="B362" i="1"/>
  <c r="B361" i="1"/>
  <c r="B360" i="1"/>
  <c r="B359" i="1"/>
  <c r="B358" i="1"/>
  <c r="B357" i="1"/>
  <c r="B356" i="1"/>
  <c r="B355" i="1"/>
  <c r="B354" i="1"/>
  <c r="B353" i="1"/>
  <c r="B352" i="1"/>
  <c r="B351" i="1"/>
  <c r="B350" i="1"/>
  <c r="B349" i="1"/>
  <c r="B348" i="1"/>
  <c r="B347" i="1"/>
  <c r="B346" i="1"/>
  <c r="B345" i="1"/>
  <c r="B344" i="1"/>
  <c r="B343" i="1"/>
  <c r="B342" i="1"/>
  <c r="B341" i="1"/>
  <c r="B340" i="1"/>
  <c r="B339" i="1"/>
  <c r="B338" i="1"/>
  <c r="B337" i="1"/>
  <c r="B336" i="1"/>
  <c r="B335" i="1"/>
  <c r="B334" i="1"/>
  <c r="B333" i="1"/>
  <c r="B332" i="1"/>
  <c r="B331" i="1"/>
  <c r="B330" i="1"/>
  <c r="B329" i="1"/>
  <c r="B328" i="1"/>
  <c r="B325" i="1"/>
  <c r="B324" i="1"/>
  <c r="B323" i="1"/>
  <c r="B321" i="1"/>
  <c r="B320" i="1"/>
  <c r="B318" i="1"/>
  <c r="B317" i="1"/>
  <c r="B316" i="1"/>
  <c r="B314" i="1"/>
  <c r="B313" i="1"/>
  <c r="B311" i="1"/>
  <c r="B310" i="1"/>
  <c r="B305" i="1"/>
  <c r="B304" i="1"/>
  <c r="B302" i="1"/>
  <c r="B301" i="1"/>
  <c r="B298" i="1"/>
  <c r="B293" i="1"/>
  <c r="B287" i="1"/>
  <c r="B286" i="1"/>
  <c r="B284" i="1"/>
  <c r="B282" i="1"/>
  <c r="B281" i="1"/>
  <c r="B278" i="1"/>
  <c r="B277" i="1"/>
  <c r="B276" i="1"/>
  <c r="B275" i="1"/>
  <c r="B274" i="1"/>
  <c r="B272" i="1"/>
  <c r="B271" i="1"/>
  <c r="B269" i="1"/>
  <c r="B268" i="1"/>
  <c r="B267" i="1"/>
  <c r="B235" i="1"/>
  <c r="B234" i="1"/>
  <c r="B233" i="1"/>
  <c r="B232" i="1"/>
  <c r="B219" i="1"/>
  <c r="B218" i="1"/>
  <c r="B216" i="1"/>
  <c r="B215" i="1"/>
  <c r="B214" i="1"/>
  <c r="B212" i="1"/>
  <c r="B203" i="1"/>
  <c r="B202" i="1"/>
  <c r="B201" i="1"/>
  <c r="B200" i="1"/>
  <c r="B199" i="1"/>
  <c r="B198" i="1"/>
  <c r="B197" i="1"/>
  <c r="B196" i="1"/>
  <c r="B195" i="1"/>
  <c r="B194" i="1"/>
  <c r="B193" i="1"/>
  <c r="B192" i="1"/>
  <c r="B191" i="1"/>
  <c r="B189" i="1"/>
  <c r="B188" i="1"/>
  <c r="B187" i="1"/>
  <c r="B186" i="1"/>
  <c r="B185" i="1"/>
  <c r="B183" i="1"/>
  <c r="B182" i="1"/>
  <c r="B181" i="1"/>
  <c r="B180" i="1"/>
  <c r="B179" i="1"/>
  <c r="B177" i="1"/>
  <c r="B176" i="1"/>
  <c r="B175" i="1"/>
  <c r="B174" i="1"/>
  <c r="B173" i="1"/>
  <c r="B172" i="1"/>
  <c r="B171" i="1"/>
  <c r="B170" i="1"/>
  <c r="B169" i="1"/>
  <c r="B168" i="1"/>
  <c r="B167" i="1"/>
  <c r="B166" i="1"/>
  <c r="B164" i="1"/>
  <c r="B163" i="1"/>
  <c r="B161" i="1"/>
  <c r="B160" i="1"/>
  <c r="B159" i="1"/>
  <c r="B158" i="1"/>
  <c r="B157" i="1"/>
  <c r="B156" i="1"/>
  <c r="B155" i="1"/>
  <c r="B154" i="1"/>
  <c r="B153" i="1"/>
  <c r="B152" i="1"/>
  <c r="B151" i="1"/>
  <c r="B150" i="1"/>
  <c r="B147" i="1"/>
  <c r="B146" i="1"/>
  <c r="B145" i="1"/>
  <c r="B144" i="1"/>
  <c r="B143" i="1"/>
  <c r="B142" i="1"/>
  <c r="B141" i="1"/>
  <c r="B140" i="1"/>
  <c r="B139" i="1"/>
  <c r="B138" i="1"/>
  <c r="B137" i="1"/>
  <c r="B136" i="1"/>
  <c r="B135" i="1"/>
  <c r="B134" i="1"/>
  <c r="B133" i="1"/>
  <c r="B132" i="1"/>
  <c r="B131" i="1"/>
  <c r="B129" i="1"/>
  <c r="B128" i="1"/>
  <c r="B127" i="1"/>
  <c r="B126" i="1"/>
  <c r="B123" i="1"/>
  <c r="B122" i="1"/>
  <c r="B121" i="1"/>
  <c r="B119" i="1"/>
  <c r="B118" i="1"/>
  <c r="B117" i="1"/>
  <c r="B116" i="1"/>
  <c r="B115" i="1"/>
  <c r="B113" i="1"/>
  <c r="B112" i="1"/>
  <c r="B110" i="1"/>
  <c r="B109" i="1"/>
  <c r="B108" i="1"/>
  <c r="B107" i="1"/>
  <c r="B106" i="1"/>
  <c r="B104" i="1"/>
  <c r="B103" i="1"/>
  <c r="B100" i="1"/>
  <c r="B99" i="1"/>
  <c r="B98" i="1"/>
  <c r="B97" i="1"/>
  <c r="B94" i="1"/>
  <c r="B93" i="1"/>
  <c r="B92" i="1"/>
  <c r="B89" i="1"/>
  <c r="B88" i="1"/>
  <c r="B87" i="1"/>
  <c r="B86" i="1"/>
  <c r="B85" i="1"/>
  <c r="B83" i="1"/>
  <c r="B82" i="1"/>
  <c r="B78" i="1"/>
  <c r="B75" i="1"/>
  <c r="B74" i="1"/>
  <c r="B73" i="1"/>
  <c r="B72" i="1"/>
  <c r="B70" i="1"/>
  <c r="B69" i="1"/>
  <c r="B68" i="1"/>
  <c r="B66" i="1"/>
  <c r="B64" i="1"/>
  <c r="B24" i="1"/>
  <c r="B23" i="1"/>
  <c r="B22" i="1"/>
  <c r="B21" i="1"/>
  <c r="B20" i="1"/>
  <c r="B19" i="1"/>
  <c r="B18" i="1"/>
  <c r="B17" i="1"/>
  <c r="B16" i="1"/>
  <c r="B39" i="1"/>
  <c r="B38" i="1"/>
  <c r="B37" i="1"/>
  <c r="B36" i="1"/>
  <c r="B35" i="1"/>
  <c r="B32" i="1"/>
  <c r="B31" i="1"/>
  <c r="B30" i="1"/>
  <c r="B29" i="1"/>
  <c r="B28" i="1"/>
  <c r="B27" i="1"/>
  <c r="B26" i="1"/>
  <c r="B48" i="1"/>
  <c r="B47" i="1"/>
  <c r="B46" i="1"/>
  <c r="B45" i="1"/>
  <c r="B44" i="1"/>
  <c r="B43" i="1"/>
  <c r="B42" i="1"/>
  <c r="B41" i="1"/>
  <c r="B62" i="1"/>
  <c r="B61" i="1"/>
  <c r="B60" i="1"/>
  <c r="B59" i="1"/>
  <c r="B58" i="1"/>
  <c r="B57" i="1"/>
  <c r="B56" i="1"/>
  <c r="B55" i="1"/>
  <c r="B54" i="1"/>
  <c r="B53" i="1"/>
  <c r="B52" i="1"/>
  <c r="B51" i="1"/>
  <c r="B50" i="1"/>
  <c r="B65" i="1"/>
  <c r="B111" i="1" l="1"/>
  <c r="B285" i="1" l="1"/>
  <c r="B283" i="1"/>
  <c r="B280" i="1"/>
  <c r="B273" i="1"/>
  <c r="B63" i="1"/>
  <c r="B67" i="1"/>
  <c r="B91" i="1"/>
  <c r="B120" i="1"/>
  <c r="B223" i="1"/>
  <c r="B289" i="1"/>
  <c r="B327" i="1"/>
  <c r="B373" i="1"/>
  <c r="B393" i="1"/>
  <c r="B437" i="1"/>
  <c r="B440" i="1"/>
  <c r="B450" i="1"/>
  <c r="B34" i="1" l="1"/>
  <c r="B33" i="1"/>
  <c r="B403" i="1" l="1"/>
  <c r="B102" i="1" l="1"/>
  <c r="B237" i="1"/>
  <c r="B213" i="1"/>
  <c r="P455" i="1" l="1"/>
  <c r="O455" i="1"/>
  <c r="N455" i="1"/>
  <c r="L455" i="1"/>
  <c r="P433" i="1"/>
  <c r="N433" i="1"/>
  <c r="L433" i="1"/>
  <c r="P430" i="1"/>
  <c r="N430" i="1"/>
  <c r="L430" i="1"/>
  <c r="P427" i="1"/>
  <c r="N427" i="1"/>
  <c r="L427" i="1"/>
  <c r="P422" i="1"/>
  <c r="N422" i="1"/>
  <c r="L422" i="1"/>
  <c r="P418" i="1"/>
  <c r="N418" i="1"/>
  <c r="L418" i="1"/>
  <c r="P415" i="1"/>
  <c r="N415" i="1"/>
  <c r="L415" i="1"/>
  <c r="P412" i="1"/>
  <c r="N412" i="1"/>
  <c r="L412" i="1"/>
  <c r="N403" i="1"/>
  <c r="L403" i="1"/>
  <c r="P322" i="1"/>
  <c r="N322" i="1"/>
  <c r="L322" i="1"/>
  <c r="B319" i="1"/>
  <c r="P319" i="1"/>
  <c r="N319" i="1"/>
  <c r="L319" i="1"/>
  <c r="B308" i="1"/>
  <c r="B307" i="1"/>
  <c r="B306" i="1"/>
  <c r="B297" i="1"/>
  <c r="B296" i="1"/>
  <c r="B290" i="1"/>
  <c r="P285" i="1"/>
  <c r="N285" i="1"/>
  <c r="L285" i="1"/>
  <c r="P283" i="1"/>
  <c r="N283" i="1"/>
  <c r="L283" i="1"/>
  <c r="P280" i="1"/>
  <c r="N280" i="1"/>
  <c r="L280" i="1"/>
  <c r="P273" i="1"/>
  <c r="N273" i="1"/>
  <c r="L273" i="1"/>
  <c r="P270" i="1"/>
  <c r="N270" i="1"/>
  <c r="L270" i="1"/>
  <c r="P251" i="1"/>
  <c r="N251" i="1"/>
  <c r="L251" i="1"/>
  <c r="P240" i="1"/>
  <c r="N240" i="1"/>
  <c r="L240" i="1"/>
  <c r="N206" i="1"/>
  <c r="L206" i="1"/>
  <c r="P190" i="1"/>
  <c r="N190" i="1"/>
  <c r="L190" i="1"/>
  <c r="P184" i="1"/>
  <c r="N184" i="1"/>
  <c r="L184" i="1"/>
  <c r="P165" i="1"/>
  <c r="N165" i="1"/>
  <c r="L165" i="1"/>
  <c r="P162" i="1"/>
  <c r="N162" i="1"/>
  <c r="L162" i="1"/>
  <c r="N149" i="1"/>
  <c r="L149" i="1"/>
  <c r="P130" i="1"/>
  <c r="N130" i="1"/>
  <c r="L130" i="1"/>
  <c r="B125" i="1"/>
  <c r="P114" i="1"/>
  <c r="N114" i="1"/>
  <c r="L114" i="1"/>
  <c r="P105" i="1"/>
  <c r="N105" i="1"/>
  <c r="L105" i="1"/>
  <c r="P101" i="1"/>
  <c r="N101" i="1"/>
  <c r="L101" i="1"/>
  <c r="P96" i="1"/>
  <c r="N96" i="1"/>
  <c r="L96" i="1"/>
  <c r="N90" i="1"/>
  <c r="L90" i="1"/>
  <c r="P84" i="1"/>
  <c r="N84" i="1"/>
  <c r="L84" i="1"/>
  <c r="B81" i="1"/>
  <c r="P81" i="1"/>
  <c r="N81" i="1"/>
  <c r="L81" i="1"/>
  <c r="B77" i="1"/>
  <c r="B422" i="1" l="1"/>
  <c r="B295" i="1"/>
  <c r="B291" i="1"/>
  <c r="B294" i="1"/>
  <c r="B105" i="1"/>
  <c r="B418" i="1"/>
  <c r="B114" i="1"/>
  <c r="B190" i="1"/>
  <c r="B162" i="1"/>
  <c r="B84" i="1"/>
  <c r="B149" i="1"/>
  <c r="B455" i="1"/>
  <c r="B96" i="1"/>
  <c r="B165" i="1"/>
  <c r="B412" i="1"/>
  <c r="B236" i="1"/>
  <c r="B90" i="1"/>
  <c r="B101" i="1"/>
  <c r="B184" i="1"/>
  <c r="B41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tc={60BCFC2D-B364-4F13-BED5-240B61CB4D25}</author>
    <author>tc={C48227DD-EFF8-4185-AE77-3D2E05D0E8B8}</author>
    <author>tc={66CCC6FB-EBC5-41F5-B934-B1BB910570FC}</author>
    <author>tc={AB6AF178-7C92-4A8A-A3A1-7E2C9FA6B62E}</author>
    <author>tc={E237B5D6-95FF-4E08-97A7-84257DA73278}</author>
    <author>tc={9E2F5745-B0D4-4312-82B3-596718675D1D}</author>
    <author>tc={936CB786-947F-4F8F-A9AF-F0BB49A8A531}</author>
    <author>tc={3926680E-99A6-4CEF-B685-4720F4EAEB08}</author>
  </authors>
  <commentList>
    <comment ref="D157" authorId="0" shapeId="0" xr:uid="{60BCFC2D-B364-4F13-BED5-240B61CB4D25}">
      <text>
        <t>[스레드 댓글]
사용 중인 버전의 Excel에서 이 스레드 댓글을 읽을 수 있지만 파일을 이후 버전의 Excel에서 열면 편집 내용이 모두 제거됩니다. 자세한 정보: https://go.microsoft.com/fwlink/?linkid=870924.
댓글:
    현재 "연결기준 총 매출액" 기입되었으나, 온실가스배출량 산정 범위에 중국 제외되는 경우 중국 매출액도 제외되는 것이 정확합니다.
답글:
    임대리님: 중국 온실가스 배출량 단위 통일로 통합 매출로 적용해도 될 것 같습니다.</t>
      </text>
    </comment>
    <comment ref="F568" authorId="1" shapeId="0" xr:uid="{C48227DD-EFF8-4185-AE77-3D2E05D0E8B8}">
      <text>
        <t>[스레드 댓글]
사용 중인 버전의 Excel에서 이 스레드 댓글을 읽을 수 있지만 파일을 이후 버전의 Excel에서 열면 편집 내용이 모두 제거됩니다. 자세한 정보: https://go.microsoft.com/fwlink/?linkid=870924.
댓글:
    톤과 ㎥ 합산되어 있습니다.</t>
      </text>
    </comment>
    <comment ref="K568" authorId="2" shapeId="0" xr:uid="{66CCC6FB-EBC5-41F5-B934-B1BB910570FC}">
      <text>
        <t>[스레드 댓글]
사용 중인 버전의 Excel에서 이 스레드 댓글을 읽을 수 있지만 파일을 이후 버전의 Excel에서 열면 편집 내용이 모두 제거됩니다. 자세한 정보: https://go.microsoft.com/fwlink/?linkid=870924.
댓글:
    톤과 ㎥ 합산되어 있습니다.</t>
      </text>
    </comment>
    <comment ref="F575" authorId="3" shapeId="0" xr:uid="{AB6AF178-7C92-4A8A-A3A1-7E2C9FA6B62E}">
      <text>
        <t>[스레드 댓글]
사용 중인 버전의 Excel에서 이 스레드 댓글을 읽을 수 있지만 파일을 이후 버전의 Excel에서 열면 편집 내용이 모두 제거됩니다. 자세한 정보: https://go.microsoft.com/fwlink/?linkid=870924.
댓글:
    톤과 ㎥ 합산되어 있습니다.</t>
      </text>
    </comment>
    <comment ref="K575" authorId="4" shapeId="0" xr:uid="{E237B5D6-95FF-4E08-97A7-84257DA73278}">
      <text>
        <t>[스레드 댓글]
사용 중인 버전의 Excel에서 이 스레드 댓글을 읽을 수 있지만 파일을 이후 버전의 Excel에서 열면 편집 내용이 모두 제거됩니다. 자세한 정보: https://go.microsoft.com/fwlink/?linkid=870924.
댓글:
    톤과 ㎥ 합산되어 있습니다.</t>
      </text>
    </comment>
    <comment ref="C1085" authorId="5" shapeId="0" xr:uid="{9E2F5745-B0D4-4312-82B3-596718675D1D}">
      <text>
        <t>[스레드 댓글]
사용 중인 버전의 Excel에서 이 스레드 댓글을 읽을 수 있지만 파일을 이후 버전의 Excel에서 열면 편집 내용이 모두 제거됩니다. 자세한 정보: https://go.microsoft.com/fwlink/?linkid=870924.
댓글:
    국적별 또는 한국/해외 구분 검토 필요합니다.</t>
      </text>
    </comment>
    <comment ref="C1201" authorId="6" shapeId="0" xr:uid="{936CB786-947F-4F8F-A9AF-F0BB49A8A531}">
      <text>
        <t>[스레드 댓글]
사용 중인 버전의 Excel에서 이 스레드 댓글을 읽을 수 있지만 파일을 이후 버전의 Excel에서 열면 편집 내용이 모두 제거됩니다. 자세한 정보: https://go.microsoft.com/fwlink/?linkid=870924.
댓글:
    국적별 또는 한국/해외 구분 검토 필요합니다.</t>
      </text>
    </comment>
    <comment ref="C1648" authorId="7" shapeId="0" xr:uid="{3926680E-99A6-4CEF-B685-4720F4EAEB08}">
      <text>
        <t>[스레드 댓글]
사용 중인 버전의 Excel에서 이 스레드 댓글을 읽을 수 있지만 파일을 이후 버전의 Excel에서 열면 편집 내용이 모두 제거됩니다. 자세한 정보: https://go.microsoft.com/fwlink/?linkid=870924.
댓글:
    지속가능성 보고서: 기밀(정책상 미공개)</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tc={0A249F12-5174-455D-9A7D-50A11142B424}</author>
    <author>tc={9E5F3947-489F-4BF7-87A9-D606967E6A81}</author>
  </authors>
  <commentList>
    <comment ref="AE205" authorId="0" shapeId="0" xr:uid="{0A249F12-5174-455D-9A7D-50A11142B424}">
      <text>
        <t>[스레드 댓글]
사용 중인 버전의 Excel에서 이 스레드 댓글을 읽을 수 있지만 파일을 이후 버전의 Excel에서 열면 편집 내용이 모두 제거됩니다. 자세한 정보: https://go.microsoft.com/fwlink/?linkid=870924.
댓글:
    CGV:
튀르키예 총 임직원 수와 경영진 구성은 재확인 과정에 있습니다.
튀르키예가 12일까지 바이람 연휴라 차주 확인 가능합니다.</t>
      </text>
    </comment>
    <comment ref="C324" authorId="1" shapeId="0" xr:uid="{9E5F3947-489F-4BF7-87A9-D606967E6A81}">
      <text>
        <t>[스레드 댓글]
사용 중인 버전의 Excel에서 이 스레드 댓글을 읽을 수 있지만 파일을 이후 버전의 Excel에서 열면 편집 내용이 모두 제거됩니다. 자세한 정보: https://go.microsoft.com/fwlink/?linkid=870924.
댓글:
    지속가능성 보고서: 기밀(정책상 미공개)</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tc={8132D01A-FB2E-46E3-82A8-EAEDD1E0397F}</author>
    <author>Mina Jang</author>
    <author>tc={601D08F8-0964-46BE-B95A-44265CA8CB26}</author>
    <author>tc={D9E4537F-6D69-409F-BDBE-6EC5BA9377B8}</author>
    <author>tc={BAC34630-1996-4F3B-9471-0F8DFAD62E23}</author>
    <author>tc={19A95467-08C1-4023-A455-E4461DF274E8}</author>
    <author>tc={89F39E34-7181-4417-B8E8-A36936A97E2C}</author>
    <author>tc={D24872B8-BDEE-418D-AD7E-2D2C11C1B6CC}</author>
    <author>tc={03A8503C-B419-488A-9668-22121EF0784F}</author>
    <author>tc={06566F2D-5B72-4AD5-9333-9150F4415C87}</author>
    <author>tc={5C8F7234-3D3F-4000-B51C-88FBB7DEC056}</author>
    <author>tc={DB4940D9-D353-43F1-A610-8B78F22A14EC}</author>
    <author>tc={B6B2482E-76C4-4F6E-B2A6-60A8C87FC979}</author>
    <author>tc={ACCDDCC6-62CD-4CAA-97B0-65059051D0F0}</author>
    <author>tc={D5FDEF86-2F5F-45C5-85A9-FE9BB4F2510A}</author>
  </authors>
  <commentList>
    <comment ref="W26" authorId="0" shapeId="0" xr:uid="{8132D01A-FB2E-46E3-82A8-EAEDD1E0397F}">
      <text>
        <t>[스레드 댓글]
사용 중인 버전의 Excel에서 이 스레드 댓글을 읽을 수 있지만 파일을 이후 버전의 Excel에서 열면 편집 내용이 모두 제거됩니다. 자세한 정보: https://go.microsoft.com/fwlink/?linkid=870924.
댓글:
    제안주신대로 영업수익/영업비용으로 대체 부탁드립니다.</t>
      </text>
    </comment>
    <comment ref="K64" authorId="1" shapeId="0" xr:uid="{6EDDD082-D3F6-42FA-8B1B-2C71BA66955D}">
      <text>
        <r>
          <rPr>
            <b/>
            <sz val="9"/>
            <color indexed="81"/>
            <rFont val="Tahoma"/>
            <family val="2"/>
          </rPr>
          <t>Mina Jang:</t>
        </r>
        <r>
          <rPr>
            <sz val="9"/>
            <color indexed="81"/>
            <rFont val="Tahoma"/>
            <family val="2"/>
          </rPr>
          <t xml:space="preserve">
K </t>
        </r>
      </text>
    </comment>
    <comment ref="W81" authorId="2" shapeId="0" xr:uid="{601D08F8-0964-46BE-B95A-44265CA8CB26}">
      <text>
        <t>[스레드 댓글]
사용 중인 버전의 Excel에서 이 스레드 댓글을 읽을 수 있지만 파일을 이후 버전의 Excel에서 열면 편집 내용이 모두 제거됩니다. 자세한 정보: https://go.microsoft.com/fwlink/?linkid=870924.
댓글:
    2023년 기입해 놓았으며, 2022년도 수정사항이 있어 수정 반영했습니다.</t>
      </text>
    </comment>
    <comment ref="W96" authorId="3" shapeId="0" xr:uid="{D9E4537F-6D69-409F-BDBE-6EC5BA9377B8}">
      <text>
        <t>[스레드 댓글]
사용 중인 버전의 Excel에서 이 스레드 댓글을 읽을 수 있지만 파일을 이후 버전의 Excel에서 열면 편집 내용이 모두 제거됩니다. 자세한 정보: https://go.microsoft.com/fwlink/?linkid=870924.
댓글:
    2023년 기입해 놓았으며, 2022년도 수정사항이 있어 수정 반영했습니다.</t>
      </text>
    </comment>
    <comment ref="V131" authorId="4" shapeId="0" xr:uid="{BAC34630-1996-4F3B-9471-0F8DFAD62E23}">
      <text>
        <t>[스레드 댓글]
사용 중인 버전의 Excel에서 이 스레드 댓글을 읽을 수 있지만 파일을 이후 버전의 Excel에서 열면 편집 내용이 모두 제거됩니다. 자세한 정보: https://go.microsoft.com/fwlink/?linkid=870924.
댓글:
    취합중. 3월 이후 추가 예정</t>
      </text>
    </comment>
    <comment ref="V149" authorId="5" shapeId="0" xr:uid="{19A95467-08C1-4023-A455-E4461DF274E8}">
      <text>
        <t>[스레드 댓글]
사용 중인 버전의 Excel에서 이 스레드 댓글을 읽을 수 있지만 파일을 이후 버전의 Excel에서 열면 편집 내용이 모두 제거됩니다. 자세한 정보: https://go.microsoft.com/fwlink/?linkid=870924.
댓글:
    전국 직영사이트 주요 매점 패키지 무게를 폐기물 배출량으로 산정</t>
      </text>
    </comment>
    <comment ref="W206" authorId="6" shapeId="0" xr:uid="{89F39E34-7181-4417-B8E8-A36936A97E2C}">
      <text>
        <t>[스레드 댓글]
사용 중인 버전의 Excel에서 이 스레드 댓글을 읽을 수 있지만 파일을 이후 버전의 Excel에서 열면 편집 내용이 모두 제거됩니다. 자세한 정보: https://go.microsoft.com/fwlink/?linkid=870924.
댓글:
    미소지기 Data 포함해 재입력했습니다.</t>
      </text>
    </comment>
    <comment ref="V209" authorId="7" shapeId="0" xr:uid="{D24872B8-BDEE-418D-AD7E-2D2C11C1B6CC}">
      <text>
        <t>[스레드 댓글]
사용 중인 버전의 Excel에서 이 스레드 댓글을 읽을 수 있지만 파일을 이후 버전의 Excel에서 열면 편집 내용이 모두 제거됩니다. 자세한 정보: https://go.microsoft.com/fwlink/?linkid=870924.
댓글:
    내부 시스템 인력데이터 상 인원으로, 등기/미등기임원 여부는 사업보고서 통해서 별도 확인 필요합니다.</t>
      </text>
    </comment>
    <comment ref="V221" authorId="8" shapeId="0" xr:uid="{03A8503C-B419-488A-9668-22121EF0784F}">
      <text>
        <t>[스레드 댓글]
사용 중인 버전의 Excel에서 이 스레드 댓글을 읽을 수 있지만 파일을 이후 버전의 Excel에서 열면 편집 내용이 모두 제거됩니다. 자세한 정보: https://go.microsoft.com/fwlink/?linkid=870924.
댓글:
    허민회님, 조진호님, 최정필님, 손종수님, 이명형님, 정승욱님, 정종민님</t>
      </text>
    </comment>
    <comment ref="V222" authorId="9" shapeId="0" xr:uid="{06566F2D-5B72-4AD5-9333-9150F4415C87}">
      <text>
        <t>[스레드 댓글]
사용 중인 버전의 Excel에서 이 스레드 댓글을 읽을 수 있지만 파일을 이후 버전의 Excel에서 열면 편집 내용이 모두 제거됩니다. 자세한 정보: https://go.microsoft.com/fwlink/?linkid=870924.
댓글:
    박정신님</t>
      </text>
    </comment>
    <comment ref="V306" authorId="10" shapeId="0" xr:uid="{5C8F7234-3D3F-4000-B51C-88FBB7DEC056}">
      <text>
        <t>[스레드 댓글]
사용 중인 버전의 Excel에서 이 스레드 댓글을 읽을 수 있지만 파일을 이후 버전의 Excel에서 열면 편집 내용이 모두 제거됩니다. 자세한 정보: https://go.microsoft.com/fwlink/?linkid=870924.
댓글:
    22년 11명 복직
23년 14명 복직 예정자
23년 미복직 : 4명</t>
      </text>
    </comment>
    <comment ref="V307" authorId="11" shapeId="0" xr:uid="{DB4940D9-D353-43F1-A610-8B78F22A14EC}">
      <text>
        <t xml:space="preserve">[스레드 댓글]
사용 중인 버전의 Excel에서 이 스레드 댓글을 읽을 수 있지만 파일을 이후 버전의 Excel에서 열면 편집 내용이 모두 제거됩니다. 자세한 정보: https://go.microsoft.com/fwlink/?linkid=870924.
댓글:
    22년 32명 복직
23년 44명 복직 예정자
23년 미복직 : 12명
</t>
      </text>
    </comment>
    <comment ref="V308" authorId="12" shapeId="0" xr:uid="{B6B2482E-76C4-4F6E-B2A6-60A8C87FC979}">
      <text>
        <t>[스레드 댓글]
사용 중인 버전의 Excel에서 이 스레드 댓글을 읽을 수 있지만 파일을 이후 버전의 Excel에서 열면 편집 내용이 모두 제거됩니다. 자세한 정보: https://go.microsoft.com/fwlink/?linkid=870924.
댓글:
    22년 복직 43명 中 12개월 미만 재직 후 퇴사자 수 : 10</t>
      </text>
    </comment>
    <comment ref="C325" authorId="13" shapeId="0" xr:uid="{ACCDDCC6-62CD-4CAA-97B0-65059051D0F0}">
      <text>
        <t>[스레드 댓글]
사용 중인 버전의 Excel에서 이 스레드 댓글을 읽을 수 있지만 파일을 이후 버전의 Excel에서 열면 편집 내용이 모두 제거됩니다. 자세한 정보: https://go.microsoft.com/fwlink/?linkid=870924.
댓글:
    지속가능성 보고서: 기밀(정책상 미공개)</t>
      </text>
    </comment>
    <comment ref="T374" authorId="14" shapeId="0" xr:uid="{D5FDEF86-2F5F-45C5-85A9-FE9BB4F2510A}">
      <text>
        <t>[스레드 댓글]
사용 중인 버전의 Excel에서 이 스레드 댓글을 읽을 수 있지만 파일을 이후 버전의 Excel에서 열면 편집 내용이 모두 제거됩니다. 자세한 정보: https://go.microsoft.com/fwlink/?linkid=870924.
댓글:
    작년 수치 수정되었습니다.</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tc={7C8C963A-332F-4560-AF72-647EA2B2EDBC}</author>
    <author>tc={2A3AAB77-6392-48AE-93B9-62C0A63BDA57}</author>
  </authors>
  <commentList>
    <comment ref="C478" authorId="0" shapeId="0" xr:uid="{7C8C963A-332F-4560-AF72-647EA2B2EDBC}">
      <text>
        <t>[스레드 댓글]
사용 중인 버전의 Excel에서 이 스레드 댓글을 읽을 수 있지만 파일을 이후 버전의 Excel에서 열면 편집 내용이 모두 제거됩니다. 자세한 정보: https://go.microsoft.com/fwlink/?linkid=870924.
댓글:
    지속가능성 보고서: 기밀(정책상 미공개)</t>
      </text>
    </comment>
    <comment ref="M644" authorId="1" shapeId="0" xr:uid="{2A3AAB77-6392-48AE-93B9-62C0A63BDA57}">
      <text>
        <t>[스레드 댓글]
사용 중인 버전의 Excel에서 이 스레드 댓글을 읽을 수 있지만 파일을 이후 버전의 Excel에서 열면 편집 내용이 모두 제거됩니다. 자세한 정보: https://go.microsoft.com/fwlink/?linkid=870924.
댓글:
    계산식 적용한 값으로 조정함</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tc={34378274-7CB6-4623-8616-AA7A016970C1}</author>
    <author>tc={CD7D6FA9-1123-43EA-9FB2-F84F826B7CCF}</author>
    <author>tc={E42AC722-B04B-4008-B7ED-8F8269FD5E1B}</author>
    <author>tc={F9023E63-28B4-4CD0-931F-467CCA135B9C}</author>
    <author>tc={74B831A8-72CE-42BD-8CBE-C30EE1804AF5}</author>
    <author>tc={A73017CB-031A-4305-9D20-6005AC2C5737}</author>
    <author>tc={BE508265-9AC9-44C1-80CB-39C8A32D1788}</author>
  </authors>
  <commentList>
    <comment ref="D113" authorId="0" shapeId="0" xr:uid="{34378274-7CB6-4623-8616-AA7A016970C1}">
      <text>
        <t>[스레드 댓글]
사용 중인 버전의 Excel에서 이 스레드 댓글을 읽을 수 있지만 파일을 이후 버전의 Excel에서 열면 편집 내용이 모두 제거됩니다. 자세한 정보: https://go.microsoft.com/fwlink/?linkid=870924.
댓글:
    현재 "연결기준 총 매출액" 기입되었으나, 온실가스배출량 산정 범위에 중국 제외되는 경우 중국 매출액도 제외되는 것이 정확합니다.
답글:
    임대리님: 중국 온실가스 배출량 단위 통일로 통합 매출로 적용해도 될 것 같습니다.</t>
      </text>
    </comment>
    <comment ref="F502" authorId="1" shapeId="0" xr:uid="{CD7D6FA9-1123-43EA-9FB2-F84F826B7CCF}">
      <text>
        <t>[스레드 댓글]
사용 중인 버전의 Excel에서 이 스레드 댓글을 읽을 수 있지만 파일을 이후 버전의 Excel에서 열면 편집 내용이 모두 제거됩니다. 자세한 정보: https://go.microsoft.com/fwlink/?linkid=870924.
댓글:
    톤과 ㎥ 합산되어 있습니다.</t>
      </text>
    </comment>
    <comment ref="K502" authorId="2" shapeId="0" xr:uid="{E42AC722-B04B-4008-B7ED-8F8269FD5E1B}">
      <text>
        <t>[스레드 댓글]
사용 중인 버전의 Excel에서 이 스레드 댓글을 읽을 수 있지만 파일을 이후 버전의 Excel에서 열면 편집 내용이 모두 제거됩니다. 자세한 정보: https://go.microsoft.com/fwlink/?linkid=870924.
댓글:
    톤과 ㎥ 합산되어 있습니다.</t>
      </text>
    </comment>
    <comment ref="F509" authorId="3" shapeId="0" xr:uid="{F9023E63-28B4-4CD0-931F-467CCA135B9C}">
      <text>
        <t>[스레드 댓글]
사용 중인 버전의 Excel에서 이 스레드 댓글을 읽을 수 있지만 파일을 이후 버전의 Excel에서 열면 편집 내용이 모두 제거됩니다. 자세한 정보: https://go.microsoft.com/fwlink/?linkid=870924.
댓글:
    톤과 ㎥ 합산되어 있습니다.</t>
      </text>
    </comment>
    <comment ref="K509" authorId="4" shapeId="0" xr:uid="{74B831A8-72CE-42BD-8CBE-C30EE1804AF5}">
      <text>
        <t>[스레드 댓글]
사용 중인 버전의 Excel에서 이 스레드 댓글을 읽을 수 있지만 파일을 이후 버전의 Excel에서 열면 편집 내용이 모두 제거됩니다. 자세한 정보: https://go.microsoft.com/fwlink/?linkid=870924.
댓글:
    톤과 ㎥ 합산되어 있습니다.</t>
      </text>
    </comment>
    <comment ref="C1154" authorId="5" shapeId="0" xr:uid="{A73017CB-031A-4305-9D20-6005AC2C5737}">
      <text>
        <t>[스레드 댓글]
사용 중인 버전의 Excel에서 이 스레드 댓글을 읽을 수 있지만 파일을 이후 버전의 Excel에서 열면 편집 내용이 모두 제거됩니다. 자세한 정보: https://go.microsoft.com/fwlink/?linkid=870924.
댓글:
    국적별 또는 한국/해외 구분 검토 필요합니다.</t>
      </text>
    </comment>
    <comment ref="C1480" authorId="6" shapeId="0" xr:uid="{BE508265-9AC9-44C1-80CB-39C8A32D1788}">
      <text>
        <t>[스레드 댓글]
사용 중인 버전의 Excel에서 이 스레드 댓글을 읽을 수 있지만 파일을 이후 버전의 Excel에서 열면 편집 내용이 모두 제거됩니다. 자세한 정보: https://go.microsoft.com/fwlink/?linkid=870924.
댓글:
    지속가능성 보고서: 기밀(정책상 미공개)</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tc={EA75FC01-CFC9-4272-A86B-2A098BB946F5}</author>
    <author>Mina Jang</author>
    <author>tc={A0252A13-C26D-4104-8008-094E3B296A35}</author>
    <author>tc={762FB6C1-9FB6-4BF4-B3D4-D061615DD17E}</author>
    <author>tc={F03124ED-38B3-4DC1-B3C3-CE7F89D07E16}</author>
    <author>tc={8818BC93-7CBA-497D-89DC-CB53350E2D5E}</author>
    <author>tc={B75B7689-04DE-4280-8522-BAA4F8EEE3CC}</author>
    <author>tc={A3887FEA-9036-4F82-A002-E04F3EE11DE8}</author>
    <author>tc={F66D1D63-F51C-4419-B21B-D4C2BEB1F44C}</author>
    <author>tc={102E4C19-790E-45E2-8CEB-FC017E6B6F47}</author>
    <author>tc={F6AD4601-4C39-48F5-849E-ADF76562B145}</author>
    <author>tc={5A48756F-C9DB-47C4-8FF5-45BF5BA4A224}</author>
    <author>tc={7996850C-CC6E-45E9-9648-A563F1EE4ACA}</author>
    <author>tc={76BC980F-7D44-4501-8CF7-11D363F19721}</author>
    <author>tc={F1BF846B-BC5B-456A-8D1F-D373AC7599C2}</author>
  </authors>
  <commentList>
    <comment ref="W26" authorId="0" shapeId="0" xr:uid="{EA75FC01-CFC9-4272-A86B-2A098BB946F5}">
      <text>
        <t>[스레드 댓글]
사용 중인 버전의 Excel에서 이 스레드 댓글을 읽을 수 있지만 파일을 이후 버전의 Excel에서 열면 편집 내용이 모두 제거됩니다. 자세한 정보: https://go.microsoft.com/fwlink/?linkid=870924.
댓글:
    제안주신대로 영업수익/영업비용으로 대체 부탁드립니다.</t>
      </text>
    </comment>
    <comment ref="K64" authorId="1" shapeId="0" xr:uid="{D475CB28-6380-40E2-99F8-7152DB5FE28B}">
      <text>
        <r>
          <rPr>
            <b/>
            <sz val="9"/>
            <color indexed="81"/>
            <rFont val="Tahoma"/>
            <family val="2"/>
          </rPr>
          <t>Mina Jang:</t>
        </r>
        <r>
          <rPr>
            <sz val="9"/>
            <color indexed="81"/>
            <rFont val="Tahoma"/>
            <family val="2"/>
          </rPr>
          <t xml:space="preserve">
K </t>
        </r>
      </text>
    </comment>
    <comment ref="W81" authorId="2" shapeId="0" xr:uid="{A0252A13-C26D-4104-8008-094E3B296A35}">
      <text>
        <t>[스레드 댓글]
사용 중인 버전의 Excel에서 이 스레드 댓글을 읽을 수 있지만 파일을 이후 버전의 Excel에서 열면 편집 내용이 모두 제거됩니다. 자세한 정보: https://go.microsoft.com/fwlink/?linkid=870924.
댓글:
    2023년 기입해 놓았으며, 2022년도 수정사항이 있어 수정 반영했습니다.</t>
      </text>
    </comment>
    <comment ref="W96" authorId="3" shapeId="0" xr:uid="{762FB6C1-9FB6-4BF4-B3D4-D061615DD17E}">
      <text>
        <t>[스레드 댓글]
사용 중인 버전의 Excel에서 이 스레드 댓글을 읽을 수 있지만 파일을 이후 버전의 Excel에서 열면 편집 내용이 모두 제거됩니다. 자세한 정보: https://go.microsoft.com/fwlink/?linkid=870924.
댓글:
    2023년 기입해 놓았으며, 2022년도 수정사항이 있어 수정 반영했습니다.</t>
      </text>
    </comment>
    <comment ref="V131" authorId="4" shapeId="0" xr:uid="{F03124ED-38B3-4DC1-B3C3-CE7F89D07E16}">
      <text>
        <t>[스레드 댓글]
사용 중인 버전의 Excel에서 이 스레드 댓글을 읽을 수 있지만 파일을 이후 버전의 Excel에서 열면 편집 내용이 모두 제거됩니다. 자세한 정보: https://go.microsoft.com/fwlink/?linkid=870924.
댓글:
    취합중. 3월 이후 추가 예정</t>
      </text>
    </comment>
    <comment ref="V149" authorId="5" shapeId="0" xr:uid="{8818BC93-7CBA-497D-89DC-CB53350E2D5E}">
      <text>
        <t>[스레드 댓글]
사용 중인 버전의 Excel에서 이 스레드 댓글을 읽을 수 있지만 파일을 이후 버전의 Excel에서 열면 편집 내용이 모두 제거됩니다. 자세한 정보: https://go.microsoft.com/fwlink/?linkid=870924.
댓글:
    전국 직영사이트 주요 매점 패키지 무게를 폐기물 배출량으로 산정</t>
      </text>
    </comment>
    <comment ref="W206" authorId="6" shapeId="0" xr:uid="{B75B7689-04DE-4280-8522-BAA4F8EEE3CC}">
      <text>
        <t>[스레드 댓글]
사용 중인 버전의 Excel에서 이 스레드 댓글을 읽을 수 있지만 파일을 이후 버전의 Excel에서 열면 편집 내용이 모두 제거됩니다. 자세한 정보: https://go.microsoft.com/fwlink/?linkid=870924.
댓글:
    미소지기 Data 포함해 재입력했습니다.</t>
      </text>
    </comment>
    <comment ref="V209" authorId="7" shapeId="0" xr:uid="{A3887FEA-9036-4F82-A002-E04F3EE11DE8}">
      <text>
        <t>[스레드 댓글]
사용 중인 버전의 Excel에서 이 스레드 댓글을 읽을 수 있지만 파일을 이후 버전의 Excel에서 열면 편집 내용이 모두 제거됩니다. 자세한 정보: https://go.microsoft.com/fwlink/?linkid=870924.
댓글:
    내부 시스템 인력데이터 상 인원으로, 등기/미등기임원 여부는 사업보고서 통해서 별도 확인 필요합니다.</t>
      </text>
    </comment>
    <comment ref="V221" authorId="8" shapeId="0" xr:uid="{F66D1D63-F51C-4419-B21B-D4C2BEB1F44C}">
      <text>
        <t>[스레드 댓글]
사용 중인 버전의 Excel에서 이 스레드 댓글을 읽을 수 있지만 파일을 이후 버전의 Excel에서 열면 편집 내용이 모두 제거됩니다. 자세한 정보: https://go.microsoft.com/fwlink/?linkid=870924.
댓글:
    허민회님, 조진호님, 최정필님, 손종수님, 이명형님, 정승욱님, 정종민님</t>
      </text>
    </comment>
    <comment ref="V222" authorId="9" shapeId="0" xr:uid="{102E4C19-790E-45E2-8CEB-FC017E6B6F47}">
      <text>
        <t>[스레드 댓글]
사용 중인 버전의 Excel에서 이 스레드 댓글을 읽을 수 있지만 파일을 이후 버전의 Excel에서 열면 편집 내용이 모두 제거됩니다. 자세한 정보: https://go.microsoft.com/fwlink/?linkid=870924.
댓글:
    박정신님</t>
      </text>
    </comment>
    <comment ref="V306" authorId="10" shapeId="0" xr:uid="{F6AD4601-4C39-48F5-849E-ADF76562B145}">
      <text>
        <t>[스레드 댓글]
사용 중인 버전의 Excel에서 이 스레드 댓글을 읽을 수 있지만 파일을 이후 버전의 Excel에서 열면 편집 내용이 모두 제거됩니다. 자세한 정보: https://go.microsoft.com/fwlink/?linkid=870924.
댓글:
    22년 11명 복직
23년 14명 복직 예정자
23년 미복직 : 4명</t>
      </text>
    </comment>
    <comment ref="V307" authorId="11" shapeId="0" xr:uid="{5A48756F-C9DB-47C4-8FF5-45BF5BA4A224}">
      <text>
        <t xml:space="preserve">[스레드 댓글]
사용 중인 버전의 Excel에서 이 스레드 댓글을 읽을 수 있지만 파일을 이후 버전의 Excel에서 열면 편집 내용이 모두 제거됩니다. 자세한 정보: https://go.microsoft.com/fwlink/?linkid=870924.
댓글:
    22년 32명 복직
23년 44명 복직 예정자
23년 미복직 : 12명
</t>
      </text>
    </comment>
    <comment ref="V308" authorId="12" shapeId="0" xr:uid="{7996850C-CC6E-45E9-9648-A563F1EE4ACA}">
      <text>
        <t>[스레드 댓글]
사용 중인 버전의 Excel에서 이 스레드 댓글을 읽을 수 있지만 파일을 이후 버전의 Excel에서 열면 편집 내용이 모두 제거됩니다. 자세한 정보: https://go.microsoft.com/fwlink/?linkid=870924.
댓글:
    22년 복직 43명 中 12개월 미만 재직 후 퇴사자 수 : 10</t>
      </text>
    </comment>
    <comment ref="C325" authorId="13" shapeId="0" xr:uid="{76BC980F-7D44-4501-8CF7-11D363F19721}">
      <text>
        <t>[스레드 댓글]
사용 중인 버전의 Excel에서 이 스레드 댓글을 읽을 수 있지만 파일을 이후 버전의 Excel에서 열면 편집 내용이 모두 제거됩니다. 자세한 정보: https://go.microsoft.com/fwlink/?linkid=870924.
댓글:
    지속가능성 보고서: 기밀(정책상 미공개)</t>
      </text>
    </comment>
    <comment ref="T374" authorId="14" shapeId="0" xr:uid="{F1BF846B-BC5B-456A-8D1F-D373AC7599C2}">
      <text>
        <t>[스레드 댓글]
사용 중인 버전의 Excel에서 이 스레드 댓글을 읽을 수 있지만 파일을 이후 버전의 Excel에서 열면 편집 내용이 모두 제거됩니다. 자세한 정보: https://go.microsoft.com/fwlink/?linkid=870924.
댓글:
    작년 수치 수정되었습니다.</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Lenovo</author>
    <author>구필회</author>
    <author>tc={06C52E36-A2A2-43E3-BAAA-4813709163D4}</author>
    <author>SehHyun Ryu</author>
    <author>User</author>
  </authors>
  <commentList>
    <comment ref="AE66" authorId="0" shapeId="0" xr:uid="{56DEB5B3-0F9A-420F-AAF4-846C8A708B33}">
      <text>
        <r>
          <rPr>
            <sz val="9"/>
            <color indexed="81"/>
            <rFont val="BatangChe"/>
            <family val="3"/>
            <charset val="129"/>
          </rPr>
          <t>원천징수</t>
        </r>
        <r>
          <rPr>
            <sz val="9"/>
            <color indexed="81"/>
            <rFont val="Tahoma"/>
            <family val="2"/>
          </rPr>
          <t xml:space="preserve"> </t>
        </r>
        <r>
          <rPr>
            <sz val="9"/>
            <color indexed="81"/>
            <rFont val="BatangChe"/>
            <family val="3"/>
            <charset val="129"/>
          </rPr>
          <t>이행</t>
        </r>
        <r>
          <rPr>
            <sz val="9"/>
            <color indexed="81"/>
            <rFont val="Tahoma"/>
            <family val="2"/>
          </rPr>
          <t xml:space="preserve"> </t>
        </r>
        <r>
          <rPr>
            <sz val="9"/>
            <color indexed="81"/>
            <rFont val="BatangChe"/>
            <family val="3"/>
            <charset val="129"/>
          </rPr>
          <t>장려금</t>
        </r>
        <r>
          <rPr>
            <sz val="9"/>
            <color indexed="81"/>
            <rFont val="Tahoma"/>
            <family val="2"/>
          </rPr>
          <t xml:space="preserve">
</t>
        </r>
      </text>
    </comment>
    <comment ref="AF66" authorId="0" shapeId="0" xr:uid="{27D29296-5A06-47AB-A522-B85713222C88}">
      <text>
        <r>
          <rPr>
            <b/>
            <sz val="9"/>
            <color indexed="81"/>
            <rFont val="BatangChe"/>
            <family val="3"/>
            <charset val="129"/>
          </rPr>
          <t>원천세징수</t>
        </r>
        <r>
          <rPr>
            <b/>
            <sz val="9"/>
            <color indexed="81"/>
            <rFont val="Tahoma"/>
            <family val="2"/>
          </rPr>
          <t xml:space="preserve"> </t>
        </r>
        <r>
          <rPr>
            <b/>
            <sz val="9"/>
            <color indexed="81"/>
            <rFont val="BatangChe"/>
            <family val="3"/>
            <charset val="129"/>
          </rPr>
          <t>이행장려금</t>
        </r>
        <r>
          <rPr>
            <b/>
            <sz val="9"/>
            <color indexed="81"/>
            <rFont val="Tahoma"/>
            <family val="2"/>
          </rPr>
          <t xml:space="preserve">(45,273.24)
</t>
        </r>
        <r>
          <rPr>
            <b/>
            <sz val="9"/>
            <color indexed="81"/>
            <rFont val="BatangChe"/>
            <family val="3"/>
            <charset val="129"/>
          </rPr>
          <t>고용안정지원금</t>
        </r>
        <r>
          <rPr>
            <b/>
            <sz val="9"/>
            <color indexed="81"/>
            <rFont val="Tahoma"/>
            <family val="2"/>
          </rPr>
          <t xml:space="preserve">(18,162)
</t>
        </r>
        <r>
          <rPr>
            <b/>
            <sz val="9"/>
            <color indexed="81"/>
            <rFont val="BatangChe"/>
            <family val="3"/>
            <charset val="129"/>
          </rPr>
          <t>외자법인</t>
        </r>
        <r>
          <rPr>
            <b/>
            <sz val="9"/>
            <color indexed="81"/>
            <rFont val="Tahoma"/>
            <family val="2"/>
          </rPr>
          <t xml:space="preserve"> </t>
        </r>
        <r>
          <rPr>
            <b/>
            <sz val="9"/>
            <color indexed="81"/>
            <rFont val="BatangChe"/>
            <family val="3"/>
            <charset val="129"/>
          </rPr>
          <t>이자비용</t>
        </r>
        <r>
          <rPr>
            <b/>
            <sz val="9"/>
            <color indexed="81"/>
            <rFont val="Tahoma"/>
            <family val="2"/>
          </rPr>
          <t xml:space="preserve"> </t>
        </r>
        <r>
          <rPr>
            <b/>
            <sz val="9"/>
            <color indexed="81"/>
            <rFont val="BatangChe"/>
            <family val="3"/>
            <charset val="129"/>
          </rPr>
          <t>지원</t>
        </r>
        <r>
          <rPr>
            <b/>
            <sz val="9"/>
            <color indexed="81"/>
            <rFont val="Tahoma"/>
            <family val="2"/>
          </rPr>
          <t xml:space="preserve">(252,358)
</t>
        </r>
      </text>
    </comment>
    <comment ref="AG66" authorId="0" shapeId="0" xr:uid="{1807E390-CBCE-40B9-AF64-3A4296940C22}">
      <text>
        <r>
          <rPr>
            <b/>
            <sz val="9"/>
            <color indexed="81"/>
            <rFont val="BatangChe"/>
            <family val="3"/>
            <charset val="129"/>
          </rPr>
          <t>원천징수</t>
        </r>
        <r>
          <rPr>
            <b/>
            <sz val="9"/>
            <color indexed="81"/>
            <rFont val="Tahoma"/>
            <family val="2"/>
          </rPr>
          <t xml:space="preserve"> </t>
        </r>
        <r>
          <rPr>
            <b/>
            <sz val="9"/>
            <color indexed="81"/>
            <rFont val="BatangChe"/>
            <family val="3"/>
            <charset val="129"/>
          </rPr>
          <t>이행장려금</t>
        </r>
        <r>
          <rPr>
            <b/>
            <sz val="9"/>
            <color indexed="81"/>
            <rFont val="Tahoma"/>
            <family val="2"/>
          </rPr>
          <t xml:space="preserve">(8,175.78)
</t>
        </r>
        <r>
          <rPr>
            <b/>
            <sz val="9"/>
            <color indexed="81"/>
            <rFont val="BatangChe"/>
            <family val="3"/>
            <charset val="129"/>
          </rPr>
          <t>고용안정지원금</t>
        </r>
        <r>
          <rPr>
            <b/>
            <sz val="9"/>
            <color indexed="81"/>
            <rFont val="Tahoma"/>
            <family val="2"/>
          </rPr>
          <t xml:space="preserve">(36,153)
</t>
        </r>
        <r>
          <rPr>
            <b/>
            <sz val="9"/>
            <color indexed="81"/>
            <rFont val="BatangChe"/>
            <family val="3"/>
            <charset val="129"/>
          </rPr>
          <t>외자법인</t>
        </r>
        <r>
          <rPr>
            <b/>
            <sz val="9"/>
            <color indexed="81"/>
            <rFont val="Tahoma"/>
            <family val="2"/>
          </rPr>
          <t xml:space="preserve"> </t>
        </r>
        <r>
          <rPr>
            <b/>
            <sz val="9"/>
            <color indexed="81"/>
            <rFont val="BatangChe"/>
            <family val="3"/>
            <charset val="129"/>
          </rPr>
          <t>이자비용</t>
        </r>
        <r>
          <rPr>
            <b/>
            <sz val="9"/>
            <color indexed="81"/>
            <rFont val="Tahoma"/>
            <family val="2"/>
          </rPr>
          <t xml:space="preserve"> </t>
        </r>
        <r>
          <rPr>
            <b/>
            <sz val="9"/>
            <color indexed="81"/>
            <rFont val="BatangChe"/>
            <family val="3"/>
            <charset val="129"/>
          </rPr>
          <t>지원</t>
        </r>
        <r>
          <rPr>
            <b/>
            <sz val="9"/>
            <color indexed="81"/>
            <rFont val="Tahoma"/>
            <family val="2"/>
          </rPr>
          <t>(238,915)</t>
        </r>
        <r>
          <rPr>
            <sz val="9"/>
            <color indexed="81"/>
            <rFont val="Tahoma"/>
            <family val="2"/>
          </rPr>
          <t xml:space="preserve">
</t>
        </r>
      </text>
    </comment>
    <comment ref="AE74" authorId="0" shapeId="0" xr:uid="{E1EF2FAE-6EE6-4E6D-8D49-C4BA0E419316}">
      <text>
        <r>
          <rPr>
            <b/>
            <sz val="9"/>
            <color indexed="81"/>
            <rFont val="BatangChe"/>
            <family val="3"/>
            <charset val="129"/>
          </rPr>
          <t>해외조달은</t>
        </r>
        <r>
          <rPr>
            <b/>
            <sz val="9"/>
            <color indexed="81"/>
            <rFont val="Tahoma"/>
            <family val="2"/>
          </rPr>
          <t xml:space="preserve"> </t>
        </r>
        <r>
          <rPr>
            <b/>
            <sz val="9"/>
            <color indexed="81"/>
            <rFont val="BatangChe"/>
            <family val="3"/>
            <charset val="129"/>
          </rPr>
          <t>전량</t>
        </r>
        <r>
          <rPr>
            <b/>
            <sz val="9"/>
            <color indexed="81"/>
            <rFont val="Tahoma"/>
            <family val="2"/>
          </rPr>
          <t xml:space="preserve"> 4DPLEX</t>
        </r>
        <r>
          <rPr>
            <b/>
            <sz val="9"/>
            <color indexed="81"/>
            <rFont val="BatangChe"/>
            <family val="3"/>
            <charset val="129"/>
          </rPr>
          <t>한국법인</t>
        </r>
        <r>
          <rPr>
            <b/>
            <sz val="9"/>
            <color indexed="81"/>
            <rFont val="Tahoma"/>
            <family val="2"/>
          </rPr>
          <t xml:space="preserve"> </t>
        </r>
        <r>
          <rPr>
            <b/>
            <sz val="9"/>
            <color indexed="81"/>
            <rFont val="BatangChe"/>
            <family val="3"/>
            <charset val="129"/>
          </rPr>
          <t>에서</t>
        </r>
        <r>
          <rPr>
            <b/>
            <sz val="9"/>
            <color indexed="81"/>
            <rFont val="Tahoma"/>
            <family val="2"/>
          </rPr>
          <t xml:space="preserve"> </t>
        </r>
        <r>
          <rPr>
            <b/>
            <sz val="9"/>
            <color indexed="81"/>
            <rFont val="BatangChe"/>
            <family val="3"/>
            <charset val="129"/>
          </rPr>
          <t>수입</t>
        </r>
        <r>
          <rPr>
            <b/>
            <sz val="9"/>
            <color indexed="81"/>
            <rFont val="Tahoma"/>
            <family val="2"/>
          </rPr>
          <t xml:space="preserve">.
</t>
        </r>
        <r>
          <rPr>
            <b/>
            <sz val="9"/>
            <color indexed="81"/>
            <rFont val="BatangChe"/>
            <family val="3"/>
            <charset val="129"/>
          </rPr>
          <t>이전가격</t>
        </r>
        <r>
          <rPr>
            <b/>
            <sz val="9"/>
            <color indexed="81"/>
            <rFont val="Tahoma"/>
            <family val="2"/>
          </rPr>
          <t xml:space="preserve"> </t>
        </r>
        <r>
          <rPr>
            <b/>
            <sz val="9"/>
            <color indexed="81"/>
            <rFont val="BatangChe"/>
            <family val="3"/>
            <charset val="129"/>
          </rPr>
          <t>단가조정분</t>
        </r>
        <r>
          <rPr>
            <b/>
            <sz val="9"/>
            <color indexed="81"/>
            <rFont val="Tahoma"/>
            <family val="2"/>
          </rPr>
          <t xml:space="preserve"> </t>
        </r>
        <r>
          <rPr>
            <b/>
            <sz val="9"/>
            <color indexed="81"/>
            <rFont val="BatangChe"/>
            <family val="3"/>
            <charset val="129"/>
          </rPr>
          <t>누계반영하여</t>
        </r>
        <r>
          <rPr>
            <b/>
            <sz val="9"/>
            <color indexed="81"/>
            <rFont val="Tahoma"/>
            <family val="2"/>
          </rPr>
          <t xml:space="preserve"> </t>
        </r>
        <r>
          <rPr>
            <b/>
            <sz val="9"/>
            <color indexed="81"/>
            <rFont val="BatangChe"/>
            <family val="3"/>
            <charset val="129"/>
          </rPr>
          <t>비율</t>
        </r>
        <r>
          <rPr>
            <b/>
            <sz val="9"/>
            <color indexed="81"/>
            <rFont val="Tahoma"/>
            <family val="2"/>
          </rPr>
          <t xml:space="preserve"> </t>
        </r>
        <r>
          <rPr>
            <b/>
            <sz val="9"/>
            <color indexed="81"/>
            <rFont val="BatangChe"/>
            <family val="3"/>
            <charset val="129"/>
          </rPr>
          <t>산정함</t>
        </r>
        <r>
          <rPr>
            <b/>
            <sz val="9"/>
            <color indexed="81"/>
            <rFont val="Tahoma"/>
            <family val="2"/>
          </rPr>
          <t>.</t>
        </r>
        <r>
          <rPr>
            <sz val="9"/>
            <color indexed="81"/>
            <rFont val="Tahoma"/>
            <family val="2"/>
          </rPr>
          <t xml:space="preserve">
</t>
        </r>
      </text>
    </comment>
    <comment ref="AF74" authorId="0" shapeId="0" xr:uid="{C2DFD6A4-3D57-4E89-A4D2-CF1933ED71E0}">
      <text>
        <r>
          <rPr>
            <b/>
            <sz val="9"/>
            <color indexed="81"/>
            <rFont val="Tahoma"/>
            <family val="2"/>
          </rPr>
          <t>ScreenX</t>
        </r>
        <r>
          <rPr>
            <b/>
            <sz val="9"/>
            <color indexed="81"/>
            <rFont val="BatangChe"/>
            <family val="3"/>
            <charset val="129"/>
          </rPr>
          <t>조달방식</t>
        </r>
        <r>
          <rPr>
            <b/>
            <sz val="9"/>
            <color indexed="81"/>
            <rFont val="Tahoma"/>
            <family val="2"/>
          </rPr>
          <t xml:space="preserve"> </t>
        </r>
        <r>
          <rPr>
            <b/>
            <sz val="9"/>
            <color indexed="81"/>
            <rFont val="BatangChe"/>
            <family val="3"/>
            <charset val="129"/>
          </rPr>
          <t>변경으로</t>
        </r>
        <r>
          <rPr>
            <b/>
            <sz val="9"/>
            <color indexed="81"/>
            <rFont val="Tahoma"/>
            <family val="2"/>
          </rPr>
          <t xml:space="preserve"> </t>
        </r>
        <r>
          <rPr>
            <b/>
            <sz val="9"/>
            <color indexed="81"/>
            <rFont val="BatangChe"/>
            <family val="3"/>
            <charset val="129"/>
          </rPr>
          <t>인한</t>
        </r>
        <r>
          <rPr>
            <b/>
            <sz val="9"/>
            <color indexed="81"/>
            <rFont val="Tahoma"/>
            <family val="2"/>
          </rPr>
          <t xml:space="preserve"> </t>
        </r>
        <r>
          <rPr>
            <b/>
            <sz val="9"/>
            <color indexed="81"/>
            <rFont val="BatangChe"/>
            <family val="3"/>
            <charset val="129"/>
          </rPr>
          <t>수입비증</t>
        </r>
        <r>
          <rPr>
            <b/>
            <sz val="9"/>
            <color indexed="81"/>
            <rFont val="Tahoma"/>
            <family val="2"/>
          </rPr>
          <t xml:space="preserve"> </t>
        </r>
        <r>
          <rPr>
            <b/>
            <sz val="9"/>
            <color indexed="81"/>
            <rFont val="BatangChe"/>
            <family val="3"/>
            <charset val="129"/>
          </rPr>
          <t>증가</t>
        </r>
      </text>
    </comment>
    <comment ref="AD78" authorId="1" shapeId="0" xr:uid="{A1B72152-541A-4F53-8573-B3A60850CD54}">
      <text>
        <r>
          <rPr>
            <b/>
            <sz val="9"/>
            <color indexed="81"/>
            <rFont val="돋움"/>
            <family val="3"/>
            <charset val="129"/>
          </rPr>
          <t>구필회</t>
        </r>
        <r>
          <rPr>
            <b/>
            <sz val="9"/>
            <color indexed="81"/>
            <rFont val="Tahoma"/>
            <family val="2"/>
          </rPr>
          <t>:</t>
        </r>
        <r>
          <rPr>
            <sz val="9"/>
            <color indexed="81"/>
            <rFont val="Tahoma"/>
            <family val="2"/>
          </rPr>
          <t xml:space="preserve">
</t>
        </r>
        <r>
          <rPr>
            <sz val="9"/>
            <color indexed="81"/>
            <rFont val="돋움"/>
            <family val="3"/>
            <charset val="129"/>
          </rPr>
          <t>용산</t>
        </r>
        <r>
          <rPr>
            <sz val="9"/>
            <color indexed="81"/>
            <rFont val="Tahoma"/>
            <family val="2"/>
          </rPr>
          <t xml:space="preserve"> </t>
        </r>
        <r>
          <rPr>
            <sz val="9"/>
            <color indexed="81"/>
            <rFont val="돋움"/>
            <family val="3"/>
            <charset val="129"/>
          </rPr>
          <t>고정연소는</t>
        </r>
        <r>
          <rPr>
            <sz val="9"/>
            <color indexed="81"/>
            <rFont val="Tahoma"/>
            <family val="2"/>
          </rPr>
          <t xml:space="preserve"> CGV</t>
        </r>
        <r>
          <rPr>
            <sz val="9"/>
            <color indexed="81"/>
            <rFont val="돋움"/>
            <family val="3"/>
            <charset val="129"/>
          </rPr>
          <t>에서</t>
        </r>
        <r>
          <rPr>
            <sz val="9"/>
            <color indexed="81"/>
            <rFont val="Tahoma"/>
            <family val="2"/>
          </rPr>
          <t xml:space="preserve"> </t>
        </r>
        <r>
          <rPr>
            <sz val="9"/>
            <color indexed="81"/>
            <rFont val="돋움"/>
            <family val="3"/>
            <charset val="129"/>
          </rPr>
          <t>일괄</t>
        </r>
        <r>
          <rPr>
            <sz val="9"/>
            <color indexed="81"/>
            <rFont val="Tahoma"/>
            <family val="2"/>
          </rPr>
          <t xml:space="preserve"> </t>
        </r>
        <r>
          <rPr>
            <sz val="9"/>
            <color indexed="81"/>
            <rFont val="돋움"/>
            <family val="3"/>
            <charset val="129"/>
          </rPr>
          <t>산출
오창과</t>
        </r>
        <r>
          <rPr>
            <sz val="9"/>
            <color indexed="81"/>
            <rFont val="Tahoma"/>
            <family val="2"/>
          </rPr>
          <t xml:space="preserve"> </t>
        </r>
        <r>
          <rPr>
            <sz val="9"/>
            <color indexed="81"/>
            <rFont val="돋움"/>
            <family val="3"/>
            <charset val="129"/>
          </rPr>
          <t>가산은</t>
        </r>
        <r>
          <rPr>
            <sz val="9"/>
            <color indexed="81"/>
            <rFont val="Tahoma"/>
            <family val="2"/>
          </rPr>
          <t xml:space="preserve"> </t>
        </r>
        <r>
          <rPr>
            <sz val="9"/>
            <color indexed="81"/>
            <rFont val="돋움"/>
            <family val="3"/>
            <charset val="129"/>
          </rPr>
          <t>측정된</t>
        </r>
        <r>
          <rPr>
            <sz val="9"/>
            <color indexed="81"/>
            <rFont val="Tahoma"/>
            <family val="2"/>
          </rPr>
          <t xml:space="preserve"> </t>
        </r>
        <r>
          <rPr>
            <sz val="9"/>
            <color indexed="81"/>
            <rFont val="돋움"/>
            <family val="3"/>
            <charset val="129"/>
          </rPr>
          <t>사용량</t>
        </r>
        <r>
          <rPr>
            <sz val="9"/>
            <color indexed="81"/>
            <rFont val="Tahoma"/>
            <family val="2"/>
          </rPr>
          <t>(</t>
        </r>
        <r>
          <rPr>
            <sz val="9"/>
            <color indexed="81"/>
            <rFont val="돋움"/>
            <family val="3"/>
            <charset val="129"/>
          </rPr>
          <t>한전</t>
        </r>
        <r>
          <rPr>
            <sz val="9"/>
            <color indexed="81"/>
            <rFont val="Tahoma"/>
            <family val="2"/>
          </rPr>
          <t>)</t>
        </r>
        <r>
          <rPr>
            <sz val="9"/>
            <color indexed="81"/>
            <rFont val="돋움"/>
            <family val="3"/>
            <charset val="129"/>
          </rPr>
          <t>으로</t>
        </r>
        <r>
          <rPr>
            <sz val="9"/>
            <color indexed="81"/>
            <rFont val="Tahoma"/>
            <family val="2"/>
          </rPr>
          <t xml:space="preserve"> </t>
        </r>
        <r>
          <rPr>
            <sz val="9"/>
            <color indexed="81"/>
            <rFont val="돋움"/>
            <family val="3"/>
            <charset val="129"/>
          </rPr>
          <t>산출
단위</t>
        </r>
        <r>
          <rPr>
            <sz val="9"/>
            <color indexed="81"/>
            <rFont val="Tahoma"/>
            <family val="2"/>
          </rPr>
          <t xml:space="preserve"> : tCO2eq</t>
        </r>
      </text>
    </comment>
    <comment ref="AJ78" authorId="1" shapeId="0" xr:uid="{C4969A58-904A-469D-AE50-C1989CC91548}">
      <text>
        <r>
          <rPr>
            <b/>
            <sz val="9"/>
            <color indexed="81"/>
            <rFont val="돋움"/>
            <family val="3"/>
            <charset val="129"/>
          </rPr>
          <t>구필회</t>
        </r>
        <r>
          <rPr>
            <b/>
            <sz val="9"/>
            <color indexed="81"/>
            <rFont val="Tahoma"/>
            <family val="2"/>
          </rPr>
          <t>:</t>
        </r>
        <r>
          <rPr>
            <sz val="9"/>
            <color indexed="81"/>
            <rFont val="Tahoma"/>
            <family val="2"/>
          </rPr>
          <t xml:space="preserve">
</t>
        </r>
        <r>
          <rPr>
            <sz val="9"/>
            <color indexed="81"/>
            <rFont val="돋움"/>
            <family val="3"/>
            <charset val="129"/>
          </rPr>
          <t>면적비로</t>
        </r>
        <r>
          <rPr>
            <sz val="9"/>
            <color indexed="81"/>
            <rFont val="Tahoma"/>
            <family val="2"/>
          </rPr>
          <t xml:space="preserve"> </t>
        </r>
        <r>
          <rPr>
            <sz val="9"/>
            <color indexed="81"/>
            <rFont val="돋움"/>
            <family val="3"/>
            <charset val="129"/>
          </rPr>
          <t>산출
단위</t>
        </r>
        <r>
          <rPr>
            <sz val="9"/>
            <color indexed="81"/>
            <rFont val="Tahoma"/>
            <family val="2"/>
          </rPr>
          <t xml:space="preserve"> : tCO2eq</t>
        </r>
      </text>
    </comment>
    <comment ref="AD79" authorId="1" shapeId="0" xr:uid="{8C695D86-61D9-4E1F-BB8E-D26668FF2688}">
      <text>
        <r>
          <rPr>
            <b/>
            <sz val="9"/>
            <color indexed="81"/>
            <rFont val="돋움"/>
            <family val="3"/>
            <charset val="129"/>
          </rPr>
          <t>구필회</t>
        </r>
        <r>
          <rPr>
            <b/>
            <sz val="9"/>
            <color indexed="81"/>
            <rFont val="Tahoma"/>
            <family val="2"/>
          </rPr>
          <t>:</t>
        </r>
        <r>
          <rPr>
            <sz val="9"/>
            <color indexed="81"/>
            <rFont val="Tahoma"/>
            <family val="2"/>
          </rPr>
          <t xml:space="preserve">
</t>
        </r>
        <r>
          <rPr>
            <sz val="9"/>
            <color indexed="81"/>
            <rFont val="돋움"/>
            <family val="3"/>
            <charset val="129"/>
          </rPr>
          <t>용산</t>
        </r>
        <r>
          <rPr>
            <sz val="9"/>
            <color indexed="81"/>
            <rFont val="Tahoma"/>
            <family val="2"/>
          </rPr>
          <t xml:space="preserve"> </t>
        </r>
        <r>
          <rPr>
            <sz val="9"/>
            <color indexed="81"/>
            <rFont val="돋움"/>
            <family val="3"/>
            <charset val="129"/>
          </rPr>
          <t>고정연소는</t>
        </r>
        <r>
          <rPr>
            <sz val="9"/>
            <color indexed="81"/>
            <rFont val="Tahoma"/>
            <family val="2"/>
          </rPr>
          <t xml:space="preserve"> CGV</t>
        </r>
        <r>
          <rPr>
            <sz val="9"/>
            <color indexed="81"/>
            <rFont val="돋움"/>
            <family val="3"/>
            <charset val="129"/>
          </rPr>
          <t>에서</t>
        </r>
        <r>
          <rPr>
            <sz val="9"/>
            <color indexed="81"/>
            <rFont val="Tahoma"/>
            <family val="2"/>
          </rPr>
          <t xml:space="preserve"> </t>
        </r>
        <r>
          <rPr>
            <sz val="9"/>
            <color indexed="81"/>
            <rFont val="돋움"/>
            <family val="3"/>
            <charset val="129"/>
          </rPr>
          <t>일괄</t>
        </r>
        <r>
          <rPr>
            <sz val="9"/>
            <color indexed="81"/>
            <rFont val="Tahoma"/>
            <family val="2"/>
          </rPr>
          <t xml:space="preserve"> </t>
        </r>
        <r>
          <rPr>
            <sz val="9"/>
            <color indexed="81"/>
            <rFont val="돋움"/>
            <family val="3"/>
            <charset val="129"/>
          </rPr>
          <t>산출
오창과</t>
        </r>
        <r>
          <rPr>
            <sz val="9"/>
            <color indexed="81"/>
            <rFont val="Tahoma"/>
            <family val="2"/>
          </rPr>
          <t xml:space="preserve"> </t>
        </r>
        <r>
          <rPr>
            <sz val="9"/>
            <color indexed="81"/>
            <rFont val="돋움"/>
            <family val="3"/>
            <charset val="129"/>
          </rPr>
          <t>가산은</t>
        </r>
        <r>
          <rPr>
            <sz val="9"/>
            <color indexed="81"/>
            <rFont val="Tahoma"/>
            <family val="2"/>
          </rPr>
          <t xml:space="preserve"> </t>
        </r>
        <r>
          <rPr>
            <sz val="9"/>
            <color indexed="81"/>
            <rFont val="돋움"/>
            <family val="3"/>
            <charset val="129"/>
          </rPr>
          <t>측정된</t>
        </r>
        <r>
          <rPr>
            <sz val="9"/>
            <color indexed="81"/>
            <rFont val="Tahoma"/>
            <family val="2"/>
          </rPr>
          <t xml:space="preserve"> </t>
        </r>
        <r>
          <rPr>
            <sz val="9"/>
            <color indexed="81"/>
            <rFont val="돋움"/>
            <family val="3"/>
            <charset val="129"/>
          </rPr>
          <t>사용량</t>
        </r>
        <r>
          <rPr>
            <sz val="9"/>
            <color indexed="81"/>
            <rFont val="Tahoma"/>
            <family val="2"/>
          </rPr>
          <t>(</t>
        </r>
        <r>
          <rPr>
            <sz val="9"/>
            <color indexed="81"/>
            <rFont val="돋움"/>
            <family val="3"/>
            <charset val="129"/>
          </rPr>
          <t>한전</t>
        </r>
        <r>
          <rPr>
            <sz val="9"/>
            <color indexed="81"/>
            <rFont val="Tahoma"/>
            <family val="2"/>
          </rPr>
          <t>)</t>
        </r>
        <r>
          <rPr>
            <sz val="9"/>
            <color indexed="81"/>
            <rFont val="돋움"/>
            <family val="3"/>
            <charset val="129"/>
          </rPr>
          <t>으로</t>
        </r>
        <r>
          <rPr>
            <sz val="9"/>
            <color indexed="81"/>
            <rFont val="Tahoma"/>
            <family val="2"/>
          </rPr>
          <t xml:space="preserve"> </t>
        </r>
        <r>
          <rPr>
            <sz val="9"/>
            <color indexed="81"/>
            <rFont val="돋움"/>
            <family val="3"/>
            <charset val="129"/>
          </rPr>
          <t>산출
단위</t>
        </r>
        <r>
          <rPr>
            <sz val="9"/>
            <color indexed="81"/>
            <rFont val="Tahoma"/>
            <family val="2"/>
          </rPr>
          <t xml:space="preserve"> : tCO2eq</t>
        </r>
      </text>
    </comment>
    <comment ref="AE79" authorId="0" shapeId="0" xr:uid="{88646897-22A2-4CEF-9E4C-F539C300E569}">
      <text>
        <r>
          <rPr>
            <b/>
            <sz val="9"/>
            <color indexed="81"/>
            <rFont val="BatangChe"/>
            <family val="3"/>
            <charset val="129"/>
          </rPr>
          <t>임대단지에</t>
        </r>
        <r>
          <rPr>
            <b/>
            <sz val="9"/>
            <color indexed="81"/>
            <rFont val="Tahoma"/>
            <family val="2"/>
          </rPr>
          <t xml:space="preserve"> </t>
        </r>
        <r>
          <rPr>
            <b/>
            <sz val="9"/>
            <color indexed="81"/>
            <rFont val="BatangChe"/>
            <family val="3"/>
            <charset val="129"/>
          </rPr>
          <t>부담</t>
        </r>
        <r>
          <rPr>
            <b/>
            <sz val="9"/>
            <color indexed="81"/>
            <rFont val="Tahoma"/>
            <family val="2"/>
          </rPr>
          <t xml:space="preserve"> </t>
        </r>
        <r>
          <rPr>
            <b/>
            <sz val="9"/>
            <color indexed="81"/>
            <rFont val="BatangChe"/>
            <family val="3"/>
            <charset val="129"/>
          </rPr>
          <t>납부한</t>
        </r>
        <r>
          <rPr>
            <b/>
            <sz val="9"/>
            <color indexed="81"/>
            <rFont val="Tahoma"/>
            <family val="2"/>
          </rPr>
          <t xml:space="preserve"> </t>
        </r>
        <r>
          <rPr>
            <b/>
            <sz val="9"/>
            <color indexed="81"/>
            <rFont val="BatangChe"/>
            <family val="3"/>
            <charset val="129"/>
          </rPr>
          <t>전기요금</t>
        </r>
        <r>
          <rPr>
            <b/>
            <sz val="9"/>
            <color indexed="81"/>
            <rFont val="Tahoma"/>
            <family val="2"/>
          </rPr>
          <t xml:space="preserve"> </t>
        </r>
        <r>
          <rPr>
            <b/>
            <sz val="9"/>
            <color indexed="81"/>
            <rFont val="BatangChe"/>
            <family val="3"/>
            <charset val="129"/>
          </rPr>
          <t>총액으로</t>
        </r>
        <r>
          <rPr>
            <b/>
            <sz val="9"/>
            <color indexed="81"/>
            <rFont val="Tahoma"/>
            <family val="2"/>
          </rPr>
          <t xml:space="preserve"> </t>
        </r>
        <r>
          <rPr>
            <b/>
            <sz val="9"/>
            <color indexed="81"/>
            <rFont val="BatangChe"/>
            <family val="3"/>
            <charset val="129"/>
          </rPr>
          <t>기입합니다</t>
        </r>
        <r>
          <rPr>
            <b/>
            <sz val="9"/>
            <color indexed="81"/>
            <rFont val="Tahoma"/>
            <family val="2"/>
          </rPr>
          <t>. (</t>
        </r>
        <r>
          <rPr>
            <b/>
            <sz val="9"/>
            <color indexed="81"/>
            <rFont val="BatangChe"/>
            <family val="3"/>
            <charset val="129"/>
          </rPr>
          <t>단위</t>
        </r>
        <r>
          <rPr>
            <b/>
            <sz val="9"/>
            <color indexed="81"/>
            <rFont val="Tahoma"/>
            <family val="2"/>
          </rPr>
          <t xml:space="preserve"> : RMB)</t>
        </r>
        <r>
          <rPr>
            <sz val="9"/>
            <color indexed="81"/>
            <rFont val="Tahoma"/>
            <family val="2"/>
          </rPr>
          <t xml:space="preserve">
</t>
        </r>
      </text>
    </comment>
    <comment ref="AJ79" authorId="1" shapeId="0" xr:uid="{84195D39-FA15-4193-B201-371DCD06F506}">
      <text>
        <r>
          <rPr>
            <b/>
            <sz val="9"/>
            <color indexed="81"/>
            <rFont val="돋움"/>
            <family val="3"/>
            <charset val="129"/>
          </rPr>
          <t>구필회</t>
        </r>
        <r>
          <rPr>
            <b/>
            <sz val="9"/>
            <color indexed="81"/>
            <rFont val="Tahoma"/>
            <family val="2"/>
          </rPr>
          <t>:</t>
        </r>
        <r>
          <rPr>
            <sz val="9"/>
            <color indexed="81"/>
            <rFont val="Tahoma"/>
            <family val="2"/>
          </rPr>
          <t xml:space="preserve">
</t>
        </r>
        <r>
          <rPr>
            <sz val="9"/>
            <color indexed="81"/>
            <rFont val="돋움"/>
            <family val="3"/>
            <charset val="129"/>
          </rPr>
          <t>면적비로</t>
        </r>
        <r>
          <rPr>
            <sz val="9"/>
            <color indexed="81"/>
            <rFont val="Tahoma"/>
            <family val="2"/>
          </rPr>
          <t xml:space="preserve"> </t>
        </r>
        <r>
          <rPr>
            <sz val="9"/>
            <color indexed="81"/>
            <rFont val="돋움"/>
            <family val="3"/>
            <charset val="129"/>
          </rPr>
          <t>산출
단위</t>
        </r>
        <r>
          <rPr>
            <sz val="9"/>
            <color indexed="81"/>
            <rFont val="Tahoma"/>
            <family val="2"/>
          </rPr>
          <t xml:space="preserve"> : tCO2eq</t>
        </r>
      </text>
    </comment>
    <comment ref="AE82" authorId="0" shapeId="0" xr:uid="{9998E4B6-1FEB-41D6-9434-668445E46861}">
      <text>
        <r>
          <rPr>
            <b/>
            <sz val="12"/>
            <color indexed="81"/>
            <rFont val="Tahoma"/>
            <family val="2"/>
          </rPr>
          <t>IFRS</t>
        </r>
        <r>
          <rPr>
            <b/>
            <sz val="12"/>
            <color indexed="81"/>
            <rFont val="BatangChe"/>
            <family val="3"/>
            <charset val="129"/>
          </rPr>
          <t>기준</t>
        </r>
        <r>
          <rPr>
            <b/>
            <sz val="12"/>
            <color indexed="81"/>
            <rFont val="Tahoma"/>
            <family val="2"/>
          </rPr>
          <t xml:space="preserve"> </t>
        </r>
        <r>
          <rPr>
            <b/>
            <sz val="12"/>
            <color indexed="81"/>
            <rFont val="BatangChe"/>
            <family val="3"/>
            <charset val="129"/>
          </rPr>
          <t>개별재무재표상</t>
        </r>
        <r>
          <rPr>
            <b/>
            <sz val="12"/>
            <color indexed="81"/>
            <rFont val="Tahoma"/>
            <family val="2"/>
          </rPr>
          <t xml:space="preserve"> </t>
        </r>
        <r>
          <rPr>
            <b/>
            <sz val="12"/>
            <color indexed="81"/>
            <rFont val="BatangChe"/>
            <family val="3"/>
            <charset val="129"/>
          </rPr>
          <t>매출액</t>
        </r>
        <r>
          <rPr>
            <b/>
            <sz val="12"/>
            <color indexed="81"/>
            <rFont val="Tahoma"/>
            <family val="2"/>
          </rPr>
          <t xml:space="preserve"> (</t>
        </r>
        <r>
          <rPr>
            <b/>
            <sz val="12"/>
            <color indexed="81"/>
            <rFont val="BatangChe"/>
            <family val="3"/>
            <charset val="129"/>
          </rPr>
          <t>단위</t>
        </r>
        <r>
          <rPr>
            <b/>
            <sz val="12"/>
            <color indexed="81"/>
            <rFont val="Tahoma"/>
            <family val="2"/>
          </rPr>
          <t xml:space="preserve"> : RMB)
</t>
        </r>
        <r>
          <rPr>
            <b/>
            <sz val="12"/>
            <color indexed="81"/>
            <rFont val="BatangChe"/>
            <family val="3"/>
            <charset val="129"/>
          </rPr>
          <t>※</t>
        </r>
        <r>
          <rPr>
            <b/>
            <sz val="12"/>
            <color indexed="81"/>
            <rFont val="Tahoma"/>
            <family val="2"/>
          </rPr>
          <t>HQ</t>
        </r>
        <r>
          <rPr>
            <b/>
            <sz val="12"/>
            <color indexed="81"/>
            <rFont val="BatangChe"/>
            <family val="3"/>
            <charset val="129"/>
          </rPr>
          <t>에서</t>
        </r>
        <r>
          <rPr>
            <b/>
            <sz val="12"/>
            <color indexed="81"/>
            <rFont val="Tahoma"/>
            <family val="2"/>
          </rPr>
          <t xml:space="preserve"> </t>
        </r>
        <r>
          <rPr>
            <b/>
            <sz val="12"/>
            <color indexed="81"/>
            <rFont val="BatangChe"/>
            <family val="3"/>
            <charset val="129"/>
          </rPr>
          <t>정리하는</t>
        </r>
        <r>
          <rPr>
            <b/>
            <sz val="12"/>
            <color indexed="81"/>
            <rFont val="Tahoma"/>
            <family val="2"/>
          </rPr>
          <t xml:space="preserve"> </t>
        </r>
        <r>
          <rPr>
            <b/>
            <sz val="12"/>
            <color indexed="81"/>
            <rFont val="BatangChe"/>
            <family val="3"/>
            <charset val="129"/>
          </rPr>
          <t>연결재무제표기준매출액과</t>
        </r>
        <r>
          <rPr>
            <b/>
            <sz val="12"/>
            <color indexed="81"/>
            <rFont val="Tahoma"/>
            <family val="2"/>
          </rPr>
          <t xml:space="preserve"> </t>
        </r>
        <r>
          <rPr>
            <b/>
            <sz val="12"/>
            <color indexed="81"/>
            <rFont val="BatangChe"/>
            <family val="3"/>
            <charset val="129"/>
          </rPr>
          <t>상이</t>
        </r>
      </text>
    </comment>
    <comment ref="O83" authorId="2" shapeId="0" xr:uid="{06C52E36-A2A2-43E3-BAAA-4813709163D4}">
      <text>
        <t>[스레드 댓글]
사용 중인 버전의 Excel에서 이 스레드 댓글을 읽을 수 있지만 파일을 이후 버전의 Excel에서 열면 편집 내용이 모두 제거됩니다. 자세한 정보: https://go.microsoft.com/fwlink/?linkid=870924.
댓글:
    CJ그룹 공통 관리지표 파일: 산출 불가</t>
      </text>
    </comment>
    <comment ref="AE95" authorId="1" shapeId="0" xr:uid="{CFADCB71-66E3-46A5-AA9F-AAA0BDBA8641}">
      <text>
        <r>
          <rPr>
            <b/>
            <sz val="9"/>
            <color indexed="81"/>
            <rFont val="돋움"/>
            <family val="3"/>
            <charset val="129"/>
          </rPr>
          <t>구필회</t>
        </r>
        <r>
          <rPr>
            <b/>
            <sz val="9"/>
            <color indexed="81"/>
            <rFont val="Tahoma"/>
            <family val="2"/>
          </rPr>
          <t>:</t>
        </r>
        <r>
          <rPr>
            <sz val="9"/>
            <color indexed="81"/>
            <rFont val="Tahoma"/>
            <family val="2"/>
          </rPr>
          <t xml:space="preserve">
</t>
        </r>
        <r>
          <rPr>
            <sz val="9"/>
            <color indexed="81"/>
            <rFont val="돋움"/>
            <family val="3"/>
            <charset val="129"/>
          </rPr>
          <t>임대단지에</t>
        </r>
        <r>
          <rPr>
            <sz val="9"/>
            <color indexed="81"/>
            <rFont val="Tahoma"/>
            <family val="2"/>
          </rPr>
          <t xml:space="preserve"> </t>
        </r>
        <r>
          <rPr>
            <sz val="9"/>
            <color indexed="81"/>
            <rFont val="돋움"/>
            <family val="3"/>
            <charset val="129"/>
          </rPr>
          <t>부담</t>
        </r>
        <r>
          <rPr>
            <sz val="9"/>
            <color indexed="81"/>
            <rFont val="Tahoma"/>
            <family val="2"/>
          </rPr>
          <t xml:space="preserve"> </t>
        </r>
        <r>
          <rPr>
            <sz val="9"/>
            <color indexed="81"/>
            <rFont val="돋움"/>
            <family val="3"/>
            <charset val="129"/>
          </rPr>
          <t>납부한</t>
        </r>
        <r>
          <rPr>
            <sz val="9"/>
            <color indexed="81"/>
            <rFont val="Tahoma"/>
            <family val="2"/>
          </rPr>
          <t xml:space="preserve"> </t>
        </r>
        <r>
          <rPr>
            <sz val="9"/>
            <color indexed="81"/>
            <rFont val="돋움"/>
            <family val="3"/>
            <charset val="129"/>
          </rPr>
          <t>전기요금</t>
        </r>
        <r>
          <rPr>
            <sz val="9"/>
            <color indexed="81"/>
            <rFont val="Tahoma"/>
            <family val="2"/>
          </rPr>
          <t xml:space="preserve"> </t>
        </r>
        <r>
          <rPr>
            <sz val="9"/>
            <color indexed="81"/>
            <rFont val="돋움"/>
            <family val="3"/>
            <charset val="129"/>
          </rPr>
          <t>총액으로</t>
        </r>
        <r>
          <rPr>
            <sz val="9"/>
            <color indexed="81"/>
            <rFont val="Tahoma"/>
            <family val="2"/>
          </rPr>
          <t xml:space="preserve"> </t>
        </r>
        <r>
          <rPr>
            <sz val="9"/>
            <color indexed="81"/>
            <rFont val="돋움"/>
            <family val="3"/>
            <charset val="129"/>
          </rPr>
          <t>기입합니다</t>
        </r>
        <r>
          <rPr>
            <sz val="9"/>
            <color indexed="81"/>
            <rFont val="Tahoma"/>
            <family val="2"/>
          </rPr>
          <t>. (</t>
        </r>
        <r>
          <rPr>
            <sz val="9"/>
            <color indexed="81"/>
            <rFont val="돋움"/>
            <family val="3"/>
            <charset val="129"/>
          </rPr>
          <t>단위</t>
        </r>
        <r>
          <rPr>
            <sz val="9"/>
            <color indexed="81"/>
            <rFont val="Tahoma"/>
            <family val="2"/>
          </rPr>
          <t xml:space="preserve"> : RMB)
'23</t>
        </r>
        <r>
          <rPr>
            <sz val="9"/>
            <color indexed="81"/>
            <rFont val="돋움"/>
            <family val="3"/>
            <charset val="129"/>
          </rPr>
          <t>년</t>
        </r>
        <r>
          <rPr>
            <sz val="9"/>
            <color indexed="81"/>
            <rFont val="Tahoma"/>
            <family val="2"/>
          </rPr>
          <t xml:space="preserve"> 12</t>
        </r>
        <r>
          <rPr>
            <sz val="9"/>
            <color indexed="81"/>
            <rFont val="돋움"/>
            <family val="3"/>
            <charset val="129"/>
          </rPr>
          <t>월말</t>
        </r>
        <r>
          <rPr>
            <sz val="9"/>
            <color indexed="81"/>
            <rFont val="Tahoma"/>
            <family val="2"/>
          </rPr>
          <t xml:space="preserve"> </t>
        </r>
        <r>
          <rPr>
            <sz val="9"/>
            <color indexed="81"/>
            <rFont val="돋움"/>
            <family val="3"/>
            <charset val="129"/>
          </rPr>
          <t>고시</t>
        </r>
        <r>
          <rPr>
            <sz val="9"/>
            <color indexed="81"/>
            <rFont val="Tahoma"/>
            <family val="2"/>
          </rPr>
          <t xml:space="preserve"> </t>
        </r>
        <r>
          <rPr>
            <sz val="9"/>
            <color indexed="81"/>
            <rFont val="돋움"/>
            <family val="3"/>
            <charset val="129"/>
          </rPr>
          <t>환율</t>
        </r>
        <r>
          <rPr>
            <sz val="9"/>
            <color indexed="81"/>
            <rFont val="Tahoma"/>
            <family val="2"/>
          </rPr>
          <t xml:space="preserve"> (</t>
        </r>
        <r>
          <rPr>
            <sz val="9"/>
            <color indexed="81"/>
            <rFont val="돋움"/>
            <family val="3"/>
            <charset val="129"/>
          </rPr>
          <t>네이버</t>
        </r>
        <r>
          <rPr>
            <sz val="9"/>
            <color indexed="81"/>
            <rFont val="Tahoma"/>
            <family val="2"/>
          </rPr>
          <t>-</t>
        </r>
        <r>
          <rPr>
            <sz val="9"/>
            <color indexed="81"/>
            <rFont val="돋움"/>
            <family val="3"/>
            <charset val="129"/>
          </rPr>
          <t>신한</t>
        </r>
        <r>
          <rPr>
            <sz val="9"/>
            <color indexed="81"/>
            <rFont val="Tahoma"/>
            <family val="2"/>
          </rPr>
          <t>) 182.13</t>
        </r>
      </text>
    </comment>
    <comment ref="AE106" authorId="0" shapeId="0" xr:uid="{CA1ACB75-C550-4488-90A4-BCA6B8D152B1}">
      <text>
        <r>
          <rPr>
            <b/>
            <sz val="9"/>
            <color indexed="81"/>
            <rFont val="BatangChe"/>
            <family val="3"/>
            <charset val="129"/>
          </rPr>
          <t>임대단지에</t>
        </r>
        <r>
          <rPr>
            <b/>
            <sz val="9"/>
            <color indexed="81"/>
            <rFont val="Tahoma"/>
            <family val="2"/>
          </rPr>
          <t xml:space="preserve"> </t>
        </r>
        <r>
          <rPr>
            <b/>
            <sz val="9"/>
            <color indexed="81"/>
            <rFont val="BatangChe"/>
            <family val="3"/>
            <charset val="129"/>
          </rPr>
          <t>부담</t>
        </r>
        <r>
          <rPr>
            <b/>
            <sz val="9"/>
            <color indexed="81"/>
            <rFont val="Tahoma"/>
            <family val="2"/>
          </rPr>
          <t xml:space="preserve"> </t>
        </r>
        <r>
          <rPr>
            <b/>
            <sz val="9"/>
            <color indexed="81"/>
            <rFont val="BatangChe"/>
            <family val="3"/>
            <charset val="129"/>
          </rPr>
          <t>납부한</t>
        </r>
        <r>
          <rPr>
            <b/>
            <sz val="9"/>
            <color indexed="81"/>
            <rFont val="Tahoma"/>
            <family val="2"/>
          </rPr>
          <t xml:space="preserve"> </t>
        </r>
        <r>
          <rPr>
            <b/>
            <sz val="9"/>
            <color indexed="81"/>
            <rFont val="BatangChe"/>
            <family val="3"/>
            <charset val="129"/>
          </rPr>
          <t>전기요금</t>
        </r>
        <r>
          <rPr>
            <b/>
            <sz val="9"/>
            <color indexed="81"/>
            <rFont val="Tahoma"/>
            <family val="2"/>
          </rPr>
          <t xml:space="preserve"> </t>
        </r>
        <r>
          <rPr>
            <b/>
            <sz val="9"/>
            <color indexed="81"/>
            <rFont val="BatangChe"/>
            <family val="3"/>
            <charset val="129"/>
          </rPr>
          <t>총액으로</t>
        </r>
        <r>
          <rPr>
            <b/>
            <sz val="9"/>
            <color indexed="81"/>
            <rFont val="Tahoma"/>
            <family val="2"/>
          </rPr>
          <t xml:space="preserve"> </t>
        </r>
        <r>
          <rPr>
            <b/>
            <sz val="9"/>
            <color indexed="81"/>
            <rFont val="BatangChe"/>
            <family val="3"/>
            <charset val="129"/>
          </rPr>
          <t>기입합니다</t>
        </r>
        <r>
          <rPr>
            <b/>
            <sz val="9"/>
            <color indexed="81"/>
            <rFont val="Tahoma"/>
            <family val="2"/>
          </rPr>
          <t>. (</t>
        </r>
        <r>
          <rPr>
            <b/>
            <sz val="9"/>
            <color indexed="81"/>
            <rFont val="BatangChe"/>
            <family val="3"/>
            <charset val="129"/>
          </rPr>
          <t>단위</t>
        </r>
        <r>
          <rPr>
            <b/>
            <sz val="9"/>
            <color indexed="81"/>
            <rFont val="Tahoma"/>
            <family val="2"/>
          </rPr>
          <t xml:space="preserve"> : RMB)</t>
        </r>
        <r>
          <rPr>
            <sz val="9"/>
            <color indexed="81"/>
            <rFont val="Tahoma"/>
            <family val="2"/>
          </rPr>
          <t xml:space="preserve">
'23</t>
        </r>
        <r>
          <rPr>
            <sz val="9"/>
            <color indexed="81"/>
            <rFont val="BatangChe"/>
            <family val="3"/>
            <charset val="129"/>
          </rPr>
          <t>년</t>
        </r>
        <r>
          <rPr>
            <sz val="9"/>
            <color indexed="81"/>
            <rFont val="Tahoma"/>
            <family val="2"/>
          </rPr>
          <t xml:space="preserve"> 12</t>
        </r>
        <r>
          <rPr>
            <sz val="9"/>
            <color indexed="81"/>
            <rFont val="BatangChe"/>
            <family val="3"/>
            <charset val="129"/>
          </rPr>
          <t>월말</t>
        </r>
        <r>
          <rPr>
            <sz val="9"/>
            <color indexed="81"/>
            <rFont val="Tahoma"/>
            <family val="2"/>
          </rPr>
          <t xml:space="preserve"> </t>
        </r>
        <r>
          <rPr>
            <sz val="9"/>
            <color indexed="81"/>
            <rFont val="BatangChe"/>
            <family val="3"/>
            <charset val="129"/>
          </rPr>
          <t>고시</t>
        </r>
        <r>
          <rPr>
            <sz val="9"/>
            <color indexed="81"/>
            <rFont val="Tahoma"/>
            <family val="2"/>
          </rPr>
          <t xml:space="preserve"> </t>
        </r>
        <r>
          <rPr>
            <sz val="9"/>
            <color indexed="81"/>
            <rFont val="BatangChe"/>
            <family val="3"/>
            <charset val="129"/>
          </rPr>
          <t>환율</t>
        </r>
        <r>
          <rPr>
            <sz val="9"/>
            <color indexed="81"/>
            <rFont val="Tahoma"/>
            <family val="2"/>
          </rPr>
          <t xml:space="preserve"> (</t>
        </r>
        <r>
          <rPr>
            <sz val="9"/>
            <color indexed="81"/>
            <rFont val="BatangChe"/>
            <family val="3"/>
            <charset val="129"/>
          </rPr>
          <t>네이버</t>
        </r>
        <r>
          <rPr>
            <sz val="9"/>
            <color indexed="81"/>
            <rFont val="Tahoma"/>
            <family val="2"/>
          </rPr>
          <t>-</t>
        </r>
        <r>
          <rPr>
            <sz val="9"/>
            <color indexed="81"/>
            <rFont val="BatangChe"/>
            <family val="3"/>
            <charset val="129"/>
          </rPr>
          <t>신한</t>
        </r>
        <r>
          <rPr>
            <sz val="9"/>
            <color indexed="81"/>
            <rFont val="Tahoma"/>
            <family val="2"/>
          </rPr>
          <t>) 182.13</t>
        </r>
      </text>
    </comment>
    <comment ref="AD119" authorId="1" shapeId="0" xr:uid="{09C05E64-4C70-4D13-93EB-0C021599DF57}">
      <text>
        <r>
          <rPr>
            <b/>
            <sz val="9"/>
            <color indexed="81"/>
            <rFont val="돋움"/>
            <family val="3"/>
            <charset val="129"/>
          </rPr>
          <t>구필회</t>
        </r>
        <r>
          <rPr>
            <b/>
            <sz val="9"/>
            <color indexed="81"/>
            <rFont val="Tahoma"/>
            <family val="2"/>
          </rPr>
          <t>:</t>
        </r>
        <r>
          <rPr>
            <sz val="9"/>
            <color indexed="81"/>
            <rFont val="Tahoma"/>
            <family val="2"/>
          </rPr>
          <t xml:space="preserve">
(</t>
        </r>
        <r>
          <rPr>
            <sz val="9"/>
            <color indexed="81"/>
            <rFont val="돋움"/>
            <family val="3"/>
            <charset val="129"/>
          </rPr>
          <t>용산</t>
        </r>
        <r>
          <rPr>
            <sz val="9"/>
            <color indexed="81"/>
            <rFont val="Tahoma"/>
            <family val="2"/>
          </rPr>
          <t>) CGV</t>
        </r>
        <r>
          <rPr>
            <sz val="9"/>
            <color indexed="81"/>
            <rFont val="돋움"/>
            <family val="3"/>
            <charset val="129"/>
          </rPr>
          <t>에서</t>
        </r>
        <r>
          <rPr>
            <sz val="9"/>
            <color indexed="81"/>
            <rFont val="Tahoma"/>
            <family val="2"/>
          </rPr>
          <t xml:space="preserve"> </t>
        </r>
        <r>
          <rPr>
            <sz val="9"/>
            <color indexed="81"/>
            <rFont val="돋움"/>
            <family val="3"/>
            <charset val="129"/>
          </rPr>
          <t xml:space="preserve">산출
</t>
        </r>
        <r>
          <rPr>
            <sz val="9"/>
            <color indexed="81"/>
            <rFont val="Tahoma"/>
            <family val="2"/>
          </rPr>
          <t>(</t>
        </r>
        <r>
          <rPr>
            <sz val="9"/>
            <color indexed="81"/>
            <rFont val="돋움"/>
            <family val="3"/>
            <charset val="129"/>
          </rPr>
          <t>오창</t>
        </r>
        <r>
          <rPr>
            <sz val="9"/>
            <color indexed="81"/>
            <rFont val="Tahoma"/>
            <family val="2"/>
          </rPr>
          <t xml:space="preserve">) </t>
        </r>
        <r>
          <rPr>
            <sz val="9"/>
            <color indexed="81"/>
            <rFont val="돋움"/>
            <family val="3"/>
            <charset val="129"/>
          </rPr>
          <t>수도</t>
        </r>
        <r>
          <rPr>
            <sz val="9"/>
            <color indexed="81"/>
            <rFont val="Tahoma"/>
            <family val="2"/>
          </rPr>
          <t xml:space="preserve"> </t>
        </r>
        <r>
          <rPr>
            <sz val="9"/>
            <color indexed="81"/>
            <rFont val="돋움"/>
            <family val="3"/>
            <charset val="129"/>
          </rPr>
          <t>사용</t>
        </r>
        <r>
          <rPr>
            <sz val="9"/>
            <color indexed="81"/>
            <rFont val="Tahoma"/>
            <family val="2"/>
          </rPr>
          <t xml:space="preserve"> </t>
        </r>
        <r>
          <rPr>
            <sz val="9"/>
            <color indexed="81"/>
            <rFont val="돋움"/>
            <family val="3"/>
            <charset val="129"/>
          </rPr>
          <t xml:space="preserve">無
</t>
        </r>
        <r>
          <rPr>
            <sz val="9"/>
            <color indexed="81"/>
            <rFont val="Tahoma"/>
            <family val="2"/>
          </rPr>
          <t>(</t>
        </r>
        <r>
          <rPr>
            <sz val="9"/>
            <color indexed="81"/>
            <rFont val="돋움"/>
            <family val="3"/>
            <charset val="129"/>
          </rPr>
          <t>가산</t>
        </r>
        <r>
          <rPr>
            <sz val="9"/>
            <color indexed="81"/>
            <rFont val="Tahoma"/>
            <family val="2"/>
          </rPr>
          <t xml:space="preserve">) 866 </t>
        </r>
        <r>
          <rPr>
            <sz val="9"/>
            <color indexed="81"/>
            <rFont val="돋움"/>
            <family val="3"/>
            <charset val="129"/>
          </rPr>
          <t>㎥</t>
        </r>
        <r>
          <rPr>
            <sz val="9"/>
            <color indexed="81"/>
            <rFont val="Tahoma"/>
            <family val="2"/>
          </rPr>
          <t xml:space="preserve"> ('23</t>
        </r>
        <r>
          <rPr>
            <sz val="9"/>
            <color indexed="81"/>
            <rFont val="돋움"/>
            <family val="3"/>
            <charset val="129"/>
          </rPr>
          <t>년</t>
        </r>
        <r>
          <rPr>
            <sz val="9"/>
            <color indexed="81"/>
            <rFont val="Tahoma"/>
            <family val="2"/>
          </rPr>
          <t xml:space="preserve"> 5</t>
        </r>
        <r>
          <rPr>
            <sz val="9"/>
            <color indexed="81"/>
            <rFont val="돋움"/>
            <family val="3"/>
            <charset val="129"/>
          </rPr>
          <t>월</t>
        </r>
        <r>
          <rPr>
            <sz val="9"/>
            <color indexed="81"/>
            <rFont val="Tahoma"/>
            <family val="2"/>
          </rPr>
          <t xml:space="preserve"> ~ 12</t>
        </r>
        <r>
          <rPr>
            <sz val="9"/>
            <color indexed="81"/>
            <rFont val="돋움"/>
            <family val="3"/>
            <charset val="129"/>
          </rPr>
          <t>월</t>
        </r>
        <r>
          <rPr>
            <sz val="9"/>
            <color indexed="81"/>
            <rFont val="Tahoma"/>
            <family val="2"/>
          </rPr>
          <t>)</t>
        </r>
      </text>
    </comment>
    <comment ref="AE119" authorId="0" shapeId="0" xr:uid="{986B5C5E-9FF3-495B-A8C0-F091B6576045}">
      <text>
        <r>
          <rPr>
            <b/>
            <sz val="9"/>
            <color indexed="81"/>
            <rFont val="BatangChe"/>
            <family val="3"/>
            <charset val="129"/>
          </rPr>
          <t>임대단지에</t>
        </r>
        <r>
          <rPr>
            <b/>
            <sz val="9"/>
            <color indexed="81"/>
            <rFont val="Tahoma"/>
            <family val="2"/>
          </rPr>
          <t xml:space="preserve"> </t>
        </r>
        <r>
          <rPr>
            <b/>
            <sz val="9"/>
            <color indexed="81"/>
            <rFont val="BatangChe"/>
            <family val="3"/>
            <charset val="129"/>
          </rPr>
          <t>부담</t>
        </r>
        <r>
          <rPr>
            <b/>
            <sz val="9"/>
            <color indexed="81"/>
            <rFont val="Tahoma"/>
            <family val="2"/>
          </rPr>
          <t xml:space="preserve"> </t>
        </r>
        <r>
          <rPr>
            <b/>
            <sz val="9"/>
            <color indexed="81"/>
            <rFont val="BatangChe"/>
            <family val="3"/>
            <charset val="129"/>
          </rPr>
          <t>납부한</t>
        </r>
        <r>
          <rPr>
            <b/>
            <sz val="9"/>
            <color indexed="81"/>
            <rFont val="Tahoma"/>
            <family val="2"/>
          </rPr>
          <t xml:space="preserve"> </t>
        </r>
        <r>
          <rPr>
            <b/>
            <sz val="9"/>
            <color indexed="81"/>
            <rFont val="BatangChe"/>
            <family val="3"/>
            <charset val="129"/>
          </rPr>
          <t>수도요금</t>
        </r>
        <r>
          <rPr>
            <b/>
            <sz val="9"/>
            <color indexed="81"/>
            <rFont val="Tahoma"/>
            <family val="2"/>
          </rPr>
          <t xml:space="preserve"> </t>
        </r>
        <r>
          <rPr>
            <b/>
            <sz val="9"/>
            <color indexed="81"/>
            <rFont val="BatangChe"/>
            <family val="3"/>
            <charset val="129"/>
          </rPr>
          <t>총액으로</t>
        </r>
        <r>
          <rPr>
            <b/>
            <sz val="9"/>
            <color indexed="81"/>
            <rFont val="Tahoma"/>
            <family val="2"/>
          </rPr>
          <t xml:space="preserve"> </t>
        </r>
        <r>
          <rPr>
            <b/>
            <sz val="9"/>
            <color indexed="81"/>
            <rFont val="BatangChe"/>
            <family val="3"/>
            <charset val="129"/>
          </rPr>
          <t>기입합니다</t>
        </r>
        <r>
          <rPr>
            <b/>
            <sz val="9"/>
            <color indexed="81"/>
            <rFont val="Tahoma"/>
            <family val="2"/>
          </rPr>
          <t>. (</t>
        </r>
        <r>
          <rPr>
            <b/>
            <sz val="9"/>
            <color indexed="81"/>
            <rFont val="BatangChe"/>
            <family val="3"/>
            <charset val="129"/>
          </rPr>
          <t>단위</t>
        </r>
        <r>
          <rPr>
            <b/>
            <sz val="9"/>
            <color indexed="81"/>
            <rFont val="Tahoma"/>
            <family val="2"/>
          </rPr>
          <t xml:space="preserve"> : RMB)</t>
        </r>
      </text>
    </comment>
    <comment ref="AD121" authorId="1" shapeId="0" xr:uid="{49250410-7092-4A1C-823A-AE855D1B9FA2}">
      <text>
        <r>
          <rPr>
            <b/>
            <sz val="9"/>
            <color indexed="81"/>
            <rFont val="돋움"/>
            <family val="3"/>
            <charset val="129"/>
          </rPr>
          <t>구필회</t>
        </r>
        <r>
          <rPr>
            <b/>
            <sz val="9"/>
            <color indexed="81"/>
            <rFont val="Tahoma"/>
            <family val="2"/>
          </rPr>
          <t>:</t>
        </r>
        <r>
          <rPr>
            <sz val="9"/>
            <color indexed="81"/>
            <rFont val="Tahoma"/>
            <family val="2"/>
          </rPr>
          <t xml:space="preserve">
(</t>
        </r>
        <r>
          <rPr>
            <sz val="9"/>
            <color indexed="81"/>
            <rFont val="돋움"/>
            <family val="3"/>
            <charset val="129"/>
          </rPr>
          <t>용산</t>
        </r>
        <r>
          <rPr>
            <sz val="9"/>
            <color indexed="81"/>
            <rFont val="Tahoma"/>
            <family val="2"/>
          </rPr>
          <t xml:space="preserve">) </t>
        </r>
        <r>
          <rPr>
            <sz val="9"/>
            <color indexed="81"/>
            <rFont val="돋움"/>
            <family val="3"/>
            <charset val="129"/>
          </rPr>
          <t>해당</t>
        </r>
        <r>
          <rPr>
            <sz val="9"/>
            <color indexed="81"/>
            <rFont val="Tahoma"/>
            <family val="2"/>
          </rPr>
          <t xml:space="preserve"> </t>
        </r>
        <r>
          <rPr>
            <sz val="9"/>
            <color indexed="81"/>
            <rFont val="돋움"/>
            <family val="3"/>
            <charset val="129"/>
          </rPr>
          <t xml:space="preserve">없음
</t>
        </r>
        <r>
          <rPr>
            <sz val="9"/>
            <color indexed="81"/>
            <rFont val="Tahoma"/>
            <family val="2"/>
          </rPr>
          <t>(</t>
        </r>
        <r>
          <rPr>
            <sz val="9"/>
            <color indexed="81"/>
            <rFont val="돋움"/>
            <family val="3"/>
            <charset val="129"/>
          </rPr>
          <t>오창</t>
        </r>
        <r>
          <rPr>
            <sz val="9"/>
            <color indexed="81"/>
            <rFont val="Tahoma"/>
            <family val="2"/>
          </rPr>
          <t xml:space="preserve">) </t>
        </r>
        <r>
          <rPr>
            <sz val="9"/>
            <color indexed="81"/>
            <rFont val="돋움"/>
            <family val="3"/>
            <charset val="129"/>
          </rPr>
          <t>계량기</t>
        </r>
        <r>
          <rPr>
            <sz val="9"/>
            <color indexed="81"/>
            <rFont val="Tahoma"/>
            <family val="2"/>
          </rPr>
          <t xml:space="preserve"> </t>
        </r>
        <r>
          <rPr>
            <sz val="9"/>
            <color indexed="81"/>
            <rFont val="돋움"/>
            <family val="3"/>
            <charset val="129"/>
          </rPr>
          <t>無</t>
        </r>
        <r>
          <rPr>
            <sz val="9"/>
            <color indexed="81"/>
            <rFont val="Tahoma"/>
            <family val="2"/>
          </rPr>
          <t xml:space="preserve"> (</t>
        </r>
        <r>
          <rPr>
            <sz val="9"/>
            <color indexed="81"/>
            <rFont val="돋움"/>
            <family val="3"/>
            <charset val="129"/>
          </rPr>
          <t>하수요금</t>
        </r>
        <r>
          <rPr>
            <sz val="9"/>
            <color indexed="81"/>
            <rFont val="Tahoma"/>
            <family val="2"/>
          </rPr>
          <t xml:space="preserve"> </t>
        </r>
        <r>
          <rPr>
            <sz val="9"/>
            <color indexed="81"/>
            <rFont val="돋움"/>
            <family val="3"/>
            <charset val="129"/>
          </rPr>
          <t>미발생</t>
        </r>
        <r>
          <rPr>
            <sz val="9"/>
            <color indexed="81"/>
            <rFont val="Tahoma"/>
            <family val="2"/>
          </rPr>
          <t>)
(</t>
        </r>
        <r>
          <rPr>
            <sz val="9"/>
            <color indexed="81"/>
            <rFont val="돋움"/>
            <family val="3"/>
            <charset val="129"/>
          </rPr>
          <t>가산</t>
        </r>
        <r>
          <rPr>
            <sz val="9"/>
            <color indexed="81"/>
            <rFont val="Tahoma"/>
            <family val="2"/>
          </rPr>
          <t xml:space="preserve">) </t>
        </r>
        <r>
          <rPr>
            <sz val="9"/>
            <color indexed="81"/>
            <rFont val="돋움"/>
            <family val="3"/>
            <charset val="129"/>
          </rPr>
          <t>해당</t>
        </r>
        <r>
          <rPr>
            <sz val="9"/>
            <color indexed="81"/>
            <rFont val="Tahoma"/>
            <family val="2"/>
          </rPr>
          <t xml:space="preserve"> </t>
        </r>
        <r>
          <rPr>
            <sz val="9"/>
            <color indexed="81"/>
            <rFont val="돋움"/>
            <family val="3"/>
            <charset val="129"/>
          </rPr>
          <t>없음</t>
        </r>
      </text>
    </comment>
    <comment ref="C126" authorId="3" shapeId="0" xr:uid="{CE39897F-FBBB-4733-B448-74384605C8E6}">
      <text>
        <r>
          <rPr>
            <b/>
            <sz val="12"/>
            <color indexed="81"/>
            <rFont val="돋움"/>
            <family val="3"/>
            <charset val="129"/>
          </rPr>
          <t>하수</t>
        </r>
        <r>
          <rPr>
            <b/>
            <sz val="12"/>
            <color indexed="81"/>
            <rFont val="Tahoma"/>
            <family val="2"/>
          </rPr>
          <t xml:space="preserve"> </t>
        </r>
        <r>
          <rPr>
            <b/>
            <sz val="12"/>
            <color indexed="81"/>
            <rFont val="돋움"/>
            <family val="3"/>
            <charset val="129"/>
          </rPr>
          <t>처리</t>
        </r>
        <r>
          <rPr>
            <b/>
            <sz val="12"/>
            <color indexed="81"/>
            <rFont val="Tahoma"/>
            <family val="2"/>
          </rPr>
          <t xml:space="preserve"> </t>
        </r>
        <r>
          <rPr>
            <b/>
            <sz val="12"/>
            <color indexed="81"/>
            <rFont val="돋움"/>
            <family val="3"/>
            <charset val="129"/>
          </rPr>
          <t>고지서</t>
        </r>
        <r>
          <rPr>
            <b/>
            <sz val="12"/>
            <color indexed="81"/>
            <rFont val="Tahoma"/>
            <family val="2"/>
          </rPr>
          <t>(</t>
        </r>
        <r>
          <rPr>
            <b/>
            <sz val="12"/>
            <color indexed="81"/>
            <rFont val="돋움"/>
            <family val="3"/>
            <charset val="129"/>
          </rPr>
          <t>면적</t>
        </r>
        <r>
          <rPr>
            <b/>
            <sz val="12"/>
            <color indexed="81"/>
            <rFont val="Tahoma"/>
            <family val="2"/>
          </rPr>
          <t xml:space="preserve"> </t>
        </r>
        <r>
          <rPr>
            <b/>
            <sz val="12"/>
            <color indexed="81"/>
            <rFont val="돋움"/>
            <family val="3"/>
            <charset val="129"/>
          </rPr>
          <t>단위</t>
        </r>
        <r>
          <rPr>
            <b/>
            <sz val="12"/>
            <color indexed="81"/>
            <rFont val="Tahoma"/>
            <family val="2"/>
          </rPr>
          <t xml:space="preserve"> </t>
        </r>
        <r>
          <rPr>
            <b/>
            <sz val="12"/>
            <color indexed="81"/>
            <rFont val="돋움"/>
            <family val="3"/>
            <charset val="129"/>
          </rPr>
          <t>여부</t>
        </r>
        <r>
          <rPr>
            <b/>
            <sz val="12"/>
            <color indexed="81"/>
            <rFont val="Tahoma"/>
            <family val="2"/>
          </rPr>
          <t xml:space="preserve"> </t>
        </r>
        <r>
          <rPr>
            <b/>
            <sz val="12"/>
            <color indexed="81"/>
            <rFont val="돋움"/>
            <family val="3"/>
            <charset val="129"/>
          </rPr>
          <t>확인</t>
        </r>
        <r>
          <rPr>
            <b/>
            <sz val="12"/>
            <color indexed="81"/>
            <rFont val="Tahoma"/>
            <family val="2"/>
          </rPr>
          <t xml:space="preserve">) </t>
        </r>
        <r>
          <rPr>
            <b/>
            <sz val="12"/>
            <color indexed="81"/>
            <rFont val="돋움"/>
            <family val="3"/>
            <charset val="129"/>
          </rPr>
          <t>제공</t>
        </r>
        <r>
          <rPr>
            <b/>
            <sz val="12"/>
            <color indexed="81"/>
            <rFont val="Tahoma"/>
            <family val="2"/>
          </rPr>
          <t xml:space="preserve"> </t>
        </r>
        <r>
          <rPr>
            <b/>
            <sz val="12"/>
            <color indexed="81"/>
            <rFont val="돋움"/>
            <family val="3"/>
            <charset val="129"/>
          </rPr>
          <t>요청드립니다</t>
        </r>
      </text>
    </comment>
    <comment ref="AD126" authorId="1" shapeId="0" xr:uid="{1FDC15F5-D7DF-41A0-9BB0-247E7C0CEEF0}">
      <text>
        <r>
          <rPr>
            <b/>
            <sz val="9"/>
            <color indexed="81"/>
            <rFont val="돋움"/>
            <family val="3"/>
            <charset val="129"/>
          </rPr>
          <t>구필회</t>
        </r>
        <r>
          <rPr>
            <b/>
            <sz val="9"/>
            <color indexed="81"/>
            <rFont val="Tahoma"/>
            <family val="2"/>
          </rPr>
          <t>:</t>
        </r>
        <r>
          <rPr>
            <sz val="9"/>
            <color indexed="81"/>
            <rFont val="Tahoma"/>
            <family val="2"/>
          </rPr>
          <t xml:space="preserve">
(</t>
        </r>
        <r>
          <rPr>
            <sz val="9"/>
            <color indexed="81"/>
            <rFont val="돋움"/>
            <family val="3"/>
            <charset val="129"/>
          </rPr>
          <t>용산</t>
        </r>
        <r>
          <rPr>
            <sz val="9"/>
            <color indexed="81"/>
            <rFont val="Tahoma"/>
            <family val="2"/>
          </rPr>
          <t>) CGV</t>
        </r>
        <r>
          <rPr>
            <sz val="9"/>
            <color indexed="81"/>
            <rFont val="돋움"/>
            <family val="3"/>
            <charset val="129"/>
          </rPr>
          <t>에서</t>
        </r>
        <r>
          <rPr>
            <sz val="9"/>
            <color indexed="81"/>
            <rFont val="Tahoma"/>
            <family val="2"/>
          </rPr>
          <t xml:space="preserve"> </t>
        </r>
        <r>
          <rPr>
            <sz val="9"/>
            <color indexed="81"/>
            <rFont val="돋움"/>
            <family val="3"/>
            <charset val="129"/>
          </rPr>
          <t>일괄</t>
        </r>
        <r>
          <rPr>
            <sz val="9"/>
            <color indexed="81"/>
            <rFont val="Tahoma"/>
            <family val="2"/>
          </rPr>
          <t xml:space="preserve"> </t>
        </r>
        <r>
          <rPr>
            <sz val="9"/>
            <color indexed="81"/>
            <rFont val="돋움"/>
            <family val="3"/>
            <charset val="129"/>
          </rPr>
          <t xml:space="preserve">산출
</t>
        </r>
        <r>
          <rPr>
            <sz val="9"/>
            <color indexed="81"/>
            <rFont val="Tahoma"/>
            <family val="2"/>
          </rPr>
          <t>(</t>
        </r>
        <r>
          <rPr>
            <sz val="9"/>
            <color indexed="81"/>
            <rFont val="돋움"/>
            <family val="3"/>
            <charset val="129"/>
          </rPr>
          <t>오창</t>
        </r>
        <r>
          <rPr>
            <sz val="9"/>
            <color indexed="81"/>
            <rFont val="Tahoma"/>
            <family val="2"/>
          </rPr>
          <t xml:space="preserve">) </t>
        </r>
        <r>
          <rPr>
            <sz val="9"/>
            <color indexed="81"/>
            <rFont val="돋움"/>
            <family val="3"/>
            <charset val="129"/>
          </rPr>
          <t>산출</t>
        </r>
        <r>
          <rPr>
            <sz val="9"/>
            <color indexed="81"/>
            <rFont val="Tahoma"/>
            <family val="2"/>
          </rPr>
          <t xml:space="preserve"> </t>
        </r>
        <r>
          <rPr>
            <sz val="9"/>
            <color indexed="81"/>
            <rFont val="돋움"/>
            <family val="3"/>
            <charset val="129"/>
          </rPr>
          <t>불가</t>
        </r>
        <r>
          <rPr>
            <sz val="9"/>
            <color indexed="81"/>
            <rFont val="Tahoma"/>
            <family val="2"/>
          </rPr>
          <t xml:space="preserve"> (</t>
        </r>
        <r>
          <rPr>
            <sz val="9"/>
            <color indexed="81"/>
            <rFont val="돋움"/>
            <family val="3"/>
            <charset val="129"/>
          </rPr>
          <t>하수요금</t>
        </r>
        <r>
          <rPr>
            <sz val="9"/>
            <color indexed="81"/>
            <rFont val="Tahoma"/>
            <family val="2"/>
          </rPr>
          <t xml:space="preserve"> </t>
        </r>
        <r>
          <rPr>
            <sz val="9"/>
            <color indexed="81"/>
            <rFont val="돋움"/>
            <family val="3"/>
            <charset val="129"/>
          </rPr>
          <t>미발생</t>
        </r>
        <r>
          <rPr>
            <sz val="9"/>
            <color indexed="81"/>
            <rFont val="Tahoma"/>
            <family val="2"/>
          </rPr>
          <t>)
(</t>
        </r>
        <r>
          <rPr>
            <sz val="9"/>
            <color indexed="81"/>
            <rFont val="돋움"/>
            <family val="3"/>
            <charset val="129"/>
          </rPr>
          <t>가산</t>
        </r>
        <r>
          <rPr>
            <sz val="9"/>
            <color indexed="81"/>
            <rFont val="Tahoma"/>
            <family val="2"/>
          </rPr>
          <t xml:space="preserve">) </t>
        </r>
        <r>
          <rPr>
            <sz val="9"/>
            <color indexed="81"/>
            <rFont val="돋움"/>
            <family val="3"/>
            <charset val="129"/>
          </rPr>
          <t>산출</t>
        </r>
        <r>
          <rPr>
            <sz val="9"/>
            <color indexed="81"/>
            <rFont val="Tahoma"/>
            <family val="2"/>
          </rPr>
          <t xml:space="preserve"> </t>
        </r>
        <r>
          <rPr>
            <sz val="9"/>
            <color indexed="81"/>
            <rFont val="돋움"/>
            <family val="3"/>
            <charset val="129"/>
          </rPr>
          <t>불가</t>
        </r>
      </text>
    </comment>
    <comment ref="AE126" authorId="0" shapeId="0" xr:uid="{E14E5D7C-AF02-4F78-8180-7141673285E3}">
      <text>
        <r>
          <rPr>
            <b/>
            <sz val="9"/>
            <color indexed="81"/>
            <rFont val="BatangChe"/>
            <family val="3"/>
            <charset val="129"/>
          </rPr>
          <t>임대단지에</t>
        </r>
        <r>
          <rPr>
            <b/>
            <sz val="9"/>
            <color indexed="81"/>
            <rFont val="Tahoma"/>
            <family val="2"/>
          </rPr>
          <t xml:space="preserve"> </t>
        </r>
        <r>
          <rPr>
            <b/>
            <sz val="9"/>
            <color indexed="81"/>
            <rFont val="BatangChe"/>
            <family val="3"/>
            <charset val="129"/>
          </rPr>
          <t>부담</t>
        </r>
        <r>
          <rPr>
            <b/>
            <sz val="9"/>
            <color indexed="81"/>
            <rFont val="Tahoma"/>
            <family val="2"/>
          </rPr>
          <t xml:space="preserve"> </t>
        </r>
        <r>
          <rPr>
            <b/>
            <sz val="9"/>
            <color indexed="81"/>
            <rFont val="BatangChe"/>
            <family val="3"/>
            <charset val="129"/>
          </rPr>
          <t>납부한</t>
        </r>
        <r>
          <rPr>
            <b/>
            <sz val="9"/>
            <color indexed="81"/>
            <rFont val="Tahoma"/>
            <family val="2"/>
          </rPr>
          <t xml:space="preserve"> </t>
        </r>
        <r>
          <rPr>
            <b/>
            <sz val="9"/>
            <color indexed="81"/>
            <rFont val="BatangChe"/>
            <family val="3"/>
            <charset val="129"/>
          </rPr>
          <t>하수</t>
        </r>
        <r>
          <rPr>
            <b/>
            <sz val="9"/>
            <color indexed="81"/>
            <rFont val="Tahoma"/>
            <family val="2"/>
          </rPr>
          <t xml:space="preserve"> </t>
        </r>
        <r>
          <rPr>
            <b/>
            <sz val="9"/>
            <color indexed="81"/>
            <rFont val="BatangChe"/>
            <family val="3"/>
            <charset val="129"/>
          </rPr>
          <t>요금</t>
        </r>
        <r>
          <rPr>
            <b/>
            <sz val="9"/>
            <color indexed="81"/>
            <rFont val="Tahoma"/>
            <family val="2"/>
          </rPr>
          <t xml:space="preserve"> </t>
        </r>
        <r>
          <rPr>
            <b/>
            <sz val="9"/>
            <color indexed="81"/>
            <rFont val="BatangChe"/>
            <family val="3"/>
            <charset val="129"/>
          </rPr>
          <t>총액으로</t>
        </r>
        <r>
          <rPr>
            <b/>
            <sz val="9"/>
            <color indexed="81"/>
            <rFont val="Tahoma"/>
            <family val="2"/>
          </rPr>
          <t xml:space="preserve"> </t>
        </r>
        <r>
          <rPr>
            <b/>
            <sz val="9"/>
            <color indexed="81"/>
            <rFont val="BatangChe"/>
            <family val="3"/>
            <charset val="129"/>
          </rPr>
          <t>기입합니다</t>
        </r>
        <r>
          <rPr>
            <b/>
            <sz val="9"/>
            <color indexed="81"/>
            <rFont val="Tahoma"/>
            <family val="2"/>
          </rPr>
          <t>. (</t>
        </r>
        <r>
          <rPr>
            <b/>
            <sz val="9"/>
            <color indexed="81"/>
            <rFont val="BatangChe"/>
            <family val="3"/>
            <charset val="129"/>
          </rPr>
          <t>단위</t>
        </r>
        <r>
          <rPr>
            <b/>
            <sz val="9"/>
            <color indexed="81"/>
            <rFont val="Tahoma"/>
            <family val="2"/>
          </rPr>
          <t xml:space="preserve"> : RMB)</t>
        </r>
        <r>
          <rPr>
            <sz val="9"/>
            <color indexed="81"/>
            <rFont val="Tahoma"/>
            <family val="2"/>
          </rPr>
          <t xml:space="preserve">
</t>
        </r>
      </text>
    </comment>
    <comment ref="C141" authorId="3" shapeId="0" xr:uid="{EC50CA0D-73A7-478B-AFF8-8FB89AEAC8AF}">
      <text>
        <r>
          <rPr>
            <b/>
            <sz val="11"/>
            <color indexed="81"/>
            <rFont val="Tahoma"/>
            <family val="2"/>
          </rPr>
          <t xml:space="preserve">240214 </t>
        </r>
        <r>
          <rPr>
            <b/>
            <sz val="11"/>
            <color indexed="81"/>
            <rFont val="돋움"/>
            <family val="3"/>
            <charset val="129"/>
          </rPr>
          <t xml:space="preserve">추가인터뷰
</t>
        </r>
        <r>
          <rPr>
            <sz val="11"/>
            <color indexed="81"/>
            <rFont val="돋움"/>
            <family val="3"/>
            <charset val="129"/>
          </rPr>
          <t>사무실</t>
        </r>
        <r>
          <rPr>
            <sz val="11"/>
            <color indexed="81"/>
            <rFont val="Tahoma"/>
            <family val="2"/>
          </rPr>
          <t xml:space="preserve"> </t>
        </r>
        <r>
          <rPr>
            <sz val="11"/>
            <color indexed="81"/>
            <rFont val="돋움"/>
            <family val="3"/>
            <charset val="129"/>
          </rPr>
          <t>쓰레기통</t>
        </r>
        <r>
          <rPr>
            <sz val="11"/>
            <color indexed="81"/>
            <rFont val="Tahoma"/>
            <family val="2"/>
          </rPr>
          <t xml:space="preserve"> </t>
        </r>
        <r>
          <rPr>
            <sz val="11"/>
            <color indexed="81"/>
            <rFont val="돋움"/>
            <family val="3"/>
            <charset val="129"/>
          </rPr>
          <t>용량</t>
        </r>
        <r>
          <rPr>
            <sz val="11"/>
            <color indexed="81"/>
            <rFont val="Tahoma"/>
            <family val="2"/>
          </rPr>
          <t xml:space="preserve"> </t>
        </r>
        <r>
          <rPr>
            <sz val="11"/>
            <color indexed="81"/>
            <rFont val="돋움"/>
            <family val="3"/>
            <charset val="129"/>
          </rPr>
          <t>등</t>
        </r>
        <r>
          <rPr>
            <sz val="11"/>
            <color indexed="81"/>
            <rFont val="Tahoma"/>
            <family val="2"/>
          </rPr>
          <t xml:space="preserve"> </t>
        </r>
        <r>
          <rPr>
            <sz val="11"/>
            <color indexed="81"/>
            <rFont val="돋움"/>
            <family val="3"/>
            <charset val="129"/>
          </rPr>
          <t>정보로</t>
        </r>
        <r>
          <rPr>
            <sz val="11"/>
            <color indexed="81"/>
            <rFont val="Tahoma"/>
            <family val="2"/>
          </rPr>
          <t xml:space="preserve"> </t>
        </r>
        <r>
          <rPr>
            <sz val="11"/>
            <color indexed="81"/>
            <rFont val="돋움"/>
            <family val="3"/>
            <charset val="129"/>
          </rPr>
          <t>환산</t>
        </r>
        <r>
          <rPr>
            <sz val="11"/>
            <color indexed="81"/>
            <rFont val="Tahoma"/>
            <family val="2"/>
          </rPr>
          <t xml:space="preserve"> </t>
        </r>
        <r>
          <rPr>
            <sz val="11"/>
            <color indexed="81"/>
            <rFont val="돋움"/>
            <family val="3"/>
            <charset val="129"/>
          </rPr>
          <t>추정치</t>
        </r>
      </text>
    </comment>
    <comment ref="AB143" authorId="4" shapeId="0" xr:uid="{94D7889A-7970-40DC-921E-6B625671BBD3}">
      <text>
        <r>
          <rPr>
            <sz val="9"/>
            <color indexed="81"/>
            <rFont val="돋움"/>
            <family val="3"/>
            <charset val="129"/>
          </rPr>
          <t>생산팀</t>
        </r>
        <r>
          <rPr>
            <sz val="9"/>
            <color indexed="81"/>
            <rFont val="Tahoma"/>
            <family val="2"/>
          </rPr>
          <t xml:space="preserve"> 2.81</t>
        </r>
        <r>
          <rPr>
            <sz val="9"/>
            <color indexed="81"/>
            <rFont val="돋움"/>
            <family val="3"/>
            <charset val="129"/>
          </rPr>
          <t>톤</t>
        </r>
        <r>
          <rPr>
            <sz val="9"/>
            <color indexed="81"/>
            <rFont val="Tahoma"/>
            <family val="2"/>
          </rPr>
          <t xml:space="preserve"> = </t>
        </r>
        <r>
          <rPr>
            <sz val="9"/>
            <color indexed="81"/>
            <rFont val="돋움"/>
            <family val="3"/>
            <charset val="129"/>
          </rPr>
          <t>고철</t>
        </r>
        <r>
          <rPr>
            <sz val="9"/>
            <color indexed="81"/>
            <rFont val="Tahoma"/>
            <family val="2"/>
          </rPr>
          <t xml:space="preserve"> 0.2</t>
        </r>
        <r>
          <rPr>
            <sz val="9"/>
            <color indexed="81"/>
            <rFont val="돋움"/>
            <family val="3"/>
            <charset val="129"/>
          </rPr>
          <t>톤</t>
        </r>
        <r>
          <rPr>
            <sz val="9"/>
            <color indexed="81"/>
            <rFont val="Tahoma"/>
            <family val="2"/>
          </rPr>
          <t>+</t>
        </r>
        <r>
          <rPr>
            <sz val="9"/>
            <color indexed="81"/>
            <rFont val="돋움"/>
            <family val="3"/>
            <charset val="129"/>
          </rPr>
          <t>파지</t>
        </r>
        <r>
          <rPr>
            <sz val="9"/>
            <color indexed="81"/>
            <rFont val="Tahoma"/>
            <family val="2"/>
          </rPr>
          <t xml:space="preserve"> 2.61</t>
        </r>
        <r>
          <rPr>
            <sz val="9"/>
            <color indexed="81"/>
            <rFont val="돋움"/>
            <family val="3"/>
            <charset val="129"/>
          </rPr>
          <t xml:space="preserve">톤
</t>
        </r>
      </text>
    </comment>
    <comment ref="AC143" authorId="4" shapeId="0" xr:uid="{A4C052EB-DD5E-4113-A538-C4D98C704C6A}">
      <text>
        <r>
          <rPr>
            <sz val="9"/>
            <color indexed="81"/>
            <rFont val="돋움"/>
            <family val="3"/>
            <charset val="129"/>
          </rPr>
          <t>생산팀</t>
        </r>
        <r>
          <rPr>
            <sz val="9"/>
            <color indexed="81"/>
            <rFont val="Tahoma"/>
            <family val="2"/>
          </rPr>
          <t xml:space="preserve"> 15.73</t>
        </r>
        <r>
          <rPr>
            <sz val="9"/>
            <color indexed="81"/>
            <rFont val="돋움"/>
            <family val="3"/>
            <charset val="129"/>
          </rPr>
          <t>톤</t>
        </r>
        <r>
          <rPr>
            <sz val="9"/>
            <color indexed="81"/>
            <rFont val="Tahoma"/>
            <family val="2"/>
          </rPr>
          <t xml:space="preserve"> (=</t>
        </r>
        <r>
          <rPr>
            <sz val="9"/>
            <color indexed="81"/>
            <rFont val="돋움"/>
            <family val="3"/>
            <charset val="129"/>
          </rPr>
          <t>고철</t>
        </r>
        <r>
          <rPr>
            <sz val="9"/>
            <color indexed="81"/>
            <rFont val="Tahoma"/>
            <family val="2"/>
          </rPr>
          <t xml:space="preserve"> 6.13</t>
        </r>
        <r>
          <rPr>
            <sz val="9"/>
            <color indexed="81"/>
            <rFont val="돋움"/>
            <family val="3"/>
            <charset val="129"/>
          </rPr>
          <t>톤</t>
        </r>
        <r>
          <rPr>
            <sz val="9"/>
            <color indexed="81"/>
            <rFont val="Tahoma"/>
            <family val="2"/>
          </rPr>
          <t xml:space="preserve"> + </t>
        </r>
        <r>
          <rPr>
            <sz val="9"/>
            <color indexed="81"/>
            <rFont val="돋움"/>
            <family val="3"/>
            <charset val="129"/>
          </rPr>
          <t>파지</t>
        </r>
        <r>
          <rPr>
            <sz val="9"/>
            <color indexed="81"/>
            <rFont val="Tahoma"/>
            <family val="2"/>
          </rPr>
          <t xml:space="preserve"> 9.6</t>
        </r>
        <r>
          <rPr>
            <sz val="9"/>
            <color indexed="81"/>
            <rFont val="돋움"/>
            <family val="3"/>
            <charset val="129"/>
          </rPr>
          <t>톤</t>
        </r>
        <r>
          <rPr>
            <sz val="9"/>
            <color indexed="81"/>
            <rFont val="Tahoma"/>
            <family val="2"/>
          </rPr>
          <t>)</t>
        </r>
      </text>
    </comment>
    <comment ref="AD143" authorId="1" shapeId="0" xr:uid="{4538E16A-F433-42C3-8BDE-CFF5DA5168B0}">
      <text>
        <r>
          <rPr>
            <sz val="9"/>
            <color indexed="81"/>
            <rFont val="돋움"/>
            <family val="3"/>
            <charset val="129"/>
          </rPr>
          <t>생산팀</t>
        </r>
        <r>
          <rPr>
            <sz val="9"/>
            <color indexed="81"/>
            <rFont val="Tahoma"/>
            <family val="2"/>
          </rPr>
          <t xml:space="preserve"> </t>
        </r>
        <r>
          <rPr>
            <sz val="9"/>
            <color indexed="81"/>
            <rFont val="돋움"/>
            <family val="3"/>
            <charset val="129"/>
          </rPr>
          <t>고철</t>
        </r>
        <r>
          <rPr>
            <sz val="9"/>
            <color indexed="81"/>
            <rFont val="Tahoma"/>
            <family val="2"/>
          </rPr>
          <t xml:space="preserve"> 3.05</t>
        </r>
        <r>
          <rPr>
            <sz val="9"/>
            <color indexed="81"/>
            <rFont val="돋움"/>
            <family val="3"/>
            <charset val="129"/>
          </rPr>
          <t xml:space="preserve">톤
</t>
        </r>
        <r>
          <rPr>
            <sz val="9"/>
            <color indexed="81"/>
            <rFont val="Tahoma"/>
            <family val="2"/>
          </rPr>
          <t>HW</t>
        </r>
        <r>
          <rPr>
            <sz val="9"/>
            <color indexed="81"/>
            <rFont val="돋움"/>
            <family val="3"/>
            <charset val="129"/>
          </rPr>
          <t>솔루션팀</t>
        </r>
        <r>
          <rPr>
            <sz val="9"/>
            <color indexed="81"/>
            <rFont val="Tahoma"/>
            <family val="2"/>
          </rPr>
          <t xml:space="preserve">  </t>
        </r>
        <r>
          <rPr>
            <sz val="9"/>
            <color indexed="81"/>
            <rFont val="돋움"/>
            <family val="3"/>
            <charset val="129"/>
          </rPr>
          <t>고철</t>
        </r>
        <r>
          <rPr>
            <sz val="9"/>
            <color indexed="81"/>
            <rFont val="Tahoma"/>
            <family val="2"/>
          </rPr>
          <t xml:space="preserve"> 2.9</t>
        </r>
        <r>
          <rPr>
            <sz val="9"/>
            <color indexed="81"/>
            <rFont val="돋움"/>
            <family val="3"/>
            <charset val="129"/>
          </rPr>
          <t>톤
품질관리팀</t>
        </r>
        <r>
          <rPr>
            <sz val="9"/>
            <color indexed="81"/>
            <rFont val="Tahoma"/>
            <family val="2"/>
          </rPr>
          <t xml:space="preserve"> </t>
        </r>
        <r>
          <rPr>
            <sz val="9"/>
            <color indexed="81"/>
            <rFont val="돋움"/>
            <family val="3"/>
            <charset val="129"/>
          </rPr>
          <t>고철</t>
        </r>
        <r>
          <rPr>
            <sz val="9"/>
            <color indexed="81"/>
            <rFont val="Tahoma"/>
            <family val="2"/>
          </rPr>
          <t xml:space="preserve"> 0.77</t>
        </r>
        <r>
          <rPr>
            <sz val="9"/>
            <color indexed="81"/>
            <rFont val="돋움"/>
            <family val="3"/>
            <charset val="129"/>
          </rPr>
          <t>톤</t>
        </r>
      </text>
    </comment>
    <comment ref="AD144" authorId="1" shapeId="0" xr:uid="{390CFF2E-F437-4DA5-A925-59E077871D11}">
      <text>
        <r>
          <rPr>
            <b/>
            <sz val="9"/>
            <color indexed="81"/>
            <rFont val="돋움"/>
            <family val="3"/>
            <charset val="129"/>
          </rPr>
          <t>구필회</t>
        </r>
        <r>
          <rPr>
            <b/>
            <sz val="9"/>
            <color indexed="81"/>
            <rFont val="Tahoma"/>
            <family val="2"/>
          </rPr>
          <t>:</t>
        </r>
        <r>
          <rPr>
            <sz val="9"/>
            <color indexed="81"/>
            <rFont val="Tahoma"/>
            <family val="2"/>
          </rPr>
          <t xml:space="preserve">
</t>
        </r>
        <r>
          <rPr>
            <sz val="9"/>
            <color indexed="81"/>
            <rFont val="돋움"/>
            <family val="3"/>
            <charset val="129"/>
          </rPr>
          <t>안위</t>
        </r>
        <r>
          <rPr>
            <sz val="9"/>
            <color indexed="81"/>
            <rFont val="Tahoma"/>
            <family val="2"/>
          </rPr>
          <t xml:space="preserve"> </t>
        </r>
        <r>
          <rPr>
            <sz val="9"/>
            <color indexed="81"/>
            <rFont val="돋움"/>
            <family val="3"/>
            <charset val="129"/>
          </rPr>
          <t>㎥</t>
        </r>
      </text>
    </comment>
    <comment ref="AH215" authorId="1" shapeId="0" xr:uid="{A2EA3C7B-A421-41A7-B75A-614119EB5C64}">
      <text>
        <r>
          <rPr>
            <b/>
            <sz val="9"/>
            <color indexed="81"/>
            <rFont val="돋움"/>
            <family val="3"/>
            <charset val="129"/>
          </rPr>
          <t>구필회</t>
        </r>
        <r>
          <rPr>
            <b/>
            <sz val="9"/>
            <color indexed="81"/>
            <rFont val="Tahoma"/>
            <family val="2"/>
          </rPr>
          <t>:</t>
        </r>
        <r>
          <rPr>
            <sz val="9"/>
            <color indexed="81"/>
            <rFont val="Tahoma"/>
            <family val="2"/>
          </rPr>
          <t xml:space="preserve">
</t>
        </r>
        <r>
          <rPr>
            <sz val="9"/>
            <color indexed="81"/>
            <rFont val="돋움"/>
            <family val="3"/>
            <charset val="129"/>
          </rPr>
          <t>미국</t>
        </r>
        <r>
          <rPr>
            <sz val="9"/>
            <color indexed="81"/>
            <rFont val="Tahoma"/>
            <family val="2"/>
          </rPr>
          <t xml:space="preserve"> 11, </t>
        </r>
        <r>
          <rPr>
            <sz val="9"/>
            <color indexed="81"/>
            <rFont val="돋움"/>
            <family val="3"/>
            <charset val="129"/>
          </rPr>
          <t>한국</t>
        </r>
        <r>
          <rPr>
            <sz val="9"/>
            <color indexed="81"/>
            <rFont val="Tahoma"/>
            <family val="2"/>
          </rPr>
          <t xml:space="preserve"> 5</t>
        </r>
      </text>
    </comment>
    <comment ref="AI215" authorId="1" shapeId="0" xr:uid="{8414F3E6-081E-4729-B4FA-DC20A9E635C4}">
      <text>
        <r>
          <rPr>
            <b/>
            <sz val="9"/>
            <color indexed="81"/>
            <rFont val="돋움"/>
            <family val="3"/>
            <charset val="129"/>
          </rPr>
          <t>구필회</t>
        </r>
        <r>
          <rPr>
            <b/>
            <sz val="9"/>
            <color indexed="81"/>
            <rFont val="Tahoma"/>
            <family val="2"/>
          </rPr>
          <t>:</t>
        </r>
        <r>
          <rPr>
            <sz val="9"/>
            <color indexed="81"/>
            <rFont val="Tahoma"/>
            <family val="2"/>
          </rPr>
          <t xml:space="preserve">
</t>
        </r>
        <r>
          <rPr>
            <sz val="9"/>
            <color indexed="81"/>
            <rFont val="돋움"/>
            <family val="3"/>
            <charset val="129"/>
          </rPr>
          <t>미국</t>
        </r>
        <r>
          <rPr>
            <sz val="9"/>
            <color indexed="81"/>
            <rFont val="Tahoma"/>
            <family val="2"/>
          </rPr>
          <t xml:space="preserve"> 17, </t>
        </r>
        <r>
          <rPr>
            <sz val="9"/>
            <color indexed="81"/>
            <rFont val="돋움"/>
            <family val="3"/>
            <charset val="129"/>
          </rPr>
          <t>한국</t>
        </r>
        <r>
          <rPr>
            <sz val="9"/>
            <color indexed="81"/>
            <rFont val="Tahoma"/>
            <family val="2"/>
          </rPr>
          <t xml:space="preserve"> 5</t>
        </r>
      </text>
    </comment>
    <comment ref="AJ215" authorId="1" shapeId="0" xr:uid="{FF95F158-D119-41EF-B5BC-9FD9BF9E4EAD}">
      <text>
        <r>
          <rPr>
            <b/>
            <sz val="9"/>
            <color indexed="81"/>
            <rFont val="돋움"/>
            <family val="3"/>
            <charset val="129"/>
          </rPr>
          <t>구필회</t>
        </r>
        <r>
          <rPr>
            <b/>
            <sz val="9"/>
            <color indexed="81"/>
            <rFont val="Tahoma"/>
            <family val="2"/>
          </rPr>
          <t>:</t>
        </r>
        <r>
          <rPr>
            <sz val="9"/>
            <color indexed="81"/>
            <rFont val="Tahoma"/>
            <family val="2"/>
          </rPr>
          <t xml:space="preserve">
</t>
        </r>
        <r>
          <rPr>
            <sz val="9"/>
            <color indexed="81"/>
            <rFont val="돋움"/>
            <family val="3"/>
            <charset val="129"/>
          </rPr>
          <t>미국</t>
        </r>
        <r>
          <rPr>
            <sz val="9"/>
            <color indexed="81"/>
            <rFont val="Tahoma"/>
            <family val="2"/>
          </rPr>
          <t xml:space="preserve"> 22, </t>
        </r>
        <r>
          <rPr>
            <sz val="9"/>
            <color indexed="81"/>
            <rFont val="돋움"/>
            <family val="3"/>
            <charset val="129"/>
          </rPr>
          <t>한국</t>
        </r>
        <r>
          <rPr>
            <sz val="9"/>
            <color indexed="81"/>
            <rFont val="Tahoma"/>
            <family val="2"/>
          </rPr>
          <t xml:space="preserve"> 4</t>
        </r>
      </text>
    </comment>
    <comment ref="AD219" authorId="1" shapeId="0" xr:uid="{05459996-63DD-40D2-8D14-B7D4EA0C8FF5}">
      <text>
        <r>
          <rPr>
            <b/>
            <sz val="9"/>
            <color indexed="81"/>
            <rFont val="돋움"/>
            <family val="3"/>
            <charset val="129"/>
          </rPr>
          <t>구필회</t>
        </r>
        <r>
          <rPr>
            <b/>
            <sz val="9"/>
            <color indexed="81"/>
            <rFont val="Tahoma"/>
            <family val="2"/>
          </rPr>
          <t>:</t>
        </r>
        <r>
          <rPr>
            <sz val="9"/>
            <color indexed="81"/>
            <rFont val="Tahoma"/>
            <family val="2"/>
          </rPr>
          <t xml:space="preserve">
</t>
        </r>
        <r>
          <rPr>
            <sz val="9"/>
            <color indexed="81"/>
            <rFont val="돋움"/>
            <family val="3"/>
            <charset val="129"/>
          </rPr>
          <t>인사팀으로부터</t>
        </r>
        <r>
          <rPr>
            <sz val="9"/>
            <color indexed="81"/>
            <rFont val="Tahoma"/>
            <family val="2"/>
          </rPr>
          <t xml:space="preserve"> </t>
        </r>
        <r>
          <rPr>
            <sz val="9"/>
            <color indexed="81"/>
            <rFont val="돋움"/>
            <family val="3"/>
            <charset val="129"/>
          </rPr>
          <t>임원인</t>
        </r>
        <r>
          <rPr>
            <sz val="9"/>
            <color indexed="81"/>
            <rFont val="Tahoma"/>
            <family val="2"/>
          </rPr>
          <t xml:space="preserve"> </t>
        </r>
        <r>
          <rPr>
            <sz val="9"/>
            <color indexed="81"/>
            <rFont val="돋움"/>
            <family val="3"/>
            <charset val="129"/>
          </rPr>
          <t>관리자</t>
        </r>
        <r>
          <rPr>
            <sz val="9"/>
            <color indexed="81"/>
            <rFont val="Tahoma"/>
            <family val="2"/>
          </rPr>
          <t xml:space="preserve"> </t>
        </r>
        <r>
          <rPr>
            <sz val="9"/>
            <color indexed="81"/>
            <rFont val="돋움"/>
            <family val="3"/>
            <charset val="129"/>
          </rPr>
          <t>수로</t>
        </r>
        <r>
          <rPr>
            <sz val="9"/>
            <color indexed="81"/>
            <rFont val="Tahoma"/>
            <family val="2"/>
          </rPr>
          <t xml:space="preserve"> </t>
        </r>
        <r>
          <rPr>
            <sz val="9"/>
            <color indexed="81"/>
            <rFont val="돋움"/>
            <family val="3"/>
            <charset val="129"/>
          </rPr>
          <t>확인
임원여부</t>
        </r>
        <r>
          <rPr>
            <sz val="9"/>
            <color indexed="81"/>
            <rFont val="Tahoma"/>
            <family val="2"/>
          </rPr>
          <t xml:space="preserve"> </t>
        </r>
        <r>
          <rPr>
            <sz val="9"/>
            <color indexed="81"/>
            <rFont val="돋움"/>
            <family val="3"/>
            <charset val="129"/>
          </rPr>
          <t>무관</t>
        </r>
        <r>
          <rPr>
            <sz val="9"/>
            <color indexed="81"/>
            <rFont val="Tahoma"/>
            <family val="2"/>
          </rPr>
          <t xml:space="preserve"> </t>
        </r>
        <r>
          <rPr>
            <sz val="9"/>
            <color indexed="81"/>
            <rFont val="돋움"/>
            <family val="3"/>
            <charset val="129"/>
          </rPr>
          <t>관리자</t>
        </r>
        <r>
          <rPr>
            <sz val="9"/>
            <color indexed="81"/>
            <rFont val="Tahoma"/>
            <family val="2"/>
          </rPr>
          <t xml:space="preserve"> </t>
        </r>
        <r>
          <rPr>
            <sz val="9"/>
            <color indexed="81"/>
            <rFont val="돋움"/>
            <family val="3"/>
            <charset val="129"/>
          </rPr>
          <t>수는</t>
        </r>
        <r>
          <rPr>
            <sz val="9"/>
            <color indexed="81"/>
            <rFont val="Tahoma"/>
            <family val="2"/>
          </rPr>
          <t xml:space="preserve"> 27</t>
        </r>
        <r>
          <rPr>
            <sz val="9"/>
            <color indexed="81"/>
            <rFont val="돋움"/>
            <family val="3"/>
            <charset val="129"/>
          </rPr>
          <t>명</t>
        </r>
        <r>
          <rPr>
            <sz val="9"/>
            <color indexed="81"/>
            <rFont val="Tahoma"/>
            <family val="2"/>
          </rPr>
          <t xml:space="preserve"> (</t>
        </r>
        <r>
          <rPr>
            <sz val="9"/>
            <color indexed="81"/>
            <rFont val="돋움"/>
            <family val="3"/>
            <charset val="129"/>
          </rPr>
          <t>여성</t>
        </r>
        <r>
          <rPr>
            <sz val="9"/>
            <color indexed="81"/>
            <rFont val="Tahoma"/>
            <family val="2"/>
          </rPr>
          <t xml:space="preserve"> 4</t>
        </r>
        <r>
          <rPr>
            <sz val="9"/>
            <color indexed="81"/>
            <rFont val="돋움"/>
            <family val="3"/>
            <charset val="129"/>
          </rPr>
          <t>명</t>
        </r>
        <r>
          <rPr>
            <sz val="9"/>
            <color indexed="81"/>
            <rFont val="Tahoma"/>
            <family val="2"/>
          </rPr>
          <t>)</t>
        </r>
      </text>
    </comment>
    <comment ref="AG219" authorId="1" shapeId="0" xr:uid="{53078796-B808-4F35-A43F-F20DBCFA6471}">
      <text>
        <r>
          <rPr>
            <b/>
            <sz val="9"/>
            <color indexed="81"/>
            <rFont val="돋움"/>
            <family val="3"/>
            <charset val="129"/>
          </rPr>
          <t>구필회</t>
        </r>
        <r>
          <rPr>
            <b/>
            <sz val="9"/>
            <color indexed="81"/>
            <rFont val="Tahoma"/>
            <family val="2"/>
          </rPr>
          <t>:</t>
        </r>
        <r>
          <rPr>
            <sz val="9"/>
            <color indexed="81"/>
            <rFont val="Tahoma"/>
            <family val="2"/>
          </rPr>
          <t xml:space="preserve">
</t>
        </r>
        <r>
          <rPr>
            <sz val="9"/>
            <color indexed="81"/>
            <rFont val="돋움"/>
            <family val="3"/>
            <charset val="129"/>
          </rPr>
          <t>임원인</t>
        </r>
        <r>
          <rPr>
            <sz val="9"/>
            <color indexed="81"/>
            <rFont val="Tahoma"/>
            <family val="2"/>
          </rPr>
          <t xml:space="preserve"> </t>
        </r>
        <r>
          <rPr>
            <sz val="9"/>
            <color indexed="81"/>
            <rFont val="돋움"/>
            <family val="3"/>
            <charset val="129"/>
          </rPr>
          <t>관리자</t>
        </r>
        <r>
          <rPr>
            <sz val="9"/>
            <color indexed="81"/>
            <rFont val="Tahoma"/>
            <family val="2"/>
          </rPr>
          <t xml:space="preserve"> </t>
        </r>
        <r>
          <rPr>
            <sz val="9"/>
            <color indexed="81"/>
            <rFont val="돋움"/>
            <family val="3"/>
            <charset val="129"/>
          </rPr>
          <t>수</t>
        </r>
        <r>
          <rPr>
            <sz val="9"/>
            <color indexed="81"/>
            <rFont val="Tahoma"/>
            <family val="2"/>
          </rPr>
          <t xml:space="preserve"> 0</t>
        </r>
        <r>
          <rPr>
            <sz val="9"/>
            <color indexed="81"/>
            <rFont val="돋움"/>
            <family val="3"/>
            <charset val="129"/>
          </rPr>
          <t>명</t>
        </r>
        <r>
          <rPr>
            <sz val="9"/>
            <color indexed="81"/>
            <rFont val="Tahoma"/>
            <family val="2"/>
          </rPr>
          <t xml:space="preserve">
</t>
        </r>
        <r>
          <rPr>
            <sz val="9"/>
            <color indexed="81"/>
            <rFont val="돋움"/>
            <family val="3"/>
            <charset val="129"/>
          </rPr>
          <t>임원</t>
        </r>
        <r>
          <rPr>
            <sz val="9"/>
            <color indexed="81"/>
            <rFont val="Tahoma"/>
            <family val="2"/>
          </rPr>
          <t xml:space="preserve"> </t>
        </r>
        <r>
          <rPr>
            <sz val="9"/>
            <color indexed="81"/>
            <rFont val="돋움"/>
            <family val="3"/>
            <charset val="129"/>
          </rPr>
          <t>아닌</t>
        </r>
        <r>
          <rPr>
            <sz val="9"/>
            <color indexed="81"/>
            <rFont val="Tahoma"/>
            <family val="2"/>
          </rPr>
          <t xml:space="preserve"> </t>
        </r>
        <r>
          <rPr>
            <sz val="9"/>
            <color indexed="81"/>
            <rFont val="돋움"/>
            <family val="3"/>
            <charset val="129"/>
          </rPr>
          <t>관리자</t>
        </r>
        <r>
          <rPr>
            <sz val="9"/>
            <color indexed="81"/>
            <rFont val="Tahoma"/>
            <family val="2"/>
          </rPr>
          <t xml:space="preserve"> </t>
        </r>
        <r>
          <rPr>
            <sz val="9"/>
            <color indexed="81"/>
            <rFont val="돋움"/>
            <family val="3"/>
            <charset val="129"/>
          </rPr>
          <t>수</t>
        </r>
        <r>
          <rPr>
            <sz val="9"/>
            <color indexed="81"/>
            <rFont val="Tahoma"/>
            <family val="2"/>
          </rPr>
          <t xml:space="preserve"> </t>
        </r>
        <r>
          <rPr>
            <sz val="9"/>
            <color indexed="81"/>
            <rFont val="돋움"/>
            <family val="3"/>
            <charset val="129"/>
          </rPr>
          <t>총</t>
        </r>
        <r>
          <rPr>
            <sz val="9"/>
            <color indexed="81"/>
            <rFont val="Tahoma"/>
            <family val="2"/>
          </rPr>
          <t xml:space="preserve"> 5</t>
        </r>
        <r>
          <rPr>
            <sz val="9"/>
            <color indexed="81"/>
            <rFont val="돋움"/>
            <family val="3"/>
            <charset val="129"/>
          </rPr>
          <t>명</t>
        </r>
        <r>
          <rPr>
            <sz val="9"/>
            <color indexed="81"/>
            <rFont val="Tahoma"/>
            <family val="2"/>
          </rPr>
          <t xml:space="preserve"> (</t>
        </r>
        <r>
          <rPr>
            <sz val="9"/>
            <color indexed="81"/>
            <rFont val="돋움"/>
            <family val="3"/>
            <charset val="129"/>
          </rPr>
          <t>여성</t>
        </r>
        <r>
          <rPr>
            <sz val="9"/>
            <color indexed="81"/>
            <rFont val="Tahoma"/>
            <family val="2"/>
          </rPr>
          <t xml:space="preserve"> 1</t>
        </r>
        <r>
          <rPr>
            <sz val="9"/>
            <color indexed="81"/>
            <rFont val="돋움"/>
            <family val="3"/>
            <charset val="129"/>
          </rPr>
          <t>명</t>
        </r>
        <r>
          <rPr>
            <sz val="9"/>
            <color indexed="81"/>
            <rFont val="Tahoma"/>
            <family val="2"/>
          </rPr>
          <t>)</t>
        </r>
      </text>
    </comment>
    <comment ref="AJ219" authorId="1" shapeId="0" xr:uid="{794F603B-0FC8-42C0-9634-1593929616DB}">
      <text>
        <r>
          <rPr>
            <b/>
            <sz val="9"/>
            <color indexed="81"/>
            <rFont val="돋움"/>
            <family val="3"/>
            <charset val="129"/>
          </rPr>
          <t>구필회</t>
        </r>
        <r>
          <rPr>
            <b/>
            <sz val="9"/>
            <color indexed="81"/>
            <rFont val="Tahoma"/>
            <family val="2"/>
          </rPr>
          <t>:</t>
        </r>
        <r>
          <rPr>
            <sz val="9"/>
            <color indexed="81"/>
            <rFont val="Tahoma"/>
            <family val="2"/>
          </rPr>
          <t xml:space="preserve">
</t>
        </r>
        <r>
          <rPr>
            <sz val="9"/>
            <color indexed="81"/>
            <rFont val="돋움"/>
            <family val="3"/>
            <charset val="129"/>
          </rPr>
          <t>임원인</t>
        </r>
        <r>
          <rPr>
            <sz val="9"/>
            <color indexed="81"/>
            <rFont val="Tahoma"/>
            <family val="2"/>
          </rPr>
          <t xml:space="preserve"> </t>
        </r>
        <r>
          <rPr>
            <sz val="9"/>
            <color indexed="81"/>
            <rFont val="돋움"/>
            <family val="3"/>
            <charset val="129"/>
          </rPr>
          <t>관리자수</t>
        </r>
        <r>
          <rPr>
            <sz val="9"/>
            <color indexed="81"/>
            <rFont val="Tahoma"/>
            <family val="2"/>
          </rPr>
          <t xml:space="preserve"> 0</t>
        </r>
        <r>
          <rPr>
            <sz val="9"/>
            <color indexed="81"/>
            <rFont val="돋움"/>
            <family val="3"/>
            <charset val="129"/>
          </rPr>
          <t>명
임원</t>
        </r>
        <r>
          <rPr>
            <sz val="9"/>
            <color indexed="81"/>
            <rFont val="Tahoma"/>
            <family val="2"/>
          </rPr>
          <t xml:space="preserve"> </t>
        </r>
        <r>
          <rPr>
            <sz val="9"/>
            <color indexed="81"/>
            <rFont val="돋움"/>
            <family val="3"/>
            <charset val="129"/>
          </rPr>
          <t>아닌</t>
        </r>
        <r>
          <rPr>
            <sz val="9"/>
            <color indexed="81"/>
            <rFont val="Tahoma"/>
            <family val="2"/>
          </rPr>
          <t xml:space="preserve"> </t>
        </r>
        <r>
          <rPr>
            <sz val="9"/>
            <color indexed="81"/>
            <rFont val="돋움"/>
            <family val="3"/>
            <charset val="129"/>
          </rPr>
          <t>관리자수</t>
        </r>
        <r>
          <rPr>
            <sz val="9"/>
            <color indexed="81"/>
            <rFont val="Tahoma"/>
            <family val="2"/>
          </rPr>
          <t xml:space="preserve"> 6</t>
        </r>
        <r>
          <rPr>
            <sz val="9"/>
            <color indexed="81"/>
            <rFont val="돋움"/>
            <family val="3"/>
            <charset val="129"/>
          </rPr>
          <t>명</t>
        </r>
        <r>
          <rPr>
            <sz val="9"/>
            <color indexed="81"/>
            <rFont val="Tahoma"/>
            <family val="2"/>
          </rPr>
          <t xml:space="preserve"> (</t>
        </r>
        <r>
          <rPr>
            <sz val="9"/>
            <color indexed="81"/>
            <rFont val="돋움"/>
            <family val="3"/>
            <charset val="129"/>
          </rPr>
          <t>여성</t>
        </r>
        <r>
          <rPr>
            <sz val="9"/>
            <color indexed="81"/>
            <rFont val="Tahoma"/>
            <family val="2"/>
          </rPr>
          <t xml:space="preserve"> 1</t>
        </r>
        <r>
          <rPr>
            <sz val="9"/>
            <color indexed="81"/>
            <rFont val="돋움"/>
            <family val="3"/>
            <charset val="129"/>
          </rPr>
          <t>명</t>
        </r>
        <r>
          <rPr>
            <sz val="9"/>
            <color indexed="81"/>
            <rFont val="Tahoma"/>
            <family val="2"/>
          </rPr>
          <t>)</t>
        </r>
      </text>
    </comment>
    <comment ref="AG264" authorId="0" shapeId="0" xr:uid="{41CE7686-85D1-4650-9CBB-460B5907B1A2}">
      <text>
        <r>
          <rPr>
            <b/>
            <sz val="9"/>
            <color indexed="81"/>
            <rFont val="맑은 고딕"/>
            <family val="3"/>
            <charset val="129"/>
          </rPr>
          <t xml:space="preserve">CJ지역본부 주관 온라인교육이며,
지역본부 과금외 별도 비용발생되지 않습니다. (지역본부 과금내 교육비용 별도 구분 없음) </t>
        </r>
      </text>
    </comment>
    <comment ref="F300" authorId="3" shapeId="0" xr:uid="{01A0F25F-7DB5-4EC5-AC31-7D9BBD317601}">
      <text>
        <r>
          <rPr>
            <sz val="11"/>
            <color indexed="81"/>
            <rFont val="돋움"/>
            <family val="3"/>
            <charset val="129"/>
          </rPr>
          <t>아차사고</t>
        </r>
        <r>
          <rPr>
            <sz val="11"/>
            <color indexed="81"/>
            <rFont val="Tahoma"/>
            <family val="2"/>
          </rPr>
          <t xml:space="preserve">: </t>
        </r>
        <r>
          <rPr>
            <sz val="11"/>
            <color indexed="81"/>
            <rFont val="돋움"/>
            <family val="3"/>
            <charset val="129"/>
          </rPr>
          <t>재해가</t>
        </r>
        <r>
          <rPr>
            <sz val="11"/>
            <color indexed="81"/>
            <rFont val="Tahoma"/>
            <family val="2"/>
          </rPr>
          <t xml:space="preserve"> </t>
        </r>
        <r>
          <rPr>
            <sz val="11"/>
            <color indexed="81"/>
            <rFont val="돋움"/>
            <family val="3"/>
            <charset val="129"/>
          </rPr>
          <t>일어날</t>
        </r>
        <r>
          <rPr>
            <sz val="11"/>
            <color indexed="81"/>
            <rFont val="Tahoma"/>
            <family val="2"/>
          </rPr>
          <t xml:space="preserve"> </t>
        </r>
        <r>
          <rPr>
            <sz val="11"/>
            <color indexed="81"/>
            <rFont val="돋움"/>
            <family val="3"/>
            <charset val="129"/>
          </rPr>
          <t>수</t>
        </r>
        <r>
          <rPr>
            <sz val="11"/>
            <color indexed="81"/>
            <rFont val="Tahoma"/>
            <family val="2"/>
          </rPr>
          <t xml:space="preserve"> </t>
        </r>
        <r>
          <rPr>
            <sz val="11"/>
            <color indexed="81"/>
            <rFont val="돋움"/>
            <family val="3"/>
            <charset val="129"/>
          </rPr>
          <t>있는</t>
        </r>
        <r>
          <rPr>
            <sz val="11"/>
            <color indexed="81"/>
            <rFont val="Tahoma"/>
            <family val="2"/>
          </rPr>
          <t xml:space="preserve"> </t>
        </r>
        <r>
          <rPr>
            <sz val="11"/>
            <color indexed="81"/>
            <rFont val="돋움"/>
            <family val="3"/>
            <charset val="129"/>
          </rPr>
          <t>상황이</t>
        </r>
        <r>
          <rPr>
            <sz val="11"/>
            <color indexed="81"/>
            <rFont val="Tahoma"/>
            <family val="2"/>
          </rPr>
          <t xml:space="preserve"> </t>
        </r>
        <r>
          <rPr>
            <sz val="11"/>
            <color indexed="81"/>
            <rFont val="돋움"/>
            <family val="3"/>
            <charset val="129"/>
          </rPr>
          <t>발생하였으나</t>
        </r>
        <r>
          <rPr>
            <sz val="11"/>
            <color indexed="81"/>
            <rFont val="Tahoma"/>
            <family val="2"/>
          </rPr>
          <t xml:space="preserve"> </t>
        </r>
        <r>
          <rPr>
            <sz val="11"/>
            <color indexed="81"/>
            <rFont val="돋움"/>
            <family val="3"/>
            <charset val="129"/>
          </rPr>
          <t>인원의</t>
        </r>
        <r>
          <rPr>
            <sz val="11"/>
            <color indexed="81"/>
            <rFont val="Tahoma"/>
            <family val="2"/>
          </rPr>
          <t xml:space="preserve"> </t>
        </r>
        <r>
          <rPr>
            <sz val="11"/>
            <color indexed="81"/>
            <rFont val="돋움"/>
            <family val="3"/>
            <charset val="129"/>
          </rPr>
          <t>부상이나</t>
        </r>
        <r>
          <rPr>
            <sz val="11"/>
            <color indexed="81"/>
            <rFont val="Tahoma"/>
            <family val="2"/>
          </rPr>
          <t xml:space="preserve"> </t>
        </r>
        <r>
          <rPr>
            <sz val="11"/>
            <color indexed="81"/>
            <rFont val="돋움"/>
            <family val="3"/>
            <charset val="129"/>
          </rPr>
          <t>자산의</t>
        </r>
        <r>
          <rPr>
            <sz val="11"/>
            <color indexed="81"/>
            <rFont val="Tahoma"/>
            <family val="2"/>
          </rPr>
          <t xml:space="preserve"> </t>
        </r>
        <r>
          <rPr>
            <sz val="11"/>
            <color indexed="81"/>
            <rFont val="돋움"/>
            <family val="3"/>
            <charset val="129"/>
          </rPr>
          <t>손상</t>
        </r>
        <r>
          <rPr>
            <sz val="11"/>
            <color indexed="81"/>
            <rFont val="Tahoma"/>
            <family val="2"/>
          </rPr>
          <t xml:space="preserve"> </t>
        </r>
        <r>
          <rPr>
            <sz val="11"/>
            <color indexed="81"/>
            <rFont val="돋움"/>
            <family val="3"/>
            <charset val="129"/>
          </rPr>
          <t>등</t>
        </r>
        <r>
          <rPr>
            <sz val="11"/>
            <color indexed="81"/>
            <rFont val="Tahoma"/>
            <family val="2"/>
          </rPr>
          <t xml:space="preserve"> </t>
        </r>
        <r>
          <rPr>
            <sz val="11"/>
            <color indexed="81"/>
            <rFont val="돋움"/>
            <family val="3"/>
            <charset val="129"/>
          </rPr>
          <t>직접적인</t>
        </r>
        <r>
          <rPr>
            <sz val="11"/>
            <color indexed="81"/>
            <rFont val="Tahoma"/>
            <family val="2"/>
          </rPr>
          <t xml:space="preserve"> </t>
        </r>
        <r>
          <rPr>
            <sz val="11"/>
            <color indexed="81"/>
            <rFont val="돋움"/>
            <family val="3"/>
            <charset val="129"/>
          </rPr>
          <t>손실로</t>
        </r>
        <r>
          <rPr>
            <sz val="11"/>
            <color indexed="81"/>
            <rFont val="Tahoma"/>
            <family val="2"/>
          </rPr>
          <t xml:space="preserve"> </t>
        </r>
        <r>
          <rPr>
            <sz val="11"/>
            <color indexed="81"/>
            <rFont val="돋움"/>
            <family val="3"/>
            <charset val="129"/>
          </rPr>
          <t>이어지지</t>
        </r>
        <r>
          <rPr>
            <sz val="11"/>
            <color indexed="81"/>
            <rFont val="Tahoma"/>
            <family val="2"/>
          </rPr>
          <t xml:space="preserve"> </t>
        </r>
        <r>
          <rPr>
            <sz val="11"/>
            <color indexed="81"/>
            <rFont val="돋움"/>
            <family val="3"/>
            <charset val="129"/>
          </rPr>
          <t>않은</t>
        </r>
        <r>
          <rPr>
            <sz val="11"/>
            <color indexed="81"/>
            <rFont val="Tahoma"/>
            <family val="2"/>
          </rPr>
          <t xml:space="preserve"> </t>
        </r>
        <r>
          <rPr>
            <sz val="11"/>
            <color indexed="81"/>
            <rFont val="돋움"/>
            <family val="3"/>
            <charset val="129"/>
          </rPr>
          <t>사건</t>
        </r>
      </text>
    </comment>
    <comment ref="AD310" authorId="1" shapeId="0" xr:uid="{EA06C5CC-8D88-4EEC-B6DF-08F730801F7D}">
      <text>
        <r>
          <rPr>
            <b/>
            <sz val="9"/>
            <color indexed="81"/>
            <rFont val="돋움"/>
            <family val="3"/>
            <charset val="129"/>
          </rPr>
          <t>구필회</t>
        </r>
        <r>
          <rPr>
            <b/>
            <sz val="9"/>
            <color indexed="81"/>
            <rFont val="Tahoma"/>
            <family val="2"/>
          </rPr>
          <t>:</t>
        </r>
        <r>
          <rPr>
            <sz val="9"/>
            <color indexed="81"/>
            <rFont val="Tahoma"/>
            <family val="2"/>
          </rPr>
          <t xml:space="preserve">
</t>
        </r>
        <r>
          <rPr>
            <sz val="9"/>
            <color indexed="81"/>
            <rFont val="돋움"/>
            <family val="3"/>
            <charset val="129"/>
          </rPr>
          <t>인당</t>
        </r>
        <r>
          <rPr>
            <sz val="9"/>
            <color indexed="81"/>
            <rFont val="Tahoma"/>
            <family val="2"/>
          </rPr>
          <t xml:space="preserve"> </t>
        </r>
        <r>
          <rPr>
            <sz val="9"/>
            <color indexed="81"/>
            <rFont val="돋움"/>
            <family val="3"/>
            <charset val="129"/>
          </rPr>
          <t>월평균근무시간</t>
        </r>
        <r>
          <rPr>
            <sz val="9"/>
            <color indexed="81"/>
            <rFont val="Tahoma"/>
            <family val="2"/>
          </rPr>
          <t xml:space="preserve"> 209</t>
        </r>
        <r>
          <rPr>
            <sz val="9"/>
            <color indexed="81"/>
            <rFont val="돋움"/>
            <family val="3"/>
            <charset val="129"/>
          </rPr>
          <t>시간</t>
        </r>
        <r>
          <rPr>
            <sz val="9"/>
            <color indexed="81"/>
            <rFont val="Tahoma"/>
            <family val="2"/>
          </rPr>
          <t xml:space="preserve"> * 12</t>
        </r>
        <r>
          <rPr>
            <sz val="9"/>
            <color indexed="81"/>
            <rFont val="돋움"/>
            <family val="3"/>
            <charset val="129"/>
          </rPr>
          <t>개월</t>
        </r>
        <r>
          <rPr>
            <sz val="9"/>
            <color indexed="81"/>
            <rFont val="Tahoma"/>
            <family val="2"/>
          </rPr>
          <t xml:space="preserve"> * 196</t>
        </r>
        <r>
          <rPr>
            <sz val="9"/>
            <color indexed="81"/>
            <rFont val="돋움"/>
            <family val="3"/>
            <charset val="129"/>
          </rPr>
          <t>명</t>
        </r>
      </text>
    </comment>
    <comment ref="AN322" authorId="3" shapeId="0" xr:uid="{040C04A1-FA0C-44E8-B7B2-FDA5FC8B87A6}">
      <text>
        <r>
          <rPr>
            <sz val="11"/>
            <color indexed="81"/>
            <rFont val="Tahoma"/>
            <family val="2"/>
          </rPr>
          <t xml:space="preserve"> </t>
        </r>
        <r>
          <rPr>
            <sz val="11"/>
            <color indexed="81"/>
            <rFont val="돋움"/>
            <family val="3"/>
            <charset val="129"/>
          </rPr>
          <t>작업</t>
        </r>
        <r>
          <rPr>
            <sz val="11"/>
            <color indexed="81"/>
            <rFont val="Tahoma"/>
            <family val="2"/>
          </rPr>
          <t xml:space="preserve"> </t>
        </r>
        <r>
          <rPr>
            <sz val="11"/>
            <color indexed="81"/>
            <rFont val="돋움"/>
            <family val="3"/>
            <charset val="129"/>
          </rPr>
          <t>조건이나</t>
        </r>
        <r>
          <rPr>
            <sz val="11"/>
            <color indexed="81"/>
            <rFont val="Tahoma"/>
            <family val="2"/>
          </rPr>
          <t xml:space="preserve"> </t>
        </r>
        <r>
          <rPr>
            <sz val="11"/>
            <color indexed="81"/>
            <rFont val="돋움"/>
            <family val="3"/>
            <charset val="129"/>
          </rPr>
          <t>관행으로</t>
        </r>
        <r>
          <rPr>
            <sz val="11"/>
            <color indexed="81"/>
            <rFont val="Tahoma"/>
            <family val="2"/>
          </rPr>
          <t xml:space="preserve"> </t>
        </r>
        <r>
          <rPr>
            <sz val="11"/>
            <color indexed="81"/>
            <rFont val="돋움"/>
            <family val="3"/>
            <charset val="129"/>
          </rPr>
          <t>인해</t>
        </r>
        <r>
          <rPr>
            <sz val="11"/>
            <color indexed="81"/>
            <rFont val="Tahoma"/>
            <family val="2"/>
          </rPr>
          <t xml:space="preserve"> </t>
        </r>
        <r>
          <rPr>
            <sz val="11"/>
            <color indexed="81"/>
            <rFont val="돋움"/>
            <family val="3"/>
            <charset val="129"/>
          </rPr>
          <t>발생하거나</t>
        </r>
        <r>
          <rPr>
            <sz val="11"/>
            <color indexed="81"/>
            <rFont val="Tahoma"/>
            <family val="2"/>
          </rPr>
          <t xml:space="preserve"> </t>
        </r>
        <r>
          <rPr>
            <sz val="11"/>
            <color indexed="81"/>
            <rFont val="돋움"/>
            <family val="3"/>
            <charset val="129"/>
          </rPr>
          <t>악화되는</t>
        </r>
        <r>
          <rPr>
            <sz val="11"/>
            <color indexed="81"/>
            <rFont val="Tahoma"/>
            <family val="2"/>
          </rPr>
          <t xml:space="preserve"> </t>
        </r>
        <r>
          <rPr>
            <sz val="11"/>
            <color indexed="81"/>
            <rFont val="돋움"/>
            <family val="3"/>
            <charset val="129"/>
          </rPr>
          <t>급성</t>
        </r>
        <r>
          <rPr>
            <sz val="11"/>
            <color indexed="81"/>
            <rFont val="Tahoma"/>
            <family val="2"/>
          </rPr>
          <t xml:space="preserve">, </t>
        </r>
        <r>
          <rPr>
            <sz val="11"/>
            <color indexed="81"/>
            <rFont val="돋움"/>
            <family val="3"/>
            <charset val="129"/>
          </rPr>
          <t>재발</t>
        </r>
        <r>
          <rPr>
            <sz val="11"/>
            <color indexed="81"/>
            <rFont val="Tahoma"/>
            <family val="2"/>
          </rPr>
          <t xml:space="preserve"> </t>
        </r>
        <r>
          <rPr>
            <sz val="11"/>
            <color indexed="81"/>
            <rFont val="돋움"/>
            <family val="3"/>
            <charset val="129"/>
          </rPr>
          <t>및</t>
        </r>
        <r>
          <rPr>
            <sz val="11"/>
            <color indexed="81"/>
            <rFont val="Tahoma"/>
            <family val="2"/>
          </rPr>
          <t xml:space="preserve"> </t>
        </r>
        <r>
          <rPr>
            <sz val="11"/>
            <color indexed="81"/>
            <rFont val="돋움"/>
            <family val="3"/>
            <charset val="129"/>
          </rPr>
          <t>만성</t>
        </r>
        <r>
          <rPr>
            <sz val="11"/>
            <color indexed="81"/>
            <rFont val="Tahoma"/>
            <family val="2"/>
          </rPr>
          <t xml:space="preserve"> </t>
        </r>
        <r>
          <rPr>
            <sz val="11"/>
            <color indexed="81"/>
            <rFont val="돋움"/>
            <family val="3"/>
            <charset val="129"/>
          </rPr>
          <t>건강</t>
        </r>
        <r>
          <rPr>
            <sz val="11"/>
            <color indexed="81"/>
            <rFont val="Tahoma"/>
            <family val="2"/>
          </rPr>
          <t xml:space="preserve"> </t>
        </r>
        <r>
          <rPr>
            <sz val="11"/>
            <color indexed="81"/>
            <rFont val="돋움"/>
            <family val="3"/>
            <charset val="129"/>
          </rPr>
          <t>문제가</t>
        </r>
        <r>
          <rPr>
            <sz val="11"/>
            <color indexed="81"/>
            <rFont val="Tahoma"/>
            <family val="2"/>
          </rPr>
          <t xml:space="preserve"> </t>
        </r>
        <r>
          <rPr>
            <sz val="11"/>
            <color indexed="81"/>
            <rFont val="돋움"/>
            <family val="3"/>
            <charset val="129"/>
          </rPr>
          <t>포함될</t>
        </r>
        <r>
          <rPr>
            <sz val="11"/>
            <color indexed="81"/>
            <rFont val="Tahoma"/>
            <family val="2"/>
          </rPr>
          <t xml:space="preserve"> </t>
        </r>
        <r>
          <rPr>
            <sz val="11"/>
            <color indexed="81"/>
            <rFont val="돋움"/>
            <family val="3"/>
            <charset val="129"/>
          </rPr>
          <t>수</t>
        </r>
        <r>
          <rPr>
            <sz val="11"/>
            <color indexed="81"/>
            <rFont val="Tahoma"/>
            <family val="2"/>
          </rPr>
          <t xml:space="preserve"> </t>
        </r>
        <r>
          <rPr>
            <sz val="11"/>
            <color indexed="81"/>
            <rFont val="돋움"/>
            <family val="3"/>
            <charset val="129"/>
          </rPr>
          <t>있습니다</t>
        </r>
        <r>
          <rPr>
            <sz val="11"/>
            <color indexed="81"/>
            <rFont val="Tahoma"/>
            <family val="2"/>
          </rPr>
          <t xml:space="preserve">. </t>
        </r>
        <r>
          <rPr>
            <sz val="11"/>
            <color indexed="81"/>
            <rFont val="돋움"/>
            <family val="3"/>
            <charset val="129"/>
          </rPr>
          <t>여기에는</t>
        </r>
        <r>
          <rPr>
            <sz val="11"/>
            <color indexed="81"/>
            <rFont val="Tahoma"/>
            <family val="2"/>
          </rPr>
          <t xml:space="preserve"> </t>
        </r>
        <r>
          <rPr>
            <sz val="11"/>
            <color indexed="81"/>
            <rFont val="돋움"/>
            <family val="3"/>
            <charset val="129"/>
          </rPr>
          <t>근골격계</t>
        </r>
        <r>
          <rPr>
            <sz val="11"/>
            <color indexed="81"/>
            <rFont val="Tahoma"/>
            <family val="2"/>
          </rPr>
          <t xml:space="preserve"> </t>
        </r>
        <r>
          <rPr>
            <sz val="11"/>
            <color indexed="81"/>
            <rFont val="돋움"/>
            <family val="3"/>
            <charset val="129"/>
          </rPr>
          <t>질환</t>
        </r>
        <r>
          <rPr>
            <sz val="11"/>
            <color indexed="81"/>
            <rFont val="Tahoma"/>
            <family val="2"/>
          </rPr>
          <t xml:space="preserve">, </t>
        </r>
        <r>
          <rPr>
            <sz val="11"/>
            <color indexed="81"/>
            <rFont val="돋움"/>
            <family val="3"/>
            <charset val="129"/>
          </rPr>
          <t>피부</t>
        </r>
        <r>
          <rPr>
            <sz val="11"/>
            <color indexed="81"/>
            <rFont val="Tahoma"/>
            <family val="2"/>
          </rPr>
          <t xml:space="preserve"> </t>
        </r>
        <r>
          <rPr>
            <sz val="11"/>
            <color indexed="81"/>
            <rFont val="돋움"/>
            <family val="3"/>
            <charset val="129"/>
          </rPr>
          <t>및</t>
        </r>
        <r>
          <rPr>
            <sz val="11"/>
            <color indexed="81"/>
            <rFont val="Tahoma"/>
            <family val="2"/>
          </rPr>
          <t xml:space="preserve"> </t>
        </r>
        <r>
          <rPr>
            <sz val="11"/>
            <color indexed="81"/>
            <rFont val="돋움"/>
            <family val="3"/>
            <charset val="129"/>
          </rPr>
          <t>호흡기</t>
        </r>
        <r>
          <rPr>
            <sz val="11"/>
            <color indexed="81"/>
            <rFont val="Tahoma"/>
            <family val="2"/>
          </rPr>
          <t xml:space="preserve"> </t>
        </r>
        <r>
          <rPr>
            <sz val="11"/>
            <color indexed="81"/>
            <rFont val="돋움"/>
            <family val="3"/>
            <charset val="129"/>
          </rPr>
          <t>질환</t>
        </r>
        <r>
          <rPr>
            <sz val="11"/>
            <color indexed="81"/>
            <rFont val="Tahoma"/>
            <family val="2"/>
          </rPr>
          <t xml:space="preserve">, </t>
        </r>
        <r>
          <rPr>
            <sz val="11"/>
            <color indexed="81"/>
            <rFont val="돋움"/>
            <family val="3"/>
            <charset val="129"/>
          </rPr>
          <t>악성</t>
        </r>
        <r>
          <rPr>
            <sz val="11"/>
            <color indexed="81"/>
            <rFont val="Tahoma"/>
            <family val="2"/>
          </rPr>
          <t xml:space="preserve"> </t>
        </r>
        <r>
          <rPr>
            <sz val="11"/>
            <color indexed="81"/>
            <rFont val="돋움"/>
            <family val="3"/>
            <charset val="129"/>
          </rPr>
          <t>암</t>
        </r>
        <r>
          <rPr>
            <sz val="11"/>
            <color indexed="81"/>
            <rFont val="Tahoma"/>
            <family val="2"/>
          </rPr>
          <t xml:space="preserve">, </t>
        </r>
        <r>
          <rPr>
            <sz val="11"/>
            <color indexed="81"/>
            <rFont val="돋움"/>
            <family val="3"/>
            <charset val="129"/>
          </rPr>
          <t>신체</t>
        </r>
        <r>
          <rPr>
            <sz val="11"/>
            <color indexed="81"/>
            <rFont val="Tahoma"/>
            <family val="2"/>
          </rPr>
          <t xml:space="preserve"> </t>
        </r>
        <r>
          <rPr>
            <sz val="11"/>
            <color indexed="81"/>
            <rFont val="돋움"/>
            <family val="3"/>
            <charset val="129"/>
          </rPr>
          <t>작용제로</t>
        </r>
        <r>
          <rPr>
            <sz val="11"/>
            <color indexed="81"/>
            <rFont val="Tahoma"/>
            <family val="2"/>
          </rPr>
          <t xml:space="preserve"> </t>
        </r>
        <r>
          <rPr>
            <sz val="11"/>
            <color indexed="81"/>
            <rFont val="돋움"/>
            <family val="3"/>
            <charset val="129"/>
          </rPr>
          <t>인한</t>
        </r>
        <r>
          <rPr>
            <sz val="11"/>
            <color indexed="81"/>
            <rFont val="Tahoma"/>
            <family val="2"/>
          </rPr>
          <t xml:space="preserve"> </t>
        </r>
        <r>
          <rPr>
            <sz val="11"/>
            <color indexed="81"/>
            <rFont val="돋움"/>
            <family val="3"/>
            <charset val="129"/>
          </rPr>
          <t>질병</t>
        </r>
        <r>
          <rPr>
            <sz val="11"/>
            <color indexed="81"/>
            <rFont val="Tahoma"/>
            <family val="2"/>
          </rPr>
          <t>(</t>
        </r>
        <r>
          <rPr>
            <sz val="11"/>
            <color indexed="81"/>
            <rFont val="돋움"/>
            <family val="3"/>
            <charset val="129"/>
          </rPr>
          <t>예</t>
        </r>
        <r>
          <rPr>
            <sz val="11"/>
            <color indexed="81"/>
            <rFont val="Tahoma"/>
            <family val="2"/>
          </rPr>
          <t xml:space="preserve">: </t>
        </r>
        <r>
          <rPr>
            <sz val="11"/>
            <color indexed="81"/>
            <rFont val="돋움"/>
            <family val="3"/>
            <charset val="129"/>
          </rPr>
          <t>소음성</t>
        </r>
        <r>
          <rPr>
            <sz val="11"/>
            <color indexed="81"/>
            <rFont val="Tahoma"/>
            <family val="2"/>
          </rPr>
          <t xml:space="preserve"> </t>
        </r>
        <r>
          <rPr>
            <sz val="11"/>
            <color indexed="81"/>
            <rFont val="돋움"/>
            <family val="3"/>
            <charset val="129"/>
          </rPr>
          <t>난청</t>
        </r>
        <r>
          <rPr>
            <sz val="11"/>
            <color indexed="81"/>
            <rFont val="Tahoma"/>
            <family val="2"/>
          </rPr>
          <t xml:space="preserve">, </t>
        </r>
        <r>
          <rPr>
            <sz val="11"/>
            <color indexed="81"/>
            <rFont val="돋움"/>
            <family val="3"/>
            <charset val="129"/>
          </rPr>
          <t>진동으로</t>
        </r>
        <r>
          <rPr>
            <sz val="11"/>
            <color indexed="81"/>
            <rFont val="Tahoma"/>
            <family val="2"/>
          </rPr>
          <t xml:space="preserve"> </t>
        </r>
        <r>
          <rPr>
            <sz val="11"/>
            <color indexed="81"/>
            <rFont val="돋움"/>
            <family val="3"/>
            <charset val="129"/>
          </rPr>
          <t>인한</t>
        </r>
        <r>
          <rPr>
            <sz val="11"/>
            <color indexed="81"/>
            <rFont val="Tahoma"/>
            <family val="2"/>
          </rPr>
          <t xml:space="preserve"> </t>
        </r>
        <r>
          <rPr>
            <sz val="11"/>
            <color indexed="81"/>
            <rFont val="돋움"/>
            <family val="3"/>
            <charset val="129"/>
          </rPr>
          <t>질병</t>
        </r>
        <r>
          <rPr>
            <sz val="11"/>
            <color indexed="81"/>
            <rFont val="Tahoma"/>
            <family val="2"/>
          </rPr>
          <t xml:space="preserve">) </t>
        </r>
        <r>
          <rPr>
            <sz val="11"/>
            <color indexed="81"/>
            <rFont val="돋움"/>
            <family val="3"/>
            <charset val="129"/>
          </rPr>
          <t>및</t>
        </r>
        <r>
          <rPr>
            <sz val="11"/>
            <color indexed="81"/>
            <rFont val="Tahoma"/>
            <family val="2"/>
          </rPr>
          <t xml:space="preserve"> </t>
        </r>
        <r>
          <rPr>
            <sz val="11"/>
            <color indexed="81"/>
            <rFont val="돋움"/>
            <family val="3"/>
            <charset val="129"/>
          </rPr>
          <t>정신</t>
        </r>
        <r>
          <rPr>
            <sz val="11"/>
            <color indexed="81"/>
            <rFont val="Tahoma"/>
            <family val="2"/>
          </rPr>
          <t xml:space="preserve"> </t>
        </r>
        <r>
          <rPr>
            <sz val="11"/>
            <color indexed="81"/>
            <rFont val="돋움"/>
            <family val="3"/>
            <charset val="129"/>
          </rPr>
          <t>질환</t>
        </r>
        <r>
          <rPr>
            <sz val="11"/>
            <color indexed="81"/>
            <rFont val="Tahoma"/>
            <family val="2"/>
          </rPr>
          <t>(</t>
        </r>
        <r>
          <rPr>
            <sz val="11"/>
            <color indexed="81"/>
            <rFont val="돋움"/>
            <family val="3"/>
            <charset val="129"/>
          </rPr>
          <t>예</t>
        </r>
        <r>
          <rPr>
            <sz val="11"/>
            <color indexed="81"/>
            <rFont val="Tahoma"/>
            <family val="2"/>
          </rPr>
          <t xml:space="preserve">: </t>
        </r>
        <r>
          <rPr>
            <sz val="11"/>
            <color indexed="81"/>
            <rFont val="돋움"/>
            <family val="3"/>
            <charset val="129"/>
          </rPr>
          <t>불안</t>
        </r>
        <r>
          <rPr>
            <sz val="11"/>
            <color indexed="81"/>
            <rFont val="Tahoma"/>
            <family val="2"/>
          </rPr>
          <t xml:space="preserve">, </t>
        </r>
        <r>
          <rPr>
            <sz val="11"/>
            <color indexed="81"/>
            <rFont val="돋움"/>
            <family val="3"/>
            <charset val="129"/>
          </rPr>
          <t>외상</t>
        </r>
        <r>
          <rPr>
            <sz val="11"/>
            <color indexed="81"/>
            <rFont val="Tahoma"/>
            <family val="2"/>
          </rPr>
          <t xml:space="preserve"> </t>
        </r>
        <r>
          <rPr>
            <sz val="11"/>
            <color indexed="81"/>
            <rFont val="돋움"/>
            <family val="3"/>
            <charset val="129"/>
          </rPr>
          <t>후</t>
        </r>
        <r>
          <rPr>
            <sz val="11"/>
            <color indexed="81"/>
            <rFont val="Tahoma"/>
            <family val="2"/>
          </rPr>
          <t xml:space="preserve"> </t>
        </r>
        <r>
          <rPr>
            <sz val="11"/>
            <color indexed="81"/>
            <rFont val="돋움"/>
            <family val="3"/>
            <charset val="129"/>
          </rPr>
          <t>스트레스</t>
        </r>
        <r>
          <rPr>
            <sz val="11"/>
            <color indexed="81"/>
            <rFont val="Tahoma"/>
            <family val="2"/>
          </rPr>
          <t xml:space="preserve"> </t>
        </r>
        <r>
          <rPr>
            <sz val="11"/>
            <color indexed="81"/>
            <rFont val="돋움"/>
            <family val="3"/>
            <charset val="129"/>
          </rPr>
          <t>장애</t>
        </r>
        <r>
          <rPr>
            <sz val="11"/>
            <color indexed="81"/>
            <rFont val="Tahoma"/>
            <family val="2"/>
          </rPr>
          <t>)</t>
        </r>
        <r>
          <rPr>
            <sz val="11"/>
            <color indexed="81"/>
            <rFont val="돋움"/>
            <family val="3"/>
            <charset val="129"/>
          </rPr>
          <t>이</t>
        </r>
        <r>
          <rPr>
            <sz val="11"/>
            <color indexed="81"/>
            <rFont val="Tahoma"/>
            <family val="2"/>
          </rPr>
          <t xml:space="preserve"> </t>
        </r>
        <r>
          <rPr>
            <sz val="11"/>
            <color indexed="81"/>
            <rFont val="돋움"/>
            <family val="3"/>
            <charset val="129"/>
          </rPr>
          <t>포함</t>
        </r>
      </text>
    </comment>
    <comment ref="AC325" authorId="1" shapeId="0" xr:uid="{3104BC0D-DDEC-4216-AFAF-A478C6C7C069}">
      <text>
        <r>
          <rPr>
            <b/>
            <sz val="9"/>
            <color indexed="81"/>
            <rFont val="돋움"/>
            <family val="3"/>
            <charset val="129"/>
          </rPr>
          <t>구필회</t>
        </r>
        <r>
          <rPr>
            <b/>
            <sz val="9"/>
            <color indexed="81"/>
            <rFont val="Tahoma"/>
            <family val="2"/>
          </rPr>
          <t>:</t>
        </r>
        <r>
          <rPr>
            <sz val="9"/>
            <color indexed="81"/>
            <rFont val="Tahoma"/>
            <family val="2"/>
          </rPr>
          <t xml:space="preserve">
</t>
        </r>
        <r>
          <rPr>
            <sz val="9"/>
            <color indexed="81"/>
            <rFont val="돋움"/>
            <family val="3"/>
            <charset val="129"/>
          </rPr>
          <t>정기교육</t>
        </r>
        <r>
          <rPr>
            <sz val="9"/>
            <color indexed="81"/>
            <rFont val="Tahoma"/>
            <family val="2"/>
          </rPr>
          <t>(</t>
        </r>
        <r>
          <rPr>
            <sz val="9"/>
            <color indexed="81"/>
            <rFont val="돋움"/>
            <family val="3"/>
            <charset val="129"/>
          </rPr>
          <t>일반</t>
        </r>
        <r>
          <rPr>
            <sz val="9"/>
            <color indexed="81"/>
            <rFont val="Tahoma"/>
            <family val="2"/>
          </rPr>
          <t>) 156</t>
        </r>
        <r>
          <rPr>
            <sz val="9"/>
            <color indexed="81"/>
            <rFont val="돋움"/>
            <family val="3"/>
            <charset val="129"/>
          </rPr>
          <t>명
정기교육</t>
        </r>
        <r>
          <rPr>
            <sz val="9"/>
            <color indexed="81"/>
            <rFont val="Tahoma"/>
            <family val="2"/>
          </rPr>
          <t>(</t>
        </r>
        <r>
          <rPr>
            <sz val="9"/>
            <color indexed="81"/>
            <rFont val="돋움"/>
            <family val="3"/>
            <charset val="129"/>
          </rPr>
          <t>관리감독자</t>
        </r>
        <r>
          <rPr>
            <sz val="9"/>
            <color indexed="81"/>
            <rFont val="Tahoma"/>
            <family val="2"/>
          </rPr>
          <t>) 9</t>
        </r>
        <r>
          <rPr>
            <sz val="9"/>
            <color indexed="81"/>
            <rFont val="돋움"/>
            <family val="3"/>
            <charset val="129"/>
          </rPr>
          <t>명
채용시교육</t>
        </r>
        <r>
          <rPr>
            <sz val="9"/>
            <color indexed="81"/>
            <rFont val="Tahoma"/>
            <family val="2"/>
          </rPr>
          <t xml:space="preserve"> 40</t>
        </r>
        <r>
          <rPr>
            <sz val="9"/>
            <color indexed="81"/>
            <rFont val="돋움"/>
            <family val="3"/>
            <charset val="129"/>
          </rPr>
          <t>명
특별교육</t>
        </r>
        <r>
          <rPr>
            <sz val="9"/>
            <color indexed="81"/>
            <rFont val="Tahoma"/>
            <family val="2"/>
          </rPr>
          <t xml:space="preserve"> 16</t>
        </r>
        <r>
          <rPr>
            <sz val="9"/>
            <color indexed="81"/>
            <rFont val="돋움"/>
            <family val="3"/>
            <charset val="129"/>
          </rPr>
          <t>명</t>
        </r>
        <r>
          <rPr>
            <sz val="9"/>
            <color indexed="81"/>
            <rFont val="Tahoma"/>
            <family val="2"/>
          </rPr>
          <t xml:space="preserve"> </t>
        </r>
      </text>
    </comment>
    <comment ref="AD325" authorId="1" shapeId="0" xr:uid="{1C7BA5F6-4E8A-41EA-96D5-7896C54C2DA3}">
      <text>
        <r>
          <rPr>
            <b/>
            <sz val="9"/>
            <color indexed="81"/>
            <rFont val="돋움"/>
            <family val="3"/>
            <charset val="129"/>
          </rPr>
          <t>구필회</t>
        </r>
        <r>
          <rPr>
            <b/>
            <sz val="9"/>
            <color indexed="81"/>
            <rFont val="Tahoma"/>
            <family val="2"/>
          </rPr>
          <t>:</t>
        </r>
        <r>
          <rPr>
            <sz val="9"/>
            <color indexed="81"/>
            <rFont val="Tahoma"/>
            <family val="2"/>
          </rPr>
          <t xml:space="preserve">
</t>
        </r>
        <r>
          <rPr>
            <sz val="9"/>
            <color indexed="81"/>
            <rFont val="돋움"/>
            <family val="3"/>
            <charset val="129"/>
          </rPr>
          <t>정기교육</t>
        </r>
        <r>
          <rPr>
            <sz val="9"/>
            <color indexed="81"/>
            <rFont val="Tahoma"/>
            <family val="2"/>
          </rPr>
          <t>(</t>
        </r>
        <r>
          <rPr>
            <sz val="9"/>
            <color indexed="81"/>
            <rFont val="돋움"/>
            <family val="3"/>
            <charset val="129"/>
          </rPr>
          <t>일반</t>
        </r>
        <r>
          <rPr>
            <sz val="9"/>
            <color indexed="81"/>
            <rFont val="Tahoma"/>
            <family val="2"/>
          </rPr>
          <t>) 159</t>
        </r>
        <r>
          <rPr>
            <sz val="9"/>
            <color indexed="81"/>
            <rFont val="돋움"/>
            <family val="3"/>
            <charset val="129"/>
          </rPr>
          <t>명
정기교육</t>
        </r>
        <r>
          <rPr>
            <sz val="9"/>
            <color indexed="81"/>
            <rFont val="Tahoma"/>
            <family val="2"/>
          </rPr>
          <t>(</t>
        </r>
        <r>
          <rPr>
            <sz val="9"/>
            <color indexed="81"/>
            <rFont val="돋움"/>
            <family val="3"/>
            <charset val="129"/>
          </rPr>
          <t>관리감독자</t>
        </r>
        <r>
          <rPr>
            <sz val="9"/>
            <color indexed="81"/>
            <rFont val="Tahoma"/>
            <family val="2"/>
          </rPr>
          <t>) 14</t>
        </r>
        <r>
          <rPr>
            <sz val="9"/>
            <color indexed="81"/>
            <rFont val="돋움"/>
            <family val="3"/>
            <charset val="129"/>
          </rPr>
          <t>명
채용시교육</t>
        </r>
        <r>
          <rPr>
            <sz val="9"/>
            <color indexed="81"/>
            <rFont val="Tahoma"/>
            <family val="2"/>
          </rPr>
          <t xml:space="preserve"> 48</t>
        </r>
        <r>
          <rPr>
            <sz val="9"/>
            <color indexed="81"/>
            <rFont val="돋움"/>
            <family val="3"/>
            <charset val="129"/>
          </rPr>
          <t>명</t>
        </r>
      </text>
    </comment>
    <comment ref="AG333" authorId="0" shapeId="0" xr:uid="{97EA4649-CC27-4CB0-B6B4-B31F1D349971}">
      <text>
        <r>
          <rPr>
            <b/>
            <sz val="9"/>
            <color indexed="81"/>
            <rFont val="BatangChe"/>
            <family val="3"/>
            <charset val="129"/>
          </rPr>
          <t>中國내 고위험 작업조건 
 : 필수 자격증 취득자에 한하여 작업투입. 
 - 100% 자격자에 한하여 작업이 투입되고 있으며, 자격증 유지조건에는 정기 보수교육이수 조건 있음. 
※필수 자격증 : 登高架</t>
        </r>
        <r>
          <rPr>
            <b/>
            <sz val="9"/>
            <color indexed="81"/>
            <rFont val="SimSun-ExtB"/>
            <family val="3"/>
            <charset val="134"/>
          </rPr>
          <t>设</t>
        </r>
        <r>
          <rPr>
            <b/>
            <sz val="9"/>
            <color indexed="81"/>
            <rFont val="BatangChe"/>
            <family val="3"/>
            <charset val="129"/>
          </rPr>
          <t>作</t>
        </r>
        <r>
          <rPr>
            <b/>
            <sz val="9"/>
            <color indexed="81"/>
            <rFont val="SimSun-ExtB"/>
            <family val="3"/>
            <charset val="134"/>
          </rPr>
          <t>业</t>
        </r>
        <r>
          <rPr>
            <b/>
            <sz val="9"/>
            <color indexed="81"/>
            <rFont val="BatangChe"/>
            <family val="3"/>
            <charset val="129"/>
          </rPr>
          <t xml:space="preserve"> （고공설치작업증), 
                建筑施工高空作</t>
        </r>
        <r>
          <rPr>
            <b/>
            <sz val="9"/>
            <color indexed="81"/>
            <rFont val="SimSun-ExtB"/>
            <family val="3"/>
            <charset val="134"/>
          </rPr>
          <t>业</t>
        </r>
        <r>
          <rPr>
            <b/>
            <sz val="9"/>
            <color indexed="81"/>
            <rFont val="BatangChe"/>
            <family val="3"/>
            <charset val="129"/>
          </rPr>
          <t>操作人</t>
        </r>
        <r>
          <rPr>
            <b/>
            <sz val="9"/>
            <color indexed="81"/>
            <rFont val="SimSun-ExtB"/>
            <family val="3"/>
            <charset val="134"/>
          </rPr>
          <t>员</t>
        </r>
        <r>
          <rPr>
            <b/>
            <sz val="9"/>
            <color indexed="81"/>
            <rFont val="BatangChe"/>
            <family val="3"/>
            <charset val="129"/>
          </rPr>
          <t>培</t>
        </r>
        <r>
          <rPr>
            <b/>
            <sz val="9"/>
            <color indexed="81"/>
            <rFont val="SimSun-ExtB"/>
            <family val="3"/>
            <charset val="134"/>
          </rPr>
          <t>训</t>
        </r>
        <r>
          <rPr>
            <b/>
            <sz val="9"/>
            <color indexed="81"/>
            <rFont val="BatangChe"/>
            <family val="3"/>
            <charset val="129"/>
          </rPr>
          <t>合格</t>
        </r>
        <r>
          <rPr>
            <b/>
            <sz val="9"/>
            <color indexed="81"/>
            <rFont val="SimSun-ExtB"/>
            <family val="3"/>
            <charset val="134"/>
          </rPr>
          <t>证</t>
        </r>
        <r>
          <rPr>
            <b/>
            <sz val="9"/>
            <color indexed="81"/>
            <rFont val="BatangChe"/>
            <family val="3"/>
            <charset val="129"/>
          </rPr>
          <t>（건축시공 고공작업인원 교육 합격증)</t>
        </r>
      </text>
    </comment>
    <comment ref="AD334" authorId="1" shapeId="0" xr:uid="{D059BA5D-E8B0-4A9B-B134-52BA675955E3}">
      <text>
        <r>
          <rPr>
            <b/>
            <sz val="9"/>
            <color indexed="81"/>
            <rFont val="돋움"/>
            <family val="3"/>
            <charset val="129"/>
          </rPr>
          <t>구필회</t>
        </r>
        <r>
          <rPr>
            <b/>
            <sz val="9"/>
            <color indexed="81"/>
            <rFont val="Tahoma"/>
            <family val="2"/>
          </rPr>
          <t>:</t>
        </r>
        <r>
          <rPr>
            <sz val="9"/>
            <color indexed="81"/>
            <rFont val="Tahoma"/>
            <family val="2"/>
          </rPr>
          <t xml:space="preserve">
</t>
        </r>
        <r>
          <rPr>
            <sz val="9"/>
            <color indexed="81"/>
            <rFont val="돋움"/>
            <family val="3"/>
            <charset val="129"/>
          </rPr>
          <t>설치</t>
        </r>
        <r>
          <rPr>
            <sz val="9"/>
            <color indexed="81"/>
            <rFont val="Tahoma"/>
            <family val="2"/>
          </rPr>
          <t xml:space="preserve"> </t>
        </r>
        <r>
          <rPr>
            <sz val="9"/>
            <color indexed="81"/>
            <rFont val="돋움"/>
            <family val="3"/>
            <charset val="129"/>
          </rPr>
          <t>협력사</t>
        </r>
        <r>
          <rPr>
            <sz val="9"/>
            <color indexed="81"/>
            <rFont val="Tahoma"/>
            <family val="2"/>
          </rPr>
          <t xml:space="preserve"> 1
</t>
        </r>
        <r>
          <rPr>
            <sz val="9"/>
            <color indexed="81"/>
            <rFont val="돋움"/>
            <family val="3"/>
            <charset val="129"/>
          </rPr>
          <t>유지보수</t>
        </r>
        <r>
          <rPr>
            <sz val="9"/>
            <color indexed="81"/>
            <rFont val="Tahoma"/>
            <family val="2"/>
          </rPr>
          <t xml:space="preserve"> </t>
        </r>
        <r>
          <rPr>
            <sz val="9"/>
            <color indexed="81"/>
            <rFont val="돋움"/>
            <family val="3"/>
            <charset val="129"/>
          </rPr>
          <t>협력사</t>
        </r>
        <r>
          <rPr>
            <sz val="9"/>
            <color indexed="81"/>
            <rFont val="Tahoma"/>
            <family val="2"/>
          </rPr>
          <t xml:space="preserve"> 1
</t>
        </r>
        <r>
          <rPr>
            <sz val="9"/>
            <color indexed="81"/>
            <rFont val="돋움"/>
            <family val="3"/>
            <charset val="129"/>
          </rPr>
          <t>우든포장</t>
        </r>
        <r>
          <rPr>
            <sz val="9"/>
            <color indexed="81"/>
            <rFont val="Tahoma"/>
            <family val="2"/>
          </rPr>
          <t xml:space="preserve"> </t>
        </r>
        <r>
          <rPr>
            <sz val="9"/>
            <color indexed="81"/>
            <rFont val="돋움"/>
            <family val="3"/>
            <charset val="129"/>
          </rPr>
          <t>협력사</t>
        </r>
        <r>
          <rPr>
            <sz val="9"/>
            <color indexed="81"/>
            <rFont val="Tahoma"/>
            <family val="2"/>
          </rPr>
          <t xml:space="preserve"> 1</t>
        </r>
      </text>
    </comment>
    <comment ref="AD341" authorId="1" shapeId="0" xr:uid="{F95A037B-EF0A-4E63-BDBB-171F3D605A4E}">
      <text>
        <r>
          <rPr>
            <b/>
            <sz val="9"/>
            <color indexed="81"/>
            <rFont val="돋움"/>
            <family val="3"/>
            <charset val="129"/>
          </rPr>
          <t>구필회</t>
        </r>
        <r>
          <rPr>
            <b/>
            <sz val="9"/>
            <color indexed="81"/>
            <rFont val="Tahoma"/>
            <family val="2"/>
          </rPr>
          <t>:</t>
        </r>
        <r>
          <rPr>
            <sz val="9"/>
            <color indexed="81"/>
            <rFont val="Tahoma"/>
            <family val="2"/>
          </rPr>
          <t xml:space="preserve">
''23</t>
        </r>
        <r>
          <rPr>
            <sz val="9"/>
            <color indexed="81"/>
            <rFont val="돋움"/>
            <family val="3"/>
            <charset val="129"/>
          </rPr>
          <t>년</t>
        </r>
        <r>
          <rPr>
            <sz val="9"/>
            <color indexed="81"/>
            <rFont val="Tahoma"/>
            <family val="2"/>
          </rPr>
          <t xml:space="preserve"> 2</t>
        </r>
        <r>
          <rPr>
            <sz val="9"/>
            <color indexed="81"/>
            <rFont val="돋움"/>
            <family val="3"/>
            <charset val="129"/>
          </rPr>
          <t>월</t>
        </r>
        <r>
          <rPr>
            <sz val="9"/>
            <color indexed="81"/>
            <rFont val="Tahoma"/>
            <family val="2"/>
          </rPr>
          <t xml:space="preserve"> </t>
        </r>
        <r>
          <rPr>
            <sz val="9"/>
            <color indexed="81"/>
            <rFont val="돋움"/>
            <family val="3"/>
            <charset val="129"/>
          </rPr>
          <t>투르키예</t>
        </r>
        <r>
          <rPr>
            <sz val="9"/>
            <color indexed="81"/>
            <rFont val="Tahoma"/>
            <family val="2"/>
          </rPr>
          <t xml:space="preserve"> </t>
        </r>
        <r>
          <rPr>
            <sz val="9"/>
            <color indexed="81"/>
            <rFont val="돋움"/>
            <family val="3"/>
            <charset val="129"/>
          </rPr>
          <t>지진피해</t>
        </r>
        <r>
          <rPr>
            <sz val="9"/>
            <color indexed="81"/>
            <rFont val="Tahoma"/>
            <family val="2"/>
          </rPr>
          <t xml:space="preserve"> </t>
        </r>
        <r>
          <rPr>
            <sz val="9"/>
            <color indexed="81"/>
            <rFont val="돋움"/>
            <family val="3"/>
            <charset val="129"/>
          </rPr>
          <t>구호성금</t>
        </r>
        <r>
          <rPr>
            <sz val="9"/>
            <color indexed="81"/>
            <rFont val="Tahoma"/>
            <family val="2"/>
          </rPr>
          <t xml:space="preserve"> </t>
        </r>
        <r>
          <rPr>
            <sz val="9"/>
            <color indexed="81"/>
            <rFont val="돋움"/>
            <family val="3"/>
            <charset val="129"/>
          </rPr>
          <t>임직원대상</t>
        </r>
        <r>
          <rPr>
            <sz val="9"/>
            <color indexed="81"/>
            <rFont val="Tahoma"/>
            <family val="2"/>
          </rPr>
          <t xml:space="preserve"> </t>
        </r>
        <r>
          <rPr>
            <sz val="9"/>
            <color indexed="81"/>
            <rFont val="돋움"/>
            <family val="3"/>
            <charset val="129"/>
          </rPr>
          <t>모금액</t>
        </r>
        <r>
          <rPr>
            <sz val="9"/>
            <color indexed="81"/>
            <rFont val="Tahoma"/>
            <family val="2"/>
          </rPr>
          <t xml:space="preserve"> 225</t>
        </r>
        <r>
          <rPr>
            <sz val="9"/>
            <color indexed="81"/>
            <rFont val="돋움"/>
            <family val="3"/>
            <charset val="129"/>
          </rPr>
          <t xml:space="preserve">만원
</t>
        </r>
        <r>
          <rPr>
            <sz val="9"/>
            <color indexed="81"/>
            <rFont val="Tahoma"/>
            <family val="2"/>
          </rPr>
          <t xml:space="preserve">CGV </t>
        </r>
        <r>
          <rPr>
            <sz val="9"/>
            <color indexed="81"/>
            <rFont val="돋움"/>
            <family val="3"/>
            <charset val="129"/>
          </rPr>
          <t>투르키예</t>
        </r>
        <r>
          <rPr>
            <sz val="9"/>
            <color indexed="81"/>
            <rFont val="Tahoma"/>
            <family val="2"/>
          </rPr>
          <t xml:space="preserve"> </t>
        </r>
        <r>
          <rPr>
            <sz val="9"/>
            <color indexed="81"/>
            <rFont val="돋움"/>
            <family val="3"/>
            <charset val="129"/>
          </rPr>
          <t>법인으로</t>
        </r>
        <r>
          <rPr>
            <sz val="9"/>
            <color indexed="81"/>
            <rFont val="Tahoma"/>
            <family val="2"/>
          </rPr>
          <t xml:space="preserve"> </t>
        </r>
        <r>
          <rPr>
            <sz val="9"/>
            <color indexed="81"/>
            <rFont val="돋움"/>
            <family val="3"/>
            <charset val="129"/>
          </rPr>
          <t>전달</t>
        </r>
      </text>
    </comment>
    <comment ref="AG417" authorId="0" shapeId="0" xr:uid="{2B180A1C-6441-43F3-A3FB-2B6F50E7CAF7}">
      <text>
        <r>
          <rPr>
            <b/>
            <sz val="9"/>
            <color indexed="81"/>
            <rFont val="Tahoma"/>
            <family val="2"/>
          </rPr>
          <t>23</t>
        </r>
        <r>
          <rPr>
            <b/>
            <sz val="9"/>
            <color indexed="81"/>
            <rFont val="BatangChe"/>
            <family val="3"/>
            <charset val="129"/>
          </rPr>
          <t>년도</t>
        </r>
        <r>
          <rPr>
            <b/>
            <sz val="9"/>
            <color indexed="81"/>
            <rFont val="Tahoma"/>
            <family val="2"/>
          </rPr>
          <t xml:space="preserve"> </t>
        </r>
        <r>
          <rPr>
            <b/>
            <sz val="9"/>
            <color indexed="81"/>
            <rFont val="BatangChe"/>
            <family val="3"/>
            <charset val="129"/>
          </rPr>
          <t>정보보호</t>
        </r>
        <r>
          <rPr>
            <b/>
            <sz val="9"/>
            <color indexed="81"/>
            <rFont val="Tahoma"/>
            <family val="2"/>
          </rPr>
          <t xml:space="preserve"> </t>
        </r>
        <r>
          <rPr>
            <b/>
            <sz val="9"/>
            <color indexed="81"/>
            <rFont val="BatangChe"/>
            <family val="3"/>
            <charset val="129"/>
          </rPr>
          <t>교육</t>
        </r>
        <r>
          <rPr>
            <b/>
            <sz val="9"/>
            <color indexed="81"/>
            <rFont val="Tahoma"/>
            <family val="2"/>
          </rPr>
          <t xml:space="preserve"> </t>
        </r>
        <r>
          <rPr>
            <b/>
            <sz val="9"/>
            <color indexed="81"/>
            <rFont val="BatangChe"/>
            <family val="3"/>
            <charset val="129"/>
          </rPr>
          <t>대상은</t>
        </r>
        <r>
          <rPr>
            <b/>
            <sz val="9"/>
            <color indexed="81"/>
            <rFont val="Tahoma"/>
            <family val="2"/>
          </rPr>
          <t xml:space="preserve"> </t>
        </r>
        <r>
          <rPr>
            <b/>
            <sz val="9"/>
            <color indexed="81"/>
            <rFont val="BatangChe"/>
            <family val="3"/>
            <charset val="129"/>
          </rPr>
          <t>정보보호담당자</t>
        </r>
        <r>
          <rPr>
            <b/>
            <sz val="9"/>
            <color indexed="81"/>
            <rFont val="Tahoma"/>
            <family val="2"/>
          </rPr>
          <t xml:space="preserve"> </t>
        </r>
        <r>
          <rPr>
            <b/>
            <sz val="9"/>
            <color indexed="81"/>
            <rFont val="BatangChe"/>
            <family val="3"/>
            <charset val="129"/>
          </rPr>
          <t>만을</t>
        </r>
        <r>
          <rPr>
            <b/>
            <sz val="9"/>
            <color indexed="81"/>
            <rFont val="Tahoma"/>
            <family val="2"/>
          </rPr>
          <t xml:space="preserve"> </t>
        </r>
        <r>
          <rPr>
            <b/>
            <sz val="9"/>
            <color indexed="81"/>
            <rFont val="BatangChe"/>
            <family val="3"/>
            <charset val="129"/>
          </rPr>
          <t>대상</t>
        </r>
        <r>
          <rPr>
            <b/>
            <sz val="9"/>
            <color indexed="81"/>
            <rFont val="Tahoma"/>
            <family val="2"/>
          </rPr>
          <t xml:space="preserve"> </t>
        </r>
        <r>
          <rPr>
            <b/>
            <sz val="9"/>
            <color indexed="81"/>
            <rFont val="BatangChe"/>
            <family val="3"/>
            <charset val="129"/>
          </rPr>
          <t>진행</t>
        </r>
        <r>
          <rPr>
            <b/>
            <sz val="9"/>
            <color indexed="81"/>
            <rFont val="Tahoma"/>
            <family val="2"/>
          </rPr>
          <t>(</t>
        </r>
        <r>
          <rPr>
            <b/>
            <sz val="9"/>
            <color indexed="81"/>
            <rFont val="BatangChe"/>
            <family val="3"/>
            <charset val="129"/>
          </rPr>
          <t>지역본부</t>
        </r>
        <r>
          <rPr>
            <b/>
            <sz val="9"/>
            <color indexed="81"/>
            <rFont val="Tahoma"/>
            <family val="2"/>
          </rPr>
          <t>)
22</t>
        </r>
        <r>
          <rPr>
            <b/>
            <sz val="9"/>
            <color indexed="81"/>
            <rFont val="BatangChe"/>
            <family val="3"/>
            <charset val="129"/>
          </rPr>
          <t>년도에는</t>
        </r>
        <r>
          <rPr>
            <b/>
            <sz val="9"/>
            <color indexed="81"/>
            <rFont val="Tahoma"/>
            <family val="2"/>
          </rPr>
          <t xml:space="preserve"> </t>
        </r>
        <r>
          <rPr>
            <b/>
            <sz val="9"/>
            <color indexed="81"/>
            <rFont val="BatangChe"/>
            <family val="3"/>
            <charset val="129"/>
          </rPr>
          <t>전직원대상</t>
        </r>
        <r>
          <rPr>
            <b/>
            <sz val="9"/>
            <color indexed="81"/>
            <rFont val="Tahoma"/>
            <family val="2"/>
          </rPr>
          <t>(100%</t>
        </r>
        <r>
          <rPr>
            <b/>
            <sz val="9"/>
            <color indexed="81"/>
            <rFont val="BatangChe"/>
            <family val="3"/>
            <charset val="129"/>
          </rPr>
          <t>수료</t>
        </r>
        <r>
          <rPr>
            <b/>
            <sz val="9"/>
            <color indexed="81"/>
            <rFont val="Tahoma"/>
            <family val="2"/>
          </rPr>
          <t>)</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tc={31FF0D42-66F5-46B0-BFDF-7AB9F7179F8D}</author>
    <author>tc={3E3E8598-6231-4F7C-90A8-395515709509}</author>
    <author>tc={765FC481-13EA-4661-B58D-D97A8F74F03E}</author>
    <author>tc={6CC722C2-C300-40A6-903D-15285BB5BC47}</author>
    <author>tc={51939ACE-8572-43BD-A00B-36C08E3839F3}</author>
    <author>tc={6D1D7A76-ECE1-439F-B893-73826DCCB9A0}</author>
    <author>tc={D10348EE-DA64-4CDB-A1EF-BE4A1E4F942F}</author>
    <author>CGV</author>
    <author>tc={899101F0-A715-4861-95F4-7DC8A46688D6}</author>
    <author>tc={18151453-DC1A-4510-B163-5E0447C9951D}</author>
    <author>tc={BF45EAEE-6539-4FA2-BBFD-101B33405A4E}</author>
    <author>tc={547EA158-4F02-47EF-AACB-4DBDFDE375C9}</author>
    <author>tc={9C760EBC-C432-49EA-9731-12348E6B102D}</author>
    <author>Mina Jang</author>
  </authors>
  <commentList>
    <comment ref="T86" authorId="0" shapeId="0" xr:uid="{31FF0D42-66F5-46B0-BFDF-7AB9F7179F8D}">
      <text>
        <t>[스레드 댓글]
사용 중인 버전의 Excel에서 이 스레드 댓글을 읽을 수 있지만 파일을 이후 버전의 Excel에서 열면 편집 내용이 모두 제거됩니다. 자세한 정보: https://go.microsoft.com/fwlink/?linkid=870924.
댓글:
    CJ그룹 공통 관리지표 파일: 산출 불가</t>
      </text>
    </comment>
    <comment ref="V130" authorId="1" shapeId="0" xr:uid="{3E3E8598-6231-4F7C-90A8-395515709509}">
      <text>
        <t>[스레드 댓글]
사용 중인 버전의 Excel에서 이 스레드 댓글을 읽을 수 있지만 파일을 이후 버전의 Excel에서 열면 편집 내용이 모두 제거됩니다. 자세한 정보: https://go.microsoft.com/fwlink/?linkid=870924.
댓글:
    취합중. 3월 이후 추가 예정</t>
      </text>
    </comment>
    <comment ref="V148" authorId="2" shapeId="0" xr:uid="{765FC481-13EA-4661-B58D-D97A8F74F03E}">
      <text>
        <t>[스레드 댓글]
사용 중인 버전의 Excel에서 이 스레드 댓글을 읽을 수 있지만 파일을 이후 버전의 Excel에서 열면 편집 내용이 모두 제거됩니다. 자세한 정보: https://go.microsoft.com/fwlink/?linkid=870924.
댓글:
    취합중. 3월 이후 추가 예정</t>
      </text>
    </comment>
    <comment ref="V180" authorId="3" shapeId="0" xr:uid="{6CC722C2-C300-40A6-903D-15285BB5BC47}">
      <text>
        <t xml:space="preserve">[스레드 댓글]
사용 중인 버전의 Excel에서 이 스레드 댓글을 읽을 수 있지만 파일을 이후 버전의 Excel에서 열면 편집 내용이 모두 제거됩니다. 자세한 정보: https://go.microsoft.com/fwlink/?linkid=870924.
댓글:
    ISO14001 인증으로 전국 직영사이트 123개 + 본사가 해당됩니다. 사이트(사업장) 수 123개로 넣는게 맞는지, 본사 포함 124개로 넣는게 맞을지 확인 부탁드립니다. </t>
      </text>
    </comment>
    <comment ref="V208" authorId="4" shapeId="0" xr:uid="{51939ACE-8572-43BD-A00B-36C08E3839F3}">
      <text>
        <t>[스레드 댓글]
사용 중인 버전의 Excel에서 이 스레드 댓글을 읽을 수 있지만 파일을 이후 버전의 Excel에서 열면 편집 내용이 모두 제거됩니다. 자세한 정보: https://go.microsoft.com/fwlink/?linkid=870924.
댓글:
    내부 시스템 인력데이터 상 인원으로, 등기/미등기임원 여부는 사업보고서 통해서 별도 확인 필요합니다.</t>
      </text>
    </comment>
    <comment ref="V220" authorId="5" shapeId="0" xr:uid="{6D1D7A76-ECE1-439F-B893-73826DCCB9A0}">
      <text>
        <t>[스레드 댓글]
사용 중인 버전의 Excel에서 이 스레드 댓글을 읽을 수 있지만 파일을 이후 버전의 Excel에서 열면 편집 내용이 모두 제거됩니다. 자세한 정보: https://go.microsoft.com/fwlink/?linkid=870924.
댓글:
    허민회님, 조진호님, 최정필님, 손종수님, 이명형님, 정승욱님, 정종민님</t>
      </text>
    </comment>
    <comment ref="V221" authorId="6" shapeId="0" xr:uid="{D10348EE-DA64-4CDB-A1EF-BE4A1E4F942F}">
      <text>
        <t>[스레드 댓글]
사용 중인 버전의 Excel에서 이 스레드 댓글을 읽을 수 있지만 파일을 이후 버전의 Excel에서 열면 편집 내용이 모두 제거됩니다. 자세한 정보: https://go.microsoft.com/fwlink/?linkid=870924.
댓글:
    박정신님</t>
      </text>
    </comment>
    <comment ref="H235" authorId="7" shapeId="0" xr:uid="{2147DE6C-14B3-4CAB-B454-E18F4D0B6ED7}">
      <text>
        <r>
          <rPr>
            <b/>
            <sz val="9"/>
            <color indexed="81"/>
            <rFont val="宋体"/>
            <family val="3"/>
            <charset val="134"/>
          </rPr>
          <t>CGV:</t>
        </r>
        <r>
          <rPr>
            <sz val="9"/>
            <color indexed="81"/>
            <rFont val="宋体"/>
            <family val="3"/>
            <charset val="134"/>
          </rPr>
          <t xml:space="preserve">
管理人员除以总数</t>
        </r>
      </text>
    </comment>
    <comment ref="V305" authorId="8" shapeId="0" xr:uid="{899101F0-A715-4861-95F4-7DC8A46688D6}">
      <text>
        <t>[스레드 댓글]
사용 중인 버전의 Excel에서 이 스레드 댓글을 읽을 수 있지만 파일을 이후 버전의 Excel에서 열면 편집 내용이 모두 제거됩니다. 자세한 정보: https://go.microsoft.com/fwlink/?linkid=870924.
댓글:
    22년 11명 복직
23년 14명 복직 예정자
23년 미복직 : 4명</t>
      </text>
    </comment>
    <comment ref="V306" authorId="9" shapeId="0" xr:uid="{18151453-DC1A-4510-B163-5E0447C9951D}">
      <text>
        <t xml:space="preserve">[스레드 댓글]
사용 중인 버전의 Excel에서 이 스레드 댓글을 읽을 수 있지만 파일을 이후 버전의 Excel에서 열면 편집 내용이 모두 제거됩니다. 자세한 정보: https://go.microsoft.com/fwlink/?linkid=870924.
댓글:
    22년 32명 복직
23년 44명 복직 예정자
23년 미복직 : 12명
</t>
      </text>
    </comment>
    <comment ref="V307" authorId="10" shapeId="0" xr:uid="{BF45EAEE-6539-4FA2-BBFD-101B33405A4E}">
      <text>
        <t>[스레드 댓글]
사용 중인 버전의 Excel에서 이 스레드 댓글을 읽을 수 있지만 파일을 이후 버전의 Excel에서 열면 편집 내용이 모두 제거됩니다. 자세한 정보: https://go.microsoft.com/fwlink/?linkid=870924.
댓글:
    22년 복직 43명 中 12개월 미만 재직 후 퇴사자 수 : 10</t>
      </text>
    </comment>
    <comment ref="I323" authorId="7" shapeId="0" xr:uid="{53CBA880-91D5-4F78-BEA4-1D19127C2B7C}">
      <text>
        <r>
          <rPr>
            <b/>
            <sz val="9"/>
            <color indexed="81"/>
            <rFont val="宋体"/>
            <family val="3"/>
            <charset val="134"/>
          </rPr>
          <t>CGV:</t>
        </r>
        <r>
          <rPr>
            <sz val="9"/>
            <color indexed="81"/>
            <rFont val="宋体"/>
            <family val="3"/>
            <charset val="134"/>
          </rPr>
          <t xml:space="preserve">
人数 0</t>
        </r>
      </text>
    </comment>
    <comment ref="I324" authorId="7" shapeId="0" xr:uid="{10D0E1BB-F29E-424A-9E81-62A77E8EF061}">
      <text>
        <r>
          <rPr>
            <b/>
            <sz val="9"/>
            <color indexed="81"/>
            <rFont val="宋体"/>
            <family val="3"/>
            <charset val="134"/>
          </rPr>
          <t>CGV:</t>
        </r>
        <r>
          <rPr>
            <sz val="9"/>
            <color indexed="81"/>
            <rFont val="宋体"/>
            <family val="3"/>
            <charset val="134"/>
          </rPr>
          <t xml:space="preserve">
总人数</t>
        </r>
      </text>
    </comment>
    <comment ref="C325" authorId="11" shapeId="0" xr:uid="{547EA158-4F02-47EF-AACB-4DBDFDE375C9}">
      <text>
        <t>[스레드 댓글]
사용 중인 버전의 Excel에서 이 스레드 댓글을 읽을 수 있지만 파일을 이후 버전의 Excel에서 열면 편집 내용이 모두 제거됩니다. 자세한 정보: https://go.microsoft.com/fwlink/?linkid=870924.
댓글:
    지속가능성 보고서: 기밀(정책상 미공개)</t>
      </text>
    </comment>
    <comment ref="I325" authorId="7" shapeId="0" xr:uid="{923C512C-18AA-4FAF-B31B-05F47242B58F}">
      <text>
        <r>
          <rPr>
            <b/>
            <sz val="9"/>
            <color indexed="81"/>
            <rFont val="宋体"/>
            <family val="3"/>
            <charset val="134"/>
          </rPr>
          <t>CGV:</t>
        </r>
        <r>
          <rPr>
            <sz val="9"/>
            <color indexed="81"/>
            <rFont val="宋体"/>
            <family val="3"/>
            <charset val="134"/>
          </rPr>
          <t xml:space="preserve">
 无</t>
        </r>
      </text>
    </comment>
    <comment ref="T374" authorId="12" shapeId="0" xr:uid="{9C760EBC-C432-49EA-9731-12348E6B102D}">
      <text>
        <t>[스레드 댓글]
사용 중인 버전의 Excel에서 이 스레드 댓글을 읽을 수 있지만 파일을 이후 버전의 Excel에서 열면 편집 내용이 모두 제거됩니다. 자세한 정보: https://go.microsoft.com/fwlink/?linkid=870924.
댓글:
    작년 수치 수정되었습니다.</t>
      </text>
    </comment>
    <comment ref="X455" authorId="13" shapeId="0" xr:uid="{C40B2A24-677C-4F27-A436-D430997D6A85}">
      <text>
        <r>
          <rPr>
            <b/>
            <sz val="9"/>
            <color indexed="81"/>
            <rFont val="Tahoma"/>
            <family val="2"/>
          </rPr>
          <t>Mina Jang:</t>
        </r>
        <r>
          <rPr>
            <sz val="9"/>
            <color indexed="81"/>
            <rFont val="Tahoma"/>
            <family val="2"/>
          </rPr>
          <t xml:space="preserve">
</t>
        </r>
        <r>
          <rPr>
            <sz val="9"/>
            <color indexed="81"/>
            <rFont val="돋움"/>
            <family val="3"/>
            <charset val="129"/>
          </rPr>
          <t>정보보호세터</t>
        </r>
        <r>
          <rPr>
            <sz val="9"/>
            <color indexed="81"/>
            <rFont val="Tahoma"/>
            <family val="2"/>
          </rPr>
          <t>_(</t>
        </r>
        <r>
          <rPr>
            <sz val="9"/>
            <color indexed="81"/>
            <rFont val="돋움"/>
            <family val="3"/>
            <charset val="129"/>
          </rPr>
          <t>국내</t>
        </r>
        <r>
          <rPr>
            <sz val="9"/>
            <color indexed="81"/>
            <rFont val="Tahoma"/>
            <family val="2"/>
          </rPr>
          <t xml:space="preserve">) 4DPLEX </t>
        </r>
        <r>
          <rPr>
            <sz val="9"/>
            <color indexed="81"/>
            <rFont val="돋움"/>
            <family val="3"/>
            <charset val="129"/>
          </rPr>
          <t>헤드라인에</t>
        </r>
        <r>
          <rPr>
            <sz val="9"/>
            <color indexed="81"/>
            <rFont val="Tahoma"/>
            <family val="2"/>
          </rPr>
          <t xml:space="preserve"> </t>
        </r>
        <r>
          <rPr>
            <sz val="9"/>
            <color indexed="81"/>
            <rFont val="돋움"/>
            <family val="3"/>
            <charset val="129"/>
          </rPr>
          <t xml:space="preserve">기입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tc={7AD513D3-F8BD-43A1-AE67-8927CD519D81}</author>
    <author>tc={815CEFB1-308F-46A3-8830-63222ECF1FE6}</author>
    <author>Nguyen Thi Thanh Thao</author>
    <author>Phung Bich Thao</author>
  </authors>
  <commentList>
    <comment ref="U63" authorId="0" shapeId="0" xr:uid="{7AD513D3-F8BD-43A1-AE67-8927CD519D81}">
      <text>
        <t>[스레드 댓글]
사용 중인 버전의 Excel에서 이 스레드 댓글을 읽을 수 있지만 파일을 이후 버전의 Excel에서 열면 편집 내용이 모두 제거됩니다. 자세한 정보: https://go.microsoft.com/fwlink/?linkid=870924.
댓글:
    Vietnam: 
영문-국문 해석 차이때문에 혼동이 있을 수 있으나, 베트남에서 제한적인 조건에 의해 지급하는 퇴직시 지급하는 특수적인 금액은 한국에서 통용되는 퇴직금과 전혀 다른 성질의 내용입니다.
오해없으시기 바라며, 광의의 범주에서 퇴직시 지원하는 혜택으로 이해하시기 바랍니다.
답글:
    한국과 동일한 형태의 퇴직금은 없음</t>
      </text>
    </comment>
    <comment ref="U67" authorId="1" shapeId="0" xr:uid="{815CEFB1-308F-46A3-8830-63222ECF1FE6}">
      <text>
        <t>[스레드 댓글]
사용 중인 버전의 Excel에서 이 스레드 댓글을 읽을 수 있지만 파일을 이후 버전의 Excel에서 열면 편집 내용이 모두 제거됩니다. 자세한 정보: https://go.microsoft.com/fwlink/?linkid=870924.
댓글:
    23년 별도 지원정책 없음</t>
      </text>
    </comment>
    <comment ref="J206" authorId="2" shapeId="0" xr:uid="{F3C41F23-1CBA-4BB5-B5EB-5A93AAC93B95}">
      <text>
        <r>
          <rPr>
            <sz val="9"/>
            <color indexed="81"/>
            <rFont val="Tahoma"/>
            <family val="2"/>
          </rPr>
          <t>Số lượng nhân viên trong GHR report T12 của năm (HĐ vô thời hạn)
FT</t>
        </r>
      </text>
    </comment>
    <comment ref="J207" authorId="2" shapeId="0" xr:uid="{4F7E07B6-99F1-4BF4-BE8F-AC490DCFF7CB}">
      <text>
        <r>
          <rPr>
            <sz val="9"/>
            <color indexed="81"/>
            <rFont val="Tahoma"/>
            <family val="2"/>
          </rPr>
          <t>Số lượng nhân viên trong GHR report T12 của năm (HĐ có thời hạn)
FT &amp; PT
Definite contract (FT &amp; PT)</t>
        </r>
      </text>
    </comment>
    <comment ref="J211" authorId="2" shapeId="0" xr:uid="{88F203D9-C1B6-42C7-B68E-9EB228C6F285}">
      <text>
        <r>
          <rPr>
            <b/>
            <sz val="9"/>
            <color indexed="81"/>
            <rFont val="Tahoma"/>
            <family val="2"/>
          </rPr>
          <t>Số lượng nhân viên trong GHR report T12 của năm (HĐ vô thời hạn)
FT</t>
        </r>
        <r>
          <rPr>
            <sz val="9"/>
            <color indexed="81"/>
            <rFont val="Tahoma"/>
            <family val="2"/>
          </rPr>
          <t xml:space="preserve">
</t>
        </r>
      </text>
    </comment>
    <comment ref="J212" authorId="2" shapeId="0" xr:uid="{1F9BBA88-FD05-40AF-AE90-1A11E7D9B8CE}">
      <text>
        <r>
          <rPr>
            <b/>
            <sz val="9"/>
            <color indexed="81"/>
            <rFont val="Tahoma"/>
            <family val="2"/>
          </rPr>
          <t>Số lượng nhân viên trong GHR report T12 của năm (HĐ có thời hạn)
FT &amp; PT</t>
        </r>
      </text>
    </comment>
    <comment ref="J213" authorId="2" shapeId="0" xr:uid="{DCBA8B37-BBC7-4FFE-801E-3B5367415A6F}">
      <text>
        <r>
          <rPr>
            <b/>
            <sz val="9"/>
            <color indexed="81"/>
            <rFont val="Tahoma"/>
            <family val="2"/>
          </rPr>
          <t xml:space="preserve">Số lượng nhân viên trong GHR report T12 của năm 
</t>
        </r>
        <r>
          <rPr>
            <sz val="9"/>
            <color indexed="81"/>
            <rFont val="Tahoma"/>
            <family val="2"/>
          </rPr>
          <t xml:space="preserve">
</t>
        </r>
      </text>
    </comment>
    <comment ref="J214" authorId="2" shapeId="0" xr:uid="{CF961400-4C45-4709-8C57-E5DE99B1EC32}">
      <text>
        <r>
          <rPr>
            <b/>
            <sz val="9"/>
            <color indexed="81"/>
            <rFont val="Tahoma"/>
            <family val="2"/>
          </rPr>
          <t>Số lượng nhân viên trong GHR report T12 của năm (HĐ vô thời hạn)
FT</t>
        </r>
        <r>
          <rPr>
            <sz val="9"/>
            <color indexed="81"/>
            <rFont val="Tahoma"/>
            <family val="2"/>
          </rPr>
          <t xml:space="preserve">
</t>
        </r>
      </text>
    </comment>
    <comment ref="J225" authorId="2" shapeId="0" xr:uid="{1BE799E2-7652-403C-8A36-537CBA72337C}">
      <text>
        <r>
          <rPr>
            <b/>
            <sz val="9"/>
            <color indexed="81"/>
            <rFont val="Tahoma"/>
            <family val="2"/>
          </rPr>
          <t>Nguyen Thi Thanh Thao:</t>
        </r>
        <r>
          <rPr>
            <sz val="9"/>
            <color indexed="81"/>
            <rFont val="Tahoma"/>
            <family val="2"/>
          </rPr>
          <t xml:space="preserve">
Age at Year to calculation</t>
        </r>
      </text>
    </comment>
    <comment ref="Q226" authorId="2" shapeId="0" xr:uid="{12C9C591-EDC1-4D26-B96A-26B4B7EEAA2F}">
      <text>
        <r>
          <rPr>
            <b/>
            <sz val="9"/>
            <color indexed="81"/>
            <rFont val="Tahoma"/>
            <family val="2"/>
          </rPr>
          <t>Nguyen Thi Thanh Thao:</t>
        </r>
        <r>
          <rPr>
            <sz val="9"/>
            <color indexed="81"/>
            <rFont val="Tahoma"/>
            <family val="2"/>
          </rPr>
          <t xml:space="preserve">
Thời điểm tuổi ở năm 2021</t>
        </r>
      </text>
    </comment>
    <comment ref="J229" authorId="2" shapeId="0" xr:uid="{DB22CE52-3CC0-48B3-9D92-541B0F0F7448}">
      <text>
        <r>
          <rPr>
            <b/>
            <sz val="9"/>
            <color indexed="81"/>
            <rFont val="Tahoma"/>
            <family val="2"/>
          </rPr>
          <t>Số lượng nhân viên người Việt</t>
        </r>
        <r>
          <rPr>
            <sz val="9"/>
            <color indexed="81"/>
            <rFont val="Tahoma"/>
            <family val="2"/>
          </rPr>
          <t xml:space="preserve">
</t>
        </r>
      </text>
    </comment>
    <comment ref="R229" authorId="2" shapeId="0" xr:uid="{99183FD1-6222-495F-9046-8E3B4573BB80}">
      <text>
        <r>
          <rPr>
            <b/>
            <sz val="9"/>
            <color indexed="81"/>
            <rFont val="Tahoma"/>
            <family val="2"/>
          </rPr>
          <t>Số lượng nhân viên người Hàn</t>
        </r>
        <r>
          <rPr>
            <sz val="9"/>
            <color indexed="81"/>
            <rFont val="Tahoma"/>
            <family val="2"/>
          </rPr>
          <t xml:space="preserve">
</t>
        </r>
      </text>
    </comment>
    <comment ref="T229" authorId="2" shapeId="0" xr:uid="{495BBCFD-7CE7-4033-A1CE-8C82E2D24452}">
      <text>
        <r>
          <rPr>
            <b/>
            <sz val="9"/>
            <color indexed="81"/>
            <rFont val="Tahoma"/>
            <family val="2"/>
          </rPr>
          <t>Số lượng nhân viên người Hàn</t>
        </r>
        <r>
          <rPr>
            <sz val="9"/>
            <color indexed="81"/>
            <rFont val="Tahoma"/>
            <family val="2"/>
          </rPr>
          <t xml:space="preserve">
</t>
        </r>
      </text>
    </comment>
    <comment ref="J235" authorId="2" shapeId="0" xr:uid="{2F933B44-0496-434C-B1C5-1BE423B1E910}">
      <text>
        <r>
          <rPr>
            <b/>
            <sz val="9"/>
            <color indexed="81"/>
            <rFont val="Tahoma"/>
            <family val="2"/>
          </rPr>
          <t>Nguyen Thi Thanh Thao:</t>
        </r>
        <r>
          <rPr>
            <sz val="9"/>
            <color indexed="81"/>
            <rFont val="Tahoma"/>
            <family val="2"/>
          </rPr>
          <t xml:space="preserve">
Manager/ Full time</t>
        </r>
      </text>
    </comment>
    <comment ref="J236" authorId="2" shapeId="0" xr:uid="{656101C9-7E09-4CF6-9293-C0C6C04EDF35}">
      <text>
        <r>
          <rPr>
            <b/>
            <sz val="9"/>
            <color indexed="81"/>
            <rFont val="Tahoma"/>
            <family val="2"/>
          </rPr>
          <t>Nguyen Thi Thanh Thao:</t>
        </r>
        <r>
          <rPr>
            <sz val="9"/>
            <color indexed="81"/>
            <rFont val="Tahoma"/>
            <family val="2"/>
          </rPr>
          <t xml:space="preserve">
Manager/ Total Employee</t>
        </r>
      </text>
    </comment>
    <comment ref="Q239" authorId="3" shapeId="0" xr:uid="{3EC7BD83-8A2E-44CE-914A-B2BCA8698A13}">
      <text>
        <r>
          <rPr>
            <sz val="9"/>
            <color indexed="81"/>
            <rFont val="Tahoma"/>
            <family val="2"/>
          </rPr>
          <t xml:space="preserve">Exept: Mr.Sung Il
</t>
        </r>
      </text>
    </comment>
    <comment ref="J241" authorId="2" shapeId="0" xr:uid="{AF629DC4-9ECF-4B28-8DA7-E4BE90A2B783}">
      <text>
        <r>
          <rPr>
            <b/>
            <sz val="9"/>
            <color indexed="81"/>
            <rFont val="Tahoma"/>
            <family val="2"/>
          </rPr>
          <t>Số lượng nhân viên tuyển mới trong năm (FT &amp;PT)</t>
        </r>
        <r>
          <rPr>
            <sz val="9"/>
            <color indexed="81"/>
            <rFont val="Tahoma"/>
            <family val="2"/>
          </rPr>
          <t xml:space="preserve">
</t>
        </r>
      </text>
    </comment>
    <comment ref="J245" authorId="2" shapeId="0" xr:uid="{96402C34-C9AA-4A45-ADC8-5445F40753E5}">
      <text>
        <r>
          <rPr>
            <b/>
            <sz val="9"/>
            <color indexed="81"/>
            <rFont val="Tahoma"/>
            <family val="2"/>
          </rPr>
          <t>Nguyen Thi Thanh Thao:</t>
        </r>
        <r>
          <rPr>
            <sz val="9"/>
            <color indexed="81"/>
            <rFont val="Tahoma"/>
            <family val="2"/>
          </rPr>
          <t xml:space="preserve">
Age at year to calculation</t>
        </r>
      </text>
    </comment>
    <comment ref="J251" authorId="2" shapeId="0" xr:uid="{B43B26DD-C4E3-4170-96F8-E4A63C50FAE1}">
      <text>
        <r>
          <rPr>
            <sz val="9"/>
            <color indexed="81"/>
            <rFont val="Tahoma"/>
            <family val="2"/>
          </rPr>
          <t xml:space="preserve">Số lượng nhân viên nghỉ trong năm - Voluntary
</t>
        </r>
      </text>
    </comment>
    <comment ref="J252" authorId="2" shapeId="0" xr:uid="{84E871B9-1743-49C4-9239-2D04BF1FA11E}">
      <text>
        <r>
          <rPr>
            <sz val="9"/>
            <color indexed="81"/>
            <rFont val="Tahoma"/>
            <family val="2"/>
          </rPr>
          <t xml:space="preserve">Số lượng nhân viên nghỉ trong năm - Involuntary
</t>
        </r>
      </text>
    </comment>
    <comment ref="J275" authorId="2" shapeId="0" xr:uid="{76A087FF-10F3-4EF5-978A-57CBD20B1B14}">
      <text>
        <r>
          <rPr>
            <b/>
            <sz val="9"/>
            <color indexed="81"/>
            <rFont val="Tahoma"/>
            <family val="2"/>
          </rPr>
          <t>'Trade Union member/ Full time employees</t>
        </r>
        <r>
          <rPr>
            <sz val="9"/>
            <color indexed="81"/>
            <rFont val="Tahoma"/>
            <family val="2"/>
          </rPr>
          <t xml:space="preserve">
</t>
        </r>
      </text>
    </comment>
    <comment ref="J276" authorId="2" shapeId="0" xr:uid="{70BCE71C-5ED4-4014-A747-17B1008A9C21}">
      <text>
        <r>
          <rPr>
            <b/>
            <sz val="9"/>
            <color indexed="81"/>
            <rFont val="Tahoma"/>
            <family val="2"/>
          </rPr>
          <t>Nguyen Thi Thanh Thao:</t>
        </r>
        <r>
          <rPr>
            <sz val="9"/>
            <color indexed="81"/>
            <rFont val="Tahoma"/>
            <family val="2"/>
          </rPr>
          <t xml:space="preserve">
Số lượng thành viên công đoàn T12 mỗi năm</t>
        </r>
      </text>
    </comment>
    <comment ref="J280" authorId="2" shapeId="0" xr:uid="{50F01E17-7F2A-4053-90B1-6C780ACC9D2A}">
      <text>
        <r>
          <rPr>
            <b/>
            <sz val="9"/>
            <color indexed="81"/>
            <rFont val="Tahoma"/>
            <family val="2"/>
          </rPr>
          <t>Số giờ training trong năm</t>
        </r>
        <r>
          <rPr>
            <sz val="9"/>
            <color indexed="81"/>
            <rFont val="Tahoma"/>
            <family val="2"/>
          </rPr>
          <t xml:space="preserve">
</t>
        </r>
      </text>
    </comment>
    <comment ref="J281" authorId="2" shapeId="0" xr:uid="{AA34E6A1-24D3-4A17-AECF-2F745AB78D46}">
      <text>
        <r>
          <rPr>
            <b/>
            <sz val="9"/>
            <color indexed="81"/>
            <rFont val="Tahoma"/>
            <family val="2"/>
          </rPr>
          <t>Số lượng nhân viên Fulll-time (GHR)</t>
        </r>
      </text>
    </comment>
    <comment ref="J283" authorId="2" shapeId="0" xr:uid="{E6FFB47B-2BD4-4E61-9C12-CA909B2CDEBC}">
      <text>
        <r>
          <rPr>
            <b/>
            <sz val="9"/>
            <color indexed="81"/>
            <rFont val="Tahoma"/>
            <family val="2"/>
          </rPr>
          <t>Chi phí training (Bao gồm chi phí travel của nhân viên ở tỉnh thành khác) &amp; Chi phí đi lại của giảng viên</t>
        </r>
      </text>
    </comment>
    <comment ref="J286" authorId="2" shapeId="0" xr:uid="{81774E79-C6F1-4319-B8F1-35C294C58535}">
      <text>
        <r>
          <rPr>
            <b/>
            <sz val="9"/>
            <color indexed="81"/>
            <rFont val="Tahoma"/>
            <family val="2"/>
          </rPr>
          <t>Số lượng nhân viên tham gia engagement survey)</t>
        </r>
      </text>
    </comment>
    <comment ref="J297" authorId="2" shapeId="0" xr:uid="{289B4FC1-5A61-4E56-A0E8-B0CA2A619AD7}">
      <text>
        <r>
          <rPr>
            <b/>
            <sz val="9"/>
            <color indexed="81"/>
            <rFont val="Tahoma"/>
            <family val="2"/>
          </rPr>
          <t>Nguyen Thi Thanh Thao:</t>
        </r>
        <r>
          <rPr>
            <sz val="9"/>
            <color indexed="81"/>
            <rFont val="Tahoma"/>
            <family val="2"/>
          </rPr>
          <t xml:space="preserve">
Lương FT Female/ Male (Gross salary - GHR T12)</t>
        </r>
      </text>
    </comment>
    <comment ref="J309" authorId="2" shapeId="0" xr:uid="{72DA3BA3-306F-46E6-A121-927C2ADD9D1B}">
      <text>
        <r>
          <rPr>
            <b/>
            <sz val="9"/>
            <color indexed="81"/>
            <rFont val="Tahoma"/>
            <family val="2"/>
          </rPr>
          <t>Nam nghỉ chế độ thai sản</t>
        </r>
        <r>
          <rPr>
            <sz val="9"/>
            <color indexed="81"/>
            <rFont val="Tahoma"/>
            <family val="2"/>
          </rPr>
          <t xml:space="preserve">
</t>
        </r>
      </text>
    </comment>
    <comment ref="J310" authorId="2" shapeId="0" xr:uid="{815AFE33-F266-48CD-B9D4-780A36315261}">
      <text>
        <r>
          <rPr>
            <b/>
            <sz val="9"/>
            <color indexed="81"/>
            <rFont val="Tahoma"/>
            <family val="2"/>
          </rPr>
          <t>Nữ nghỉ chế độ thai sản</t>
        </r>
        <r>
          <rPr>
            <sz val="9"/>
            <color indexed="81"/>
            <rFont val="Tahoma"/>
            <family val="2"/>
          </rPr>
          <t xml:space="preserve">
</t>
        </r>
      </text>
    </comment>
    <comment ref="J315" authorId="2" shapeId="0" xr:uid="{6EBA09DD-A545-4885-9485-24AA1AF1D679}">
      <text>
        <r>
          <rPr>
            <b/>
            <sz val="9"/>
            <color indexed="81"/>
            <rFont val="Tahoma"/>
            <family val="2"/>
          </rPr>
          <t xml:space="preserve">Số lượng nhân viên đánh giá </t>
        </r>
        <r>
          <rPr>
            <sz val="9"/>
            <color indexed="81"/>
            <rFont val="Tahoma"/>
            <family val="2"/>
          </rPr>
          <t>PMDS hằng năm</t>
        </r>
      </text>
    </comment>
    <comment ref="J319" authorId="2" shapeId="0" xr:uid="{759206FD-6C06-4A3D-B85D-17FC3B735316}">
      <text>
        <r>
          <rPr>
            <b/>
            <sz val="9"/>
            <color indexed="81"/>
            <rFont val="Tahoma"/>
            <family val="2"/>
          </rPr>
          <t>Thu nhập bình quân của nhân viên (Lương, T13, Thưởng) - Không tính CEO</t>
        </r>
        <r>
          <rPr>
            <sz val="9"/>
            <color indexed="81"/>
            <rFont val="Tahoma"/>
            <family val="2"/>
          </rPr>
          <t xml:space="preserve">
= Tổng chi phí (lương, T13, thưởng - Không tính CEO)/ Số lượng nhân viên Full Time</t>
        </r>
      </text>
    </comment>
    <comment ref="J320" authorId="2" shapeId="0" xr:uid="{F987199C-1C3F-4745-AF3D-C7103DAFF0AE}">
      <text>
        <r>
          <rPr>
            <b/>
            <sz val="9"/>
            <color indexed="81"/>
            <rFont val="Tahoma"/>
            <family val="2"/>
          </rPr>
          <t xml:space="preserve">Thu nhập bình quân của nhân viên (Lương, T13, Thưởng) của CEO
</t>
        </r>
        <r>
          <rPr>
            <sz val="9"/>
            <color indexed="81"/>
            <rFont val="Tahoma"/>
            <family val="2"/>
          </rPr>
          <t xml:space="preserve">
</t>
        </r>
      </text>
    </comment>
    <comment ref="J324" authorId="2" shapeId="0" xr:uid="{E8952801-E7BF-43E2-950E-E97F809E8131}">
      <text>
        <r>
          <rPr>
            <b/>
            <sz val="9"/>
            <color indexed="81"/>
            <rFont val="Tahoma"/>
            <family val="2"/>
          </rPr>
          <t>Lương của VG2-S1 (Entry Level - Site) / Minimum wage của năm</t>
        </r>
        <r>
          <rPr>
            <sz val="9"/>
            <color indexed="81"/>
            <rFont val="Tahoma"/>
            <family val="2"/>
          </rPr>
          <t xml:space="preserve">
</t>
        </r>
      </text>
    </comment>
    <comment ref="J352" authorId="2" shapeId="0" xr:uid="{EECDAC63-59EC-4A85-830D-37A94CA52DE9}">
      <text>
        <r>
          <rPr>
            <b/>
            <sz val="9"/>
            <color indexed="81"/>
            <rFont val="Tahoma"/>
            <family val="2"/>
          </rPr>
          <t>Nguyen Thi Thanh Thao:</t>
        </r>
        <r>
          <rPr>
            <sz val="9"/>
            <color indexed="81"/>
            <rFont val="Tahoma"/>
            <family val="2"/>
          </rPr>
          <t xml:space="preserve">
Check với Ops</t>
        </r>
      </text>
    </comment>
    <comment ref="J353" authorId="2" shapeId="0" xr:uid="{B349B84F-28B2-4BE4-9281-EF9606E5E9AE}">
      <text>
        <r>
          <rPr>
            <b/>
            <sz val="9"/>
            <color indexed="81"/>
            <rFont val="Tahoma"/>
            <family val="2"/>
          </rPr>
          <t xml:space="preserve">Số lượng nhân viên Full-time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tc={17236C59-7BAD-4590-B108-D5833DE2658E}</author>
  </authors>
  <commentList>
    <comment ref="C324" authorId="0" shapeId="0" xr:uid="{17236C59-7BAD-4590-B108-D5833DE2658E}">
      <text>
        <t>[스레드 댓글]
사용 중인 버전의 Excel에서 이 스레드 댓글을 읽을 수 있지만 파일을 이후 버전의 Excel에서 열면 편집 내용이 모두 제거됩니다. 자세한 정보: https://go.microsoft.com/fwlink/?linkid=870924.
댓글:
    지속가능성 보고서: 기밀(정책상 미공개)</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<sst xmlns="http://schemas.openxmlformats.org/spreadsheetml/2006/main" count="54613" uniqueCount="3793">
  <si>
    <t>보고범위: 연결기준</t>
    <phoneticPr fontId="3" type="noConversion"/>
  </si>
  <si>
    <t>구분</t>
    <phoneticPr fontId="3" type="noConversion"/>
  </si>
  <si>
    <t>구분(영문명)</t>
    <phoneticPr fontId="3" type="noConversion"/>
  </si>
  <si>
    <t>Data</t>
    <phoneticPr fontId="3" type="noConversion"/>
  </si>
  <si>
    <t>공개결정</t>
    <phoneticPr fontId="3" type="noConversion"/>
  </si>
  <si>
    <t>기타</t>
    <phoneticPr fontId="3" type="noConversion"/>
  </si>
  <si>
    <t>산출 방식</t>
    <phoneticPr fontId="3" type="noConversion"/>
  </si>
  <si>
    <t>산출 방식 (영문)</t>
    <phoneticPr fontId="3" type="noConversion"/>
  </si>
  <si>
    <t>담당(취합)부서</t>
    <phoneticPr fontId="3" type="noConversion"/>
  </si>
  <si>
    <t>데이터 출처 (별도 파일 첨부해주실 경우 파일명)</t>
    <phoneticPr fontId="3" type="noConversion"/>
  </si>
  <si>
    <t>기타
- 기존 데이터 수정시 수정/미입력 사유 또는 비고란</t>
    <phoneticPr fontId="3" type="noConversion"/>
  </si>
  <si>
    <t>타 지표와의 연계성</t>
    <phoneticPr fontId="3" type="noConversion"/>
  </si>
  <si>
    <t>대분류</t>
    <phoneticPr fontId="3" type="noConversion"/>
  </si>
  <si>
    <t>중분류</t>
    <phoneticPr fontId="3" type="noConversion"/>
  </si>
  <si>
    <t>소분류</t>
    <phoneticPr fontId="3" type="noConversion"/>
  </si>
  <si>
    <t>단위(Unit)</t>
    <phoneticPr fontId="3" type="noConversion"/>
  </si>
  <si>
    <t>Issue</t>
    <phoneticPr fontId="3" type="noConversion"/>
  </si>
  <si>
    <t>Unit</t>
    <phoneticPr fontId="3" type="noConversion"/>
  </si>
  <si>
    <t>2021년</t>
    <phoneticPr fontId="3" type="noConversion"/>
  </si>
  <si>
    <t>비고</t>
    <phoneticPr fontId="3" type="noConversion"/>
  </si>
  <si>
    <t>2022년</t>
    <phoneticPr fontId="3" type="noConversion"/>
  </si>
  <si>
    <t>2023년</t>
    <phoneticPr fontId="3" type="noConversion"/>
  </si>
  <si>
    <t>가이드북 기준 제외</t>
    <phoneticPr fontId="3" type="noConversion"/>
  </si>
  <si>
    <t>CJ 그룹지표</t>
    <phoneticPr fontId="18" type="noConversion"/>
  </si>
  <si>
    <t>GRI</t>
    <phoneticPr fontId="18" type="noConversion"/>
  </si>
  <si>
    <t>SASB</t>
    <phoneticPr fontId="18" type="noConversion"/>
  </si>
  <si>
    <t>재무성과</t>
    <phoneticPr fontId="3" type="noConversion"/>
  </si>
  <si>
    <t>Financial Performance</t>
    <phoneticPr fontId="3" type="noConversion"/>
  </si>
  <si>
    <t>제외 여부</t>
  </si>
  <si>
    <t>연결 재무상태표</t>
    <phoneticPr fontId="3" type="noConversion"/>
  </si>
  <si>
    <t>Consolidated Balance Sheet</t>
    <phoneticPr fontId="3" type="noConversion"/>
  </si>
  <si>
    <t>O</t>
    <phoneticPr fontId="3" type="noConversion"/>
  </si>
  <si>
    <t>유동자산</t>
    <phoneticPr fontId="18" type="noConversion"/>
  </si>
  <si>
    <t>백만원</t>
    <phoneticPr fontId="3" type="noConversion"/>
  </si>
  <si>
    <t>Current assets</t>
    <phoneticPr fontId="3" type="noConversion"/>
  </si>
  <si>
    <t>KRW 1M</t>
  </si>
  <si>
    <t>O</t>
  </si>
  <si>
    <t>재무팀</t>
    <phoneticPr fontId="3" type="noConversion"/>
  </si>
  <si>
    <t>비유동자산</t>
    <phoneticPr fontId="18" type="noConversion"/>
  </si>
  <si>
    <t xml:space="preserve">Non-current assets </t>
    <phoneticPr fontId="3" type="noConversion"/>
  </si>
  <si>
    <t>자산총계</t>
    <phoneticPr fontId="18" type="noConversion"/>
  </si>
  <si>
    <t>Total assets</t>
    <phoneticPr fontId="3" type="noConversion"/>
  </si>
  <si>
    <t>GRI 201-1</t>
    <phoneticPr fontId="3" type="noConversion"/>
  </si>
  <si>
    <t>유동부채</t>
    <phoneticPr fontId="18" type="noConversion"/>
  </si>
  <si>
    <t>Current liabilities</t>
    <phoneticPr fontId="3" type="noConversion"/>
  </si>
  <si>
    <t>비유동부채</t>
    <phoneticPr fontId="18" type="noConversion"/>
  </si>
  <si>
    <t xml:space="preserve">Non-current liabilities                                                                                                                                                                                                                                                                                                                                      </t>
    <phoneticPr fontId="3" type="noConversion"/>
  </si>
  <si>
    <t>부채총계</t>
    <phoneticPr fontId="18" type="noConversion"/>
  </si>
  <si>
    <t>Total liabilities</t>
    <phoneticPr fontId="3" type="noConversion"/>
  </si>
  <si>
    <t>지배기업의 소유지분</t>
    <phoneticPr fontId="18" type="noConversion"/>
  </si>
  <si>
    <t>Equity attributable to owners of the parent company
the Parent Company</t>
    <phoneticPr fontId="3" type="noConversion"/>
  </si>
  <si>
    <t>자본총계</t>
    <phoneticPr fontId="18" type="noConversion"/>
  </si>
  <si>
    <t>Total stockholders’ equity</t>
    <phoneticPr fontId="3" type="noConversion"/>
  </si>
  <si>
    <t>자본과 부채 총계</t>
    <phoneticPr fontId="18" type="noConversion"/>
  </si>
  <si>
    <t>Total stockholders’ equity and liabilities</t>
    <phoneticPr fontId="3" type="noConversion"/>
  </si>
  <si>
    <t>연결 포괄손익계산서</t>
    <phoneticPr fontId="3" type="noConversion"/>
  </si>
  <si>
    <t>Consolidated Statement of Comprehensive Income</t>
    <phoneticPr fontId="3" type="noConversion"/>
  </si>
  <si>
    <t>영업수익</t>
  </si>
  <si>
    <t>Revenue</t>
    <phoneticPr fontId="3" type="noConversion"/>
  </si>
  <si>
    <t>영업비용</t>
  </si>
  <si>
    <t>Cost of goods sold</t>
    <phoneticPr fontId="3" type="noConversion"/>
  </si>
  <si>
    <t>영업이익</t>
    <phoneticPr fontId="3" type="noConversion"/>
  </si>
  <si>
    <t>Operating income</t>
    <phoneticPr fontId="3" type="noConversion"/>
  </si>
  <si>
    <t>금융수익</t>
    <phoneticPr fontId="18" type="noConversion"/>
  </si>
  <si>
    <t>Finance income</t>
    <phoneticPr fontId="3" type="noConversion"/>
  </si>
  <si>
    <t>금융원가</t>
    <phoneticPr fontId="18" type="noConversion"/>
  </si>
  <si>
    <t>Financial expenses</t>
    <phoneticPr fontId="3" type="noConversion"/>
  </si>
  <si>
    <t>기타이익(손실)</t>
    <phoneticPr fontId="18" type="noConversion"/>
  </si>
  <si>
    <t>Other income (loss)</t>
    <phoneticPr fontId="3" type="noConversion"/>
  </si>
  <si>
    <t>공동기업 및 관계기업 손익</t>
    <phoneticPr fontId="18" type="noConversion"/>
  </si>
  <si>
    <t>Share of profit of joint ventures and
associates</t>
    <phoneticPr fontId="3" type="noConversion"/>
  </si>
  <si>
    <t>법인세비용차감전순이익</t>
    <phoneticPr fontId="18" type="noConversion"/>
  </si>
  <si>
    <t>Profit before income tax</t>
    <phoneticPr fontId="3" type="noConversion"/>
  </si>
  <si>
    <t>법인세수익</t>
    <phoneticPr fontId="18" type="noConversion"/>
  </si>
  <si>
    <t>Income tax expense</t>
    <phoneticPr fontId="3" type="noConversion"/>
  </si>
  <si>
    <t>당기순이익</t>
    <phoneticPr fontId="3" type="noConversion"/>
  </si>
  <si>
    <t>Net profit for the period</t>
    <phoneticPr fontId="3" type="noConversion"/>
  </si>
  <si>
    <t>기타포괄손익</t>
    <phoneticPr fontId="18" type="noConversion"/>
  </si>
  <si>
    <t>Other comprehensive income</t>
    <phoneticPr fontId="3" type="noConversion"/>
  </si>
  <si>
    <t>총포괄손익</t>
    <phoneticPr fontId="18" type="noConversion"/>
  </si>
  <si>
    <t>Total comprehensive income</t>
    <phoneticPr fontId="3" type="noConversion"/>
  </si>
  <si>
    <t>재무상태표</t>
    <phoneticPr fontId="3" type="noConversion"/>
  </si>
  <si>
    <t>Balance Sheet</t>
    <phoneticPr fontId="3" type="noConversion"/>
  </si>
  <si>
    <t>Current assets</t>
    <phoneticPr fontId="18" type="noConversion"/>
  </si>
  <si>
    <t>Non-current assets</t>
    <phoneticPr fontId="18" type="noConversion"/>
  </si>
  <si>
    <t>Total assets</t>
    <phoneticPr fontId="18" type="noConversion"/>
  </si>
  <si>
    <t>Current liabilities</t>
    <phoneticPr fontId="18" type="noConversion"/>
  </si>
  <si>
    <t>Non-current liabilities</t>
    <phoneticPr fontId="18" type="noConversion"/>
  </si>
  <si>
    <t>Total liabilities</t>
    <phoneticPr fontId="18" type="noConversion"/>
  </si>
  <si>
    <t>Total stockholders’ equity and liabilities</t>
    <phoneticPr fontId="18" type="noConversion"/>
  </si>
  <si>
    <t>Total liabilities and equity</t>
    <phoneticPr fontId="18" type="noConversion"/>
  </si>
  <si>
    <t>포괄손익계산서</t>
    <phoneticPr fontId="3" type="noConversion"/>
  </si>
  <si>
    <t>영업수익</t>
    <phoneticPr fontId="18" type="noConversion"/>
  </si>
  <si>
    <t>Revenue</t>
    <phoneticPr fontId="18" type="noConversion"/>
  </si>
  <si>
    <t>영업비용</t>
    <phoneticPr fontId="18" type="noConversion"/>
  </si>
  <si>
    <t>Cost of goods sold</t>
    <phoneticPr fontId="18" type="noConversion"/>
  </si>
  <si>
    <t>영업이익</t>
    <phoneticPr fontId="18" type="noConversion"/>
  </si>
  <si>
    <t xml:space="preserve">Operating income </t>
    <phoneticPr fontId="18" type="noConversion"/>
  </si>
  <si>
    <t>Other income (loss)</t>
    <phoneticPr fontId="18" type="noConversion"/>
  </si>
  <si>
    <t>Finance income</t>
    <phoneticPr fontId="18" type="noConversion"/>
  </si>
  <si>
    <t>Financial expenses</t>
    <phoneticPr fontId="18" type="noConversion"/>
  </si>
  <si>
    <t>Profit before income tax</t>
    <phoneticPr fontId="18" type="noConversion"/>
  </si>
  <si>
    <t>법인세비용</t>
    <phoneticPr fontId="18" type="noConversion"/>
  </si>
  <si>
    <t>Income tax expense</t>
    <phoneticPr fontId="18" type="noConversion"/>
  </si>
  <si>
    <t>당기순이익</t>
    <phoneticPr fontId="18" type="noConversion"/>
  </si>
  <si>
    <t>Net profit for the period</t>
    <phoneticPr fontId="18" type="noConversion"/>
  </si>
  <si>
    <t>Other comprehensive income</t>
    <phoneticPr fontId="18" type="noConversion"/>
  </si>
  <si>
    <t>Total comprehensive income</t>
    <phoneticPr fontId="18" type="noConversion"/>
  </si>
  <si>
    <t>(262,325)</t>
    <phoneticPr fontId="3" type="noConversion"/>
  </si>
  <si>
    <t>(119,117)</t>
    <phoneticPr fontId="3" type="noConversion"/>
  </si>
  <si>
    <t>(154,192)</t>
    <phoneticPr fontId="3" type="noConversion"/>
  </si>
  <si>
    <t>[작성 가이드]</t>
    <phoneticPr fontId="3" type="noConversion"/>
  </si>
  <si>
    <t>- 최종 작성완료한 Template은 암호화해제하여 회신 부탁 드립니다.</t>
    <phoneticPr fontId="3" type="noConversion"/>
  </si>
  <si>
    <r>
      <t xml:space="preserve">- 금액 입력 시 </t>
    </r>
    <r>
      <rPr>
        <b/>
        <sz val="12"/>
        <color theme="1"/>
        <rFont val="맑은 고딕"/>
        <family val="3"/>
        <charset val="129"/>
        <scheme val="minor"/>
      </rPr>
      <t>단위에 맞게 변환하여</t>
    </r>
    <r>
      <rPr>
        <sz val="12"/>
        <color theme="1"/>
        <rFont val="맑은 고딕"/>
        <family val="3"/>
        <charset val="129"/>
        <scheme val="minor"/>
      </rPr>
      <t xml:space="preserve"> 기입 부탁 드립니다. (셀 서식을 통한 표기 조정 지양)</t>
    </r>
    <phoneticPr fontId="3" type="noConversion"/>
  </si>
  <si>
    <r>
      <t xml:space="preserve">- </t>
    </r>
    <r>
      <rPr>
        <b/>
        <sz val="12"/>
        <color rgb="FFFF0000"/>
        <rFont val="맑은 고딕"/>
        <family val="3"/>
        <charset val="129"/>
        <scheme val="minor"/>
      </rPr>
      <t>빨간색으로 표시된 데이터</t>
    </r>
    <r>
      <rPr>
        <sz val="12"/>
        <color theme="1"/>
        <rFont val="맑은 고딕"/>
        <family val="3"/>
        <charset val="129"/>
        <scheme val="minor"/>
      </rPr>
      <t>는 기입력된 데이터 중</t>
    </r>
    <r>
      <rPr>
        <b/>
        <sz val="12"/>
        <color theme="1"/>
        <rFont val="맑은 고딕"/>
        <family val="3"/>
        <charset val="129"/>
        <scheme val="minor"/>
      </rPr>
      <t xml:space="preserve"> 재확인 요청</t>
    </r>
    <r>
      <rPr>
        <sz val="12"/>
        <color theme="1"/>
        <rFont val="맑은 고딕"/>
        <family val="3"/>
        <charset val="129"/>
        <scheme val="minor"/>
      </rPr>
      <t>드리는 데이터입니다.</t>
    </r>
    <phoneticPr fontId="3" type="noConversion"/>
  </si>
  <si>
    <t>- AT열에 숫자 입력 시 데이터 범위 및 참고사항에 대해 작성해주시면 됩니다</t>
    <phoneticPr fontId="3" type="noConversion"/>
  </si>
  <si>
    <t>데이터 입력 요청란</t>
    <phoneticPr fontId="3" type="noConversion"/>
  </si>
  <si>
    <t>- AU열에 해당하는 지표는 그룹사 공통 미취합 지표로 작성하지 않으셔도 됩니다</t>
    <phoneticPr fontId="3" type="noConversion"/>
  </si>
  <si>
    <t>함수 기입력란으로 별도로 입력하지 않으셔도 됩니다</t>
    <phoneticPr fontId="3" type="noConversion"/>
  </si>
  <si>
    <t>보고범위: CJ CGV(국내), 4DPLEX(국내, 미국, 중국법인), CGV중국, 베트남, 인도네시아, 튀르키예</t>
    <phoneticPr fontId="3" type="noConversion"/>
  </si>
  <si>
    <t>확인필요사항(기록용)</t>
    <phoneticPr fontId="3" type="noConversion"/>
  </si>
  <si>
    <t>확인필요사항(0507)</t>
    <phoneticPr fontId="3" type="noConversion"/>
  </si>
  <si>
    <t>해외법인 제외 항목(지주사 PPT 기준)</t>
    <phoneticPr fontId="3" type="noConversion"/>
  </si>
  <si>
    <t>경제성과</t>
    <phoneticPr fontId="3" type="noConversion"/>
  </si>
  <si>
    <t>확정급여연금제도 의무 및 기타 은퇴지원제도</t>
    <phoneticPr fontId="18" type="noConversion"/>
  </si>
  <si>
    <t>재무팀 / ESG경영팀</t>
    <phoneticPr fontId="3" type="noConversion"/>
  </si>
  <si>
    <t>퇴직급여(연금) 액</t>
    <phoneticPr fontId="3" type="noConversion"/>
  </si>
  <si>
    <t>Pension amount in local currency</t>
    <phoneticPr fontId="3" type="noConversion"/>
  </si>
  <si>
    <t>Local currency</t>
    <phoneticPr fontId="3" type="noConversion"/>
  </si>
  <si>
    <t>연도별 기말 환율 적용한 값임</t>
    <phoneticPr fontId="3" type="noConversion"/>
  </si>
  <si>
    <t>* 당사 및 직원에 의한 급여 기여율 100%</t>
    <phoneticPr fontId="3" type="noConversion"/>
  </si>
  <si>
    <t>Contribution rate for the retirement benefits by the company and employees is 100%</t>
    <phoneticPr fontId="3" type="noConversion"/>
  </si>
  <si>
    <t>GRI 201-3</t>
    <phoneticPr fontId="3" type="noConversion"/>
  </si>
  <si>
    <t>퇴직급여(연금) 액 항목의 경우 현지통화기준으로 취합한 상태라서, 4월 25일에 말씀주신 "현지통화에 각 연도별 평균환율 적용" 여부 확인 요청드립니다</t>
    <phoneticPr fontId="3" type="noConversion"/>
  </si>
  <si>
    <t>(국내) CJ CGV</t>
    <phoneticPr fontId="3" type="noConversion"/>
  </si>
  <si>
    <t>CGV Korea</t>
    <phoneticPr fontId="3" type="noConversion"/>
  </si>
  <si>
    <t>사업보고서 기준, 2022년 수치 오기입으로 정정함(삼일 확인)</t>
    <phoneticPr fontId="3" type="noConversion"/>
  </si>
  <si>
    <t>(통합) 4DPLEX</t>
    <phoneticPr fontId="3" type="noConversion"/>
  </si>
  <si>
    <t xml:space="preserve">4DPLEX(Consolidated) </t>
    <phoneticPr fontId="3" type="noConversion"/>
  </si>
  <si>
    <t>사업보고서 기준</t>
    <phoneticPr fontId="3" type="noConversion"/>
  </si>
  <si>
    <t>(해외) CGV중국</t>
    <phoneticPr fontId="3" type="noConversion"/>
  </si>
  <si>
    <t>CGV China</t>
    <phoneticPr fontId="3" type="noConversion"/>
  </si>
  <si>
    <t>RMB</t>
  </si>
  <si>
    <t>(해외) CGV베트남</t>
    <phoneticPr fontId="3" type="noConversion"/>
  </si>
  <si>
    <t>CGV Vietnam</t>
    <phoneticPr fontId="3" type="noConversion"/>
  </si>
  <si>
    <t>K VND</t>
  </si>
  <si>
    <t>(해외) CGV인도네시아</t>
  </si>
  <si>
    <t>CGV Indonesia</t>
    <phoneticPr fontId="3" type="noConversion"/>
  </si>
  <si>
    <t>IN IDR</t>
  </si>
  <si>
    <t>(해외) CGV튀르키예</t>
  </si>
  <si>
    <t>CGV Türkiye</t>
    <phoneticPr fontId="3" type="noConversion"/>
  </si>
  <si>
    <t>TL</t>
  </si>
  <si>
    <t>직원 범위</t>
    <phoneticPr fontId="3" type="noConversion"/>
  </si>
  <si>
    <t>Scope of employees</t>
    <phoneticPr fontId="3" type="noConversion"/>
  </si>
  <si>
    <t>%</t>
  </si>
  <si>
    <t>X</t>
    <phoneticPr fontId="3" type="noConversion"/>
  </si>
  <si>
    <t>%</t>
    <phoneticPr fontId="3" type="noConversion"/>
  </si>
  <si>
    <t>전일제 &amp; 시간제 근로자</t>
    <phoneticPr fontId="3" type="noConversion"/>
  </si>
  <si>
    <t>살릴 거면 인원수로 표기</t>
    <phoneticPr fontId="3" type="noConversion"/>
  </si>
  <si>
    <t>국내 2021년 퇴직급여 지급 직원 범위 요청 드립니다</t>
    <phoneticPr fontId="3" type="noConversion"/>
  </si>
  <si>
    <t>전일제 근로자</t>
  </si>
  <si>
    <t>전일제 근로자</t>
    <phoneticPr fontId="3" type="noConversion"/>
  </si>
  <si>
    <t>퇴직급여 지급 주체</t>
    <phoneticPr fontId="3" type="noConversion"/>
  </si>
  <si>
    <t>Entity responsible for providing the retirement benefits</t>
    <phoneticPr fontId="3" type="noConversion"/>
  </si>
  <si>
    <t>Company payment rate (%)</t>
  </si>
  <si>
    <t>* 당사 및 직원에 의한 급여 기여율 100%</t>
  </si>
  <si>
    <t>살릴 거면 국내꺼로 표기(회사 100%)</t>
    <phoneticPr fontId="3" type="noConversion"/>
  </si>
  <si>
    <t>회사 전체 지급</t>
    <phoneticPr fontId="3" type="noConversion"/>
  </si>
  <si>
    <t>-</t>
    <phoneticPr fontId="3" type="noConversion"/>
  </si>
  <si>
    <t>-</t>
  </si>
  <si>
    <t>CGV튀르키예 퇴직급여 지급내역(66행)이 있는데 지급주체는 확인이 안되는걸까요? -&gt; 0503 회신: 회람요청시 재확인 예정</t>
  </si>
  <si>
    <t>정부의 재정적 지원</t>
    <phoneticPr fontId="18" type="noConversion"/>
  </si>
  <si>
    <t>Government Financial Support</t>
    <phoneticPr fontId="3" type="noConversion"/>
  </si>
  <si>
    <t>GRI 201-4</t>
    <phoneticPr fontId="3" type="noConversion"/>
  </si>
  <si>
    <t>보조금</t>
    <phoneticPr fontId="3" type="noConversion"/>
  </si>
  <si>
    <t>백만원</t>
  </si>
  <si>
    <t>Subsidies</t>
    <phoneticPr fontId="3" type="noConversion"/>
  </si>
  <si>
    <t>보조금 항목의 경우 현지통화기준으로 취합한 상태라서, 4월 25일에 말씀주신 "현지통화에 각 연도별 평균환율 적용" 여부 확인 요청드립니다</t>
    <phoneticPr fontId="3" type="noConversion"/>
  </si>
  <si>
    <t>미공개</t>
    <phoneticPr fontId="3" type="noConversion"/>
  </si>
  <si>
    <t>'보조금' 내역은 없는지 여쭤봅니다 &gt; 0503회신: 없습니다</t>
    <phoneticPr fontId="3" type="noConversion"/>
  </si>
  <si>
    <t>세금감면 및 세금공제</t>
    <phoneticPr fontId="3" type="noConversion"/>
  </si>
  <si>
    <t>Tax relief and tax credits</t>
    <phoneticPr fontId="3" type="noConversion"/>
  </si>
  <si>
    <t>세금감면 및 세금공제 항목의 경우 현지통화기준으로 취합한 상태라서, 4월 25일에 말씀주신 "현지통화에 각 연도별 평균환율 적용" 여부 확인 요청드립니다</t>
    <phoneticPr fontId="3" type="noConversion"/>
  </si>
  <si>
    <t>기타 재정적 이익</t>
    <phoneticPr fontId="3" type="noConversion"/>
  </si>
  <si>
    <t>Other financial benefits received or receivable from any government for any operation</t>
    <phoneticPr fontId="3" type="noConversion"/>
  </si>
  <si>
    <t>기타 재정적 이익 항목의 경우 현지통화기준으로 취합한 상태라서, 4월 25일에 말씀주신 "현지통화에 각 연도별 평균환율 적용" 여부 확인 요청드립니다</t>
    <phoneticPr fontId="3" type="noConversion"/>
  </si>
  <si>
    <t>'기타 재정적 이익'은 없는지 확인 요청드립니다. -&gt; 0503회신: 없습니다.</t>
    <phoneticPr fontId="3" type="noConversion"/>
  </si>
  <si>
    <t>지역 공급업체에 사용하는 예산 비율</t>
    <phoneticPr fontId="18" type="noConversion"/>
  </si>
  <si>
    <t>Proportion of spending on local suppliers</t>
  </si>
  <si>
    <t>ESG경영팀</t>
    <phoneticPr fontId="3" type="noConversion"/>
  </si>
  <si>
    <t>GRI 204-1</t>
    <phoneticPr fontId="3" type="noConversion"/>
  </si>
  <si>
    <t>자국영화부금/전체영화부금</t>
    <phoneticPr fontId="3" type="noConversion"/>
  </si>
  <si>
    <t>Domestic film rental fee/Total film rental fee</t>
    <phoneticPr fontId="3" type="noConversion"/>
  </si>
  <si>
    <t>V</t>
    <phoneticPr fontId="3" type="noConversion"/>
  </si>
  <si>
    <t>영업활동에 필요한 장비와 자재, 재료 등을 자국 업체 또는 자국 중간 벤더를 통해 조달</t>
    <phoneticPr fontId="3" type="noConversion"/>
  </si>
  <si>
    <t>Procurement of equipment, materials, and supplies required for operations through local vendors or intermediaries</t>
    <phoneticPr fontId="3" type="noConversion"/>
  </si>
  <si>
    <t>DB확인</t>
    <phoneticPr fontId="3" type="noConversion"/>
  </si>
  <si>
    <t>환경성과</t>
    <phoneticPr fontId="3" type="noConversion"/>
  </si>
  <si>
    <t>Environmental Performance</t>
    <phoneticPr fontId="3" type="noConversion"/>
  </si>
  <si>
    <t>온실가스</t>
    <phoneticPr fontId="3" type="noConversion"/>
  </si>
  <si>
    <t>Greenhouse Gas</t>
    <phoneticPr fontId="3" type="noConversion"/>
  </si>
  <si>
    <t>온실가스 직간접 배출량 (Scope 1+2)</t>
  </si>
  <si>
    <t>GHG emissions (Scope 1+2)</t>
    <phoneticPr fontId="3" type="noConversion"/>
  </si>
  <si>
    <t>tCO2eq</t>
    <phoneticPr fontId="3" type="noConversion"/>
  </si>
  <si>
    <t>2022년 온실가스 배출량 및 배출 집약도는 향후 변경 가능. 온실가스 직간접 배출량은 직접 배출량과 간접 배출량의 단순 합산값으로 온실가스 검증성명서의 온실가스 총량과 상이할 수 있음.</t>
  </si>
  <si>
    <t>GHG emissions and emissions intensity for 2022 are subject to change. GHG direct and indirect emissions are a simple sum of direct and indirect emissions and may differ from the total GHG emissions in the GHG Assurance Statement.</t>
    <phoneticPr fontId="3" type="noConversion"/>
  </si>
  <si>
    <t>안전경영담당</t>
    <phoneticPr fontId="3" type="noConversion"/>
  </si>
  <si>
    <t>CJ-Gen-E4</t>
    <phoneticPr fontId="3" type="noConversion"/>
  </si>
  <si>
    <t>2023년부터 관리</t>
    <phoneticPr fontId="3" type="noConversion"/>
  </si>
  <si>
    <t>산출 불가</t>
    <phoneticPr fontId="3" type="noConversion"/>
  </si>
  <si>
    <t>온실가스 직접 배출량 (Scope 1)</t>
  </si>
  <si>
    <t>Direct GHG emissions (Scope 1)</t>
    <phoneticPr fontId="3" type="noConversion"/>
  </si>
  <si>
    <t>tCO2eq</t>
  </si>
  <si>
    <t>온실가스 직접 배출량 (Scope 1) =∑(고정연소, 이동연소, 공정배출, 탈루배출, 폐기물처리) 
 * 기본산식 = 활동자료(연료 사용량) * 배출계수 * 발열량</t>
    <phoneticPr fontId="3" type="noConversion"/>
  </si>
  <si>
    <t xml:space="preserve">Direct GHG emissions (Scope 1) =∑(fixed combustion, mobile combustion, process emission, fugitive emission, waste treatment) </t>
    <phoneticPr fontId="3" type="noConversion"/>
  </si>
  <si>
    <t>CJ-Gen-E1</t>
    <phoneticPr fontId="3" type="noConversion"/>
  </si>
  <si>
    <t>GRI 305-1</t>
  </si>
  <si>
    <t>온실가스 간접 배출량 (Scope 2)</t>
    <phoneticPr fontId="3" type="noConversion"/>
  </si>
  <si>
    <t>Indirect GHG emissions (Scope 2)</t>
    <phoneticPr fontId="3" type="noConversion"/>
  </si>
  <si>
    <t>온실가스 간접 배출량 (Scope 2) =∑(구매전력, 구매열(온수,스팀)등) 
  * 기본산식 = 활동자료(에너지 사용량) * 배출계수</t>
    <phoneticPr fontId="3" type="noConversion"/>
  </si>
  <si>
    <t xml:space="preserve">Indirect GHG emissions (Scope 2) =∑(purchased power, purchased heat (hot water, steam, etc.)) </t>
    <phoneticPr fontId="3" type="noConversion"/>
  </si>
  <si>
    <t>CJ-Gen-E2</t>
    <phoneticPr fontId="3" type="noConversion"/>
  </si>
  <si>
    <t>GRI 305-2</t>
  </si>
  <si>
    <t>온실가스 배출 집약도 (Scope 1+2)</t>
  </si>
  <si>
    <t>GHG emissions intensity (Scope 1+2)</t>
    <phoneticPr fontId="3" type="noConversion"/>
  </si>
  <si>
    <t>tCO2eq/KRW100M</t>
    <phoneticPr fontId="3" type="noConversion"/>
  </si>
  <si>
    <t>온실가스 배출 집약도 = 온실가스 배출량 / 연간 매출액</t>
    <phoneticPr fontId="3" type="noConversion"/>
  </si>
  <si>
    <t>GHG emissions intensity = GHG emissions / annual sales</t>
    <phoneticPr fontId="3" type="noConversion"/>
  </si>
  <si>
    <t>CJ-Gen-E4</t>
  </si>
  <si>
    <t>GRI 305-4</t>
    <phoneticPr fontId="3" type="noConversion"/>
  </si>
  <si>
    <t>온실가스 배출량</t>
    <phoneticPr fontId="3" type="noConversion"/>
  </si>
  <si>
    <t>GHG emissions</t>
    <phoneticPr fontId="3" type="noConversion"/>
  </si>
  <si>
    <t>연간 매출액</t>
    <phoneticPr fontId="3" type="noConversion"/>
  </si>
  <si>
    <t>억원</t>
    <phoneticPr fontId="3" type="noConversion"/>
  </si>
  <si>
    <t>Annual sales</t>
    <phoneticPr fontId="3" type="noConversion"/>
  </si>
  <si>
    <t>KRW 100M</t>
    <phoneticPr fontId="3" type="noConversion"/>
  </si>
  <si>
    <t>연도별 당기말 환율 적용한 값임</t>
    <phoneticPr fontId="3" type="noConversion"/>
  </si>
  <si>
    <t>온실가스 기타 배출량 (Scope 3)</t>
    <phoneticPr fontId="3" type="noConversion"/>
  </si>
  <si>
    <t xml:space="preserve">Other indirect GHG emissions (Scope 3) </t>
    <phoneticPr fontId="3" type="noConversion"/>
  </si>
  <si>
    <t>온실가스 기타 배출량 (Scope 3) = ∑(업스트림 배출량 + 다운스트림 배출량)
  * 업스트림 배출량: 
  ① 원부자재 구매: 구매 또는 취득한 재화 및 용역의 추출, 생산 및 운송에 따른 배출량
  ② 자본재 구매:  회사가 구입하거나 취득한 자본재의 추출, 생산 및 운송에 따른 배출량
  ③ 연료 및 에너지 사용: 구매 또는 취득한 연료 및 에너지의 추출, 생산 및 운송에 따른 배출량
  ④ 원부자재 운송: 구매한 제품을 기업의 공급업체와 자체 운영업체 간 운송 및 유통 또는 구매한 운송 서비스의 배출량
  ⑤ 폐기물: 보고사업자의 운영에서 발생한 폐기물의 처분 및 처리에 따른 배출량
  ⑥ 출장: 비즈니스 관련 임직원 운송에 따른 배출량
  ⑦ 통근:  자택과 작업장 사이의 직원 운송에 따른 배출량
  ⑧ 임대자산: Scope1,2에 속하지 않은 임차 자산에 따른 배출량
 * 다운스트림 배출량: 
   ⑨ 운송과 유통:  사업장과 최종소비자 사이의 제품의 소매 및 보관을 포함한 운송 및 유통에 따른 배출량
   ⑩ 판매제품 가공: 판매된 중간 제품의 다운스트림 업체별 처리에 따른 배출량
   ⑪ 판매제품 사용:  판매한 재화 및 용역의 최종사용에 따른 배출량
   ⑫ 판매제품 폐기처리: 수Person이 다한 제품의 폐기물 처분 및 처리에 따른 배출량
   ⑬ 임대 자산: Scope1,2에 속하지 않은 임대해준 자산에 따른 배출량
   ⑭ 가맹점 영업권:  Scope1,2에 속하지 않은 프랜차이즈 배출량
   ⑮ 투자: Scope1,2에 속하지 않은 투자에 따른 배출량</t>
  </si>
  <si>
    <t>All other indirect GHG emissions (Scope 3) = ∑(upstream emissions + downstream emissions)</t>
    <phoneticPr fontId="3" type="noConversion"/>
  </si>
  <si>
    <t>CJ-Gen-E3</t>
    <phoneticPr fontId="3" type="noConversion"/>
  </si>
  <si>
    <t>GRI 305-3</t>
  </si>
  <si>
    <t>목표 대비 온실가스 감축량 (Scope 1+2)</t>
    <phoneticPr fontId="3" type="noConversion"/>
  </si>
  <si>
    <t>Reduction of GHG emissions</t>
    <phoneticPr fontId="3" type="noConversion"/>
  </si>
  <si>
    <t>CJ CGV(국내) 기준</t>
    <phoneticPr fontId="3" type="noConversion"/>
  </si>
  <si>
    <t>GRI 305-5</t>
  </si>
  <si>
    <t>온실가스 배출 목표량 (감축 목표)</t>
    <phoneticPr fontId="3" type="noConversion"/>
  </si>
  <si>
    <t>Target GHG reduction 
Target GHG reduction</t>
    <phoneticPr fontId="3" type="noConversion"/>
  </si>
  <si>
    <t>안전경영담당 / ESG경영팀</t>
    <phoneticPr fontId="3" type="noConversion"/>
  </si>
  <si>
    <t>CJ-Gen-E5</t>
  </si>
  <si>
    <t>온실가스 감축 목표량 2023년도 미취합이신지 확인 요청드립니다</t>
    <phoneticPr fontId="3" type="noConversion"/>
  </si>
  <si>
    <t>에너지</t>
    <phoneticPr fontId="3" type="noConversion"/>
  </si>
  <si>
    <t>Energy</t>
    <phoneticPr fontId="3" type="noConversion"/>
  </si>
  <si>
    <t>총 에너지 사용량</t>
    <phoneticPr fontId="3" type="noConversion"/>
  </si>
  <si>
    <t>TJ</t>
  </si>
  <si>
    <t>Total energy consumption</t>
    <phoneticPr fontId="3" type="noConversion"/>
  </si>
  <si>
    <t>에너지사용량 = 비재생 에너지 사용량 + 재생 에너지 사용량
Energy consumption = non-renewable energy consumption + renewable energy consumption</t>
    <phoneticPr fontId="3" type="noConversion"/>
  </si>
  <si>
    <t>Energy consumption = non-renewable energy consumption + renewable energy consumption</t>
    <phoneticPr fontId="3" type="noConversion"/>
  </si>
  <si>
    <t>CJ-Gen-E6</t>
    <phoneticPr fontId="3" type="noConversion"/>
  </si>
  <si>
    <t>GRI 302-1</t>
  </si>
  <si>
    <t>SV-LF-130a.1
FB-PF-130a.1</t>
    <phoneticPr fontId="3" type="noConversion"/>
  </si>
  <si>
    <t>비재생 에너지 사용량</t>
    <phoneticPr fontId="3" type="noConversion"/>
  </si>
  <si>
    <t>Non-renewable energy consumption</t>
    <phoneticPr fontId="3" type="noConversion"/>
  </si>
  <si>
    <t>비재생 에너지 사용량 = 비재생 연료 기반 에너지 사용량 + 구매한 비재생 에너지 사용량
Non-renewable energy consumption = non-renewable fuel-based energy consumption + purchased non-renewable energy consumption
 * Basic formula = activity data (fuel consumption) * heating value</t>
    <phoneticPr fontId="3" type="noConversion"/>
  </si>
  <si>
    <t>Non-renewable energy consumption = non-renewable fuel-based energy consumption + purchased non-renewable energy consumption
 * Basic formula = activity data (fuel consumption) * heating value</t>
    <phoneticPr fontId="3" type="noConversion"/>
  </si>
  <si>
    <t>CJ-Gen-E7</t>
    <phoneticPr fontId="3" type="noConversion"/>
  </si>
  <si>
    <t>비재생 연료 기반(스팀+연료)</t>
  </si>
  <si>
    <t>Non-renewable fuel-based energy consumption (LNG, LPG, Gasolin, Disel, Kerosene, Fossil fuel etc.)</t>
    <phoneticPr fontId="3" type="noConversion"/>
  </si>
  <si>
    <t>CJ-Gen-E7</t>
  </si>
  <si>
    <t>구매한 비재생 에너지(전력)</t>
  </si>
  <si>
    <t>Purchased non-renewable energy consumption (Purchased from the grid &amp; steam purchased from outside)</t>
    <phoneticPr fontId="3" type="noConversion"/>
  </si>
  <si>
    <t>RMB</t>
    <phoneticPr fontId="3" type="noConversion"/>
  </si>
  <si>
    <t>재생 에너지 사용량</t>
    <phoneticPr fontId="3" type="noConversion"/>
  </si>
  <si>
    <t>Renewable energy consumption</t>
    <phoneticPr fontId="3" type="noConversion"/>
  </si>
  <si>
    <t>재생 에너지 사용량 = 재생 연료 소비 에너지 사용량 + 구매한 재생 에너지 사용량 + 자가생산 재생 에너지 사용량
Renewable energy consumption = renewable fuel consumption energy consumption + purchased renewable energy consumption + self-generated renewable energy consumption</t>
    <phoneticPr fontId="3" type="noConversion"/>
  </si>
  <si>
    <t>Renewable energy consumption = renewable fuel consumption energy consumption + purchased renewable energy consumption + self-generated renewable energy consumption</t>
    <phoneticPr fontId="3" type="noConversion"/>
  </si>
  <si>
    <t>CJ-Gen-E8</t>
    <phoneticPr fontId="3" type="noConversion"/>
  </si>
  <si>
    <t>재생 연료 기반 에너지 사용량</t>
    <phoneticPr fontId="3" type="noConversion"/>
  </si>
  <si>
    <t>Renewable fuel-based energy consumption biomass (woodchip, waste wood) biofuel (bioethanol, biodiesel), etc.</t>
    <phoneticPr fontId="3" type="noConversion"/>
  </si>
  <si>
    <t>CJ-Gen-E8</t>
  </si>
  <si>
    <t>구매한 재생 에너지 사용량</t>
    <phoneticPr fontId="3" type="noConversion"/>
  </si>
  <si>
    <t>Purchased renewable energy consumption (Purchased Solar, Wind, Hydro, Geothermal, Marine/ Purchased waste heat steam)</t>
    <phoneticPr fontId="3" type="noConversion"/>
  </si>
  <si>
    <t>자가생산 재생 에너지 사용량</t>
    <phoneticPr fontId="3" type="noConversion"/>
  </si>
  <si>
    <t>Self-generated renewable energy consumption (Solar, Wind, Hydro, Geothermal, Marine)</t>
    <phoneticPr fontId="3" type="noConversion"/>
  </si>
  <si>
    <t>에너지 사용량 집약도</t>
    <phoneticPr fontId="3" type="noConversion"/>
  </si>
  <si>
    <t>TJ/억원</t>
  </si>
  <si>
    <t>Energy intensity</t>
    <phoneticPr fontId="3" type="noConversion"/>
  </si>
  <si>
    <t>TJ/KRW 100M</t>
  </si>
  <si>
    <t>온실가스 배출 집약도 = 총 에너지 사용량 / 연간 매출액</t>
    <phoneticPr fontId="3" type="noConversion"/>
  </si>
  <si>
    <t>Energy intensity = Total energy consumption / annual sales</t>
  </si>
  <si>
    <t>CJ-Gen-E9
GRI 302-3
GRI 305-4</t>
  </si>
  <si>
    <t>GRI 302-3
GRI 305-4</t>
    <phoneticPr fontId="3" type="noConversion"/>
  </si>
  <si>
    <t xml:space="preserve">Total energy consumption  </t>
    <phoneticPr fontId="3" type="noConversion"/>
  </si>
  <si>
    <t>CJ-Gen-E9
GRI 302-3
GRI 305-4</t>
    <phoneticPr fontId="3" type="noConversion"/>
  </si>
  <si>
    <t>KRW 100M</t>
  </si>
  <si>
    <t>에너지 사용 절감량</t>
    <phoneticPr fontId="3" type="noConversion"/>
  </si>
  <si>
    <t>Energy reduction</t>
    <phoneticPr fontId="3" type="noConversion"/>
  </si>
  <si>
    <t>에너지 사용 절감량 = 에너지 사용 감축 목표량 - 해당연도 총 에너지 사용량</t>
    <phoneticPr fontId="3" type="noConversion"/>
  </si>
  <si>
    <t>Energy reduction = Energy consumption reduction target - Total energy consumption for the relevant year</t>
    <phoneticPr fontId="3" type="noConversion"/>
  </si>
  <si>
    <t>CJ-Gen-E10</t>
  </si>
  <si>
    <t>GRI 302-4</t>
  </si>
  <si>
    <t>미취합</t>
  </si>
  <si>
    <t>에너지 사용 감축 목표량</t>
    <phoneticPr fontId="3" type="noConversion"/>
  </si>
  <si>
    <t>Energy consumption reduction target  
Total energy consumption for the relevant year</t>
    <phoneticPr fontId="3" type="noConversion"/>
  </si>
  <si>
    <t>해당연도 총 에너지 사용량</t>
    <phoneticPr fontId="3" type="noConversion"/>
  </si>
  <si>
    <t>Total energy consumption for the relevant year</t>
    <phoneticPr fontId="3" type="noConversion"/>
  </si>
  <si>
    <t>TJ</t>
    <phoneticPr fontId="3" type="noConversion"/>
  </si>
  <si>
    <t>단위 불일치로 제외 예정</t>
    <phoneticPr fontId="3" type="noConversion"/>
  </si>
  <si>
    <t>에너지 소비 감축</t>
    <phoneticPr fontId="3" type="noConversion"/>
  </si>
  <si>
    <t>Reduction of energy consumption</t>
    <phoneticPr fontId="3" type="noConversion"/>
  </si>
  <si>
    <t>순서조정</t>
    <phoneticPr fontId="3" type="noConversion"/>
  </si>
  <si>
    <t>감축량</t>
    <phoneticPr fontId="3" type="noConversion"/>
  </si>
  <si>
    <t>Reduction in energy consumption</t>
    <phoneticPr fontId="3" type="noConversion"/>
  </si>
  <si>
    <t>에너지 소비 허용량</t>
    <phoneticPr fontId="3" type="noConversion"/>
  </si>
  <si>
    <t xml:space="preserve">Energy consumption allowance </t>
    <phoneticPr fontId="3" type="noConversion"/>
  </si>
  <si>
    <t>* 19년~22년 온실가스 배출허용량/에너지 사용 허용량 = 2.06%</t>
    <phoneticPr fontId="3" type="noConversion"/>
  </si>
  <si>
    <t>The company budget for the relevant year has been set. (Amount converted from unit price to consumption amount.)</t>
  </si>
  <si>
    <t>실제 사용량</t>
    <phoneticPr fontId="3" type="noConversion"/>
  </si>
  <si>
    <t>Actual use (Total energy consumption)</t>
    <phoneticPr fontId="3" type="noConversion"/>
  </si>
  <si>
    <t>`</t>
  </si>
  <si>
    <t>구매 전력 사용량</t>
    <phoneticPr fontId="3" type="noConversion"/>
  </si>
  <si>
    <t>Amount of purchased power consumption</t>
    <phoneticPr fontId="3" type="noConversion"/>
  </si>
  <si>
    <t>CJ-Gen-E11</t>
  </si>
  <si>
    <t>그리드(grid) 전력 비율</t>
    <phoneticPr fontId="3" type="noConversion"/>
  </si>
  <si>
    <t>Percentage grid electricity</t>
    <phoneticPr fontId="3" type="noConversion"/>
  </si>
  <si>
    <t xml:space="preserve">그리드 전력 비율 = 구매 전력 사용량 / 총 에너지사용량 </t>
    <phoneticPr fontId="3" type="noConversion"/>
  </si>
  <si>
    <t>Percentage grid electricity = Purchased grid electricity consumption / Total energy consumption</t>
    <phoneticPr fontId="3" type="noConversion"/>
  </si>
  <si>
    <t>재생 전력 사용량</t>
    <phoneticPr fontId="3" type="noConversion"/>
  </si>
  <si>
    <t>(Renewable) Power consumption</t>
    <phoneticPr fontId="3" type="noConversion"/>
  </si>
  <si>
    <t>조직이 사용한 재생전력의 총 = 구매한 재생 전력 사용량 + 자가발전 재생 전력 사용량</t>
    <phoneticPr fontId="3" type="noConversion"/>
  </si>
  <si>
    <t xml:space="preserve">Total amount of renewable power used by the organization = Purchased renewable power consumption + self-generated renewable power consumption </t>
  </si>
  <si>
    <t>CJ-Gen-E12</t>
  </si>
  <si>
    <t>구매한 재생 전력 사용량</t>
    <phoneticPr fontId="3" type="noConversion"/>
  </si>
  <si>
    <t>Purchased renewable power consumption (REC, PPA, Green tariffs etc.)</t>
    <phoneticPr fontId="3" type="noConversion"/>
  </si>
  <si>
    <t>자가발전 재생 전력 사용량</t>
    <phoneticPr fontId="3" type="noConversion"/>
  </si>
  <si>
    <t>Self-generated renewable power consumption</t>
    <phoneticPr fontId="3" type="noConversion"/>
  </si>
  <si>
    <t>재생가능 비율 (재생에너지 비율)</t>
    <phoneticPr fontId="3" type="noConversion"/>
  </si>
  <si>
    <t>Percentage of renewables</t>
    <phoneticPr fontId="3" type="noConversion"/>
  </si>
  <si>
    <t>재생에너지 비율 = 재생에너지 소비량 / 총 에너지 소비량</t>
    <phoneticPr fontId="3" type="noConversion"/>
  </si>
  <si>
    <t>Percentage renewable =  Renewable energy consumption / Total energy consumption</t>
    <phoneticPr fontId="3" type="noConversion"/>
  </si>
  <si>
    <t>수자원</t>
    <phoneticPr fontId="3" type="noConversion"/>
  </si>
  <si>
    <t>Water Resources</t>
    <phoneticPr fontId="3" type="noConversion"/>
  </si>
  <si>
    <t>총 용수 취수량</t>
    <phoneticPr fontId="3" type="noConversion"/>
  </si>
  <si>
    <r>
      <t>Ton(m</t>
    </r>
    <r>
      <rPr>
        <vertAlign val="superscript"/>
        <sz val="11"/>
        <color theme="1"/>
        <rFont val="맑은 고딕"/>
        <family val="3"/>
        <charset val="129"/>
        <scheme val="minor"/>
      </rPr>
      <t>3</t>
    </r>
    <r>
      <rPr>
        <sz val="11"/>
        <color theme="1"/>
        <rFont val="맑은 고딕"/>
        <family val="3"/>
        <charset val="129"/>
        <scheme val="minor"/>
      </rPr>
      <t>)</t>
    </r>
    <phoneticPr fontId="3" type="noConversion"/>
  </si>
  <si>
    <t>Total water withdrawal</t>
    <phoneticPr fontId="3" type="noConversion"/>
  </si>
  <si>
    <t>총 용수 취수량 = 상수도 + 지표수 + 지하수 + 해수 사용량</t>
    <phoneticPr fontId="3" type="noConversion"/>
  </si>
  <si>
    <t>Total water withdrawal = Third-party water + Surface water + Groundwater + Seawater withdrawal</t>
    <phoneticPr fontId="3" type="noConversion"/>
  </si>
  <si>
    <t>CJ-Gen-E13</t>
    <phoneticPr fontId="3" type="noConversion"/>
  </si>
  <si>
    <t>GRI 303-3</t>
    <phoneticPr fontId="3" type="noConversion"/>
  </si>
  <si>
    <t>FB-PF-140a.1</t>
    <phoneticPr fontId="3" type="noConversion"/>
  </si>
  <si>
    <r>
      <t>Ton(m</t>
    </r>
    <r>
      <rPr>
        <b/>
        <vertAlign val="superscript"/>
        <sz val="11"/>
        <color rgb="FFFF0000"/>
        <rFont val="맑은 고딕"/>
        <family val="3"/>
        <charset val="129"/>
        <scheme val="minor"/>
      </rPr>
      <t>3</t>
    </r>
    <r>
      <rPr>
        <b/>
        <sz val="11"/>
        <color rgb="FFFF0000"/>
        <rFont val="맑은 고딕"/>
        <family val="3"/>
        <charset val="129"/>
        <scheme val="minor"/>
      </rPr>
      <t>)</t>
    </r>
    <phoneticPr fontId="3" type="noConversion"/>
  </si>
  <si>
    <t>1) 4DPLEX 수도 사용량이 총 용수 취수량인지, 혹은 지표수/지하수/해수 사용량 산출 불가이기 때문에 총 용수 취수량을 수도 사용량으로 작성해주신건지 확인 요청드리며, 후자일 경우 비고란 작성 요청드립니다.
2) 4DPLEX 시트 내 AE119열에 단위: RMB라고 적어주셨는데, 2023년 총 용수 취수량은 Ton(m3)인지 확인 요청드립니다</t>
    <phoneticPr fontId="3" type="noConversion"/>
  </si>
  <si>
    <t xml:space="preserve">Third-party water </t>
    <phoneticPr fontId="3" type="noConversion"/>
  </si>
  <si>
    <t xml:space="preserve">CJ-Gen-E13
CJ-GEN-E15
</t>
    <phoneticPr fontId="3" type="noConversion"/>
  </si>
  <si>
    <t>지표수 사용량</t>
    <phoneticPr fontId="3" type="noConversion"/>
  </si>
  <si>
    <t>Surface water</t>
    <phoneticPr fontId="3" type="noConversion"/>
  </si>
  <si>
    <t>지하수 사용량</t>
    <phoneticPr fontId="3" type="noConversion"/>
  </si>
  <si>
    <t>Groundwater</t>
    <phoneticPr fontId="3" type="noConversion"/>
  </si>
  <si>
    <t>CJ-Gen-E13
CJ-GEN-E15</t>
    <phoneticPr fontId="3" type="noConversion"/>
  </si>
  <si>
    <t>해수 사용량</t>
    <phoneticPr fontId="3" type="noConversion"/>
  </si>
  <si>
    <t>Seawater withdrawal</t>
    <phoneticPr fontId="3" type="noConversion"/>
  </si>
  <si>
    <t>총 용수 배출량</t>
    <phoneticPr fontId="3" type="noConversion"/>
  </si>
  <si>
    <t>Total water discharge</t>
    <phoneticPr fontId="3" type="noConversion"/>
  </si>
  <si>
    <t xml:space="preserve">용수 배출량 = 폐수 배출량, 하수 배출량, 오수 배출량, 미사용수 배출량 등 </t>
    <phoneticPr fontId="3" type="noConversion"/>
  </si>
  <si>
    <t>The total amount of water discharged from the tissue to the outside</t>
    <phoneticPr fontId="3" type="noConversion"/>
  </si>
  <si>
    <t>CJ-Gen-E14</t>
  </si>
  <si>
    <t>GRI 303-4</t>
    <phoneticPr fontId="3" type="noConversion"/>
  </si>
  <si>
    <t>비즈니스 성격상 용수 사용량 0으로 간주, 취수량=배출량으로 기재
용산본사+용산 사이트에 한해 Data 보유</t>
    <phoneticPr fontId="3" type="noConversion"/>
  </si>
  <si>
    <t>산출 불가</t>
  </si>
  <si>
    <t>총 용수 소비량</t>
    <phoneticPr fontId="3" type="noConversion"/>
  </si>
  <si>
    <t>Total water consumption</t>
    <phoneticPr fontId="3" type="noConversion"/>
  </si>
  <si>
    <t>총 용수 소비량 = 총 용수 취수량 - 총 용수 배출량</t>
    <phoneticPr fontId="3" type="noConversion"/>
  </si>
  <si>
    <t>Total water consumption = Total withdrawal - Total water discharge</t>
    <phoneticPr fontId="3" type="noConversion"/>
  </si>
  <si>
    <t>CJ-Gen-E15</t>
  </si>
  <si>
    <t>GRI 303-5</t>
    <phoneticPr fontId="3" type="noConversion"/>
  </si>
  <si>
    <t>용수 재활용량</t>
    <phoneticPr fontId="3" type="noConversion"/>
  </si>
  <si>
    <t>Total water recycled</t>
    <phoneticPr fontId="3" type="noConversion"/>
  </si>
  <si>
    <t xml:space="preserve">용수 배출량 = 폐수 배출량, 하수 배출량, 오수 배출량, 미사용수 배출량 등 
Water discharge = wastewater discharge, sewage discharge, effluent discharge, unused water discharge, etc. </t>
    <phoneticPr fontId="3" type="noConversion"/>
  </si>
  <si>
    <t>CJ-Gen-E16</t>
  </si>
  <si>
    <t>Water Stress 지역의 용수 취수 비율</t>
    <phoneticPr fontId="3" type="noConversion"/>
  </si>
  <si>
    <t xml:space="preserve">Water withdrawal rate in the water stress areas </t>
    <phoneticPr fontId="3" type="noConversion"/>
  </si>
  <si>
    <t>Water Stress 지역의 용수 취수 비율 = Water Stress 지역 용수 취수량 합  / 총 용수 취수량</t>
    <phoneticPr fontId="3" type="noConversion"/>
  </si>
  <si>
    <t xml:space="preserve">Water withdrawal rate from the water stress areas = Total water withdrawal from the water stress areas / Total water withdrawal </t>
    <phoneticPr fontId="3" type="noConversion"/>
  </si>
  <si>
    <t>CJ-Gen-E17</t>
  </si>
  <si>
    <t>Water Stress 지역의 용수 취수량</t>
    <phoneticPr fontId="3" type="noConversion"/>
  </si>
  <si>
    <t xml:space="preserve">Total water withdrawal from the water stress areas 
</t>
    <phoneticPr fontId="3" type="noConversion"/>
  </si>
  <si>
    <t>Water Stress 지역의 용수 소비 비율</t>
    <phoneticPr fontId="3" type="noConversion"/>
  </si>
  <si>
    <t xml:space="preserve">Water consumption rate in the water stress areas </t>
    <phoneticPr fontId="3" type="noConversion"/>
  </si>
  <si>
    <t xml:space="preserve">Water consumption rate from the water stress areas = Total water consumption from the water stress areas / Total water consumption </t>
    <phoneticPr fontId="3" type="noConversion"/>
  </si>
  <si>
    <t>CJ-Gen-E18</t>
  </si>
  <si>
    <t>Water Stress 지역의 용수 소비량</t>
    <phoneticPr fontId="3" type="noConversion"/>
  </si>
  <si>
    <t xml:space="preserve">Total water consumption from the water stress areas 
</t>
    <phoneticPr fontId="3" type="noConversion"/>
  </si>
  <si>
    <t>수질오염물질 배출량</t>
    <phoneticPr fontId="3" type="noConversion"/>
  </si>
  <si>
    <t xml:space="preserve">Discharge amount of water pollutants </t>
    <phoneticPr fontId="3" type="noConversion"/>
  </si>
  <si>
    <t>수질오염물질 배출량 = BOD, COD, SS, T-N, T-P
* 농도 측정시 배출총량 산정 식 
  배출폐수 내 평균농도(mg/L) × 하루배출 폐수량(L/day) × 연간 가동일수(day/year) /10^9(ton/mg)</t>
    <phoneticPr fontId="3" type="noConversion"/>
  </si>
  <si>
    <t xml:space="preserve">Amount of discharged water pollutants = BOD, COD, SS, T-N, T-P
* Calculation formula of total discharged amount when measuring concentration
Average concentration (mg/L) in discharged wastewater × amount of wastewater discharged per day (L/day) × annual operating days (day/year) / 10^9 (ton/mg) </t>
    <phoneticPr fontId="3" type="noConversion"/>
  </si>
  <si>
    <t>CJ-Gen-E19</t>
  </si>
  <si>
    <t>생화학적 산소요구량 (BOD)</t>
    <phoneticPr fontId="3" type="noConversion"/>
  </si>
  <si>
    <t xml:space="preserve">Biochemical Oxygen Demand (9BOD)		
</t>
    <phoneticPr fontId="3" type="noConversion"/>
  </si>
  <si>
    <t>화학적 산소요구량 (COD)</t>
  </si>
  <si>
    <t xml:space="preserve">Chemical Oxygen Demand (COD)		
</t>
    <phoneticPr fontId="3" type="noConversion"/>
  </si>
  <si>
    <t>총 유기탄소량 (TOC)</t>
  </si>
  <si>
    <t xml:space="preserve">Total Organic Carbon (TOC)		
</t>
    <phoneticPr fontId="3" type="noConversion"/>
  </si>
  <si>
    <t>부유물질 (SS)</t>
  </si>
  <si>
    <t xml:space="preserve">Suspended Solids (SS)		
</t>
    <phoneticPr fontId="3" type="noConversion"/>
  </si>
  <si>
    <t>총 질소 (T-N)</t>
  </si>
  <si>
    <t xml:space="preserve">Total Nitrogen (T-N)		
</t>
    <phoneticPr fontId="3" type="noConversion"/>
  </si>
  <si>
    <t>총 인 (T-P)</t>
  </si>
  <si>
    <t>Total Phosphorus (T-P)</t>
    <phoneticPr fontId="3" type="noConversion"/>
  </si>
  <si>
    <t>폐기물</t>
    <phoneticPr fontId="3" type="noConversion"/>
  </si>
  <si>
    <t>Wastes</t>
    <phoneticPr fontId="3" type="noConversion"/>
  </si>
  <si>
    <t>총 폐기물 배출량</t>
    <phoneticPr fontId="3" type="noConversion"/>
  </si>
  <si>
    <t>Ton</t>
    <phoneticPr fontId="3" type="noConversion"/>
  </si>
  <si>
    <t>Total waste discharge</t>
    <phoneticPr fontId="3" type="noConversion"/>
  </si>
  <si>
    <t>폐기물 배출량 = 일반 폐기물 총량 + 지정폐기물 총량</t>
    <phoneticPr fontId="3" type="noConversion"/>
  </si>
  <si>
    <t xml:space="preserve">Waste discharge = Total amount of general wastes + Total amount of Hazardous wastes </t>
    <phoneticPr fontId="3" type="noConversion"/>
  </si>
  <si>
    <t>공간디자인팀 / ESG경영팀</t>
    <phoneticPr fontId="3" type="noConversion"/>
  </si>
  <si>
    <t>CJ-Gen-E20</t>
  </si>
  <si>
    <t>GRI 306-3</t>
  </si>
  <si>
    <t>Ton</t>
  </si>
  <si>
    <t>확인필요</t>
    <phoneticPr fontId="3" type="noConversion"/>
  </si>
  <si>
    <t>단위 불일치로 제외 검토</t>
    <phoneticPr fontId="3" type="noConversion"/>
  </si>
  <si>
    <t>일반 폐기물</t>
    <phoneticPr fontId="3" type="noConversion"/>
  </si>
  <si>
    <t>Total amount of general wastes (household waste, business waste, construction waste etc.)</t>
    <phoneticPr fontId="3" type="noConversion"/>
  </si>
  <si>
    <t>재활용</t>
  </si>
  <si>
    <t xml:space="preserve">Amount of wastes recycled </t>
    <phoneticPr fontId="3" type="noConversion"/>
  </si>
  <si>
    <t>폐기물 재활용량 = 일반 폐기물 재활용량 + 지정 폐기물 재활용량</t>
    <phoneticPr fontId="3" type="noConversion"/>
  </si>
  <si>
    <t>Amount of wastes recycled = general wastes recycled amount + designated wastes recycled amount</t>
    <phoneticPr fontId="3" type="noConversion"/>
  </si>
  <si>
    <t>CJ-Gen-E22</t>
    <phoneticPr fontId="3" type="noConversion"/>
  </si>
  <si>
    <t>CJ-Gen-E22 "2023년 미보고 지표"</t>
    <phoneticPr fontId="3" type="noConversion"/>
  </si>
  <si>
    <t>CGV Korea</t>
  </si>
  <si>
    <t>CJ-Gen-E22 "2024년 미보고 지표"</t>
  </si>
  <si>
    <t>CJ-Gen-E22 "2025년 미보고 지표"</t>
  </si>
  <si>
    <t>CJ-Gen-E22 "2026년 미보고 지표"</t>
  </si>
  <si>
    <t>CJ-Gen-E22 "2027년 미보고 지표"</t>
  </si>
  <si>
    <t>CJ-Gen-E22 "2028년 미보고 지표"</t>
  </si>
  <si>
    <t>CJ-Gen-E22 "2029년 미보고 지표"</t>
  </si>
  <si>
    <t>Amount of waste disposed of in landfills + incineration</t>
    <phoneticPr fontId="3" type="noConversion"/>
  </si>
  <si>
    <t>조직이 소각 및 매립 이외의 기타 방법으로 처리했거나, 소각 또는 매립 처리 여부를 확인할 수 없는 폐기물의 양
 * 종량제 봉투로 배출하여, 처리량을 파악 가능하지만 소각 또는 매립 여부를 확인할 수 없는 경우</t>
    <phoneticPr fontId="3" type="noConversion"/>
  </si>
  <si>
    <t>Amount of waste not known whether it has been incinerated or landfill</t>
  </si>
  <si>
    <t>CJ-Gen-E23, E25</t>
    <phoneticPr fontId="3" type="noConversion"/>
  </si>
  <si>
    <t>GRI 306-5</t>
  </si>
  <si>
    <r>
      <t>m</t>
    </r>
    <r>
      <rPr>
        <b/>
        <vertAlign val="superscript"/>
        <sz val="11"/>
        <color rgb="FFC00000"/>
        <rFont val="맑은 고딕"/>
        <family val="3"/>
        <charset val="129"/>
        <scheme val="minor"/>
      </rPr>
      <t>3</t>
    </r>
    <phoneticPr fontId="3" type="noConversion"/>
  </si>
  <si>
    <t>지정 폐기물</t>
  </si>
  <si>
    <t>Total amount of hazardous wastes (hazardous waste, medical waste etc.)</t>
    <phoneticPr fontId="3" type="noConversion"/>
  </si>
  <si>
    <t>재활용</t>
    <phoneticPr fontId="3" type="noConversion"/>
  </si>
  <si>
    <t>Amount of wastes recycled = general wastes recycled amount + designated wastes recycled amount</t>
  </si>
  <si>
    <t>GRI 306-4</t>
    <phoneticPr fontId="3" type="noConversion"/>
  </si>
  <si>
    <t xml:space="preserve">4DPLEX(Consolidated) </t>
  </si>
  <si>
    <t>CGV China</t>
  </si>
  <si>
    <t>CGV Vietnam</t>
  </si>
  <si>
    <t>CGV Indonesia</t>
  </si>
  <si>
    <t>CGV Türkiye</t>
  </si>
  <si>
    <t>매립</t>
  </si>
  <si>
    <t xml:space="preserve">Amount of waste disposed of in landfills </t>
    <phoneticPr fontId="3" type="noConversion"/>
  </si>
  <si>
    <t>폐기물 배출량 집약도</t>
    <phoneticPr fontId="3" type="noConversion"/>
  </si>
  <si>
    <t>Ton/억원</t>
    <phoneticPr fontId="3" type="noConversion"/>
  </si>
  <si>
    <t>Waste discharge intensity</t>
    <phoneticPr fontId="3" type="noConversion"/>
  </si>
  <si>
    <t>Ton(m3)/KRW 100M</t>
    <phoneticPr fontId="3" type="noConversion"/>
  </si>
  <si>
    <t>폐기물 배출 집약도 = 총 폐기불 매출량 / 연간 매출액</t>
    <phoneticPr fontId="3" type="noConversion"/>
  </si>
  <si>
    <t>Waste discharge intensity = Total waste discharge / annual sales</t>
    <phoneticPr fontId="3" type="noConversion"/>
  </si>
  <si>
    <t>CJ-Gen-E21</t>
    <phoneticPr fontId="3" type="noConversion"/>
  </si>
  <si>
    <t>CJ-Gen-E21 "2023년 미보고 지표"</t>
    <phoneticPr fontId="3" type="noConversion"/>
  </si>
  <si>
    <t>폐기물 집약도 21~22년도는 0.03, 0.01로 수치가 작은데 23년도에 136까지 급증하여 확인 요청드립니다</t>
    <phoneticPr fontId="3" type="noConversion"/>
  </si>
  <si>
    <t>CJ-Gen-E21 "2023년 미보고 지표"</t>
  </si>
  <si>
    <t>폐기물 소각 처리량 (미회수)</t>
    <phoneticPr fontId="3" type="noConversion"/>
  </si>
  <si>
    <t>Amount of waste incineration(Non-recovery)</t>
    <phoneticPr fontId="3" type="noConversion"/>
  </si>
  <si>
    <t>폐기물 소각 처리량 = 일반 폐기물 소각 처리량 + 지정 폐기물 소각 처리량</t>
    <phoneticPr fontId="3" type="noConversion"/>
  </si>
  <si>
    <t>Wastes incineration amount = general wastes incineration amount + designated wastes incineration amount</t>
  </si>
  <si>
    <t>CJ-Gen-E23</t>
  </si>
  <si>
    <t>일반 폐기물 소각 처리량</t>
    <phoneticPr fontId="3" type="noConversion"/>
  </si>
  <si>
    <t>General wastes incineration amount (non-recovery)</t>
    <phoneticPr fontId="3" type="noConversion"/>
  </si>
  <si>
    <t>지정 폐기물 소각 처리량</t>
    <phoneticPr fontId="3" type="noConversion"/>
  </si>
  <si>
    <t xml:space="preserve">Designated wastes incineration amount </t>
    <phoneticPr fontId="3" type="noConversion"/>
  </si>
  <si>
    <t>CJ-Gen-E23</t>
    <phoneticPr fontId="3" type="noConversion"/>
  </si>
  <si>
    <t>폐기물 에너지 회수 소각 처리량</t>
  </si>
  <si>
    <t>Amount of wastes incinerated through energy recovery</t>
    <phoneticPr fontId="3" type="noConversion"/>
  </si>
  <si>
    <t>폐기물 에너지 회수 소각 처리량 = 일반 폐기물 에너지 회수 소각 처리량 + 지정 폐기물 에너지 회수 소각 처리량</t>
    <phoneticPr fontId="3" type="noConversion"/>
  </si>
  <si>
    <t>Wastes incineration amount through energy recovery = general wastes incineration amount through energy recovery + designated wastes incineration amount through energy recovery</t>
    <phoneticPr fontId="3" type="noConversion"/>
  </si>
  <si>
    <t>CJ-Gen-E24</t>
  </si>
  <si>
    <t>일반 폐기물 에너지 회수 소각 처리량</t>
  </si>
  <si>
    <t xml:space="preserve">General wastes incineration amount through energy recovery </t>
    <phoneticPr fontId="3" type="noConversion"/>
  </si>
  <si>
    <t>지정 폐기물 에너지 회수 소각 처리량</t>
  </si>
  <si>
    <t>Designated wastes incineration amount through energy recovery</t>
    <phoneticPr fontId="3" type="noConversion"/>
  </si>
  <si>
    <t>폐기물 매립 처리량</t>
    <phoneticPr fontId="3" type="noConversion"/>
  </si>
  <si>
    <t>Amount of wastes landfill</t>
    <phoneticPr fontId="3" type="noConversion"/>
  </si>
  <si>
    <t>폐기물 매립 처리량 = 일반 폐기물 매립 처리량 + 지정 폐기물 매립 처리량</t>
    <phoneticPr fontId="3" type="noConversion"/>
  </si>
  <si>
    <t>Amount of waste disposed of in landfills = general waste disposed of in landfills + designated waste disposed of in landfills</t>
  </si>
  <si>
    <t>CJ-Gen-E25</t>
  </si>
  <si>
    <t>CJ-Gen-E25 "No Reporting(until collecting data)"</t>
    <phoneticPr fontId="3" type="noConversion"/>
  </si>
  <si>
    <t>CJ-Gen-E26 "No Reporting(until collecting data)"</t>
  </si>
  <si>
    <t>CJ-Gen-E27 "No Reporting(until collecting data)"</t>
  </si>
  <si>
    <t>CJ-Gen-E28 "No Reporting(until collecting data)"</t>
  </si>
  <si>
    <t>CJ-Gen-E29 "No Reporting(until collecting data)"</t>
  </si>
  <si>
    <t>CJ-Gen-E30 "No Reporting(until collecting data)"</t>
  </si>
  <si>
    <t>CJ-Gen-E31 "No Reporting(until collecting data)"</t>
  </si>
  <si>
    <t>일반 폐기물 매립 처리량</t>
    <phoneticPr fontId="3" type="noConversion"/>
  </si>
  <si>
    <t>Amount of general waste disposed of in landfills</t>
    <phoneticPr fontId="3" type="noConversion"/>
  </si>
  <si>
    <t>CJ-Gen-E25</t>
    <phoneticPr fontId="3" type="noConversion"/>
  </si>
  <si>
    <t>CJ-Gen-E32 "No Reporting(until collecting data)"</t>
  </si>
  <si>
    <t>CJ-Gen-E33 "No Reporting(until collecting data)"</t>
  </si>
  <si>
    <t>CJ-Gen-E34 "No Reporting(until collecting data)"</t>
  </si>
  <si>
    <t>CJ-Gen-E35 "No Reporting(until collecting data)"</t>
  </si>
  <si>
    <t>CJ-Gen-E36 "No Reporting(until collecting data)"</t>
  </si>
  <si>
    <t>CJ-Gen-E37 "No Reporting(until collecting data)"</t>
  </si>
  <si>
    <t>CJ-Gen-E38 "No Reporting(until collecting data)"</t>
  </si>
  <si>
    <t>지정 폐기물 매립 처리량</t>
    <phoneticPr fontId="3" type="noConversion"/>
  </si>
  <si>
    <t>Amount of designated waste disposed of in landfills</t>
    <phoneticPr fontId="3" type="noConversion"/>
  </si>
  <si>
    <t>CJ-Gen-E39 "No Reporting(until collecting data)"</t>
  </si>
  <si>
    <t>CJ-Gen-E40 "No Reporting(until collecting data)"</t>
  </si>
  <si>
    <t>CJ-Gen-E41 "No Reporting(until collecting data)"</t>
  </si>
  <si>
    <t>CJ-Gen-E42 "No Reporting(until collecting data)"</t>
  </si>
  <si>
    <t>CJ-Gen-E43 "No Reporting(until collecting data)"</t>
  </si>
  <si>
    <t>CJ-Gen-E44 "No Reporting(until collecting data)"</t>
  </si>
  <si>
    <t>CJ-Gen-E45 "No Reporting(until collecting data)"</t>
  </si>
  <si>
    <t>폐기물 기타 처리량</t>
    <phoneticPr fontId="3" type="noConversion"/>
  </si>
  <si>
    <t>Amount of wastes others</t>
    <phoneticPr fontId="3" type="noConversion"/>
  </si>
  <si>
    <t>CJ-Gen-E26</t>
    <phoneticPr fontId="3" type="noConversion"/>
  </si>
  <si>
    <t>GRI 306-5</t>
    <phoneticPr fontId="3" type="noConversion"/>
  </si>
  <si>
    <t>국내 "페기물 기타 처리량" 22년도 11톤 -&gt; 23년 493톤으로 급증하여 숫자 확인 요청 드립니다.</t>
    <phoneticPr fontId="3" type="noConversion"/>
  </si>
  <si>
    <t>오염물질</t>
    <phoneticPr fontId="3" type="noConversion"/>
  </si>
  <si>
    <t>대기오염물질 배출량</t>
    <phoneticPr fontId="3" type="noConversion"/>
  </si>
  <si>
    <t xml:space="preserve">Air pollutants emissions </t>
    <phoneticPr fontId="3" type="noConversion"/>
  </si>
  <si>
    <t>CJ-Gen-E27</t>
    <phoneticPr fontId="3" type="noConversion"/>
  </si>
  <si>
    <t>해당사항 없음</t>
    <phoneticPr fontId="3" type="noConversion"/>
  </si>
  <si>
    <t>NOx 배출량</t>
    <phoneticPr fontId="3" type="noConversion"/>
  </si>
  <si>
    <t xml:space="preserve"> </t>
    <phoneticPr fontId="3" type="noConversion"/>
  </si>
  <si>
    <t>NOx (nitrogen oxide)</t>
    <phoneticPr fontId="3" type="noConversion"/>
  </si>
  <si>
    <t>SOx 배출량</t>
    <phoneticPr fontId="3" type="noConversion"/>
  </si>
  <si>
    <t>SOx (sulfur oxide)</t>
    <phoneticPr fontId="3" type="noConversion"/>
  </si>
  <si>
    <t>먼지 배출량</t>
    <phoneticPr fontId="3" type="noConversion"/>
  </si>
  <si>
    <t>Dust (PM)</t>
    <phoneticPr fontId="3" type="noConversion"/>
  </si>
  <si>
    <t>일산화탄소(CO)배출량</t>
  </si>
  <si>
    <t>CO (carbon monoxide)</t>
    <phoneticPr fontId="3" type="noConversion"/>
  </si>
  <si>
    <t>중금속 배출량</t>
  </si>
  <si>
    <t>Heavy metals</t>
    <phoneticPr fontId="3" type="noConversion"/>
  </si>
  <si>
    <t>암모니아(NH3) 배출량</t>
    <phoneticPr fontId="3" type="noConversion"/>
  </si>
  <si>
    <t>Ammonia (NH3)</t>
    <phoneticPr fontId="3" type="noConversion"/>
  </si>
  <si>
    <t>휘발성유기화합물 배출량(VOCs)</t>
    <phoneticPr fontId="3" type="noConversion"/>
  </si>
  <si>
    <t xml:space="preserve">Volatile organic compounds(VOC) </t>
    <phoneticPr fontId="3" type="noConversion"/>
  </si>
  <si>
    <t>잔류성 유기오염물질 배출량(POPs)</t>
    <phoneticPr fontId="3" type="noConversion"/>
  </si>
  <si>
    <t xml:space="preserve">Persistent organic pollutants (POPs) </t>
    <phoneticPr fontId="3" type="noConversion"/>
  </si>
  <si>
    <t>환경 관리</t>
    <phoneticPr fontId="3" type="noConversion"/>
  </si>
  <si>
    <t>친환경 원재료 구매액</t>
    <phoneticPr fontId="3" type="noConversion"/>
  </si>
  <si>
    <t>Cost of eco-friendly raw material purchases</t>
    <phoneticPr fontId="3" type="noConversion"/>
  </si>
  <si>
    <t>친환경 인증을 획득한 원재료 구매 비용
* 원재료: 농산물, 축산물, 가공품 등 제품 생산 원재료
* 친환경 원재료 인: 유기농, 무농약, 저탄소 농산물 인증 등 
  ('참고_친환경 인증 예시' sheet 참조)</t>
    <phoneticPr fontId="3" type="noConversion"/>
  </si>
  <si>
    <t>전략구매팀</t>
    <phoneticPr fontId="3" type="noConversion"/>
  </si>
  <si>
    <t>CJ-Gen-E28</t>
    <phoneticPr fontId="3" type="noConversion"/>
  </si>
  <si>
    <t>FB-PF-430a.1</t>
    <phoneticPr fontId="3" type="noConversion"/>
  </si>
  <si>
    <t>친환경 비품/소모품 구매액</t>
    <phoneticPr fontId="3" type="noConversion"/>
  </si>
  <si>
    <t>Cost of eco-friendly supplies purchases</t>
    <phoneticPr fontId="3" type="noConversion"/>
  </si>
  <si>
    <t>친환경 인증 획득 비품 또는 소모품 구매 비용
* 비품/소모품: A4용지, 노트북, 모니터 등
* 친환경 비품/소모품 인증: 환경표지, 저탄소, 우수재활용 인증 등
  ('참고_친환경 인증 예시'  참조)</t>
    <phoneticPr fontId="3" type="noConversion"/>
  </si>
  <si>
    <t>Amount of purchased eco-friendly supplies</t>
    <phoneticPr fontId="3" type="noConversion"/>
  </si>
  <si>
    <t>전략구매팀 / 공간디자인팀</t>
    <phoneticPr fontId="3" type="noConversion"/>
  </si>
  <si>
    <t>CJ-Gen-E29</t>
    <phoneticPr fontId="3" type="noConversion"/>
  </si>
  <si>
    <t>환경경영 관련 인증 사업장 수</t>
    <phoneticPr fontId="3" type="noConversion"/>
  </si>
  <si>
    <t>건</t>
    <phoneticPr fontId="3" type="noConversion"/>
  </si>
  <si>
    <t>Number of certified business sites related to environmental management</t>
    <phoneticPr fontId="3" type="noConversion"/>
  </si>
  <si>
    <t>Case</t>
  </si>
  <si>
    <t>ISO 14001 인증 획득 사업장 수 기준</t>
    <phoneticPr fontId="3" type="noConversion"/>
  </si>
  <si>
    <t>E _ 환경경영 관련 인증 사업장 수</t>
    <phoneticPr fontId="3" type="noConversion"/>
  </si>
  <si>
    <t>2023년 취득(본사 및 전국 직영 극장)</t>
    <phoneticPr fontId="3" type="noConversion"/>
  </si>
  <si>
    <t>환경 법규 위반 건 수</t>
    <phoneticPr fontId="3" type="noConversion"/>
  </si>
  <si>
    <t>Number of violations of environmental laws and regulations</t>
    <phoneticPr fontId="3" type="noConversion"/>
  </si>
  <si>
    <t>1) 사업보고서 '제제 등과 관련된 사항' 공시와 동일한 기준으로 법규 위반 Case수 취합
2) 법규 위반에 따른 처벌 또는 $10,000(한화 약 1,200만원) 이상의 벌금, 과징금, 과태료 부과 Case수 합산
* 수사사법 기관 및 행정 기관의 제재 현황을 공개</t>
  </si>
  <si>
    <t>1) Aggregate the number of violations of laws and regulations based on the same standard as the business report
2) Summation of fines, penalty surcharges, and negligence fines of more than $10,000 (about KRW 12 million) or penalties for violation of laws
*Disclosure of sanctions by investigative, judicial and administrative agencies</t>
    <phoneticPr fontId="3" type="noConversion"/>
  </si>
  <si>
    <t>법무컴플라이언스팀 / ESG경영팀</t>
    <phoneticPr fontId="3" type="noConversion"/>
  </si>
  <si>
    <t>CJ-Gen-E30</t>
    <phoneticPr fontId="3" type="noConversion"/>
  </si>
  <si>
    <t>FB-PF-140a.2</t>
    <phoneticPr fontId="3" type="noConversion"/>
  </si>
  <si>
    <t>친환경 인프라 투자 비용</t>
    <phoneticPr fontId="3" type="noConversion"/>
  </si>
  <si>
    <t xml:space="preserve">Cost of investment in eco-friendly infrastructure </t>
    <phoneticPr fontId="3" type="noConversion"/>
  </si>
  <si>
    <t>친환경 투자 금액 합산</t>
    <phoneticPr fontId="3" type="noConversion"/>
  </si>
  <si>
    <t xml:space="preserve">Total amount of eco-friendly investment </t>
    <phoneticPr fontId="3" type="noConversion"/>
  </si>
  <si>
    <t>상영기술팀 / F&amp;B사업팀</t>
    <phoneticPr fontId="3" type="noConversion"/>
  </si>
  <si>
    <t>CJ-Gen-E31</t>
    <phoneticPr fontId="3" type="noConversion"/>
  </si>
  <si>
    <t>총 포장재 재료 사용량</t>
    <phoneticPr fontId="3" type="noConversion"/>
  </si>
  <si>
    <t>Total packaging material consumption</t>
    <phoneticPr fontId="3" type="noConversion"/>
  </si>
  <si>
    <r>
      <t>Ton(m</t>
    </r>
    <r>
      <rPr>
        <vertAlign val="superscript"/>
        <sz val="11"/>
        <color theme="1"/>
        <rFont val="맑은 고딕"/>
        <family val="3"/>
        <charset val="129"/>
        <scheme val="minor"/>
      </rPr>
      <t>2</t>
    </r>
    <r>
      <rPr>
        <sz val="11"/>
        <color theme="1"/>
        <rFont val="맑은 고딕"/>
        <family val="3"/>
        <charset val="129"/>
        <scheme val="minor"/>
      </rPr>
      <t>)</t>
    </r>
    <phoneticPr fontId="3" type="noConversion"/>
  </si>
  <si>
    <t>총 포장재 재료 사용량 = 포장재 내 종이/플라스틱/금속/유리 사용량
Total packaging material consumption = paper/plastic/metal/glass consumption in packaging</t>
    <phoneticPr fontId="3" type="noConversion"/>
  </si>
  <si>
    <t>Total packaging material consumption = paper/plastic/metal/glass consumption in packaging</t>
    <phoneticPr fontId="3" type="noConversion"/>
  </si>
  <si>
    <t>CJ-Gen-E32</t>
    <phoneticPr fontId="3" type="noConversion"/>
  </si>
  <si>
    <t>포장재 내 종이 사용량</t>
    <phoneticPr fontId="3" type="noConversion"/>
  </si>
  <si>
    <t xml:space="preserve">Paper consumption in packaging  </t>
    <phoneticPr fontId="3" type="noConversion"/>
  </si>
  <si>
    <t>포장재 내 플라스틱 사용량</t>
    <phoneticPr fontId="3" type="noConversion"/>
  </si>
  <si>
    <t>Plastic consumption in packaging</t>
    <phoneticPr fontId="3" type="noConversion"/>
  </si>
  <si>
    <t>포장재 내 금속 사용량</t>
    <phoneticPr fontId="3" type="noConversion"/>
  </si>
  <si>
    <t xml:space="preserve">Metal consumption in packaging </t>
    <phoneticPr fontId="3" type="noConversion"/>
  </si>
  <si>
    <t>포장재 내 유리 사용량</t>
    <phoneticPr fontId="3" type="noConversion"/>
  </si>
  <si>
    <t xml:space="preserve">Glass consumption in packaging </t>
    <phoneticPr fontId="3" type="noConversion"/>
  </si>
  <si>
    <t>포장재 내 기타 재료 사용량</t>
    <phoneticPr fontId="3" type="noConversion"/>
  </si>
  <si>
    <t>Other consumption in packaging</t>
    <phoneticPr fontId="3" type="noConversion"/>
  </si>
  <si>
    <t>포장재 내 재생가능 재료 사용비율</t>
  </si>
  <si>
    <t xml:space="preserve">Ratio of renewable materials in the packaging materials </t>
    <phoneticPr fontId="3" type="noConversion"/>
  </si>
  <si>
    <t>제품 내 재생가능 재료 사용비율 = 제품 포장에 사용된 (재생가능 재료의 총량 / 총 재료의 총량)</t>
    <phoneticPr fontId="3" type="noConversion"/>
  </si>
  <si>
    <t>Ratio of renewable materials in the products = Total amount of renewable materials/Total amount of materials used for packaging</t>
    <phoneticPr fontId="3" type="noConversion"/>
  </si>
  <si>
    <t>CJ-Gen-E33</t>
    <phoneticPr fontId="3" type="noConversion"/>
  </si>
  <si>
    <t>FB-PF-410a.1</t>
    <phoneticPr fontId="3" type="noConversion"/>
  </si>
  <si>
    <t>포장에 사용된 재생 재료의 총량</t>
    <phoneticPr fontId="3" type="noConversion"/>
  </si>
  <si>
    <t>Total amount of renewable materials</t>
    <phoneticPr fontId="3" type="noConversion"/>
  </si>
  <si>
    <t>CJ-Gen-E32</t>
  </si>
  <si>
    <t>총 포장 재료 사용량</t>
    <phoneticPr fontId="3" type="noConversion"/>
  </si>
  <si>
    <t>Total amount of materials used for packaging</t>
    <phoneticPr fontId="3" type="noConversion"/>
  </si>
  <si>
    <t>포장재 내 재생 원재료 사용비율</t>
    <phoneticPr fontId="3" type="noConversion"/>
  </si>
  <si>
    <t>Ratio of recycled materials in the packaging materials</t>
    <phoneticPr fontId="3" type="noConversion"/>
  </si>
  <si>
    <t>제품 내 재생 원재료 사용비율 = 제품 포장에 사용된 (재생 원재료의 총량 / 총 재료의 총량)</t>
    <phoneticPr fontId="3" type="noConversion"/>
  </si>
  <si>
    <t xml:space="preserve">Ratio of recycled materials in the products = (total amount of recycled materials) used in the products and packaging / total amount of materials used </t>
    <phoneticPr fontId="3" type="noConversion"/>
  </si>
  <si>
    <t>CJ-Gen-E34</t>
    <phoneticPr fontId="3" type="noConversion"/>
  </si>
  <si>
    <t xml:space="preserve">Paper used in the products and packaging </t>
    <phoneticPr fontId="3" type="noConversion"/>
  </si>
  <si>
    <t xml:space="preserve">Plastic used in the products and packaging </t>
    <phoneticPr fontId="3" type="noConversion"/>
  </si>
  <si>
    <t xml:space="preserve">Metal used in the products and packaging </t>
    <phoneticPr fontId="3" type="noConversion"/>
  </si>
  <si>
    <t xml:space="preserve">Glass used in the products and packaging </t>
    <phoneticPr fontId="3" type="noConversion"/>
  </si>
  <si>
    <t xml:space="preserve">Others used in the products and packaging </t>
    <phoneticPr fontId="3" type="noConversion"/>
  </si>
  <si>
    <t>순환가능 패키징 비율</t>
    <phoneticPr fontId="3" type="noConversion"/>
  </si>
  <si>
    <t>Ratio of circular packaging</t>
    <phoneticPr fontId="3" type="noConversion"/>
  </si>
  <si>
    <t>순환가능 패키징 비율 = (재활용 가능 포장재 중량 + 재사용 가능 포장재 중량 + 퇴비화 가능 포장재 중량) / 포장재의 총 중량</t>
    <phoneticPr fontId="3" type="noConversion"/>
  </si>
  <si>
    <t>Ratio of circular packaging = (Weight of recyclable packaging materials + Weight of reusable packaging materials + Weight of compostable packaging materials) / Total weight of packaging materials</t>
    <phoneticPr fontId="3" type="noConversion"/>
  </si>
  <si>
    <t>CJ-Gen-E35</t>
    <phoneticPr fontId="3" type="noConversion"/>
  </si>
  <si>
    <t>재활용 가능 포장재 중량</t>
    <phoneticPr fontId="3" type="noConversion"/>
  </si>
  <si>
    <t xml:space="preserve">Weight of recyclable packaging materials </t>
    <phoneticPr fontId="3" type="noConversion"/>
  </si>
  <si>
    <t>재사용 가능 포장재 중량</t>
    <phoneticPr fontId="3" type="noConversion"/>
  </si>
  <si>
    <t xml:space="preserve">Weight of reusable packaging materials </t>
    <phoneticPr fontId="3" type="noConversion"/>
  </si>
  <si>
    <t>퇴비화 가능 포장재 중량</t>
    <phoneticPr fontId="3" type="noConversion"/>
  </si>
  <si>
    <t xml:space="preserve">Weight of compostable packaging materials </t>
    <phoneticPr fontId="3" type="noConversion"/>
  </si>
  <si>
    <t>포장재의 총 중량</t>
    <phoneticPr fontId="3" type="noConversion"/>
  </si>
  <si>
    <t>Total weight of packaging materials</t>
    <phoneticPr fontId="3" type="noConversion"/>
  </si>
  <si>
    <t>ESG 성과(정량데이터) 취합_ESG DATA SHEET</t>
  </si>
  <si>
    <t>3개년도</t>
    <phoneticPr fontId="3" type="noConversion"/>
  </si>
  <si>
    <t>현지통화기준</t>
    <phoneticPr fontId="3" type="noConversion"/>
  </si>
  <si>
    <t>별도기준</t>
  </si>
  <si>
    <t>K VND</t>
    <phoneticPr fontId="3" type="noConversion"/>
  </si>
  <si>
    <t>(해외) CGV인니</t>
    <phoneticPr fontId="3" type="noConversion"/>
  </si>
  <si>
    <t>IN IDR</t>
    <phoneticPr fontId="3" type="noConversion"/>
  </si>
  <si>
    <t>(해외) 튀르키예</t>
    <phoneticPr fontId="3" type="noConversion"/>
  </si>
  <si>
    <t>TL</t>
    <phoneticPr fontId="3" type="noConversion"/>
  </si>
  <si>
    <t>173,763,76</t>
    <phoneticPr fontId="3" type="noConversion"/>
  </si>
  <si>
    <t>54,826,65</t>
    <phoneticPr fontId="3" type="noConversion"/>
  </si>
  <si>
    <t>7,569,641,49</t>
    <phoneticPr fontId="3" type="noConversion"/>
  </si>
  <si>
    <t>회사 지급 비율 (%)</t>
    <phoneticPr fontId="3" type="noConversion"/>
  </si>
  <si>
    <t>회사 전체 지급</t>
  </si>
  <si>
    <t>N/A</t>
    <phoneticPr fontId="3" type="noConversion"/>
  </si>
  <si>
    <t>N/A</t>
  </si>
  <si>
    <t>튀르키예 퇴직급여 지급내역(66행)이 있는데 지급주체는 확인이 안되는걸까요? -&gt; 0503 회신: 회람요청시 재확인 예정</t>
    <phoneticPr fontId="3" type="noConversion"/>
  </si>
  <si>
    <t>산출불가</t>
    <phoneticPr fontId="3" type="noConversion"/>
  </si>
  <si>
    <t>451,103,67</t>
    <phoneticPr fontId="3" type="noConversion"/>
  </si>
  <si>
    <t>1,244,268,16</t>
    <phoneticPr fontId="3" type="noConversion"/>
  </si>
  <si>
    <t>9,215,440,57</t>
    <phoneticPr fontId="3" type="noConversion"/>
  </si>
  <si>
    <t>#</t>
    <phoneticPr fontId="3" type="noConversion"/>
  </si>
  <si>
    <t>온실가스 직·간접 배출량 (Scope 1+2)</t>
  </si>
  <si>
    <t>2022년 온실가스 배출량 및 배출 집약도는 향후 변경 가능. 온실가스 직·간접 배출량은 직접 배출량과 간접 배출량의 단순 합산값으로 온실가스 검증성명서의 온실가스 총량과 상이할 수 있음.</t>
    <phoneticPr fontId="3" type="noConversion"/>
  </si>
  <si>
    <t>23/9/14 기준</t>
  </si>
  <si>
    <t>24/3/29 기준</t>
  </si>
  <si>
    <t>미산출</t>
  </si>
  <si>
    <t>tCO2eq/억원</t>
    <phoneticPr fontId="3" type="noConversion"/>
  </si>
  <si>
    <t>미산출</t>
    <phoneticPr fontId="3" type="noConversion"/>
  </si>
  <si>
    <t>CGV사업보고서</t>
    <phoneticPr fontId="3" type="noConversion"/>
  </si>
  <si>
    <t>온실가스 감축량</t>
    <phoneticPr fontId="3" type="noConversion"/>
  </si>
  <si>
    <t>Greenhouse Gas (GHG) Reductions</t>
    <phoneticPr fontId="3" type="noConversion"/>
  </si>
  <si>
    <t>온실가스 감축량 = 온실가스 감축 목표량 - 해당연도 온실가스 배출량(Scope 1+Scope2)
GHG reduction= Target GHG reduction - GHG emissions for the relevant year (Scope 1+Scope 2)</t>
    <phoneticPr fontId="3" type="noConversion"/>
  </si>
  <si>
    <t>GHG reduction= Target GHG reduction - GHG emissions for the relevant year (Scope 1+Scope 2)</t>
    <phoneticPr fontId="3" type="noConversion"/>
  </si>
  <si>
    <t>온실가스 감축 목표량</t>
    <phoneticPr fontId="3" type="noConversion"/>
  </si>
  <si>
    <t>온실가스 배출량 감축</t>
    <phoneticPr fontId="3" type="noConversion"/>
  </si>
  <si>
    <t>GRI 305-5</t>
    <phoneticPr fontId="3" type="noConversion"/>
  </si>
  <si>
    <t>온실가스 배출 허용량</t>
    <phoneticPr fontId="3" type="noConversion"/>
  </si>
  <si>
    <t>GHG emission allowances</t>
    <phoneticPr fontId="3" type="noConversion"/>
  </si>
  <si>
    <t>온실가스 배출량 (실제 사용량)</t>
    <phoneticPr fontId="3" type="noConversion"/>
  </si>
  <si>
    <t>GHG emissions (Actual use)</t>
    <phoneticPr fontId="3" type="noConversion"/>
  </si>
  <si>
    <t>- 전기(비재생) 1,096.4
- 연료 141.3
- 스팀, 열 30.8</t>
  </si>
  <si>
    <t>-전기(비재생) 1,304.46
-연료 151.764
-스팀 35.67</t>
  </si>
  <si>
    <t>MKwh*TJ (0.0036)</t>
  </si>
  <si>
    <t>CGV배곧 1개지점
태양광 시설 사용하나 실적 매우 미비하여 제외</t>
  </si>
  <si>
    <t>비재생 에너지 사용량</t>
  </si>
  <si>
    <t>비재생 에너지 사용량 = 비재생 연료 기반 에너지 사용량 + 구매한 비재생 에너지 사용량
 * 기본산식 = 활동자료(연료 사용량) * 발열량</t>
    <phoneticPr fontId="3" type="noConversion"/>
  </si>
  <si>
    <t>- 연료 141.3
- 스팀, 열 30.8</t>
  </si>
  <si>
    <t>-연료 151.764
-스팀 35.67</t>
  </si>
  <si>
    <t>재생 에너지 사용량</t>
  </si>
  <si>
    <t>재생 에너지 사용량 = 재생 연료 소비 에너지 사용량 + 구매한 재생 에너지 사용량 + 자가생산 재생 에너지 사용량
 * 기본산식 = 활동자료(연료 사용량) * 발열량</t>
    <phoneticPr fontId="3" type="noConversion"/>
  </si>
  <si>
    <t xml:space="preserve">재생 에너지 사용량 </t>
    <phoneticPr fontId="3" type="noConversion"/>
  </si>
  <si>
    <t>산출불가</t>
  </si>
  <si>
    <t>수도 사용량</t>
    <phoneticPr fontId="3" type="noConversion"/>
  </si>
  <si>
    <t xml:space="preserve">Total withdrawal </t>
    <phoneticPr fontId="3" type="noConversion"/>
  </si>
  <si>
    <t>비즈니스 성격상, 용수 사용량 0으로 간주, 취수량=배출량으로 기재
용산본사+용산 사이트에 한해 Data 보유</t>
  </si>
  <si>
    <t>비즈니스 성격상  취수량=배출량으로 기재</t>
  </si>
  <si>
    <t>국내 대비 숫자 단위가 상이하여 숫자 재확인 요청 드립니다. 4DPLEX 시트 내AE126열에 단위: RMB라고 적어주셨는데, 총 용수 배출량 단위가 Ton(m3)인지 확인 요청드립니다</t>
    <phoneticPr fontId="3" type="noConversion"/>
  </si>
  <si>
    <t>국내 CGV 직영사이트 기준</t>
  </si>
  <si>
    <t xml:space="preserve">Total water withdrawal </t>
    <phoneticPr fontId="3" type="noConversion"/>
  </si>
  <si>
    <t xml:space="preserve">Total water consumption </t>
    <phoneticPr fontId="3" type="noConversion"/>
  </si>
  <si>
    <t>생화학적 산소요구량 9BOD)</t>
    <phoneticPr fontId="3" type="noConversion"/>
  </si>
  <si>
    <t>전국 직영사이트 주요 매점 패키지 무게를 폐기물 배출량으로 산정</t>
  </si>
  <si>
    <t>*Mall waste collection area
*Calculated by taking into account waste arising from consumption.</t>
  </si>
  <si>
    <t>*용산본사+용산 사이트에 한해 Data 보유
 22.472 (본사) + 63.958 (CGV용산)</t>
  </si>
  <si>
    <t>*용산본사+용산 사이트에 한해 Data 보유</t>
  </si>
  <si>
    <t xml:space="preserve">*산출범위 확대 : </t>
  </si>
  <si>
    <t>상기 일반폐기물 내 포함된 질량</t>
  </si>
  <si>
    <r>
      <t>기타(매립+소각)</t>
    </r>
    <r>
      <rPr>
        <b/>
        <vertAlign val="superscript"/>
        <sz val="11"/>
        <color theme="1"/>
        <rFont val="맑은 고딕"/>
        <family val="3"/>
        <charset val="129"/>
        <scheme val="minor"/>
      </rPr>
      <t>1)</t>
    </r>
    <phoneticPr fontId="3" type="noConversion"/>
  </si>
  <si>
    <t>H</t>
    <phoneticPr fontId="3" type="noConversion"/>
  </si>
  <si>
    <t>공간디자인팀 493.59(t) 기타(매립+소각) 폐기물량이 있긴 함</t>
    <phoneticPr fontId="3" type="noConversion"/>
  </si>
  <si>
    <t>CGV서면 석면폐기물 배출</t>
    <phoneticPr fontId="3" type="noConversion"/>
  </si>
  <si>
    <r>
      <t>Ton(m</t>
    </r>
    <r>
      <rPr>
        <vertAlign val="superscript"/>
        <sz val="11"/>
        <color theme="1"/>
        <rFont val="맑은 고딕"/>
        <family val="3"/>
        <charset val="129"/>
        <scheme val="minor"/>
      </rPr>
      <t>3</t>
    </r>
    <r>
      <rPr>
        <sz val="11"/>
        <color theme="1"/>
        <rFont val="맑은 고딕"/>
        <family val="3"/>
        <charset val="129"/>
        <scheme val="minor"/>
      </rPr>
      <t>)/억원</t>
    </r>
    <phoneticPr fontId="3" type="noConversion"/>
  </si>
  <si>
    <t>*용산본사+용산 사이트에 한해 Data 보유
일반폐기물 864.209kg, 재활용폐기물 782,798kg(아이파크몰 총 폐기물 발생량*면적비10%)</t>
  </si>
  <si>
    <t>*용산본사+용산 사이트에 한해 Data 보유
(아이파크몰 총 폐기물 발생량*면적비10%로 산출 예정)</t>
  </si>
  <si>
    <t>1,056.50 / 7,733.26 값으로 수정</t>
    <phoneticPr fontId="3" type="noConversion"/>
  </si>
  <si>
    <t xml:space="preserve">Total waste discharge </t>
    <phoneticPr fontId="3" type="noConversion"/>
  </si>
  <si>
    <t>Ton(m3)</t>
    <phoneticPr fontId="3" type="noConversion"/>
  </si>
  <si>
    <t>억원으로 변경</t>
  </si>
  <si>
    <t>*용산본사+용산 사이트에 한해 Data 집계
(폐기물 총량-재활용량)</t>
  </si>
  <si>
    <t>공간디자인팀 공사 후 폐기물 배출량</t>
    <phoneticPr fontId="3" type="noConversion"/>
  </si>
  <si>
    <t>폐점 및 면적반납</t>
  </si>
  <si>
    <t>·NOx 배출량</t>
    <phoneticPr fontId="3" type="noConversion"/>
  </si>
  <si>
    <t>·SOx 배출량</t>
    <phoneticPr fontId="3" type="noConversion"/>
  </si>
  <si>
    <t>·먼지 배출량</t>
    <phoneticPr fontId="3" type="noConversion"/>
  </si>
  <si>
    <t>·일산화탄소(CO)배출량</t>
    <phoneticPr fontId="3" type="noConversion"/>
  </si>
  <si>
    <t>·중금속 배출량</t>
    <phoneticPr fontId="3" type="noConversion"/>
  </si>
  <si>
    <t>·암모니아(NH3) 배출량</t>
    <phoneticPr fontId="3" type="noConversion"/>
  </si>
  <si>
    <t>·휘발성유기화합물 배출량(VOCs)</t>
    <phoneticPr fontId="3" type="noConversion"/>
  </si>
  <si>
    <t>·잔류성 유기오염물질 배출량(POPs)</t>
    <phoneticPr fontId="3" type="noConversion"/>
  </si>
  <si>
    <t>* FSC인증 영수증 용지 구매 금액(비품24,408,140)
*건축/인테리어 비품 구매 금액
'-P타일(대진, 환경표지인증) : 27,968,514원
-P타일(LG하우시스, 환경표지인증, 저탄소인증) :10,175,462원
-타공석고보드(환경표지인증):12,420,200원 
-합계 50,564,176원
공간디자인팀 내 친환경인증 소재 구매 현황 별첨 기재</t>
  </si>
  <si>
    <t>*  FSC인증 영수증 용지 구매 금액 (비품75,517,400)
* 건축/인테리어 비품 구매 금액
'-P타일(대진 환경표지인증) : 103,538,575원
-P타일(LG하우시스, 환경표지인증, 저탄소인증) : 10,892,880원
-타공석고보드(환경표지인증): 86,742,720원 
-합계 201,174,175원
공간디자인팀 내 친환경인증 소재 구매 현황 별첨 기재</t>
  </si>
  <si>
    <t>(건축/인테리어비품 제외)</t>
  </si>
  <si>
    <t>1) 사업보고서 '제제 등과 관련된 사항' 공시와 동일한 기준으로 법규 위반 Case수 취합
2) 법규 위반에 따른 처벌 또는 $10,000(한화 약 1,200만원) 이상의 벌금, 과징금, 과태료 부과 Case수 합산
* 수사·사법 기관 및 행정 기관의 제재 현황을 공개</t>
  </si>
  <si>
    <t>영사기술팀 레이저 프로젝트 교체 투자비(19대) 10.35억원
레이저 영사기 : 기존 영사기 比 에너지 소모량 1/3수준(67.9% 절감)
관련 내용 품의 내 기재, 관련 보고서 내 기재되어 있음</t>
  </si>
  <si>
    <t>영사기술팀-레이처 프로젝트 교체 위해 발주하였으나 글로벌 공급상황 상 연내 집행 X
F&amp;B사업팀-22년 1회용품 보증금제 시행일(22/12~) 준수 위한 IT시스템 구축 투자비 (별도 프로젝트 범위 투자 비용). 환경부 규제 대응 내용 품의 내 기재되어 있음 
- POS : 52,344,000원(VAT별도)
- AIO KIOSK ; 69,000,000원(VAT별도)</t>
  </si>
  <si>
    <t>레이저 광원 업그레이드 133대(22.2억)
레이저 신규 교체 88대(69.3억)
이 외 50대 발주 수량이 있으나 24년 상반기 교체 진행</t>
  </si>
  <si>
    <t xml:space="preserve">23년 투자비 </t>
  </si>
  <si>
    <t>There's not any violatons of anti-corruption related laws.</t>
  </si>
  <si>
    <t>실적없음</t>
  </si>
  <si>
    <t>There's not any sanctions for violation of informatin protection related laws.</t>
  </si>
  <si>
    <t>사회성과</t>
    <phoneticPr fontId="3" type="noConversion"/>
  </si>
  <si>
    <t>Social Performance</t>
    <phoneticPr fontId="3" type="noConversion"/>
  </si>
  <si>
    <t>인력 현황</t>
    <phoneticPr fontId="3" type="noConversion"/>
  </si>
  <si>
    <t>Human Resources</t>
    <phoneticPr fontId="3" type="noConversion"/>
  </si>
  <si>
    <t>총 임직원 수</t>
  </si>
  <si>
    <t>명</t>
  </si>
  <si>
    <t xml:space="preserve">Total number of employees </t>
    <phoneticPr fontId="3" type="noConversion"/>
  </si>
  <si>
    <t>Person</t>
  </si>
  <si>
    <t>총 임직원수 = 기간의 정함이 없는 근로자 수 + 기간제 근로자 수 + 임원(사외이사 제외)</t>
    <phoneticPr fontId="3" type="noConversion"/>
  </si>
  <si>
    <t xml:space="preserve">Total number of employees = number of workers without fixed term contracts+ number of workers with fixed term contracts + executives (excluding independent directors) 
</t>
    <phoneticPr fontId="3" type="noConversion"/>
  </si>
  <si>
    <t>인사혁신팀</t>
    <phoneticPr fontId="3" type="noConversion"/>
  </si>
  <si>
    <t>내부 시스템</t>
    <phoneticPr fontId="3" type="noConversion"/>
  </si>
  <si>
    <t>CJ-Gen-S1</t>
  </si>
  <si>
    <t>GRI 2-7</t>
  </si>
  <si>
    <t>SV-AD-000.D</t>
    <phoneticPr fontId="3" type="noConversion"/>
  </si>
  <si>
    <t>명</t>
    <phoneticPr fontId="3" type="noConversion"/>
  </si>
  <si>
    <t>기간의 정함이 없는 근로자 수</t>
  </si>
  <si>
    <t xml:space="preserve">Number of workers without fixed term contracts </t>
    <phoneticPr fontId="3" type="noConversion"/>
  </si>
  <si>
    <t>인사운영팀/인사혁신팀</t>
    <phoneticPr fontId="3" type="noConversion"/>
  </si>
  <si>
    <t>Full+Part</t>
  </si>
  <si>
    <t>Full</t>
  </si>
  <si>
    <t xml:space="preserve">Full time 기준
</t>
  </si>
  <si>
    <t>Fulltime (including Expat)</t>
  </si>
  <si>
    <t xml:space="preserve">Fulltime (including Expat) </t>
  </si>
  <si>
    <t>Full time기준)미소지기는 아웃소싱</t>
  </si>
  <si>
    <t>기간제 근로자 수</t>
  </si>
  <si>
    <t xml:space="preserve">Number of workers with fixed term contracts </t>
    <phoneticPr fontId="3" type="noConversion"/>
  </si>
  <si>
    <t xml:space="preserve">Total number of employees =number of workers without fixed term contracts+ number of workers with fixed term contracts + executives (excluding independent directors) 
</t>
    <phoneticPr fontId="3" type="noConversion"/>
  </si>
  <si>
    <t>Full-time+PT+Intern+Temp</t>
  </si>
  <si>
    <t>임원 수 (등기 + 미등기)</t>
  </si>
  <si>
    <t xml:space="preserve">Executives (excluding independent directors) </t>
    <phoneticPr fontId="3" type="noConversion"/>
  </si>
  <si>
    <t>인사운영팀</t>
    <phoneticPr fontId="3" type="noConversion"/>
  </si>
  <si>
    <t>Full time</t>
  </si>
  <si>
    <t>미등기임원 1명</t>
  </si>
  <si>
    <t>4 Expat &amp; 1 Local</t>
  </si>
  <si>
    <t>Expat only</t>
  </si>
  <si>
    <t>BOD 5명, BOC 2명</t>
  </si>
  <si>
    <t>현지채용인원 (정규직+비정규직)</t>
    <phoneticPr fontId="3" type="noConversion"/>
  </si>
  <si>
    <t>Number of local workers without fixed term contracts (full-time, indefinite contract workers)</t>
    <phoneticPr fontId="3" type="noConversion"/>
  </si>
  <si>
    <t>정규직+계약직</t>
  </si>
  <si>
    <t>정규직 + 계약직</t>
  </si>
  <si>
    <t>Exclusive 04 Expat</t>
  </si>
  <si>
    <t>임직원 구성 (고용 형태별)</t>
    <phoneticPr fontId="3" type="noConversion"/>
  </si>
  <si>
    <t>CJ-Gen-S4</t>
  </si>
  <si>
    <t>기간의 정함이 없는 근로자 수</t>
    <phoneticPr fontId="3" type="noConversion"/>
  </si>
  <si>
    <t xml:space="preserve">Non-fixed-term workers 
</t>
    <phoneticPr fontId="3" type="noConversion"/>
  </si>
  <si>
    <t>총 임직원 수(고용 형태별)= 기간의 정함이 없는 근로자+기간제 근로자 또는 풀타임 근로자+파트타임 근로자+근무시간 비보장 근로자</t>
    <phoneticPr fontId="3" type="noConversion"/>
  </si>
  <si>
    <t>Total number of employees (by employment type)= non-fixed-term workers, fixed-term workers, full-time workers, part-time workers, non-guaranteed-hour workers</t>
    <phoneticPr fontId="3" type="noConversion"/>
  </si>
  <si>
    <t xml:space="preserve">Full time
(35번 지표 합산)
</t>
  </si>
  <si>
    <t>Fulltime</t>
  </si>
  <si>
    <t>기간제 근로자 수</t>
    <phoneticPr fontId="3" type="noConversion"/>
  </si>
  <si>
    <t xml:space="preserve">Fixed-term workers 
</t>
    <phoneticPr fontId="3" type="noConversion"/>
  </si>
  <si>
    <t>Full(임원+계약직)</t>
  </si>
  <si>
    <t>Full-time+PT</t>
  </si>
  <si>
    <t>전일제 근로자 수</t>
    <phoneticPr fontId="3" type="noConversion"/>
  </si>
  <si>
    <t xml:space="preserve">Full-time workers 
</t>
    <phoneticPr fontId="3" type="noConversion"/>
  </si>
  <si>
    <t>Full(임원+계약+정규직)</t>
  </si>
  <si>
    <t>파트타임 근로자 수</t>
    <phoneticPr fontId="3" type="noConversion"/>
  </si>
  <si>
    <t xml:space="preserve">Part-time workers </t>
    <phoneticPr fontId="3" type="noConversion"/>
  </si>
  <si>
    <t>Part</t>
  </si>
  <si>
    <t>Outsource</t>
  </si>
  <si>
    <t>근로시간 비보장 계약 근로자 수</t>
    <phoneticPr fontId="3" type="noConversion"/>
  </si>
  <si>
    <t>Non-guaranteed-hour workers</t>
    <phoneticPr fontId="3" type="noConversion"/>
  </si>
  <si>
    <t>총 임직원 수(고용 형태별)= 기간의 정함이 없는 근로자, 기간제 근로자, 풀타임 근로자, 파트타임 근로자, 근무시간 비보장 근로자</t>
    <phoneticPr fontId="3" type="noConversion"/>
  </si>
  <si>
    <t>임직원 구성 (성별)</t>
  </si>
  <si>
    <t>Composition of employees by gender</t>
    <phoneticPr fontId="3" type="noConversion"/>
  </si>
  <si>
    <t>CJ-Gen-S2</t>
  </si>
  <si>
    <t>GRI 2-7
GRI 405-1</t>
    <phoneticPr fontId="3" type="noConversion"/>
  </si>
  <si>
    <t>SV-ME-260a.1
SV-AD-330a.1</t>
    <phoneticPr fontId="3" type="noConversion"/>
  </si>
  <si>
    <t>남성</t>
    <phoneticPr fontId="3" type="noConversion"/>
  </si>
  <si>
    <t xml:space="preserve">Total number of male employees </t>
    <phoneticPr fontId="3" type="noConversion"/>
  </si>
  <si>
    <t>총 임직원 수(성별) = 총 남성 임직원 수 + 총 여성 임직원 수</t>
    <phoneticPr fontId="3" type="noConversion"/>
  </si>
  <si>
    <t>Total number of employees (by gender) = Total number of male employees + Total number of female employees</t>
    <phoneticPr fontId="3" type="noConversion"/>
  </si>
  <si>
    <t>내부 시스템</t>
  </si>
  <si>
    <t>Full time+Part time</t>
  </si>
  <si>
    <t>여성</t>
    <phoneticPr fontId="3" type="noConversion"/>
  </si>
  <si>
    <t>Total number of female employees</t>
    <phoneticPr fontId="3" type="noConversion"/>
  </si>
  <si>
    <t>Percentage BOD BOC laki2</t>
  </si>
  <si>
    <t>경영진 구성 (성별)</t>
    <phoneticPr fontId="3" type="noConversion"/>
  </si>
  <si>
    <t>Composition of governance bodies by gender</t>
    <phoneticPr fontId="3" type="noConversion"/>
  </si>
  <si>
    <t>GRI 405-1</t>
    <phoneticPr fontId="3" type="noConversion"/>
  </si>
  <si>
    <t xml:space="preserve">Percentage of male employees </t>
    <phoneticPr fontId="3" type="noConversion"/>
  </si>
  <si>
    <t xml:space="preserve">남성 임원 비율 = 남성 임원 수 / 총 임원 수 </t>
    <phoneticPr fontId="3" type="noConversion"/>
  </si>
  <si>
    <t xml:space="preserve">Percentage of male governance bodies = Number of male employees in the governance bodies / Total number of employees in the governance bodies 
</t>
    <phoneticPr fontId="3" type="noConversion"/>
  </si>
  <si>
    <t>Percentage of female employees</t>
    <phoneticPr fontId="3" type="noConversion"/>
  </si>
  <si>
    <t xml:space="preserve">여성 임원 비율 = 여성 임원 수 / 총 임원 수 </t>
    <phoneticPr fontId="3" type="noConversion"/>
  </si>
  <si>
    <t xml:space="preserve">Percentage of female governance bodies = Number of female employees in the governance bodies / Total number of employees in the governance bodies </t>
    <phoneticPr fontId="3" type="noConversion"/>
  </si>
  <si>
    <t>전문직 구성
(성별)</t>
    <phoneticPr fontId="3" type="noConversion"/>
  </si>
  <si>
    <t>Composition of professionals by gender</t>
    <phoneticPr fontId="3" type="noConversion"/>
  </si>
  <si>
    <t>SASB에서 요구하는 지표로 특정 조건이(경력, 자격증, 학위)요구되는 직무를 전문직으로 분류할 수 있음. 전문직의 대상 범위는 회사마다 다르게 정의함(정해진 가이드라인 無)</t>
    <phoneticPr fontId="3" type="noConversion"/>
  </si>
  <si>
    <t>Percentage of male professionals = number of male professionals / total number of male employees</t>
  </si>
  <si>
    <t>별도 전문직을 구분하여 관리하지 않음</t>
  </si>
  <si>
    <t>Percentage of female professionals = number of female professionals / total number of female employees</t>
    <phoneticPr fontId="3" type="noConversion"/>
  </si>
  <si>
    <t>임직원 구성
(연령대)</t>
    <phoneticPr fontId="3" type="noConversion"/>
  </si>
  <si>
    <t>Composition of employees by age group</t>
    <phoneticPr fontId="3" type="noConversion"/>
  </si>
  <si>
    <t>CJ-Gen-S3</t>
  </si>
  <si>
    <t>30세 미만</t>
    <phoneticPr fontId="3" type="noConversion"/>
  </si>
  <si>
    <t xml:space="preserve">Number of employees under 30 </t>
    <phoneticPr fontId="3" type="noConversion"/>
  </si>
  <si>
    <t>총 임직원 수(연령별) = 30세 미만 임직원 수 + 30세 이상~50세 미만 임직원 수 + 50세 이상 임직원 수</t>
    <phoneticPr fontId="3" type="noConversion"/>
  </si>
  <si>
    <t>Total number of employees (by age) = Number of employees under 30 + Number of employees aged 30 to 50 + Number of employees aged over 50</t>
    <phoneticPr fontId="3" type="noConversion"/>
  </si>
  <si>
    <t>30세 이상 ~ 50세 이하</t>
    <phoneticPr fontId="3" type="noConversion"/>
  </si>
  <si>
    <t xml:space="preserve">Number of employees aged 30 to 50 </t>
    <phoneticPr fontId="3" type="noConversion"/>
  </si>
  <si>
    <t>Total number of employees (by age) = Number of employees under 30 + Number of employees aged 30 to 50 + Number of employees aged over 51</t>
    <phoneticPr fontId="3" type="noConversion"/>
  </si>
  <si>
    <t>50세 초과</t>
    <phoneticPr fontId="3" type="noConversion"/>
  </si>
  <si>
    <t>Number of employees aged over 50</t>
    <phoneticPr fontId="3" type="noConversion"/>
  </si>
  <si>
    <t>Total number of employees (by age) = Number of employees under 30 + Number of employees aged 30 to 50 + Number of employees aged over 52</t>
    <phoneticPr fontId="3" type="noConversion"/>
  </si>
  <si>
    <t>임직원 구성 (국적별)</t>
    <phoneticPr fontId="3" type="noConversion"/>
  </si>
  <si>
    <t>Composition of employees by nationality</t>
    <phoneticPr fontId="3" type="noConversion"/>
  </si>
  <si>
    <t>총 임직원 수(국가별) = ∑ (국가별 임직원 수)</t>
    <phoneticPr fontId="3" type="noConversion"/>
  </si>
  <si>
    <t>Total number of employees (by nationality) = ∑ (Number of employees by nationality)</t>
    <phoneticPr fontId="3" type="noConversion"/>
  </si>
  <si>
    <t>CJ-Gen-S5</t>
  </si>
  <si>
    <t>"임직원 구성" 국적별 또는 한국/해외 구분 검토 요청드립니다</t>
    <phoneticPr fontId="3" type="noConversion"/>
  </si>
  <si>
    <t>한국 Full time</t>
  </si>
  <si>
    <t>한국 138, 미국 14, 중국 27, 인도 1, 아제르바이잔 1, 네덜란드 1, 러시아 1</t>
  </si>
  <si>
    <t>한국 179, 미국 20, 중국 29, 인도 1, 아제르바이잔 1, 네덜란드 1, 러시아 1</t>
  </si>
  <si>
    <t>Vietnamese EE only ( Korean Expat: 04)</t>
  </si>
  <si>
    <t>임원 구성
(연령대)</t>
    <phoneticPr fontId="3" type="noConversion"/>
  </si>
  <si>
    <t>Composition of executives by age group</t>
    <phoneticPr fontId="3" type="noConversion"/>
  </si>
  <si>
    <t xml:space="preserve">없음 </t>
  </si>
  <si>
    <t>조진호님, 손종수님</t>
    <phoneticPr fontId="3" type="noConversion"/>
  </si>
  <si>
    <t>2023년 비고란 임원진 이름 밝혀도 괜찮은지 확인 요청 드립니다.</t>
    <phoneticPr fontId="3" type="noConversion"/>
  </si>
  <si>
    <t>허민회님, 이명형님, 최정필님, 이재현님</t>
    <phoneticPr fontId="3" type="noConversion"/>
  </si>
  <si>
    <t>관리자 수</t>
    <phoneticPr fontId="3" type="noConversion"/>
  </si>
  <si>
    <t>Total number of managers</t>
    <phoneticPr fontId="3" type="noConversion"/>
  </si>
  <si>
    <t>CM 이상 (임원 포함)</t>
    <phoneticPr fontId="3" type="noConversion"/>
  </si>
  <si>
    <t>CJ-Gen-S23</t>
    <phoneticPr fontId="3" type="noConversion"/>
  </si>
  <si>
    <t>GRI 202-2</t>
    <phoneticPr fontId="3" type="noConversion"/>
  </si>
  <si>
    <t>4DPLEX (국내) 2023년 숫자에 메모로 "인사팀으로부터 임원인 관리자 수로 확인. 임원여부 무관 관리자 수는 27명 (여성 4명)"라고 회신 주셔서 27명으로 반영했습니다. 임원 여부 무관 기준으로 관리자 수, 관리자 비율, 전체 직원 대비 관리자 비율 데이터 요청 드립니다</t>
    <phoneticPr fontId="3" type="noConversion"/>
  </si>
  <si>
    <t>G5이상 인원수 기준 산정</t>
    <phoneticPr fontId="3" type="noConversion"/>
  </si>
  <si>
    <t>Div head &amp; dept Head</t>
  </si>
  <si>
    <t>관리자 비율</t>
    <phoneticPr fontId="3" type="noConversion"/>
  </si>
  <si>
    <t>Manager ratio</t>
    <phoneticPr fontId="3" type="noConversion"/>
  </si>
  <si>
    <t>관리자 (CM 이상) / 총 임직원 수</t>
    <phoneticPr fontId="3" type="noConversion"/>
  </si>
  <si>
    <t>관리자(팀장,파트장,CM 포함)</t>
    <phoneticPr fontId="3" type="noConversion"/>
  </si>
  <si>
    <t>4DPLEX 관리자 '비율' 확인 부탁드립니다</t>
    <phoneticPr fontId="3" type="noConversion"/>
  </si>
  <si>
    <t>Manager / Full time</t>
  </si>
  <si>
    <t>전체 직원 대비 관리자 비율</t>
    <phoneticPr fontId="3" type="noConversion"/>
  </si>
  <si>
    <t>Percentage of managers out of total employees</t>
    <phoneticPr fontId="3" type="noConversion"/>
  </si>
  <si>
    <t>등기,미등기 임원 수 / 총 임직원 수</t>
    <phoneticPr fontId="3" type="noConversion"/>
  </si>
  <si>
    <t>Number of registered and unregistered officers / Total number of employees</t>
    <phoneticPr fontId="3" type="noConversion"/>
  </si>
  <si>
    <t>경영진/전직원수</t>
    <phoneticPr fontId="3" type="noConversion"/>
  </si>
  <si>
    <t>4DPLEX 전체 수 대비 관리자 '비율'이 40%가 맞는지 확인 부탁드립니다</t>
    <phoneticPr fontId="3" type="noConversion"/>
  </si>
  <si>
    <t>Manager / (Full time + Part time)</t>
  </si>
  <si>
    <t>기타 모든 종업원의 성별 및 인종/민족 구성비</t>
    <phoneticPr fontId="3" type="noConversion"/>
  </si>
  <si>
    <t>Percentage of gender and racial/ethnic group representation for management and all other employees</t>
    <phoneticPr fontId="3" type="noConversion"/>
  </si>
  <si>
    <t>미국 직원 한정 구분하여 표기 필요(첨부 PDF 참고), 미국 직원이 없을 경우 내국인/외국인 정도로 분류 가능함</t>
    <phoneticPr fontId="3" type="noConversion"/>
  </si>
  <si>
    <t>Percentage = Number of employees in each diversity group / Total number of employees in the respective employee category</t>
    <phoneticPr fontId="3" type="noConversion"/>
  </si>
  <si>
    <t>미국 법인 지표는
미국 법인에서 관리</t>
  </si>
  <si>
    <t>SV-ME-260a.1</t>
    <phoneticPr fontId="3" type="noConversion"/>
  </si>
  <si>
    <t>별도 인종/민족 구분하지 않음</t>
  </si>
  <si>
    <t>인재확보</t>
    <phoneticPr fontId="3" type="noConversion"/>
  </si>
  <si>
    <t>Securing Talent</t>
    <phoneticPr fontId="3" type="noConversion"/>
  </si>
  <si>
    <t>총 신규 채용자 수</t>
    <phoneticPr fontId="3" type="noConversion"/>
  </si>
  <si>
    <t>Total number of new hires</t>
    <phoneticPr fontId="3" type="noConversion"/>
  </si>
  <si>
    <t>총 신규채용자 수 = 기간의 정함이 없는 신규 채용자 수 + 기간제 신규 채용자 수</t>
    <phoneticPr fontId="3" type="noConversion"/>
  </si>
  <si>
    <t>Number of new hires = number of non-fixed employees + number of fixed employees</t>
    <phoneticPr fontId="3" type="noConversion"/>
  </si>
  <si>
    <t>CJ-Gen-S7</t>
  </si>
  <si>
    <t>GRI 401-1</t>
  </si>
  <si>
    <t>기간의 정함이 없는 신규 채용자 수</t>
    <phoneticPr fontId="3" type="noConversion"/>
  </si>
  <si>
    <t xml:space="preserve">Number of new hires with a non-fixed term
</t>
    <phoneticPr fontId="3" type="noConversion"/>
  </si>
  <si>
    <t>*기간정함 없는 직원 + 기간제 직원수 합산임</t>
  </si>
  <si>
    <t>*기간정함 없는 직원 + 기간제 직원수 합산임
(Full time + Part time)</t>
  </si>
  <si>
    <t>기간제 신규 채용자 수</t>
    <phoneticPr fontId="3" type="noConversion"/>
  </si>
  <si>
    <t xml:space="preserve">Number of new hires with a fixed term
</t>
    <phoneticPr fontId="3" type="noConversion"/>
  </si>
  <si>
    <t>신규 채용자 구성
(성별)</t>
    <phoneticPr fontId="3" type="noConversion"/>
  </si>
  <si>
    <t>CJ-Gen-S9</t>
  </si>
  <si>
    <t>Total number of new male hires</t>
    <phoneticPr fontId="3" type="noConversion"/>
  </si>
  <si>
    <t>신규 채용자 수(성별) = 총 남성 신규 채용자 수 + 총 여성 신규 채용자 수</t>
    <phoneticPr fontId="3" type="noConversion"/>
  </si>
  <si>
    <t>Number of new hires (by gender) = Total number of new male hires + Total number of new female hires</t>
    <phoneticPr fontId="3" type="noConversion"/>
  </si>
  <si>
    <t>Total number of new female hires</t>
    <phoneticPr fontId="3" type="noConversion"/>
  </si>
  <si>
    <t>신규 채용자 구성
(연령별)</t>
    <phoneticPr fontId="3" type="noConversion"/>
  </si>
  <si>
    <t>Number of new hires (by age)</t>
    <phoneticPr fontId="3" type="noConversion"/>
  </si>
  <si>
    <t>CJ-Gen-S8</t>
  </si>
  <si>
    <t xml:space="preserve">Number of new hires younger than 30 </t>
    <phoneticPr fontId="3" type="noConversion"/>
  </si>
  <si>
    <t>총 신규채용자 수(연령별) = 30세 미만 신규 채용자 수 + 30세 이상~50세 미만 신규 채용자 수 + 50세 이상 신규 채용자 수</t>
    <phoneticPr fontId="3" type="noConversion"/>
  </si>
  <si>
    <t>Total number of new hires (by age) = Number of new hires younger than 30 + Number of new hires aged 30 to 50 + Number of new hires aged  over 50</t>
    <phoneticPr fontId="3" type="noConversion"/>
  </si>
  <si>
    <t xml:space="preserve">Number of new hires aged 30 to 50 </t>
    <phoneticPr fontId="3" type="noConversion"/>
  </si>
  <si>
    <t>Total number of new hires (by age) = Number of new hires younger than 30 + Number of new hires aged 30 to 50 + Number of new hires aged  over 51</t>
  </si>
  <si>
    <t>Number of new hires aged over 50</t>
    <phoneticPr fontId="3" type="noConversion"/>
  </si>
  <si>
    <t>Total number of new hires (by age) = Number of new hires younger than 30 + Number of new hires aged 30 to 50 + Number of new hires aged  over 52</t>
  </si>
  <si>
    <t>신규 채용자 수 (국적별)</t>
    <phoneticPr fontId="3" type="noConversion"/>
  </si>
  <si>
    <t>Number of new hires (by nationality)</t>
    <phoneticPr fontId="3" type="noConversion"/>
  </si>
  <si>
    <t>신규 채용자 수(국가별) = ∑ (국가별 신규채용자 수)
Number of new hires (by nationality) = ∑ (Number of new hires by nationality)</t>
    <phoneticPr fontId="3" type="noConversion"/>
  </si>
  <si>
    <t>Number of new hires (by nationality) = ∑ (Number of new hires by nationality)</t>
    <phoneticPr fontId="3" type="noConversion"/>
  </si>
  <si>
    <t>CJ-Gen-S10</t>
    <phoneticPr fontId="3" type="noConversion"/>
  </si>
  <si>
    <t>"신규 채용자 수" 국적별 또는 한국/해외 구분 검토 요청드립니다</t>
    <phoneticPr fontId="3" type="noConversion"/>
  </si>
  <si>
    <t>CJ-Gen-S10 "No Reporting"</t>
    <phoneticPr fontId="3" type="noConversion"/>
  </si>
  <si>
    <t>한국</t>
  </si>
  <si>
    <t>총 이직자 수</t>
    <phoneticPr fontId="3" type="noConversion"/>
  </si>
  <si>
    <t>Total number of employees who left the company</t>
    <phoneticPr fontId="3" type="noConversion"/>
  </si>
  <si>
    <t>총 이직자 수 = 자발적 이직자 수 + 비자발적 이직자 수</t>
    <phoneticPr fontId="3" type="noConversion"/>
  </si>
  <si>
    <t>Total number of employees who left the company = Total number of employees who left the company for voluntary reasons + Total number of employees who left the company for involuntary reasons</t>
    <phoneticPr fontId="3" type="noConversion"/>
  </si>
  <si>
    <t>CJ-Gen-S11</t>
  </si>
  <si>
    <t>자발적 이직자 수</t>
    <phoneticPr fontId="3" type="noConversion"/>
  </si>
  <si>
    <t>Number of employees who left the company for voluntary reasons</t>
    <phoneticPr fontId="3" type="noConversion"/>
  </si>
  <si>
    <t>CJ-Gen-S12</t>
    <phoneticPr fontId="3" type="noConversion"/>
  </si>
  <si>
    <t>비자발적 이직자 수</t>
    <phoneticPr fontId="3" type="noConversion"/>
  </si>
  <si>
    <t>Number of employees who left the company for involuntary reasons</t>
    <phoneticPr fontId="3" type="noConversion"/>
  </si>
  <si>
    <t>자발적 이직율</t>
    <phoneticPr fontId="3" type="noConversion"/>
  </si>
  <si>
    <t>Ratio of employees who left the company for voluntary reasons</t>
    <phoneticPr fontId="3" type="noConversion"/>
  </si>
  <si>
    <t>CJ-Gen-S12</t>
  </si>
  <si>
    <t>Male</t>
    <phoneticPr fontId="3" type="noConversion"/>
  </si>
  <si>
    <t>자발적 이직율 = 자발적 이직자 / 총 이직자 수(자발적 이직자+비자발적 이직자)</t>
    <phoneticPr fontId="3" type="noConversion"/>
  </si>
  <si>
    <t>Voluntary turnover rate = Voluntary turnover / Total turnover (voluntary + involuntary)</t>
    <phoneticPr fontId="3" type="noConversion"/>
  </si>
  <si>
    <t>32명</t>
  </si>
  <si>
    <t>4DPLEX시트 내 남성 자발적 이직율 "91"로 취합되었는데, 숫자 확인 및 남성 + 여성 자발적 이직률 총합 100%로 재확인 부탁드립니다</t>
    <phoneticPr fontId="3" type="noConversion"/>
  </si>
  <si>
    <t>Female</t>
    <phoneticPr fontId="3" type="noConversion"/>
  </si>
  <si>
    <t>34명</t>
  </si>
  <si>
    <t>4DPLEX시트 내 남성 자발적 이직율 "41"로 취합되었는데, 숫자 확인 및 남성 + 여성 자발적 이직률 총합 100%로 재확인 부탁드립니다</t>
    <phoneticPr fontId="3" type="noConversion"/>
  </si>
  <si>
    <t>Under 30</t>
    <phoneticPr fontId="3" type="noConversion"/>
  </si>
  <si>
    <t>14명</t>
  </si>
  <si>
    <t>30-50</t>
    <phoneticPr fontId="3" type="noConversion"/>
  </si>
  <si>
    <t>52명</t>
  </si>
  <si>
    <t>Over 50</t>
    <phoneticPr fontId="3" type="noConversion"/>
  </si>
  <si>
    <t>0명</t>
  </si>
  <si>
    <t>2022년 비고란에 0명으로 작성해 주셨는데 27%여서, 숫자 확인 요청드립니다</t>
    <phoneticPr fontId="3" type="noConversion"/>
  </si>
  <si>
    <t>비자발적 이직율</t>
    <phoneticPr fontId="3" type="noConversion"/>
  </si>
  <si>
    <t>Ratio of employees who left the company for involuntary reasons</t>
    <phoneticPr fontId="3" type="noConversion"/>
  </si>
  <si>
    <t>비자발적 이직율 = 비자발적 이직자 / 총 이직자 수(자발적 이직자+비자발적 이직자)</t>
  </si>
  <si>
    <t>Involuntary turnover rate = Involuntary turnover / Total turnover (voluntary + involuntary)</t>
    <phoneticPr fontId="3" type="noConversion"/>
  </si>
  <si>
    <t>4명</t>
  </si>
  <si>
    <t>4DPLEX시트 내 비자발적 이직율 "6"으로 취합되는데, %로 확인 및 남성 + 여성 100%로 숫자 재확인 요청드립니다.</t>
    <phoneticPr fontId="3" type="noConversion"/>
  </si>
  <si>
    <t>4DPLEX 30~50대 초과 연령 구간의 비자발적 이직율 총합 100%로 숫자 재확인 요청드립니다.</t>
    <phoneticPr fontId="3" type="noConversion"/>
  </si>
  <si>
    <t>6명</t>
  </si>
  <si>
    <t>2명</t>
  </si>
  <si>
    <t>인권</t>
    <phoneticPr fontId="3" type="noConversion"/>
  </si>
  <si>
    <t>Human Rights</t>
    <phoneticPr fontId="3" type="noConversion"/>
  </si>
  <si>
    <t>인권 침해 제보건수</t>
    <phoneticPr fontId="3" type="noConversion"/>
  </si>
  <si>
    <t>Total number of reported case due to human rights</t>
    <phoneticPr fontId="3" type="noConversion"/>
  </si>
  <si>
    <t>인권 침해 사건 발생 건 수 = CJ윤리경영(온라인 제보) 사이트 제보 건수
*관리 지표 세부 정의 참고1) 기재 사항 확인 요망</t>
    <phoneticPr fontId="3" type="noConversion"/>
  </si>
  <si>
    <t>CJ Ethical management (Online reported) Number of human rights violation cases</t>
    <phoneticPr fontId="3" type="noConversion"/>
  </si>
  <si>
    <t>CJ-Gen-S29</t>
    <phoneticPr fontId="3" type="noConversion"/>
  </si>
  <si>
    <t>CJ-Gen-S29 "경영진단팀 국가별(4DPLEX포함) 총합 기입예정"</t>
    <phoneticPr fontId="3" type="noConversion"/>
  </si>
  <si>
    <t>*지주 재전달 6/9</t>
  </si>
  <si>
    <t>인권 침해 유효 제보 건 수</t>
    <phoneticPr fontId="3" type="noConversion"/>
  </si>
  <si>
    <t>Total number of valid reported case due to human rights</t>
    <phoneticPr fontId="3" type="noConversion"/>
  </si>
  <si>
    <t>인권 침해 유효 제보 건수 = CJ윤리경영(온라인 제보) 사이트 제보 건 수 + Kwhistle 사이트 제보건수 중 유효 제보 건수</t>
    <phoneticPr fontId="3" type="noConversion"/>
  </si>
  <si>
    <t>Total number of valid reported case due to human rights = CJ Ethical management (Online reported) Number of human rights violation valid cases</t>
    <phoneticPr fontId="3" type="noConversion"/>
  </si>
  <si>
    <t>CJ-Gen-S30</t>
    <phoneticPr fontId="3" type="noConversion"/>
  </si>
  <si>
    <t>CJ-Gen-S30 "경영진단팀 국가별(4DPLEX포함) 총합 기입예정"</t>
    <phoneticPr fontId="3" type="noConversion"/>
  </si>
  <si>
    <t>인권 위험 평가 범위</t>
    <phoneticPr fontId="3" type="noConversion"/>
  </si>
  <si>
    <t>Scope of stakeholders subject to human rights risk assessment</t>
    <phoneticPr fontId="3" type="noConversion"/>
  </si>
  <si>
    <t>① 인권 위험평가 범위에 포함되는 이해관계자(자사 근로자, 공급업체, 협력업체, 소비자, 지역사회 등 공급망 내 이해관계자를 의미) 
Scope of stakeholders subject to human rights risk assessment, including those within the supply chain such as workers, suppliers, consumers, and communities
② 인권영향평가 실시 사업장 비율 = 인권영향평가 실시 사업장 수 / 전체 사업장 수
Ratio of workplaces conducting human rights impact assessment  = Number of workplaces conducting human rights impact assessment / Total workplaces
③ 인권 위험 평가를 통한 고충 처리 개선 비율= 인권 위험 평가를 통해 확인된 고충의 개선 Case수 / 인권 위험평가를 통해 확인된 고충처리 개수
Ratio of improvements in grievance handling through human rights risk assessment = Number of grievance improvements identified through human rights risk assessment / Number of grievances identified through human rights risk assessment</t>
  </si>
  <si>
    <t>① Scope of stakeholders subject to human rights risk assessment, including those within the supply chain such as workers, suppliers, consumers, and communities
② Ratio of workplaces conducting human rights impact assessment  = Number of workplaces conducting human rights impact assessment / Total workplaces
③ Ratio of improvements in grievance handling through human rights risk assessment = Number of grievance improvements identified through human rights risk assessment / Number of grievances identified through human rights risk assessment</t>
    <phoneticPr fontId="3" type="noConversion"/>
  </si>
  <si>
    <t>CJ-Gen-S29-1</t>
    <phoneticPr fontId="3" type="noConversion"/>
  </si>
  <si>
    <t>성희롱 예방 교육 참여 비율</t>
    <phoneticPr fontId="3" type="noConversion"/>
  </si>
  <si>
    <t>Participation rate in Sexual harassment prevention training</t>
    <phoneticPr fontId="3" type="noConversion"/>
  </si>
  <si>
    <t>총 성희롱 예방 교육 수료인원 수 / 성희롱 예방 교육 대상자 수</t>
  </si>
  <si>
    <t>Participation rate in sexual harassment prevention training = Total number of employees who completed sexual harassment prevention training  / Total number of individuals subject to sexual harassment prevention training</t>
    <phoneticPr fontId="3" type="noConversion"/>
  </si>
  <si>
    <t>CJ-Gen-S31</t>
    <phoneticPr fontId="3" type="noConversion"/>
  </si>
  <si>
    <t>CJ-Gen-S31 "23년도 미공개 지표"</t>
    <phoneticPr fontId="3" type="noConversion"/>
  </si>
  <si>
    <t>총 성희롱 예방 교육 수료 인원</t>
    <phoneticPr fontId="3" type="noConversion"/>
  </si>
  <si>
    <t xml:space="preserve">Total number of employees who completed sexual harassment prevention training  </t>
    <phoneticPr fontId="3" type="noConversion"/>
  </si>
  <si>
    <t>총 성희롱 예방 교육 수료인원 수 / 성희롱 예방 교육 대상자 수</t>
    <phoneticPr fontId="3" type="noConversion"/>
  </si>
  <si>
    <t>CJ-Gen-S31 "23년도 미공개 지표"</t>
  </si>
  <si>
    <t>입과 127, 수료 125</t>
  </si>
  <si>
    <t>입과 167, 수료 163</t>
  </si>
  <si>
    <t>성희롱 예방 교육 대상자 수</t>
    <phoneticPr fontId="3" type="noConversion"/>
  </si>
  <si>
    <t>Total number of individuals subject to sexual harassment prevention training</t>
    <phoneticPr fontId="3" type="noConversion"/>
  </si>
  <si>
    <t>해당 교육 운영 시기 재직인원</t>
  </si>
  <si>
    <t>입과기준 수정(6/1)</t>
  </si>
  <si>
    <t>장애인 인식 개선 교육 참여 비율</t>
    <phoneticPr fontId="3" type="noConversion"/>
  </si>
  <si>
    <t>Participation rate in disability awareness improvement training</t>
    <phoneticPr fontId="3" type="noConversion"/>
  </si>
  <si>
    <t>총 장애인 인식 개선 교육 수료인원 수 / 장애인 인식 개선 교육 대상자 수</t>
    <phoneticPr fontId="3" type="noConversion"/>
  </si>
  <si>
    <t>Participation rate in Disability awareness improvement training =Total number of employees who completed disability awareness improvement training / Total number of individuals subject to disability awareness improvement training</t>
    <phoneticPr fontId="3" type="noConversion"/>
  </si>
  <si>
    <t>CJ-Gen-S32</t>
    <phoneticPr fontId="3" type="noConversion"/>
  </si>
  <si>
    <t>CJ-Gen-S32 "CGV China, Vietnam, Indonesia, Türkiye : N/A"</t>
    <phoneticPr fontId="3" type="noConversion"/>
  </si>
  <si>
    <t>총 장애인 인식 개선 교육 수료 인원</t>
    <phoneticPr fontId="3" type="noConversion"/>
  </si>
  <si>
    <t xml:space="preserve">Total number of employees who completed disability awareness improvement training </t>
    <phoneticPr fontId="3" type="noConversion"/>
  </si>
  <si>
    <t>교육 결과보고서 품의 미진행으로 CJ Campus 內 수료 결과</t>
  </si>
  <si>
    <t>입과 131, 수료 118</t>
  </si>
  <si>
    <t>입과 128, 수료 121</t>
  </si>
  <si>
    <t>장애인 인식 개선 교육 대상자수(본 항목은 22년까지는 Full-time에 한함)</t>
    <phoneticPr fontId="3" type="noConversion"/>
  </si>
  <si>
    <t>단체교섭협약 적용 직원 비율
(노사협의회 기준)</t>
    <phoneticPr fontId="3" type="noConversion"/>
  </si>
  <si>
    <t>Ratio of employees subject to the labor union and collective bargaining agreement</t>
    <phoneticPr fontId="3" type="noConversion"/>
  </si>
  <si>
    <t>노동조합 및 단체교섭협약 적용 임직원 비율</t>
    <phoneticPr fontId="3" type="noConversion"/>
  </si>
  <si>
    <t>CJ-Gen-S17</t>
  </si>
  <si>
    <t>GRI 2-28</t>
  </si>
  <si>
    <t>Trade Union member/ Full time employees</t>
  </si>
  <si>
    <t>단체교섭협약 적용 임직원 수</t>
    <phoneticPr fontId="3" type="noConversion"/>
  </si>
  <si>
    <t>Employees subject to the labor union and collective bargaining agreement</t>
    <phoneticPr fontId="3" type="noConversion"/>
  </si>
  <si>
    <t>CJ-Gen-S17 "CGV China, Indonesia : N/A"</t>
    <phoneticPr fontId="3" type="noConversion"/>
  </si>
  <si>
    <t>Full time - Local</t>
  </si>
  <si>
    <t>집회, 결사 및 단체교섭권 훼손 위험이 있는 사업장, 공급업체</t>
    <phoneticPr fontId="3" type="noConversion"/>
  </si>
  <si>
    <t>개</t>
    <phoneticPr fontId="3" type="noConversion"/>
  </si>
  <si>
    <t>Operations and suppliers at risk of exercising freedom of association and collective bargaining</t>
    <phoneticPr fontId="3" type="noConversion"/>
  </si>
  <si>
    <t>Case</t>
    <phoneticPr fontId="3" type="noConversion"/>
  </si>
  <si>
    <t>GRI 407-1</t>
    <phoneticPr fontId="3" type="noConversion"/>
  </si>
  <si>
    <t>인재육성</t>
    <phoneticPr fontId="3" type="noConversion"/>
  </si>
  <si>
    <t>Nurturing Talent</t>
    <phoneticPr fontId="3" type="noConversion"/>
  </si>
  <si>
    <t>인당 교육시간</t>
    <phoneticPr fontId="3" type="noConversion"/>
  </si>
  <si>
    <t>시간</t>
    <phoneticPr fontId="3" type="noConversion"/>
  </si>
  <si>
    <t xml:space="preserve">Training hours per person </t>
    <phoneticPr fontId="3" type="noConversion"/>
  </si>
  <si>
    <t>Hours</t>
  </si>
  <si>
    <t>1인당 교육 시간 = 총 교육 수료시간 / 총 임직원 수</t>
    <phoneticPr fontId="3" type="noConversion"/>
  </si>
  <si>
    <t>Training hours per person = total hours of training completed / Total number of employees</t>
    <phoneticPr fontId="3" type="noConversion"/>
  </si>
  <si>
    <t>CJ-Gen-S27</t>
    <phoneticPr fontId="3" type="noConversion"/>
  </si>
  <si>
    <t>GRI 404-1</t>
  </si>
  <si>
    <t>총 교육 수료 시간</t>
    <phoneticPr fontId="3" type="noConversion"/>
  </si>
  <si>
    <t xml:space="preserve">Total hours of training completed </t>
    <phoneticPr fontId="3" type="noConversion"/>
  </si>
  <si>
    <t>* 마이크로러닝 콘텐츠 (인재원 기준)
 - 동영상: 각 사 수료자 러닝타임 기준으로 합산하여 산정   (SERI CEO, Hunet Prime 등)  
 - 텍스트: 일괄 5분 처리 (e.g. MZ연구소 콘텐츠)
 - PDF: 1분/page (HBR, DBR 등)
 - 카드러닝: 0.5분/Page(Ttimes, 내부 제작 콘텐츠 등)
 - 웹영상/링크/시험/설문 등은 시간 산정에서 제외</t>
  </si>
  <si>
    <t>기간은 21.8월-22년 8월 입니다. 
미니MBA 교육과정 49.5h/인
3038/208</t>
  </si>
  <si>
    <t>15h/인 온라인수업
21년 미니MBA 시간 불포함
1172/120</t>
  </si>
  <si>
    <t>Number of participants multiply by number of training hours</t>
  </si>
  <si>
    <t>총 임직원 수</t>
    <phoneticPr fontId="3" type="noConversion"/>
  </si>
  <si>
    <t>Total number of employees</t>
    <phoneticPr fontId="3" type="noConversion"/>
  </si>
  <si>
    <t>Full-tirme기준</t>
  </si>
  <si>
    <t>유료교육 받은 인원수 5명
*총 임직원수로 정정(이민지)</t>
  </si>
  <si>
    <t>온라인수업 9 명
*총 임직원수로 정정(이민지)</t>
  </si>
  <si>
    <t>인당 교육비용</t>
    <phoneticPr fontId="3" type="noConversion"/>
  </si>
  <si>
    <t>Training cost per person</t>
    <phoneticPr fontId="3" type="noConversion"/>
  </si>
  <si>
    <t>1인당 교육 비용 = 총 교육 비용 / 총 임직원 수</t>
  </si>
  <si>
    <t>Training cost per person = Total training costs / Total number of employees</t>
    <phoneticPr fontId="3" type="noConversion"/>
  </si>
  <si>
    <t>CJ-Gen-S28</t>
    <phoneticPr fontId="3" type="noConversion"/>
  </si>
  <si>
    <t>"인당 교육비용" 항목의 경우 현지통화기준으로 취합한 상태라서, 4월 25일에 말씀주신 "현지통화에 각 연도별 평균환율 적용" 여부 확인 요청드립니다</t>
    <phoneticPr fontId="3" type="noConversion"/>
  </si>
  <si>
    <t>만원</t>
  </si>
  <si>
    <t>KRW 10K</t>
    <phoneticPr fontId="3" type="noConversion"/>
  </si>
  <si>
    <t>'(MIO) 단위를 IDR로 생각하면 되는건지 - 단위 확인 요청드립니다 -&gt; 0503회신: IDR 맞습니다.</t>
    <phoneticPr fontId="3" type="noConversion"/>
  </si>
  <si>
    <t>총 교육 비용</t>
    <phoneticPr fontId="3" type="noConversion"/>
  </si>
  <si>
    <t xml:space="preserve">Total training costs </t>
    <phoneticPr fontId="3" type="noConversion"/>
  </si>
  <si>
    <t>"총 교육 비용" 항목의 경우 현지통화기준으로 취합한 상태라서, 4월 25일에 말씀주신 "현지통화에 각 연도별 평균환율 적용" 여부 확인 요청드립니다</t>
    <phoneticPr fontId="3" type="noConversion"/>
  </si>
  <si>
    <t>만원</t>
    <phoneticPr fontId="3" type="noConversion"/>
  </si>
  <si>
    <t xml:space="preserve">온라인 수업 </t>
  </si>
  <si>
    <t>임직원 몰입도</t>
    <phoneticPr fontId="3" type="noConversion"/>
  </si>
  <si>
    <t>점</t>
  </si>
  <si>
    <t xml:space="preserve">Employee engagement </t>
    <phoneticPr fontId="3" type="noConversion"/>
  </si>
  <si>
    <t>Score</t>
    <phoneticPr fontId="3" type="noConversion"/>
  </si>
  <si>
    <t>직원 몰입도 = 몰입 직원 수 / 총 임직원 수(본 항목은 22년까지는 Full-time에 한함)
*관리 지표 세부 정의 참고1) 기재 사항 확인 요망</t>
    <phoneticPr fontId="3" type="noConversion"/>
  </si>
  <si>
    <t>Employee Engagement level = Number of employees engaged / Engagement survey respondents</t>
    <phoneticPr fontId="3" type="noConversion"/>
  </si>
  <si>
    <t>CJ-Gen-S13</t>
    <phoneticPr fontId="3" type="noConversion"/>
  </si>
  <si>
    <t>CJ-Gen-S13 "2023년 해외법인 미보고 지표"</t>
    <phoneticPr fontId="3" type="noConversion"/>
  </si>
  <si>
    <t>몰입 직원 수</t>
    <phoneticPr fontId="3" type="noConversion"/>
  </si>
  <si>
    <t>Number of employees engaged Total number of employees</t>
    <phoneticPr fontId="3" type="noConversion"/>
  </si>
  <si>
    <t>미실시</t>
  </si>
  <si>
    <t>22년 하반기 보이스온 29번 항목의 3점이상 답변한 직원수 598명</t>
  </si>
  <si>
    <t>23년 하반기 보이스온 몰입도 긍정 응답자</t>
  </si>
  <si>
    <t>Voice on 평가 개비로 관련 데이터가 없음</t>
  </si>
  <si>
    <t>22년 하반기 Voice On 내 29번 문항 3점 이상으로 응답한 직원 수</t>
  </si>
  <si>
    <t>29번 작성하지 않는관계로 제외(해당 없음)</t>
  </si>
  <si>
    <t>There was no survey for EE engagement
N/A</t>
  </si>
  <si>
    <t>Do not action because of temporary closing business and Covid-19 situation.</t>
  </si>
  <si>
    <t>Do not action because Korea changes to Voice on and does it only for the Korean side.
What we heard is will be held for overseas companies too from 2023</t>
  </si>
  <si>
    <t>몰입도 조사 응답자수</t>
    <phoneticPr fontId="3" type="noConversion"/>
  </si>
  <si>
    <t>Engagement survey respondents</t>
    <phoneticPr fontId="3" type="noConversion"/>
  </si>
  <si>
    <t xml:space="preserve">22년 하반기 보이스온 대.상.인원: 723명
: 보이스온 시행 당시 full-time 재직인원 중 휴직자, 입사3개월 미만, 퇴직예정자 등 제외)  </t>
  </si>
  <si>
    <t>23년 하반기 보이스온 전체 응답자</t>
  </si>
  <si>
    <t>FULL TIME</t>
  </si>
  <si>
    <t>다양성. 공정성. 포용성 (DE&amp;I) 증진</t>
    <phoneticPr fontId="3" type="noConversion"/>
  </si>
  <si>
    <t>양성평등</t>
    <phoneticPr fontId="3" type="noConversion"/>
  </si>
  <si>
    <t>Gender equality</t>
    <phoneticPr fontId="3" type="noConversion"/>
  </si>
  <si>
    <t>여성 임원 비율</t>
    <phoneticPr fontId="3" type="noConversion"/>
  </si>
  <si>
    <t>Percentage of women on the Board of Directors</t>
    <phoneticPr fontId="3" type="noConversion"/>
  </si>
  <si>
    <t>CGV중국 남/여 임원 비율 총합이 100%가 아니라서 확인 요청 드립니다</t>
    <phoneticPr fontId="3" type="noConversion"/>
  </si>
  <si>
    <t>JungsinPark &amp; Haryani</t>
  </si>
  <si>
    <t>Indonesia 비고란 성함 엑셀 공시 여부 확인 요청드립니다</t>
    <phoneticPr fontId="3" type="noConversion"/>
  </si>
  <si>
    <t>남성 임원 비율</t>
    <phoneticPr fontId="3" type="noConversion"/>
  </si>
  <si>
    <t>Percentage of men on the Board of Directors</t>
    <phoneticPr fontId="3" type="noConversion"/>
  </si>
  <si>
    <t>연령별 임원 비율</t>
    <phoneticPr fontId="3" type="noConversion"/>
  </si>
  <si>
    <t>Percentage of executives by age</t>
    <phoneticPr fontId="3" type="noConversion"/>
  </si>
  <si>
    <t xml:space="preserve">Total number of employees younger than 30 </t>
    <phoneticPr fontId="3" type="noConversion"/>
  </si>
  <si>
    <t>CGV중국 연령별 임원 비율 총합이 100%가 아니라서 숫자 확인 요청 드립니다</t>
    <phoneticPr fontId="3" type="noConversion"/>
  </si>
  <si>
    <t xml:space="preserve">Total number of employees aged 30 to 50 </t>
    <phoneticPr fontId="3" type="noConversion"/>
  </si>
  <si>
    <t>Total number of employees aged over 50</t>
    <phoneticPr fontId="3" type="noConversion"/>
  </si>
  <si>
    <t>여성 관리자 비율</t>
    <phoneticPr fontId="3" type="noConversion"/>
  </si>
  <si>
    <t>Ratio of Female manager</t>
    <phoneticPr fontId="3" type="noConversion"/>
  </si>
  <si>
    <t xml:space="preserve">조직 내 관리자 이상 직급의 여성 임직원 수 합산
* 관리자 : PMDS+ 1차, 2차 평가권자 &amp; 평가권한은 없지만 실질적인 관리자 역할을 수행하는 자 
 (ex. 현장직/점장 등 각사 별도의 관리자 운영 직군을 포함. 단, 간부를 그대로 관리자로 카운팅하는 것은 불가) </t>
    <phoneticPr fontId="3" type="noConversion"/>
  </si>
  <si>
    <t xml:space="preserve">Female manager ratio = number of female managers/ total number of managers
* Manager : Personnel evaluators &amp; those who do not have the evaluator authority but perform the actual managerial role
 (e.g., field manager / store manager who performs actual managerial role
However, all executives are not same as managers. Each executive has to be checked if he/she performs actual managerial role ) </t>
    <phoneticPr fontId="3" type="noConversion"/>
  </si>
  <si>
    <t>CJ-Gen-S23</t>
  </si>
  <si>
    <t>201명 中 85명</t>
  </si>
  <si>
    <t>Female Manager (FT)/ Male Manager (FT)</t>
  </si>
  <si>
    <t>STEM부서 여성임직원 비율</t>
    <phoneticPr fontId="3" type="noConversion"/>
  </si>
  <si>
    <t>Female employee ratio in the STEM departments</t>
    <phoneticPr fontId="3" type="noConversion"/>
  </si>
  <si>
    <t>STEM 부서 여성 관리자 비율 = STEM 부서 여성 임직원 수 / STEM 부서 총 임직원 수</t>
    <phoneticPr fontId="3" type="noConversion"/>
  </si>
  <si>
    <t>Ratio of female employee in STEM departments = Number of female employee in STEM departments /  Total number of employees in STEM departments</t>
    <phoneticPr fontId="3" type="noConversion"/>
  </si>
  <si>
    <t>CJ-Gen-S25</t>
    <phoneticPr fontId="3" type="noConversion"/>
  </si>
  <si>
    <t>IT운영개발팀, 상영기술팀 총 40명 중 여성 8명</t>
  </si>
  <si>
    <t>남성 대비 여성 임금 수준</t>
    <phoneticPr fontId="3" type="noConversion"/>
  </si>
  <si>
    <t>Female to male wage ratio</t>
    <phoneticPr fontId="3" type="noConversion"/>
  </si>
  <si>
    <t>변경) 100 - {(남성 직원의 평균 임금-여성 직원의 평균 임금) / 남성직원의 평균임금 * 100}
                        ex. 남성 직원의 평균 임금이 200만원, 여성 직원의 평균 임금이 180만원일 경우, 100 – {(200-180)/200*100} = 90%
         3) 주석 추가: ‘사업보고서 공시 기준’ 추가</t>
    <phoneticPr fontId="3" type="noConversion"/>
  </si>
  <si>
    <t xml:space="preserve">Female to male wage ratio = (Average annual wage for male employees - Average annual wage for female employees) / Average annual wage for male employees * 100
* Wage range: base salary + monetary incentives </t>
    <phoneticPr fontId="3" type="noConversion"/>
  </si>
  <si>
    <t>CJ-Gen-S16</t>
  </si>
  <si>
    <t>GRI 405-2</t>
  </si>
  <si>
    <t>남성 평균 연봉：470,418
여성 평균 연봉：309,402</t>
    <phoneticPr fontId="3" type="noConversion"/>
  </si>
  <si>
    <t>Full time local (exclusive expats)</t>
  </si>
  <si>
    <t>CGV인도네이사의 "남성 대비 여성 임금 수준"이 너무 커서 숫자 확인 요청드리며, 숫자가 맞을 경우 비고란에 설명 작성 요청드립니다.</t>
    <phoneticPr fontId="3" type="noConversion"/>
  </si>
  <si>
    <t>일/가정 양립 육아휴직</t>
    <phoneticPr fontId="3" type="noConversion"/>
  </si>
  <si>
    <t>Work-life balance parental leave</t>
    <phoneticPr fontId="3" type="noConversion"/>
  </si>
  <si>
    <t>육아휴직 대상 인원</t>
    <phoneticPr fontId="3" type="noConversion"/>
  </si>
  <si>
    <t>Number of people eligible for parental leave</t>
    <phoneticPr fontId="3" type="noConversion"/>
  </si>
  <si>
    <t>육아휴직 대상 남성 임직원</t>
    <phoneticPr fontId="3" type="noConversion"/>
  </si>
  <si>
    <t xml:space="preserve">Male employees subject to parental leave </t>
    <phoneticPr fontId="3" type="noConversion"/>
  </si>
  <si>
    <t>육아휴직 대상 인원(성별) = 육아휴직 대상 남성 임직원 + 육아휴직 대상 여성 임직원</t>
    <phoneticPr fontId="3" type="noConversion"/>
  </si>
  <si>
    <t>Number of employees who are subject to parental leave (by gender) = Male employees subject to parental leave + Female employees subject to parental leave</t>
    <phoneticPr fontId="3" type="noConversion"/>
  </si>
  <si>
    <t>CJ-Gen-S18</t>
  </si>
  <si>
    <t>GRI 401-3</t>
  </si>
  <si>
    <t>2015.01.01~ 이후 출생 자녀 등록 임직원 기준</t>
  </si>
  <si>
    <t>중국엔 한국의미의 육아휴직 없음</t>
  </si>
  <si>
    <t>CJ-Gen-S18 "CGV China, Vietnam, Indonesia, Türkiye : N/A"</t>
    <phoneticPr fontId="3" type="noConversion"/>
  </si>
  <si>
    <t>육아휴직 대상 여성 임직원</t>
    <phoneticPr fontId="3" type="noConversion"/>
  </si>
  <si>
    <t>Female employees subject to parental leave</t>
    <phoneticPr fontId="3" type="noConversion"/>
  </si>
  <si>
    <t>육아휴직  사용 임직원 수</t>
    <phoneticPr fontId="3" type="noConversion"/>
  </si>
  <si>
    <t>Number of employees who used the parental leave program</t>
    <phoneticPr fontId="3" type="noConversion"/>
  </si>
  <si>
    <t>CJ-Gen-S19</t>
  </si>
  <si>
    <t>남성 육아휴직 사용 인원 수</t>
    <phoneticPr fontId="3" type="noConversion"/>
  </si>
  <si>
    <t xml:space="preserve">Male employees who used the parental leave program </t>
    <phoneticPr fontId="3" type="noConversion"/>
  </si>
  <si>
    <t>육아휴직 사용 인원(성별) = 육아휴직 사용 남성 임직원 + 육아휴직 사용 여성 임직원</t>
    <phoneticPr fontId="3" type="noConversion"/>
  </si>
  <si>
    <t>Number of employees who used the parental leave program (by gender) = Male employees who use dthe parental leave program + Female employees who used the parental leave program</t>
  </si>
  <si>
    <t>CJ-Gen-S19 "CGV China, Vietnam, Indonesia, Türkiye : N/A"</t>
    <phoneticPr fontId="3" type="noConversion"/>
  </si>
  <si>
    <t>CJ-Gen-S19 "CGV China, Vietnam, Indonesia, Türkiye : N/A"</t>
  </si>
  <si>
    <t>여성 육아휴직 사용 인원 수</t>
    <phoneticPr fontId="3" type="noConversion"/>
  </si>
  <si>
    <t>Female employees who used the parental leave program</t>
    <phoneticPr fontId="3" type="noConversion"/>
  </si>
  <si>
    <t>그룹 복리후생
육아휴직(2년차) 도입되어 해당 제도 포함</t>
  </si>
  <si>
    <t>남성 육아휴직 복귀율</t>
    <phoneticPr fontId="3" type="noConversion"/>
  </si>
  <si>
    <t>Return rate from parental leave of male employees</t>
    <phoneticPr fontId="3" type="noConversion"/>
  </si>
  <si>
    <t>육아휴직 후 복귀율 = [(육아휴직 후 복귀한 임직원 수 ) / (육아휴직 후 복귀 예정 임직원 수)]× 100</t>
    <phoneticPr fontId="3" type="noConversion"/>
  </si>
  <si>
    <t>Return rate from parental leave = [(Total number of male employees who returned from parental leave + Total number of female employees who returned from parental leave) / (Total number of male employees to be returned from parental leave + Total number of female employees to be returned from parental leave)]× 100</t>
    <phoneticPr fontId="3" type="noConversion"/>
  </si>
  <si>
    <t>CJ-Gen-S20</t>
  </si>
  <si>
    <t>22년 11명 복직
23년 14명 복직 예정자
23년 미복직 : 4명</t>
    <phoneticPr fontId="3" type="noConversion"/>
  </si>
  <si>
    <t>CJ-Gen-S20 "CGV China, Vietnam, Indonesia, Türkiye : N/A"</t>
    <phoneticPr fontId="3" type="noConversion"/>
  </si>
  <si>
    <t>CJ-Gen-S20 "CGV China, Vietnam, Indonesia, Türkiye : N/A"</t>
  </si>
  <si>
    <t>여성 육아휴직 복귀율</t>
    <phoneticPr fontId="3" type="noConversion"/>
  </si>
  <si>
    <t>Return rate from parental leave of female employees</t>
    <phoneticPr fontId="3" type="noConversion"/>
  </si>
  <si>
    <t>22년 32명 복직
23년 44명 복직 예정자
23년 미복직 : 12명</t>
    <phoneticPr fontId="3" type="noConversion"/>
  </si>
  <si>
    <t>육아휴직 복귀 후 유지율
(12개월 이상)</t>
    <phoneticPr fontId="3" type="noConversion"/>
  </si>
  <si>
    <t>Retention rate after return from parental leave</t>
    <phoneticPr fontId="3" type="noConversion"/>
  </si>
  <si>
    <t xml:space="preserve">육아휴직 복귀 후 유지율 = [(직전 연도 육아휴직 복귀 후 12개월 이상 근무한 당해 연도 남성 임직원 수 + 직전 연도 육아휴직 복귀 후 12개월 이상 근무한 당해 연도 여성 임직원 수) / 직전 연도 (육아휴직 후 복귀한 남성 임직원 수 + 육아휴직 후 복귀한 여성 임직원 수)]× 100
  </t>
    <phoneticPr fontId="3" type="noConversion"/>
  </si>
  <si>
    <t>Retention rate from parental leave = [(Number of male employees who have continuously worked for 12 months or longer after returning from parental leave + Number of female employees who have continuously worked for 12 months or longer after returning from parental leave) / (Number of male employees who returned from parental leave + Number of female employees who returned from parental leave)]× 100</t>
    <phoneticPr fontId="3" type="noConversion"/>
  </si>
  <si>
    <t>CJ-Gen-S21</t>
  </si>
  <si>
    <t>22년 복직 43명 中 12개월 미만 재직 후 퇴사자 수 : 10</t>
    <phoneticPr fontId="3" type="noConversion"/>
  </si>
  <si>
    <t>CJ-Gen-S21 "CGV China, Vietnam, Indonesia, Türkiye : N/A"</t>
    <phoneticPr fontId="3" type="noConversion"/>
  </si>
  <si>
    <t>출산휴가</t>
    <phoneticPr fontId="3" type="noConversion"/>
  </si>
  <si>
    <t xml:space="preserve">Number of employees who used maternity leave </t>
    <phoneticPr fontId="3" type="noConversion"/>
  </si>
  <si>
    <t>남성 출산휴가 사용 인원 수</t>
    <phoneticPr fontId="3" type="noConversion"/>
  </si>
  <si>
    <t xml:space="preserve">Number of male employees who used paternity leave </t>
    <phoneticPr fontId="3" type="noConversion"/>
  </si>
  <si>
    <t xml:space="preserve">출산휴가 사용 인원 = 출산휴가 사용 여성 임직원 수 + 출산휴가 사용 남성 임직원 수
 Number of employees who used maternity leave = Number of female employees who used maternity leave + Number of male employees who used paternity leave </t>
    <phoneticPr fontId="3" type="noConversion"/>
  </si>
  <si>
    <t xml:space="preserve">Number of employees who used maternity leave = Number of female employees who used maternity leave + Number of male employees who used paternity leave </t>
    <phoneticPr fontId="3" type="noConversion"/>
  </si>
  <si>
    <t>CJ-Gen-S22</t>
  </si>
  <si>
    <t>23년에 출산휴가를 1일이라도 사용했으면 포함</t>
  </si>
  <si>
    <t>Full year</t>
  </si>
  <si>
    <t>여성 출산휴가 사용 인원 수</t>
    <phoneticPr fontId="3" type="noConversion"/>
  </si>
  <si>
    <t>Number of female employees who used maternity leave</t>
    <phoneticPr fontId="3" type="noConversion"/>
  </si>
  <si>
    <t>사회적 소수자 포용</t>
    <phoneticPr fontId="3" type="noConversion"/>
  </si>
  <si>
    <t xml:space="preserve">Number of social minority members </t>
    <phoneticPr fontId="3" type="noConversion"/>
  </si>
  <si>
    <t>장애인 임직원 수</t>
    <phoneticPr fontId="3" type="noConversion"/>
  </si>
  <si>
    <t>Number of disabled workers</t>
    <phoneticPr fontId="3" type="noConversion"/>
  </si>
  <si>
    <t>사회적 소수자 유형별 구성원 수 파악 - 시간제 근로자 포함</t>
    <phoneticPr fontId="3" type="noConversion"/>
  </si>
  <si>
    <t>Identify the number of members by social disadvantage type</t>
    <phoneticPr fontId="3" type="noConversion"/>
  </si>
  <si>
    <t>CJ-Gen-S6</t>
  </si>
  <si>
    <t>Full time5명 + Part time 34명</t>
  </si>
  <si>
    <t>Full time(연봉제근로자) 4명 + Part time(연봉자 근로자 아닌 근로자) 36명</t>
  </si>
  <si>
    <t>연초 3명에서, 연중 2명 퇴사로, 연말 1명</t>
  </si>
  <si>
    <t>연차 1명에서, 연중 2명 입사로, 연말 3명</t>
  </si>
  <si>
    <t>FULL</t>
    <phoneticPr fontId="3" type="noConversion"/>
  </si>
  <si>
    <t xml:space="preserve">보훈대상자 근로자 수 </t>
    <phoneticPr fontId="3" type="noConversion"/>
  </si>
  <si>
    <t xml:space="preserve">Number of recipient of military service benefits (only in korea) </t>
    <phoneticPr fontId="3" type="noConversion"/>
  </si>
  <si>
    <t>CJ-Gen-S6</t>
    <phoneticPr fontId="3" type="noConversion"/>
  </si>
  <si>
    <t>Full time 28명 + Part time 0명</t>
  </si>
  <si>
    <t>Full time 22명</t>
  </si>
  <si>
    <t>CJ-Gen-S6 "보훈대상자는 CGV국내 기준에 한함"</t>
    <phoneticPr fontId="3" type="noConversion"/>
  </si>
  <si>
    <t>정기 성과평가 받은 임직원 비율</t>
    <phoneticPr fontId="3" type="noConversion"/>
  </si>
  <si>
    <t xml:space="preserve">Ratio of employees subject to regular performance evaluation </t>
    <phoneticPr fontId="3" type="noConversion"/>
  </si>
  <si>
    <t>MBO 평가 받은 임직원 비율</t>
    <phoneticPr fontId="3" type="noConversion"/>
  </si>
  <si>
    <t xml:space="preserve">Ratio of employees who received MBO 
</t>
    <phoneticPr fontId="3" type="noConversion"/>
  </si>
  <si>
    <t>정기 성과평가 받은 임직원 비율 = MBO 평가자 비율, 다면평가자 비율, (직원 유형별) 상대평가자 비율
* MBO 평가자 비율 = MBO 평가 받은 임직원 / 총 임직원 수 (PMDS+ 평가, KPI 평가)
* 다면평가자 비율 = 다면평가 받은 임직원 / 총 임직원 수 (PMDS+ 평가, 리더십 진단)
* 상대평가자 비율 = 상대평가 받은 임직원 / 총 임직원 수 (PMDS+ 평가)
각 평가자는 중복 카운팅 가능</t>
    <phoneticPr fontId="3" type="noConversion"/>
  </si>
  <si>
    <t>Ratio of employees who received regular performance evaluation = Ratio of employees who received MBO, ratio of employees who received multi-faceted evaluations, ratio of employees who received relative evaluation (by employee type) 
* Ratio of employees who received MBO = Total number of employees who received MBO / Total number of employees
* Ratio of employees who received multi-faceted evaluations = Total number of employees who received multi-faceted evaluations / Total number of employees
* Ratio of employees who received relative evaluation = Number of employees who received relative evaluation / Total number of employees</t>
    <phoneticPr fontId="3" type="noConversion"/>
  </si>
  <si>
    <t>CJ-Gen-S26</t>
    <phoneticPr fontId="3" type="noConversion"/>
  </si>
  <si>
    <t>GRI 404-3</t>
  </si>
  <si>
    <t>PMDS Evaluation</t>
  </si>
  <si>
    <t>PMDS 평가의 경우, 정규직 대상으로 진행하기 때문에 정규직 인원수 대비 실제 평가 진행인원 비율 산정/기입</t>
    <phoneticPr fontId="3" type="noConversion"/>
  </si>
  <si>
    <t>다면평가 받은 임직원 비율</t>
    <phoneticPr fontId="3" type="noConversion"/>
  </si>
  <si>
    <t xml:space="preserve">Ratio of employees who received multi-faceted evaluations
</t>
    <phoneticPr fontId="3" type="noConversion"/>
  </si>
  <si>
    <t>상대평가 받은 임직원 비율</t>
    <phoneticPr fontId="3" type="noConversion"/>
  </si>
  <si>
    <t xml:space="preserve">Ratio of employees who received relative evaluation </t>
    <phoneticPr fontId="3" type="noConversion"/>
  </si>
  <si>
    <t>연간 총 보상 비율</t>
    <phoneticPr fontId="3" type="noConversion"/>
  </si>
  <si>
    <t>Annual total compensation ratio</t>
    <phoneticPr fontId="3" type="noConversion"/>
  </si>
  <si>
    <t>연간 총 보상 비율 = (최고연봉자 제외)전체 임직원 총 보상의 중간값 / 조직 내 최고 연봉자의 총 보상
(본 항목은 22년까지는 Full-time에 한함)</t>
    <phoneticPr fontId="3" type="noConversion"/>
  </si>
  <si>
    <t xml:space="preserve">Annual total compensation ratio = the median value of the total compensation for all employees (excluding a person with the highest annual salary) / Total compensation for a person with the highest annual salary in the organization </t>
    <phoneticPr fontId="3" type="noConversion"/>
  </si>
  <si>
    <t>CJ-Gen-S14</t>
    <phoneticPr fontId="3" type="noConversion"/>
  </si>
  <si>
    <t>전체 임직원 총 보상의 중간값</t>
    <phoneticPr fontId="3" type="noConversion"/>
  </si>
  <si>
    <t xml:space="preserve">Median value of the total compensation for all employees </t>
    <phoneticPr fontId="3" type="noConversion"/>
  </si>
  <si>
    <t>SV-LF-250a.1</t>
  </si>
  <si>
    <t>전체 임직원 총 보상의 중간값 항목의 경우 현지통화기준으로 취합한 상태라서, 4월 25일에 말씀주신 "현지통화에 각 연도별 평균환율 적용" 여부 확인 요청드립니다</t>
    <phoneticPr fontId="3" type="noConversion"/>
  </si>
  <si>
    <t>CEO를 제외한 full-time 임직원의 총 보상 중간값</t>
  </si>
  <si>
    <t>21년: 인건비 중간값</t>
    <phoneticPr fontId="3" type="noConversion"/>
  </si>
  <si>
    <t>22년: 인건비 중간값</t>
    <phoneticPr fontId="3" type="noConversion"/>
  </si>
  <si>
    <t>23년: 인건비 중간값</t>
    <phoneticPr fontId="3" type="noConversion"/>
  </si>
  <si>
    <t>Salary, 13th Month &amp; Bonus (K VND) - Full time employee only</t>
  </si>
  <si>
    <t>Salary, 13th Month &amp; Bonus (K VND)</t>
  </si>
  <si>
    <t>조직 내 최고 연봉자의 총 보상</t>
    <phoneticPr fontId="3" type="noConversion"/>
  </si>
  <si>
    <t xml:space="preserve">Total compensation for a person with the highest annual salary in the organization </t>
    <phoneticPr fontId="3" type="noConversion"/>
  </si>
  <si>
    <t>조직 내 최고 연봉자의 총 보상 항목의 경우 현지통화기준으로 취합한 상태라서, 4월 25일에 말씀주신 "현지통화에 각 연도별 평균환율 적용" 여부 확인 요청드립니다</t>
    <phoneticPr fontId="3" type="noConversion"/>
  </si>
  <si>
    <t>조직 내 최고 연봉자의 연간 총 보상 (CEO)
※ 사업보고서에 공시된 대표이사 급여총액으로 작성</t>
  </si>
  <si>
    <t>대상자: 임원(주재원) 
중국내세금， 급여, 복리후생 등 포함</t>
    <phoneticPr fontId="3" type="noConversion"/>
  </si>
  <si>
    <t>Salary, 13th Month &amp; Bonus (K VND) - CEO</t>
  </si>
  <si>
    <t>최저(생활)임금을 받는 임직원 비율</t>
    <phoneticPr fontId="3" type="noConversion"/>
  </si>
  <si>
    <t>Ratio of employees who receive minimum (living) wage</t>
    <phoneticPr fontId="3" type="noConversion"/>
  </si>
  <si>
    <t>최저 임금을 받는 직원 비율  = 생활 임금보다 낮은 임금을 받는 임직원 수 / 총 임직원 수</t>
    <phoneticPr fontId="3" type="noConversion"/>
  </si>
  <si>
    <t>Ratio of employees receiving the minimum wage = Number of employees receiving lower wages than their living wage / Total number of employees</t>
    <phoneticPr fontId="3" type="noConversion"/>
  </si>
  <si>
    <t>CJ-Gen-S15</t>
    <phoneticPr fontId="3" type="noConversion"/>
  </si>
  <si>
    <t>생활 임금보다 낮은 임금을 받는 임직원 수</t>
    <phoneticPr fontId="3" type="noConversion"/>
  </si>
  <si>
    <t xml:space="preserve">Number of employees receiving lower wages than their living wage </t>
    <phoneticPr fontId="3" type="noConversion"/>
  </si>
  <si>
    <t>person</t>
    <phoneticPr fontId="3" type="noConversion"/>
  </si>
  <si>
    <t>지역최저임금 대비 성별 표준신입임금 비율</t>
    <phoneticPr fontId="3" type="noConversion"/>
  </si>
  <si>
    <t>Ratios of standard entry level wage by gender compared to local minimum wage</t>
    <phoneticPr fontId="3" type="noConversion"/>
  </si>
  <si>
    <t>인사혁신팀/인사운영팀</t>
    <phoneticPr fontId="3" type="noConversion"/>
  </si>
  <si>
    <t>기밀 미공개</t>
    <phoneticPr fontId="3" type="noConversion"/>
  </si>
  <si>
    <t>GRI 202-1
GRI 405-2</t>
    <phoneticPr fontId="3" type="noConversion"/>
  </si>
  <si>
    <t>안전 및 보건</t>
    <phoneticPr fontId="3" type="noConversion"/>
  </si>
  <si>
    <t>Safety and Health</t>
    <phoneticPr fontId="3" type="noConversion"/>
  </si>
  <si>
    <t>임직원 산업재해율</t>
    <phoneticPr fontId="3" type="noConversion"/>
  </si>
  <si>
    <t>Employee occupational injury rate</t>
    <phoneticPr fontId="3" type="noConversion"/>
  </si>
  <si>
    <t>정규직 종업원의 총기록 재해율</t>
    <phoneticPr fontId="3" type="noConversion"/>
  </si>
  <si>
    <t>Injury rate of employee with non-fixed term contracts</t>
    <phoneticPr fontId="3" type="noConversion"/>
  </si>
  <si>
    <t>CJ-Gen-S34</t>
  </si>
  <si>
    <t>SV-LF-320a.1</t>
    <phoneticPr fontId="3" type="noConversion"/>
  </si>
  <si>
    <t>정규직 종업원의 아차사고 빈도율</t>
    <phoneticPr fontId="3" type="noConversion"/>
  </si>
  <si>
    <t xml:space="preserve">Near Miss Frequency Rate of workers without fixed term contracts </t>
    <phoneticPr fontId="3" type="noConversion"/>
  </si>
  <si>
    <t>CJ-Gen-S39</t>
    <phoneticPr fontId="3" type="noConversion"/>
  </si>
  <si>
    <t>SV-LF-320a.1</t>
  </si>
  <si>
    <t>기간제 종업원의 총기록 재해율</t>
    <phoneticPr fontId="3" type="noConversion"/>
  </si>
  <si>
    <t>Injury rate of employee with fixed term contracts</t>
    <phoneticPr fontId="3" type="noConversion"/>
  </si>
  <si>
    <t>기간제 종업원의 아차사고 빈도율</t>
    <phoneticPr fontId="3" type="noConversion"/>
  </si>
  <si>
    <t xml:space="preserve">Near Miss Frequency Rate workers with fixed term contracts </t>
    <phoneticPr fontId="3" type="noConversion"/>
  </si>
  <si>
    <t>산업재해 발생 건수</t>
    <phoneticPr fontId="3" type="noConversion"/>
  </si>
  <si>
    <t xml:space="preserve">Total number of accidents </t>
    <phoneticPr fontId="3" type="noConversion"/>
  </si>
  <si>
    <t xml:space="preserve">Number of industrial accidents </t>
    <phoneticPr fontId="3" type="noConversion"/>
  </si>
  <si>
    <t>CJ-Gen-S33</t>
    <phoneticPr fontId="3" type="noConversion"/>
  </si>
  <si>
    <t>출퇴근 사고 2건 포함</t>
  </si>
  <si>
    <t>출퇴근 사고 1건 포함</t>
  </si>
  <si>
    <t xml:space="preserve">(직원A+직원C+직원D) </t>
  </si>
  <si>
    <t xml:space="preserve">(직원A+직원C) </t>
  </si>
  <si>
    <t>총 재해자 수</t>
    <phoneticPr fontId="3" type="noConversion"/>
  </si>
  <si>
    <t>Number of employees who suffered industrial accidents</t>
    <phoneticPr fontId="3" type="noConversion"/>
  </si>
  <si>
    <t>산업재해를 입은 임직원 수
the number of employees who suffered industrial accidents</t>
    <phoneticPr fontId="3" type="noConversion"/>
  </si>
  <si>
    <t>사망사고 발생 건수</t>
    <phoneticPr fontId="3" type="noConversion"/>
  </si>
  <si>
    <t xml:space="preserve">Total number of fatal accidents </t>
    <phoneticPr fontId="3" type="noConversion"/>
  </si>
  <si>
    <t>Total number of fatal accidents</t>
    <phoneticPr fontId="3" type="noConversion"/>
  </si>
  <si>
    <t>CJ-Gen-S35</t>
    <phoneticPr fontId="3" type="noConversion"/>
  </si>
  <si>
    <t>No Case</t>
    <phoneticPr fontId="3" type="noConversion"/>
  </si>
  <si>
    <t>고객 사망률</t>
    <phoneticPr fontId="3" type="noConversion"/>
  </si>
  <si>
    <t>Injury rate for customers</t>
    <phoneticPr fontId="3" type="noConversion"/>
  </si>
  <si>
    <t>SV-LF-250a.1</t>
    <phoneticPr fontId="3" type="noConversion"/>
  </si>
  <si>
    <t>고객 상해율</t>
    <phoneticPr fontId="3" type="noConversion"/>
  </si>
  <si>
    <t>Fatality rate for customers</t>
    <phoneticPr fontId="3" type="noConversion"/>
  </si>
  <si>
    <t>임직원 근로손실재해율(LTIFR)</t>
    <phoneticPr fontId="3" type="noConversion"/>
  </si>
  <si>
    <t>건/백만시간</t>
    <phoneticPr fontId="3" type="noConversion"/>
  </si>
  <si>
    <t>Employees' lost time injury frequency rate (LTIFR)</t>
    <phoneticPr fontId="3" type="noConversion"/>
  </si>
  <si>
    <t>Case/Million Hours</t>
  </si>
  <si>
    <t>LTIFR=(근로손실 부상 건수) / (총 근무 시간) * 1,000,000</t>
    <phoneticPr fontId="3" type="noConversion"/>
  </si>
  <si>
    <t>LTIFR=(Number of lost time injuries) / (Total working hours) * 1,000,000</t>
    <phoneticPr fontId="3" type="noConversion"/>
  </si>
  <si>
    <t>CJ-Gen-S36</t>
    <phoneticPr fontId="3" type="noConversion"/>
  </si>
  <si>
    <t>건/백만시간</t>
  </si>
  <si>
    <t>근로손실 부상 Case수</t>
    <phoneticPr fontId="3" type="noConversion"/>
  </si>
  <si>
    <t xml:space="preserve">Number of lost time injuries </t>
    <phoneticPr fontId="3" type="noConversion"/>
  </si>
  <si>
    <t>타법인에 비해 튀르키예 LTIFR값이 너무 커서 확인 요청 드립니다. 근무 시간이 작아서 발생한 것으로 보여 총 근무 시간과 함께 확인해주시길 요청 드립니다.</t>
    <phoneticPr fontId="3" type="noConversion"/>
  </si>
  <si>
    <t>산업재해데이터로 정정</t>
  </si>
  <si>
    <t>150열과 동일내용 
휴무시간
직원A 2920 h
직원C 1544 h
직원D 310h</t>
  </si>
  <si>
    <t>150열과 동일내용 
휴무시간
직원A 1624 h
직원C 1056 h</t>
  </si>
  <si>
    <t>휴식시간：
직원E：24h
직원F：104h</t>
    <phoneticPr fontId="3" type="noConversion"/>
  </si>
  <si>
    <t>총 근무 시간</t>
    <phoneticPr fontId="3" type="noConversion"/>
  </si>
  <si>
    <t>Total working hours</t>
    <phoneticPr fontId="3" type="noConversion"/>
  </si>
  <si>
    <t>근로시간은 실근무시간을 기준, 실근무시간의 산정이 불가한 경우, 사유에 대해서 상세 작성 요청</t>
    <phoneticPr fontId="3" type="noConversion"/>
  </si>
  <si>
    <t>Hours worked are based on actual hours worked, and if the actual hours cannot be calculated, a detailed explanation of the reason is requested.</t>
    <phoneticPr fontId="3" type="noConversion"/>
  </si>
  <si>
    <t>정직원: 2,846,580H (1,135명 * 209H *12개월)
미소지기: 1,366,845.58H
※ 정직원 실근무시간 데이터 추출 불가하여 [연말 공시인원 * 209H * 12개월] 로 반영</t>
    <phoneticPr fontId="3" type="noConversion"/>
  </si>
  <si>
    <t>정직원: 2,751,276H (1,097명 * 209H * 12개월)
- 미소지기: 2,435,398.99H
※ 정직원 실근무시간 데이터 추출 불가하여 [연말 공시인원 * 209H * 12개월] 로 반영</t>
    <phoneticPr fontId="3" type="noConversion"/>
  </si>
  <si>
    <t>정직원: 3,034,680H (1,210명 * 209H * 12개월)
- 미소지기: 2,616,322.11H
※ 정직원 실근무시간 데이터 추출 불가하여 [연말 공시인원 * 209H * 12개월] 로 반영</t>
    <phoneticPr fontId="3" type="noConversion"/>
  </si>
  <si>
    <t>183명 * 209 * 12개월
6/14 수정완료</t>
  </si>
  <si>
    <t>215명 * 209 * 12개월
6/14 수정 완료</t>
  </si>
  <si>
    <t>4DPLEX 2023년 총 근무 시간 입력 요청드립니다.</t>
    <phoneticPr fontId="3" type="noConversion"/>
  </si>
  <si>
    <t>HQ : 98*21.75*8*12=204624H
SITE : 956*21.75*8*12=1996128</t>
  </si>
  <si>
    <t>HQ : 101*21.75*8*12=210888
SITE : 809*21.75*8*12=1687104</t>
  </si>
  <si>
    <t>HQ : 91*21.75*8*12=190008
SITE : 659*21.75*8*12=1375992</t>
  </si>
  <si>
    <t>베트남 총 근무시간 확인 검토 -&gt; 0503회신: 기입완료</t>
    <phoneticPr fontId="3" type="noConversion"/>
  </si>
  <si>
    <t xml:space="preserve"> 연간 공휴일(평일인데 휴일인 경우)을 제외하여 계산하는 경우.
   1년 52주 x 평일 5일 - 평일인 휴일) x 8시간 x 총 직원수(정규+계약)
  ex) 2022 : (52 x 5 - 14) x 8 x 393 = 773,424 H</t>
  </si>
  <si>
    <t>튀르키예 1년 총 근무시간 45시간이 타 계열사와 비교했을 때 숫자가 튀어 재확인 요청드립니다</t>
    <phoneticPr fontId="3" type="noConversion"/>
  </si>
  <si>
    <t>협력업체 근로손실재해율 (Contractor LTIFR)</t>
    <phoneticPr fontId="3" type="noConversion"/>
  </si>
  <si>
    <t>Contractor lost time injury frequency rate (LTIFR)</t>
    <phoneticPr fontId="3" type="noConversion"/>
  </si>
  <si>
    <t>LTIFR=(협력업체 근로손실 부상 건수) / (협렵업체 총 근무 시간) * 1,000,000</t>
    <phoneticPr fontId="3" type="noConversion"/>
  </si>
  <si>
    <t>LTIFR=(Suppliers’ number of lost time injuries) / (Total working hours of suppliers) * 1,000,000</t>
    <phoneticPr fontId="3" type="noConversion"/>
  </si>
  <si>
    <t>CJ-Gen-S37</t>
    <phoneticPr fontId="3" type="noConversion"/>
  </si>
  <si>
    <t>협력업체 근로손실 부상 발생 건수</t>
    <phoneticPr fontId="3" type="noConversion"/>
  </si>
  <si>
    <t>Suppliers’ number of lost time injuries</t>
    <phoneticPr fontId="3" type="noConversion"/>
  </si>
  <si>
    <t>협력업체 총 근무 시간</t>
    <phoneticPr fontId="3" type="noConversion"/>
  </si>
  <si>
    <t>Total working hours of suppliers</t>
    <phoneticPr fontId="3" type="noConversion"/>
  </si>
  <si>
    <t>총기록사고발생율 (TRIR)</t>
    <phoneticPr fontId="3" type="noConversion"/>
  </si>
  <si>
    <t>건/20만시간</t>
    <phoneticPr fontId="3" type="noConversion"/>
  </si>
  <si>
    <t>Total Recordable Incident Rate (TRIR)</t>
    <phoneticPr fontId="3" type="noConversion"/>
  </si>
  <si>
    <t>Case/0.2 Million Hours</t>
  </si>
  <si>
    <t>TRIR=(총 기록사고 발생 건수) / (총 근무 시간) * 200,000</t>
    <phoneticPr fontId="3" type="noConversion"/>
  </si>
  <si>
    <t>TRIR=(Total number of recordable incidents) / (Total working hours) * 200,000 hours</t>
    <phoneticPr fontId="3" type="noConversion"/>
  </si>
  <si>
    <t>CJ-Gen-S38</t>
    <phoneticPr fontId="3" type="noConversion"/>
  </si>
  <si>
    <t>기록사고 발생 건수</t>
    <phoneticPr fontId="3" type="noConversion"/>
  </si>
  <si>
    <t>Total number of recordable incidents</t>
    <phoneticPr fontId="3" type="noConversion"/>
  </si>
  <si>
    <t>아차사고빈도율 (NMFR)</t>
    <phoneticPr fontId="3" type="noConversion"/>
  </si>
  <si>
    <t>Near Miss Frequency Rate (NMFR)</t>
    <phoneticPr fontId="3" type="noConversion"/>
  </si>
  <si>
    <t>NMFR=(총 아차사고 발생건수) *200,000 / (총 근무 시간)</t>
    <phoneticPr fontId="3" type="noConversion"/>
  </si>
  <si>
    <t>NMFR=(Total number of near miss incidents) *200,000 / (Total working hours)</t>
    <phoneticPr fontId="3" type="noConversion"/>
  </si>
  <si>
    <t>Total number of near miss incidents</t>
    <phoneticPr fontId="3" type="noConversion"/>
  </si>
  <si>
    <t>중대 재해 발생 건 수</t>
    <phoneticPr fontId="3" type="noConversion"/>
  </si>
  <si>
    <t>Number of serious accidents</t>
    <phoneticPr fontId="3" type="noConversion"/>
  </si>
  <si>
    <t xml:space="preserve">중대재해 발생 건 수
 Number of serious accidents </t>
    <phoneticPr fontId="3" type="noConversion"/>
  </si>
  <si>
    <t xml:space="preserve">Number of serious accidents </t>
    <phoneticPr fontId="3" type="noConversion"/>
  </si>
  <si>
    <t>CJ-Gen-S40</t>
    <phoneticPr fontId="3" type="noConversion"/>
  </si>
  <si>
    <t>CJ-Gen-S40 "CGV China, Vietnam, Indonesia : n/a"</t>
    <phoneticPr fontId="3" type="noConversion"/>
  </si>
  <si>
    <t>업무 관련 부상</t>
    <phoneticPr fontId="3" type="noConversion"/>
  </si>
  <si>
    <t>Work-related injuries</t>
    <phoneticPr fontId="3" type="noConversion"/>
  </si>
  <si>
    <t>GRI 403-9</t>
    <phoneticPr fontId="3" type="noConversion"/>
  </si>
  <si>
    <t>업무 관련 건강문제</t>
    <phoneticPr fontId="3" type="noConversion"/>
  </si>
  <si>
    <t>Work-related ill health</t>
    <phoneticPr fontId="3" type="noConversion"/>
  </si>
  <si>
    <t>GRI 403-10</t>
    <phoneticPr fontId="3" type="noConversion"/>
  </si>
  <si>
    <t>산업안전 교육 참여 비율</t>
    <phoneticPr fontId="3" type="noConversion"/>
  </si>
  <si>
    <t xml:space="preserve">Occupational safety training completion rate </t>
    <phoneticPr fontId="3" type="noConversion"/>
  </si>
  <si>
    <t>총 산업안전 교육 수료 임직원 수 / 산업안전 교육 대상자 수</t>
    <phoneticPr fontId="3" type="noConversion"/>
  </si>
  <si>
    <t>Occupational safety training completion rate = Number of employees who participated in occupational safety training  / Total number of employees</t>
    <phoneticPr fontId="3" type="noConversion"/>
  </si>
  <si>
    <t>CJ-Gen-S43</t>
    <phoneticPr fontId="3" type="noConversion"/>
  </si>
  <si>
    <t>총 산업안전 교육 수료인원</t>
    <phoneticPr fontId="3" type="noConversion"/>
  </si>
  <si>
    <t xml:space="preserve">Number of employees who participated in occupational safety training  </t>
    <phoneticPr fontId="3" type="noConversion"/>
  </si>
  <si>
    <t>대상자별 주요 산업안전 교육(CJ-Gen-S38)이 진행되는 바 
전사 참여비율을 정확히 산출하기는 어려움이 있어
연 1회라도 교육을 참여하면 이를 인증, 이를 비율로 산정함
[대상별 법정 교육]
1) 全직원 (미소지기 포함)/ 안전보건교육/ 채용시 / 8시간
2) 정기 안전보건 교육 / 미소지기, 관리감독자外 정직원 / 분기별 / 6시간
3) 안전보건 관리책임자 교육 / 안전보건 관리책임자 /연간 / 6시간
4) 관리감독자 교육 / 관리감독자 (사이트 정직원, 본사 일부) / 연간 / 16시간</t>
  </si>
  <si>
    <t>전직원 인원수</t>
  </si>
  <si>
    <t>해당 년도 산업안전 관리 전담 인력 부재 및 산업안전 교육의 경우 의무 교육이 아니여서,
미시행</t>
  </si>
  <si>
    <t>2023년 비고란에 "전직원 인원수"라고 작성해 주셔서 "총 임직원 수"기입하였으나, 2022&amp;2021년 비율(1)로 기입해주셔서, 2021 &amp; 2022년 "총 임직원 수"로 숫자 갈음하면 될지 확인 요청 드립니다.</t>
    <phoneticPr fontId="3" type="noConversion"/>
  </si>
  <si>
    <t xml:space="preserve">on process to train the safety by Gov's regulation </t>
  </si>
  <si>
    <t>CGV 베트남 산업안전 교육 수료인원 2022: 427명 → 2023년 0명 맞는지 확인 요청드립니다</t>
    <phoneticPr fontId="3" type="noConversion"/>
  </si>
  <si>
    <t>추후 산출 기준 그룹에서 재공지 예정</t>
  </si>
  <si>
    <t>산업안전 교육 대상자 수</t>
    <phoneticPr fontId="3" type="noConversion"/>
  </si>
  <si>
    <t>공급망 ESG 리스크 진단 이행률</t>
    <phoneticPr fontId="3" type="noConversion"/>
  </si>
  <si>
    <t>Supply chain ESG risk assessment implementation rate</t>
    <phoneticPr fontId="3" type="noConversion"/>
  </si>
  <si>
    <t>공급망 ESG 리스크 진단 이행률 = ESG 리스크 진단 완료 핵심 협력사 / 전체 핵심 협력사</t>
    <phoneticPr fontId="3" type="noConversion"/>
  </si>
  <si>
    <t>Supply chain ESG risk assessment implementation rate= Key suppliers that completed ESG risk assessment / All key suppliers</t>
    <phoneticPr fontId="3" type="noConversion"/>
  </si>
  <si>
    <t>ESG경영팀/각 부서</t>
    <phoneticPr fontId="3" type="noConversion"/>
  </si>
  <si>
    <t>CJ-Gen-S44</t>
    <phoneticPr fontId="3" type="noConversion"/>
  </si>
  <si>
    <t xml:space="preserve">ESG 리스크 진단 완료 핵심 협력사 수
</t>
    <phoneticPr fontId="3" type="noConversion"/>
  </si>
  <si>
    <t>Key suppliers that completed ESG risk assessment</t>
    <phoneticPr fontId="3" type="noConversion"/>
  </si>
  <si>
    <t>전체 핵심 협력사 수</t>
    <phoneticPr fontId="3" type="noConversion"/>
  </si>
  <si>
    <t>Number of all key suppliers</t>
    <phoneticPr fontId="3" type="noConversion"/>
  </si>
  <si>
    <t>공급망 ESG 실사 이행율</t>
    <phoneticPr fontId="3" type="noConversion"/>
  </si>
  <si>
    <t xml:space="preserve">Supply chain ESG risk assessment implementation rate </t>
    <phoneticPr fontId="3" type="noConversion"/>
  </si>
  <si>
    <t>공급망 ESG 리스크 실사 이행률 = ESG 실사 완료 고위험 핵심 협력사/ 고위험 핵심 협력사</t>
    <phoneticPr fontId="3" type="noConversion"/>
  </si>
  <si>
    <t>Supply chain ESG risk assessment implementation rate = High-risk key Suppliers that completedESG due diligence / High-risk key suppliers</t>
    <phoneticPr fontId="3" type="noConversion"/>
  </si>
  <si>
    <t>CJ-Gen-S45</t>
    <phoneticPr fontId="3" type="noConversion"/>
  </si>
  <si>
    <t>ESG 실사 완료 고위험 핵심 협력사 수</t>
    <phoneticPr fontId="3" type="noConversion"/>
  </si>
  <si>
    <t xml:space="preserve">High-risk key Suppliers that completed ESG due diligence </t>
    <phoneticPr fontId="3" type="noConversion"/>
  </si>
  <si>
    <t>고위험 핵심 협력사 수</t>
    <phoneticPr fontId="3" type="noConversion"/>
  </si>
  <si>
    <t>Number of High-risk key suppliers</t>
    <phoneticPr fontId="3" type="noConversion"/>
  </si>
  <si>
    <t>공급망 ESG 개선조치 계획 수립율</t>
    <phoneticPr fontId="3" type="noConversion"/>
  </si>
  <si>
    <t xml:space="preserve">Rate of improvement plan establishment  
Implementation ratio of improvement measures </t>
    <phoneticPr fontId="3" type="noConversion"/>
  </si>
  <si>
    <t>개선 계획 수립률 = 개선조치 수립 완료 고위험 핵심 협력사 / 고위험 핵심 협력사</t>
    <phoneticPr fontId="3" type="noConversion"/>
  </si>
  <si>
    <t>Rate of improvement plan establishment = = High-risk key suppliers  that completed the establishment of improvement plans / High-risk key suppliers</t>
    <phoneticPr fontId="3" type="noConversion"/>
  </si>
  <si>
    <t>CJ-Gen-S46</t>
    <phoneticPr fontId="3" type="noConversion"/>
  </si>
  <si>
    <t>개선조치 수립 완료 고위험 핵심 협력사 수(유지보수만, 공사X)</t>
    <phoneticPr fontId="3" type="noConversion"/>
  </si>
  <si>
    <t xml:space="preserve">High-risk key suppliers that completed the establishment of improvement plans </t>
    <phoneticPr fontId="3" type="noConversion"/>
  </si>
  <si>
    <t>공급망 ESG 개선조치 이행률</t>
    <phoneticPr fontId="3" type="noConversion"/>
  </si>
  <si>
    <t>Supply chain ESG improvement plan implementation rate</t>
    <phoneticPr fontId="3" type="noConversion"/>
  </si>
  <si>
    <t>개선 조치 이행률 = 1년 내 개선조치 이행 완료 고위험 핵심 협력사 / 개선조치 수립 완료 고위험 핵심 협력사</t>
    <phoneticPr fontId="3" type="noConversion"/>
  </si>
  <si>
    <t xml:space="preserve">Implementation ratio of improvement measures = High-risk key suppliers that implemented the improvement measures within 1 year / High-risk key suppliers that completed the establishment of improvement measures </t>
    <phoneticPr fontId="3" type="noConversion"/>
  </si>
  <si>
    <t>1년 내 개선조치 이행 완료 고위험 핵심 협력사 수</t>
    <phoneticPr fontId="3" type="noConversion"/>
  </si>
  <si>
    <t xml:space="preserve">High-risk key suppliers that implemented the improvement measures within 1 year </t>
    <phoneticPr fontId="3" type="noConversion"/>
  </si>
  <si>
    <t>개선조치 수립 완료 고위험 핵심 협력사 수</t>
    <phoneticPr fontId="3" type="noConversion"/>
  </si>
  <si>
    <t xml:space="preserve">High-risk key suppliers that completed the establishment of improvement measures </t>
    <phoneticPr fontId="3" type="noConversion"/>
  </si>
  <si>
    <t>공급망 ESG 교육</t>
    <phoneticPr fontId="3" type="noConversion"/>
  </si>
  <si>
    <t>Supply chain ESG training</t>
    <phoneticPr fontId="3" type="noConversion"/>
  </si>
  <si>
    <t xml:space="preserve">공급망 대상 ESG 교육 건수/ 명수 
Number of supply chain ESG trainin sessions and participants </t>
    <phoneticPr fontId="3" type="noConversion"/>
  </si>
  <si>
    <t xml:space="preserve">Number of supply chain ESG training sessions and participants </t>
    <phoneticPr fontId="3" type="noConversion"/>
  </si>
  <si>
    <t>CJ-Gen-S42-1</t>
    <phoneticPr fontId="3" type="noConversion"/>
  </si>
  <si>
    <t>협력사 행동규범 적용 계약 비율</t>
    <phoneticPr fontId="3" type="noConversion"/>
  </si>
  <si>
    <t>Ratio of contracts that apply the Code of Conduct</t>
    <phoneticPr fontId="3" type="noConversion"/>
  </si>
  <si>
    <t>행동규범 적용 계약 비율 = 연간 행동규범 적용 계약 협력사 수/ 연간 계약한 협력사 수수
Ratio of contracts applying the code of conduct = Number of contracts that apply the Code of Conduct per year / Number of partners contracted per year</t>
    <phoneticPr fontId="3" type="noConversion"/>
  </si>
  <si>
    <t>Ratio of contracts applying the code of conduct = Number of contracts that apply the Code of Conduct per year / Number of partners contracted per year</t>
    <phoneticPr fontId="3" type="noConversion"/>
  </si>
  <si>
    <t>CJ-Gen-S42</t>
    <phoneticPr fontId="3" type="noConversion"/>
  </si>
  <si>
    <t>사회공헌</t>
    <phoneticPr fontId="3" type="noConversion"/>
  </si>
  <si>
    <t>Social Contribution</t>
    <phoneticPr fontId="3" type="noConversion"/>
  </si>
  <si>
    <t>상생펀드 조성액</t>
    <phoneticPr fontId="3" type="noConversion"/>
  </si>
  <si>
    <t>Shared growth fund</t>
    <phoneticPr fontId="3" type="noConversion"/>
  </si>
  <si>
    <t>상생펀드 액수
Shared Growth fund</t>
    <phoneticPr fontId="3" type="noConversion"/>
  </si>
  <si>
    <t>Shared Growth fund</t>
    <phoneticPr fontId="3" type="noConversion"/>
  </si>
  <si>
    <t>CJ-Gen-S41</t>
    <phoneticPr fontId="3" type="noConversion"/>
  </si>
  <si>
    <t>사회공헌비용: 기부금</t>
    <phoneticPr fontId="3" type="noConversion"/>
  </si>
  <si>
    <t>현지통화기준(KRW: 억원)</t>
    <phoneticPr fontId="3" type="noConversion"/>
  </si>
  <si>
    <t>Social contribution expenses: donations</t>
    <phoneticPr fontId="3" type="noConversion"/>
  </si>
  <si>
    <t>Local currency (KRW 100M)</t>
    <phoneticPr fontId="3" type="noConversion"/>
  </si>
  <si>
    <t>자선 기부금액 합산</t>
    <phoneticPr fontId="3" type="noConversion"/>
  </si>
  <si>
    <t>Aggregate the charitable donation amounts</t>
    <phoneticPr fontId="3" type="noConversion"/>
  </si>
  <si>
    <t>CJ-Gen-S50</t>
    <phoneticPr fontId="3" type="noConversion"/>
  </si>
  <si>
    <t>사회공헌비용: 기부금 항목의 경우 현지통화기준으로 취합한 상태라서, 4월 25일에 말씀주신 "현지통화에 각 연도별 평균환율 적용" 여부 확인 요청드립니다</t>
    <phoneticPr fontId="3" type="noConversion"/>
  </si>
  <si>
    <t>CJ-Gen-S50 "CGV 재무팀이 국가별 “기부금“ 확인하여 기입예정 The finace team will check the contribution by country."</t>
    <phoneticPr fontId="3" type="noConversion"/>
  </si>
  <si>
    <t>현지통화기준(KRW: 억원)</t>
  </si>
  <si>
    <t>정치 기부금</t>
    <phoneticPr fontId="3" type="noConversion"/>
  </si>
  <si>
    <t>Political contributions</t>
    <phoneticPr fontId="3" type="noConversion"/>
  </si>
  <si>
    <t>경영진단팀</t>
    <phoneticPr fontId="3" type="noConversion"/>
  </si>
  <si>
    <t>GRI 415-1</t>
    <phoneticPr fontId="3" type="noConversion"/>
  </si>
  <si>
    <t>정치 기부금 항목의 경우 현지통화기준으로 취합한 상태라서, 4월 25일에 말씀주신 "현지통화에 각 연도별 평균환율 적용" 여부 확인 요청드립니다</t>
    <phoneticPr fontId="3" type="noConversion"/>
  </si>
  <si>
    <t>Donation for Covid  vaccine to Government - June 2021</t>
    <phoneticPr fontId="3" type="noConversion"/>
  </si>
  <si>
    <t>자원봉사</t>
    <phoneticPr fontId="3" type="noConversion"/>
  </si>
  <si>
    <t>Volunteer activities</t>
    <phoneticPr fontId="3" type="noConversion"/>
  </si>
  <si>
    <t>Volunteer activities participation hours</t>
    <phoneticPr fontId="3" type="noConversion"/>
  </si>
  <si>
    <t>자원봉사 참여 시간 합산</t>
    <phoneticPr fontId="3" type="noConversion"/>
  </si>
  <si>
    <t>Aggregate the time spent in volunteer activities</t>
    <phoneticPr fontId="3" type="noConversion"/>
  </si>
  <si>
    <t>22년 데이터 수정</t>
    <phoneticPr fontId="3" type="noConversion"/>
  </si>
  <si>
    <t>CJ-Gen-S51</t>
    <phoneticPr fontId="3" type="noConversion"/>
  </si>
  <si>
    <t>No Actvity(No Counting)</t>
  </si>
  <si>
    <t>CJ-Gen-S51 "CGV튀르키예 봉사활동 미수행"</t>
    <phoneticPr fontId="3" type="noConversion"/>
  </si>
  <si>
    <t>인원 수</t>
    <phoneticPr fontId="3" type="noConversion"/>
  </si>
  <si>
    <t>Aggregate the number of employees who participated in volunteer activities</t>
    <phoneticPr fontId="3" type="noConversion"/>
  </si>
  <si>
    <t>자원봉사 참여 임직원 수 합산</t>
    <phoneticPr fontId="3" type="noConversion"/>
  </si>
  <si>
    <t>CJ-Gen-S52</t>
    <phoneticPr fontId="3" type="noConversion"/>
  </si>
  <si>
    <t>CJ-Gen-S52 "CGV튀르키예 봉사활동 미수행"</t>
    <phoneticPr fontId="3" type="noConversion"/>
  </si>
  <si>
    <t>지역사회 참여, 영향 평가 및 개발 프로그램 수행 사업장 비율</t>
    <phoneticPr fontId="3" type="noConversion"/>
  </si>
  <si>
    <t>Operations with local community engagement, impact assessments, and development programs</t>
    <phoneticPr fontId="3" type="noConversion"/>
  </si>
  <si>
    <t>V</t>
  </si>
  <si>
    <t>GRI 413-1</t>
    <phoneticPr fontId="3" type="noConversion"/>
  </si>
  <si>
    <t>지배구조 성과</t>
    <phoneticPr fontId="3" type="noConversion"/>
  </si>
  <si>
    <t>Governance Performance</t>
    <phoneticPr fontId="3" type="noConversion"/>
  </si>
  <si>
    <t>이사회 구성</t>
    <phoneticPr fontId="3" type="noConversion"/>
  </si>
  <si>
    <t>Financial Soundness</t>
    <phoneticPr fontId="3" type="noConversion"/>
  </si>
  <si>
    <t>이사회 구성 현황</t>
    <phoneticPr fontId="3" type="noConversion"/>
  </si>
  <si>
    <t>Composition of Board of Directors</t>
    <phoneticPr fontId="3" type="noConversion"/>
  </si>
  <si>
    <t>Person</t>
    <phoneticPr fontId="3" type="noConversion"/>
  </si>
  <si>
    <t>재무팀</t>
  </si>
  <si>
    <t>이사회</t>
    <phoneticPr fontId="3" type="noConversion"/>
  </si>
  <si>
    <t>Number of Members of the Board of Directors</t>
  </si>
  <si>
    <t>이사회 인원 수</t>
  </si>
  <si>
    <t>Number of the Board of Directors members</t>
    <phoneticPr fontId="3" type="noConversion"/>
  </si>
  <si>
    <t>CJ-Gen-G5</t>
  </si>
  <si>
    <t>GRI 2-9</t>
  </si>
  <si>
    <t>사외이사</t>
    <phoneticPr fontId="3" type="noConversion"/>
  </si>
  <si>
    <t xml:space="preserve">Number of independent directors </t>
    <phoneticPr fontId="3" type="noConversion"/>
  </si>
  <si>
    <t>사외이사 수</t>
  </si>
  <si>
    <t>Number of independent directors</t>
    <phoneticPr fontId="3" type="noConversion"/>
  </si>
  <si>
    <t>CJ-Gen-G6</t>
  </si>
  <si>
    <t>여성이사</t>
    <phoneticPr fontId="3" type="noConversion"/>
  </si>
  <si>
    <t xml:space="preserve">Number of female directors 	</t>
    <phoneticPr fontId="3" type="noConversion"/>
  </si>
  <si>
    <t>여성 이사 수</t>
  </si>
  <si>
    <t>Number of female directors</t>
    <phoneticPr fontId="3" type="noConversion"/>
  </si>
  <si>
    <t>CJ-Gen-G7</t>
  </si>
  <si>
    <t>사외이사 구성 비율</t>
    <phoneticPr fontId="3" type="noConversion"/>
  </si>
  <si>
    <t xml:space="preserve">Composition ratio of independent directors to the Board of Directors </t>
    <phoneticPr fontId="3" type="noConversion"/>
  </si>
  <si>
    <t>사외이사 이사회 구성 비율 = 사외이사 수 / 이사회 인원 수</t>
    <phoneticPr fontId="3" type="noConversion"/>
  </si>
  <si>
    <t>Number of independent directors / Number of the Board Members</t>
    <phoneticPr fontId="3" type="noConversion"/>
  </si>
  <si>
    <t>CJ-Gen-G4</t>
  </si>
  <si>
    <t>감사위원회</t>
    <phoneticPr fontId="3" type="noConversion"/>
  </si>
  <si>
    <t>Number of the Board Members</t>
  </si>
  <si>
    <t>이사회 운영</t>
    <phoneticPr fontId="3" type="noConversion"/>
  </si>
  <si>
    <t>개최 횟수</t>
    <phoneticPr fontId="3" type="noConversion"/>
  </si>
  <si>
    <t>Number of the Meetings</t>
    <phoneticPr fontId="3" type="noConversion"/>
  </si>
  <si>
    <t>회</t>
  </si>
  <si>
    <t>Number of the Board of Directors Meetings</t>
  </si>
  <si>
    <t>이사회 개최 횟수</t>
  </si>
  <si>
    <t>Number of the Board of Directors Meetings</t>
    <phoneticPr fontId="3" type="noConversion"/>
  </si>
  <si>
    <t>CJ-Gen-G8</t>
  </si>
  <si>
    <t>건</t>
  </si>
  <si>
    <t xml:space="preserve">Number of Audit Committee Meetings </t>
    <phoneticPr fontId="3" type="noConversion"/>
  </si>
  <si>
    <t>감사위원회 개최 횟수</t>
  </si>
  <si>
    <t>Number of Audit Committee Meetings</t>
    <phoneticPr fontId="3" type="noConversion"/>
  </si>
  <si>
    <t>CJ-Gen-G24</t>
    <phoneticPr fontId="3" type="noConversion"/>
  </si>
  <si>
    <t>안건 수</t>
    <phoneticPr fontId="3" type="noConversion"/>
  </si>
  <si>
    <t>Number of agenda items</t>
    <phoneticPr fontId="3" type="noConversion"/>
  </si>
  <si>
    <t>이사회 상정</t>
    <phoneticPr fontId="3" type="noConversion"/>
  </si>
  <si>
    <t xml:space="preserve">Number of agenda items discussed by the Board of Directors </t>
    <phoneticPr fontId="3" type="noConversion"/>
  </si>
  <si>
    <t>이사회 논의 안건 수</t>
    <phoneticPr fontId="3" type="noConversion"/>
  </si>
  <si>
    <t>Number of agenda items discussed by the BOD</t>
  </si>
  <si>
    <t>CJ-Gen-G9</t>
  </si>
  <si>
    <t>사외이사 반대/수정</t>
    <phoneticPr fontId="3" type="noConversion"/>
  </si>
  <si>
    <t xml:space="preserve">Number of agenda items opposed/Amended by independent directors </t>
    <phoneticPr fontId="3" type="noConversion"/>
  </si>
  <si>
    <t>사외이사 반대/수정 안건 수</t>
    <phoneticPr fontId="3" type="noConversion"/>
  </si>
  <si>
    <t>Number of agenda items opposed/amended by independent directors</t>
    <phoneticPr fontId="3" type="noConversion"/>
  </si>
  <si>
    <t>CJ-Gen-G10</t>
  </si>
  <si>
    <t>참석율</t>
    <phoneticPr fontId="3" type="noConversion"/>
  </si>
  <si>
    <t xml:space="preserve">Attendance Rate </t>
    <phoneticPr fontId="3" type="noConversion"/>
  </si>
  <si>
    <t>이사회_사내이사</t>
    <phoneticPr fontId="3" type="noConversion"/>
  </si>
  <si>
    <t>Attendance Rate of Inside Directors for the Board of Directors meetings</t>
    <phoneticPr fontId="3" type="noConversion"/>
  </si>
  <si>
    <t>이사회 사내이사 참석 횟수 / 이사회 회의 개최 횟수
Number of the BOD meetings attended by inside directors/ Number of the BOD meeting held</t>
    <phoneticPr fontId="3" type="noConversion"/>
  </si>
  <si>
    <t>Number of the BOD meetings attended by inside directors/ Number of the BOD meeting held</t>
    <phoneticPr fontId="3" type="noConversion"/>
  </si>
  <si>
    <t>CJ-Gen-G11</t>
  </si>
  <si>
    <t>이사회_사외이사</t>
    <phoneticPr fontId="3" type="noConversion"/>
  </si>
  <si>
    <t>Attendance rate of independent directors for the BOD meetings</t>
    <phoneticPr fontId="3" type="noConversion"/>
  </si>
  <si>
    <t>이사회 사외이사 참석 횟수 / 이사회 회의 개최 횟수
Number of attendance of outside directors for meeting of BOD/ Number of the BOD meeting held</t>
    <phoneticPr fontId="3" type="noConversion"/>
  </si>
  <si>
    <t>Number of attendance of outside directors for meeting of BOD/ Number of the BOD meeting held</t>
    <phoneticPr fontId="3" type="noConversion"/>
  </si>
  <si>
    <t>CJ-Gen-G12</t>
  </si>
  <si>
    <t>사외이사후보추천위원회_
사외이사</t>
    <phoneticPr fontId="3" type="noConversion"/>
  </si>
  <si>
    <t>Attendance rate of independent directors at the Independent Director Candidate Recommendation Committee</t>
    <phoneticPr fontId="3" type="noConversion"/>
  </si>
  <si>
    <t>사외이사후보추천위원회 사외이사 참석 횟수 / 사외이사후보추천위원회 개최 횟수
Number of attendance of independent directors at the Independent Director Candidate Recommendation Committee/ Number of the Independent Director Candidate Recommendation Committee meetings held</t>
    <phoneticPr fontId="3" type="noConversion"/>
  </si>
  <si>
    <t>Number of attendance of independent directors at the Independent Director Candidate Recommendation Committee/ Number of the Independent Director Candidate Recommendation Committee meetings held</t>
    <phoneticPr fontId="3" type="noConversion"/>
  </si>
  <si>
    <t>CJ-Gen-G13</t>
  </si>
  <si>
    <t>보상위원회_사외이사</t>
    <phoneticPr fontId="3" type="noConversion"/>
  </si>
  <si>
    <t>Attendance rate of independent directors for the Renumeration Committee</t>
    <phoneticPr fontId="3" type="noConversion"/>
  </si>
  <si>
    <t xml:space="preserve">보상위원회 사외이사 참석 횟수 / 보상위원회 개최 횟수
Number of attendance of independent directors for the Renumeration Committee / Number of the Renumeration Committee meetings held </t>
    <phoneticPr fontId="3" type="noConversion"/>
  </si>
  <si>
    <t xml:space="preserve">Number of attendance of independent directors for the Renumeration Committee / Number of the Renumeration Committee meetings held </t>
    <phoneticPr fontId="3" type="noConversion"/>
  </si>
  <si>
    <t>CJ-Gen-G14</t>
  </si>
  <si>
    <t>감사위원회_사외이사</t>
    <phoneticPr fontId="3" type="noConversion"/>
  </si>
  <si>
    <t>Attendance rate of independent directors for the Audit Committee</t>
    <phoneticPr fontId="3" type="noConversion"/>
  </si>
  <si>
    <t>감사위원회 사외이사 참석 횟수 / 감사위원회 개최 횟수
Number of attendance of independent directors for the Audit Committee/ Number of the Audit Committee meetings held
Number of attendance of independent(outside) directors for audit committee/ Number of audit committee meeting held</t>
    <phoneticPr fontId="3" type="noConversion"/>
  </si>
  <si>
    <t>Number of attendance of independent directors for the Audit Committee/ Number of the Audit Committee meetings held
Number of attendance of independent(outside) directors for audit committee/ Number of audit committee meeting held</t>
    <phoneticPr fontId="3" type="noConversion"/>
  </si>
  <si>
    <t>CJ-Gen-G15</t>
  </si>
  <si>
    <t>감사위원회 위원 수</t>
  </si>
  <si>
    <t xml:space="preserve">Number of Audit Committee Members </t>
    <phoneticPr fontId="3" type="noConversion"/>
  </si>
  <si>
    <t>CJ-Gen-G25</t>
    <phoneticPr fontId="3" type="noConversion"/>
  </si>
  <si>
    <t>감사위원회 위원 중 사외이사 수</t>
  </si>
  <si>
    <t>Number of independent directors from Audit Committee</t>
    <phoneticPr fontId="3" type="noConversion"/>
  </si>
  <si>
    <t>CJ-Gen-G26</t>
    <phoneticPr fontId="3" type="noConversion"/>
  </si>
  <si>
    <t>감사 또는 감사위원 장기 재직 위원 비율</t>
    <phoneticPr fontId="3" type="noConversion"/>
  </si>
  <si>
    <t xml:space="preserve">Ratio of long-term auditors or audit committee members </t>
    <phoneticPr fontId="3" type="noConversion"/>
  </si>
  <si>
    <t>장기재직 감사 또는 감사위원 비율 = 장기 재직 감사 또는 감사위원의 수 / 전체 감사 또는 감사위원 수</t>
    <phoneticPr fontId="3" type="noConversion"/>
  </si>
  <si>
    <t>CJ-Gen-G27</t>
    <phoneticPr fontId="3" type="noConversion"/>
  </si>
  <si>
    <t>장기 재직 감사 또는 감사위원</t>
    <phoneticPr fontId="3" type="noConversion"/>
  </si>
  <si>
    <t>Number of long-term auditors or audit committee members</t>
    <phoneticPr fontId="3" type="noConversion"/>
  </si>
  <si>
    <t>전체 감사 또는 감사위원 수</t>
    <phoneticPr fontId="3" type="noConversion"/>
  </si>
  <si>
    <t>Total number of auditors of audit committee members</t>
    <phoneticPr fontId="3" type="noConversion"/>
  </si>
  <si>
    <t>이사 보수 공개</t>
    <phoneticPr fontId="3" type="noConversion"/>
  </si>
  <si>
    <t>Board of Directors</t>
    <phoneticPr fontId="3" type="noConversion"/>
  </si>
  <si>
    <t>사내이사</t>
    <phoneticPr fontId="3" type="noConversion"/>
  </si>
  <si>
    <t xml:space="preserve">Total remuneration for inside directors </t>
    <phoneticPr fontId="3" type="noConversion"/>
  </si>
  <si>
    <t>사내이사 보수 총액</t>
    <phoneticPr fontId="3" type="noConversion"/>
  </si>
  <si>
    <t xml:space="preserve">Total Remuneration for Inside Directors </t>
    <phoneticPr fontId="3" type="noConversion"/>
  </si>
  <si>
    <t>CJ-Gen-G16</t>
    <phoneticPr fontId="3" type="noConversion"/>
  </si>
  <si>
    <t xml:space="preserve">Total remuneration for independent directors 	</t>
    <phoneticPr fontId="3" type="noConversion"/>
  </si>
  <si>
    <t>사외이사 보수 총액</t>
    <phoneticPr fontId="3" type="noConversion"/>
  </si>
  <si>
    <t xml:space="preserve">Total remuneration for independent directors </t>
    <phoneticPr fontId="3" type="noConversion"/>
  </si>
  <si>
    <t>CJ-Gen-G17</t>
  </si>
  <si>
    <t>감사용역보수 대비 비감사용역보수 비율</t>
    <phoneticPr fontId="3" type="noConversion"/>
  </si>
  <si>
    <t>Ratio of non-audit service fees to audit service fees paid to external auditors</t>
    <phoneticPr fontId="3" type="noConversion"/>
  </si>
  <si>
    <t>외부 감사인에게 지급한 감사용역보수 대비 비감사용역보수 비율 = 외부 감사인에게 지급한 비감사용역보수 / 외부감사인에게 지급한 감사용역보수</t>
    <phoneticPr fontId="3" type="noConversion"/>
  </si>
  <si>
    <t>Ratio of non-audit service fees to audit service fees paid to external auditors =Non-audit fees paid to external auditors/ Audit fees paid to external auditors</t>
    <phoneticPr fontId="3" type="noConversion"/>
  </si>
  <si>
    <t>CJ-Gen-G28</t>
    <phoneticPr fontId="3" type="noConversion"/>
  </si>
  <si>
    <t>비감사용역 보수</t>
    <phoneticPr fontId="3" type="noConversion"/>
  </si>
  <si>
    <t xml:space="preserve">Non-audit fees paid to external auditors </t>
    <phoneticPr fontId="3" type="noConversion"/>
  </si>
  <si>
    <t>감사용역 보수</t>
    <phoneticPr fontId="3" type="noConversion"/>
  </si>
  <si>
    <t>Audit fees paid to external auditors</t>
    <phoneticPr fontId="3" type="noConversion"/>
  </si>
  <si>
    <t>* CGV별도기준(연결재무제표 감사받음/단 지역별 감사는 따로 받음)
*5.22업데이트</t>
  </si>
  <si>
    <t>주주</t>
    <phoneticPr fontId="3" type="noConversion"/>
  </si>
  <si>
    <t>Shareholders</t>
    <phoneticPr fontId="3" type="noConversion"/>
  </si>
  <si>
    <t>최대주주 및 특수관계인의 지분율</t>
    <phoneticPr fontId="3" type="noConversion"/>
  </si>
  <si>
    <t>Shareholding Ratio of the Largest Shareholder and Related Parties</t>
    <phoneticPr fontId="3" type="noConversion"/>
  </si>
  <si>
    <t>최대주주 및 특수관계인 지분율의 합산</t>
    <phoneticPr fontId="3" type="noConversion"/>
  </si>
  <si>
    <t>Number of shares held by the largest shareholder and related parties /  Number of shares of common stock issued</t>
    <phoneticPr fontId="3" type="noConversion"/>
  </si>
  <si>
    <t>CJ-Gen-G1</t>
    <phoneticPr fontId="3" type="noConversion"/>
  </si>
  <si>
    <t>최대주주 및 특수관계인 보유 주식 수</t>
    <phoneticPr fontId="3" type="noConversion"/>
  </si>
  <si>
    <t>주</t>
    <phoneticPr fontId="3" type="noConversion"/>
  </si>
  <si>
    <t>Number of shares held by the largest shareholder and related parties Number of shares of common stock issued</t>
    <phoneticPr fontId="3" type="noConversion"/>
  </si>
  <si>
    <t>Shares</t>
    <phoneticPr fontId="3" type="noConversion"/>
  </si>
  <si>
    <t>2023년 사업보고서 기준, 기말 씨제이㈜의 주식수가 "41,134,270"로 상이하여 숫자 확인 요청드립니다</t>
    <phoneticPr fontId="3" type="noConversion"/>
  </si>
  <si>
    <t>보통주 발행 주식 수</t>
    <phoneticPr fontId="3" type="noConversion"/>
  </si>
  <si>
    <t>Number of shares of common stock issued</t>
  </si>
  <si>
    <t>최대주주 및 특수관계인을 제외한 등기임원의 지분율</t>
    <phoneticPr fontId="3" type="noConversion"/>
  </si>
  <si>
    <t xml:space="preserve">Shareholding Ratio of Registered Officers Excluding the Largest Shareholder and Related Parties 	</t>
    <phoneticPr fontId="3" type="noConversion"/>
  </si>
  <si>
    <t>최대주주 및 특수관계인을 제외한 등기임원의 지분율 합산</t>
    <phoneticPr fontId="3" type="noConversion"/>
  </si>
  <si>
    <t>Number of shares held by registered executives / Number of shares of common stock issued</t>
    <phoneticPr fontId="3" type="noConversion"/>
  </si>
  <si>
    <t>CJ-Gen-G2</t>
    <phoneticPr fontId="3" type="noConversion"/>
  </si>
  <si>
    <t>최대주주 및 특수관계인을 제외한 등기임원 보유 주식 수</t>
    <phoneticPr fontId="3" type="noConversion"/>
  </si>
  <si>
    <t xml:space="preserve">Number of shares held by registered executives </t>
    <phoneticPr fontId="3" type="noConversion"/>
  </si>
  <si>
    <t>Number of shares of common stock issued</t>
    <phoneticPr fontId="3" type="noConversion"/>
  </si>
  <si>
    <t>회사에 대한 계열회사의 지분율</t>
    <phoneticPr fontId="3" type="noConversion"/>
  </si>
  <si>
    <t>Shareholding Ratio of Affiliate Companies</t>
    <phoneticPr fontId="3" type="noConversion"/>
  </si>
  <si>
    <t>회사가 보유한 지주회사 보통주식수 비율</t>
    <phoneticPr fontId="3" type="noConversion"/>
  </si>
  <si>
    <t>Ratio of common shares of the holding company held by the company</t>
    <phoneticPr fontId="3" type="noConversion"/>
  </si>
  <si>
    <t>CJ-Gen-G3</t>
    <phoneticPr fontId="3" type="noConversion"/>
  </si>
  <si>
    <t>지주회사 보통주식수</t>
    <phoneticPr fontId="3" type="noConversion"/>
  </si>
  <si>
    <t xml:space="preserve">Number of common shares of the holding company held by the company 
</t>
    <phoneticPr fontId="3" type="noConversion"/>
  </si>
  <si>
    <t>지주회사의 보통주 발행주식 수</t>
    <phoneticPr fontId="3" type="noConversion"/>
  </si>
  <si>
    <t>Number of common shares issued by the holding company</t>
    <phoneticPr fontId="3" type="noConversion"/>
  </si>
  <si>
    <t>현금 배당 성향</t>
    <phoneticPr fontId="3" type="noConversion"/>
  </si>
  <si>
    <t>Cash dividend payout ratio</t>
    <phoneticPr fontId="3" type="noConversion"/>
  </si>
  <si>
    <t>CJ-Gen-G32</t>
    <phoneticPr fontId="3" type="noConversion"/>
  </si>
  <si>
    <t>총 주주 수익률</t>
    <phoneticPr fontId="3" type="noConversion"/>
  </si>
  <si>
    <t xml:space="preserve">Total shareholder return </t>
    <phoneticPr fontId="3" type="noConversion"/>
  </si>
  <si>
    <t>총 주주 수익률 = ((기말 주식가격 - 전년 기말 주식가격 + 1주당 배당금) / 전년 기말 주식가격) X 100
*기말 주식가격: 당해 증시 폐장인 장마감 주식가격
*전년 기말 주식가격: 전년 증시 폐장일 장마감 주식가격
*1주당 배당금: 보통주 1주당 배당금 합계 금액</t>
    <phoneticPr fontId="3" type="noConversion"/>
  </si>
  <si>
    <t>Total shareholder return = ((Stock price at the end of the period - Stock price at the end of the previous year + Dividends per share) / Stock price at the end of the previous year) X 100
*Term-end stock price: stock price at the end of the market, when the stock market is closed
*Stock price at the end of the previous year: Stock price at the close of the stock market on the closing day of the previous year
*Dividend per share: Total amount of dividends per share of common stock</t>
    <phoneticPr fontId="3" type="noConversion"/>
  </si>
  <si>
    <t>CJ-Gen-G33</t>
    <phoneticPr fontId="3" type="noConversion"/>
  </si>
  <si>
    <t>기말 주식가격 (당해 증시 폐장인 장마감 주식가격)
※ 보통주 기준</t>
    <phoneticPr fontId="3" type="noConversion"/>
  </si>
  <si>
    <t>원</t>
    <phoneticPr fontId="3" type="noConversion"/>
  </si>
  <si>
    <t xml:space="preserve">Stock price at the end of the period </t>
    <phoneticPr fontId="3" type="noConversion"/>
  </si>
  <si>
    <t>KRW</t>
    <phoneticPr fontId="3" type="noConversion"/>
  </si>
  <si>
    <t>CJ-Gen-G31</t>
  </si>
  <si>
    <t>2022년: 25050 → 2023년: 5780로 줄어든게 맞는지 확인 요청드립니다</t>
    <phoneticPr fontId="3" type="noConversion"/>
  </si>
  <si>
    <t>전년 기말 주식가격 (전년 증시 폐장일 장마감 주식가격)
※ 보통주 기준</t>
    <phoneticPr fontId="3" type="noConversion"/>
  </si>
  <si>
    <t xml:space="preserve">Stock price at the end of the previous year </t>
    <phoneticPr fontId="3" type="noConversion"/>
  </si>
  <si>
    <t>1주당 배당금 합계 금액 (보통주 기준)</t>
    <phoneticPr fontId="3" type="noConversion"/>
  </si>
  <si>
    <t xml:space="preserve">Dividends per share </t>
    <phoneticPr fontId="3" type="noConversion"/>
  </si>
  <si>
    <t>재무건전성</t>
    <phoneticPr fontId="3" type="noConversion"/>
  </si>
  <si>
    <t>순자산 대비 관계사 우발채무 비율</t>
    <phoneticPr fontId="3" type="noConversion"/>
  </si>
  <si>
    <t>Contingent liabilities ratio of affiliate companies to net assets</t>
    <phoneticPr fontId="3" type="noConversion"/>
  </si>
  <si>
    <t>순자산 대비 관계사 우발채무 비율 = 관계사 우발 부채 / 순자산</t>
    <phoneticPr fontId="3" type="noConversion"/>
  </si>
  <si>
    <t>Contingent liabilities ratio of affiliate companies to net assets
= Contingent liabilities affiliate companies / Net assets</t>
    <phoneticPr fontId="3" type="noConversion"/>
  </si>
  <si>
    <t>CJ-Gen-G29</t>
    <phoneticPr fontId="3" type="noConversion"/>
  </si>
  <si>
    <t>관계사 우발 부채</t>
    <phoneticPr fontId="3" type="noConversion"/>
  </si>
  <si>
    <t xml:space="preserve">Contingent liabilities affiliate companies </t>
    <phoneticPr fontId="3" type="noConversion"/>
  </si>
  <si>
    <t>순자산</t>
    <phoneticPr fontId="3" type="noConversion"/>
  </si>
  <si>
    <t>Net assets</t>
    <phoneticPr fontId="3" type="noConversion"/>
  </si>
  <si>
    <t>관계사 매출 거래 비율</t>
    <phoneticPr fontId="3" type="noConversion"/>
  </si>
  <si>
    <t>Ratio of Sales Transactions of Affiliated Companies</t>
    <phoneticPr fontId="3" type="noConversion"/>
  </si>
  <si>
    <t>관계사 매출 비율 = 관계사 매출액 / 매출액</t>
    <phoneticPr fontId="3" type="noConversion"/>
  </si>
  <si>
    <t>Affiliates Sales Ratio = Affiliates Sales / Annual Sales</t>
    <phoneticPr fontId="3" type="noConversion"/>
  </si>
  <si>
    <t>CJ-Gen-G30</t>
    <phoneticPr fontId="3" type="noConversion"/>
  </si>
  <si>
    <t>관계사 매출액</t>
    <phoneticPr fontId="3" type="noConversion"/>
  </si>
  <si>
    <t xml:space="preserve">Affiliates Sales </t>
    <phoneticPr fontId="3" type="noConversion"/>
  </si>
  <si>
    <t>매출액</t>
    <phoneticPr fontId="3" type="noConversion"/>
  </si>
  <si>
    <t>Annual Sales</t>
    <phoneticPr fontId="3" type="noConversion"/>
  </si>
  <si>
    <t>관계사 매입 거래 비율</t>
    <phoneticPr fontId="3" type="noConversion"/>
  </si>
  <si>
    <t xml:space="preserve">Ratio of Purchase Transactions of Affiliated Companies 	</t>
    <phoneticPr fontId="3" type="noConversion"/>
  </si>
  <si>
    <t>관계사 매입 비율 = 관계사 매입액 / 매입액</t>
    <phoneticPr fontId="3" type="noConversion"/>
  </si>
  <si>
    <t>Affiliates Purchase Ratio = Affiliates Purchase / Annual Purchase</t>
    <phoneticPr fontId="3" type="noConversion"/>
  </si>
  <si>
    <t>CJ-Gen-G31</t>
    <phoneticPr fontId="3" type="noConversion"/>
  </si>
  <si>
    <t>관계사 매입액</t>
    <phoneticPr fontId="3" type="noConversion"/>
  </si>
  <si>
    <t xml:space="preserve">Affiliates Purchase </t>
    <phoneticPr fontId="3" type="noConversion"/>
  </si>
  <si>
    <t>매입액</t>
    <phoneticPr fontId="3" type="noConversion"/>
  </si>
  <si>
    <t>Annual Purchase</t>
    <phoneticPr fontId="3" type="noConversion"/>
  </si>
  <si>
    <t>윤리/준법경영</t>
    <phoneticPr fontId="3" type="noConversion"/>
  </si>
  <si>
    <t>윤리경영 교육</t>
    <phoneticPr fontId="3" type="noConversion"/>
  </si>
  <si>
    <t>Ethical management training</t>
    <phoneticPr fontId="3" type="noConversion"/>
  </si>
  <si>
    <t>인사운영팀</t>
  </si>
  <si>
    <t>시간</t>
  </si>
  <si>
    <t xml:space="preserve">Total ethical management training hours </t>
  </si>
  <si>
    <t>총 윤리교육 수료시간</t>
  </si>
  <si>
    <t>Total Ethical Management Training hours</t>
    <phoneticPr fontId="3" type="noConversion"/>
  </si>
  <si>
    <t>CJ-Gen-G18</t>
  </si>
  <si>
    <t>* 모두가 실천해야할 '정직' 교육: 1시간
* [2021] 함께 존중하는 건강한 CJ 만들기: 0.5시간
* [2021] 함께 존중하는 건강한 CJ 만들기(leader): 0.5시간
* 준법경영위원회 이원 대상 공정거래법 주요 개정 사항 특강:1시간
* CJ그룹 행동강령(CJ인의 약속): 1시간
* CJ글로벌 경제제제 컴플라이언스 정책: 0.3시간
* 정보교환행위금지가이드: 0.1시간</t>
  </si>
  <si>
    <t>* 모두가 실천해야할 '정직' 교육: 1시간
* 안전을 만나는시간 - 중대재해처벌법: 1시간
* [2022] 강재준, 이은형과 함께하는 직장 내 괴롭힘 예방교육: 1시간
* 기술자료 제공 요구 준수사항(카드러닝): 0.5시간
* 신입사원 오프라인 '정직의 의미와 실천' 교육 수강 인원: 1시간
* CGV컴플라이언스 교육 (법무·컴플라이언스팀 주관): 0.5시간
※ 카드러닝 형식은 0.5시간 반영</t>
  </si>
  <si>
    <t>Number of employees who completed ethical management training</t>
    <phoneticPr fontId="3" type="noConversion"/>
  </si>
  <si>
    <t>총 윤리교육 수료인원</t>
  </si>
  <si>
    <t>CJ-Gen-G19</t>
  </si>
  <si>
    <t>중복된 인원 제외, 1회라도 교육을 수료한 임직원 수로 재산출</t>
  </si>
  <si>
    <t>법규 위반 등</t>
    <phoneticPr fontId="3" type="noConversion"/>
  </si>
  <si>
    <t>Lagal &amp; regulatory Violations</t>
    <phoneticPr fontId="3" type="noConversion"/>
  </si>
  <si>
    <t>법무컴플라이언스팀</t>
    <phoneticPr fontId="3" type="noConversion"/>
  </si>
  <si>
    <t>공정경쟁 관련 법규</t>
    <phoneticPr fontId="3" type="noConversion"/>
  </si>
  <si>
    <t xml:space="preserve">Number of violations of fair competition related laws 	</t>
    <phoneticPr fontId="3" type="noConversion"/>
  </si>
  <si>
    <t>공정거래 관련 법률 위반에 따른 제재 건수
*사업보고서 기준과 동일하게 법규 위반 건수 취합</t>
    <phoneticPr fontId="3" type="noConversion"/>
  </si>
  <si>
    <t>Number of violations of fair competition related laws 
* number of violations of laws and regulations in the same standard as in the business report</t>
    <phoneticPr fontId="3" type="noConversion"/>
  </si>
  <si>
    <t>CJ-Gen-G22</t>
    <phoneticPr fontId="3" type="noConversion"/>
  </si>
  <si>
    <t>GRI 206-1</t>
  </si>
  <si>
    <t>반부패 관련 법규</t>
    <phoneticPr fontId="3" type="noConversion"/>
  </si>
  <si>
    <t>Number of violations of anti-corruption regulations</t>
    <phoneticPr fontId="3" type="noConversion"/>
  </si>
  <si>
    <t>반부패 관련 법률 위반에 따른 제재 건수
(부정청탁 및 금품 등 수수의 금지에 관한 법률 등)
*사업보고서 기준과 동일하게 법규 위반 건수 취합</t>
    <phoneticPr fontId="3" type="noConversion"/>
  </si>
  <si>
    <t>Number of violations of anti-corruption regulations
* Aggregation of legal violations with the same standards as the business report</t>
    <phoneticPr fontId="3" type="noConversion"/>
  </si>
  <si>
    <t>CJ-Gen-G23</t>
    <phoneticPr fontId="3" type="noConversion"/>
  </si>
  <si>
    <t>마케팅 및 라벨링 관련 법규 위반 건수</t>
    <phoneticPr fontId="3" type="noConversion"/>
  </si>
  <si>
    <t>Number of violations of marketing and labeling regulations</t>
    <phoneticPr fontId="3" type="noConversion"/>
  </si>
  <si>
    <t>1) 사업보고서 '제제 등과 관련된 사항' 공시와 동일한 기준으로 법규 위반 건수 취합
* 수사·사법 기관 및 행정 기관의 제재 현황을 공개</t>
    <phoneticPr fontId="3" type="noConversion"/>
  </si>
  <si>
    <t>Number of violations of marketing and labeling regulations
Aggregate the number of violations of laws and regulations based on the same standard as the business report
* Disclosure of sanctions by investigative, judicial and administrative agencies</t>
    <phoneticPr fontId="3" type="noConversion"/>
  </si>
  <si>
    <t>CJ-Gen-S47</t>
    <phoneticPr fontId="3" type="noConversion"/>
  </si>
  <si>
    <t>GRI 417-2
GRI 417-3</t>
    <phoneticPr fontId="3" type="noConversion"/>
  </si>
  <si>
    <t>FB-PF-270a.3</t>
    <phoneticPr fontId="3" type="noConversion"/>
  </si>
  <si>
    <t>마케팅 소통(커뮤니케이션) 관련 위반 건수</t>
    <phoneticPr fontId="3" type="noConversion"/>
  </si>
  <si>
    <t>Incidents of non-compliance concerning marketing communications</t>
    <phoneticPr fontId="3" type="noConversion"/>
  </si>
  <si>
    <t xml:space="preserve">광고, 프로모션, 스폰서십을 포함한 마케팅 커뮤니케이션 관련 법률 및/또는 자율 규정을 준수하지 않은 총 건
* 법률 미준수로 인해 벌금 또는 과태료가 부과된 사건 
* 법률 미준수로 인해 경고를 받은 경우 
* 자율 규범을 준수하지 않은 사건 </t>
    <phoneticPr fontId="3" type="noConversion"/>
  </si>
  <si>
    <t>Incidents of non-compliance concerning marketing communications
* incidents of non-compliance with regulations resulting in a fine or penalty
* incidents of non-compliance with regulations resulting in a warning;
* incidents of non-compliance with voluntary codes</t>
    <phoneticPr fontId="3" type="noConversion"/>
  </si>
  <si>
    <t>GRI 417-3</t>
    <phoneticPr fontId="3" type="noConversion"/>
  </si>
  <si>
    <t>개인정보 보호 위반 건수</t>
    <phoneticPr fontId="3" type="noConversion"/>
  </si>
  <si>
    <t xml:space="preserve">Number of personal information protection violations </t>
    <phoneticPr fontId="3" type="noConversion"/>
  </si>
  <si>
    <t>Number of sanctions for violation of person information protection regulations
Aggregate the number of violations of laws and regulations based on the same standard as the business report
* Disclosure of sanctions by investigative, judicial and administrative agencies</t>
    <phoneticPr fontId="3" type="noConversion"/>
  </si>
  <si>
    <t>법무컴플라이언스팀 / 정보보호센터 / 인사담당</t>
    <phoneticPr fontId="3" type="noConversion"/>
  </si>
  <si>
    <t>CJ-Gen-S48</t>
    <phoneticPr fontId="3" type="noConversion"/>
  </si>
  <si>
    <t>GRI 418-1</t>
    <phoneticPr fontId="3" type="noConversion"/>
  </si>
  <si>
    <t>개인정보보호 관련 법적 절차로 인한 총 금전적 손실액</t>
    <phoneticPr fontId="3" type="noConversion"/>
  </si>
  <si>
    <t>정보보호 관련 법률 위반에 따른 법적 절차로 인한 금전적 손실액
(개인정보 보호법 등)</t>
    <phoneticPr fontId="3" type="noConversion"/>
  </si>
  <si>
    <t>Monetary losses due to legal proceedings for breach of data protection laws</t>
    <phoneticPr fontId="3" type="noConversion"/>
  </si>
  <si>
    <t>억원</t>
  </si>
  <si>
    <t>제품과 서비스 범주의 건강 및 안전 영향 평가</t>
    <phoneticPr fontId="3" type="noConversion"/>
  </si>
  <si>
    <t>Assessment of the health and safety impacts of product and service categories</t>
    <phoneticPr fontId="3" type="noConversion"/>
  </si>
  <si>
    <t>안전 영향 평가 진행 비율= 안전영향 평가 진행 사업장 수(위탁 포함) / 전체 사업장수(위탁 포함)
Safety impact assessment progress rate = Number of sites conducting safety impact assessments (including franchises) / Total number of business sites (including franchises)</t>
    <phoneticPr fontId="3" type="noConversion"/>
  </si>
  <si>
    <t>Safety impact assessment progress rate = Number of sites conducting safety impact assessments (including franchises) / Total number of business sites (including franchises)</t>
    <phoneticPr fontId="3" type="noConversion"/>
  </si>
  <si>
    <t>GRI 416-1</t>
    <phoneticPr fontId="3" type="noConversion"/>
  </si>
  <si>
    <t>제품 및 서비스의 건강 및 안전 영향 위반 건수</t>
    <phoneticPr fontId="3" type="noConversion"/>
  </si>
  <si>
    <t>Incidents of non-compliance concerning the health and safety impacts of products and services</t>
    <phoneticPr fontId="3" type="noConversion"/>
  </si>
  <si>
    <t xml:space="preserve">보고 기간 내 제품 및 서비스의 건강 및 안전 영향과 관련하여 규정 및/또는 자율 규정 미준수 사건의 총 건수를 분류
* 법률 미준수로 인해 벌금 또는 과태료가 부과된 사건 
* 법률 미준수로 인해 경고를 받은 경우 
* 자율 규범을 준수하지 않은 사건 </t>
    <phoneticPr fontId="3" type="noConversion"/>
  </si>
  <si>
    <t>Total number of incidents of non-compliance with regulations and/or voluntary codes concerning the health and safety impacts of  products and services within the reporting period 
* incidents of non-compliance with regulations resulting in a fine or penalty
* incidents of non-compliance with regulations resulting in a warning;
* incidents of non-compliance with voluntary codes</t>
    <phoneticPr fontId="3" type="noConversion"/>
  </si>
  <si>
    <t>GRI 416-2</t>
  </si>
  <si>
    <t>상품 및 서비스 정보와 표기 위반 건수</t>
    <phoneticPr fontId="3" type="noConversion"/>
  </si>
  <si>
    <t>Incidents of non-compliance concerning product and service information and labeling</t>
    <phoneticPr fontId="3" type="noConversion"/>
  </si>
  <si>
    <t>제품 및 서비스 정보 및 표기에 관한 규정 및/또는 자발적 규정을 준수하지 않은 총 사고 건수
* 법률 미준수로 인해 벌금 또는 과태료가 부과된 사건 
* 법률 미준수로 인해 경고를 받은 경우 
* 자율 규범을 준수하지 않은 사건</t>
    <phoneticPr fontId="3" type="noConversion"/>
  </si>
  <si>
    <t>Total number of incidents of non-compliance with regulations and/or voluntary codes concerning product and service information 
* incidents of non-compliance with regulations resulting in a fine or penalty
* incidents of non-compliance with regulations resulting in a warning
* incidents of non-compliance with voluntary codes</t>
    <phoneticPr fontId="3" type="noConversion"/>
  </si>
  <si>
    <t>GRI 417-2</t>
    <phoneticPr fontId="3" type="noConversion"/>
  </si>
  <si>
    <t>윤리경영 관련 제보</t>
    <phoneticPr fontId="3" type="noConversion"/>
  </si>
  <si>
    <t>Reported case due to ethical management</t>
    <phoneticPr fontId="3" type="noConversion"/>
  </si>
  <si>
    <t>총 제보 건수</t>
    <phoneticPr fontId="3" type="noConversion"/>
  </si>
  <si>
    <t>Total number of reported case due to ethical management</t>
    <phoneticPr fontId="3" type="noConversion"/>
  </si>
  <si>
    <t>윤리경영 위반 사건 발생 건 수 = CJ윤리경영(온라인 제보) 사이트 제보 건수</t>
    <phoneticPr fontId="3" type="noConversion"/>
  </si>
  <si>
    <t>Number of violations of ethical management = Number of online reports on CJ ethical management website
/ Number of reports on External reporting channel</t>
    <phoneticPr fontId="3" type="noConversion"/>
  </si>
  <si>
    <t>CJ-Gen-G20</t>
    <phoneticPr fontId="3" type="noConversion"/>
  </si>
  <si>
    <t>확인불가</t>
  </si>
  <si>
    <t>유효 제보 건수</t>
    <phoneticPr fontId="3" type="noConversion"/>
  </si>
  <si>
    <t>Total number of valid reported case due to ethical management</t>
    <phoneticPr fontId="3" type="noConversion"/>
  </si>
  <si>
    <t>윤리경영 위반 유효 제보 건수 = CJ윤리경영(온라인 제보) 사이트 제보 건 수 + Kwhistle 사이트 제보 건수 중 유효 제보 건수</t>
    <phoneticPr fontId="3" type="noConversion"/>
  </si>
  <si>
    <t>Total number of valid reported case due to ethical management = Number of online reports on CJ ethical management website
/ Number of reports on External reporting channel
Valid reported case : The number of reports classified as valid reports, except in cases where it is not necessary to confirm or investigate the contents of the report, such as cases where false reports are evident among all reported cases</t>
    <phoneticPr fontId="3" type="noConversion"/>
  </si>
  <si>
    <t>CJ-Gen-G21</t>
  </si>
  <si>
    <t>GRI 205-3</t>
  </si>
  <si>
    <t>확인 된 부패 건 및 관련 조치</t>
    <phoneticPr fontId="3" type="noConversion"/>
  </si>
  <si>
    <t>Confirmed incidents of corruption and actions taken</t>
    <phoneticPr fontId="3" type="noConversion"/>
  </si>
  <si>
    <t xml:space="preserve">각 국가별(법인별) 내부 감사를 통해 확인된 부패 건 수 및 관련 조치(해고, 처벌 등)
  </t>
    <phoneticPr fontId="3" type="noConversion"/>
  </si>
  <si>
    <t xml:space="preserve"> Number of corruption cases and related measures identified through internal audits of each country (disposition, punishment, etc.)</t>
    <phoneticPr fontId="3" type="noConversion"/>
  </si>
  <si>
    <t>(국내) CJ CGV</t>
  </si>
  <si>
    <t>(통합) 4DPLEX</t>
  </si>
  <si>
    <t>(해외) CGV중국</t>
  </si>
  <si>
    <t>(해외) CGV베트남</t>
  </si>
  <si>
    <t>(해외) CGV인니</t>
  </si>
  <si>
    <t>(해외) 튀르키예</t>
  </si>
  <si>
    <t>소비자 정보보호 위반 및 소비자 정보 손실관련 불만 건수</t>
    <phoneticPr fontId="3" type="noConversion"/>
  </si>
  <si>
    <t>Total number of substantiated complaints received concerning breaches of customer privacy</t>
    <phoneticPr fontId="3" type="noConversion"/>
  </si>
  <si>
    <t xml:space="preserve">* 고객 개인정보 침해와 관련하여 접수된 입증된 총 불만 건수 * 고객 데이터의 유출, 도난 또는 손실이 확인된 총 건수 </t>
    <phoneticPr fontId="3" type="noConversion"/>
  </si>
  <si>
    <t>*Total number of substantiated complaints received concerning breaches of customer privacy
*Total number of identified leaks, thefts, or losses of customer data</t>
    <phoneticPr fontId="3" type="noConversion"/>
  </si>
  <si>
    <t>정보보호센터</t>
    <phoneticPr fontId="3" type="noConversion"/>
  </si>
  <si>
    <t>정보보호 교육 참여 비율</t>
    <phoneticPr fontId="3" type="noConversion"/>
  </si>
  <si>
    <t>Information protection training completion rate</t>
    <phoneticPr fontId="3" type="noConversion"/>
  </si>
  <si>
    <t>총 정보보호 교육 수료인원 수 / 정보보호 교육 대상자 수</t>
    <phoneticPr fontId="3" type="noConversion"/>
  </si>
  <si>
    <t>Information protection training completion rate = Total number of employees who completed information protection training /total number of employees subject to information security training</t>
    <phoneticPr fontId="3" type="noConversion"/>
  </si>
  <si>
    <t>정보보호센터 / 인사담당</t>
    <phoneticPr fontId="3" type="noConversion"/>
  </si>
  <si>
    <t>CJ-Gen-S49</t>
    <phoneticPr fontId="3" type="noConversion"/>
  </si>
  <si>
    <t>총 정보보호 교육 수료인원</t>
    <phoneticPr fontId="3" type="noConversion"/>
  </si>
  <si>
    <t>Total number of employees who completed information protection training</t>
    <phoneticPr fontId="3" type="noConversion"/>
  </si>
  <si>
    <t xml:space="preserve">총 정보보호 교육 수료인원 수 </t>
    <phoneticPr fontId="3" type="noConversion"/>
  </si>
  <si>
    <t>Total number of employees who completed information protection training</t>
  </si>
  <si>
    <t>정보보호 교육 대상자 수(본 항목은 22년까지는 Full-time에 한함)</t>
    <phoneticPr fontId="3" type="noConversion"/>
  </si>
  <si>
    <t>Total number of employees subject to information protection training (only full-time employees until 2023 data)</t>
    <phoneticPr fontId="3" type="noConversion"/>
  </si>
  <si>
    <t>정보보호 교육 대상자 수</t>
    <phoneticPr fontId="3" type="noConversion"/>
  </si>
  <si>
    <t>Total number of employees subject to information security</t>
    <phoneticPr fontId="3" type="noConversion"/>
  </si>
  <si>
    <t>CGV Turkey</t>
    <phoneticPr fontId="3" type="noConversion"/>
  </si>
  <si>
    <t>2023년 별도 정부지원 정책 없음</t>
    <phoneticPr fontId="3" type="noConversion"/>
  </si>
  <si>
    <t>CGV 연결</t>
    <phoneticPr fontId="3" type="noConversion"/>
  </si>
  <si>
    <t>보완 필요</t>
    <phoneticPr fontId="3" type="noConversion"/>
  </si>
  <si>
    <t>참고</t>
    <phoneticPr fontId="3" type="noConversion"/>
  </si>
  <si>
    <t>참고</t>
  </si>
  <si>
    <t>매출액</t>
    <phoneticPr fontId="18" type="noConversion"/>
  </si>
  <si>
    <t>매출원가</t>
    <phoneticPr fontId="18" type="noConversion"/>
  </si>
  <si>
    <t>매출총이익</t>
    <phoneticPr fontId="18" type="noConversion"/>
  </si>
  <si>
    <t>Gross margin</t>
    <phoneticPr fontId="3" type="noConversion"/>
  </si>
  <si>
    <t>판매비와 관리비</t>
    <phoneticPr fontId="18" type="noConversion"/>
  </si>
  <si>
    <t>Selling, general, and administrative expenses</t>
    <phoneticPr fontId="3" type="noConversion"/>
  </si>
  <si>
    <t>Statement of Comprehensive Income</t>
    <phoneticPr fontId="3" type="noConversion"/>
  </si>
  <si>
    <t>Gross margin</t>
    <phoneticPr fontId="18" type="noConversion"/>
  </si>
  <si>
    <t>Selling, general, and administrative expenses</t>
    <phoneticPr fontId="18" type="noConversion"/>
  </si>
  <si>
    <t>Defined benefit plan obligations and other retirement Plans</t>
    <phoneticPr fontId="18" type="noConversion"/>
  </si>
  <si>
    <t>별도기준</t>
    <phoneticPr fontId="3" type="noConversion"/>
  </si>
  <si>
    <t>Full/Part-time employees</t>
    <phoneticPr fontId="3" type="noConversion"/>
  </si>
  <si>
    <t>전일제 근로자 &amp; 시간제 근로자</t>
    <phoneticPr fontId="3" type="noConversion"/>
  </si>
  <si>
    <t>회사 여부</t>
    <phoneticPr fontId="3" type="noConversion"/>
  </si>
  <si>
    <t xml:space="preserve">Company % </t>
    <phoneticPr fontId="3" type="noConversion"/>
  </si>
  <si>
    <t>회사 100%</t>
    <phoneticPr fontId="3" type="noConversion"/>
  </si>
  <si>
    <t>Financial assistance received from government</t>
    <phoneticPr fontId="18" type="noConversion"/>
  </si>
  <si>
    <t>지역공동체(국가단위)에서 고용한 고위 관리자 비율</t>
    <phoneticPr fontId="18" type="noConversion"/>
  </si>
  <si>
    <t>Proportion of senior management
hired from the local community (country level)</t>
    <phoneticPr fontId="18" type="noConversion"/>
  </si>
  <si>
    <t>인사담당</t>
    <phoneticPr fontId="3" type="noConversion"/>
  </si>
  <si>
    <t>등기/미등기 임원 수</t>
    <phoneticPr fontId="3" type="noConversion"/>
  </si>
  <si>
    <t>Number of registeres/unregistered executives</t>
    <phoneticPr fontId="3" type="noConversion"/>
  </si>
  <si>
    <t>해당 국적 관리자 수</t>
    <phoneticPr fontId="3" type="noConversion"/>
  </si>
  <si>
    <t>Number of managers with local nationality</t>
    <phoneticPr fontId="3" type="noConversion"/>
  </si>
  <si>
    <t>해당 국적 관리자 비율</t>
    <phoneticPr fontId="3" type="noConversion"/>
  </si>
  <si>
    <t>Percentage of local managers</t>
    <phoneticPr fontId="3" type="noConversion"/>
  </si>
  <si>
    <t>Percentage of local managers out of total employees</t>
    <phoneticPr fontId="3" type="noConversion"/>
  </si>
  <si>
    <t>전체 직원 대비 관리자 비율 : 등기, 미등기 임원 수 / 총 임직원 수</t>
    <phoneticPr fontId="3" type="noConversion"/>
  </si>
  <si>
    <t>Ratio of managers to total employees: number of registered, non-registered executives / total employees</t>
    <phoneticPr fontId="3" type="noConversion"/>
  </si>
  <si>
    <t>Proportion of spending on local suppliers</t>
    <phoneticPr fontId="18" type="noConversion"/>
  </si>
  <si>
    <t>23/9/14 기준</t>
    <phoneticPr fontId="3" type="noConversion"/>
  </si>
  <si>
    <t>24/3/29 기준</t>
    <phoneticPr fontId="3" type="noConversion"/>
  </si>
  <si>
    <t>온실가스 간접 배출량 (Scope 2)</t>
  </si>
  <si>
    <t>미취합</t>
    <phoneticPr fontId="3" type="noConversion"/>
  </si>
  <si>
    <t>해당연도 총 에너지사용량</t>
    <phoneticPr fontId="3" type="noConversion"/>
  </si>
  <si>
    <t>-전기(비재생) 1,304.46(1304)
-연료 151.764(152)
-스팀 35.67(36)_검증서기준은 소수점 없음</t>
  </si>
  <si>
    <t>그리드(Grid)로부터 구매한 전력 고지서 내 전력 사용량(MWh) * 0.0036(TJ/MWh 환산)
*국내의 경우 한전 전력 구매량 
P= Power consumption*electricity emission factor</t>
    <phoneticPr fontId="3" type="noConversion"/>
  </si>
  <si>
    <t>P= Power consumption*electricity emission factor</t>
    <phoneticPr fontId="3" type="noConversion"/>
  </si>
  <si>
    <t>에너지 소비감축</t>
    <phoneticPr fontId="3" type="noConversion"/>
  </si>
  <si>
    <t>CGV 확인 후 작성</t>
    <phoneticPr fontId="3" type="noConversion"/>
  </si>
  <si>
    <t>TBC</t>
    <phoneticPr fontId="3" type="noConversion"/>
  </si>
  <si>
    <r>
      <t>Ton(m</t>
    </r>
    <r>
      <rPr>
        <vertAlign val="superscript"/>
        <sz val="11"/>
        <rFont val="맑은 고딕"/>
        <family val="3"/>
        <charset val="129"/>
        <scheme val="minor"/>
      </rPr>
      <t>3</t>
    </r>
    <r>
      <rPr>
        <sz val="11"/>
        <rFont val="맑은 고딕"/>
        <family val="3"/>
        <charset val="129"/>
        <scheme val="minor"/>
      </rPr>
      <t>)</t>
    </r>
    <phoneticPr fontId="3" type="noConversion"/>
  </si>
  <si>
    <t xml:space="preserve">*산출범위 확대 : </t>
    <phoneticPr fontId="3" type="noConversion"/>
  </si>
  <si>
    <r>
      <t>기타(매립+소각)</t>
    </r>
    <r>
      <rPr>
        <vertAlign val="superscript"/>
        <sz val="11"/>
        <color theme="1"/>
        <rFont val="맑은 고딕"/>
        <family val="3"/>
        <charset val="129"/>
        <scheme val="minor"/>
      </rPr>
      <t>1)</t>
    </r>
    <phoneticPr fontId="3" type="noConversion"/>
  </si>
  <si>
    <t>CGV서면 석면폐기물 배출</t>
  </si>
  <si>
    <t>Ton(m3)/억원</t>
    <phoneticPr fontId="3" type="noConversion"/>
  </si>
  <si>
    <t>Environmental Management</t>
    <phoneticPr fontId="3" type="noConversion"/>
  </si>
  <si>
    <t>(건축/인테리어비품 제외)</t>
    <phoneticPr fontId="3" type="noConversion"/>
  </si>
  <si>
    <t>영사기술팀-레이처 프로젝트 교체 위해 발주하였으나 글로벌 공급상황 상 연내 집행 X
F&amp;B사업팀-22년 1회용품 보증금제 시행일(22/12~) 준수 위한 IT시스템 구축 투자비 (별도 프로젝트 범위 투자 비용). 환경부 규제 대응 내용 품의 내 기재되어 있음 
- POS : 52,344,000원(VAT별도)
- AIO KIOSK ; 69,000,000원(VAT별도)</t>
    <phoneticPr fontId="3" type="noConversion"/>
  </si>
  <si>
    <t>레이저 광원 업그레이드 133대(22.2억)
레이저 신규 교체 88대(69.3억)
이 외 50대 발주 수량이 있으나 24년 상반기 교체 진행</t>
    <phoneticPr fontId="3" type="noConversion"/>
  </si>
  <si>
    <t>UNGC 환경</t>
    <phoneticPr fontId="3" type="noConversion"/>
  </si>
  <si>
    <t>Full</t>
    <phoneticPr fontId="3" type="noConversion"/>
  </si>
  <si>
    <t>Full+Part</t>
    <phoneticPr fontId="3" type="noConversion"/>
  </si>
  <si>
    <t>*등기+미등기 임원</t>
  </si>
  <si>
    <t>Full time</t>
    <phoneticPr fontId="3" type="noConversion"/>
  </si>
  <si>
    <t>정규직+계약직</t>
    <phoneticPr fontId="3" type="noConversion"/>
  </si>
  <si>
    <t>정규직 + 계약직</t>
    <phoneticPr fontId="3" type="noConversion"/>
  </si>
  <si>
    <t>Composition of employees by employment type</t>
    <phoneticPr fontId="3" type="noConversion"/>
  </si>
  <si>
    <t>Full(임원+계약직)</t>
    <phoneticPr fontId="3" type="noConversion"/>
  </si>
  <si>
    <t>Full(임원+계약+정규직)</t>
    <phoneticPr fontId="3" type="noConversion"/>
  </si>
  <si>
    <t>Total number of female employees</t>
  </si>
  <si>
    <t>x</t>
    <phoneticPr fontId="3" type="noConversion"/>
  </si>
  <si>
    <t>별도 전문직을 구분하여 관리하지 않음</t>
    <phoneticPr fontId="3" type="noConversion"/>
  </si>
  <si>
    <t>임직원 구성
(연령대)</t>
  </si>
  <si>
    <t>Number of employees aged over 50</t>
  </si>
  <si>
    <t>한국 Full time</t>
    <phoneticPr fontId="3" type="noConversion"/>
  </si>
  <si>
    <t>임원 구성
(연령대)</t>
  </si>
  <si>
    <t xml:space="preserve">없음 </t>
    <phoneticPr fontId="3" type="noConversion"/>
  </si>
  <si>
    <t>최정필님, 박정신님, 조진호님, 손종수님</t>
    <phoneticPr fontId="3" type="noConversion"/>
  </si>
  <si>
    <t>허민회님, 이명형님, 정종민님, 정승욱님</t>
    <phoneticPr fontId="3" type="noConversion"/>
  </si>
  <si>
    <t>별도 인종/민족 구분하지 않음</t>
    <phoneticPr fontId="3" type="noConversion"/>
  </si>
  <si>
    <t>Number of new hires (by gender)</t>
    <phoneticPr fontId="3" type="noConversion"/>
  </si>
  <si>
    <t>한국</t>
    <phoneticPr fontId="3" type="noConversion"/>
  </si>
  <si>
    <t>32명</t>
    <phoneticPr fontId="3" type="noConversion"/>
  </si>
  <si>
    <t>34명</t>
    <phoneticPr fontId="3" type="noConversion"/>
  </si>
  <si>
    <t>14명</t>
    <phoneticPr fontId="3" type="noConversion"/>
  </si>
  <si>
    <t>52명</t>
    <phoneticPr fontId="3" type="noConversion"/>
  </si>
  <si>
    <t>0명</t>
    <phoneticPr fontId="3" type="noConversion"/>
  </si>
  <si>
    <t>4명</t>
    <phoneticPr fontId="3" type="noConversion"/>
  </si>
  <si>
    <t>6명</t>
    <phoneticPr fontId="3" type="noConversion"/>
  </si>
  <si>
    <t>2명</t>
    <phoneticPr fontId="3" type="noConversion"/>
  </si>
  <si>
    <t>성희롱 예방 교육 참여 비율</t>
  </si>
  <si>
    <t>n/a</t>
    <phoneticPr fontId="3" type="noConversion"/>
  </si>
  <si>
    <t>Total number of individuals subject to disability awareness improvement training (for full-time only until 2023 data)</t>
    <phoneticPr fontId="3" type="noConversion"/>
  </si>
  <si>
    <t>Hour</t>
  </si>
  <si>
    <t>국내+4D
*기준 재확인</t>
  </si>
  <si>
    <t>30세 미만</t>
  </si>
  <si>
    <t>30세 이상 ~ 50세 이하</t>
  </si>
  <si>
    <t>50세 초과</t>
  </si>
  <si>
    <t>201명 中 85명</t>
    <phoneticPr fontId="3" type="noConversion"/>
  </si>
  <si>
    <t>IT운영개발팀, 상영기술팀 총 40명 중 여성 8명</t>
    <phoneticPr fontId="3" type="noConversion"/>
  </si>
  <si>
    <t xml:space="preserve">Number of employees who are subject to parental leave </t>
    <phoneticPr fontId="3" type="noConversion"/>
  </si>
  <si>
    <t>2015.01.01~ 이후 출생 자녀 등록 임직원 기준</t>
    <phoneticPr fontId="3" type="noConversion"/>
  </si>
  <si>
    <t>Female employees subject to parental leave</t>
  </si>
  <si>
    <t>남성 육아휴직 사용 인원 수</t>
  </si>
  <si>
    <t>그룹 복리후생
육아휴직(2년차) 도입되어 해당 제도 포함</t>
    <phoneticPr fontId="3" type="noConversion"/>
  </si>
  <si>
    <t>여성 육아휴직 사용 인원 수</t>
  </si>
  <si>
    <t>남성 육아휴직 복귀율</t>
  </si>
  <si>
    <t>여성 육아휴직 복귀율</t>
  </si>
  <si>
    <t>육아휴직 복귀 후 유지율
(12개월 이상)</t>
  </si>
  <si>
    <t>남성 출산휴가 사용 인원 수</t>
  </si>
  <si>
    <t>23년에 출산휴가를 1일이라도 사용했으면 포함</t>
    <phoneticPr fontId="3" type="noConversion"/>
  </si>
  <si>
    <t>여성 출산휴가 사용 인원 수</t>
  </si>
  <si>
    <t>장애인 임직원 수</t>
  </si>
  <si>
    <t>Full time 22명</t>
    <phoneticPr fontId="3" type="noConversion"/>
  </si>
  <si>
    <t xml:space="preserve">Ratio of employees who received relative evaluation </t>
  </si>
  <si>
    <t>Case/Million hours</t>
    <phoneticPr fontId="3" type="noConversion"/>
  </si>
  <si>
    <t>-정직원: 2,846,580H (1,135명 * 209H * 12개월)
- 미소지기: 190,196.98H
※ 정직원 실근무시간 데이터 추출 불가하여 [연말 공시인원 * 209H * 12개월] 로 반영</t>
  </si>
  <si>
    <t>-정직원: 2,751,276H (1,097명 * 209H * 12개월)
- 미소지기: 52,039.64H
※ 정직원 실근무시간 데이터 추출 불가하여 [연말 공시인원 * 209H * 12개월] 로 반영</t>
  </si>
  <si>
    <t>Total working hours of suppliers</t>
  </si>
  <si>
    <t>Case/0.2 Million hours</t>
    <phoneticPr fontId="3" type="noConversion"/>
  </si>
  <si>
    <t>건20만시간</t>
    <phoneticPr fontId="3" type="noConversion"/>
  </si>
  <si>
    <t>대상자별 주요 산업안전 교육(CJ-Gen-S38)이 진행되는 바 
전사 참여비율을 정확히 산출하기는 어려움이 있어
연 1회라도 교육을 참여하면 이를 인증, 이를 비율로 산정함
[대상별 법정 교육]
1) 全직원 (미소지기 포함)/ 안전보건교육/ 채용시 / 8시간
2) 정기 안전보건 교육 / 미소지기, 관리감독자外 정직원 / 분기별 / 6시간
3) 안전보건 관리책임자 교육 / 안전보건 관리책임자 /연간 / 6시간
4) 관리감독자 교육 / 관리감독자 (사이트 정직원, 본사 일부) / 연간 / 16시간</t>
    <phoneticPr fontId="3" type="noConversion"/>
  </si>
  <si>
    <t>전직원 인원수</t>
    <phoneticPr fontId="3" type="noConversion"/>
  </si>
  <si>
    <t>Total number of employees</t>
  </si>
  <si>
    <t>Number of High-risk key suppliers</t>
  </si>
  <si>
    <t>개선조치 수립 완료 고위험 핵심 협력사 수(유지보수만, 공사X)</t>
  </si>
  <si>
    <t>고위험 핵심 협력사 수</t>
  </si>
  <si>
    <t xml:space="preserve">High-risk key suppliers that completed the establishment of improvement measures </t>
  </si>
  <si>
    <t>Supply chain ESG training</t>
  </si>
  <si>
    <t>Board of Director</t>
    <phoneticPr fontId="3" type="noConversion"/>
  </si>
  <si>
    <t>Number</t>
    <phoneticPr fontId="3" type="noConversion"/>
  </si>
  <si>
    <t>배당 없음</t>
  </si>
  <si>
    <t>※온라인 제보 인입 건수 기준 산정(46건)
  -부정/비리 3건, 제품품질 및 서비스개선 32건, 조직문화 저해 5건, 협력사고충 및 불공정거래행위 6건
* 미포함 : 테스트 2건(기타) 미포함
*6/9 품질 및 서비스 개선 제외</t>
  </si>
  <si>
    <t>※온라인 제보 인입 건수 기준 산정(65건)
  -부정/비리 5건, 제품품질 및 서비스개선 49건, 조직문화 저해 6건, 협력사고충 및 불공정거래행위 5건
*4dx 1건 포함
*6/9 품질 및 서비스 개선 제외</t>
  </si>
  <si>
    <t>*6/9 지주 재확인</t>
  </si>
  <si>
    <t>** 21년 7월 26일 ~3월 20일 기준, 임원/해외 파견 포함, 휴직/퇴사 예정자 제외한 전일제 근로자 대상 정보보안교육 실시하였으며, 수료율 99.9%로 992명 중 991명 수료입니다.
CGV 임직원(Full-time)은 CJ Campus 시스템을 이용해 교육이 년1회 일괄 진행되어 해당 수료 인원을 기재함 (991명)
사이트 미소지기(Part-time)은 개별 사이트에서 교육을 진행하여 수료인언을 취합불가 (국내사업지원팀)
단, 채용시점 및 년1회 의무적으로 교육을 이수하고 있어 재직중인 미소지기 인원수와 수료 인원수는 동일하다고 볼수 있음
1) 전사 미소지기의 경우 채용 시/ 연 1회 개인정보보호교육을 이수하고 있으나
  개별 사이트 교육보고서(혹은 수료증)보관으로 정확한 비율 산출이 어려움
2) 리콜미소지기는 개인정보보호교육 미 수료 기준으로 재직인원과 수료인원이 다를 수 있음
3) 각 사이트 노무체크 시 교육보고서 3개년 분 보관으로 체크 진행
4) 전사 데이터 전산 확인이 어려워 전산화를 통해 수료현황 체크 예정 (국내사업지원팀)</t>
  </si>
  <si>
    <t>** 22년 7월 25~8월 19일 기준, 임원/그룹 조직 포함 ,휴직/퇴사 예정자 제외한 전일제 근로자 대상 정보보안교육 실시, 수료율 100%
CGV 임직원(Full-time)은 CJ Campus 시스템을 이용해 교육이 년1회 일괄 진행되어 해당 수료 인원을 기재함 (1023명)
사이트 미소지기(Part-time)은 개별 사이트에서 교육을 진행하여 수료인언을 취합불가 (국내사업지원팀)
단, 채용시점 및 년1회 의무적으로 교육을 이수하고 있어 재직중인 미소지기 인원수와 수료 인원수는 동일하다고 볼수 있음
1) 전사 미소지기의 경우 채용 시/ 연 1회 개인정보보호교육을 이수하고 있으나
  개별 사이트 교육보고서(혹은 수료증)보관으로 정확한 비율 산출이 어려움
2) 리콜미소지기는 개인정보보호교육 미 수료 기준으로 재직인원과 수료인원이 다를 수 있음
3) 각 사이트 노무체크 시 교육보고서 3개년 분 보관으로 체크 진행
4) 전사 데이터 전산 확인이 어려워 전산화를 통해 수료현황 체크 예정 (국내사업지원팀)</t>
  </si>
  <si>
    <t>대상자 기준 수정(05.16)</t>
  </si>
  <si>
    <t>기간의 정함이 없는 근로자 수(정규직, 무기 계약직)</t>
    <phoneticPr fontId="3" type="noConversion"/>
  </si>
  <si>
    <t>기간제 근로자 수(단기 계약직)</t>
    <phoneticPr fontId="3" type="noConversion"/>
  </si>
  <si>
    <t>사외이사 제외</t>
    <phoneticPr fontId="3" type="noConversion"/>
  </si>
  <si>
    <t>남성 임원 수 / 총 임원 수</t>
    <phoneticPr fontId="3" type="noConversion"/>
  </si>
  <si>
    <t>(최초 취합은 총 임직원 남여비율로 틀렸음. 다양성 지표 여성임원 비율 N/A로 답변)</t>
    <phoneticPr fontId="3" type="noConversion"/>
  </si>
  <si>
    <t>여성 임원 수 / 총 임원 수</t>
    <phoneticPr fontId="3" type="noConversion"/>
  </si>
  <si>
    <t>업종 및 직무 특성상 전문직 구분은 없음</t>
    <phoneticPr fontId="3" type="noConversion"/>
  </si>
  <si>
    <t>임직원 구성(연령별)</t>
    <phoneticPr fontId="3" type="noConversion"/>
  </si>
  <si>
    <t>경영진/임원 구성(연령별)</t>
    <phoneticPr fontId="3" type="noConversion"/>
  </si>
  <si>
    <t>총 임직원 수(고용 형태별)= 전일제 근로자 + 파트타임 근로자= 기간의 정함이 없는 근로자+기간제 근로자</t>
    <phoneticPr fontId="3" type="noConversion"/>
  </si>
  <si>
    <t>파트타임 미포함됨, 2023년 1007행과도 불일치</t>
    <phoneticPr fontId="3" type="noConversion"/>
  </si>
  <si>
    <t>2023년 한국 국적 임직원 확인 필요(현재 총 임직원 수로 한국국적 표시됨)</t>
    <phoneticPr fontId="3" type="noConversion"/>
  </si>
  <si>
    <t>연도별 한국 국적 임직원 확인 필요</t>
    <phoneticPr fontId="3" type="noConversion"/>
  </si>
  <si>
    <t>2023년 한국 국적 임직원 확인 필요</t>
    <phoneticPr fontId="3" type="noConversion"/>
  </si>
  <si>
    <t>미국</t>
    <phoneticPr fontId="3" type="noConversion"/>
  </si>
  <si>
    <t>연도별 미국 국적 임직원 확인 필요</t>
    <phoneticPr fontId="3" type="noConversion"/>
  </si>
  <si>
    <t>2023년 미국 국적 임직원 확인 필요</t>
    <phoneticPr fontId="3" type="noConversion"/>
  </si>
  <si>
    <t>중국</t>
    <phoneticPr fontId="3" type="noConversion"/>
  </si>
  <si>
    <t>연도별 중국 국적 임직원 확인 필요</t>
    <phoneticPr fontId="3" type="noConversion"/>
  </si>
  <si>
    <t>2023년 중국 국적 임직원 확인 필요</t>
    <phoneticPr fontId="3" type="noConversion"/>
  </si>
  <si>
    <t>베트남</t>
    <phoneticPr fontId="3" type="noConversion"/>
  </si>
  <si>
    <t>연도별 베트남 국적 임직원 확인 필요</t>
    <phoneticPr fontId="3" type="noConversion"/>
  </si>
  <si>
    <t>2023년 베트남 국적 임직원 확인 필요</t>
    <phoneticPr fontId="3" type="noConversion"/>
  </si>
  <si>
    <t>연도별 합계 총임직원 수와 불일치</t>
    <phoneticPr fontId="3" type="noConversion"/>
  </si>
  <si>
    <t>인도네시아</t>
    <phoneticPr fontId="3" type="noConversion"/>
  </si>
  <si>
    <t>연도별 인도네시아 국적 임직원 확인 필요</t>
    <phoneticPr fontId="3" type="noConversion"/>
  </si>
  <si>
    <t>2023년 인도네시아 국적 임직원 확인 필요</t>
    <phoneticPr fontId="3" type="noConversion"/>
  </si>
  <si>
    <t>튀르키예</t>
    <phoneticPr fontId="3" type="noConversion"/>
  </si>
  <si>
    <t>연도별 튀르키예 국적 임직원 확인 필요</t>
    <phoneticPr fontId="3" type="noConversion"/>
  </si>
  <si>
    <t>2023년 튀르키예 국적 임직원 확인 필요</t>
    <phoneticPr fontId="3" type="noConversion"/>
  </si>
  <si>
    <t>연도별 기타 국적 임직원 확인 필요</t>
    <phoneticPr fontId="3" type="noConversion"/>
  </si>
  <si>
    <t>인도 1, 아제르바이잔 1, 네덜란드 1, 러시아 1</t>
  </si>
  <si>
    <t>2023년 기타 국적 임직원 확인 필요</t>
    <phoneticPr fontId="3" type="noConversion"/>
  </si>
  <si>
    <t>합계검증</t>
    <phoneticPr fontId="3" type="noConversion"/>
  </si>
  <si>
    <t>이직</t>
    <phoneticPr fontId="3" type="noConversion"/>
  </si>
  <si>
    <t>자발적 이직율(연령별)</t>
    <phoneticPr fontId="3" type="noConversion"/>
  </si>
  <si>
    <t>자발적 이직율(성별)</t>
    <phoneticPr fontId="3" type="noConversion"/>
  </si>
  <si>
    <t>비자발적 이직율(연령별)</t>
    <phoneticPr fontId="3" type="noConversion"/>
  </si>
  <si>
    <t>비자발적 이직율(성별)</t>
    <phoneticPr fontId="3" type="noConversion"/>
  </si>
  <si>
    <t>연령별 이직률 검증</t>
    <phoneticPr fontId="3" type="noConversion"/>
  </si>
  <si>
    <t>자발적 이직률 + 비자발적 이직률이 100%가 되어야 합니다.</t>
    <phoneticPr fontId="3" type="noConversion"/>
  </si>
  <si>
    <t>성별 이직률 검증</t>
    <phoneticPr fontId="3" type="noConversion"/>
  </si>
  <si>
    <t>육아휴직 및 출산휴가</t>
    <phoneticPr fontId="3" type="noConversion"/>
  </si>
  <si>
    <t>육아휴직 대상 인원</t>
  </si>
  <si>
    <t>CGV Korea, 4DPLEX Only</t>
    <phoneticPr fontId="3" type="noConversion"/>
  </si>
  <si>
    <t>육아휴직 사용 인원 수</t>
    <phoneticPr fontId="3" type="noConversion"/>
  </si>
  <si>
    <t>육아휴직 복귀율</t>
    <phoneticPr fontId="3" type="noConversion"/>
  </si>
  <si>
    <t>전일제 근로자 기준</t>
    <phoneticPr fontId="3" type="noConversion"/>
  </si>
  <si>
    <t>전일제 + 시간제 근로자</t>
    <phoneticPr fontId="3" type="noConversion"/>
  </si>
  <si>
    <t>2021: 638,834,909  / 2022: 1,566,247,750 / 2023: 710,550,000 (VND)</t>
    <phoneticPr fontId="3" type="noConversion"/>
  </si>
  <si>
    <t>2021: 0 / 2022: 162,810,345 / 2023: 107,587,706 (IN IDR)</t>
    <phoneticPr fontId="3" type="noConversion"/>
  </si>
  <si>
    <t>Korea, 4DPLEX Only</t>
    <phoneticPr fontId="3" type="noConversion"/>
  </si>
  <si>
    <t xml:space="preserve">관리자 = PMDS+ 평가 권한자   </t>
    <phoneticPr fontId="3" type="noConversion"/>
  </si>
  <si>
    <t>여성 관리자 수 / 전체 관리자 수</t>
    <phoneticPr fontId="3" type="noConversion"/>
  </si>
  <si>
    <t>CJ-Gen-S24</t>
    <phoneticPr fontId="3" type="noConversion"/>
  </si>
  <si>
    <t>*STEM 부서: 과학(Science)/기술(Technology)/공학(Engineering)/수학(Mathematics) 관련 부서를 의미하며, 프로그래머, 웹 개발자, 통계학자, 물류전문가, 엔지니어, 물리학자, 과학자 등으로 분류될 수 있는 담당자 등의 직군을 포함
 -  CJ CGV: IT운영개발팀, 상영기술팀 / 4DPLEX:  IT솔루션팀, 콘텐츠솔루션팀, Immersive솔루션팀,  Tech solution팀</t>
    <phoneticPr fontId="3" type="noConversion"/>
  </si>
  <si>
    <t>확인요청</t>
    <phoneticPr fontId="3" type="noConversion"/>
  </si>
  <si>
    <t>가이드북에 인도네시아 없음</t>
    <phoneticPr fontId="3" type="noConversion"/>
  </si>
  <si>
    <t>연초 1명에서, 연중 2명 입사로, 연말 3명</t>
    <phoneticPr fontId="3" type="noConversion"/>
  </si>
  <si>
    <t>정기 성과평가 받은 임직원 비율 = MBO 평가자 비율, 다면평가자 비율, (직원 유형별) 상대평가자 비율
* MBO 평가자 비율 = MBO 평가 받은 임직원 / 총 임직원 수 (PMDS+ 평가, KPI 평가)
* 다면평가자 비율 = 다면평가 받은 임직원 / 총 임직원 수 (PMDS+ 평가, 리더십 진단)
* 상대평가자 비율 = 상대평가 받은 임직원 / 총 임직원 수 (PMDS+ 평가)
각 평가자는 중복 카운팅 가능</t>
  </si>
  <si>
    <t>MBO 평가 받은 임직원 / 총 임직원 수 (PMDS+ 평가, KPI 평가)</t>
    <phoneticPr fontId="3" type="noConversion"/>
  </si>
  <si>
    <t>다면평가 받은 임직원 / 총 임직원 수 (PMDS+ 평가, 리더십 진단)</t>
    <phoneticPr fontId="3" type="noConversion"/>
  </si>
  <si>
    <t>상대평가 받은 임직원 / 총 임직원 수 (PMDS+ 평가)</t>
    <phoneticPr fontId="3" type="noConversion"/>
  </si>
  <si>
    <t>연간 총 보상 = 급여(기본급), 보너스, 주식 보상, 옵션 보상, 인센티브, 연금 가치의 변동 및 1년 동안 제공된 비수령 이연 보상 등을 포함</t>
    <phoneticPr fontId="3" type="noConversion"/>
  </si>
  <si>
    <t>GRI 2-21</t>
    <phoneticPr fontId="3" type="noConversion"/>
  </si>
  <si>
    <t>한국, 중국 평균값으로 할지? 한국만 할지?</t>
    <phoneticPr fontId="3" type="noConversion"/>
  </si>
  <si>
    <t xml:space="preserve">전체 임직원 총 보상의 중간값(최고연봉자 제외)/(전일제 근로자) </t>
    <phoneticPr fontId="3" type="noConversion"/>
  </si>
  <si>
    <t>CEO를 제외한 full-time 임직원의 총 보상 중간값</t>
    <phoneticPr fontId="3" type="noConversion"/>
  </si>
  <si>
    <t>인건비 중간값</t>
    <phoneticPr fontId="3" type="noConversion"/>
  </si>
  <si>
    <t>Salary, 13th Month &amp; Bonus (K VND) - Full time employee only</t>
    <phoneticPr fontId="3" type="noConversion"/>
  </si>
  <si>
    <t>조직 내 최고 연봉자는 연간 총 보상이 가장 높은 개인으로 정의하며, 일반적으로 CEO임</t>
    <phoneticPr fontId="3" type="noConversion"/>
  </si>
  <si>
    <t>조직 내 최고 연봉자의 연간 총 보상 (CEO)
※ 사업보고서에 공시된 대표이사 급여총액으로 작성</t>
    <phoneticPr fontId="3" type="noConversion"/>
  </si>
  <si>
    <t>Salary, 13th Month &amp; Bonus (K VND) - CEO</t>
    <phoneticPr fontId="3" type="noConversion"/>
  </si>
  <si>
    <t>사업장 소재지역 최저 임금 대비 성별 초임 임금의 비율</t>
    <phoneticPr fontId="3" type="noConversion"/>
  </si>
  <si>
    <t>직원의 상당 부분이 최저 임금 규정에 따른 임금에 따라 보상을 받는 경우, 주요 사업장에서 성별 초임 임금의 최저 임금 대비 비율을 보고</t>
    <phoneticPr fontId="3" type="noConversion"/>
  </si>
  <si>
    <t>현지법인 고위 관리자(임원) 중 현지채용 비율</t>
    <phoneticPr fontId="3" type="noConversion"/>
  </si>
  <si>
    <t>지역 사회에서 고용된 주요 사업장의 고위 경영진 비율</t>
    <phoneticPr fontId="3" type="noConversion"/>
  </si>
  <si>
    <t>현지채용 고위 관리자 수</t>
    <phoneticPr fontId="3" type="noConversion"/>
  </si>
  <si>
    <t>총 고위 관리자 수</t>
    <phoneticPr fontId="3" type="noConversion"/>
  </si>
  <si>
    <t>0건으로 표기할지(확인해서), 혹은 하이픈 처리</t>
    <phoneticPr fontId="3" type="noConversion"/>
  </si>
  <si>
    <t>인권 관련 유효 및 조치완료 제보 건수</t>
    <phoneticPr fontId="3" type="noConversion"/>
  </si>
  <si>
    <t>인권 침해 제보 건수</t>
    <phoneticPr fontId="3" type="noConversion"/>
  </si>
  <si>
    <t>미실시</t>
    <phoneticPr fontId="3" type="noConversion"/>
  </si>
  <si>
    <t>입과 기준</t>
    <phoneticPr fontId="3" type="noConversion"/>
  </si>
  <si>
    <t>성희롱 예방 교육 대상 인원</t>
    <phoneticPr fontId="3" type="noConversion"/>
  </si>
  <si>
    <t>교육시점 재직인원 기준</t>
    <phoneticPr fontId="3" type="noConversion"/>
  </si>
  <si>
    <t>2021년은 CJ Campus 內 수료 결과임</t>
    <phoneticPr fontId="3" type="noConversion"/>
  </si>
  <si>
    <t>장애인 인식 개선 교육 대상 인원</t>
    <phoneticPr fontId="3" type="noConversion"/>
  </si>
  <si>
    <t>단체교섭협약 적용 직원 비율</t>
    <phoneticPr fontId="3" type="noConversion"/>
  </si>
  <si>
    <t>노사협의회 기준</t>
    <phoneticPr fontId="3" type="noConversion"/>
  </si>
  <si>
    <t>2022년부터 관리</t>
    <phoneticPr fontId="3" type="noConversion"/>
  </si>
  <si>
    <t>단체교섭협약 대상 임직원 수</t>
    <phoneticPr fontId="3" type="noConversion"/>
  </si>
  <si>
    <t>GRI 403-9, 10</t>
    <phoneticPr fontId="3" type="noConversion"/>
  </si>
  <si>
    <t xml:space="preserve">산업재해 발생 건 수(전일제  근로자) </t>
    <phoneticPr fontId="3" type="noConversion"/>
  </si>
  <si>
    <t xml:space="preserve">3일 이상 근로손실발생한 산업재해 건수(출퇴근사고 00건 포함) </t>
    <phoneticPr fontId="3" type="noConversion"/>
  </si>
  <si>
    <t>산업재해 발생 건 수(전일제 +시간제 근로자)</t>
    <phoneticPr fontId="3" type="noConversion"/>
  </si>
  <si>
    <t>산업재해율</t>
    <phoneticPr fontId="3" type="noConversion"/>
  </si>
  <si>
    <t>총 산업재해 임직원 수 / 총 임직원 수</t>
    <phoneticPr fontId="3" type="noConversion"/>
  </si>
  <si>
    <t>총 산업재해 임직원 수</t>
    <phoneticPr fontId="3" type="noConversion"/>
  </si>
  <si>
    <t xml:space="preserve">산업재해를 입은 임직원 수 (전일제 +시간제 근로자) </t>
    <phoneticPr fontId="3" type="noConversion"/>
  </si>
  <si>
    <t>임직원 사망 건수</t>
    <phoneticPr fontId="3" type="noConversion"/>
  </si>
  <si>
    <t xml:space="preserve">자연사로 인한 사망은 제외 </t>
    <phoneticPr fontId="3" type="noConversion"/>
  </si>
  <si>
    <t>고객 사망 건수(사망 보험 지급 건수)/(연 관람객수/1,000,000)</t>
    <phoneticPr fontId="3" type="noConversion"/>
  </si>
  <si>
    <t>응급 처치 이상의 전문적인 치료가 필요한 사람에게 가해진 위해</t>
    <phoneticPr fontId="3" type="noConversion"/>
  </si>
  <si>
    <t>고객 상해 건수(상해 보험 지급 건수)/(연 관람객수/1,000,000)</t>
    <phoneticPr fontId="3" type="noConversion"/>
  </si>
  <si>
    <t xml:space="preserve">총 근무 시간 (전일제 +시간제 근로자) </t>
    <phoneticPr fontId="3" type="noConversion"/>
  </si>
  <si>
    <t>국내한정</t>
    <phoneticPr fontId="3" type="noConversion"/>
  </si>
  <si>
    <t xml:space="preserve">총 근무 시간(전일제 근로자) </t>
    <phoneticPr fontId="3" type="noConversion"/>
  </si>
  <si>
    <t>CGV튀르키예 1년 총 근무시간 45시간이 타 계열사와 비교했을 때 숫자가 튀어 재확인 요청드립니다</t>
  </si>
  <si>
    <t xml:space="preserve">건강 이상'은 건강 손상을 나타내며 질병, 질환 및 장애를 포함합니다. '질병', '질환', '장애'라는 용어는 종종 같은 의미로 사용되며 특정 증상 및 진단이 있는 상태를 나타냅니다. </t>
    <phoneticPr fontId="3" type="noConversion"/>
  </si>
  <si>
    <t>업무 관련 건강 악화로 인한 사망자, 기록 가능한 업무 관련 건강 이상 사례, 업무상 질병</t>
    <phoneticPr fontId="3" type="noConversion"/>
  </si>
  <si>
    <t>총 산업안전 교육 수료인원(전일제 근로자)</t>
    <phoneticPr fontId="3" type="noConversion"/>
  </si>
  <si>
    <t xml:space="preserve">on process to train the safety by Gov's regulation </t>
    <phoneticPr fontId="3" type="noConversion"/>
  </si>
  <si>
    <t>총 산업안전 교육 수료인원(전일제 + 시간제 근로자)</t>
    <phoneticPr fontId="3" type="noConversion"/>
  </si>
  <si>
    <t>총 임직원 수(전일제 근로자)</t>
    <phoneticPr fontId="3" type="noConversion"/>
  </si>
  <si>
    <t>해당 년도 산업안전 관리 전담 인력 부재 및 산업안전 교육의 경우 의무 교육이 아니여서,
미시행</t>
    <phoneticPr fontId="3" type="noConversion"/>
  </si>
  <si>
    <t xml:space="preserve">총 임직원 수(전일제 근로자 + 시간제 근로자) </t>
    <phoneticPr fontId="3" type="noConversion"/>
  </si>
  <si>
    <t>정보보안 및 개인정보보호</t>
    <phoneticPr fontId="3" type="noConversion"/>
  </si>
  <si>
    <t>1) 사업보고서 '제제 등과 관련된 사항' 공시와 동일한 기준으로 법규 위반 건수 취합
* 수사사법 기관 및 행정 기관의 제재 현황을 공개</t>
  </si>
  <si>
    <t>의사결정</t>
    <phoneticPr fontId="3" type="noConversion"/>
  </si>
  <si>
    <t>의사결정</t>
  </si>
  <si>
    <t>o</t>
    <phoneticPr fontId="3" type="noConversion"/>
  </si>
  <si>
    <t>정성 보고서 순서로 변경하기(삼일)</t>
    <phoneticPr fontId="3" type="noConversion"/>
  </si>
  <si>
    <t>정보보호 교육 대상자 수
((본 항목은 22년까지는 Full-time에 한함))</t>
    <phoneticPr fontId="3" type="noConversion"/>
  </si>
  <si>
    <t>상생지원금</t>
    <phoneticPr fontId="3" type="noConversion"/>
  </si>
  <si>
    <t>국가 및 수혜자/수혜자별로 회사가 직간접적으로 제공한 재정 및 현물 정치 기부금의 총 금전적 가치</t>
    <phoneticPr fontId="3" type="noConversion"/>
  </si>
  <si>
    <t>자원봉사 참여 시간</t>
    <phoneticPr fontId="3" type="noConversion"/>
  </si>
  <si>
    <t>CJ-Gen-S51 "CGVCGV튀르키예 봉사활동 미수행"</t>
  </si>
  <si>
    <t>자원봉사 참여 인원</t>
    <phoneticPr fontId="3" type="noConversion"/>
  </si>
  <si>
    <t>CJ-Gen-S52 "CGVCGV튀르키예 봉사활동 미수행"</t>
  </si>
  <si>
    <t>사외이사 수 / 이사회 인원 수</t>
    <phoneticPr fontId="3" type="noConversion"/>
  </si>
  <si>
    <t>이사회 사내이사 참석 횟수 / 이사회 회의 개최 횟수</t>
    <phoneticPr fontId="3" type="noConversion"/>
  </si>
  <si>
    <t>이사회 사외이사 참석 횟수 / 이사회 회의 개최 횟수</t>
    <phoneticPr fontId="3" type="noConversion"/>
  </si>
  <si>
    <t>사외이사후보추천위원회 사외이사 참석 횟수 / 사외이사후보추천위원회 개최 횟수</t>
    <phoneticPr fontId="3" type="noConversion"/>
  </si>
  <si>
    <t>보상위원회 사외이사 참석 횟수 / 보상위원회 개최 횟수</t>
    <phoneticPr fontId="3" type="noConversion"/>
  </si>
  <si>
    <t>감사위원회 사외이사 참석 횟수 / 감사위원회 개최 횟수</t>
    <phoneticPr fontId="3" type="noConversion"/>
  </si>
  <si>
    <t>감사위원회 위원 수</t>
    <phoneticPr fontId="3" type="noConversion"/>
  </si>
  <si>
    <t>감사위원회 위원 중 사외이사 수</t>
    <phoneticPr fontId="3" type="noConversion"/>
  </si>
  <si>
    <t>이사 보수</t>
    <phoneticPr fontId="3" type="noConversion"/>
  </si>
  <si>
    <t>외부 감사인에게 지급한 비감사용역보수 / 외부감사인에게 지급한 감사용역보수</t>
    <phoneticPr fontId="3" type="noConversion"/>
  </si>
  <si>
    <t>((기말 주식가격 - 전년 기말 주식가격 + 1주당 배당금) / 전년 기말 주식가격) * 100</t>
    <phoneticPr fontId="3" type="noConversion"/>
  </si>
  <si>
    <t>기말 주식가격 (당해 증시 폐장인 장마감 주식가격)</t>
    <phoneticPr fontId="3" type="noConversion"/>
  </si>
  <si>
    <t>보통주 기준</t>
    <phoneticPr fontId="3" type="noConversion"/>
  </si>
  <si>
    <t>전년 기말 주식가격 (전년 증시 폐장일 장마감 주식가격)</t>
    <phoneticPr fontId="3" type="noConversion"/>
  </si>
  <si>
    <t>1주당 배당금 합계 금액</t>
    <phoneticPr fontId="3" type="noConversion"/>
  </si>
  <si>
    <t>관계사 우발 부채 / 순자산</t>
    <phoneticPr fontId="3" type="noConversion"/>
  </si>
  <si>
    <t>관계사 매출액 / 매출액</t>
    <phoneticPr fontId="3" type="noConversion"/>
  </si>
  <si>
    <t>관계사 매입액 / 매입액</t>
    <phoneticPr fontId="3" type="noConversion"/>
  </si>
  <si>
    <t>윤리경영 교육 참여 시간</t>
    <phoneticPr fontId="3" type="noConversion"/>
  </si>
  <si>
    <t>윤리경영 교육 참여 임직원 수</t>
    <phoneticPr fontId="3" type="noConversion"/>
  </si>
  <si>
    <t>공정경쟁 관련 법규 위반 건수</t>
    <phoneticPr fontId="3" type="noConversion"/>
  </si>
  <si>
    <t>반부패 관련 법규 위반 건수</t>
    <phoneticPr fontId="3" type="noConversion"/>
  </si>
  <si>
    <t>제품과 서비스 범주의 건강 및 안전 영향 평가 수행 비율</t>
    <phoneticPr fontId="3" type="noConversion"/>
  </si>
  <si>
    <t>윤리/준법경영 관련 제보</t>
    <phoneticPr fontId="3" type="noConversion"/>
  </si>
  <si>
    <t>윤리/준법경영 제보 처리 비율</t>
    <phoneticPr fontId="3" type="noConversion"/>
  </si>
  <si>
    <t>윤리/준법경영 관련 유효 및 조치완료 제보 건수</t>
    <phoneticPr fontId="3" type="noConversion"/>
  </si>
  <si>
    <t>윤리/준법경영 관련 총 제보 건수</t>
    <phoneticPr fontId="3" type="noConversion"/>
  </si>
  <si>
    <t>확인된 부패 건수</t>
    <phoneticPr fontId="3" type="noConversion"/>
  </si>
  <si>
    <t>부정비리 유효 제보 건수 기준</t>
    <phoneticPr fontId="3" type="noConversion"/>
  </si>
  <si>
    <t>ESG Data Sheet (종합)</t>
    <phoneticPr fontId="3" type="noConversion"/>
  </si>
  <si>
    <t>5944/51954(작년)</t>
    <phoneticPr fontId="3" type="noConversion"/>
  </si>
  <si>
    <t>현지 법률상 퇴직인원에게 지급되는 혜택성 급여임
2021: 801,874 / 2022: 405,001 / 2023: 228,244 (K VND)</t>
    <phoneticPr fontId="3" type="noConversion"/>
  </si>
  <si>
    <t>2021: 1,845,571,870 / 2022: 1,525,147,726 / 2023: 3,471,845,218 (IDR)</t>
    <phoneticPr fontId="3" type="noConversion"/>
  </si>
  <si>
    <t>2021: 173,763.76 / 2022: 54,826.65 / 2023: 7,569,641.49</t>
    <phoneticPr fontId="3" type="noConversion"/>
  </si>
  <si>
    <t>2021: 29,536.5 / 2022: 315,793.2 / 2023: 283,243.8 (RMB, 중국현지법인)</t>
    <phoneticPr fontId="3" type="noConversion"/>
  </si>
  <si>
    <t>2021: 32,811,128 / 2022: 100,034,173 / 2023: 9,556,832 (RMB)</t>
    <phoneticPr fontId="3" type="noConversion"/>
  </si>
  <si>
    <t>2021: 451,103.67 / 2022: 1,244,268.16 / 2023: 9,215,440.57</t>
    <phoneticPr fontId="3" type="noConversion"/>
  </si>
  <si>
    <t>2023.12.31 환율 적용한 값임</t>
    <phoneticPr fontId="3" type="noConversion"/>
  </si>
  <si>
    <t>순서 조정</t>
    <phoneticPr fontId="3" type="noConversion"/>
  </si>
  <si>
    <t>2021년, 2022년도</t>
    <phoneticPr fontId="3" type="noConversion"/>
  </si>
  <si>
    <t>회람시 확인</t>
    <phoneticPr fontId="3" type="noConversion"/>
  </si>
  <si>
    <t>전국 직영사이트 주요 매점 패키지 무게 + 공간디자인팀~~~~~를 폐기물 배출량으로 산정</t>
    <phoneticPr fontId="3" type="noConversion"/>
  </si>
  <si>
    <t>삼일 고민</t>
    <phoneticPr fontId="3" type="noConversion"/>
  </si>
  <si>
    <t>본사</t>
    <phoneticPr fontId="3" type="noConversion"/>
  </si>
  <si>
    <t>종이, 플라스틱, 금속, 유리, 기타 재료 사용량에 해당</t>
    <phoneticPr fontId="3" type="noConversion"/>
  </si>
  <si>
    <t>보고서상 총 임직원 수와 불일치(보고서는 사외이사 포함)</t>
    <phoneticPr fontId="3" type="noConversion"/>
  </si>
  <si>
    <t>국적 분리 필요</t>
    <phoneticPr fontId="3" type="noConversion"/>
  </si>
  <si>
    <t>삭제</t>
    <phoneticPr fontId="3" type="noConversion"/>
  </si>
  <si>
    <t>국내, 중국, 미국 현지 법인 연도별 경영진 구성 미제출(합계는 904행(임원 합계)과 일치 필요)</t>
    <phoneticPr fontId="3" type="noConversion"/>
  </si>
  <si>
    <t>CGV 내부적으로 재검토 필요</t>
    <phoneticPr fontId="3" type="noConversion"/>
  </si>
  <si>
    <t>인권 관련 유효 및 조치완료 제보 건 수</t>
    <phoneticPr fontId="3" type="noConversion"/>
  </si>
  <si>
    <t>확인필요</t>
  </si>
  <si>
    <t>`</t>
    <phoneticPr fontId="3" type="noConversion"/>
  </si>
  <si>
    <t>정성 내용 확인 필요(삼일)</t>
    <phoneticPr fontId="3" type="noConversion"/>
  </si>
  <si>
    <t>* 모두가 실천해야할 '정직' 교육: 1시간
* 안전을 만나는시간 - 중대재해처벌법: 1시간
* [2022] 강재준, 이은형과 함께하는 직장 내 괴롭힘 예방교육: 1시간
* 기술자료 제공 요구 준수사항(카드러닝): 0.5시간
* 신입사원 오프라인 '정직의 의미와 실천' 교육 수강 인원: 1시간
* CGV컴플라이언스 교육 (법무컴플라이언스팀 주관): 0.5시간
※ 카드러닝 형식은 0.5시간 반영</t>
  </si>
  <si>
    <t>DB 확인</t>
    <phoneticPr fontId="3" type="noConversion"/>
  </si>
  <si>
    <t xml:space="preserve">*산출범위 확대: 전국 직영 사이트 대상으로 매점 주요 패키지를 일반 폐기물로 정의하여 산출 </t>
    <phoneticPr fontId="3" type="noConversion"/>
  </si>
  <si>
    <t>전략구매팀/공간디자인팀</t>
    <phoneticPr fontId="3" type="noConversion"/>
  </si>
  <si>
    <t>식자재 중 친환경 인증을 받은 원재료 없음</t>
    <phoneticPr fontId="3" type="noConversion"/>
  </si>
  <si>
    <t>23년 하반기 보이스온 몰입도 긍정 응답자</t>
    <phoneticPr fontId="3" type="noConversion"/>
  </si>
  <si>
    <t>23년 하반기 보이스온 전체 응답자</t>
    <phoneticPr fontId="3" type="noConversion"/>
  </si>
  <si>
    <t>Full time(연봉제근로자) 1명 + Part time(연봉자 근로자 아닌 근로자) 30명</t>
    <phoneticPr fontId="3" type="noConversion"/>
  </si>
  <si>
    <t>-정직원: 2,846,580H (1,135명 * 209H * 12개월)</t>
    <phoneticPr fontId="3" type="noConversion"/>
  </si>
  <si>
    <t>-정직원: 2,751,276H (1,097명 * 209H * 12개월)
- 미소지기: 2,435,398.99H
※ 정직원 실근무시간 데이터 추출 불가하여 [연말 공시인원 * 209H * 12개월] 로 반영</t>
    <phoneticPr fontId="3" type="noConversion"/>
  </si>
  <si>
    <t>-정직원:  3,034,680H(1,097명 * 209H * 12개월)
- 미소지기: 2615813.25H
※ 정직원 실근무시간 데이터 추출 불가하여 [연말 공시인원 * 209H * 12개월] 로 반영</t>
    <phoneticPr fontId="3" type="noConversion"/>
  </si>
  <si>
    <t>- 미소지기: 1,366,845.58H</t>
  </si>
  <si>
    <t>※ 정직원 실근무시간 데이터 추출 불가하여 [연말 공시인원 * 209H * 12개월] 로 반영</t>
  </si>
  <si>
    <t>* 모두가 실천해야할 '정직' 교육: 1시간
* [2021] 함께 존중하는 건강한 CJ 만들기: 0.5시간
* [2021] 함께 존중하는 건강한 CJ 만들기(leader): 0.5시간
* 준법경영위원회 이원 대상 공정거래법 주요 개정 사항 특강:1시간
* CJ그룹 행동강령(CJ인의 약속): 1시간
* CJ글로벌 경제제제 컴플라이언스 정책: 0.3시간
* 정보교환행위금지가이드: 0.1시간</t>
    <phoneticPr fontId="3" type="noConversion"/>
  </si>
  <si>
    <t>* 모두가 실천해야할 '정직' 교육: 1시간
* 안전을 만나는시간 - 중대재해처벌법: 1시간
* [2022] 강재준, 이은형과 함께하는 직장 내 괴롭힘 예방교육: 1시간
* 기술자료 제공 요구 준수사항(카드러닝): 0.5시간
* 신입사원 오프라인 '정직의 의미와 실천' 교육 수강 인원: 1시간
* CGV컴플라이언스 교육 (법무·컴플라이언스팀 주관): 0.5시간
※ 카드러닝 형식은 0.5시간 반영</t>
    <phoneticPr fontId="3" type="noConversion"/>
  </si>
  <si>
    <t>중복된 인원 제외</t>
    <phoneticPr fontId="3" type="noConversion"/>
  </si>
  <si>
    <t>4DPLEX 기준으로 조정 필요(공란으로 두었습니다)</t>
  </si>
  <si>
    <t>단위</t>
  </si>
  <si>
    <t>통합(PwC)</t>
    <phoneticPr fontId="3" type="noConversion"/>
  </si>
  <si>
    <t>(국내) 4DPLEX</t>
    <phoneticPr fontId="3" type="noConversion"/>
  </si>
  <si>
    <t>(중국) 4DX Beijing</t>
    <phoneticPr fontId="3" type="noConversion"/>
  </si>
  <si>
    <t>(미국) 4DPLEX America Inc.</t>
    <phoneticPr fontId="3" type="noConversion"/>
  </si>
  <si>
    <t>(미국) 4DPLEX Americas, LLC.</t>
    <phoneticPr fontId="3" type="noConversion"/>
  </si>
  <si>
    <t>산출 방식</t>
    <phoneticPr fontId="18" type="noConversion"/>
  </si>
  <si>
    <t>담당(취합)부서</t>
    <phoneticPr fontId="18" type="noConversion"/>
  </si>
  <si>
    <t>데이터 출처 (별도 파일 첨부해주실 경우 파일명)</t>
    <phoneticPr fontId="18" type="noConversion"/>
  </si>
  <si>
    <t>기타
- 기존 데이터 수정시 수정/미입력 사유 또는 비고란</t>
    <phoneticPr fontId="18" type="noConversion"/>
  </si>
  <si>
    <t>가이드북 기준
제외 여부</t>
    <phoneticPr fontId="3" type="noConversion"/>
  </si>
  <si>
    <t>확정급여연금제도 의무 및 기타 은퇴지원제도</t>
    <phoneticPr fontId="3" type="noConversion"/>
  </si>
  <si>
    <t>5,159 (천만원)</t>
    <phoneticPr fontId="3" type="noConversion"/>
  </si>
  <si>
    <t>인사팀</t>
    <phoneticPr fontId="3" type="noConversion"/>
  </si>
  <si>
    <t>정부의 재정적 지원</t>
    <phoneticPr fontId="3" type="noConversion"/>
  </si>
  <si>
    <t>지역공동체(국가단위)에서 고용한 고위 관리자 비율</t>
    <phoneticPr fontId="3" type="noConversion"/>
  </si>
  <si>
    <t>지역 공급업체에 사용하는 예산 비율</t>
    <phoneticPr fontId="3" type="noConversion"/>
  </si>
  <si>
    <t>구매팀</t>
    <phoneticPr fontId="3" type="noConversion"/>
  </si>
  <si>
    <t>생산팀</t>
    <phoneticPr fontId="3" type="noConversion"/>
  </si>
  <si>
    <t>233031 기준 1차 검증 Data. 
배출계수 변경시 향후 변경 가능</t>
  </si>
  <si>
    <t>연결감사보고서</t>
    <phoneticPr fontId="3" type="noConversion"/>
  </si>
  <si>
    <t>온실가스 기타 배출량 (Scope 3) = ∑(업스트림 배출량 + 다운스트림 배출량)
  * 업스트림 배출량: 
  ① 원부자재 구매: 구매 또는 취득한 재화 및 용역의 추출, 생산 및 운송에 따른 배출량
  ② 자본재 구매:  회사가 구입하거나 취득한 자본재의 추출, 생산 및 운송에 따른 배출량
  ③ 연료 및 에너지 사용: 구매 또는 취득한 연료 및 에너지의 추출, 생산 및 운송에 따른 배출량
  ④ 원부자재 운송: 구매한 제품을 기업의 공급업체와 자체 운영업체 간 운송 및 유통 또는 구매한 운송 서비스의 배출량
  ⑤ 폐기물: 보고사업자의 운영에서 발생한 폐기물의 처분 및 처리에 따른 배출량
  ⑥ 출장: 비즈니스 관련 임직원 운송에 따른 배출량
  ⑦ 통근:  자택과 작업장 사이의 직원 운송에 따른 배출량
  ⑧ 임대자산: Scope1,2에 속하지 않은 임차 자산에 따른 배출량
 * 다운스트림 배출량: 
   ⑨ 운송과 유통:  사업장과 최종소비자 사이의 제품의 소매 및 보관을 포함한 운송 및 유통에 따른 배출량
   ⑩ 판매제품 가공: 판매된 중간 제품의 다운스트림 업체별 처리에 따른 배출량
   ⑪ 판매제품 사용:  판매한 재화 및 용역의 최종사용에 따른 배출량
   ⑫ 판매제품 폐기처리: 수명이 다한 제품의 폐기물 처분 및 처리에 따른 배출량
   ⑬ 임대 자산: Scope1,2에 속하지 않은 임대해준 자산에 따른 배출량
   ⑭ 가맹점 영업권:  Scope1,2에 속하지 않은 프랜차이즈 배출량
   ⑮ 투자: Scope1,2에 속하지 않은 투자에 따른 배출량</t>
    <phoneticPr fontId="3" type="noConversion"/>
  </si>
  <si>
    <t>CJ-Gen-E6</t>
  </si>
  <si>
    <t>그리드(Grid)로부터 구매한 전력 고지서 내 전력 사용량(MWh) * 0.0036(TJ/MWh 환산)
*국내의 경우 한전 전력 구매량</t>
    <phoneticPr fontId="3" type="noConversion"/>
  </si>
  <si>
    <t>CJ-Gen-E11</t>
    <phoneticPr fontId="3" type="noConversion"/>
  </si>
  <si>
    <t>CGV배곧 1개지점 태양광 시설 사용하나 실적 매우 미비하여 제외</t>
    <phoneticPr fontId="3" type="noConversion"/>
  </si>
  <si>
    <t>재생가능 비율</t>
    <phoneticPr fontId="3" type="noConversion"/>
  </si>
  <si>
    <t>CJ-Gen-E12</t>
    <phoneticPr fontId="3" type="noConversion"/>
  </si>
  <si>
    <t>지하수 사용량 = 용수 배출량 (환산추정)</t>
    <phoneticPr fontId="3" type="noConversion"/>
  </si>
  <si>
    <t>인</t>
    <phoneticPr fontId="3" type="noConversion"/>
  </si>
  <si>
    <t>수질오염물질 배출량</t>
  </si>
  <si>
    <t>생화학적 산소요구량 9BOD)</t>
  </si>
  <si>
    <t>폐기물 배출량</t>
  </si>
  <si>
    <r>
      <t>m</t>
    </r>
    <r>
      <rPr>
        <vertAlign val="superscript"/>
        <sz val="11"/>
        <color theme="1"/>
        <rFont val="맑은 고딕"/>
        <family val="3"/>
        <charset val="129"/>
        <scheme val="minor"/>
      </rPr>
      <t>3</t>
    </r>
    <phoneticPr fontId="3" type="noConversion"/>
  </si>
  <si>
    <t>품질관리팀</t>
    <phoneticPr fontId="3" type="noConversion"/>
  </si>
  <si>
    <t>환경 법규 위반 건 수</t>
  </si>
  <si>
    <t>1) 사업보고서 '제제 등과 관련된 사항' 공시와 동일한 기준으로 법규 위반 건수 취합
2) 법규 위반에 따른 처벌 또는 $10,000(한화 약 1,200만원) 이상의 벌금, 과징금, 과태료 부과 건수 합산
* 수사·사법 기관 및 행정 기관의 제재 현황을 공개</t>
    <phoneticPr fontId="3" type="noConversion"/>
  </si>
  <si>
    <r>
      <t xml:space="preserve">영사기술팀-레이처 프로젝트 교체 위해 발주하였으나 글로벌 공급상황 상 연내 집행 X
</t>
    </r>
    <r>
      <rPr>
        <sz val="11"/>
        <color rgb="FFC00000"/>
        <rFont val="맑은 고딕"/>
        <family val="3"/>
        <charset val="129"/>
        <scheme val="minor"/>
      </rPr>
      <t>F&amp;B사업팀-22년 1회용품 보증금제 시행일(22/12~) 준수 위한 IT시스템 구축 투자비 (별도 프로젝트 범위 투자 비용). 환경부 규제 대응 내용 품의 내 기재되어 있음 
- POS : 52,344,000원(VAT별도)
- AIO KIOSK ; 69,000,000원(VAT별도)</t>
    </r>
    <phoneticPr fontId="3" type="noConversion"/>
  </si>
  <si>
    <t>임직원 구성 
(고용 형태별)</t>
    <phoneticPr fontId="3" type="noConversion"/>
  </si>
  <si>
    <t>임직원 구성
(성별)</t>
    <phoneticPr fontId="3" type="noConversion"/>
  </si>
  <si>
    <t>경영진 구성
(성별)</t>
    <phoneticPr fontId="3" type="noConversion"/>
  </si>
  <si>
    <t>SV-ME-260a.1</t>
  </si>
  <si>
    <t>한국 21, 미국 2, 중국 5</t>
  </si>
  <si>
    <t>한국 81, 미국 8, 중국 3</t>
  </si>
  <si>
    <t>남성</t>
  </si>
  <si>
    <t>여성</t>
  </si>
  <si>
    <t>CJ윤리경영 사이트 제보 건 수</t>
    <phoneticPr fontId="3" type="noConversion"/>
  </si>
  <si>
    <t>CJ윤리경영 사이트 제보 건 수 중 유효 제보 건수</t>
    <phoneticPr fontId="3" type="noConversion"/>
  </si>
  <si>
    <t>인권 침해 유효 제보 건수 = CJ윤리경영(온라인 제보) 사이트 제보 건 수 + Kwhistle 사이트 제보 건수 중 유효 제보 건수</t>
  </si>
  <si>
    <t>① 인권 위험평가 범위에 포함되는 이해관계자(자사 근로자, 공급업체, 협력업체, 소비자, 지역사회 등 공급망 내 이해관계자를 의미) 
Scope of stakeholders subject to human rights risk assessment, including those within the supply chain such as workers, suppliers, consumers, and communities
② 인권영향평가 실시 사업장 비율 = 인권영향평가 실시 사업장 수 / 전체 사업장 수
Ratio of workplaces conducting human rights impact assessment  = Number of workplaces conducting human rights impact assessment / Total workplaces
③ 인권 위험 평가를 통한 고충 처리 개선 비율= 인권 위험 평가를 통해 확인된 고충의 개선 건수 / 인권 위험평가를 통해 확인된 고충처리 개수
Ratio of improvements in grievance handling through human rights risk assessment = Number of grievance improvements identified through human rights risk assessment / Number of grievances identified through human rights risk assessment</t>
    <phoneticPr fontId="3" type="noConversion"/>
  </si>
  <si>
    <t>·총 장애인 인식 개선 교육 수료 인원</t>
    <phoneticPr fontId="3" type="noConversion"/>
  </si>
  <si>
    <t>CJ-Gen-S30</t>
  </si>
  <si>
    <t>GRI 407-1</t>
  </si>
  <si>
    <t>1인당 교육 시간 = 총 교육 수료시간 / 총 임직원 수</t>
  </si>
  <si>
    <t>CJ-Gen-S26</t>
  </si>
  <si>
    <t>추후 보완 예정</t>
  </si>
  <si>
    <t>GRI 405-3</t>
  </si>
  <si>
    <t>GRI 405-4</t>
  </si>
  <si>
    <t>STEM부서 여성임직원 비율</t>
  </si>
  <si>
    <t>Full time 23명 + Part time 0명</t>
  </si>
  <si>
    <t>임직원 산업재해율</t>
  </si>
  <si>
    <t>CJ-Gen-S31</t>
  </si>
  <si>
    <t>CJ-Gen-S32</t>
  </si>
  <si>
    <t>근로손실 부상 건수</t>
    <phoneticPr fontId="3" type="noConversion"/>
  </si>
  <si>
    <t>·협력업체 근로손실 부상 발생 건수</t>
    <phoneticPr fontId="3" type="noConversion"/>
  </si>
  <si>
    <t>·협력업체 총 근무 시간</t>
    <phoneticPr fontId="3" type="noConversion"/>
  </si>
  <si>
    <t>업무 관련 건강 악화</t>
    <phoneticPr fontId="3" type="noConversion"/>
  </si>
  <si>
    <t>업무 관련 건강 악화 사례</t>
    <phoneticPr fontId="3" type="noConversion"/>
  </si>
  <si>
    <t>·총 산업안전 교육 수료인원</t>
    <phoneticPr fontId="3" type="noConversion"/>
  </si>
  <si>
    <t>CJ-Gen-S38</t>
  </si>
  <si>
    <t>·산업안전 교육 대상자 수</t>
    <phoneticPr fontId="3" type="noConversion"/>
  </si>
  <si>
    <t xml:space="preserve">·ESG 리스크 진단 완료 핵심 협력사 수
* 서면진단 등 ESG 리스크 진단 대상 핵심 협력사 수 </t>
    <phoneticPr fontId="3" type="noConversion"/>
  </si>
  <si>
    <t>·전체 핵심 협력사 수</t>
    <phoneticPr fontId="3" type="noConversion"/>
  </si>
  <si>
    <t>CJ-Gen-S41</t>
  </si>
  <si>
    <t>CJ-Gen-S47</t>
  </si>
  <si>
    <t>이사회</t>
  </si>
  <si>
    <t>CJ-Gen-G8</t>
    <phoneticPr fontId="3" type="noConversion"/>
  </si>
  <si>
    <t>감사위원회</t>
  </si>
  <si>
    <t>이사회 상정</t>
  </si>
  <si>
    <t>사외이사 반대/수정</t>
  </si>
  <si>
    <t>이사회_사내이사</t>
  </si>
  <si>
    <t>이사회_사외이사</t>
  </si>
  <si>
    <t>사외이사후보추천위원회_
사외이사</t>
  </si>
  <si>
    <t>보상위원회_사외이사</t>
  </si>
  <si>
    <t>감사위원회_사외이사</t>
  </si>
  <si>
    <t>CJ-Gen-G26</t>
  </si>
  <si>
    <t>감사용역보수 대비 비감사용역보수 비율</t>
  </si>
  <si>
    <t>·비감사용역 보수</t>
    <phoneticPr fontId="3" type="noConversion"/>
  </si>
  <si>
    <t>CJ-Gen-G27</t>
  </si>
  <si>
    <t>·감사용역 보수</t>
    <phoneticPr fontId="3" type="noConversion"/>
  </si>
  <si>
    <t>·기말 주식가격 (당해 증시 폐장인 장마감 주식가격)
※ 보통주 기준</t>
    <phoneticPr fontId="3" type="noConversion"/>
  </si>
  <si>
    <t>· 전년 기말 주식가격 (전년 증시 폐장일 장마감 주식가격)
※ 보통주 기준</t>
    <phoneticPr fontId="3" type="noConversion"/>
  </si>
  <si>
    <t>·1주당 배당금 합계 금액
※ 보통주 기준</t>
    <phoneticPr fontId="3" type="noConversion"/>
  </si>
  <si>
    <t>CJ-Gen-G29</t>
  </si>
  <si>
    <t>* 본 시트는 23년 지주사 취합용 시트이므로, 본 시트의 재무재표 정보 요구사항은 '별도' 재무재표 기준 작성(추후 당사 데이터 작성시, 연결 기준으로 재취합 예정임으로 너른 마음으로 양해 부탁드립니다)</t>
  </si>
  <si>
    <t>정직 123시간
괴롭힘예방 121시간</t>
  </si>
  <si>
    <t>정직 131시간
괴롭힘예방 157시간</t>
  </si>
  <si>
    <t>인원 수</t>
  </si>
  <si>
    <t>정직 123명
괴롭힘예방 121명
중복 121명</t>
  </si>
  <si>
    <t>정직 131명
괴롭힘예방 157명
중복 127명</t>
  </si>
  <si>
    <t>반부패 관련 법규</t>
  </si>
  <si>
    <t>GRI 417-3</t>
  </si>
  <si>
    <t>개인정보 보호 위반 건 수</t>
    <phoneticPr fontId="3" type="noConversion"/>
  </si>
  <si>
    <t>총 제보 건수</t>
  </si>
  <si>
    <t>유효 제보 건수</t>
  </si>
  <si>
    <t>입과 129, 수료 125</t>
  </si>
  <si>
    <t>입과 160, 수료 159</t>
  </si>
  <si>
    <t>CJ-Gen-S45</t>
  </si>
  <si>
    <t>입과기준으로 변경</t>
  </si>
  <si>
    <t>입과 기준으로 변경</t>
  </si>
  <si>
    <t>오늘의 환율</t>
  </si>
  <si>
    <t>매매기준율</t>
  </si>
  <si>
    <t>통화명</t>
  </si>
  <si>
    <t>환율(원)</t>
  </si>
  <si>
    <t>미국 달러 (USD)</t>
  </si>
  <si>
    <t>위안화 (CNH)</t>
  </si>
  <si>
    <t>재정된 매매기준율</t>
  </si>
  <si>
    <t>일본 엔 (JPY) (100)</t>
  </si>
  <si>
    <t>유로 (EUR)</t>
  </si>
  <si>
    <t>영국 파운드 (GBP)</t>
  </si>
  <si>
    <t>캐나다 달러 (CAD)</t>
  </si>
  <si>
    <t>스위스 프랑 (CHF)</t>
  </si>
  <si>
    <t>호주 달러 (AUD)</t>
  </si>
  <si>
    <t>뉴질랜드 달러 (NZD)</t>
  </si>
  <si>
    <t>홍콩 달러 (HKD)</t>
  </si>
  <si>
    <t>대만 달러 (TWD)</t>
  </si>
  <si>
    <t>몽골 투그릭 (MNT)</t>
  </si>
  <si>
    <t>카자흐스탄 텡게 (KZT)</t>
  </si>
  <si>
    <t>태국 밧 (THB)</t>
  </si>
  <si>
    <t>싱가포르 달러 (SGD)</t>
  </si>
  <si>
    <t>인도네시아 루피아 (IDR) (100)</t>
  </si>
  <si>
    <t>말레이시아 링깃 (MYR)</t>
  </si>
  <si>
    <t>필리핀 페소 (PHP)</t>
  </si>
  <si>
    <t>베트남 동 (VND) (100)</t>
  </si>
  <si>
    <t>브루나이 달러 (BND)</t>
  </si>
  <si>
    <t>인도 루피 (INR)</t>
  </si>
  <si>
    <t>파키스탄 루피 (PKR)</t>
  </si>
  <si>
    <t>방글라데시 타카 (BDT)</t>
  </si>
  <si>
    <t>캄보디아 리엘 (KHR)</t>
  </si>
  <si>
    <t>멕시코 페소 (MXN)</t>
  </si>
  <si>
    <t>마카오 파타카 (MOP)</t>
  </si>
  <si>
    <t>브라질 헤알 (BRL)</t>
  </si>
  <si>
    <t>네팔 루피 (NPR)</t>
  </si>
  <si>
    <t>아르헨티나 페소 (ARS)</t>
  </si>
  <si>
    <t>스리랑카 루피 (LKR)</t>
  </si>
  <si>
    <t>스웨덴 크로나 (SEK)</t>
  </si>
  <si>
    <t>우즈베키스탄 숨 (UZS)</t>
  </si>
  <si>
    <t>덴마크 크로네 (DKK)</t>
  </si>
  <si>
    <t>미얀마 짯 (MMK)</t>
  </si>
  <si>
    <t>노르웨이 크로네 (NOK)</t>
  </si>
  <si>
    <t>러시아 루블 (RUB)</t>
  </si>
  <si>
    <t>헝가리 포린트 (HUF)</t>
  </si>
  <si>
    <t>폴란드 즈워티 (PLN)</t>
  </si>
  <si>
    <t>칠레 페소 (CLP)</t>
  </si>
  <si>
    <t>체코 코루나 (CZK)</t>
  </si>
  <si>
    <t>콜롬비아 페소 (COP)</t>
  </si>
  <si>
    <t>사우디아라비아 리얄 (SAR)</t>
  </si>
  <si>
    <t>카타르 리얄 (QAR)</t>
  </si>
  <si>
    <t>이스라엘 셰켈 (ILS)</t>
  </si>
  <si>
    <t>요르단 디나르 (JOD)</t>
  </si>
  <si>
    <t>쿠웨이트 디나르 (KWD)</t>
  </si>
  <si>
    <t>바레인 디나르 (BHD)</t>
  </si>
  <si>
    <t>아랍에미리트 디르함 (AED)</t>
  </si>
  <si>
    <t>튀르키예 리라 (TRY)</t>
  </si>
  <si>
    <t>루마니아 레우 (RON)</t>
  </si>
  <si>
    <t>남아프리카공화국 랜드 (ZAR)</t>
  </si>
  <si>
    <t>이집트 파운드 (EGP)</t>
  </si>
  <si>
    <t>오만 리얄 (OMR)</t>
  </si>
  <si>
    <t>케냐 실링 (KES)</t>
  </si>
  <si>
    <t>리비아 디나르 (LYD)</t>
  </si>
  <si>
    <t>에티오피아 비르 (ETB)</t>
  </si>
  <si>
    <t>피지 달러 (FJD)</t>
  </si>
  <si>
    <t>ESG DATA SHEET (2021-2023)  ESG数据表（2021-2023）</t>
    <phoneticPr fontId="3" type="noConversion"/>
  </si>
  <si>
    <t>[Disclosure Guide] 批注指南</t>
    <phoneticPr fontId="3" type="noConversion"/>
  </si>
  <si>
    <t xml:space="preserve">- Please reply with the finalized template without password. 请使用不带密码的最终版文档回复。
</t>
    <phoneticPr fontId="3" type="noConversion"/>
  </si>
  <si>
    <t>- When filling in the amount, please convert it to the appropriate unit. (Do not use cell formatting to adjust the units) 填写金额时，请将其转换成相应的单位。（不要使用单元格格式调整单位）</t>
    <phoneticPr fontId="3" type="noConversion"/>
  </si>
  <si>
    <r>
      <t xml:space="preserve">- Data </t>
    </r>
    <r>
      <rPr>
        <b/>
        <sz val="12"/>
        <color rgb="FFFF0000"/>
        <rFont val="맑은 고딕"/>
        <family val="3"/>
        <charset val="129"/>
        <scheme val="minor"/>
      </rPr>
      <t>in red</t>
    </r>
    <r>
      <rPr>
        <sz val="12"/>
        <color theme="1"/>
        <rFont val="맑은 고딕"/>
        <family val="3"/>
        <charset val="129"/>
        <scheme val="minor"/>
      </rPr>
      <t xml:space="preserve"> is data that has been entered and needs to be </t>
    </r>
    <r>
      <rPr>
        <b/>
        <sz val="12"/>
        <color theme="1"/>
        <rFont val="맑은 고딕"/>
        <family val="3"/>
        <charset val="129"/>
        <scheme val="minor"/>
      </rPr>
      <t>double-checked.   红色数据是已输入的数据，需要再次检查。</t>
    </r>
    <phoneticPr fontId="3" type="noConversion"/>
  </si>
  <si>
    <t>- When filling in numbers, please fill in the data range and notes.   填写数字时，请填写数据范围和备注。</t>
    <phoneticPr fontId="3" type="noConversion"/>
  </si>
  <si>
    <t>데이터 입력 요청란 Requested data</t>
    <phoneticPr fontId="3" type="noConversion"/>
  </si>
  <si>
    <t>Category  种类</t>
    <phoneticPr fontId="3" type="noConversion"/>
  </si>
  <si>
    <t>CGV Integrated</t>
    <phoneticPr fontId="3" type="noConversion"/>
  </si>
  <si>
    <t>(Korea) CJ CGV</t>
    <phoneticPr fontId="3" type="noConversion"/>
  </si>
  <si>
    <t>(Integrated) 4DPLEX</t>
    <phoneticPr fontId="3" type="noConversion"/>
  </si>
  <si>
    <t>(Korea) 4DPLEX</t>
    <phoneticPr fontId="3" type="noConversion"/>
  </si>
  <si>
    <t>4DPLEX America Inc.</t>
    <phoneticPr fontId="3" type="noConversion"/>
  </si>
  <si>
    <t>(U.S.) 4DPLEX Americas, LLC.</t>
    <phoneticPr fontId="3" type="noConversion"/>
  </si>
  <si>
    <t>CGV Turkuye</t>
    <phoneticPr fontId="3" type="noConversion"/>
  </si>
  <si>
    <t>Linkage with other indicators</t>
    <phoneticPr fontId="3" type="noConversion"/>
  </si>
  <si>
    <t>Issue 问题</t>
    <phoneticPr fontId="3" type="noConversion"/>
  </si>
  <si>
    <t xml:space="preserve">Indicator 指标 </t>
    <phoneticPr fontId="3" type="noConversion"/>
  </si>
  <si>
    <t>Sub_indicator  分项指标</t>
    <phoneticPr fontId="3" type="noConversion"/>
  </si>
  <si>
    <t>Sub-sub-indicators  分项指标</t>
    <phoneticPr fontId="3" type="noConversion"/>
  </si>
  <si>
    <t>Unit 单位</t>
    <phoneticPr fontId="3" type="noConversion"/>
  </si>
  <si>
    <t>Note</t>
    <phoneticPr fontId="3" type="noConversion"/>
  </si>
  <si>
    <t>Calculation Methodology 计算方法</t>
    <phoneticPr fontId="3" type="noConversion"/>
  </si>
  <si>
    <t>Supervising Department (aggregation)</t>
    <phoneticPr fontId="3" type="noConversion"/>
  </si>
  <si>
    <t>Data source (the file name if attached a separate file)</t>
    <phoneticPr fontId="3" type="noConversion"/>
  </si>
  <si>
    <t>Others
- Reason for edit/no entry or remarks when editing existing data</t>
    <phoneticPr fontId="3" type="noConversion"/>
  </si>
  <si>
    <t>Guidebook 
Standard</t>
    <phoneticPr fontId="3" type="noConversion"/>
  </si>
  <si>
    <t>CJ Group Indicators</t>
    <phoneticPr fontId="18" type="noConversion"/>
  </si>
  <si>
    <t>451 (천만원)</t>
    <phoneticPr fontId="3" type="noConversion"/>
  </si>
  <si>
    <t>405,001 (K VND)</t>
    <phoneticPr fontId="3" type="noConversion"/>
  </si>
  <si>
    <t>13,525,916 (K IDR)</t>
    <phoneticPr fontId="3" type="noConversion"/>
  </si>
  <si>
    <t>회사 100%</t>
  </si>
  <si>
    <t>●</t>
    <phoneticPr fontId="3" type="noConversion"/>
  </si>
  <si>
    <t>Environmental Performance  环境性能</t>
    <phoneticPr fontId="3" type="noConversion"/>
  </si>
  <si>
    <t>Greenhouse Gas  室温气体</t>
    <phoneticPr fontId="3" type="noConversion"/>
  </si>
  <si>
    <t>GHG emissions (Scope 1+2)  温室气体排放（范围1+2）</t>
    <phoneticPr fontId="3" type="noConversion"/>
  </si>
  <si>
    <t>tCO2eq 二氧化碳当量</t>
    <phoneticPr fontId="3" type="noConversion"/>
  </si>
  <si>
    <t>Direct GHG emissions (Scope 1) 温室气体直接排放（范围1）</t>
    <phoneticPr fontId="3" type="noConversion"/>
  </si>
  <si>
    <r>
      <t>온실가스</t>
    </r>
    <r>
      <rPr>
        <sz val="11"/>
        <color theme="1"/>
        <rFont val="맑은 고딕"/>
        <family val="3"/>
        <charset val="129"/>
        <scheme val="minor"/>
      </rPr>
      <t xml:space="preserve"> </t>
    </r>
    <r>
      <rPr>
        <sz val="11"/>
        <color theme="1"/>
        <rFont val="맑은 고딕"/>
        <family val="3"/>
        <charset val="129"/>
        <scheme val="minor"/>
      </rPr>
      <t>직접</t>
    </r>
    <r>
      <rPr>
        <sz val="11"/>
        <color theme="1"/>
        <rFont val="맑은 고딕"/>
        <family val="3"/>
        <charset val="129"/>
        <scheme val="minor"/>
      </rPr>
      <t xml:space="preserve"> </t>
    </r>
    <r>
      <rPr>
        <sz val="11"/>
        <color theme="1"/>
        <rFont val="맑은 고딕"/>
        <family val="3"/>
        <charset val="129"/>
        <scheme val="minor"/>
      </rPr>
      <t>배출량</t>
    </r>
    <r>
      <rPr>
        <sz val="11"/>
        <color theme="1"/>
        <rFont val="맑은 고딕"/>
        <family val="3"/>
        <charset val="129"/>
        <scheme val="minor"/>
      </rPr>
      <t xml:space="preserve"> (Scope 1) =∑(</t>
    </r>
    <r>
      <rPr>
        <sz val="11"/>
        <color theme="1"/>
        <rFont val="맑은 고딕"/>
        <family val="3"/>
        <charset val="129"/>
        <scheme val="minor"/>
      </rPr>
      <t>고정연소</t>
    </r>
    <r>
      <rPr>
        <sz val="11"/>
        <color theme="1"/>
        <rFont val="맑은 고딕"/>
        <family val="3"/>
        <charset val="129"/>
        <scheme val="minor"/>
      </rPr>
      <t xml:space="preserve">, </t>
    </r>
    <r>
      <rPr>
        <sz val="11"/>
        <color theme="1"/>
        <rFont val="맑은 고딕"/>
        <family val="3"/>
        <charset val="129"/>
        <scheme val="minor"/>
      </rPr>
      <t>이동연소</t>
    </r>
    <r>
      <rPr>
        <sz val="11"/>
        <color theme="1"/>
        <rFont val="맑은 고딕"/>
        <family val="3"/>
        <charset val="129"/>
        <scheme val="minor"/>
      </rPr>
      <t xml:space="preserve">, </t>
    </r>
    <r>
      <rPr>
        <sz val="11"/>
        <color theme="1"/>
        <rFont val="맑은 고딕"/>
        <family val="3"/>
        <charset val="129"/>
        <scheme val="minor"/>
      </rPr>
      <t>공정배출</t>
    </r>
    <r>
      <rPr>
        <sz val="11"/>
        <color theme="1"/>
        <rFont val="맑은 고딕"/>
        <family val="3"/>
        <charset val="129"/>
        <scheme val="minor"/>
      </rPr>
      <t xml:space="preserve">, </t>
    </r>
    <r>
      <rPr>
        <sz val="11"/>
        <color theme="1"/>
        <rFont val="맑은 고딕"/>
        <family val="3"/>
        <charset val="129"/>
        <scheme val="minor"/>
      </rPr>
      <t>탈루배출</t>
    </r>
    <r>
      <rPr>
        <sz val="11"/>
        <color theme="1"/>
        <rFont val="맑은 고딕"/>
        <family val="3"/>
        <charset val="129"/>
        <scheme val="minor"/>
      </rPr>
      <t xml:space="preserve">, </t>
    </r>
    <r>
      <rPr>
        <sz val="11"/>
        <color theme="1"/>
        <rFont val="맑은 고딕"/>
        <family val="3"/>
        <charset val="129"/>
        <scheme val="minor"/>
      </rPr>
      <t>폐기물처리</t>
    </r>
    <r>
      <rPr>
        <sz val="11"/>
        <color theme="1"/>
        <rFont val="맑은 고딕"/>
        <family val="3"/>
        <charset val="129"/>
        <scheme val="minor"/>
      </rPr>
      <t xml:space="preserve">) 
 * </t>
    </r>
    <r>
      <rPr>
        <sz val="11"/>
        <color theme="1"/>
        <rFont val="맑은 고딕"/>
        <family val="3"/>
        <charset val="129"/>
        <scheme val="minor"/>
      </rPr>
      <t>기본산식</t>
    </r>
    <r>
      <rPr>
        <sz val="11"/>
        <color theme="1"/>
        <rFont val="맑은 고딕"/>
        <family val="3"/>
        <charset val="129"/>
        <scheme val="minor"/>
      </rPr>
      <t xml:space="preserve"> = </t>
    </r>
    <r>
      <rPr>
        <sz val="11"/>
        <color theme="1"/>
        <rFont val="맑은 고딕"/>
        <family val="3"/>
        <charset val="129"/>
        <scheme val="minor"/>
      </rPr>
      <t>활동자료</t>
    </r>
    <r>
      <rPr>
        <sz val="11"/>
        <color theme="1"/>
        <rFont val="맑은 고딕"/>
        <family val="3"/>
        <charset val="129"/>
        <scheme val="minor"/>
      </rPr>
      <t>(</t>
    </r>
    <r>
      <rPr>
        <sz val="11"/>
        <color theme="1"/>
        <rFont val="맑은 고딕"/>
        <family val="3"/>
        <charset val="129"/>
        <scheme val="minor"/>
      </rPr>
      <t>연료</t>
    </r>
    <r>
      <rPr>
        <sz val="11"/>
        <color theme="1"/>
        <rFont val="맑은 고딕"/>
        <family val="3"/>
        <charset val="129"/>
        <scheme val="minor"/>
      </rPr>
      <t xml:space="preserve"> </t>
    </r>
    <r>
      <rPr>
        <sz val="11"/>
        <color theme="1"/>
        <rFont val="맑은 고딕"/>
        <family val="3"/>
        <charset val="129"/>
        <scheme val="minor"/>
      </rPr>
      <t>사용량</t>
    </r>
    <r>
      <rPr>
        <sz val="11"/>
        <color theme="1"/>
        <rFont val="맑은 고딕"/>
        <family val="3"/>
        <charset val="129"/>
        <scheme val="minor"/>
      </rPr>
      <t xml:space="preserve">) * </t>
    </r>
    <r>
      <rPr>
        <sz val="11"/>
        <color theme="1"/>
        <rFont val="맑은 고딕"/>
        <family val="3"/>
        <charset val="129"/>
        <scheme val="minor"/>
      </rPr>
      <t>배출계수</t>
    </r>
    <r>
      <rPr>
        <sz val="11"/>
        <color theme="1"/>
        <rFont val="맑은 고딕"/>
        <family val="3"/>
        <charset val="129"/>
        <scheme val="minor"/>
      </rPr>
      <t xml:space="preserve"> * </t>
    </r>
    <r>
      <rPr>
        <sz val="11"/>
        <color theme="1"/>
        <rFont val="맑은 고딕"/>
        <family val="3"/>
        <charset val="129"/>
        <scheme val="minor"/>
      </rPr>
      <t>발열량</t>
    </r>
    <phoneticPr fontId="3" type="noConversion"/>
  </si>
  <si>
    <t>Indirect GHG emissions (Scope 2) 间接温室气体排放（范围2）</t>
    <phoneticPr fontId="3" type="noConversion"/>
  </si>
  <si>
    <r>
      <t>온실가스</t>
    </r>
    <r>
      <rPr>
        <sz val="11"/>
        <color theme="1"/>
        <rFont val="맑은 고딕"/>
        <family val="3"/>
        <charset val="129"/>
        <scheme val="minor"/>
      </rPr>
      <t xml:space="preserve"> </t>
    </r>
    <r>
      <rPr>
        <sz val="11"/>
        <color theme="1"/>
        <rFont val="맑은 고딕"/>
        <family val="3"/>
        <charset val="129"/>
        <scheme val="minor"/>
      </rPr>
      <t>간접</t>
    </r>
    <r>
      <rPr>
        <sz val="11"/>
        <color theme="1"/>
        <rFont val="맑은 고딕"/>
        <family val="3"/>
        <charset val="129"/>
        <scheme val="minor"/>
      </rPr>
      <t xml:space="preserve"> </t>
    </r>
    <r>
      <rPr>
        <sz val="11"/>
        <color theme="1"/>
        <rFont val="맑은 고딕"/>
        <family val="3"/>
        <charset val="129"/>
        <scheme val="minor"/>
      </rPr>
      <t>배출량</t>
    </r>
    <r>
      <rPr>
        <sz val="11"/>
        <color theme="1"/>
        <rFont val="맑은 고딕"/>
        <family val="3"/>
        <charset val="129"/>
        <scheme val="minor"/>
      </rPr>
      <t xml:space="preserve"> (Scope 2) =∑(</t>
    </r>
    <r>
      <rPr>
        <sz val="11"/>
        <color theme="1"/>
        <rFont val="맑은 고딕"/>
        <family val="3"/>
        <charset val="129"/>
        <scheme val="minor"/>
      </rPr>
      <t>구매전력</t>
    </r>
    <r>
      <rPr>
        <sz val="11"/>
        <color theme="1"/>
        <rFont val="맑은 고딕"/>
        <family val="3"/>
        <charset val="129"/>
        <scheme val="minor"/>
      </rPr>
      <t xml:space="preserve">, </t>
    </r>
    <r>
      <rPr>
        <sz val="11"/>
        <color theme="1"/>
        <rFont val="맑은 고딕"/>
        <family val="3"/>
        <charset val="129"/>
        <scheme val="minor"/>
      </rPr>
      <t>구매열</t>
    </r>
    <r>
      <rPr>
        <sz val="11"/>
        <color theme="1"/>
        <rFont val="맑은 고딕"/>
        <family val="3"/>
        <charset val="129"/>
        <scheme val="minor"/>
      </rPr>
      <t>(</t>
    </r>
    <r>
      <rPr>
        <sz val="11"/>
        <color theme="1"/>
        <rFont val="맑은 고딕"/>
        <family val="3"/>
        <charset val="129"/>
        <scheme val="minor"/>
      </rPr>
      <t>온수</t>
    </r>
    <r>
      <rPr>
        <sz val="11"/>
        <color theme="1"/>
        <rFont val="맑은 고딕"/>
        <family val="3"/>
        <charset val="129"/>
        <scheme val="minor"/>
      </rPr>
      <t>,</t>
    </r>
    <r>
      <rPr>
        <sz val="11"/>
        <color theme="1"/>
        <rFont val="맑은 고딕"/>
        <family val="3"/>
        <charset val="129"/>
        <scheme val="minor"/>
      </rPr>
      <t>스팀</t>
    </r>
    <r>
      <rPr>
        <sz val="11"/>
        <color theme="1"/>
        <rFont val="맑은 고딕"/>
        <family val="3"/>
        <charset val="129"/>
        <scheme val="minor"/>
      </rPr>
      <t>)</t>
    </r>
    <r>
      <rPr>
        <sz val="11"/>
        <color theme="1"/>
        <rFont val="맑은 고딕"/>
        <family val="3"/>
        <charset val="129"/>
        <scheme val="minor"/>
      </rPr>
      <t>등</t>
    </r>
    <r>
      <rPr>
        <sz val="11"/>
        <color theme="1"/>
        <rFont val="맑은 고딕"/>
        <family val="3"/>
        <charset val="129"/>
        <scheme val="minor"/>
      </rPr>
      <t xml:space="preserve">) 
  * </t>
    </r>
    <r>
      <rPr>
        <sz val="11"/>
        <color theme="1"/>
        <rFont val="맑은 고딕"/>
        <family val="3"/>
        <charset val="129"/>
        <scheme val="minor"/>
      </rPr>
      <t>기본산식</t>
    </r>
    <r>
      <rPr>
        <sz val="11"/>
        <color theme="1"/>
        <rFont val="맑은 고딕"/>
        <family val="3"/>
        <charset val="129"/>
        <scheme val="minor"/>
      </rPr>
      <t xml:space="preserve"> = </t>
    </r>
    <r>
      <rPr>
        <sz val="11"/>
        <color theme="1"/>
        <rFont val="맑은 고딕"/>
        <family val="3"/>
        <charset val="129"/>
        <scheme val="minor"/>
      </rPr>
      <t>활동자료</t>
    </r>
    <r>
      <rPr>
        <sz val="11"/>
        <color theme="1"/>
        <rFont val="맑은 고딕"/>
        <family val="3"/>
        <charset val="129"/>
        <scheme val="minor"/>
      </rPr>
      <t>(</t>
    </r>
    <r>
      <rPr>
        <sz val="11"/>
        <color theme="1"/>
        <rFont val="맑은 고딕"/>
        <family val="3"/>
        <charset val="129"/>
        <scheme val="minor"/>
      </rPr>
      <t>에너지</t>
    </r>
    <r>
      <rPr>
        <sz val="11"/>
        <color theme="1"/>
        <rFont val="맑은 고딕"/>
        <family val="3"/>
        <charset val="129"/>
        <scheme val="minor"/>
      </rPr>
      <t xml:space="preserve"> </t>
    </r>
    <r>
      <rPr>
        <sz val="11"/>
        <color theme="1"/>
        <rFont val="맑은 고딕"/>
        <family val="3"/>
        <charset val="129"/>
        <scheme val="minor"/>
      </rPr>
      <t>사용량</t>
    </r>
    <r>
      <rPr>
        <sz val="11"/>
        <color theme="1"/>
        <rFont val="맑은 고딕"/>
        <family val="3"/>
        <charset val="129"/>
        <scheme val="minor"/>
      </rPr>
      <t xml:space="preserve">) * </t>
    </r>
    <r>
      <rPr>
        <sz val="11"/>
        <color theme="1"/>
        <rFont val="맑은 고딕"/>
        <family val="3"/>
        <charset val="129"/>
        <scheme val="minor"/>
      </rPr>
      <t>배출계수</t>
    </r>
    <phoneticPr fontId="3" type="noConversion"/>
  </si>
  <si>
    <t>GHG emissions intensity (Scope 1+2) 温室气体排放强度（范围1+2）</t>
    <phoneticPr fontId="3" type="noConversion"/>
  </si>
  <si>
    <t>GHG emissions 温室气体排放</t>
    <phoneticPr fontId="3" type="noConversion"/>
  </si>
  <si>
    <t>Annual sales 年销售额</t>
    <phoneticPr fontId="3" type="noConversion"/>
  </si>
  <si>
    <t>Reduction of GHG emissions 减少温室气体排放</t>
    <phoneticPr fontId="3" type="noConversion"/>
  </si>
  <si>
    <t>GHG emission allowances 温室气体排放限额</t>
    <phoneticPr fontId="3" type="noConversion"/>
  </si>
  <si>
    <t>n/a</t>
  </si>
  <si>
    <t>GHG emissions (Actual use) 温室气体排放量（实际使用）</t>
    <phoneticPr fontId="3" type="noConversion"/>
  </si>
  <si>
    <t>Energy 能源</t>
    <phoneticPr fontId="3" type="noConversion"/>
  </si>
  <si>
    <t>Total energy consumption 能源消费总量</t>
    <phoneticPr fontId="3" type="noConversion"/>
  </si>
  <si>
    <t>TJ 万亿焦耳</t>
    <phoneticPr fontId="3" type="noConversion"/>
  </si>
  <si>
    <t>에너지사용량 = 비재생 에너지 사용량 + 재생 에너지 사용량</t>
  </si>
  <si>
    <t>Non-renewable energy consumption 不可再生能源消耗</t>
    <phoneticPr fontId="3" type="noConversion"/>
  </si>
  <si>
    <t>Renewable energy consumption 可再生能源消耗</t>
    <phoneticPr fontId="3" type="noConversion"/>
  </si>
  <si>
    <t>Energy reduction 节能</t>
    <phoneticPr fontId="3" type="noConversion"/>
  </si>
  <si>
    <t>Energy consumption reduction target  
Total energy consumption for the relevant year 有关年份能耗总量指标</t>
    <phoneticPr fontId="3" type="noConversion"/>
  </si>
  <si>
    <t>Total energy consumption for the relevant year 有关年份能源消费总量</t>
    <phoneticPr fontId="3" type="noConversion"/>
  </si>
  <si>
    <t>Non-renewable energy consumption 不可再生资源消费</t>
    <phoneticPr fontId="3" type="noConversion"/>
  </si>
  <si>
    <t>Non-renewable fuel-based energy consumption (LNG, LPG, Gasolin, Disel, Kerosene, Fossil fuel etc.) 基于不可再生燃料的能源消耗（天然气、液化石油气、煤油、化石燃料等）</t>
    <phoneticPr fontId="3" type="noConversion"/>
  </si>
  <si>
    <t>Purchased non-renewable energy consumption (Purchased from the grid &amp; steam purchased from outside)购买的非再生能源消耗（从电网购买和从外部购买蒸汽）</t>
    <phoneticPr fontId="3" type="noConversion"/>
  </si>
  <si>
    <t>Renewable energy consumption 可再生资源消费</t>
    <phoneticPr fontId="3" type="noConversion"/>
  </si>
  <si>
    <t>Renewable fuel-based energy consumption biomass (woodchip, waste wood) biofuel (bioethanol, biodiesel), etc.以可再生燃料为基础的能源消耗生物质（木材、废木材）生物燃料（生物乙醇、生物柴油）等。</t>
    <phoneticPr fontId="3" type="noConversion"/>
  </si>
  <si>
    <t>Purchased renewable energy consumption (Purchased Solar, Wind, Hydro, Geothermal, Marine/ Purchased waste heat steam)购买可再生能源消费购买太阳能，风能。水电。地热。船用/外购废热蒸汽）</t>
    <phoneticPr fontId="3" type="noConversion"/>
  </si>
  <si>
    <t>Self-generated renewable energy consumption (Solar, Wind, Hydro, Geothermal, Marine) 自生可再生能源消费太阳能。风。水电。地热</t>
    <phoneticPr fontId="3" type="noConversion"/>
  </si>
  <si>
    <t>Energy intensity 能源强度</t>
    <phoneticPr fontId="3" type="noConversion"/>
  </si>
  <si>
    <t>Total energy consumption  能源消费总量</t>
    <phoneticPr fontId="3" type="noConversion"/>
  </si>
  <si>
    <t>Amount of purchased power consumption 外购电量</t>
    <phoneticPr fontId="3" type="noConversion"/>
  </si>
  <si>
    <t>Percentage grid electricity 电网电量百分比</t>
    <phoneticPr fontId="3" type="noConversion"/>
  </si>
  <si>
    <t>(Renewable) Power consumption （可再生能源）耗电量</t>
    <phoneticPr fontId="3" type="noConversion"/>
  </si>
  <si>
    <t>Purchased renewable power consumption (REC, PPA, Green tariffs etc.) 购买的可再生能源用电量（REC，指：国际绿证是指能源属性证书，PPA，指：全天候绿电购电协议，Green tanifts，指：绿色能源）等。</t>
    <phoneticPr fontId="3" type="noConversion"/>
  </si>
  <si>
    <t>Self-generated renewable power consumption 自备可再生能源用电量</t>
    <phoneticPr fontId="3" type="noConversion"/>
  </si>
  <si>
    <t>Percentage of renewables 可再生能源百分比</t>
    <phoneticPr fontId="3" type="noConversion"/>
  </si>
  <si>
    <t>Total energy consumption  总能耗</t>
    <phoneticPr fontId="3" type="noConversion"/>
  </si>
  <si>
    <t>Reduction of energy consumption减少能源消耗</t>
    <phoneticPr fontId="3" type="noConversion"/>
  </si>
  <si>
    <t xml:space="preserve">Energy consumption allowance 能耗津贴 </t>
    <phoneticPr fontId="3" type="noConversion"/>
  </si>
  <si>
    <t>Actual use (Total energy consumption) 实际使用量（总能耗）</t>
    <phoneticPr fontId="3" type="noConversion"/>
  </si>
  <si>
    <t>Reduction in energy consumption 减少能源消耗</t>
    <phoneticPr fontId="3" type="noConversion"/>
  </si>
  <si>
    <t>Water Resources 水资源</t>
    <phoneticPr fontId="3" type="noConversion"/>
  </si>
  <si>
    <t>Total water withdrawal 用水总量</t>
    <phoneticPr fontId="3" type="noConversion"/>
  </si>
  <si>
    <r>
      <t>Ton(m</t>
    </r>
    <r>
      <rPr>
        <vertAlign val="superscript"/>
        <sz val="11"/>
        <color theme="1"/>
        <rFont val="맑은 고딕"/>
        <family val="3"/>
        <charset val="129"/>
        <scheme val="minor"/>
      </rPr>
      <t>3</t>
    </r>
    <r>
      <rPr>
        <sz val="11"/>
        <color theme="1"/>
        <rFont val="맑은 고딕"/>
        <family val="3"/>
        <charset val="129"/>
        <scheme val="minor"/>
      </rPr>
      <t>)  吨（立方）</t>
    </r>
    <phoneticPr fontId="3" type="noConversion"/>
  </si>
  <si>
    <t>Third-party water 第三方水源</t>
    <phoneticPr fontId="3" type="noConversion"/>
  </si>
  <si>
    <t>Surface water 地表水</t>
    <phoneticPr fontId="3" type="noConversion"/>
  </si>
  <si>
    <t>Groundwater 地下水</t>
    <phoneticPr fontId="3" type="noConversion"/>
  </si>
  <si>
    <t>Seawater withdrawal 海水提取</t>
    <phoneticPr fontId="3" type="noConversion"/>
  </si>
  <si>
    <t>Wastes 废物</t>
    <phoneticPr fontId="3" type="noConversion"/>
  </si>
  <si>
    <t>Total waste discharge 废物排放总量</t>
    <phoneticPr fontId="3" type="noConversion"/>
  </si>
  <si>
    <t>Total amount of general wastes (household waste, business waste, construction waste etc.) 一般废物（家居废物、商业废物、建筑废物等）的总量</t>
    <phoneticPr fontId="3" type="noConversion"/>
  </si>
  <si>
    <t xml:space="preserve">Amount of wastes recycled 废物回收 </t>
    <phoneticPr fontId="3" type="noConversion"/>
  </si>
  <si>
    <t>Amount of waste disposed of in landfills + incineration 以填埋+焚烧方式处置的废物总量</t>
    <phoneticPr fontId="3" type="noConversion"/>
  </si>
  <si>
    <t>Total amount of hazardous wastes (hazardous waste, medical waste etc.) 危险废物（危险废物、医疗废物等）总量</t>
    <phoneticPr fontId="3" type="noConversion"/>
  </si>
  <si>
    <t>Amount of wastes recycled 废物回收量</t>
    <phoneticPr fontId="3" type="noConversion"/>
  </si>
  <si>
    <t>Amount of waste disposed of in landfills 在填埋区的废物数量</t>
    <phoneticPr fontId="3" type="noConversion"/>
  </si>
  <si>
    <t>Waste discharge intensity 废物排放总量</t>
    <phoneticPr fontId="3" type="noConversion"/>
  </si>
  <si>
    <t>Amount of wastes others 其它废物量</t>
    <phoneticPr fontId="3" type="noConversion"/>
  </si>
  <si>
    <t>Environmental Management 环境管理</t>
    <phoneticPr fontId="3" type="noConversion"/>
  </si>
  <si>
    <t>Cost of eco-friendly raw material purchases 环保原材料采购成本</t>
    <phoneticPr fontId="3" type="noConversion"/>
  </si>
  <si>
    <t>Cost of eco-friendly supplies purchases  购买环保用品的成本</t>
    <phoneticPr fontId="3" type="noConversion"/>
  </si>
  <si>
    <t>95(건축/인테리어비품 제외)</t>
    <phoneticPr fontId="3" type="noConversion"/>
  </si>
  <si>
    <t>Number of certified business sites related to environmental management 与环境管理有关的认证经营场所数目</t>
    <phoneticPr fontId="3" type="noConversion"/>
  </si>
  <si>
    <t>123개</t>
    <phoneticPr fontId="3" type="noConversion"/>
  </si>
  <si>
    <t>Number of violations of environmental laws and regulations 违反环境法律和条例的次数</t>
    <phoneticPr fontId="3" type="noConversion"/>
  </si>
  <si>
    <t>Cost of investment in eco-friendly infrastructure 生态友好型基础设施投资成本</t>
    <phoneticPr fontId="3" type="noConversion"/>
  </si>
  <si>
    <t>na</t>
  </si>
  <si>
    <t>No case</t>
  </si>
  <si>
    <t>NO Case</t>
  </si>
  <si>
    <t>Social Performance 社会表现</t>
    <phoneticPr fontId="3" type="noConversion"/>
  </si>
  <si>
    <r>
      <t>Human Resources</t>
    </r>
    <r>
      <rPr>
        <b/>
        <sz val="16"/>
        <color rgb="FF0828FC"/>
        <rFont val="맑은 고딕"/>
        <family val="3"/>
        <charset val="129"/>
        <scheme val="minor"/>
      </rPr>
      <t xml:space="preserve"> (</t>
    </r>
    <r>
      <rPr>
        <b/>
        <sz val="16"/>
        <color rgb="FF0828FC"/>
        <rFont val="맑은 고딕"/>
        <family val="2"/>
        <charset val="134"/>
        <scheme val="minor"/>
      </rPr>
      <t>☞</t>
    </r>
    <r>
      <rPr>
        <b/>
        <sz val="16"/>
        <color rgb="FF0828FC"/>
        <rFont val="맑은 고딕"/>
        <family val="3"/>
        <charset val="129"/>
        <scheme val="minor"/>
      </rPr>
      <t xml:space="preserve"> Employee List)  人力资源（雇员名单）</t>
    </r>
    <phoneticPr fontId="3" type="noConversion"/>
  </si>
  <si>
    <t>Total number of employees  雇员总数</t>
    <phoneticPr fontId="3" type="noConversion"/>
  </si>
  <si>
    <t>Person 人</t>
    <phoneticPr fontId="3" type="noConversion"/>
  </si>
  <si>
    <t>Number of workers without fixed term contracts 无固定期限合同的工人人数</t>
    <phoneticPr fontId="3" type="noConversion"/>
  </si>
  <si>
    <t>Number of workers with fixed term contracts 有定期合同的工人人数</t>
    <phoneticPr fontId="3" type="noConversion"/>
  </si>
  <si>
    <t>Executives (excluding independent directors) 高管（不包含独立董事）</t>
    <phoneticPr fontId="3" type="noConversion"/>
  </si>
  <si>
    <t>Number of local workers without fixed term contracts (full-time, indefinite contract workers) 无固定期限合同的当地工人人数（全职、无限期合同工人）</t>
    <phoneticPr fontId="3" type="noConversion"/>
  </si>
  <si>
    <t>Composition of employees by employment type 按就业类型划分的雇员构成</t>
    <phoneticPr fontId="3" type="noConversion"/>
  </si>
  <si>
    <t xml:space="preserve">Non-fixed-term workers 无固定期限雇员总数
</t>
    <phoneticPr fontId="3" type="noConversion"/>
  </si>
  <si>
    <t xml:space="preserve">Fixed-term workers 固定期限雇员总数
</t>
    <phoneticPr fontId="3" type="noConversion"/>
  </si>
  <si>
    <t xml:space="preserve">Full-time workers 全职工人
</t>
    <phoneticPr fontId="3" type="noConversion"/>
  </si>
  <si>
    <t>Part-time workers  兼职工人</t>
    <phoneticPr fontId="3" type="noConversion"/>
  </si>
  <si>
    <t>Non-guaranteed-hour workers 费保证工时工人</t>
    <phoneticPr fontId="3" type="noConversion"/>
  </si>
  <si>
    <t>Composition of employees by gender 按性别划分的雇员构成</t>
    <phoneticPr fontId="3" type="noConversion"/>
  </si>
  <si>
    <t>Total number of male employees 男性雇员总数</t>
    <phoneticPr fontId="3" type="noConversion"/>
  </si>
  <si>
    <t>Total number of female employees 女性雇员总数</t>
    <phoneticPr fontId="3" type="noConversion"/>
  </si>
  <si>
    <t>Composition of governance bodies by gender  按性别划分的治理机构的组成</t>
    <phoneticPr fontId="3" type="noConversion"/>
  </si>
  <si>
    <t>Percentage of male employees 男性雇员百分比</t>
    <phoneticPr fontId="3" type="noConversion"/>
  </si>
  <si>
    <t>Percentage of female employees 女性雇员百分比</t>
    <phoneticPr fontId="3" type="noConversion"/>
  </si>
  <si>
    <t xml:space="preserve">전문직 남직원 비율 = 총 전문직 남직원 수 / 총 남직원 수  
</t>
    <phoneticPr fontId="3" type="noConversion"/>
  </si>
  <si>
    <t xml:space="preserve">전문직 여직원 비율 = 총 전문직 여직원 수 / 총 여직원 수 </t>
    <phoneticPr fontId="3" type="noConversion"/>
  </si>
  <si>
    <t>Composition of employees by age group 按年龄划分的雇员构成</t>
    <phoneticPr fontId="3" type="noConversion"/>
  </si>
  <si>
    <t>Number of employees under 30  30岁以下的雇员数量</t>
    <phoneticPr fontId="3" type="noConversion"/>
  </si>
  <si>
    <t>Number of employees aged 30 to 50  30到50岁的雇员数量</t>
    <phoneticPr fontId="3" type="noConversion"/>
  </si>
  <si>
    <t>Number of employees aged over 50 50岁以上的雇员数量</t>
    <phoneticPr fontId="3" type="noConversion"/>
  </si>
  <si>
    <t>Composition of employees by nationality  按国籍分类的雇员构成</t>
    <phoneticPr fontId="3" type="noConversion"/>
  </si>
  <si>
    <t>Composition of executives by age group 按年龄组划分的高管组成</t>
    <phoneticPr fontId="3" type="noConversion"/>
  </si>
  <si>
    <t>30세 미만 임원 수 / 총 임원 수</t>
    <phoneticPr fontId="3" type="noConversion"/>
  </si>
  <si>
    <t xml:space="preserve">Number of executives under 30 / Total number of executives </t>
    <phoneticPr fontId="3" type="noConversion"/>
  </si>
  <si>
    <t>Number of employees aged 30 to 50 30到50的雇员数量</t>
    <phoneticPr fontId="3" type="noConversion"/>
  </si>
  <si>
    <t>30세 ~ 50세 임원 수 / 총 임원 수</t>
  </si>
  <si>
    <t xml:space="preserve">Number of executives aged 30 to 50 / Total number of executives 
</t>
    <phoneticPr fontId="3" type="noConversion"/>
  </si>
  <si>
    <t>50세 초과 임원 수 / 총 임원 수</t>
  </si>
  <si>
    <t xml:space="preserve">Number of executives aged over 50 / Total number of executives </t>
    <phoneticPr fontId="3" type="noConversion"/>
  </si>
  <si>
    <t>Total number of managers 管理人员总数</t>
    <phoneticPr fontId="3" type="noConversion"/>
  </si>
  <si>
    <t>Manager ratio 经理比率</t>
    <phoneticPr fontId="3" type="noConversion"/>
  </si>
  <si>
    <t>Percentage of managers out of total employees 未登记任员占雇员总数百分比</t>
    <phoneticPr fontId="3" type="noConversion"/>
  </si>
  <si>
    <t>Percentage of gender and racial/ethnic group representation for management and all other employees 管理层和所有其他雇员的性别和种族/族裔代表百分比</t>
    <phoneticPr fontId="3" type="noConversion"/>
  </si>
  <si>
    <t xml:space="preserve">비율 = 카테고리별 직원 수 / 총 임직원 수 </t>
    <phoneticPr fontId="3" type="noConversion"/>
  </si>
  <si>
    <r>
      <t xml:space="preserve">Securing Talent </t>
    </r>
    <r>
      <rPr>
        <b/>
        <sz val="16"/>
        <color rgb="FF0828FC"/>
        <rFont val="맑은 고딕"/>
        <family val="3"/>
        <charset val="129"/>
        <scheme val="minor"/>
      </rPr>
      <t>(</t>
    </r>
    <r>
      <rPr>
        <b/>
        <sz val="16"/>
        <color rgb="FF0828FC"/>
        <rFont val="맑은 고딕"/>
        <family val="2"/>
        <charset val="134"/>
        <scheme val="minor"/>
      </rPr>
      <t>☞</t>
    </r>
    <r>
      <rPr>
        <b/>
        <sz val="16"/>
        <color rgb="FF0828FC"/>
        <rFont val="맑은 고딕"/>
        <family val="3"/>
        <charset val="129"/>
        <scheme val="minor"/>
      </rPr>
      <t xml:space="preserve"> Employee List) 确保人才（雇员名单）</t>
    </r>
    <phoneticPr fontId="3" type="noConversion"/>
  </si>
  <si>
    <t>Total number of new hires 新雇员总数</t>
    <phoneticPr fontId="3" type="noConversion"/>
  </si>
  <si>
    <t xml:space="preserve">Number of new hires with a non-fixed term 新雇用的无固定期限雇员人数
</t>
    <phoneticPr fontId="3" type="noConversion"/>
  </si>
  <si>
    <t xml:space="preserve">Number of new hires with a fixed term 定期新雇用人数
</t>
    <phoneticPr fontId="3" type="noConversion"/>
  </si>
  <si>
    <t>Number of new hires (by gender) 新雇用人数（按性别划分）</t>
    <phoneticPr fontId="3" type="noConversion"/>
  </si>
  <si>
    <t>Total number of new male hires 新雇用男性总数</t>
    <phoneticPr fontId="3" type="noConversion"/>
  </si>
  <si>
    <t>Total number of new female hires 新雇用女性总数</t>
    <phoneticPr fontId="3" type="noConversion"/>
  </si>
  <si>
    <t>Number of new hires (by age) 新雇用人数（按年龄划分）</t>
    <phoneticPr fontId="3" type="noConversion"/>
  </si>
  <si>
    <t>Number of new hires younger than 30 30岁以下的新雇用人数</t>
    <phoneticPr fontId="3" type="noConversion"/>
  </si>
  <si>
    <t xml:space="preserve">Number of new hires aged 30 to 50  30到50岁的新雇用人数 </t>
    <phoneticPr fontId="3" type="noConversion"/>
  </si>
  <si>
    <t xml:space="preserve">Number of new hires aged 30 to 51  30至51岁的新雇用人数 </t>
    <phoneticPr fontId="3" type="noConversion"/>
  </si>
  <si>
    <t>Total number of employees who left the company 离开公司的雇员总数</t>
    <phoneticPr fontId="3" type="noConversion"/>
  </si>
  <si>
    <t>Number of employees who left the company for voluntary reasons 因自愿原因离开公司的员工人数</t>
    <phoneticPr fontId="3" type="noConversion"/>
  </si>
  <si>
    <t>Number of employees who left the company for involuntary reasons 因非自愿原因离开公司的员工人数</t>
    <phoneticPr fontId="3" type="noConversion"/>
  </si>
  <si>
    <t>Ratio of employees who left the company for voluntary reasons  因自愿原因离开公司的雇员比率</t>
    <phoneticPr fontId="3" type="noConversion"/>
  </si>
  <si>
    <t>Male 男性</t>
    <phoneticPr fontId="3" type="noConversion"/>
  </si>
  <si>
    <t>Female 女性</t>
    <phoneticPr fontId="3" type="noConversion"/>
  </si>
  <si>
    <t>Under 30 30岁以下的</t>
    <phoneticPr fontId="3" type="noConversion"/>
  </si>
  <si>
    <t>30-50  30-50岁的</t>
    <phoneticPr fontId="3" type="noConversion"/>
  </si>
  <si>
    <t>Over 50 大于50岁的</t>
    <phoneticPr fontId="3" type="noConversion"/>
  </si>
  <si>
    <t>Ratio of employees who left the company for involuntary reasons  因非自愿原因离开公司的雇员比率</t>
    <phoneticPr fontId="3" type="noConversion"/>
  </si>
  <si>
    <t>Human Rights 人权</t>
    <phoneticPr fontId="3" type="noConversion"/>
  </si>
  <si>
    <t>Total number of reported case due to human rights 报告的人权案件总数</t>
    <phoneticPr fontId="3" type="noConversion"/>
  </si>
  <si>
    <t>Case 案例</t>
    <phoneticPr fontId="3" type="noConversion"/>
  </si>
  <si>
    <t>Total number of valid reported case due to human rights  所涉及人权问题有效案件总数</t>
    <phoneticPr fontId="3" type="noConversion"/>
  </si>
  <si>
    <t>Scope of stakeholders subject to human rights risk assessment  接受人权风险评估的利益攸关方的范围</t>
    <phoneticPr fontId="3" type="noConversion"/>
  </si>
  <si>
    <t>Participation rate in Sexual harassment prevention training  性骚扰预防培训参与率</t>
    <phoneticPr fontId="3" type="noConversion"/>
  </si>
  <si>
    <t>Total number of employees who completed sexual harassment prevention training  完成性骚扰预防培训的员工总数</t>
    <phoneticPr fontId="3" type="noConversion"/>
  </si>
  <si>
    <t>CJ Rep organized a course for all employees in 2021</t>
  </si>
  <si>
    <t>Included in Orientation training</t>
  </si>
  <si>
    <t>Email notice &amp; Watching Video.
If it isn't calculated as training, please remove it.
509 persons include full-time worker 379 persons + part timer/contract worker 202 persons</t>
  </si>
  <si>
    <t>We Didn't Do Education</t>
  </si>
  <si>
    <t>Total number of individuals subject to sexual harassment prevention training 接受性骚扰预防培训的总人数</t>
    <phoneticPr fontId="3" type="noConversion"/>
  </si>
  <si>
    <t>Participation rate in disability awareness improvement training 残疾意识提高培训的参与率</t>
    <phoneticPr fontId="3" type="noConversion"/>
  </si>
  <si>
    <t>Total number of employees who completed disability awareness improvement training 完成残疾意识提高培训的员工总数</t>
    <phoneticPr fontId="3" type="noConversion"/>
  </si>
  <si>
    <t>No Data Record
We Didn'T Do Education</t>
  </si>
  <si>
    <t>Total number of individuals subject to disability awareness improvement training (for full-time only until 2023 data) 接受残疾意识提高培训的总人数（仅限2023年前的全职数据</t>
    <phoneticPr fontId="3" type="noConversion"/>
  </si>
  <si>
    <t>Ratio of employees subject to the labor union and collective bargaining agreement 参加工会和集体谈判协议的员工比率</t>
    <phoneticPr fontId="3" type="noConversion"/>
  </si>
  <si>
    <t>Employees subject to the labor union and collective bargaining agreement 受工会和集体谈判协议约束的雇员数</t>
    <phoneticPr fontId="3" type="noConversion"/>
  </si>
  <si>
    <t>Operations and suppliers at risk of exercising freedom of association and collective bargaining 面临行使结社自由和集体谈判风险的运营和供应商</t>
    <phoneticPr fontId="3" type="noConversion"/>
  </si>
  <si>
    <t>Nurturing Talent 培养人才</t>
    <phoneticPr fontId="3" type="noConversion"/>
  </si>
  <si>
    <t xml:space="preserve">Training hours per person 每人培训时数 </t>
    <phoneticPr fontId="3" type="noConversion"/>
  </si>
  <si>
    <t>Hour 小时</t>
    <phoneticPr fontId="3" type="noConversion"/>
  </si>
  <si>
    <t>Total hours of training completed 培训总时数</t>
    <phoneticPr fontId="3" type="noConversion"/>
  </si>
  <si>
    <t>Total number of employees 雇员总数</t>
    <phoneticPr fontId="3" type="noConversion"/>
  </si>
  <si>
    <t>Training cost per person 每人培训费用</t>
    <phoneticPr fontId="3" type="noConversion"/>
  </si>
  <si>
    <t>Total training costs 培训费用合计</t>
    <phoneticPr fontId="3" type="noConversion"/>
  </si>
  <si>
    <t>Employee engagement 雇员敬业度</t>
    <phoneticPr fontId="3" type="noConversion"/>
  </si>
  <si>
    <t>Score 得分</t>
    <phoneticPr fontId="3" type="noConversion"/>
  </si>
  <si>
    <t>Number of employees engaged Total number of employees 聘用雇员总数</t>
    <phoneticPr fontId="3" type="noConversion"/>
  </si>
  <si>
    <t>Engagement survey respondents  参与调查受访者</t>
    <phoneticPr fontId="3" type="noConversion"/>
  </si>
  <si>
    <t>DE&amp;I (Diversity, Equity and Inclusion) DE＆I（多样性、公平性和包容性）</t>
    <phoneticPr fontId="3" type="noConversion"/>
  </si>
  <si>
    <t>Gender equality 两性平等</t>
    <phoneticPr fontId="3" type="noConversion"/>
  </si>
  <si>
    <t>Percentage of women on the Board of Directors 董事会中女性的百分比</t>
    <phoneticPr fontId="3" type="noConversion"/>
  </si>
  <si>
    <t>Percentage of men on the Board of Directors 董事会中男性的百分比</t>
    <phoneticPr fontId="3" type="noConversion"/>
  </si>
  <si>
    <t>Percentage of executives by age   按年龄划分的高管百分比</t>
    <phoneticPr fontId="3" type="noConversion"/>
  </si>
  <si>
    <t>Total number of employees younger than 30 30岁以下雇员人数</t>
    <phoneticPr fontId="3" type="noConversion"/>
  </si>
  <si>
    <t>Total number of employees aged 30 to 50  30到50岁雇员人数</t>
    <phoneticPr fontId="3" type="noConversion"/>
  </si>
  <si>
    <t>Total number of employees aged over 50 大于50岁雇员人数</t>
    <phoneticPr fontId="3" type="noConversion"/>
  </si>
  <si>
    <t>Ratio of Female manager 女性经理雇员占比</t>
    <phoneticPr fontId="3" type="noConversion"/>
  </si>
  <si>
    <t>Female employee ratio in the STEM departments  STEM部门的女性员工比例</t>
    <phoneticPr fontId="3" type="noConversion"/>
  </si>
  <si>
    <t>Female to male wage ratio  男女薪资比率</t>
    <phoneticPr fontId="3" type="noConversion"/>
  </si>
  <si>
    <t>男性平均年薪：470,418
女性平均年薪：309,402</t>
    <phoneticPr fontId="3" type="noConversion"/>
  </si>
  <si>
    <t>Male employees subject to parental leave</t>
    <phoneticPr fontId="3" type="noConversion"/>
  </si>
  <si>
    <t>중국엔 한국의미의 육아휴직 없음</t>
    <phoneticPr fontId="3" type="noConversion"/>
  </si>
  <si>
    <t xml:space="preserve">Female employees subject to parental leave </t>
    <phoneticPr fontId="3" type="noConversion"/>
  </si>
  <si>
    <t xml:space="preserve">Number of employees who used the parental leave program </t>
    <phoneticPr fontId="3" type="noConversion"/>
  </si>
  <si>
    <t>Male employees who used the parental leave program 计划使用育儿假的男性雇员</t>
    <phoneticPr fontId="3" type="noConversion"/>
  </si>
  <si>
    <t>Female employees who used the parental leave program 计划使用育儿假的女性雇员</t>
    <phoneticPr fontId="3" type="noConversion"/>
  </si>
  <si>
    <t>Return rate from parental leave of male employees 男性雇员育儿假返回率</t>
    <phoneticPr fontId="3" type="noConversion"/>
  </si>
  <si>
    <t>Return rate from parental leave of female employees  女性雇员育儿假返回率</t>
    <phoneticPr fontId="3" type="noConversion"/>
  </si>
  <si>
    <t>Retention rate after return from parental leave 育儿假结束后的留用率</t>
    <phoneticPr fontId="3" type="noConversion"/>
  </si>
  <si>
    <t>Number of employees who used maternity leave 休产假雇员人数</t>
    <phoneticPr fontId="3" type="noConversion"/>
  </si>
  <si>
    <t>Number of male employees who used paternity leave  休陪产假男性雇员人数</t>
    <phoneticPr fontId="3" type="noConversion"/>
  </si>
  <si>
    <t>Number of female employees who used maternity leave 休产假的女性雇员人数</t>
    <phoneticPr fontId="3" type="noConversion"/>
  </si>
  <si>
    <t>Number of social minority members  社会少数群体成员人数</t>
    <phoneticPr fontId="3" type="noConversion"/>
  </si>
  <si>
    <t>Number of disabled workers 残疾雇员人数</t>
    <phoneticPr fontId="3" type="noConversion"/>
  </si>
  <si>
    <t xml:space="preserve">FULL
</t>
  </si>
  <si>
    <t>Zero poin</t>
  </si>
  <si>
    <t>Number of recipient of military service benefits (only in korea) 领取兵役津贴的人数（仅在韩国）</t>
    <phoneticPr fontId="3" type="noConversion"/>
  </si>
  <si>
    <t>Ratio of employees subject to regular performance evaluation 接受定期绩效考核的雇员人数</t>
    <phoneticPr fontId="3" type="noConversion"/>
  </si>
  <si>
    <t xml:space="preserve">Ratio of employees who received MBO 接受MBO的雇员人数比率
</t>
    <phoneticPr fontId="3" type="noConversion"/>
  </si>
  <si>
    <t xml:space="preserve">Ratio of employees who received multi-faceted evaluations 接受多方面考核评价的雇员人数比率
</t>
    <phoneticPr fontId="3" type="noConversion"/>
  </si>
  <si>
    <t>Ratio of employees who received relative evaluation 获得相对评价的雇员比率</t>
    <phoneticPr fontId="3" type="noConversion"/>
  </si>
  <si>
    <t>Annual total compensation ratio 年度总薪酬比例</t>
    <phoneticPr fontId="3" type="noConversion"/>
  </si>
  <si>
    <t>Median value of the total compensation for all employees 所有雇员总薪酬的中值</t>
    <phoneticPr fontId="3" type="noConversion"/>
  </si>
  <si>
    <t>KRW 1M</t>
    <phoneticPr fontId="3" type="noConversion"/>
  </si>
  <si>
    <t xml:space="preserve">단위: RMB 
21년  인건비 </t>
    <phoneticPr fontId="3" type="noConversion"/>
  </si>
  <si>
    <t xml:space="preserve">단위: RMB 
22년  인건비 </t>
  </si>
  <si>
    <t>Total compensation for a person with the highest annual salary in the organization 本组织中，年薪最高的人员的总薪酬</t>
    <phoneticPr fontId="3" type="noConversion"/>
  </si>
  <si>
    <t>단위: RMB 
대상자: 임원(주재원) 
중국내세금， 급여, 복리후생 등 포함</t>
  </si>
  <si>
    <t>평균환율 177.43</t>
    <phoneticPr fontId="3" type="noConversion"/>
  </si>
  <si>
    <t>평균환율 181.44</t>
    <phoneticPr fontId="3" type="noConversion"/>
  </si>
  <si>
    <t>평균환율 184.22</t>
    <phoneticPr fontId="3" type="noConversion"/>
  </si>
  <si>
    <t>Ratios of standard entry level wage by gender compared to local minimum wage 按性别划分的入门级标准工资与当地最低工资的比率</t>
    <phoneticPr fontId="3" type="noConversion"/>
  </si>
  <si>
    <t>Safety &amp; Health 安全与健康</t>
    <phoneticPr fontId="3" type="noConversion"/>
  </si>
  <si>
    <t>Employee occupational injury rate 雇员工伤发生率</t>
    <phoneticPr fontId="3" type="noConversion"/>
  </si>
  <si>
    <t>Injury rate of employee with non-fixed term contracts 非固定劳务合同职工工伤发生率</t>
    <phoneticPr fontId="3" type="noConversion"/>
  </si>
  <si>
    <t>Near Miss Frequency Rate of workers without fixed term contracts 无固定期限合同工人的濒临频率</t>
    <phoneticPr fontId="3" type="noConversion"/>
  </si>
  <si>
    <t xml:space="preserve">Injury rate of employee with fixed term contracts </t>
    <phoneticPr fontId="3" type="noConversion"/>
  </si>
  <si>
    <t>Near Miss Frequency Rate workers with fixed term contracts 定期合同的工作人员的频率差</t>
    <phoneticPr fontId="3" type="noConversion"/>
  </si>
  <si>
    <t>Total number of accidents  事故总数</t>
    <phoneticPr fontId="3" type="noConversion"/>
  </si>
  <si>
    <t>NO CASE</t>
  </si>
  <si>
    <t>Number of employees who suffered industrial accidents  遭受工伤事故的雇员人数</t>
    <phoneticPr fontId="3" type="noConversion"/>
  </si>
  <si>
    <t>Total number of fatal accidents  致命事故总数</t>
    <phoneticPr fontId="3" type="noConversion"/>
  </si>
  <si>
    <t>Injury rate for customers 顾客受伤率</t>
    <phoneticPr fontId="3" type="noConversion"/>
  </si>
  <si>
    <t>Fatality rate for customers 顾客致命率</t>
    <phoneticPr fontId="3" type="noConversion"/>
  </si>
  <si>
    <t>Employees' lost time injury frequency rate (LTIFR)  员工误工率（LTIFR）</t>
    <phoneticPr fontId="3" type="noConversion"/>
  </si>
  <si>
    <t xml:space="preserve">Number of lost time injuries 误工受伤人数 </t>
    <phoneticPr fontId="3" type="noConversion"/>
  </si>
  <si>
    <r>
      <t xml:space="preserve">休息时间：
</t>
    </r>
    <r>
      <rPr>
        <sz val="11"/>
        <rFont val="맑은 고딕"/>
        <family val="3"/>
        <charset val="129"/>
        <scheme val="minor"/>
      </rPr>
      <t>직원</t>
    </r>
    <r>
      <rPr>
        <sz val="11"/>
        <rFont val="맑은 고딕"/>
        <family val="3"/>
        <charset val="129"/>
        <scheme val="minor"/>
      </rPr>
      <t xml:space="preserve">E：24h
</t>
    </r>
    <r>
      <rPr>
        <sz val="11"/>
        <rFont val="맑은 고딕"/>
        <family val="3"/>
        <charset val="129"/>
        <scheme val="minor"/>
      </rPr>
      <t>직원</t>
    </r>
    <r>
      <rPr>
        <sz val="11"/>
        <rFont val="맑은 고딕"/>
        <family val="3"/>
        <charset val="129"/>
        <scheme val="minor"/>
      </rPr>
      <t>F：104h</t>
    </r>
    <phoneticPr fontId="3" type="noConversion"/>
  </si>
  <si>
    <t>Total working hours  总工时</t>
    <phoneticPr fontId="3" type="noConversion"/>
  </si>
  <si>
    <t>HQ : 98*21.75*8*12=204624H
SITE : 956*21.75*8*12=1996128</t>
    <phoneticPr fontId="3" type="noConversion"/>
  </si>
  <si>
    <t>1,074,752 by fulltimers
350,090 by parttimers</t>
  </si>
  <si>
    <t>1,260,496 by fulltimers
1,137,753 bu parttimers</t>
  </si>
  <si>
    <t>Number of serious accidents 严重事故数量</t>
    <phoneticPr fontId="3" type="noConversion"/>
  </si>
  <si>
    <t>Work-related injuries 工伤与工作有关的</t>
    <phoneticPr fontId="3" type="noConversion"/>
  </si>
  <si>
    <t>Work-related ill health 与工作有关的健康问题</t>
    <phoneticPr fontId="3" type="noConversion"/>
  </si>
  <si>
    <t>Occupational safety training completion rate 职业安全培训完成率</t>
    <phoneticPr fontId="3" type="noConversion"/>
  </si>
  <si>
    <t>Number of employees who participated in occupational safety training  参加职业安全培训的雇员人数</t>
    <phoneticPr fontId="3" type="noConversion"/>
  </si>
  <si>
    <t>데이터 관리하지 않음</t>
    <phoneticPr fontId="3" type="noConversion"/>
  </si>
  <si>
    <t>Social Contribution  社会捐助</t>
    <phoneticPr fontId="3" type="noConversion"/>
  </si>
  <si>
    <t>Social contribution expenses: donations  社会贡献费：捐赠</t>
    <phoneticPr fontId="3" type="noConversion"/>
  </si>
  <si>
    <t>Local currency (KRW 100M)  当地货币（1亿韩元）</t>
    <phoneticPr fontId="3" type="noConversion"/>
  </si>
  <si>
    <t>donation for Covid Vaccine (Jun, 2021, to Government)
currency : VND</t>
  </si>
  <si>
    <t>Vaccination
The company cooperates with Ciputra Hospital and Tigarasa Police to become a central Vaccination for the city of Tangerang</t>
  </si>
  <si>
    <t>IDR  242,600,000
1. Orpahns Watching "Miracle in Cell No. 7"
2. Digital Literacy Initiative for Indonesia's Future
1. The Company collaborated with Falcon Pictures and Invited 5,133 orphans from 68 orphanages to watch "Miracle in Cell no.7" for free of 23 cinemas of CGV with valued Rp. 142.600.000.
2. The Company collaborared with Indosat Tbk to carry out the Environmental, Social and Governance (ESG) activities of Digital Initiative for Indonesia's Future. With the theme "Flexing". The main activities of the program are Short Movie Competition with valued Rp. 100.000.000</t>
  </si>
  <si>
    <t>Political contributions  政治献金</t>
    <phoneticPr fontId="3" type="noConversion"/>
  </si>
  <si>
    <t>KRW 韩元</t>
    <phoneticPr fontId="3" type="noConversion"/>
  </si>
  <si>
    <t>Volunteer activities 志愿者活动</t>
    <phoneticPr fontId="3" type="noConversion"/>
  </si>
  <si>
    <t>Volunteer activities participation hours 义工活动参与时间</t>
    <phoneticPr fontId="3" type="noConversion"/>
  </si>
  <si>
    <t>Aggregate the number of employees who participated in volunteer activities  参加志愿者活动雇员总数</t>
    <phoneticPr fontId="3" type="noConversion"/>
  </si>
  <si>
    <t>BOD Composition</t>
    <phoneticPr fontId="3" type="noConversion"/>
  </si>
  <si>
    <t>Director</t>
  </si>
  <si>
    <t>5 (five)</t>
  </si>
  <si>
    <t>Independent Director</t>
  </si>
  <si>
    <t>Female Directors</t>
  </si>
  <si>
    <t>2 (two)</t>
  </si>
  <si>
    <t>Audit Organization</t>
    <phoneticPr fontId="3" type="noConversion"/>
  </si>
  <si>
    <t>Meeting Director</t>
  </si>
  <si>
    <t>12 (twelve)</t>
  </si>
  <si>
    <t>Audit Committee Meeting</t>
  </si>
  <si>
    <t>4 (four)</t>
  </si>
  <si>
    <t>Agenda Item Discussed</t>
  </si>
  <si>
    <t>6 (six)</t>
  </si>
  <si>
    <t>Attendance Rate of Directors</t>
  </si>
  <si>
    <t>Attendance Rate of Independent Directors</t>
  </si>
  <si>
    <t>Attendance Rate of Independent Directors for Independent Director Candidate Nomination Committee</t>
  </si>
  <si>
    <t>Attendance Rate of Independent Directors for Remuneration Committee</t>
  </si>
  <si>
    <t>Attendance Rate of Independent Director for Audit Committee</t>
  </si>
  <si>
    <t>Audit Committee Members</t>
  </si>
  <si>
    <t>3 (three)</t>
  </si>
  <si>
    <t xml:space="preserve">Independent Director </t>
  </si>
  <si>
    <t>BOD Remuneration</t>
    <phoneticPr fontId="3" type="noConversion"/>
  </si>
  <si>
    <t>CGI</t>
  </si>
  <si>
    <t>Coree</t>
  </si>
  <si>
    <t>Ethical &amp; Compliance management</t>
    <phoneticPr fontId="3" type="noConversion"/>
  </si>
  <si>
    <t>그룹 주관 교육 참여 확인 부탁드립니다. 참고로 CGV의 경우 하기와 같이 실적을 산출함. 
* 모두가 실천해야할 '정직' 교육: 1시간
* [2020] 함께 존중하는 건강한 CJ 만들기: 0.5시간
* [2020] 함께 존중하는 건강한 CJ 만들기(leader): 0.5시간
* 준법경영위원회 이원 대상 공정거래법 주요 개정 사항 특강:1시간
* CJ그룹 행동강령(CJ인의 약속): 1시간
* CJ글로벌 경제제제 컴플라이언스 정책: 0.3시간
* 정보교환행위금지가이드: 0.1시간</t>
  </si>
  <si>
    <t>그룹 주관 교육 참여 확인 부탁드립니다. 참고로 한국CGV의 경우 하기와 같이 실적을 산출함.
* 모두가 실천해야할 '정직' 교육: 1시간
* 안전을 만나는시간 - 중대재해처벌법: 1시간
* [2022] 강재준, 이은형과 함께하는 직장 내 괴롭힘 예방교육: 1시간
* 기술자료 제공 요구 준수사항(카드러닝): 0.5시간
* 신입사원 오프라인 '정직의 의미와 실천' 교육 수강 인원: 1시간
* CGV컴플라이언스 교육 (법무·컴플라이언스팀 주관): 0.5시간
※ 카드러닝 형식은 0.5시간 반영</t>
  </si>
  <si>
    <t>CJ Humanville always has an Orientation training course for newcomers. This course takes about 10 days online. In this course, there're some main contents as below:
 - Code of business conducts (anti-corruption, Fair competition).
 - Information security.</t>
  </si>
  <si>
    <t>In "CJ Global Compliance Policy" course, there're 2 main contents:
 - Code of business conducts.
 - CJ global compliance policy.
     ● Anti-corruption.
     ● Fair Competition
     ● Information Protection
     ● Compliance with international Economic Sanctions.</t>
  </si>
  <si>
    <t>1. Use Fee (15 Mins) : 649 persons.
2. Employees are prohibited from Borrowing and Borrowing Money from Vendors (15 Mins) : 581 persons.
3. Protect Yourself from Hazards while Doing Work (15 Mins) : 544 persons.
4. Prohibition of Violence and Sexual Harassment in Any Form (15 Mins) : 509 persons.
5. Prohibition of Conflicts of Interest (15 Mins) : 493 persons.
6. Video: Prohibition of Violence and Sexual Harassment in Any Form (15 Mins) : 493 persons.
7. Customer Satisfaction (15 Mins) : 493 persons.
8. Global Sanctions part 1 (15 Mins) :  472 persons.
9. Global Sanction part 2 (15 Mins) : 455 persons.
10. Online CJ Code of conduct Training (1.5 hours), In charge CJ Indonesia, Kim yong jae
11. Online CJ Sehat(Intergrity Training, 1.5 hours), In charge CJ Indonesia, Kim yong jae</t>
  </si>
  <si>
    <t>1. Global Economic Sanctions (15 Mins) : 370 persons.
2. Environment, Social and Governance (ESG) (15 Mins) : 370 persons.
3. Company Fraud and Embezzlement (15 Mins) : 384 persons.
4. Response to the Environment (Natural Resources) (15 Mins) : 388 persons.
5. Code of Conduct Whistleblowing System (15 Mins) : 389 persons.
6. Gifts and Bribes (15 Mins) : 391 persons.
7. Offline CJ Sehat(Intergrity Training, 1 hours, 70 persons), In charge CJ Indonesia, Kim yong jae</t>
  </si>
  <si>
    <t>그룹 주관 교육 참여 확인 부탁드립니다. 참고로 한국 CGV의 경우 하기와 같이 실적을 산출함.
* 모두가 실천해야할 '정직' 교육: 1,004명
* [2021] 함께 존중하는 건강한 CJ 만들기: 881명
* [2021] 함께 존중하는 건강한 CJ 만들기(leader): 174명
* 준법경영위원회 위원 대상 공정거래법 주요 개정 사항 특강 1건(오프라인): 7명
* CJ그룹 행동강령(CJ인의 약속), CJ 글로벌 경제제재 컴플라이언스 정책, 정보교환행위 금지 가이드: 967명
※ 최종 수료 인원 기준</t>
  </si>
  <si>
    <t>그룹 주관 교육 참여 확인 부탁드립니다. 한국CGV의 경우 하기와 같이 실적을 실적을 산출함. 
* 모두가 실천해야할 '정직' 교육: 997명
* 안전을 만나는시간 - 중대재해처벌법: 1,074명
* [2022] 강재준, 이은형과 함께하는 직장 내 괴롭힘 예방교육: 1,008명
* 기술자료 제공 요구 준수사항(카드러닝): 993명
* [CGV] 신입사원 오프라인 '정직의 의미와 실천' 교육 수강 인원: 39명
* [CGV] 컴플라이언스 필수 교육 (법무·컴플라이언스팀 주관 부서별 맞춤교육): 총 997명
※ 최종 수료 인원 기준</t>
  </si>
  <si>
    <t>All of the full timer 379 persons + partially part timer and contract worker 202 persons</t>
  </si>
  <si>
    <t>All of the full timer</t>
  </si>
  <si>
    <t>There's not any violations of fair competition related laws.</t>
  </si>
  <si>
    <t>There's not any violations of ethical management.</t>
  </si>
  <si>
    <t>2 Reports</t>
  </si>
  <si>
    <t>1. HR team using driver for personal purpose and Company have to paid overtime, fuel and etc and using petty cash.
2. FnB team stolen Merchandise sales money.</t>
  </si>
  <si>
    <t>5 Reports</t>
  </si>
  <si>
    <t>1. Manual Ticket and Reprint by CM and 1 SPV at PMU site (samarinda)
2. Stealing sales money at POS area and sales transaction without input at system by SPV at HM Site (Jogjakarta)
3. Manipulation insurance employee data by HR team (Head Quarter)
4. Cheating Point Membership by Daily Worker 
5. CM (who has wife and kids) and Daily worker (single) have affair and have fight at office site.</t>
  </si>
  <si>
    <r>
      <t>각</t>
    </r>
    <r>
      <rPr>
        <sz val="11"/>
        <color theme="1"/>
        <rFont val="맑은 고딕"/>
        <family val="3"/>
        <charset val="129"/>
        <scheme val="minor"/>
      </rPr>
      <t xml:space="preserve"> </t>
    </r>
    <r>
      <rPr>
        <sz val="11"/>
        <color theme="1"/>
        <rFont val="맑은 고딕"/>
        <family val="3"/>
        <charset val="129"/>
        <scheme val="minor"/>
      </rPr>
      <t>국가별</t>
    </r>
    <r>
      <rPr>
        <sz val="11"/>
        <color theme="1"/>
        <rFont val="맑은 고딕"/>
        <family val="3"/>
        <charset val="129"/>
        <scheme val="minor"/>
      </rPr>
      <t>(</t>
    </r>
    <r>
      <rPr>
        <sz val="11"/>
        <color theme="1"/>
        <rFont val="맑은 고딕"/>
        <family val="3"/>
        <charset val="129"/>
        <scheme val="minor"/>
      </rPr>
      <t>법인별</t>
    </r>
    <r>
      <rPr>
        <sz val="11"/>
        <color theme="1"/>
        <rFont val="맑은 고딕"/>
        <family val="3"/>
        <charset val="129"/>
        <scheme val="minor"/>
      </rPr>
      <t xml:space="preserve">) </t>
    </r>
    <r>
      <rPr>
        <sz val="11"/>
        <color theme="1"/>
        <rFont val="맑은 고딕"/>
        <family val="3"/>
        <charset val="129"/>
        <scheme val="minor"/>
      </rPr>
      <t>내부</t>
    </r>
    <r>
      <rPr>
        <sz val="11"/>
        <color theme="1"/>
        <rFont val="맑은 고딕"/>
        <family val="3"/>
        <charset val="129"/>
        <scheme val="minor"/>
      </rPr>
      <t xml:space="preserve"> </t>
    </r>
    <r>
      <rPr>
        <sz val="11"/>
        <color theme="1"/>
        <rFont val="맑은 고딕"/>
        <family val="3"/>
        <charset val="129"/>
        <scheme val="minor"/>
      </rPr>
      <t>감사를</t>
    </r>
    <r>
      <rPr>
        <sz val="11"/>
        <color theme="1"/>
        <rFont val="맑은 고딕"/>
        <family val="3"/>
        <charset val="129"/>
        <scheme val="minor"/>
      </rPr>
      <t xml:space="preserve"> </t>
    </r>
    <r>
      <rPr>
        <sz val="11"/>
        <color theme="1"/>
        <rFont val="맑은 고딕"/>
        <family val="3"/>
        <charset val="129"/>
        <scheme val="minor"/>
      </rPr>
      <t>통해</t>
    </r>
    <r>
      <rPr>
        <sz val="11"/>
        <color theme="1"/>
        <rFont val="맑은 고딕"/>
        <family val="3"/>
        <charset val="129"/>
        <scheme val="minor"/>
      </rPr>
      <t xml:space="preserve"> </t>
    </r>
    <r>
      <rPr>
        <sz val="11"/>
        <color theme="1"/>
        <rFont val="맑은 고딕"/>
        <family val="3"/>
        <charset val="129"/>
        <scheme val="minor"/>
      </rPr>
      <t>확인된</t>
    </r>
    <r>
      <rPr>
        <sz val="11"/>
        <color theme="1"/>
        <rFont val="맑은 고딕"/>
        <family val="3"/>
        <charset val="129"/>
        <scheme val="minor"/>
      </rPr>
      <t xml:space="preserve"> </t>
    </r>
    <r>
      <rPr>
        <sz val="11"/>
        <color theme="1"/>
        <rFont val="맑은 고딕"/>
        <family val="3"/>
        <charset val="129"/>
        <scheme val="minor"/>
      </rPr>
      <t>부패</t>
    </r>
    <r>
      <rPr>
        <sz val="11"/>
        <color theme="1"/>
        <rFont val="맑은 고딕"/>
        <family val="3"/>
        <charset val="129"/>
        <scheme val="minor"/>
      </rPr>
      <t xml:space="preserve"> </t>
    </r>
    <r>
      <rPr>
        <sz val="11"/>
        <color theme="1"/>
        <rFont val="맑은 고딕"/>
        <family val="3"/>
        <charset val="129"/>
        <scheme val="minor"/>
      </rPr>
      <t>건</t>
    </r>
    <r>
      <rPr>
        <sz val="11"/>
        <color theme="1"/>
        <rFont val="맑은 고딕"/>
        <family val="3"/>
        <charset val="129"/>
        <scheme val="minor"/>
      </rPr>
      <t xml:space="preserve"> </t>
    </r>
    <r>
      <rPr>
        <sz val="11"/>
        <color theme="1"/>
        <rFont val="맑은 고딕"/>
        <family val="3"/>
        <charset val="129"/>
        <scheme val="minor"/>
      </rPr>
      <t>수</t>
    </r>
    <r>
      <rPr>
        <sz val="11"/>
        <color theme="1"/>
        <rFont val="맑은 고딕"/>
        <family val="3"/>
        <charset val="129"/>
        <scheme val="minor"/>
      </rPr>
      <t xml:space="preserve"> </t>
    </r>
    <r>
      <rPr>
        <sz val="11"/>
        <color theme="1"/>
        <rFont val="맑은 고딕"/>
        <family val="3"/>
        <charset val="129"/>
        <scheme val="minor"/>
      </rPr>
      <t>및</t>
    </r>
    <r>
      <rPr>
        <sz val="11"/>
        <color theme="1"/>
        <rFont val="맑은 고딕"/>
        <family val="3"/>
        <charset val="129"/>
        <scheme val="minor"/>
      </rPr>
      <t xml:space="preserve"> </t>
    </r>
    <r>
      <rPr>
        <sz val="11"/>
        <color theme="1"/>
        <rFont val="맑은 고딕"/>
        <family val="3"/>
        <charset val="129"/>
        <scheme val="minor"/>
      </rPr>
      <t>관련</t>
    </r>
    <r>
      <rPr>
        <sz val="11"/>
        <color theme="1"/>
        <rFont val="맑은 고딕"/>
        <family val="3"/>
        <charset val="129"/>
        <scheme val="minor"/>
      </rPr>
      <t xml:space="preserve"> </t>
    </r>
    <r>
      <rPr>
        <sz val="11"/>
        <color theme="1"/>
        <rFont val="맑은 고딕"/>
        <family val="3"/>
        <charset val="129"/>
        <scheme val="minor"/>
      </rPr>
      <t>조치</t>
    </r>
    <r>
      <rPr>
        <sz val="11"/>
        <color theme="1"/>
        <rFont val="맑은 고딕"/>
        <family val="3"/>
        <charset val="129"/>
        <scheme val="minor"/>
      </rPr>
      <t>(</t>
    </r>
    <r>
      <rPr>
        <sz val="11"/>
        <color theme="1"/>
        <rFont val="맑은 고딕"/>
        <family val="3"/>
        <charset val="129"/>
        <scheme val="minor"/>
      </rPr>
      <t>해고</t>
    </r>
    <r>
      <rPr>
        <sz val="11"/>
        <color theme="1"/>
        <rFont val="맑은 고딕"/>
        <family val="3"/>
        <charset val="129"/>
        <scheme val="minor"/>
      </rPr>
      <t xml:space="preserve">, </t>
    </r>
    <r>
      <rPr>
        <sz val="11"/>
        <color theme="1"/>
        <rFont val="맑은 고딕"/>
        <family val="3"/>
        <charset val="129"/>
        <scheme val="minor"/>
      </rPr>
      <t>처벌</t>
    </r>
    <r>
      <rPr>
        <sz val="11"/>
        <color theme="1"/>
        <rFont val="맑은 고딕"/>
        <family val="3"/>
        <charset val="129"/>
        <scheme val="minor"/>
      </rPr>
      <t xml:space="preserve"> </t>
    </r>
    <r>
      <rPr>
        <sz val="11"/>
        <color theme="1"/>
        <rFont val="맑은 고딕"/>
        <family val="3"/>
        <charset val="129"/>
        <scheme val="minor"/>
      </rPr>
      <t>등</t>
    </r>
    <r>
      <rPr>
        <sz val="11"/>
        <color theme="1"/>
        <rFont val="맑은 고딕"/>
        <family val="3"/>
        <charset val="129"/>
        <scheme val="minor"/>
      </rPr>
      <t xml:space="preserve">)
  </t>
    </r>
    <phoneticPr fontId="3" type="noConversion"/>
  </si>
  <si>
    <t xml:space="preserve"> - There's a course name "CJ Global Compliance Policy" which was conducted on 3rd November 2022. The ratio of completed employees is 13% of full-time employees.
 - Always make an Orientation Training course for newcomers. That means 100% of employees completed a training course about Information Protection.</t>
  </si>
  <si>
    <t>ESG DATA SHEET (2021-2023)</t>
    <phoneticPr fontId="54" type="noConversion"/>
  </si>
  <si>
    <t>[Disclosure Guide]</t>
    <phoneticPr fontId="54" type="noConversion"/>
  </si>
  <si>
    <t xml:space="preserve">- Please reply with the finalized template without password.
</t>
    <phoneticPr fontId="54" type="noConversion"/>
  </si>
  <si>
    <t>- When filling in the amount, please convert it to the appropriate unit. (Do not use cell formatting to adjust the units)</t>
    <phoneticPr fontId="54" type="noConversion"/>
  </si>
  <si>
    <r>
      <t xml:space="preserve">- Data </t>
    </r>
    <r>
      <rPr>
        <b/>
        <sz val="12"/>
        <color rgb="FFFF0000"/>
        <rFont val="맑은 고딕"/>
        <family val="3"/>
        <charset val="129"/>
        <scheme val="minor"/>
      </rPr>
      <t>in red</t>
    </r>
    <r>
      <rPr>
        <sz val="12"/>
        <color theme="1"/>
        <rFont val="맑은 고딕"/>
        <family val="3"/>
        <charset val="129"/>
        <scheme val="minor"/>
      </rPr>
      <t xml:space="preserve"> is data that has been entered and needs to be </t>
    </r>
    <r>
      <rPr>
        <b/>
        <sz val="12"/>
        <color theme="1"/>
        <rFont val="맑은 고딕"/>
        <family val="3"/>
        <charset val="129"/>
        <scheme val="minor"/>
      </rPr>
      <t>double-checked.</t>
    </r>
  </si>
  <si>
    <t>- When filling in numbers, please fill in the data range and notes.</t>
    <phoneticPr fontId="54" type="noConversion"/>
  </si>
  <si>
    <t>데이터 입력 요청란 Requested data</t>
    <phoneticPr fontId="54" type="noConversion"/>
  </si>
  <si>
    <t>구분</t>
    <phoneticPr fontId="54" type="noConversion"/>
  </si>
  <si>
    <t>Category</t>
    <phoneticPr fontId="54" type="noConversion"/>
  </si>
  <si>
    <t>CGV China</t>
    <phoneticPr fontId="54" type="noConversion"/>
  </si>
  <si>
    <t>CGV Vietnam</t>
    <phoneticPr fontId="54" type="noConversion"/>
  </si>
  <si>
    <t>CGV Indonesia</t>
    <phoneticPr fontId="54" type="noConversion"/>
  </si>
  <si>
    <t>CGV Turkuye</t>
    <phoneticPr fontId="54" type="noConversion"/>
  </si>
  <si>
    <t>Supervising Department (aggregation)</t>
    <phoneticPr fontId="54" type="noConversion"/>
  </si>
  <si>
    <t>Data source (the file name if attached a separate file)</t>
    <phoneticPr fontId="54" type="noConversion"/>
  </si>
  <si>
    <t>Others
- Reason for edit/no entry or remarks when editing existing data</t>
    <phoneticPr fontId="54" type="noConversion"/>
  </si>
  <si>
    <t>Guide Book Indicators</t>
    <phoneticPr fontId="54" type="noConversion"/>
  </si>
  <si>
    <t>#</t>
    <phoneticPr fontId="54" type="noConversion"/>
  </si>
  <si>
    <t>대분류</t>
    <phoneticPr fontId="54" type="noConversion"/>
  </si>
  <si>
    <t>중분류</t>
    <phoneticPr fontId="54" type="noConversion"/>
  </si>
  <si>
    <t>소분류</t>
    <phoneticPr fontId="54" type="noConversion"/>
  </si>
  <si>
    <t>단위(Unit)</t>
    <phoneticPr fontId="54" type="noConversion"/>
  </si>
  <si>
    <t>Issue</t>
    <phoneticPr fontId="54" type="noConversion"/>
  </si>
  <si>
    <t>Indicator</t>
    <phoneticPr fontId="54" type="noConversion"/>
  </si>
  <si>
    <t>Sub_indicator</t>
    <phoneticPr fontId="54" type="noConversion"/>
  </si>
  <si>
    <t xml:space="preserve">Sub-sub-indicators </t>
    <phoneticPr fontId="54" type="noConversion"/>
  </si>
  <si>
    <t>Unit</t>
    <phoneticPr fontId="54" type="noConversion"/>
  </si>
  <si>
    <t>Note</t>
    <phoneticPr fontId="54" type="noConversion"/>
  </si>
  <si>
    <t>Financial Performance</t>
    <phoneticPr fontId="54" type="noConversion"/>
  </si>
  <si>
    <t>연결 재무상태표</t>
    <phoneticPr fontId="54" type="noConversion"/>
  </si>
  <si>
    <t>Consolidated Balance Sheet</t>
    <phoneticPr fontId="54" type="noConversion"/>
  </si>
  <si>
    <t>유동자산</t>
    <phoneticPr fontId="55" type="noConversion"/>
  </si>
  <si>
    <t>백만원</t>
    <phoneticPr fontId="54" type="noConversion"/>
  </si>
  <si>
    <t>Current assets</t>
    <phoneticPr fontId="54" type="noConversion"/>
  </si>
  <si>
    <t>비유동자산</t>
    <phoneticPr fontId="55" type="noConversion"/>
  </si>
  <si>
    <t xml:space="preserve">Non-current assets </t>
    <phoneticPr fontId="54" type="noConversion"/>
  </si>
  <si>
    <t>자산총계</t>
    <phoneticPr fontId="55" type="noConversion"/>
  </si>
  <si>
    <t>Total assets</t>
    <phoneticPr fontId="54" type="noConversion"/>
  </si>
  <si>
    <t>유동부채</t>
    <phoneticPr fontId="55" type="noConversion"/>
  </si>
  <si>
    <t>Current liabilities</t>
    <phoneticPr fontId="54" type="noConversion"/>
  </si>
  <si>
    <t>비유동부채</t>
    <phoneticPr fontId="55" type="noConversion"/>
  </si>
  <si>
    <t xml:space="preserve">Non-current liabilities                                                                                                                                                                                                                                                                                                                                      </t>
    <phoneticPr fontId="54" type="noConversion"/>
  </si>
  <si>
    <t>부채총계</t>
    <phoneticPr fontId="55" type="noConversion"/>
  </si>
  <si>
    <t>Total liabilities</t>
    <phoneticPr fontId="54" type="noConversion"/>
  </si>
  <si>
    <t>지배기업의 소유지분</t>
    <phoneticPr fontId="55" type="noConversion"/>
  </si>
  <si>
    <t>Equity attributable to owners of the parent company
the Parent Company</t>
    <phoneticPr fontId="54" type="noConversion"/>
  </si>
  <si>
    <t>자본총계</t>
    <phoneticPr fontId="55" type="noConversion"/>
  </si>
  <si>
    <t>Total stockholders’ equity</t>
    <phoneticPr fontId="54" type="noConversion"/>
  </si>
  <si>
    <t>자본과 부채 총계</t>
    <phoneticPr fontId="55" type="noConversion"/>
  </si>
  <si>
    <t>Total stockholders’ equity and liabilities</t>
    <phoneticPr fontId="54" type="noConversion"/>
  </si>
  <si>
    <t>연결 포괄손익계산서</t>
    <phoneticPr fontId="54" type="noConversion"/>
  </si>
  <si>
    <t>Consolidated Statement of Comprehensive Income</t>
    <phoneticPr fontId="54" type="noConversion"/>
  </si>
  <si>
    <t>매출액</t>
    <phoneticPr fontId="55" type="noConversion"/>
  </si>
  <si>
    <t>Revenue</t>
    <phoneticPr fontId="54" type="noConversion"/>
  </si>
  <si>
    <t>영업이익</t>
    <phoneticPr fontId="54" type="noConversion"/>
  </si>
  <si>
    <t>Operating income</t>
    <phoneticPr fontId="54" type="noConversion"/>
  </si>
  <si>
    <t>당기순이익</t>
    <phoneticPr fontId="54" type="noConversion"/>
  </si>
  <si>
    <t>Net profit for the period</t>
    <phoneticPr fontId="54" type="noConversion"/>
  </si>
  <si>
    <t>매출원가</t>
    <phoneticPr fontId="55" type="noConversion"/>
  </si>
  <si>
    <t>Cost of goods sold</t>
    <phoneticPr fontId="54" type="noConversion"/>
  </si>
  <si>
    <t>매출총이익</t>
    <phoneticPr fontId="55" type="noConversion"/>
  </si>
  <si>
    <t>Gross margin</t>
    <phoneticPr fontId="54" type="noConversion"/>
  </si>
  <si>
    <t>판매비와 관리비</t>
    <phoneticPr fontId="55" type="noConversion"/>
  </si>
  <si>
    <t>Selling, general, and administrative expenses</t>
    <phoneticPr fontId="54" type="noConversion"/>
  </si>
  <si>
    <t>기타이익(손실)</t>
    <phoneticPr fontId="55" type="noConversion"/>
  </si>
  <si>
    <t>Other income (loss)</t>
    <phoneticPr fontId="54" type="noConversion"/>
  </si>
  <si>
    <t>금융수익</t>
    <phoneticPr fontId="55" type="noConversion"/>
  </si>
  <si>
    <t>Finance income</t>
    <phoneticPr fontId="54" type="noConversion"/>
  </si>
  <si>
    <t>금융원가</t>
    <phoneticPr fontId="55" type="noConversion"/>
  </si>
  <si>
    <t>Financial expenses</t>
    <phoneticPr fontId="54" type="noConversion"/>
  </si>
  <si>
    <t>공동기업 및 관계기업 손익</t>
    <phoneticPr fontId="55" type="noConversion"/>
  </si>
  <si>
    <t>Share of profit of joint ventures and
associates</t>
    <phoneticPr fontId="54" type="noConversion"/>
  </si>
  <si>
    <t>법인세비용차감전순이익</t>
    <phoneticPr fontId="55" type="noConversion"/>
  </si>
  <si>
    <t>Profit before income tax</t>
    <phoneticPr fontId="54" type="noConversion"/>
  </si>
  <si>
    <t>법인세비용</t>
    <phoneticPr fontId="55" type="noConversion"/>
  </si>
  <si>
    <t>Income tax expense</t>
    <phoneticPr fontId="54" type="noConversion"/>
  </si>
  <si>
    <t>기타포괄손익</t>
    <phoneticPr fontId="55" type="noConversion"/>
  </si>
  <si>
    <t>Other comprehensive income</t>
    <phoneticPr fontId="54" type="noConversion"/>
  </si>
  <si>
    <t>총포괄손익</t>
    <phoneticPr fontId="55" type="noConversion"/>
  </si>
  <si>
    <t>Total comprehensive income</t>
    <phoneticPr fontId="54" type="noConversion"/>
  </si>
  <si>
    <t>재무상태표</t>
    <phoneticPr fontId="54" type="noConversion"/>
  </si>
  <si>
    <t>Balance Sheet</t>
    <phoneticPr fontId="54" type="noConversion"/>
  </si>
  <si>
    <t>Current assets</t>
    <phoneticPr fontId="55" type="noConversion"/>
  </si>
  <si>
    <t>Non-current assets</t>
    <phoneticPr fontId="55" type="noConversion"/>
  </si>
  <si>
    <t>Total assets</t>
    <phoneticPr fontId="55" type="noConversion"/>
  </si>
  <si>
    <t>Current liabilities</t>
    <phoneticPr fontId="55" type="noConversion"/>
  </si>
  <si>
    <t>Non-current liabilities</t>
    <phoneticPr fontId="55" type="noConversion"/>
  </si>
  <si>
    <t>Total liabilities</t>
    <phoneticPr fontId="55" type="noConversion"/>
  </si>
  <si>
    <t>Total stockholders’ equity and liabilities</t>
    <phoneticPr fontId="55" type="noConversion"/>
  </si>
  <si>
    <t>Total liabilities and equity</t>
    <phoneticPr fontId="55" type="noConversion"/>
  </si>
  <si>
    <t>포괄손익계산서</t>
    <phoneticPr fontId="54" type="noConversion"/>
  </si>
  <si>
    <t>Statement of Comprehensive Income</t>
    <phoneticPr fontId="54" type="noConversion"/>
  </si>
  <si>
    <t>Revenue</t>
    <phoneticPr fontId="55" type="noConversion"/>
  </si>
  <si>
    <t>Cost of goods sold</t>
    <phoneticPr fontId="55" type="noConversion"/>
  </si>
  <si>
    <t>Gross margin</t>
    <phoneticPr fontId="55" type="noConversion"/>
  </si>
  <si>
    <t>Selling, general, and administrative expenses</t>
    <phoneticPr fontId="55" type="noConversion"/>
  </si>
  <si>
    <t>영업이익</t>
    <phoneticPr fontId="55" type="noConversion"/>
  </si>
  <si>
    <t xml:space="preserve">Operating income </t>
    <phoneticPr fontId="55" type="noConversion"/>
  </si>
  <si>
    <t>Other income (loss)</t>
    <phoneticPr fontId="55" type="noConversion"/>
  </si>
  <si>
    <t>Finance income</t>
    <phoneticPr fontId="55" type="noConversion"/>
  </si>
  <si>
    <t>Financial expenses</t>
    <phoneticPr fontId="55" type="noConversion"/>
  </si>
  <si>
    <t>Profit before income tax</t>
    <phoneticPr fontId="55" type="noConversion"/>
  </si>
  <si>
    <t>Income tax expense</t>
    <phoneticPr fontId="55" type="noConversion"/>
  </si>
  <si>
    <t>당기순이익</t>
    <phoneticPr fontId="55" type="noConversion"/>
  </si>
  <si>
    <t>Net profit for the period</t>
    <phoneticPr fontId="55" type="noConversion"/>
  </si>
  <si>
    <t>Other comprehensive income</t>
    <phoneticPr fontId="55" type="noConversion"/>
  </si>
  <si>
    <t>Total comprehensive income</t>
    <phoneticPr fontId="55" type="noConversion"/>
  </si>
  <si>
    <t>확정급여연금제도 의무 및 기타 은퇴지원제도</t>
    <phoneticPr fontId="55" type="noConversion"/>
  </si>
  <si>
    <t>-</t>
    <phoneticPr fontId="54" type="noConversion"/>
  </si>
  <si>
    <t>Defined benefit plan obligations and other retirement Plans</t>
    <phoneticPr fontId="55" type="noConversion"/>
  </si>
  <si>
    <t>퇴직급여(연금) 액</t>
    <phoneticPr fontId="54" type="noConversion"/>
  </si>
  <si>
    <t>현지통화기준</t>
    <phoneticPr fontId="54" type="noConversion"/>
  </si>
  <si>
    <t>Pension amount in local currency</t>
    <phoneticPr fontId="54" type="noConversion"/>
  </si>
  <si>
    <t>Local currency</t>
    <phoneticPr fontId="54" type="noConversion"/>
  </si>
  <si>
    <t>N/A</t>
    <phoneticPr fontId="54" type="noConversion"/>
  </si>
  <si>
    <t>801,874 (K VND)</t>
    <phoneticPr fontId="54" type="noConversion"/>
  </si>
  <si>
    <t>405,001 (K VND)</t>
    <phoneticPr fontId="54" type="noConversion"/>
  </si>
  <si>
    <t>228,244 (K VND)</t>
    <phoneticPr fontId="3" type="noConversion"/>
  </si>
  <si>
    <t>13,525,916 (K IDR)</t>
    <phoneticPr fontId="54" type="noConversion"/>
  </si>
  <si>
    <t>직원 범위</t>
    <phoneticPr fontId="54" type="noConversion"/>
  </si>
  <si>
    <t>%</t>
    <phoneticPr fontId="54" type="noConversion"/>
  </si>
  <si>
    <t>Scope of employees</t>
    <phoneticPr fontId="54" type="noConversion"/>
  </si>
  <si>
    <t>Full/Part-time employees</t>
    <phoneticPr fontId="54" type="noConversion"/>
  </si>
  <si>
    <t>전일제 근로자</t>
    <phoneticPr fontId="54" type="noConversion"/>
  </si>
  <si>
    <t>퇴직급여 지급 주체</t>
    <phoneticPr fontId="54" type="noConversion"/>
  </si>
  <si>
    <t>회사 여부</t>
    <phoneticPr fontId="54" type="noConversion"/>
  </si>
  <si>
    <t>Entity responsible for providing the retirement benefits</t>
    <phoneticPr fontId="54" type="noConversion"/>
  </si>
  <si>
    <t xml:space="preserve">Company % </t>
    <phoneticPr fontId="54" type="noConversion"/>
  </si>
  <si>
    <t>회사 100%</t>
    <phoneticPr fontId="54" type="noConversion"/>
  </si>
  <si>
    <t>정부의 재정적 지원</t>
    <phoneticPr fontId="55" type="noConversion"/>
  </si>
  <si>
    <t>Financial assistance received from government</t>
    <phoneticPr fontId="55" type="noConversion"/>
  </si>
  <si>
    <t>보조금</t>
    <phoneticPr fontId="54" type="noConversion"/>
  </si>
  <si>
    <t>Subsidies</t>
    <phoneticPr fontId="54" type="noConversion"/>
  </si>
  <si>
    <t>세금감면 및 세금공제</t>
    <phoneticPr fontId="54" type="noConversion"/>
  </si>
  <si>
    <t>Tax relief and tax credits</t>
    <phoneticPr fontId="54" type="noConversion"/>
  </si>
  <si>
    <t>기타 재정적 이익</t>
    <phoneticPr fontId="54" type="noConversion"/>
  </si>
  <si>
    <t>Other financial benefits received or receivable from any government for any operation</t>
    <phoneticPr fontId="54" type="noConversion"/>
  </si>
  <si>
    <t>지역공동체(국가단위)에서 고용한 고위 관리자 비율</t>
    <phoneticPr fontId="55" type="noConversion"/>
  </si>
  <si>
    <t>Proportion of senior management
hired from the local community (country level)</t>
    <phoneticPr fontId="55" type="noConversion"/>
  </si>
  <si>
    <t>등기/미등기 임원 수</t>
    <phoneticPr fontId="54" type="noConversion"/>
  </si>
  <si>
    <t>명</t>
    <phoneticPr fontId="54" type="noConversion"/>
  </si>
  <si>
    <t>Number of registeres/unregistered executives</t>
    <phoneticPr fontId="54" type="noConversion"/>
  </si>
  <si>
    <t>해당 국적 관리자 수</t>
    <phoneticPr fontId="54" type="noConversion"/>
  </si>
  <si>
    <t>Number of managers with local nationality</t>
    <phoneticPr fontId="54" type="noConversion"/>
  </si>
  <si>
    <t>해당 국적 관리자 비율</t>
    <phoneticPr fontId="54" type="noConversion"/>
  </si>
  <si>
    <t>Percentage of local managers</t>
    <phoneticPr fontId="54" type="noConversion"/>
  </si>
  <si>
    <t>전체 직원 대비 관리자 비율</t>
    <phoneticPr fontId="54" type="noConversion"/>
  </si>
  <si>
    <t>Percentage of local managers out of total employees</t>
    <phoneticPr fontId="54" type="noConversion"/>
  </si>
  <si>
    <t>지역 공급업체에 사용하는 예산 비율</t>
    <phoneticPr fontId="55" type="noConversion"/>
  </si>
  <si>
    <t>Proportion of spending on local suppliers</t>
    <phoneticPr fontId="55" type="noConversion"/>
  </si>
  <si>
    <t>자국영화부금/전체영화부금</t>
    <phoneticPr fontId="54" type="noConversion"/>
  </si>
  <si>
    <t>Domestic film rental fee/Total film rental fee</t>
    <phoneticPr fontId="54" type="noConversion"/>
  </si>
  <si>
    <t>영업활동에 필요한 장비와 자재, 재료 등을 자국 업체 또는 자국 중간 벤더를 통해 조달</t>
    <phoneticPr fontId="54" type="noConversion"/>
  </si>
  <si>
    <t>Procurement of equipment, materials, and supplies required for operations through local vendors or intermediaries</t>
    <phoneticPr fontId="54" type="noConversion"/>
  </si>
  <si>
    <t>●</t>
    <phoneticPr fontId="54" type="noConversion"/>
  </si>
  <si>
    <t>환경성과</t>
    <phoneticPr fontId="54" type="noConversion"/>
  </si>
  <si>
    <t>Environmental Performance</t>
    <phoneticPr fontId="54" type="noConversion"/>
  </si>
  <si>
    <t>온실가스</t>
    <phoneticPr fontId="54" type="noConversion"/>
  </si>
  <si>
    <t>Greenhouse Gas</t>
    <phoneticPr fontId="54" type="noConversion"/>
  </si>
  <si>
    <t>GHG emissions (Scope 1+2)</t>
    <phoneticPr fontId="54" type="noConversion"/>
  </si>
  <si>
    <t>CJ-Gen-E4</t>
    <phoneticPr fontId="54" type="noConversion"/>
  </si>
  <si>
    <t>Direct GHG emissions (Scope 1)</t>
    <phoneticPr fontId="54" type="noConversion"/>
  </si>
  <si>
    <t>CJ-Gen-E1</t>
    <phoneticPr fontId="54" type="noConversion"/>
  </si>
  <si>
    <t>tCO2eq</t>
    <phoneticPr fontId="54" type="noConversion"/>
  </si>
  <si>
    <t>Indirect GHG emissions (Scope 2)</t>
    <phoneticPr fontId="54" type="noConversion"/>
  </si>
  <si>
    <t>CJ-Gen-E2</t>
    <phoneticPr fontId="54" type="noConversion"/>
  </si>
  <si>
    <t>tCO2eq/억원</t>
    <phoneticPr fontId="54" type="noConversion"/>
  </si>
  <si>
    <t>GHG emissions intensity (Scope 1+2)</t>
    <phoneticPr fontId="54" type="noConversion"/>
  </si>
  <si>
    <t>tCO2eq/KRW100M</t>
    <phoneticPr fontId="54" type="noConversion"/>
  </si>
  <si>
    <t>온실가스 배출량</t>
    <phoneticPr fontId="54" type="noConversion"/>
  </si>
  <si>
    <t>GHG emissions</t>
    <phoneticPr fontId="54" type="noConversion"/>
  </si>
  <si>
    <t>연간 매출액</t>
    <phoneticPr fontId="54" type="noConversion"/>
  </si>
  <si>
    <t>억원</t>
    <phoneticPr fontId="54" type="noConversion"/>
  </si>
  <si>
    <t>Annual sales</t>
    <phoneticPr fontId="54" type="noConversion"/>
  </si>
  <si>
    <t>KRW 100M</t>
    <phoneticPr fontId="54" type="noConversion"/>
  </si>
  <si>
    <t>온실가스 기타 배출량 (Scope 3)</t>
    <phoneticPr fontId="54" type="noConversion"/>
  </si>
  <si>
    <t xml:space="preserve">Other indirect GHG emissions (Scope 3) </t>
    <phoneticPr fontId="54" type="noConversion"/>
  </si>
  <si>
    <t>CJ-Gen-E3</t>
    <phoneticPr fontId="54" type="noConversion"/>
  </si>
  <si>
    <t>온실가스 감축량</t>
    <phoneticPr fontId="54" type="noConversion"/>
  </si>
  <si>
    <t>Greenhouse Gas (GHG) Reductions</t>
    <phoneticPr fontId="54" type="noConversion"/>
  </si>
  <si>
    <t>온실가스 감축 목표량</t>
    <phoneticPr fontId="54" type="noConversion"/>
  </si>
  <si>
    <t>Target GHG reduction 
Target GHG reduction</t>
    <phoneticPr fontId="54" type="noConversion"/>
  </si>
  <si>
    <t>온실가스 배출량 감축</t>
    <phoneticPr fontId="54" type="noConversion"/>
  </si>
  <si>
    <t>Reduction of GHG emissions</t>
    <phoneticPr fontId="54" type="noConversion"/>
  </si>
  <si>
    <t>온실가스 배출 허용량</t>
    <phoneticPr fontId="54" type="noConversion"/>
  </si>
  <si>
    <t>GHG emission allowances</t>
    <phoneticPr fontId="54" type="noConversion"/>
  </si>
  <si>
    <t>온실가스 배출량 (실제 사용량)</t>
    <phoneticPr fontId="54" type="noConversion"/>
  </si>
  <si>
    <t>GHG emissions (Actual use)</t>
    <phoneticPr fontId="54" type="noConversion"/>
  </si>
  <si>
    <t>감축량</t>
    <phoneticPr fontId="54" type="noConversion"/>
  </si>
  <si>
    <t>에너지</t>
    <phoneticPr fontId="54" type="noConversion"/>
  </si>
  <si>
    <t>Energy</t>
    <phoneticPr fontId="54" type="noConversion"/>
  </si>
  <si>
    <t>총 에너지 사용량</t>
    <phoneticPr fontId="54" type="noConversion"/>
  </si>
  <si>
    <t>Total energy consumption</t>
    <phoneticPr fontId="54" type="noConversion"/>
  </si>
  <si>
    <t>CJ-Gen-E6</t>
    <phoneticPr fontId="54" type="noConversion"/>
  </si>
  <si>
    <t>비재생 에너지 사용량</t>
    <phoneticPr fontId="54" type="noConversion"/>
  </si>
  <si>
    <t>Non-renewable energy consumption</t>
    <phoneticPr fontId="54" type="noConversion"/>
  </si>
  <si>
    <t>CJ-Gen-E7</t>
    <phoneticPr fontId="54" type="noConversion"/>
  </si>
  <si>
    <t>재생 에너지 사용량</t>
    <phoneticPr fontId="54" type="noConversion"/>
  </si>
  <si>
    <t>Renewable energy consumption</t>
    <phoneticPr fontId="54" type="noConversion"/>
  </si>
  <si>
    <t>CJ-Gen-E8</t>
    <phoneticPr fontId="54" type="noConversion"/>
  </si>
  <si>
    <t>에너지 사용 절감량</t>
    <phoneticPr fontId="54" type="noConversion"/>
  </si>
  <si>
    <t>Energy reduction</t>
    <phoneticPr fontId="54" type="noConversion"/>
  </si>
  <si>
    <t>에너지 사용 감축 목표량</t>
    <phoneticPr fontId="54" type="noConversion"/>
  </si>
  <si>
    <t xml:space="preserve">Energy consumption reduction target  </t>
  </si>
  <si>
    <t>해당연도 총 에너지사용량</t>
    <phoneticPr fontId="54" type="noConversion"/>
  </si>
  <si>
    <t>Total energy consumption for the relevant year</t>
    <phoneticPr fontId="54" type="noConversion"/>
  </si>
  <si>
    <t>Non-renewable fuel-based energy consumption (LNG, LPG, Gasolin, Disel, Kerosene, Fossil fuel etc.)</t>
    <phoneticPr fontId="54" type="noConversion"/>
  </si>
  <si>
    <t>Purchased non-renewable energy consumption (Purchased from the grid &amp; steam purchased from outside)</t>
    <phoneticPr fontId="54" type="noConversion"/>
  </si>
  <si>
    <t>재생 연료 기반 에너지 사용량</t>
    <phoneticPr fontId="54" type="noConversion"/>
  </si>
  <si>
    <t>Renewable fuel-based energy consumption biomass (woodchip, waste wood) biofuel (bioethanol, biodiesel), etc.</t>
    <phoneticPr fontId="54" type="noConversion"/>
  </si>
  <si>
    <t>구매한 재생 에너지 사용량</t>
    <phoneticPr fontId="54" type="noConversion"/>
  </si>
  <si>
    <t>Purchased renewable energy consumption (Purchased Solar, Wind, Hydro, Geothermal, Marine/ Purchased waste heat steam)</t>
    <phoneticPr fontId="54" type="noConversion"/>
  </si>
  <si>
    <t>자가생산 재생 에너지 사용량</t>
    <phoneticPr fontId="54" type="noConversion"/>
  </si>
  <si>
    <t>Self-generated renewable energy consumption (Solar, Wind, Hydro, Geothermal, Marine)</t>
    <phoneticPr fontId="54" type="noConversion"/>
  </si>
  <si>
    <t>에너지 사용량 집약도</t>
    <phoneticPr fontId="54" type="noConversion"/>
  </si>
  <si>
    <t>Energy intensity</t>
    <phoneticPr fontId="54" type="noConversion"/>
  </si>
  <si>
    <t xml:space="preserve">Total energy consumption  </t>
    <phoneticPr fontId="54" type="noConversion"/>
  </si>
  <si>
    <t>CJ-Gen-E9
GRI 302-3
GRI 305-4</t>
    <phoneticPr fontId="54" type="noConversion"/>
  </si>
  <si>
    <t>구매 전력 사용량</t>
    <phoneticPr fontId="54" type="noConversion"/>
  </si>
  <si>
    <t>Amount of purchased power consumption</t>
    <phoneticPr fontId="54" type="noConversion"/>
  </si>
  <si>
    <t>그리드(grid) 전력 비율</t>
    <phoneticPr fontId="54" type="noConversion"/>
  </si>
  <si>
    <t>Percentage grid electricity</t>
    <phoneticPr fontId="54" type="noConversion"/>
  </si>
  <si>
    <t>SV-LF-130a.1
FB-PF-130a.1</t>
    <phoneticPr fontId="54" type="noConversion"/>
  </si>
  <si>
    <t>재생 전력 사용량</t>
    <phoneticPr fontId="54" type="noConversion"/>
  </si>
  <si>
    <t>TJ</t>
    <phoneticPr fontId="54" type="noConversion"/>
  </si>
  <si>
    <t>(Renewable) Power consumption</t>
    <phoneticPr fontId="54" type="noConversion"/>
  </si>
  <si>
    <t>구매한 재생 전력 사용량</t>
    <phoneticPr fontId="54" type="noConversion"/>
  </si>
  <si>
    <t>Purchased renewable power consumption (REC, PPA, Green tariffs etc.)</t>
    <phoneticPr fontId="54" type="noConversion"/>
  </si>
  <si>
    <t>자가발전 재생 전력 사용량</t>
    <phoneticPr fontId="54" type="noConversion"/>
  </si>
  <si>
    <t>Self-generated renewable power consumption</t>
    <phoneticPr fontId="54" type="noConversion"/>
  </si>
  <si>
    <t>재생가능 비율 (재생에너지 비율)</t>
    <phoneticPr fontId="54" type="noConversion"/>
  </si>
  <si>
    <t>Percentage of renewables</t>
    <phoneticPr fontId="54" type="noConversion"/>
  </si>
  <si>
    <t xml:space="preserve">재생 에너지 사용량 </t>
    <phoneticPr fontId="54" type="noConversion"/>
  </si>
  <si>
    <t>에너지 소비감축</t>
    <phoneticPr fontId="54" type="noConversion"/>
  </si>
  <si>
    <t>Reduction of energy consumption</t>
    <phoneticPr fontId="54" type="noConversion"/>
  </si>
  <si>
    <t>에너지 소비 허용량</t>
    <phoneticPr fontId="54" type="noConversion"/>
  </si>
  <si>
    <t xml:space="preserve">Energy consumption allowance </t>
    <phoneticPr fontId="54" type="noConversion"/>
  </si>
  <si>
    <t>실제 사용량</t>
    <phoneticPr fontId="54" type="noConversion"/>
  </si>
  <si>
    <t>Actual use (Total energy consumption)</t>
    <phoneticPr fontId="54" type="noConversion"/>
  </si>
  <si>
    <t>Reduction in energy consumption</t>
    <phoneticPr fontId="54" type="noConversion"/>
  </si>
  <si>
    <t>수자원</t>
    <phoneticPr fontId="54" type="noConversion"/>
  </si>
  <si>
    <t>Water Resources</t>
    <phoneticPr fontId="54" type="noConversion"/>
  </si>
  <si>
    <t>총 용수 취수량</t>
    <phoneticPr fontId="54" type="noConversion"/>
  </si>
  <si>
    <r>
      <t>Ton(m</t>
    </r>
    <r>
      <rPr>
        <vertAlign val="superscript"/>
        <sz val="11"/>
        <color theme="1"/>
        <rFont val="맑은 고딕"/>
        <family val="3"/>
        <charset val="129"/>
        <scheme val="minor"/>
      </rPr>
      <t>3</t>
    </r>
    <r>
      <rPr>
        <sz val="11"/>
        <color theme="1"/>
        <rFont val="맑은 고딕"/>
        <family val="3"/>
        <charset val="129"/>
        <scheme val="minor"/>
      </rPr>
      <t>)</t>
    </r>
  </si>
  <si>
    <t>Total water withdrawal</t>
    <phoneticPr fontId="54" type="noConversion"/>
  </si>
  <si>
    <t>CJ-Gen-E13</t>
    <phoneticPr fontId="54" type="noConversion"/>
  </si>
  <si>
    <t>수도 사용량</t>
    <phoneticPr fontId="54" type="noConversion"/>
  </si>
  <si>
    <t xml:space="preserve">Third-party water </t>
    <phoneticPr fontId="54" type="noConversion"/>
  </si>
  <si>
    <t xml:space="preserve">CJ-Gen-E13
CJ-GEN-E15
</t>
    <phoneticPr fontId="54" type="noConversion"/>
  </si>
  <si>
    <t>지표수 사용량</t>
    <phoneticPr fontId="54" type="noConversion"/>
  </si>
  <si>
    <t>Surface water</t>
    <phoneticPr fontId="54" type="noConversion"/>
  </si>
  <si>
    <t>산출 불가</t>
    <phoneticPr fontId="54" type="noConversion"/>
  </si>
  <si>
    <t>지하수 사용량</t>
    <phoneticPr fontId="54" type="noConversion"/>
  </si>
  <si>
    <t>Groundwater</t>
    <phoneticPr fontId="54" type="noConversion"/>
  </si>
  <si>
    <t>CJ-Gen-E13
CJ-GEN-E15</t>
    <phoneticPr fontId="54" type="noConversion"/>
  </si>
  <si>
    <t>해수 사용량</t>
    <phoneticPr fontId="54" type="noConversion"/>
  </si>
  <si>
    <t>Seawater withdrawal</t>
    <phoneticPr fontId="54" type="noConversion"/>
  </si>
  <si>
    <t>총 용수 소비량</t>
    <phoneticPr fontId="54" type="noConversion"/>
  </si>
  <si>
    <t>Total water consumption</t>
    <phoneticPr fontId="54" type="noConversion"/>
  </si>
  <si>
    <t xml:space="preserve">Total withdrawal </t>
    <phoneticPr fontId="54" type="noConversion"/>
  </si>
  <si>
    <t>총 용수 배출량</t>
    <phoneticPr fontId="54" type="noConversion"/>
  </si>
  <si>
    <t>Total water discharge</t>
    <phoneticPr fontId="54" type="noConversion"/>
  </si>
  <si>
    <r>
      <t>Ton(m</t>
    </r>
    <r>
      <rPr>
        <vertAlign val="superscript"/>
        <sz val="11"/>
        <rFont val="맑은 고딕"/>
        <family val="3"/>
        <charset val="129"/>
        <scheme val="minor"/>
      </rPr>
      <t>3</t>
    </r>
    <r>
      <rPr>
        <sz val="11"/>
        <rFont val="맑은 고딕"/>
        <family val="3"/>
        <charset val="129"/>
        <scheme val="minor"/>
      </rPr>
      <t>)</t>
    </r>
  </si>
  <si>
    <t>용수 재활용량</t>
    <phoneticPr fontId="54" type="noConversion"/>
  </si>
  <si>
    <t>Total water recycled</t>
    <phoneticPr fontId="54" type="noConversion"/>
  </si>
  <si>
    <t>Water Stress 지역의 용수 취수 비율</t>
    <phoneticPr fontId="54" type="noConversion"/>
  </si>
  <si>
    <t xml:space="preserve">Water withdrawal rate in the water stress areas </t>
    <phoneticPr fontId="54" type="noConversion"/>
  </si>
  <si>
    <t>Water Stress 지역의 용수 취수량</t>
    <phoneticPr fontId="54" type="noConversion"/>
  </si>
  <si>
    <t xml:space="preserve">Total water withdrawal from the water stress areas 
</t>
    <phoneticPr fontId="54" type="noConversion"/>
  </si>
  <si>
    <t xml:space="preserve">Total water withdrawal </t>
    <phoneticPr fontId="54" type="noConversion"/>
  </si>
  <si>
    <t>Water Stress 지역의 용수 소비 비율</t>
    <phoneticPr fontId="54" type="noConversion"/>
  </si>
  <si>
    <t xml:space="preserve">Water consumption rate in the water stress areas </t>
    <phoneticPr fontId="54" type="noConversion"/>
  </si>
  <si>
    <t>Water Stress 지역의 용수 소비량</t>
    <phoneticPr fontId="54" type="noConversion"/>
  </si>
  <si>
    <t xml:space="preserve">Total water consumption from the water stress areas 
</t>
    <phoneticPr fontId="54" type="noConversion"/>
  </si>
  <si>
    <t xml:space="preserve">Total water consumption </t>
    <phoneticPr fontId="54" type="noConversion"/>
  </si>
  <si>
    <t>수질오염물질 배출량</t>
    <phoneticPr fontId="54" type="noConversion"/>
  </si>
  <si>
    <t xml:space="preserve">Discharge amount of water pollutants </t>
    <phoneticPr fontId="54" type="noConversion"/>
  </si>
  <si>
    <t>생화학적 산소요구량 9BOD)</t>
    <phoneticPr fontId="54" type="noConversion"/>
  </si>
  <si>
    <t xml:space="preserve">Biochemical Oxygen Demand (9BOD)		
</t>
    <phoneticPr fontId="54" type="noConversion"/>
  </si>
  <si>
    <t xml:space="preserve">Chemical Oxygen Demand (COD)		
</t>
    <phoneticPr fontId="54" type="noConversion"/>
  </si>
  <si>
    <t xml:space="preserve">Total Organic Carbon (TOC)		
</t>
    <phoneticPr fontId="54" type="noConversion"/>
  </si>
  <si>
    <t xml:space="preserve">Suspended Solids (SS)		
</t>
    <phoneticPr fontId="54" type="noConversion"/>
  </si>
  <si>
    <t xml:space="preserve">Total Nitrogen (T-N)		
</t>
    <phoneticPr fontId="54" type="noConversion"/>
  </si>
  <si>
    <t>Total Phosphorus (T-P)</t>
    <phoneticPr fontId="54" type="noConversion"/>
  </si>
  <si>
    <t>폐기물</t>
    <phoneticPr fontId="54" type="noConversion"/>
  </si>
  <si>
    <t>Wastes</t>
    <phoneticPr fontId="54" type="noConversion"/>
  </si>
  <si>
    <t>총 폐기물 배출량</t>
    <phoneticPr fontId="54" type="noConversion"/>
  </si>
  <si>
    <t>Total waste discharge</t>
    <phoneticPr fontId="54" type="noConversion"/>
  </si>
  <si>
    <t>일반 폐기물</t>
    <phoneticPr fontId="54" type="noConversion"/>
  </si>
  <si>
    <t>Total amount of general wastes (household waste, business waste, construction waste etc.)</t>
    <phoneticPr fontId="54" type="noConversion"/>
  </si>
  <si>
    <t xml:space="preserve">Amount of wastes recycled </t>
    <phoneticPr fontId="54" type="noConversion"/>
  </si>
  <si>
    <t>CJ-Gen-E22</t>
    <phoneticPr fontId="54" type="noConversion"/>
  </si>
  <si>
    <r>
      <t>기타(매립+소각)</t>
    </r>
    <r>
      <rPr>
        <vertAlign val="superscript"/>
        <sz val="11"/>
        <color theme="1"/>
        <rFont val="맑은 고딕"/>
        <family val="3"/>
        <charset val="129"/>
        <scheme val="minor"/>
      </rPr>
      <t>1)</t>
    </r>
  </si>
  <si>
    <t>Amount of waste disposed of in landfills + incineration</t>
    <phoneticPr fontId="54" type="noConversion"/>
  </si>
  <si>
    <t>Total amount of hazardous wastes (hazardous waste, medical waste etc.)</t>
    <phoneticPr fontId="54" type="noConversion"/>
  </si>
  <si>
    <t>재활용</t>
    <phoneticPr fontId="54" type="noConversion"/>
  </si>
  <si>
    <t xml:space="preserve">Amount of waste disposed of in landfills </t>
    <phoneticPr fontId="54" type="noConversion"/>
  </si>
  <si>
    <t>폐기물 배출량 집약도</t>
    <phoneticPr fontId="54" type="noConversion"/>
  </si>
  <si>
    <t>Ton(m3)/억원</t>
    <phoneticPr fontId="54" type="noConversion"/>
  </si>
  <si>
    <t>Waste discharge intensity</t>
    <phoneticPr fontId="54" type="noConversion"/>
  </si>
  <si>
    <t>Ton(m3)/KRW 100M</t>
    <phoneticPr fontId="54" type="noConversion"/>
  </si>
  <si>
    <t>CJ-Gen-E21</t>
    <phoneticPr fontId="54" type="noConversion"/>
  </si>
  <si>
    <t xml:space="preserve">Total waste discharge </t>
    <phoneticPr fontId="54" type="noConversion"/>
  </si>
  <si>
    <t>Ton(m3)</t>
    <phoneticPr fontId="54" type="noConversion"/>
  </si>
  <si>
    <t>폐기물 소각 처리량 (미회수)</t>
    <phoneticPr fontId="54" type="noConversion"/>
  </si>
  <si>
    <t>Amount of waste incineration(Non-recovery)</t>
    <phoneticPr fontId="54" type="noConversion"/>
  </si>
  <si>
    <t>일반 폐기물 소각 처리량</t>
    <phoneticPr fontId="54" type="noConversion"/>
  </si>
  <si>
    <t>General wastes incineration amount (non-recovery)</t>
    <phoneticPr fontId="54" type="noConversion"/>
  </si>
  <si>
    <t>지정 폐기물 소각 처리량</t>
    <phoneticPr fontId="54" type="noConversion"/>
  </si>
  <si>
    <t xml:space="preserve">Designated wastes incineration amount </t>
    <phoneticPr fontId="54" type="noConversion"/>
  </si>
  <si>
    <t>CJ-Gen-E23</t>
    <phoneticPr fontId="54" type="noConversion"/>
  </si>
  <si>
    <t>Amount of wastes incinerated through energy recovery</t>
    <phoneticPr fontId="54" type="noConversion"/>
  </si>
  <si>
    <t xml:space="preserve">General wastes incineration amount through energy recovery </t>
    <phoneticPr fontId="54" type="noConversion"/>
  </si>
  <si>
    <t>Designated wastes incineration amount through energy recovery</t>
    <phoneticPr fontId="54" type="noConversion"/>
  </si>
  <si>
    <t>폐기물 매립 처리량</t>
    <phoneticPr fontId="54" type="noConversion"/>
  </si>
  <si>
    <t>Amount of wastes landfill</t>
    <phoneticPr fontId="54" type="noConversion"/>
  </si>
  <si>
    <t>일반 폐기물 매립 처리량</t>
    <phoneticPr fontId="54" type="noConversion"/>
  </si>
  <si>
    <t>Amount of general waste disposed of in landfills</t>
    <phoneticPr fontId="54" type="noConversion"/>
  </si>
  <si>
    <t>CJ-Gen-E25</t>
    <phoneticPr fontId="54" type="noConversion"/>
  </si>
  <si>
    <t>지정 폐기물 매립 처리량</t>
    <phoneticPr fontId="54" type="noConversion"/>
  </si>
  <si>
    <t>Amount of designated waste disposed of in landfills</t>
    <phoneticPr fontId="54" type="noConversion"/>
  </si>
  <si>
    <t>폐기물 기타 처리량</t>
    <phoneticPr fontId="54" type="noConversion"/>
  </si>
  <si>
    <t>Amount of wastes others</t>
    <phoneticPr fontId="54" type="noConversion"/>
  </si>
  <si>
    <t>CJ-Gen-E26</t>
    <phoneticPr fontId="54" type="noConversion"/>
  </si>
  <si>
    <t>대기오염물질 배출량</t>
    <phoneticPr fontId="54" type="noConversion"/>
  </si>
  <si>
    <t xml:space="preserve">Air pollutants emissions </t>
    <phoneticPr fontId="54" type="noConversion"/>
  </si>
  <si>
    <t>CJ-Gen-E27</t>
    <phoneticPr fontId="54" type="noConversion"/>
  </si>
  <si>
    <t>·NOx 배출량</t>
    <phoneticPr fontId="54" type="noConversion"/>
  </si>
  <si>
    <t xml:space="preserve"> </t>
    <phoneticPr fontId="54" type="noConversion"/>
  </si>
  <si>
    <t>NOx (nitrogen oxide)</t>
    <phoneticPr fontId="54" type="noConversion"/>
  </si>
  <si>
    <t>·SOx 배출량</t>
    <phoneticPr fontId="54" type="noConversion"/>
  </si>
  <si>
    <t>SOx (sulfur oxide)</t>
    <phoneticPr fontId="54" type="noConversion"/>
  </si>
  <si>
    <t>·먼지 배출량</t>
    <phoneticPr fontId="54" type="noConversion"/>
  </si>
  <si>
    <t>Dust (PM)</t>
    <phoneticPr fontId="54" type="noConversion"/>
  </si>
  <si>
    <t>·일산화탄소(CO)배출량</t>
    <phoneticPr fontId="54" type="noConversion"/>
  </si>
  <si>
    <t>CO (carbon monoxide)</t>
    <phoneticPr fontId="54" type="noConversion"/>
  </si>
  <si>
    <t>·중금속 배출량</t>
    <phoneticPr fontId="54" type="noConversion"/>
  </si>
  <si>
    <t>Heavy metals</t>
    <phoneticPr fontId="54" type="noConversion"/>
  </si>
  <si>
    <t>·암모니아(NH3) 배출량</t>
    <phoneticPr fontId="54" type="noConversion"/>
  </si>
  <si>
    <t>Ammonia (NH3)</t>
    <phoneticPr fontId="54" type="noConversion"/>
  </si>
  <si>
    <t>·휘발성유기화합물 배출량(VOCs)</t>
    <phoneticPr fontId="54" type="noConversion"/>
  </si>
  <si>
    <t xml:space="preserve">Volatile organic compounds(VOC) </t>
    <phoneticPr fontId="54" type="noConversion"/>
  </si>
  <si>
    <t>·잔류성 유기오염물질 배출량(POPs)</t>
    <phoneticPr fontId="54" type="noConversion"/>
  </si>
  <si>
    <t xml:space="preserve">Persistent organic pollutants (POPs) </t>
    <phoneticPr fontId="54" type="noConversion"/>
  </si>
  <si>
    <t>환경 관리</t>
    <phoneticPr fontId="54" type="noConversion"/>
  </si>
  <si>
    <t>Environmental Management</t>
    <phoneticPr fontId="54" type="noConversion"/>
  </si>
  <si>
    <t>친환경 원재료 구매액</t>
    <phoneticPr fontId="54" type="noConversion"/>
  </si>
  <si>
    <t>Cost of eco-friendly raw material purchases</t>
    <phoneticPr fontId="54" type="noConversion"/>
  </si>
  <si>
    <t>CJ-Gen-E28</t>
    <phoneticPr fontId="54" type="noConversion"/>
  </si>
  <si>
    <t>친환경 비품/소모품 구매액</t>
    <phoneticPr fontId="54" type="noConversion"/>
  </si>
  <si>
    <t>Cost of eco-friendly supplies purchases</t>
    <phoneticPr fontId="54" type="noConversion"/>
  </si>
  <si>
    <t>CJ-Gen-E29</t>
    <phoneticPr fontId="54" type="noConversion"/>
  </si>
  <si>
    <t>환경경영 관련 인증 사업장 수</t>
    <phoneticPr fontId="54" type="noConversion"/>
  </si>
  <si>
    <t>건</t>
    <phoneticPr fontId="54" type="noConversion"/>
  </si>
  <si>
    <t>Number of certified business sites related to environmental management</t>
    <phoneticPr fontId="54" type="noConversion"/>
  </si>
  <si>
    <t>E _ 환경경영 관련 인증 사업장 수</t>
    <phoneticPr fontId="54" type="noConversion"/>
  </si>
  <si>
    <t>환경 법규 위반 건 수</t>
    <phoneticPr fontId="54" type="noConversion"/>
  </si>
  <si>
    <t>Number of violations of environmental laws and regulations</t>
    <phoneticPr fontId="54" type="noConversion"/>
  </si>
  <si>
    <t>CJ-Gen-E30</t>
    <phoneticPr fontId="54" type="noConversion"/>
  </si>
  <si>
    <t>친환경 인프라 투자 비용</t>
    <phoneticPr fontId="54" type="noConversion"/>
  </si>
  <si>
    <t xml:space="preserve">Cost of investment in eco-friendly infrastructure </t>
    <phoneticPr fontId="54" type="noConversion"/>
  </si>
  <si>
    <t>CJ-Gen-E31</t>
    <phoneticPr fontId="54" type="noConversion"/>
  </si>
  <si>
    <t>총 포장재 재료 사용량</t>
    <phoneticPr fontId="54" type="noConversion"/>
  </si>
  <si>
    <t>Ton</t>
    <phoneticPr fontId="54" type="noConversion"/>
  </si>
  <si>
    <t>Total packaging material consumption</t>
    <phoneticPr fontId="54" type="noConversion"/>
  </si>
  <si>
    <t>CJ-Gen-E32</t>
    <phoneticPr fontId="54" type="noConversion"/>
  </si>
  <si>
    <t>포장재 내 종이 사용량</t>
    <phoneticPr fontId="54" type="noConversion"/>
  </si>
  <si>
    <t xml:space="preserve">Paper consumption in packaging  </t>
    <phoneticPr fontId="54" type="noConversion"/>
  </si>
  <si>
    <t>포장재 내 플라스틱 사용량</t>
    <phoneticPr fontId="54" type="noConversion"/>
  </si>
  <si>
    <t>Plastic consumption in packaging</t>
    <phoneticPr fontId="54" type="noConversion"/>
  </si>
  <si>
    <t>포장재 내 금속 사용량</t>
    <phoneticPr fontId="54" type="noConversion"/>
  </si>
  <si>
    <t xml:space="preserve">Metal consumption in packaging </t>
    <phoneticPr fontId="54" type="noConversion"/>
  </si>
  <si>
    <t>포장재 내 유리 사용량</t>
    <phoneticPr fontId="54" type="noConversion"/>
  </si>
  <si>
    <t xml:space="preserve">Glass consumption in packaging </t>
    <phoneticPr fontId="54" type="noConversion"/>
  </si>
  <si>
    <t>포장재 내 기타 재료 사용량</t>
    <phoneticPr fontId="54" type="noConversion"/>
  </si>
  <si>
    <t>Other consumption in packaging</t>
    <phoneticPr fontId="54" type="noConversion"/>
  </si>
  <si>
    <t xml:space="preserve">Ratio of renewable materials in the packaging materials </t>
    <phoneticPr fontId="54" type="noConversion"/>
  </si>
  <si>
    <t>CJ-Gen-E33</t>
    <phoneticPr fontId="54" type="noConversion"/>
  </si>
  <si>
    <t>포장에 사용된 재생 재료의 총량</t>
    <phoneticPr fontId="54" type="noConversion"/>
  </si>
  <si>
    <t>Total amount of renewable materials</t>
    <phoneticPr fontId="54" type="noConversion"/>
  </si>
  <si>
    <t>총 포장 재료 사용량</t>
    <phoneticPr fontId="54" type="noConversion"/>
  </si>
  <si>
    <t>Total amount of materials used for packaging</t>
    <phoneticPr fontId="54" type="noConversion"/>
  </si>
  <si>
    <t>포장재 내 재생 원재료 사용비율</t>
    <phoneticPr fontId="54" type="noConversion"/>
  </si>
  <si>
    <t>Ratio of recycled materials in the packaging materials</t>
    <phoneticPr fontId="54" type="noConversion"/>
  </si>
  <si>
    <t>CJ-Gen-E34</t>
    <phoneticPr fontId="54" type="noConversion"/>
  </si>
  <si>
    <t xml:space="preserve">Paper used in the products and packaging </t>
    <phoneticPr fontId="54" type="noConversion"/>
  </si>
  <si>
    <t xml:space="preserve">Plastic used in the products and packaging </t>
    <phoneticPr fontId="54" type="noConversion"/>
  </si>
  <si>
    <t xml:space="preserve">Metal used in the products and packaging </t>
    <phoneticPr fontId="54" type="noConversion"/>
  </si>
  <si>
    <t xml:space="preserve">Glass used in the products and packaging </t>
    <phoneticPr fontId="54" type="noConversion"/>
  </si>
  <si>
    <t xml:space="preserve">Others used in the products and packaging </t>
    <phoneticPr fontId="54" type="noConversion"/>
  </si>
  <si>
    <t>순환가능 패키징 비율</t>
    <phoneticPr fontId="54" type="noConversion"/>
  </si>
  <si>
    <t>Ratio of circular packaging</t>
    <phoneticPr fontId="54" type="noConversion"/>
  </si>
  <si>
    <t>CJ-Gen-E35</t>
    <phoneticPr fontId="54" type="noConversion"/>
  </si>
  <si>
    <t>재활용 가능 포장재 중량</t>
    <phoneticPr fontId="54" type="noConversion"/>
  </si>
  <si>
    <t xml:space="preserve">Weight of recyclable packaging materials </t>
    <phoneticPr fontId="54" type="noConversion"/>
  </si>
  <si>
    <t>재사용 가능 포장재 중량</t>
    <phoneticPr fontId="54" type="noConversion"/>
  </si>
  <si>
    <t xml:space="preserve">Weight of reusable packaging materials </t>
    <phoneticPr fontId="54" type="noConversion"/>
  </si>
  <si>
    <t>퇴비화 가능 포장재 중량</t>
    <phoneticPr fontId="54" type="noConversion"/>
  </si>
  <si>
    <t xml:space="preserve">Weight of compostable packaging materials </t>
    <phoneticPr fontId="54" type="noConversion"/>
  </si>
  <si>
    <t>포장재의 총 중량</t>
    <phoneticPr fontId="54" type="noConversion"/>
  </si>
  <si>
    <t>Total weight of packaging materials</t>
    <phoneticPr fontId="54" type="noConversion"/>
  </si>
  <si>
    <t>사회성과</t>
    <phoneticPr fontId="54" type="noConversion"/>
  </si>
  <si>
    <t>Social Performance</t>
    <phoneticPr fontId="54" type="noConversion"/>
  </si>
  <si>
    <t>인력 현황</t>
    <phoneticPr fontId="54" type="noConversion"/>
  </si>
  <si>
    <r>
      <t>Human Resources</t>
    </r>
    <r>
      <rPr>
        <b/>
        <sz val="16"/>
        <color rgb="FF0828FC"/>
        <rFont val="맑은 고딕"/>
        <family val="3"/>
        <charset val="129"/>
        <scheme val="minor"/>
      </rPr>
      <t xml:space="preserve"> (☞ Employee List)</t>
    </r>
  </si>
  <si>
    <t>*Data not needed if "Employee list" sheets can be filled up</t>
    <phoneticPr fontId="54" type="noConversion"/>
  </si>
  <si>
    <t xml:space="preserve">Total number of employees </t>
    <phoneticPr fontId="54" type="noConversion"/>
  </si>
  <si>
    <t xml:space="preserve">Number of workers without fixed term contracts </t>
  </si>
  <si>
    <t xml:space="preserve">Number of workers with fixed term contracts </t>
  </si>
  <si>
    <t xml:space="preserve">Executives (excluding independent directors) </t>
    <phoneticPr fontId="54" type="noConversion"/>
  </si>
  <si>
    <t>현지채용인원 (정규직+비정규직)</t>
    <phoneticPr fontId="54" type="noConversion"/>
  </si>
  <si>
    <t>Number of local workers without fixed term contracts (full-time, indefinite contract workers)</t>
    <phoneticPr fontId="54" type="noConversion"/>
  </si>
  <si>
    <t>임직원 구성 (고용 형태별)</t>
    <phoneticPr fontId="54" type="noConversion"/>
  </si>
  <si>
    <t>Composition of employees by employment type</t>
    <phoneticPr fontId="54" type="noConversion"/>
  </si>
  <si>
    <t>기간의 정함이 없는 근로자 수</t>
    <phoneticPr fontId="54" type="noConversion"/>
  </si>
  <si>
    <t xml:space="preserve">Non-fixed-term workers 
</t>
  </si>
  <si>
    <t>기간제 근로자 수</t>
    <phoneticPr fontId="54" type="noConversion"/>
  </si>
  <si>
    <t xml:space="preserve">Fixed-term workers 
</t>
    <phoneticPr fontId="54" type="noConversion"/>
  </si>
  <si>
    <t>전일제 근로자 수</t>
    <phoneticPr fontId="54" type="noConversion"/>
  </si>
  <si>
    <t xml:space="preserve">Full-time workers 
</t>
    <phoneticPr fontId="54" type="noConversion"/>
  </si>
  <si>
    <t>파트타임 근로자 수</t>
    <phoneticPr fontId="54" type="noConversion"/>
  </si>
  <si>
    <t xml:space="preserve">Part-time workers </t>
    <phoneticPr fontId="54" type="noConversion"/>
  </si>
  <si>
    <t>근로시간 비보장 계약 근로자 수</t>
    <phoneticPr fontId="54" type="noConversion"/>
  </si>
  <si>
    <t>Non-guaranteed-hour workers</t>
    <phoneticPr fontId="54" type="noConversion"/>
  </si>
  <si>
    <t>Composition of employees by gender</t>
    <phoneticPr fontId="54" type="noConversion"/>
  </si>
  <si>
    <t>남성</t>
    <phoneticPr fontId="54" type="noConversion"/>
  </si>
  <si>
    <t xml:space="preserve">Total number of male employees </t>
    <phoneticPr fontId="54" type="noConversion"/>
  </si>
  <si>
    <t>여성</t>
    <phoneticPr fontId="54" type="noConversion"/>
  </si>
  <si>
    <t>경영진 구성 (성별)</t>
    <phoneticPr fontId="54" type="noConversion"/>
  </si>
  <si>
    <t>Composition of governance bodies by gender</t>
    <phoneticPr fontId="54" type="noConversion"/>
  </si>
  <si>
    <t>CJ-Gen-S24</t>
    <phoneticPr fontId="54" type="noConversion"/>
  </si>
  <si>
    <t xml:space="preserve">Percentage of male employees </t>
    <phoneticPr fontId="54" type="noConversion"/>
  </si>
  <si>
    <t>Percentage of female employees</t>
    <phoneticPr fontId="54" type="noConversion"/>
  </si>
  <si>
    <t>전문직 구성
(성별)</t>
    <phoneticPr fontId="54" type="noConversion"/>
  </si>
  <si>
    <t>Composition of professionals by gender</t>
    <phoneticPr fontId="54" type="noConversion"/>
  </si>
  <si>
    <t>임직원 구성
(연령대)</t>
    <phoneticPr fontId="54" type="noConversion"/>
  </si>
  <si>
    <t>Composition of employees by age group</t>
    <phoneticPr fontId="54" type="noConversion"/>
  </si>
  <si>
    <t>30세 미만</t>
    <phoneticPr fontId="54" type="noConversion"/>
  </si>
  <si>
    <t xml:space="preserve">Number of employees under 30 </t>
    <phoneticPr fontId="54" type="noConversion"/>
  </si>
  <si>
    <t>30세 이상 ~ 50세 이하</t>
    <phoneticPr fontId="54" type="noConversion"/>
  </si>
  <si>
    <t xml:space="preserve">Number of employees aged 30 to 50 </t>
    <phoneticPr fontId="54" type="noConversion"/>
  </si>
  <si>
    <t>50세 초과</t>
    <phoneticPr fontId="54" type="noConversion"/>
  </si>
  <si>
    <t>임직원 구성 (국적별)</t>
    <phoneticPr fontId="54" type="noConversion"/>
  </si>
  <si>
    <t>Composition of employees by nationality</t>
    <phoneticPr fontId="54" type="noConversion"/>
  </si>
  <si>
    <t>임원 구성
(연령대)</t>
    <phoneticPr fontId="54" type="noConversion"/>
  </si>
  <si>
    <t>Composition of executives by age group</t>
    <phoneticPr fontId="54" type="noConversion"/>
  </si>
  <si>
    <t>GRI 405-1</t>
  </si>
  <si>
    <t>관리자 수</t>
    <phoneticPr fontId="54" type="noConversion"/>
  </si>
  <si>
    <t>Total number of managers</t>
    <phoneticPr fontId="54" type="noConversion"/>
  </si>
  <si>
    <t>GRI 202-2</t>
  </si>
  <si>
    <t>관리자 비율</t>
    <phoneticPr fontId="54" type="noConversion"/>
  </si>
  <si>
    <t>Manager ratio</t>
    <phoneticPr fontId="54" type="noConversion"/>
  </si>
  <si>
    <t>Percentage of managers out of total employees</t>
    <phoneticPr fontId="54" type="noConversion"/>
  </si>
  <si>
    <t>기타 모든 종업원의 성별 및 인종/민족 구성비</t>
    <phoneticPr fontId="54" type="noConversion"/>
  </si>
  <si>
    <t>Percentage of gender and racial/ethnic group representation for management and all other employees</t>
    <phoneticPr fontId="54" type="noConversion"/>
  </si>
  <si>
    <t>인재확보</t>
    <phoneticPr fontId="54" type="noConversion"/>
  </si>
  <si>
    <r>
      <t xml:space="preserve">Securing Talent </t>
    </r>
    <r>
      <rPr>
        <b/>
        <sz val="16"/>
        <color rgb="FF0828FC"/>
        <rFont val="맑은 고딕"/>
        <family val="3"/>
        <charset val="129"/>
        <scheme val="minor"/>
      </rPr>
      <t>(☞ Employee List)</t>
    </r>
  </si>
  <si>
    <t>총 신규 채용자 수</t>
    <phoneticPr fontId="54" type="noConversion"/>
  </si>
  <si>
    <t>Total number of new hires</t>
    <phoneticPr fontId="54" type="noConversion"/>
  </si>
  <si>
    <t>기간의 정함이 없는 신규 채용자 수</t>
    <phoneticPr fontId="54" type="noConversion"/>
  </si>
  <si>
    <t xml:space="preserve">Number of new hires with a non-fixed term
</t>
    <phoneticPr fontId="54" type="noConversion"/>
  </si>
  <si>
    <t>기간제 신규 채용자 수</t>
    <phoneticPr fontId="54" type="noConversion"/>
  </si>
  <si>
    <t xml:space="preserve">Number of new hires with a fixed term
</t>
    <phoneticPr fontId="54" type="noConversion"/>
  </si>
  <si>
    <t>신규 채용자 구성
(성별)</t>
    <phoneticPr fontId="54" type="noConversion"/>
  </si>
  <si>
    <t>Number of new hires (by gender)</t>
    <phoneticPr fontId="54" type="noConversion"/>
  </si>
  <si>
    <t>Total number of new male hires</t>
    <phoneticPr fontId="54" type="noConversion"/>
  </si>
  <si>
    <t>Total number of new female hires</t>
    <phoneticPr fontId="54" type="noConversion"/>
  </si>
  <si>
    <t>신규 채용자 구성
(연령별)</t>
    <phoneticPr fontId="54" type="noConversion"/>
  </si>
  <si>
    <t>Number of new hires (by age)</t>
    <phoneticPr fontId="54" type="noConversion"/>
  </si>
  <si>
    <t xml:space="preserve">Number of new hires younger than 30 </t>
    <phoneticPr fontId="54" type="noConversion"/>
  </si>
  <si>
    <t xml:space="preserve">Number of new hires aged 30 to 50 </t>
    <phoneticPr fontId="54" type="noConversion"/>
  </si>
  <si>
    <t>Number of new hires aged over 50</t>
    <phoneticPr fontId="54" type="noConversion"/>
  </si>
  <si>
    <t>신규 채용자 수 (국적별)</t>
    <phoneticPr fontId="54" type="noConversion"/>
  </si>
  <si>
    <t>Number of new hires (by nationality)</t>
    <phoneticPr fontId="54" type="noConversion"/>
  </si>
  <si>
    <t>CJ-Gen-S10</t>
    <phoneticPr fontId="54" type="noConversion"/>
  </si>
  <si>
    <t>총 이직자 수</t>
    <phoneticPr fontId="54" type="noConversion"/>
  </si>
  <si>
    <t>Total number of employees who left the company</t>
    <phoneticPr fontId="54" type="noConversion"/>
  </si>
  <si>
    <t>Person</t>
    <phoneticPr fontId="54" type="noConversion"/>
  </si>
  <si>
    <t>자발적 이직자 수</t>
    <phoneticPr fontId="54" type="noConversion"/>
  </si>
  <si>
    <t>Number of employees who left the company for voluntary reasons</t>
    <phoneticPr fontId="54" type="noConversion"/>
  </si>
  <si>
    <t>CJ-Gen-S12</t>
    <phoneticPr fontId="54" type="noConversion"/>
  </si>
  <si>
    <t>비자발적 이직자 수</t>
    <phoneticPr fontId="54" type="noConversion"/>
  </si>
  <si>
    <t>Number of employees who left the company for involuntary reasons</t>
    <phoneticPr fontId="54" type="noConversion"/>
  </si>
  <si>
    <t>자발적 이직율</t>
    <phoneticPr fontId="54" type="noConversion"/>
  </si>
  <si>
    <t>Ratio of employees who left the company for voluntary reasons</t>
    <phoneticPr fontId="54" type="noConversion"/>
  </si>
  <si>
    <t>Male</t>
    <phoneticPr fontId="54" type="noConversion"/>
  </si>
  <si>
    <t>Female</t>
    <phoneticPr fontId="54" type="noConversion"/>
  </si>
  <si>
    <t>Under 30</t>
    <phoneticPr fontId="54" type="noConversion"/>
  </si>
  <si>
    <t>30-50</t>
    <phoneticPr fontId="54" type="noConversion"/>
  </si>
  <si>
    <t>Over 50</t>
    <phoneticPr fontId="54" type="noConversion"/>
  </si>
  <si>
    <t>비자발적 이직율</t>
    <phoneticPr fontId="54" type="noConversion"/>
  </si>
  <si>
    <t>Ratio of employees who left the company for involuntary reasons</t>
    <phoneticPr fontId="54" type="noConversion"/>
  </si>
  <si>
    <t>인권</t>
    <phoneticPr fontId="54" type="noConversion"/>
  </si>
  <si>
    <t>Human Rights</t>
    <phoneticPr fontId="54" type="noConversion"/>
  </si>
  <si>
    <t>인권 침해 제보건수</t>
    <phoneticPr fontId="54" type="noConversion"/>
  </si>
  <si>
    <t>Total number of reported case due to human rights</t>
    <phoneticPr fontId="54" type="noConversion"/>
  </si>
  <si>
    <t>CJ-Gen-S29</t>
    <phoneticPr fontId="54" type="noConversion"/>
  </si>
  <si>
    <t>인권 침해 유효 제보 건 수</t>
    <phoneticPr fontId="54" type="noConversion"/>
  </si>
  <si>
    <t>Total number of valid reported case due to human rights</t>
    <phoneticPr fontId="54" type="noConversion"/>
  </si>
  <si>
    <t>CJ-Gen-S30</t>
    <phoneticPr fontId="54" type="noConversion"/>
  </si>
  <si>
    <t>인권 위험 평가 범위</t>
    <phoneticPr fontId="54" type="noConversion"/>
  </si>
  <si>
    <t>Scope of stakeholders subject to human rights risk assessment</t>
    <phoneticPr fontId="54" type="noConversion"/>
  </si>
  <si>
    <t>CJ-Gen-S29-1</t>
    <phoneticPr fontId="54" type="noConversion"/>
  </si>
  <si>
    <t>성희롱 예방 교육 참여 비율</t>
    <phoneticPr fontId="54" type="noConversion"/>
  </si>
  <si>
    <t>Participation rate in Sexual harassment prevention training</t>
    <phoneticPr fontId="54" type="noConversion"/>
  </si>
  <si>
    <t>CJ-Gen-S31</t>
    <phoneticPr fontId="54" type="noConversion"/>
  </si>
  <si>
    <t>총 성희롱 예방 교육 수료 인원</t>
    <phoneticPr fontId="54" type="noConversion"/>
  </si>
  <si>
    <t xml:space="preserve">Total number of employees who completed sexual harassment prevention training  </t>
    <phoneticPr fontId="54" type="noConversion"/>
  </si>
  <si>
    <t>성희롱 예방 교육 대상자 수</t>
    <phoneticPr fontId="54" type="noConversion"/>
  </si>
  <si>
    <t>Total number of individuals subject to sexual harassment prevention training</t>
    <phoneticPr fontId="54" type="noConversion"/>
  </si>
  <si>
    <t>장애인 인식 개선 교육 참여 비율</t>
    <phoneticPr fontId="54" type="noConversion"/>
  </si>
  <si>
    <t>Participation rate in disability awareness improvement training</t>
    <phoneticPr fontId="54" type="noConversion"/>
  </si>
  <si>
    <t>CJ-Gen-S32</t>
    <phoneticPr fontId="54" type="noConversion"/>
  </si>
  <si>
    <t>총 장애인 인식 개선 교육 수료 인원</t>
    <phoneticPr fontId="54" type="noConversion"/>
  </si>
  <si>
    <t xml:space="preserve">Total number of employees who completed disability awareness improvement training </t>
    <phoneticPr fontId="54" type="noConversion"/>
  </si>
  <si>
    <t>장애인 인식 개선 교육 대상자수(본 항목은 22년까지는 Full-time에 한함)</t>
    <phoneticPr fontId="54" type="noConversion"/>
  </si>
  <si>
    <t>Total number of individuals subject to disability awareness improvement training (for full-time only until 2023 data)</t>
    <phoneticPr fontId="54" type="noConversion"/>
  </si>
  <si>
    <t>단체교섭협약 적용 직원 비율
(노사협의회 기준)</t>
    <phoneticPr fontId="54" type="noConversion"/>
  </si>
  <si>
    <t>*Only CGV Vietnam</t>
    <phoneticPr fontId="54" type="noConversion"/>
  </si>
  <si>
    <t>Ratio of employees subject to the labor union and collective bargaining agreement</t>
    <phoneticPr fontId="54" type="noConversion"/>
  </si>
  <si>
    <t>단체교섭협약 적용 임직원 수</t>
    <phoneticPr fontId="54" type="noConversion"/>
  </si>
  <si>
    <t>Employees subject to the labor union and collective bargaining agreement</t>
    <phoneticPr fontId="54" type="noConversion"/>
  </si>
  <si>
    <t>집회, 결사 및 단체교섭권 훼손 위험이 있는 사업장, 공급업체</t>
    <phoneticPr fontId="54" type="noConversion"/>
  </si>
  <si>
    <t>개</t>
    <phoneticPr fontId="54" type="noConversion"/>
  </si>
  <si>
    <t>Operations and suppliers at risk of exercising freedom of association and collective bargaining</t>
    <phoneticPr fontId="54" type="noConversion"/>
  </si>
  <si>
    <t>Case</t>
    <phoneticPr fontId="54" type="noConversion"/>
  </si>
  <si>
    <t>GRI 407-1</t>
    <phoneticPr fontId="54" type="noConversion"/>
  </si>
  <si>
    <t>인재육성</t>
    <phoneticPr fontId="54" type="noConversion"/>
  </si>
  <si>
    <t>Nurturing Talent</t>
    <phoneticPr fontId="54" type="noConversion"/>
  </si>
  <si>
    <t>인당 교육시간</t>
    <phoneticPr fontId="54" type="noConversion"/>
  </si>
  <si>
    <t xml:space="preserve">Training hours per person </t>
    <phoneticPr fontId="54" type="noConversion"/>
  </si>
  <si>
    <t>CJ-Gen-S27</t>
    <phoneticPr fontId="54" type="noConversion"/>
  </si>
  <si>
    <t>총 교육 수료 시간</t>
    <phoneticPr fontId="54" type="noConversion"/>
  </si>
  <si>
    <t>시간</t>
    <phoneticPr fontId="54" type="noConversion"/>
  </si>
  <si>
    <t xml:space="preserve">Total hours of training completed </t>
    <phoneticPr fontId="54" type="noConversion"/>
  </si>
  <si>
    <t>총 임직원 수</t>
    <phoneticPr fontId="54" type="noConversion"/>
  </si>
  <si>
    <t>Total number of employees</t>
    <phoneticPr fontId="54" type="noConversion"/>
  </si>
  <si>
    <t>인당 교육비용</t>
    <phoneticPr fontId="54" type="noConversion"/>
  </si>
  <si>
    <t>Training cost per person</t>
    <phoneticPr fontId="54" type="noConversion"/>
  </si>
  <si>
    <t>KRW 10K</t>
    <phoneticPr fontId="54" type="noConversion"/>
  </si>
  <si>
    <t>CJ-Gen-S28</t>
    <phoneticPr fontId="54" type="noConversion"/>
  </si>
  <si>
    <t>총 교육 비용</t>
    <phoneticPr fontId="54" type="noConversion"/>
  </si>
  <si>
    <t>만원</t>
    <phoneticPr fontId="54" type="noConversion"/>
  </si>
  <si>
    <t xml:space="preserve">Total training costs </t>
    <phoneticPr fontId="54" type="noConversion"/>
  </si>
  <si>
    <t>임직원 몰입도</t>
    <phoneticPr fontId="54" type="noConversion"/>
  </si>
  <si>
    <t>*Check needed</t>
    <phoneticPr fontId="54" type="noConversion"/>
  </si>
  <si>
    <t xml:space="preserve">Employee engagement </t>
    <phoneticPr fontId="54" type="noConversion"/>
  </si>
  <si>
    <t>Score</t>
    <phoneticPr fontId="54" type="noConversion"/>
  </si>
  <si>
    <t>CJ-Gen-S13</t>
    <phoneticPr fontId="54" type="noConversion"/>
  </si>
  <si>
    <t>몰입 직원 수</t>
    <phoneticPr fontId="54" type="noConversion"/>
  </si>
  <si>
    <t>Number of employees engaged Total number of employees</t>
    <phoneticPr fontId="54" type="noConversion"/>
  </si>
  <si>
    <t>몰입도 조사 응답자수</t>
    <phoneticPr fontId="54" type="noConversion"/>
  </si>
  <si>
    <t>Engagement survey respondents</t>
    <phoneticPr fontId="54" type="noConversion"/>
  </si>
  <si>
    <t>다양성. 공정성. 포용성 (DE&amp;I) 증진</t>
    <phoneticPr fontId="54" type="noConversion"/>
  </si>
  <si>
    <t>DE&amp;I (Diversity, Equity and Inclusion)</t>
    <phoneticPr fontId="54" type="noConversion"/>
  </si>
  <si>
    <t>양성평등</t>
    <phoneticPr fontId="54" type="noConversion"/>
  </si>
  <si>
    <t>Gender equality</t>
    <phoneticPr fontId="54" type="noConversion"/>
  </si>
  <si>
    <t>여성 임원 비율</t>
    <phoneticPr fontId="54" type="noConversion"/>
  </si>
  <si>
    <t>Percentage of women on the Board of Directors</t>
    <phoneticPr fontId="54" type="noConversion"/>
  </si>
  <si>
    <t>GRI 405-1</t>
    <phoneticPr fontId="54" type="noConversion"/>
  </si>
  <si>
    <t>남성 임원 비율</t>
    <phoneticPr fontId="54" type="noConversion"/>
  </si>
  <si>
    <t>Percentage of men on the Board of Directors</t>
    <phoneticPr fontId="54" type="noConversion"/>
  </si>
  <si>
    <t>연령별 임원 비율</t>
    <phoneticPr fontId="54" type="noConversion"/>
  </si>
  <si>
    <t>Percentage of executives by age</t>
    <phoneticPr fontId="54" type="noConversion"/>
  </si>
  <si>
    <t xml:space="preserve">Total number of employees younger than 30 </t>
    <phoneticPr fontId="54" type="noConversion"/>
  </si>
  <si>
    <t xml:space="preserve">Total number of employees aged 30 to 50 </t>
    <phoneticPr fontId="54" type="noConversion"/>
  </si>
  <si>
    <t>Total number of employees aged over 50</t>
    <phoneticPr fontId="54" type="noConversion"/>
  </si>
  <si>
    <t>여성 관리자 비율</t>
    <phoneticPr fontId="54" type="noConversion"/>
  </si>
  <si>
    <t>Ratio of Female manager</t>
    <phoneticPr fontId="54" type="noConversion"/>
  </si>
  <si>
    <t>CJ-Gen-S23</t>
    <phoneticPr fontId="54" type="noConversion"/>
  </si>
  <si>
    <t>STEM부서 여성임직원 비율</t>
    <phoneticPr fontId="54" type="noConversion"/>
  </si>
  <si>
    <t>Female employee ratio in the STEM departments</t>
    <phoneticPr fontId="54" type="noConversion"/>
  </si>
  <si>
    <t>CJ-Gen-S25</t>
    <phoneticPr fontId="54" type="noConversion"/>
  </si>
  <si>
    <t>남성 대비 여성 임금 수준</t>
    <phoneticPr fontId="54" type="noConversion"/>
  </si>
  <si>
    <t>Female to male wage ratio</t>
    <phoneticPr fontId="54" type="noConversion"/>
  </si>
  <si>
    <t>일/가정 양립 육아휴직</t>
    <phoneticPr fontId="54" type="noConversion"/>
  </si>
  <si>
    <t>Work-life balance parental leave</t>
    <phoneticPr fontId="54" type="noConversion"/>
  </si>
  <si>
    <t>육아휴직 대상 인원</t>
    <phoneticPr fontId="54" type="noConversion"/>
  </si>
  <si>
    <t xml:space="preserve">Number of employees who are subject to parental leave </t>
    <phoneticPr fontId="54" type="noConversion"/>
  </si>
  <si>
    <t>육아휴직 대상 남성 임직원</t>
    <phoneticPr fontId="54" type="noConversion"/>
  </si>
  <si>
    <t xml:space="preserve">Male employees subject to parental leave </t>
    <phoneticPr fontId="54" type="noConversion"/>
  </si>
  <si>
    <t>육아휴직 대상 여성 임직원</t>
    <phoneticPr fontId="54" type="noConversion"/>
  </si>
  <si>
    <t>육아휴직  사용 임직원 수</t>
    <phoneticPr fontId="54" type="noConversion"/>
  </si>
  <si>
    <t>Number of employees who used the parental leave program</t>
    <phoneticPr fontId="54" type="noConversion"/>
  </si>
  <si>
    <t xml:space="preserve">Male employees who used the parental leave program </t>
    <phoneticPr fontId="54" type="noConversion"/>
  </si>
  <si>
    <t>Female employees who used the parental leave program</t>
    <phoneticPr fontId="54" type="noConversion"/>
  </si>
  <si>
    <t>Return rate from parental leave of male employees</t>
    <phoneticPr fontId="54" type="noConversion"/>
  </si>
  <si>
    <t>Return rate from parental leave of female employees</t>
    <phoneticPr fontId="54" type="noConversion"/>
  </si>
  <si>
    <t>Retention rate after return from parental leave</t>
    <phoneticPr fontId="54" type="noConversion"/>
  </si>
  <si>
    <t>출산휴가</t>
    <phoneticPr fontId="54" type="noConversion"/>
  </si>
  <si>
    <t xml:space="preserve">Number of employees who used maternity leave </t>
    <phoneticPr fontId="54" type="noConversion"/>
  </si>
  <si>
    <t xml:space="preserve">                                                                                                                                                                                                                                                                             </t>
    <phoneticPr fontId="3" type="noConversion"/>
  </si>
  <si>
    <t xml:space="preserve">Number of male employees who used paternity leave </t>
    <phoneticPr fontId="54" type="noConversion"/>
  </si>
  <si>
    <t>Number of female employees who used maternity leave</t>
    <phoneticPr fontId="54" type="noConversion"/>
  </si>
  <si>
    <t>사회적 소수자 포용</t>
    <phoneticPr fontId="54" type="noConversion"/>
  </si>
  <si>
    <t xml:space="preserve">Number of social minority members </t>
    <phoneticPr fontId="54" type="noConversion"/>
  </si>
  <si>
    <t>Number of disabled workers</t>
    <phoneticPr fontId="54" type="noConversion"/>
  </si>
  <si>
    <t xml:space="preserve">보훈대상자 근로자 수 </t>
    <phoneticPr fontId="54" type="noConversion"/>
  </si>
  <si>
    <t xml:space="preserve">Number of recipient of military service benefits (only in korea) </t>
    <phoneticPr fontId="54" type="noConversion"/>
  </si>
  <si>
    <t>정기 성과평가 받은 임직원 비율</t>
    <phoneticPr fontId="54" type="noConversion"/>
  </si>
  <si>
    <t xml:space="preserve">Ratio of employees subject to regular performance evaluation </t>
    <phoneticPr fontId="54" type="noConversion"/>
  </si>
  <si>
    <t>MBO 평가 받은 임직원 비율</t>
    <phoneticPr fontId="54" type="noConversion"/>
  </si>
  <si>
    <t xml:space="preserve">Ratio of employees who received MBO 
</t>
    <phoneticPr fontId="54" type="noConversion"/>
  </si>
  <si>
    <t>CJ-Gen-S26</t>
    <phoneticPr fontId="54" type="noConversion"/>
  </si>
  <si>
    <t>다면평가 받은 임직원 비율</t>
    <phoneticPr fontId="54" type="noConversion"/>
  </si>
  <si>
    <t xml:space="preserve">Ratio of employees who received multi-faceted evaluations
</t>
    <phoneticPr fontId="54" type="noConversion"/>
  </si>
  <si>
    <t>상대평가 받은 임직원 비율</t>
    <phoneticPr fontId="54" type="noConversion"/>
  </si>
  <si>
    <t>연간 총 보상 비율</t>
    <phoneticPr fontId="54" type="noConversion"/>
  </si>
  <si>
    <t>Annual total compensation ratio</t>
    <phoneticPr fontId="54" type="noConversion"/>
  </si>
  <si>
    <t>CJ-Gen-S14</t>
    <phoneticPr fontId="54" type="noConversion"/>
  </si>
  <si>
    <t>전체 임직원 총 보상의 중간값</t>
    <phoneticPr fontId="54" type="noConversion"/>
  </si>
  <si>
    <t xml:space="preserve">Median value of the total compensation for all employees </t>
    <phoneticPr fontId="54" type="noConversion"/>
  </si>
  <si>
    <t xml:space="preserve">단위: RMB 
21년  인건비 </t>
  </si>
  <si>
    <t>조직 내 최고 연봉자의 총 보상</t>
    <phoneticPr fontId="54" type="noConversion"/>
  </si>
  <si>
    <t xml:space="preserve">Total compensation for a person with the highest annual salary in the organization </t>
    <phoneticPr fontId="54" type="noConversion"/>
  </si>
  <si>
    <t>최저(생활)임금을 받는 임직원 비율</t>
    <phoneticPr fontId="54" type="noConversion"/>
  </si>
  <si>
    <t>Ratio of employees who receive minimum (living) wage</t>
    <phoneticPr fontId="54" type="noConversion"/>
  </si>
  <si>
    <t>CJ-Gen-S15</t>
    <phoneticPr fontId="54" type="noConversion"/>
  </si>
  <si>
    <t>생활 임금보다 낮은 임금을 받는 임직원 수</t>
    <phoneticPr fontId="54" type="noConversion"/>
  </si>
  <si>
    <t xml:space="preserve">Number of employees receiving lower wages than their living wage </t>
    <phoneticPr fontId="54" type="noConversion"/>
  </si>
  <si>
    <t>지역최저임금 대비 성별 표준신입임금 비율</t>
    <phoneticPr fontId="54" type="noConversion"/>
  </si>
  <si>
    <t>Ratios of standard entry level wage by gender compared to local minimum wage</t>
    <phoneticPr fontId="54" type="noConversion"/>
  </si>
  <si>
    <t>GRI 405-2
GRI 202-1</t>
    <phoneticPr fontId="54" type="noConversion"/>
  </si>
  <si>
    <t>안전 및 보건</t>
    <phoneticPr fontId="54" type="noConversion"/>
  </si>
  <si>
    <t>Safety &amp; Health</t>
    <phoneticPr fontId="54" type="noConversion"/>
  </si>
  <si>
    <t>임직원 산업재해율</t>
    <phoneticPr fontId="54" type="noConversion"/>
  </si>
  <si>
    <t>Employee occupational injury rate</t>
    <phoneticPr fontId="54" type="noConversion"/>
  </si>
  <si>
    <t>정규직 종업원의 총기록 재해율</t>
    <phoneticPr fontId="54" type="noConversion"/>
  </si>
  <si>
    <t>Injury rate of employee with non-fixed term contracts</t>
    <phoneticPr fontId="54" type="noConversion"/>
  </si>
  <si>
    <t>정규직 종업원의 아차사고 빈도율</t>
    <phoneticPr fontId="54" type="noConversion"/>
  </si>
  <si>
    <t xml:space="preserve">Near Miss Frequency Rate of workers without fixed term contracts </t>
    <phoneticPr fontId="54" type="noConversion"/>
  </si>
  <si>
    <t>CJ-Gen-S39</t>
    <phoneticPr fontId="54" type="noConversion"/>
  </si>
  <si>
    <t>기간제 종업원의 총기록 재해율</t>
    <phoneticPr fontId="54" type="noConversion"/>
  </si>
  <si>
    <t>Injury rate of employee with fixed term contracts</t>
    <phoneticPr fontId="54" type="noConversion"/>
  </si>
  <si>
    <t>기간제 종업원의 아차사고 빈도율</t>
    <phoneticPr fontId="54" type="noConversion"/>
  </si>
  <si>
    <t xml:space="preserve">Near Miss Frequency Rate workers with fixed term contracts </t>
    <phoneticPr fontId="54" type="noConversion"/>
  </si>
  <si>
    <t>산업재해 발생 건수</t>
    <phoneticPr fontId="54" type="noConversion"/>
  </si>
  <si>
    <t xml:space="preserve">Total number of accidents </t>
    <phoneticPr fontId="54" type="noConversion"/>
  </si>
  <si>
    <t>CJ-Gen-S33</t>
    <phoneticPr fontId="54" type="noConversion"/>
  </si>
  <si>
    <t>총 재해자 수</t>
    <phoneticPr fontId="54" type="noConversion"/>
  </si>
  <si>
    <t>Number of employees who suffered industrial accidents</t>
    <phoneticPr fontId="54" type="noConversion"/>
  </si>
  <si>
    <t>사망사고 발생 건수</t>
    <phoneticPr fontId="54" type="noConversion"/>
  </si>
  <si>
    <t xml:space="preserve">Total number of fatal accidents </t>
    <phoneticPr fontId="54" type="noConversion"/>
  </si>
  <si>
    <t>CJ-Gen-S35</t>
    <phoneticPr fontId="54" type="noConversion"/>
  </si>
  <si>
    <t>고객 사망률</t>
    <phoneticPr fontId="54" type="noConversion"/>
  </si>
  <si>
    <t>Injury rate for customers</t>
    <phoneticPr fontId="54" type="noConversion"/>
  </si>
  <si>
    <t>고객 상해율</t>
    <phoneticPr fontId="54" type="noConversion"/>
  </si>
  <si>
    <t>Fatality rate for customers</t>
    <phoneticPr fontId="54" type="noConversion"/>
  </si>
  <si>
    <t>임직원 근로손실재해율(LTIFR)</t>
    <phoneticPr fontId="54" type="noConversion"/>
  </si>
  <si>
    <t>건/백만시간</t>
    <phoneticPr fontId="54" type="noConversion"/>
  </si>
  <si>
    <t>Employees' lost time injury frequency rate (LTIFR)</t>
    <phoneticPr fontId="54" type="noConversion"/>
  </si>
  <si>
    <t>Case/Million hours</t>
    <phoneticPr fontId="54" type="noConversion"/>
  </si>
  <si>
    <t>CJ-Gen-S36</t>
    <phoneticPr fontId="54" type="noConversion"/>
  </si>
  <si>
    <t>근로손실 부상 Case수</t>
    <phoneticPr fontId="54" type="noConversion"/>
  </si>
  <si>
    <t xml:space="preserve">Number of lost time injuries </t>
    <phoneticPr fontId="54" type="noConversion"/>
  </si>
  <si>
    <t>총 근무 시간</t>
    <phoneticPr fontId="54" type="noConversion"/>
  </si>
  <si>
    <t>Total working hours</t>
    <phoneticPr fontId="54" type="noConversion"/>
  </si>
  <si>
    <t>협력업체 근로손실재해율 (Contractor LTIFR)</t>
    <phoneticPr fontId="54" type="noConversion"/>
  </si>
  <si>
    <t>Contractor lost time injury frequency rate (LTIFR)</t>
    <phoneticPr fontId="54" type="noConversion"/>
  </si>
  <si>
    <t>CJ-Gen-S37</t>
    <phoneticPr fontId="54" type="noConversion"/>
  </si>
  <si>
    <t>협력업체 근로손실 부상 발생 건수</t>
    <phoneticPr fontId="54" type="noConversion"/>
  </si>
  <si>
    <t>Suppliers’ number of lost time injuries</t>
    <phoneticPr fontId="54" type="noConversion"/>
  </si>
  <si>
    <t>협력업체 총 근무 시간</t>
    <phoneticPr fontId="54" type="noConversion"/>
  </si>
  <si>
    <t>총기록사고발생율 (TRIR)</t>
    <phoneticPr fontId="54" type="noConversion"/>
  </si>
  <si>
    <t>건/20만시간</t>
    <phoneticPr fontId="54" type="noConversion"/>
  </si>
  <si>
    <t>Total Recordable Incident Rate (TRIR)</t>
    <phoneticPr fontId="54" type="noConversion"/>
  </si>
  <si>
    <t>Case/0.2 Million hours</t>
    <phoneticPr fontId="54" type="noConversion"/>
  </si>
  <si>
    <t>CJ-Gen-S38</t>
    <phoneticPr fontId="54" type="noConversion"/>
  </si>
  <si>
    <t>기록사고 발생 건수</t>
    <phoneticPr fontId="54" type="noConversion"/>
  </si>
  <si>
    <t>Total number of recordable incidents</t>
    <phoneticPr fontId="54" type="noConversion"/>
  </si>
  <si>
    <t>아차사고빈도율 (NMFR)</t>
    <phoneticPr fontId="54" type="noConversion"/>
  </si>
  <si>
    <t>건20만시간</t>
    <phoneticPr fontId="54" type="noConversion"/>
  </si>
  <si>
    <t>Near Miss Frequency Rate (NMFR)</t>
    <phoneticPr fontId="54" type="noConversion"/>
  </si>
  <si>
    <t>Total number of near miss incidents</t>
    <phoneticPr fontId="54" type="noConversion"/>
  </si>
  <si>
    <t>중대 재해 발생 건 수</t>
    <phoneticPr fontId="54" type="noConversion"/>
  </si>
  <si>
    <t>Number of serious accidents</t>
    <phoneticPr fontId="54" type="noConversion"/>
  </si>
  <si>
    <t>CJ-Gen-S40</t>
    <phoneticPr fontId="54" type="noConversion"/>
  </si>
  <si>
    <t>업무 관련 부상</t>
    <phoneticPr fontId="54" type="noConversion"/>
  </si>
  <si>
    <t>Work-related injuries</t>
    <phoneticPr fontId="54" type="noConversion"/>
  </si>
  <si>
    <t>업무 관련 건강문제</t>
    <phoneticPr fontId="54" type="noConversion"/>
  </si>
  <si>
    <t>Work-related ill health</t>
    <phoneticPr fontId="54" type="noConversion"/>
  </si>
  <si>
    <t>GRI 403-10</t>
    <phoneticPr fontId="54" type="noConversion"/>
  </si>
  <si>
    <t>산업안전 교육 참여 비율</t>
    <phoneticPr fontId="54" type="noConversion"/>
  </si>
  <si>
    <t xml:space="preserve">Occupational safety training completion rate </t>
    <phoneticPr fontId="54" type="noConversion"/>
  </si>
  <si>
    <t>CJ-Gen-S43</t>
    <phoneticPr fontId="54" type="noConversion"/>
  </si>
  <si>
    <t>총 산업안전 교육 수료인원</t>
    <phoneticPr fontId="54" type="noConversion"/>
  </si>
  <si>
    <t xml:space="preserve">Number of employees who participated in occupational safety training  </t>
    <phoneticPr fontId="54" type="noConversion"/>
  </si>
  <si>
    <t>산업안전 교육 대상자 수</t>
    <phoneticPr fontId="54" type="noConversion"/>
  </si>
  <si>
    <t>공급망 ESG 리스크 진단 이행률</t>
    <phoneticPr fontId="54" type="noConversion"/>
  </si>
  <si>
    <t>Supply chain ESG risk assessment implementation rate</t>
    <phoneticPr fontId="54" type="noConversion"/>
  </si>
  <si>
    <t>CJ-Gen-S44</t>
    <phoneticPr fontId="54" type="noConversion"/>
  </si>
  <si>
    <t xml:space="preserve">ESG 리스크 진단 완료 핵심 협력사 수
</t>
    <phoneticPr fontId="54" type="noConversion"/>
  </si>
  <si>
    <t>Key suppliers that completed ESG risk assessment</t>
    <phoneticPr fontId="54" type="noConversion"/>
  </si>
  <si>
    <t>전체 핵심 협력사 수</t>
    <phoneticPr fontId="54" type="noConversion"/>
  </si>
  <si>
    <t>Number of all key suppliers</t>
    <phoneticPr fontId="54" type="noConversion"/>
  </si>
  <si>
    <t>공급망 ESG 실사 이행율</t>
    <phoneticPr fontId="54" type="noConversion"/>
  </si>
  <si>
    <t xml:space="preserve">Supply chain ESG risk assessment implementation rate </t>
    <phoneticPr fontId="54" type="noConversion"/>
  </si>
  <si>
    <t>CJ-Gen-S45</t>
    <phoneticPr fontId="54" type="noConversion"/>
  </si>
  <si>
    <t>ESG 실사 완료 고위험 핵심 협력사 수</t>
    <phoneticPr fontId="54" type="noConversion"/>
  </si>
  <si>
    <t xml:space="preserve">High-risk key Suppliers that completed ESG due diligence </t>
    <phoneticPr fontId="54" type="noConversion"/>
  </si>
  <si>
    <t>고위험 핵심 협력사 수</t>
    <phoneticPr fontId="54" type="noConversion"/>
  </si>
  <si>
    <t>공급망 ESG 개선조치 계획 수립율</t>
    <phoneticPr fontId="54" type="noConversion"/>
  </si>
  <si>
    <t xml:space="preserve">Rate of improvement plan establishment  
Implementation ratio of improvement measures </t>
    <phoneticPr fontId="54" type="noConversion"/>
  </si>
  <si>
    <t>CJ-Gen-S46</t>
    <phoneticPr fontId="54" type="noConversion"/>
  </si>
  <si>
    <t xml:space="preserve">High-risk key suppliers that completed the establishment of improvement plans </t>
    <phoneticPr fontId="54" type="noConversion"/>
  </si>
  <si>
    <t>공급망 ESG 개선조치 이행률</t>
    <phoneticPr fontId="54" type="noConversion"/>
  </si>
  <si>
    <t>Supply chain ESG improvement plan implementation rate</t>
    <phoneticPr fontId="54" type="noConversion"/>
  </si>
  <si>
    <t>1년 내 개선조치 이행 완료 고위험 핵심 협력사 수</t>
    <phoneticPr fontId="54" type="noConversion"/>
  </si>
  <si>
    <t xml:space="preserve">High-risk key suppliers that implemented the improvement measures within 1 year </t>
    <phoneticPr fontId="54" type="noConversion"/>
  </si>
  <si>
    <t>개선조치 수립 완료 고위험 핵심 협력사 수</t>
    <phoneticPr fontId="54" type="noConversion"/>
  </si>
  <si>
    <t>공급망 ESG 교육</t>
    <phoneticPr fontId="54" type="noConversion"/>
  </si>
  <si>
    <t>CJ-Gen-S42-1</t>
    <phoneticPr fontId="54" type="noConversion"/>
  </si>
  <si>
    <t>협력사 행동규범 적용 계약 비율</t>
    <phoneticPr fontId="54" type="noConversion"/>
  </si>
  <si>
    <t>Ratio of contracts that apply the Code of Conduct</t>
    <phoneticPr fontId="54" type="noConversion"/>
  </si>
  <si>
    <t>CJ-Gen-S42</t>
    <phoneticPr fontId="54" type="noConversion"/>
  </si>
  <si>
    <t>사회공헌</t>
    <phoneticPr fontId="54" type="noConversion"/>
  </si>
  <si>
    <t>Social Contribution</t>
    <phoneticPr fontId="54" type="noConversion"/>
  </si>
  <si>
    <t>상생펀드 조성액</t>
    <phoneticPr fontId="54" type="noConversion"/>
  </si>
  <si>
    <t>Shared growth fund</t>
    <phoneticPr fontId="54" type="noConversion"/>
  </si>
  <si>
    <t>CJ-Gen-S41</t>
    <phoneticPr fontId="54" type="noConversion"/>
  </si>
  <si>
    <t>사회공헌비용: 기부금</t>
    <phoneticPr fontId="54" type="noConversion"/>
  </si>
  <si>
    <t>현지통화기준(KRW: 억원)</t>
    <phoneticPr fontId="54" type="noConversion"/>
  </si>
  <si>
    <t>Social contribution expenses: donations</t>
    <phoneticPr fontId="54" type="noConversion"/>
  </si>
  <si>
    <t>Local currency (KRW 100M)</t>
    <phoneticPr fontId="54" type="noConversion"/>
  </si>
  <si>
    <t>CJ-Gen-S50</t>
    <phoneticPr fontId="54" type="noConversion"/>
  </si>
  <si>
    <t>정치 기부금</t>
    <phoneticPr fontId="54" type="noConversion"/>
  </si>
  <si>
    <t>원</t>
    <phoneticPr fontId="54" type="noConversion"/>
  </si>
  <si>
    <t>Political contributions</t>
    <phoneticPr fontId="54" type="noConversion"/>
  </si>
  <si>
    <t>KRW</t>
    <phoneticPr fontId="54" type="noConversion"/>
  </si>
  <si>
    <t>GRI 415-1</t>
    <phoneticPr fontId="54" type="noConversion"/>
  </si>
  <si>
    <t>자원봉사</t>
    <phoneticPr fontId="54" type="noConversion"/>
  </si>
  <si>
    <t>Volunteer activities</t>
    <phoneticPr fontId="54" type="noConversion"/>
  </si>
  <si>
    <t>KVND (Donation for Covid  vaccine to Government - June 2021)</t>
  </si>
  <si>
    <t>Volunteer activities participation hours</t>
    <phoneticPr fontId="54" type="noConversion"/>
  </si>
  <si>
    <t>CJ-Gen-S51</t>
    <phoneticPr fontId="54" type="noConversion"/>
  </si>
  <si>
    <t>인원 수</t>
    <phoneticPr fontId="54" type="noConversion"/>
  </si>
  <si>
    <t>Aggregate the number of employees who participated in volunteer activities</t>
    <phoneticPr fontId="54" type="noConversion"/>
  </si>
  <si>
    <t>CJ-Gen-S52</t>
    <phoneticPr fontId="54" type="noConversion"/>
  </si>
  <si>
    <t>지역사회 참여, 영향 평가 및 개발 프로그램 수행 사업장 비율</t>
    <phoneticPr fontId="54" type="noConversion"/>
  </si>
  <si>
    <t>Operations with local community engagement, impact assessments, and development programs</t>
    <phoneticPr fontId="54" type="noConversion"/>
  </si>
  <si>
    <t>지배구조 성과</t>
    <phoneticPr fontId="54" type="noConversion"/>
  </si>
  <si>
    <t>Governance Performance</t>
    <phoneticPr fontId="54" type="noConversion"/>
  </si>
  <si>
    <t>이사회 구성</t>
    <phoneticPr fontId="54" type="noConversion"/>
  </si>
  <si>
    <t>BOD Composition</t>
    <phoneticPr fontId="54" type="noConversion"/>
  </si>
  <si>
    <t>이사회 구성 현황</t>
    <phoneticPr fontId="54" type="noConversion"/>
  </si>
  <si>
    <t>Composition of Board of Directors</t>
    <phoneticPr fontId="54" type="noConversion"/>
  </si>
  <si>
    <t>이사회</t>
    <phoneticPr fontId="54" type="noConversion"/>
  </si>
  <si>
    <t>사외이사</t>
    <phoneticPr fontId="54" type="noConversion"/>
  </si>
  <si>
    <t xml:space="preserve">Number of independent directors </t>
    <phoneticPr fontId="54" type="noConversion"/>
  </si>
  <si>
    <t>여성이사</t>
    <phoneticPr fontId="54" type="noConversion"/>
  </si>
  <si>
    <t xml:space="preserve">Number of female directors 	</t>
    <phoneticPr fontId="54" type="noConversion"/>
  </si>
  <si>
    <t>사외이사 구성 비율</t>
    <phoneticPr fontId="54" type="noConversion"/>
  </si>
  <si>
    <t xml:space="preserve">Composition ratio of independent directors to the Board of Directors </t>
    <phoneticPr fontId="54" type="noConversion"/>
  </si>
  <si>
    <t>Number of independent directors</t>
    <phoneticPr fontId="54" type="noConversion"/>
  </si>
  <si>
    <t>감사위원회</t>
    <phoneticPr fontId="54" type="noConversion"/>
  </si>
  <si>
    <t>이사회 운영</t>
    <phoneticPr fontId="54" type="noConversion"/>
  </si>
  <si>
    <t>Audit Organization</t>
    <phoneticPr fontId="54" type="noConversion"/>
  </si>
  <si>
    <t>개최 횟수</t>
    <phoneticPr fontId="54" type="noConversion"/>
  </si>
  <si>
    <t>Number of the Meetings</t>
    <phoneticPr fontId="54" type="noConversion"/>
  </si>
  <si>
    <t xml:space="preserve">Number of Audit Committee Meetings </t>
    <phoneticPr fontId="54" type="noConversion"/>
  </si>
  <si>
    <t>CJ-Gen-G24</t>
    <phoneticPr fontId="54" type="noConversion"/>
  </si>
  <si>
    <t>안건 수</t>
    <phoneticPr fontId="54" type="noConversion"/>
  </si>
  <si>
    <t>Number of agenda items</t>
    <phoneticPr fontId="54" type="noConversion"/>
  </si>
  <si>
    <t>이사회 상정</t>
    <phoneticPr fontId="54" type="noConversion"/>
  </si>
  <si>
    <t xml:space="preserve">Number of agenda items discussed by the Board of Directors </t>
    <phoneticPr fontId="54" type="noConversion"/>
  </si>
  <si>
    <t>사외이사 반대/수정</t>
    <phoneticPr fontId="54" type="noConversion"/>
  </si>
  <si>
    <t xml:space="preserve">Number of agenda items opposed/Amended by independent directors </t>
    <phoneticPr fontId="54" type="noConversion"/>
  </si>
  <si>
    <t>참석율</t>
    <phoneticPr fontId="54" type="noConversion"/>
  </si>
  <si>
    <t xml:space="preserve">Attendance Rate </t>
    <phoneticPr fontId="54" type="noConversion"/>
  </si>
  <si>
    <t>이사회_사내이사</t>
    <phoneticPr fontId="54" type="noConversion"/>
  </si>
  <si>
    <t>Attendance Rate of Inside Directors for the Board of Directors meetings</t>
    <phoneticPr fontId="54" type="noConversion"/>
  </si>
  <si>
    <t>이사회_사외이사</t>
    <phoneticPr fontId="54" type="noConversion"/>
  </si>
  <si>
    <t>Attendance rate of independent directors for the BOD meetings</t>
    <phoneticPr fontId="54" type="noConversion"/>
  </si>
  <si>
    <t>사외이사후보추천위원회_
사외이사</t>
    <phoneticPr fontId="54" type="noConversion"/>
  </si>
  <si>
    <t>Attendance rate of independent directors at the Independent Director Candidate Recommendation Committee</t>
    <phoneticPr fontId="54" type="noConversion"/>
  </si>
  <si>
    <t>보상위원회_사외이사</t>
    <phoneticPr fontId="54" type="noConversion"/>
  </si>
  <si>
    <t>Attendance rate of independent directors for the Renumeration Committee</t>
    <phoneticPr fontId="54" type="noConversion"/>
  </si>
  <si>
    <t>감사위원회_사외이사</t>
    <phoneticPr fontId="54" type="noConversion"/>
  </si>
  <si>
    <t>Attendance rate of independent directors for the Audit Committee</t>
    <phoneticPr fontId="54" type="noConversion"/>
  </si>
  <si>
    <t xml:space="preserve">Number of Audit Committee Members </t>
    <phoneticPr fontId="54" type="noConversion"/>
  </si>
  <si>
    <t>CJ-Gen-G25</t>
    <phoneticPr fontId="54" type="noConversion"/>
  </si>
  <si>
    <t>Number of independent directors from Audit Committee</t>
    <phoneticPr fontId="54" type="noConversion"/>
  </si>
  <si>
    <t>CJ-Gen-G26</t>
    <phoneticPr fontId="54" type="noConversion"/>
  </si>
  <si>
    <t>감사 또는 감사위원 장기 재직 위원 비율</t>
    <phoneticPr fontId="54" type="noConversion"/>
  </si>
  <si>
    <t xml:space="preserve">Ratio of long-term auditors or audit committee members </t>
    <phoneticPr fontId="54" type="noConversion"/>
  </si>
  <si>
    <t>CJ-Gen-G27</t>
    <phoneticPr fontId="54" type="noConversion"/>
  </si>
  <si>
    <t>장기 재직 감사 또는 감사위원</t>
    <phoneticPr fontId="54" type="noConversion"/>
  </si>
  <si>
    <t>Number of long-term auditors or audit committee members</t>
    <phoneticPr fontId="54" type="noConversion"/>
  </si>
  <si>
    <t>전체 감사 또는 감사위원 수</t>
    <phoneticPr fontId="54" type="noConversion"/>
  </si>
  <si>
    <t>Total number of auditors of audit committee members</t>
    <phoneticPr fontId="54" type="noConversion"/>
  </si>
  <si>
    <t>이사 보수 공개</t>
    <phoneticPr fontId="54" type="noConversion"/>
  </si>
  <si>
    <t>BOD Remuneration</t>
    <phoneticPr fontId="54" type="noConversion"/>
  </si>
  <si>
    <t>Board of Director</t>
    <phoneticPr fontId="54" type="noConversion"/>
  </si>
  <si>
    <t>사내이사</t>
    <phoneticPr fontId="54" type="noConversion"/>
  </si>
  <si>
    <t xml:space="preserve">Total remuneration for inside directors </t>
    <phoneticPr fontId="54" type="noConversion"/>
  </si>
  <si>
    <t>CJ-Gen-G16</t>
    <phoneticPr fontId="54" type="noConversion"/>
  </si>
  <si>
    <t xml:space="preserve">Total remuneration for independent directors 	</t>
    <phoneticPr fontId="54" type="noConversion"/>
  </si>
  <si>
    <t>감사용역보수 대비 비감사용역보수 비율</t>
    <phoneticPr fontId="54" type="noConversion"/>
  </si>
  <si>
    <t>Ratio of non-audit service fees to audit service fees paid to external auditors</t>
    <phoneticPr fontId="54" type="noConversion"/>
  </si>
  <si>
    <t>CJ-Gen-G28</t>
    <phoneticPr fontId="54" type="noConversion"/>
  </si>
  <si>
    <t>비감사용역 보수</t>
    <phoneticPr fontId="54" type="noConversion"/>
  </si>
  <si>
    <t xml:space="preserve">Non-audit fees paid to external auditors </t>
    <phoneticPr fontId="54" type="noConversion"/>
  </si>
  <si>
    <t>감사용역 보수</t>
    <phoneticPr fontId="54" type="noConversion"/>
  </si>
  <si>
    <t>Audit fees paid to external auditors</t>
    <phoneticPr fontId="54" type="noConversion"/>
  </si>
  <si>
    <t>주주</t>
    <phoneticPr fontId="54" type="noConversion"/>
  </si>
  <si>
    <t>Shareholders</t>
    <phoneticPr fontId="54" type="noConversion"/>
  </si>
  <si>
    <t>최대주주 및 특수관계인의 지분율</t>
    <phoneticPr fontId="54" type="noConversion"/>
  </si>
  <si>
    <t>Shareholding Ratio of the Largest Shareholder and Related Parties</t>
    <phoneticPr fontId="54" type="noConversion"/>
  </si>
  <si>
    <t>CJ-Gen-G1</t>
    <phoneticPr fontId="54" type="noConversion"/>
  </si>
  <si>
    <t>최대주주 및 특수관계인 보유 주식 수</t>
    <phoneticPr fontId="54" type="noConversion"/>
  </si>
  <si>
    <t>주</t>
    <phoneticPr fontId="54" type="noConversion"/>
  </si>
  <si>
    <t>Number of shares held by the largest shareholder and related parties Number of shares of common stock issued</t>
    <phoneticPr fontId="54" type="noConversion"/>
  </si>
  <si>
    <t>Number</t>
    <phoneticPr fontId="54" type="noConversion"/>
  </si>
  <si>
    <t>보통주 발행 주식 수</t>
    <phoneticPr fontId="54" type="noConversion"/>
  </si>
  <si>
    <t>최대주주 및 특수관계인을 제외한 등기임원의 지분율</t>
    <phoneticPr fontId="54" type="noConversion"/>
  </si>
  <si>
    <t xml:space="preserve">Shareholding Ratio of Registered Officers Excluding the Largest Shareholder and Related Parties 	</t>
    <phoneticPr fontId="54" type="noConversion"/>
  </si>
  <si>
    <t>CJ-Gen-G2</t>
    <phoneticPr fontId="54" type="noConversion"/>
  </si>
  <si>
    <t>최대주주 및 특수관계인을 제외한 등기임원 보유 주식 수</t>
    <phoneticPr fontId="54" type="noConversion"/>
  </si>
  <si>
    <t xml:space="preserve">Number of shares held by registered executives </t>
    <phoneticPr fontId="54" type="noConversion"/>
  </si>
  <si>
    <t>Number of shares of common stock issued</t>
    <phoneticPr fontId="54" type="noConversion"/>
  </si>
  <si>
    <t>회사에 대한 계열회사의 지분율</t>
    <phoneticPr fontId="54" type="noConversion"/>
  </si>
  <si>
    <t>Shareholding Ratio of Affiliate Companies</t>
    <phoneticPr fontId="54" type="noConversion"/>
  </si>
  <si>
    <t>CJ-Gen-G3</t>
    <phoneticPr fontId="54" type="noConversion"/>
  </si>
  <si>
    <t>지주회사 보통주식수</t>
    <phoneticPr fontId="54" type="noConversion"/>
  </si>
  <si>
    <t xml:space="preserve">Number of common shares of the holding company held by the company 
</t>
    <phoneticPr fontId="54" type="noConversion"/>
  </si>
  <si>
    <t>지주회사의 보통주 발행주식 수</t>
    <phoneticPr fontId="54" type="noConversion"/>
  </si>
  <si>
    <t>Number of common shares issued by the holding company</t>
    <phoneticPr fontId="54" type="noConversion"/>
  </si>
  <si>
    <t>현금 배당 성향</t>
    <phoneticPr fontId="54" type="noConversion"/>
  </si>
  <si>
    <t>Cash dividend payout ratio</t>
    <phoneticPr fontId="54" type="noConversion"/>
  </si>
  <si>
    <t>CJ-Gen-G32</t>
    <phoneticPr fontId="54" type="noConversion"/>
  </si>
  <si>
    <t>총 주주 수익률</t>
    <phoneticPr fontId="54" type="noConversion"/>
  </si>
  <si>
    <t xml:space="preserve">Total shareholder return </t>
    <phoneticPr fontId="54" type="noConversion"/>
  </si>
  <si>
    <t>CJ-Gen-G33</t>
    <phoneticPr fontId="54" type="noConversion"/>
  </si>
  <si>
    <t>기말 주식가격 (당해 증시 폐장인 장마감 주식가격)
※ 보통주 기준</t>
    <phoneticPr fontId="54" type="noConversion"/>
  </si>
  <si>
    <t xml:space="preserve">Stock price at the end of the period </t>
    <phoneticPr fontId="54" type="noConversion"/>
  </si>
  <si>
    <t>전년 기말 주식가격 (전년 증시 폐장일 장마감 주식가격)
※ 보통주 기준</t>
    <phoneticPr fontId="54" type="noConversion"/>
  </si>
  <si>
    <t xml:space="preserve">Stock price at the end of the previous year </t>
    <phoneticPr fontId="54" type="noConversion"/>
  </si>
  <si>
    <t>1주당 배당금 합계 금액 (보통주 기준)</t>
    <phoneticPr fontId="54" type="noConversion"/>
  </si>
  <si>
    <t xml:space="preserve">Dividends per share </t>
    <phoneticPr fontId="54" type="noConversion"/>
  </si>
  <si>
    <t>재무건전성</t>
    <phoneticPr fontId="54" type="noConversion"/>
  </si>
  <si>
    <t>Financial Soundness</t>
    <phoneticPr fontId="54" type="noConversion"/>
  </si>
  <si>
    <t>순자산 대비 관계사 우발채무 비율</t>
    <phoneticPr fontId="54" type="noConversion"/>
  </si>
  <si>
    <t>Contingent liabilities ratio of affiliate companies to net assets</t>
    <phoneticPr fontId="54" type="noConversion"/>
  </si>
  <si>
    <t>CJ-Gen-G29</t>
    <phoneticPr fontId="54" type="noConversion"/>
  </si>
  <si>
    <t>관계사 우발 부채</t>
    <phoneticPr fontId="54" type="noConversion"/>
  </si>
  <si>
    <t xml:space="preserve">Contingent liabilities affiliate companies </t>
    <phoneticPr fontId="54" type="noConversion"/>
  </si>
  <si>
    <t>순자산</t>
    <phoneticPr fontId="54" type="noConversion"/>
  </si>
  <si>
    <t>Net assets</t>
    <phoneticPr fontId="54" type="noConversion"/>
  </si>
  <si>
    <t>관계사 매출 거래 비율</t>
    <phoneticPr fontId="54" type="noConversion"/>
  </si>
  <si>
    <t>Ratio of Sales Transactions of Affiliated Companies</t>
    <phoneticPr fontId="54" type="noConversion"/>
  </si>
  <si>
    <t>CJ-Gen-G30</t>
    <phoneticPr fontId="54" type="noConversion"/>
  </si>
  <si>
    <t>관계사 매출액</t>
    <phoneticPr fontId="54" type="noConversion"/>
  </si>
  <si>
    <t xml:space="preserve">Affiliates Sales </t>
    <phoneticPr fontId="54" type="noConversion"/>
  </si>
  <si>
    <t>매출액</t>
    <phoneticPr fontId="54" type="noConversion"/>
  </si>
  <si>
    <t>Annual Sales</t>
    <phoneticPr fontId="54" type="noConversion"/>
  </si>
  <si>
    <t>관계사 매입 거래 비율</t>
    <phoneticPr fontId="54" type="noConversion"/>
  </si>
  <si>
    <t xml:space="preserve">Ratio of Purchase Transactions of Affiliated Companies 	</t>
    <phoneticPr fontId="54" type="noConversion"/>
  </si>
  <si>
    <t>CJ-Gen-G31</t>
    <phoneticPr fontId="54" type="noConversion"/>
  </si>
  <si>
    <t>관계사 매입액</t>
    <phoneticPr fontId="54" type="noConversion"/>
  </si>
  <si>
    <t xml:space="preserve">Affiliates Purchase </t>
    <phoneticPr fontId="54" type="noConversion"/>
  </si>
  <si>
    <t>매입액</t>
    <phoneticPr fontId="54" type="noConversion"/>
  </si>
  <si>
    <t>Annual Purchase</t>
    <phoneticPr fontId="54" type="noConversion"/>
  </si>
  <si>
    <t>윤리/준법경영</t>
    <phoneticPr fontId="54" type="noConversion"/>
  </si>
  <si>
    <t>Ethical &amp; Compliance management</t>
    <phoneticPr fontId="54" type="noConversion"/>
  </si>
  <si>
    <t>윤리경영 교육</t>
    <phoneticPr fontId="54" type="noConversion"/>
  </si>
  <si>
    <t>Ethical management training</t>
    <phoneticPr fontId="54" type="noConversion"/>
  </si>
  <si>
    <t>Number of employees who completed ethical management training</t>
    <phoneticPr fontId="54" type="noConversion"/>
  </si>
  <si>
    <t>법규 위반 등</t>
    <phoneticPr fontId="54" type="noConversion"/>
  </si>
  <si>
    <t>Lagal &amp; regulatory Violations</t>
    <phoneticPr fontId="54" type="noConversion"/>
  </si>
  <si>
    <t>공정경쟁 관련 법규</t>
    <phoneticPr fontId="54" type="noConversion"/>
  </si>
  <si>
    <t xml:space="preserve">Number of violations of fair competition related laws 	</t>
    <phoneticPr fontId="54" type="noConversion"/>
  </si>
  <si>
    <t>CJ-Gen-G22</t>
    <phoneticPr fontId="54" type="noConversion"/>
  </si>
  <si>
    <t>반부패 관련 법규</t>
    <phoneticPr fontId="54" type="noConversion"/>
  </si>
  <si>
    <t>Number of violations of anti-corruption regulations</t>
    <phoneticPr fontId="54" type="noConversion"/>
  </si>
  <si>
    <t>CJ-Gen-G23</t>
    <phoneticPr fontId="54" type="noConversion"/>
  </si>
  <si>
    <t>마케팅 및 라벨링 관련 법규 위반 건수</t>
    <phoneticPr fontId="54" type="noConversion"/>
  </si>
  <si>
    <t>Number of violations of marketing and labeling regulations</t>
    <phoneticPr fontId="54" type="noConversion"/>
  </si>
  <si>
    <t>CJ-Gen-S47</t>
    <phoneticPr fontId="54" type="noConversion"/>
  </si>
  <si>
    <t>마케팅 소통(커뮤니케이션) 관련 위반 건수</t>
    <phoneticPr fontId="54" type="noConversion"/>
  </si>
  <si>
    <t>Incidents of non-compliance concerning marketing communications</t>
    <phoneticPr fontId="54" type="noConversion"/>
  </si>
  <si>
    <t>개인정보 보호 위반 건수</t>
    <phoneticPr fontId="54" type="noConversion"/>
  </si>
  <si>
    <t xml:space="preserve">Number of personal information protection violations </t>
    <phoneticPr fontId="54" type="noConversion"/>
  </si>
  <si>
    <t>CJ-Gen-S48</t>
    <phoneticPr fontId="54" type="noConversion"/>
  </si>
  <si>
    <t>개인정보보호 관련 법적 절차로 인한 총 금전적 손실액</t>
    <phoneticPr fontId="54" type="noConversion"/>
  </si>
  <si>
    <t>제품과 서비스 범주의 건강 및 안전 영향 평가</t>
    <phoneticPr fontId="54" type="noConversion"/>
  </si>
  <si>
    <t>Assessment of the health and safety impacts of product and service categories</t>
    <phoneticPr fontId="54" type="noConversion"/>
  </si>
  <si>
    <t>제품 및 서비스의 건강 및 안전 영향 위반 건수</t>
    <phoneticPr fontId="54" type="noConversion"/>
  </si>
  <si>
    <t>Incidents of non-compliance concerning the health and safety impacts of products and services</t>
    <phoneticPr fontId="54" type="noConversion"/>
  </si>
  <si>
    <t>상품 및 서비스 정보와 표기 위반 건수</t>
    <phoneticPr fontId="54" type="noConversion"/>
  </si>
  <si>
    <t>Incidents of non-compliance concerning product and service information and labeling</t>
    <phoneticPr fontId="54" type="noConversion"/>
  </si>
  <si>
    <t>윤리경영 관련 제보</t>
    <phoneticPr fontId="54" type="noConversion"/>
  </si>
  <si>
    <t>Reported case due to ethical management</t>
    <phoneticPr fontId="54" type="noConversion"/>
  </si>
  <si>
    <t>총 제보 건수</t>
    <phoneticPr fontId="54" type="noConversion"/>
  </si>
  <si>
    <t>Total number of reported case due to ethical management</t>
    <phoneticPr fontId="54" type="noConversion"/>
  </si>
  <si>
    <t>CJ-Gen-G20</t>
    <phoneticPr fontId="54" type="noConversion"/>
  </si>
  <si>
    <t>유효 제보 건수</t>
    <phoneticPr fontId="54" type="noConversion"/>
  </si>
  <si>
    <t>Total number of valid reported case due to ethical management</t>
    <phoneticPr fontId="54" type="noConversion"/>
  </si>
  <si>
    <t>확인 된 부패 건 및 관련 조치</t>
    <phoneticPr fontId="54" type="noConversion"/>
  </si>
  <si>
    <t>Confirmed incidents of corruption and actions taken</t>
    <phoneticPr fontId="54" type="noConversion"/>
  </si>
  <si>
    <t>소비자 정보보호 위반 및 소비자 정보 손실관련 불만 건수</t>
    <phoneticPr fontId="54" type="noConversion"/>
  </si>
  <si>
    <t>Total number of substantiated complaints received concerning breaches of customer privacy</t>
    <phoneticPr fontId="54" type="noConversion"/>
  </si>
  <si>
    <t>정보보호 교육 참여 비율</t>
    <phoneticPr fontId="54" type="noConversion"/>
  </si>
  <si>
    <t>Information protection training completion rate</t>
    <phoneticPr fontId="54" type="noConversion"/>
  </si>
  <si>
    <t>CJ-Gen-S49</t>
    <phoneticPr fontId="54" type="noConversion"/>
  </si>
  <si>
    <t>총 정보보호 교육 수료인원</t>
    <phoneticPr fontId="54" type="noConversion"/>
  </si>
  <si>
    <t>Total number of employees who completed information protection training</t>
    <phoneticPr fontId="54" type="noConversion"/>
  </si>
  <si>
    <t>정보보호 교육 대상자 수(본 항목은 22년까지는 Full-time에 한함)</t>
    <phoneticPr fontId="54" type="noConversion"/>
  </si>
  <si>
    <t>Total number of employees subject to information protection training (only full-time employees until 2023 data)</t>
    <phoneticPr fontId="54" type="noConversion"/>
  </si>
  <si>
    <t>ESG DATA SHEET (2021-2023)</t>
    <phoneticPr fontId="3" type="noConversion"/>
  </si>
  <si>
    <t>[Disclosure Guide]</t>
    <phoneticPr fontId="3" type="noConversion"/>
  </si>
  <si>
    <t xml:space="preserve">- Please reply with the finalized template without password.
</t>
    <phoneticPr fontId="3" type="noConversion"/>
  </si>
  <si>
    <t>- When filling in the amount, please convert it to the appropriate unit. (Do not use cell formatting to adjust the units)</t>
    <phoneticPr fontId="3" type="noConversion"/>
  </si>
  <si>
    <r>
      <t xml:space="preserve">- Data </t>
    </r>
    <r>
      <rPr>
        <b/>
        <sz val="12"/>
        <color rgb="FFFF0000"/>
        <rFont val="맑은 고딕"/>
        <family val="3"/>
        <charset val="129"/>
        <scheme val="minor"/>
      </rPr>
      <t>in red</t>
    </r>
    <r>
      <rPr>
        <sz val="12"/>
        <color theme="1"/>
        <rFont val="맑은 고딕"/>
        <family val="3"/>
        <charset val="129"/>
        <scheme val="minor"/>
      </rPr>
      <t xml:space="preserve"> is data that has been entered and needs to be </t>
    </r>
    <r>
      <rPr>
        <b/>
        <sz val="12"/>
        <color theme="1"/>
        <rFont val="맑은 고딕"/>
        <family val="3"/>
        <charset val="129"/>
        <scheme val="minor"/>
      </rPr>
      <t>double-checked.</t>
    </r>
    <phoneticPr fontId="3" type="noConversion"/>
  </si>
  <si>
    <t>- When filling in numbers, please fill in the data range and notes.</t>
    <phoneticPr fontId="3" type="noConversion"/>
  </si>
  <si>
    <t>Category</t>
    <phoneticPr fontId="3" type="noConversion"/>
  </si>
  <si>
    <t>Guide Book Indicators</t>
    <phoneticPr fontId="3" type="noConversion"/>
  </si>
  <si>
    <t>Indicator</t>
    <phoneticPr fontId="3" type="noConversion"/>
  </si>
  <si>
    <t>Sub_indicator</t>
    <phoneticPr fontId="3" type="noConversion"/>
  </si>
  <si>
    <t xml:space="preserve">Sub-sub-indicators </t>
    <phoneticPr fontId="3" type="noConversion"/>
  </si>
  <si>
    <t>Full time employees</t>
  </si>
  <si>
    <r>
      <t>Human Resources</t>
    </r>
    <r>
      <rPr>
        <b/>
        <sz val="16"/>
        <color rgb="FF0828FC"/>
        <rFont val="맑은 고딕"/>
        <family val="3"/>
        <charset val="129"/>
        <scheme val="minor"/>
      </rPr>
      <t xml:space="preserve"> (☞ Employee List)</t>
    </r>
    <phoneticPr fontId="3" type="noConversion"/>
  </si>
  <si>
    <t>*Data not needed if "Employee list" sheets can be filled up</t>
    <phoneticPr fontId="3" type="noConversion"/>
  </si>
  <si>
    <t>persentase BOD BOC laki2</t>
    <phoneticPr fontId="3" type="noConversion"/>
  </si>
  <si>
    <t>persentase BOD BOC laki2</t>
  </si>
  <si>
    <t>persentase BOD BOC perempuan</t>
  </si>
  <si>
    <r>
      <t xml:space="preserve">Securing Talent </t>
    </r>
    <r>
      <rPr>
        <b/>
        <sz val="16"/>
        <color rgb="FF0828FC"/>
        <rFont val="맑은 고딕"/>
        <family val="3"/>
        <charset val="129"/>
        <scheme val="minor"/>
      </rPr>
      <t>(☞ Employee List)</t>
    </r>
    <phoneticPr fontId="3" type="noConversion"/>
  </si>
  <si>
    <t>*Only CGV Vietnam</t>
    <phoneticPr fontId="3" type="noConversion"/>
  </si>
  <si>
    <t>IN IDR (MIO)</t>
  </si>
  <si>
    <t>*Check needed</t>
    <phoneticPr fontId="3" type="noConversion"/>
  </si>
  <si>
    <t>DE&amp;I (Diversity, Equity and Inclusion)</t>
    <phoneticPr fontId="3" type="noConversion"/>
  </si>
  <si>
    <t>Number of female employees who used maternity leave</t>
  </si>
  <si>
    <t>GRI 405-2
GRI 202-1</t>
    <phoneticPr fontId="3" type="noConversion"/>
  </si>
  <si>
    <t>Safety &amp; Health</t>
    <phoneticPr fontId="3" type="noConversion"/>
  </si>
  <si>
    <t>Injury rate for customers</t>
  </si>
  <si>
    <t>Fatality rate for customers</t>
  </si>
  <si>
    <t xml:space="preserve">Occupational safety training completion rate </t>
  </si>
  <si>
    <t xml:space="preserve">Number of employees who participated in occupational safety training  </t>
  </si>
  <si>
    <t>173.763,76</t>
  </si>
  <si>
    <t>54.826,65</t>
  </si>
  <si>
    <t>7.569.641,49</t>
  </si>
  <si>
    <t>451.103,67</t>
  </si>
  <si>
    <t>1.244.268,16</t>
  </si>
  <si>
    <t>9.215.440,57</t>
  </si>
  <si>
    <t>Calculated according to the annual average KRW/TRY exchange rate for the relevant year.</t>
  </si>
  <si>
    <t>3577,5-TL</t>
  </si>
  <si>
    <t>6471-TL</t>
  </si>
  <si>
    <t>77165-TL</t>
  </si>
  <si>
    <t>90000-TL</t>
  </si>
  <si>
    <t>2021년 미실시</t>
    <phoneticPr fontId="3" type="noConversion"/>
  </si>
  <si>
    <t>1. 재무성과</t>
    <phoneticPr fontId="3" type="noConversion"/>
  </si>
  <si>
    <t>연결재무상태표</t>
    <phoneticPr fontId="3" type="noConversion"/>
  </si>
  <si>
    <t>연결포괄손익계산서</t>
    <phoneticPr fontId="3" type="noConversion"/>
  </si>
  <si>
    <t>2. 경제성과</t>
    <phoneticPr fontId="3" type="noConversion"/>
  </si>
  <si>
    <t>3. 환경성과</t>
    <phoneticPr fontId="3" type="noConversion"/>
  </si>
  <si>
    <t>4. 사회성과</t>
    <phoneticPr fontId="3" type="noConversion"/>
  </si>
  <si>
    <t>5. 지배구조 성과</t>
    <phoneticPr fontId="3" type="noConversion"/>
  </si>
  <si>
    <t>확정급여연금제도 의무 및 기타 은퇴지원제도</t>
  </si>
  <si>
    <t>온실가스</t>
  </si>
  <si>
    <t>다양성, 공정성 및 포용성 (DE&amp;I) 증진</t>
    <phoneticPr fontId="3" type="noConversion"/>
  </si>
  <si>
    <t>보훈대상자 근로자 수(Only in Korea)</t>
    <phoneticPr fontId="3" type="noConversion"/>
  </si>
  <si>
    <t>연간 공휴일(평일인데 휴일인 경우)을 제외하여 계산하는 경우.
1년 52주 x 평일 5일 - 평일인 휴일) x 8시간 x 총 직원수(정규+계약))</t>
    <phoneticPr fontId="3" type="noConversion"/>
  </si>
  <si>
    <t>((본 항목은 22년까지는 Full-time에 한함))</t>
    <phoneticPr fontId="3" type="noConversion"/>
  </si>
  <si>
    <t>(최고연봉자 제외)전체 임직원 총 보상의 중간값 / 조직 내 최고 연봉자의 총 보상 (본 항목은 22년까지는 Full-time에 한함)</t>
    <phoneticPr fontId="3" type="noConversion"/>
  </si>
  <si>
    <t>계산 범위 검토 필요</t>
    <phoneticPr fontId="3" type="noConversion"/>
  </si>
  <si>
    <t>2021년: CGV서면 1건 발생</t>
    <phoneticPr fontId="3" type="noConversion"/>
  </si>
  <si>
    <t>사외갑질, 성희롱, 직장내괴롭힘, 안전사고 관련</t>
    <phoneticPr fontId="3" type="noConversion"/>
  </si>
  <si>
    <r>
      <t xml:space="preserve">- 금액 입력 시 </t>
    </r>
    <r>
      <rPr>
        <b/>
        <sz val="12"/>
        <color theme="1"/>
        <rFont val="CJ ONLYONE NEW body Regular"/>
        <charset val="129"/>
      </rPr>
      <t>단위에 맞게 변환하여</t>
    </r>
    <r>
      <rPr>
        <sz val="12"/>
        <color theme="1"/>
        <rFont val="CJ ONLYONE NEW body Regular"/>
        <charset val="129"/>
      </rPr>
      <t xml:space="preserve"> 기입 부탁 드립니다. (셀 서식을 통한 표기 조정 지양)</t>
    </r>
    <phoneticPr fontId="3" type="noConversion"/>
  </si>
  <si>
    <r>
      <t xml:space="preserve">- </t>
    </r>
    <r>
      <rPr>
        <b/>
        <sz val="12"/>
        <color rgb="FFFF0000"/>
        <rFont val="CJ ONLYONE NEW body Regular"/>
        <charset val="129"/>
      </rPr>
      <t>빨간색으로 표시된 데이터</t>
    </r>
    <r>
      <rPr>
        <sz val="12"/>
        <color theme="1"/>
        <rFont val="CJ ONLYONE NEW body Regular"/>
        <charset val="129"/>
      </rPr>
      <t>는 기입력된 데이터 중</t>
    </r>
    <r>
      <rPr>
        <b/>
        <sz val="12"/>
        <color theme="1"/>
        <rFont val="CJ ONLYONE NEW body Regular"/>
        <charset val="129"/>
      </rPr>
      <t xml:space="preserve"> 재확인 요청</t>
    </r>
    <r>
      <rPr>
        <sz val="12"/>
        <color theme="1"/>
        <rFont val="CJ ONLYONE NEW body Regular"/>
        <charset val="129"/>
      </rPr>
      <t>드리는 데이터입니다.</t>
    </r>
    <phoneticPr fontId="3" type="noConversion"/>
  </si>
  <si>
    <r>
      <t>tCO</t>
    </r>
    <r>
      <rPr>
        <vertAlign val="subscript"/>
        <sz val="11"/>
        <color theme="1"/>
        <rFont val="CJ ONLYONE NEW body Regular"/>
        <charset val="129"/>
      </rPr>
      <t>2</t>
    </r>
    <r>
      <rPr>
        <sz val="11"/>
        <color theme="1"/>
        <rFont val="CJ ONLYONE NEW body Regular"/>
        <charset val="129"/>
      </rPr>
      <t>eq</t>
    </r>
    <phoneticPr fontId="3" type="noConversion"/>
  </si>
  <si>
    <r>
      <t>tCO</t>
    </r>
    <r>
      <rPr>
        <vertAlign val="subscript"/>
        <sz val="11"/>
        <color theme="1"/>
        <rFont val="CJ ONLYONE NEW body Regular"/>
        <charset val="129"/>
      </rPr>
      <t>2</t>
    </r>
    <r>
      <rPr>
        <sz val="11"/>
        <color theme="1"/>
        <rFont val="CJ ONLYONE NEW body Regular"/>
        <charset val="129"/>
      </rPr>
      <t>eq/억원</t>
    </r>
    <phoneticPr fontId="3" type="noConversion"/>
  </si>
  <si>
    <r>
      <t>Ton(m</t>
    </r>
    <r>
      <rPr>
        <vertAlign val="superscript"/>
        <sz val="11"/>
        <color theme="1"/>
        <rFont val="CJ ONLYONE NEW body Regular"/>
        <charset val="129"/>
      </rPr>
      <t>3</t>
    </r>
    <r>
      <rPr>
        <sz val="11"/>
        <color theme="1"/>
        <rFont val="CJ ONLYONE NEW body Regular"/>
        <charset val="129"/>
      </rPr>
      <t>)</t>
    </r>
    <phoneticPr fontId="3" type="noConversion"/>
  </si>
  <si>
    <r>
      <t>m</t>
    </r>
    <r>
      <rPr>
        <vertAlign val="superscript"/>
        <sz val="11"/>
        <rFont val="CJ ONLYONE NEW body Regular"/>
        <charset val="129"/>
      </rPr>
      <t>3</t>
    </r>
    <phoneticPr fontId="3" type="noConversion"/>
  </si>
  <si>
    <t>ISO14001 인증 획득 사업장 수 기준</t>
    <phoneticPr fontId="3" type="noConversion"/>
  </si>
  <si>
    <t>Full time 근로자 기준</t>
    <phoneticPr fontId="3" type="noConversion"/>
  </si>
  <si>
    <t>Full time 근로자+Part time 근로자</t>
    <phoneticPr fontId="3" type="noConversion"/>
  </si>
  <si>
    <t>Full time 근로자</t>
    <phoneticPr fontId="3" type="noConversion"/>
  </si>
  <si>
    <t>총 신규 채용자(Full time 근로자+Part time 근로자)</t>
    <phoneticPr fontId="3" type="noConversion"/>
  </si>
  <si>
    <t>총 신규 채용자(Full time 근로자)</t>
    <phoneticPr fontId="3" type="noConversion"/>
  </si>
  <si>
    <t>30세 이상~50세 미만 신규 채용자(Full time 근로자+Part time 근로자)</t>
    <phoneticPr fontId="3" type="noConversion"/>
  </si>
  <si>
    <t>총 남성 신규 채용자(Full time 근로자+Part time 근로자)</t>
    <phoneticPr fontId="3" type="noConversion"/>
  </si>
  <si>
    <t>정보 불충분(데이터 미집계)</t>
    <phoneticPr fontId="3" type="noConversion"/>
  </si>
  <si>
    <t>Full time 근로자, Part time 근로자</t>
    <phoneticPr fontId="3" type="noConversion"/>
  </si>
  <si>
    <t>임직원 구성(성별)</t>
    <phoneticPr fontId="3" type="noConversion"/>
  </si>
  <si>
    <t>임직원 구성(고용 형태별)</t>
    <phoneticPr fontId="3" type="noConversion"/>
  </si>
  <si>
    <t>양성평등 구성 비율</t>
    <phoneticPr fontId="3" type="noConversion"/>
  </si>
  <si>
    <t>정보 불충분(데이터 미집계)</t>
    <phoneticPr fontId="3" type="noConversion"/>
  </si>
  <si>
    <t>Full time 근로자</t>
    <phoneticPr fontId="3" type="noConversion"/>
  </si>
  <si>
    <t>2022년 보고서 내 데이터 오기입으로 데이터 정정</t>
    <phoneticPr fontId="3" type="noConversion"/>
  </si>
  <si>
    <t>현지통화 기준, 연도별 기말환율 적용 후 합산</t>
    <phoneticPr fontId="3" type="noConversion"/>
  </si>
  <si>
    <t>산업재해 발생 건 수(Full time 근로자)</t>
    <phoneticPr fontId="3" type="noConversion"/>
  </si>
  <si>
    <t>산업재해를 입은 임직원(Full time 근로자 + Part time 근로자)</t>
    <phoneticPr fontId="3" type="noConversion"/>
  </si>
  <si>
    <t>Full time 근로자 기준, 미소지기는 아웃소싱</t>
    <phoneticPr fontId="3" type="noConversion"/>
  </si>
  <si>
    <t xml:space="preserve">총 신규 채용자(Part time 근로자) </t>
    <phoneticPr fontId="3" type="noConversion"/>
  </si>
  <si>
    <t>30세 미만 신규 채용자(Full time 근로자+Part time 근로자)</t>
    <phoneticPr fontId="3" type="noConversion"/>
  </si>
  <si>
    <t xml:space="preserve">30세 미만 신규 채용자(Full time 근로자)  </t>
    <phoneticPr fontId="3" type="noConversion"/>
  </si>
  <si>
    <t>30세 미만 신규 채용자(Full time 근로자 수+Part time 근로자 수)</t>
    <phoneticPr fontId="3" type="noConversion"/>
  </si>
  <si>
    <t xml:space="preserve">30세 이상~50세 미만 신규 채용자(Full time 근로자)  </t>
    <phoneticPr fontId="3" type="noConversion"/>
  </si>
  <si>
    <t>50세 이상 신규 채용자(Full time 근로자+Part time 근로자)</t>
    <phoneticPr fontId="3" type="noConversion"/>
  </si>
  <si>
    <t xml:space="preserve">50세 이상 신규 채용자(Full time 근로자)  </t>
    <phoneticPr fontId="3" type="noConversion"/>
  </si>
  <si>
    <t xml:space="preserve">총 남성 신규 채용자(Full time 근로자)  </t>
    <phoneticPr fontId="3" type="noConversion"/>
  </si>
  <si>
    <t>총 여성 신규 채용자(Full time 근로자+Part time 근로자)</t>
    <phoneticPr fontId="3" type="noConversion"/>
  </si>
  <si>
    <t xml:space="preserve">총 여성 신규 채용자(Full time 근로자)  </t>
    <phoneticPr fontId="3" type="noConversion"/>
  </si>
  <si>
    <t>자발적 이직자(Full time 근로자+Part time 근로자)</t>
    <phoneticPr fontId="3" type="noConversion"/>
  </si>
  <si>
    <t xml:space="preserve">자발적 이직자(Full time 근로자)  </t>
    <phoneticPr fontId="3" type="noConversion"/>
  </si>
  <si>
    <t>비자발적 이직자(Full time 근로자+Part time 근로자)</t>
    <phoneticPr fontId="3" type="noConversion"/>
  </si>
  <si>
    <t xml:space="preserve">비자발적 이직자(Full time 근로자)  </t>
    <phoneticPr fontId="3" type="noConversion"/>
  </si>
  <si>
    <t xml:space="preserve">총 교육 수료 시간(Full time 근로자) </t>
    <phoneticPr fontId="3" type="noConversion"/>
  </si>
  <si>
    <t>장애인 근로자(Full time 근로자+Part time 근로자)</t>
    <phoneticPr fontId="3" type="noConversion"/>
  </si>
  <si>
    <t xml:space="preserve">장애인 근로자(Full time 근로자)   </t>
    <phoneticPr fontId="3" type="noConversion"/>
  </si>
  <si>
    <t>총 근무 시간(Full time 근로자 + Part time 근로자)</t>
    <phoneticPr fontId="3" type="noConversion"/>
  </si>
  <si>
    <t>Full time 근로자(본사, 사이트)</t>
    <phoneticPr fontId="3" type="noConversion"/>
  </si>
  <si>
    <t>정직원(Full time 근로자 중 기간의 정함이 없는 근로자, 연말 공시인원 x  209시간 x 12개월로 근무시간 산정), 미소지기(Part time 근로자) 기준</t>
    <phoneticPr fontId="3" type="noConversion"/>
  </si>
  <si>
    <t>정보 불충분(데이터미집계)</t>
    <phoneticPr fontId="3" type="noConversion"/>
  </si>
  <si>
    <t>부정/비리, 협력사 고충 및 불공정 거래행위, 조직문화 저해, 안전경영 관련 제보</t>
    <phoneticPr fontId="3" type="noConversion"/>
  </si>
  <si>
    <t>(윤리/준법경영 관련 유효 및 조치완료 제보 건수/윤리/준법경영 관련 총 제보 건수)x100로 산출하였으나, 유효 제보에 대한 처리 비율을 공개하는 것이 적합하지 않은지 확인 필요. 이 경우 유효 및 조지완료 제보 건수가 있는 경우 '윤리/준법경영 유효 제보 처리 비율'은 100에 해당</t>
    <phoneticPr fontId="3" type="noConversion"/>
  </si>
  <si>
    <t xml:space="preserve">부정비리 유효 제보 건수 기준-'데이터 및 지표명, 별도 지표명 공개 필요 등 재확인 필요. 유효 제보가 상기에 포함된 것으로 보임. </t>
    <phoneticPr fontId="3" type="noConversion"/>
  </si>
  <si>
    <t>정보불충분(데이터 미집계)</t>
    <phoneticPr fontId="3" type="noConversion"/>
  </si>
  <si>
    <t>본사 및 전국 직영 극장, 인증기간: 2023.06.23~2026.06.22</t>
    <phoneticPr fontId="3" type="noConversion"/>
  </si>
  <si>
    <t>에너지 소모량 감축 제품 구매 및 환경부 규제대응 프로젝트 비용</t>
    <phoneticPr fontId="3" type="noConversion"/>
  </si>
  <si>
    <t>본사 및 오창 공장, 인증기간: 2022.12.02~2025.12.01</t>
    <phoneticPr fontId="3" type="noConversion"/>
  </si>
  <si>
    <t>비 고</t>
    <phoneticPr fontId="3" type="noConversion"/>
  </si>
  <si>
    <t>현지 법률상 퇴직인원에게 지급되는 혜택성 급여임. 연도별 
2021년: 801,874 / 2022년: 405,001 / 2023년: 228,244 (K VND)</t>
    <phoneticPr fontId="3" type="noConversion"/>
  </si>
  <si>
    <t>2022년 데이터(2023.9.14 기준), 2023년 데이터(2024.3.29 기준)</t>
  </si>
  <si>
    <t>2023년부터 산출, 관리</t>
    <phoneticPr fontId="3" type="noConversion"/>
  </si>
  <si>
    <t xml:space="preserve">별도 기준. 사업보고서상 확정급여채무 기준.
(사외적립자산 공정가치 = 2021년: 57,827 백만원/ 2022년: 51,955 백만원 / 2023년: 54,825 백만원)
2022년: 보고서 공개 수치 산정 오류로 정정함 </t>
    <phoneticPr fontId="3" type="noConversion"/>
  </si>
  <si>
    <t>연결 기준. 감사보고서상 확정급여채무 기준.
(사외적립자산 공정가치 = 2021년: 4,675 백만원/ 2022년: 4,365 백만원 / 2023년: 4,730 백만원)</t>
    <phoneticPr fontId="3" type="noConversion"/>
  </si>
  <si>
    <t>인도네시아 2021년 사회적 거리두기 등 정부 지침에 의거 영화관 상여 가동 제한 및 로컬작품 개봉 기피/연기 등으로 인해 로컬 개봉작 수가 적었음</t>
    <phoneticPr fontId="3" type="noConversion"/>
  </si>
  <si>
    <t>세금환급 (2021년: 32,811,128 / 2022년: 100,034,173 / 2023년: 9,556,832 (RMB)</t>
    <phoneticPr fontId="3" type="noConversion"/>
  </si>
  <si>
    <t>해외법인 현지채용인원(53명) 포함. Full time 근로자, Part time 근로자</t>
    <phoneticPr fontId="3" type="noConversion"/>
  </si>
  <si>
    <t>연령별 자발적 이직률</t>
    <phoneticPr fontId="3" type="noConversion"/>
  </si>
  <si>
    <r>
      <rPr>
        <b/>
        <sz val="11"/>
        <rFont val="맑은 고딕"/>
        <family val="3"/>
        <charset val="129"/>
      </rPr>
      <t>성</t>
    </r>
    <r>
      <rPr>
        <b/>
        <sz val="11"/>
        <rFont val="CJ ONLYONE NEW body Regular"/>
        <charset val="129"/>
      </rPr>
      <t>별 자발적 이직률</t>
    </r>
    <phoneticPr fontId="3" type="noConversion"/>
  </si>
  <si>
    <t>연령별 비자발적 이직률</t>
    <phoneticPr fontId="3" type="noConversion"/>
  </si>
  <si>
    <t>성별 비자발적 이직률</t>
    <phoneticPr fontId="3" type="noConversion"/>
  </si>
  <si>
    <t>출산휴가 사용 인원 수</t>
    <phoneticPr fontId="3" type="noConversion"/>
  </si>
  <si>
    <t xml:space="preserve">총 교육 비용(Full time 근로자) </t>
    <phoneticPr fontId="3" type="noConversion"/>
  </si>
  <si>
    <t xml:space="preserve">총 교육 비용(Full time 근로자 + Part time 근로자) </t>
    <phoneticPr fontId="3" type="noConversion"/>
  </si>
  <si>
    <t>Full time 근로자 + Part time 근로자</t>
    <phoneticPr fontId="3" type="noConversion"/>
  </si>
  <si>
    <t>-</t>
    <phoneticPr fontId="3" type="noConversion"/>
  </si>
  <si>
    <t>2021~ 2023년은 Full time 현지 근로자 대상임</t>
    <phoneticPr fontId="3" type="noConversion"/>
  </si>
  <si>
    <t>2021년 팬데믹으로 인해 위험성 평가 미시행</t>
    <phoneticPr fontId="3" type="noConversion"/>
  </si>
  <si>
    <t>상수도 취수량</t>
    <phoneticPr fontId="3" type="noConversion"/>
  </si>
  <si>
    <t>지표수 취수량</t>
    <phoneticPr fontId="3" type="noConversion"/>
  </si>
  <si>
    <t>지하수 취수량</t>
    <phoneticPr fontId="3" type="noConversion"/>
  </si>
  <si>
    <t>해수 취수량</t>
    <phoneticPr fontId="3" type="noConversion"/>
  </si>
  <si>
    <r>
      <rPr>
        <b/>
        <sz val="11"/>
        <rFont val="CJ ONLYONE NEW body Regular"/>
        <charset val="129"/>
      </rPr>
      <t>2021년</t>
    </r>
    <r>
      <rPr>
        <sz val="11"/>
        <rFont val="CJ ONLYONE NEW body Regular"/>
        <charset val="129"/>
      </rPr>
      <t xml:space="preserve">
* 모두가 실천해야할 '정직' 교육: 1시간
* [2021] 함께 존중하는 건강한 CJ 만들기: 0.5시간
* [2021] 함께 존중하는 건강한 CJ 만들기(leader): 0.5시간
* 준법경영위원회 이원 대상 공정거래법 주요 개정 사항 특강:1시간
* CJ그룹 행동강령(CJ인의 약속): 1시간
* CJ글로벌 경제제제 컴플라이언스 정책: 0.3시간
* 정보교환행위금지가이드: 0.1시간
</t>
    </r>
    <r>
      <rPr>
        <b/>
        <sz val="11"/>
        <rFont val="CJ ONLYONE NEW body Regular"/>
        <charset val="129"/>
      </rPr>
      <t>2022년</t>
    </r>
    <r>
      <rPr>
        <sz val="11"/>
        <rFont val="CJ ONLYONE NEW body Regular"/>
        <charset val="129"/>
      </rPr>
      <t xml:space="preserve">
* 모두가 실천해야할 '정직' 교육: 1시간
* 안전을 만나는시간 - 중대재해처벌법: 1시간
* [2022] 강재준, 이은형과 함께하는 직장 내 괴롭힘 예방교육: 1시간
* 기술자료 제공 요구 준수사항(카드러닝): 0.5시간
* 신입사원 오프라인 '정직의 의미와 실천' 교육 수강 인원: 1시간
* CGV컴플라이언스 교육 (법무컴플라이언스팀 주관): 0.5시간
※ 카드러닝 형식은 0.5시간 반영
</t>
    </r>
    <r>
      <rPr>
        <b/>
        <sz val="11"/>
        <rFont val="CJ ONLYONE NEW body Regular"/>
        <charset val="129"/>
      </rPr>
      <t xml:space="preserve">2023년
</t>
    </r>
    <r>
      <rPr>
        <sz val="11"/>
        <rFont val="CJ ONLYONE NEW body Regular"/>
        <charset val="129"/>
      </rPr>
      <t>* 신규 입사자를 위한 컴플라이언스 교육: 0.5시간
* 지속 성장을 위한 조건, 지식 재산권: 0.5시간
* CGV 규제 환경을 알아봅시다: 0.5시간
* 그룹 컴플라이언스 교육: 0.5시간
* 정직의 의미와 실천 (신입사원 대상, 오프라인): 1시간
* 모두가 실천해야 할 정직 과정: 1시간
※ 카드러닝 형식은 0.5시간 반영</t>
    </r>
    <phoneticPr fontId="3" type="noConversion"/>
  </si>
  <si>
    <t>CGV 비즈니스 모델 특성상 용수 사용량=배출량</t>
    <phoneticPr fontId="3" type="noConversion"/>
  </si>
  <si>
    <t>전문직 구성 비율(성별)</t>
    <phoneticPr fontId="3" type="noConversion"/>
  </si>
  <si>
    <t>연령별 신규 채용자 수</t>
    <phoneticPr fontId="3" type="noConversion"/>
  </si>
  <si>
    <t>성별 신규 채용자 수</t>
    <phoneticPr fontId="3" type="noConversion"/>
  </si>
  <si>
    <t>사회적 소수자 포용 인원</t>
    <phoneticPr fontId="3" type="noConversion"/>
  </si>
  <si>
    <t>사업보고서 기준</t>
  </si>
  <si>
    <r>
      <t>인권 관련</t>
    </r>
    <r>
      <rPr>
        <b/>
        <sz val="11"/>
        <rFont val="맑은 고딕"/>
        <family val="3"/>
        <charset val="129"/>
      </rPr>
      <t xml:space="preserve"> 총</t>
    </r>
    <r>
      <rPr>
        <b/>
        <sz val="11"/>
        <rFont val="CJ ONLYONE NEW body Regular"/>
        <charset val="129"/>
      </rPr>
      <t xml:space="preserve"> 제보 건수</t>
    </r>
    <phoneticPr fontId="3" type="noConversion"/>
  </si>
  <si>
    <t>Scope1 정보 불충분 사유로 Scope2값과 일치</t>
    <phoneticPr fontId="3" type="noConversion"/>
  </si>
  <si>
    <t>2023년 보고 지표명 변경(특수관계인 -&gt; 친인척)</t>
    <phoneticPr fontId="3" type="noConversion"/>
  </si>
  <si>
    <t>2021년: 451,103.67 / 2022년: 1,244,268.16 / 2023년: 9,215,440.57(TRY)</t>
    <phoneticPr fontId="3" type="noConversion"/>
  </si>
  <si>
    <t>최대주주 및 그 친인척을 제외한 등기임원의 지분율</t>
    <phoneticPr fontId="3" type="noConversion"/>
  </si>
  <si>
    <t>최대주주 및 그 친인척을 제외한 등기임원 보유 주식 수</t>
    <phoneticPr fontId="3" type="noConversion"/>
  </si>
  <si>
    <r>
      <rPr>
        <b/>
        <sz val="11"/>
        <color theme="1"/>
        <rFont val="맑은 고딕"/>
        <family val="3"/>
        <charset val="129"/>
      </rPr>
      <t>인당</t>
    </r>
    <r>
      <rPr>
        <b/>
        <sz val="11"/>
        <color theme="1"/>
        <rFont val="CJ ONLYONE NEW body Regular"/>
        <charset val="129"/>
      </rPr>
      <t xml:space="preserve"> </t>
    </r>
    <r>
      <rPr>
        <b/>
        <sz val="11"/>
        <color theme="1"/>
        <rFont val="맑은 고딕"/>
        <family val="3"/>
        <charset val="129"/>
      </rPr>
      <t>교육시간</t>
    </r>
    <phoneticPr fontId="3" type="noConversion"/>
  </si>
  <si>
    <t>금융비용</t>
    <phoneticPr fontId="18" type="noConversion"/>
  </si>
  <si>
    <t>총포괄손실</t>
    <phoneticPr fontId="18" type="noConversion"/>
  </si>
  <si>
    <t>법인세수익(비용)</t>
    <phoneticPr fontId="18" type="noConversion"/>
  </si>
  <si>
    <t>당기순손실</t>
    <phoneticPr fontId="18" type="noConversion"/>
  </si>
  <si>
    <t>법인세비용차감전순손실</t>
    <phoneticPr fontId="18" type="noConversion"/>
  </si>
  <si>
    <t>2021~2023년 산업재해 건 수 = 부상 건 수
(Full time 근로자 + Part time 근로자)</t>
    <phoneticPr fontId="3" type="noConversion"/>
  </si>
  <si>
    <t>'2021~2023년 산업재해 건 수 = 부상 건 수
(3일 이상 근로손실 발생한 산업재해 건 수)</t>
    <phoneticPr fontId="3" type="noConversion"/>
  </si>
  <si>
    <t>2021~2023년 산업재해 건 수 = 부상 건 수
(3일 이상 근로손실 발생한 산업재해 건 수)</t>
    <phoneticPr fontId="3" type="noConversion"/>
  </si>
  <si>
    <t>국내 가산 사업장 한정</t>
    <phoneticPr fontId="3" type="noConversion"/>
  </si>
  <si>
    <t>온실가스 명세서 기준</t>
    <phoneticPr fontId="3" type="noConversion"/>
  </si>
  <si>
    <r>
      <t xml:space="preserve">온실가스 </t>
    </r>
    <r>
      <rPr>
        <b/>
        <sz val="11"/>
        <rFont val="CJ ONLYONE NEW body Regular"/>
        <charset val="129"/>
      </rPr>
      <t>배출</t>
    </r>
    <r>
      <rPr>
        <b/>
        <sz val="11"/>
        <color theme="1"/>
        <rFont val="CJ ONLYONE NEW body Regular"/>
        <charset val="129"/>
      </rPr>
      <t xml:space="preserve"> 집약도 (Scope 1+2)</t>
    </r>
    <phoneticPr fontId="3" type="noConversion"/>
  </si>
  <si>
    <r>
      <rPr>
        <b/>
        <sz val="11"/>
        <color theme="1"/>
        <rFont val="CJ ONLYONE NEW body Regular"/>
        <charset val="129"/>
      </rPr>
      <t>목표 대비 에너지 사용 절감량</t>
    </r>
    <phoneticPr fontId="3" type="noConversion"/>
  </si>
  <si>
    <t>보고범위: CJ CGV(국내 직영 극장 및 본사, 미디어플랫폼사업본부), 4DPLEX(국내, 미국, 중국법인), CGV중국, 베트남, 인도네시아, 튀르키예</t>
    <phoneticPr fontId="3" type="noConversion"/>
  </si>
  <si>
    <t>ESG Fact Book #1. 재무성과</t>
    <phoneticPr fontId="3" type="noConversion"/>
  </si>
  <si>
    <t>ESG Fact Book #2. 경제성과</t>
    <phoneticPr fontId="3" type="noConversion"/>
  </si>
  <si>
    <t>ESG Fact Book #3. 환경성과</t>
    <phoneticPr fontId="3" type="noConversion"/>
  </si>
  <si>
    <t>ESG Fact Book #5. 지배구조 성과</t>
    <phoneticPr fontId="3" type="noConversion"/>
  </si>
  <si>
    <t>CJ-Gen-E9</t>
    <phoneticPr fontId="3" type="noConversion"/>
  </si>
  <si>
    <t>2021년: 29,536.5 / 2022년: 315,793.2 / 2023년: 283,243.8 (RMB)</t>
    <phoneticPr fontId="3" type="noConversion"/>
  </si>
  <si>
    <t xml:space="preserve">4DPLEX는 사업특성상 미해당 </t>
    <phoneticPr fontId="3" type="noConversion"/>
  </si>
  <si>
    <t>지역 공급업체에 사용하는 예산 비율</t>
    <phoneticPr fontId="3" type="noConversion"/>
  </si>
  <si>
    <t>2023년부터 관리, 검증성명서 기준</t>
    <phoneticPr fontId="3" type="noConversion"/>
  </si>
  <si>
    <t>구매전력, 구매열(온수,스팀) 등 합산값</t>
    <phoneticPr fontId="3" type="noConversion"/>
  </si>
  <si>
    <t>고정연소, 이동연소, 공정배출, 탈루배출, 폐기물처리 합산값</t>
    <phoneticPr fontId="3" type="noConversion"/>
  </si>
  <si>
    <t>검증성명서 기준(2022년 데이터: 2023.9.14 기준, 2023년 데이터: 2024.3.29 기준)</t>
    <phoneticPr fontId="3" type="noConversion"/>
  </si>
  <si>
    <t>정보불충분(데이터 미집계)</t>
    <phoneticPr fontId="3" type="noConversion"/>
  </si>
  <si>
    <t>2021년: CGV본사 및 CGV용산아이파크몰 한정, 2022년~2023년: CGV본사 및 국내 직영 극장 기준</t>
    <phoneticPr fontId="3" type="noConversion"/>
  </si>
  <si>
    <r>
      <t>2023년</t>
    </r>
    <r>
      <rPr>
        <sz val="11"/>
        <rFont val="새굴림"/>
        <family val="1"/>
        <charset val="129"/>
      </rPr>
      <t>:</t>
    </r>
    <r>
      <rPr>
        <sz val="11"/>
        <rFont val="CJ ONLYONE NEW body Regular"/>
        <charset val="129"/>
      </rPr>
      <t xml:space="preserve"> 폐기물 배출량 산출 범위 확대 및 추정 방식 적용으로 데이터 변화 큼</t>
    </r>
    <phoneticPr fontId="3" type="noConversion"/>
  </si>
  <si>
    <t>2021년~2023년 기타(매립+소각) 폐기물량 있지만, 부피(m3) 값만 있어 합산 데이터에 미포함. 2021년: 262.50m3, 2022년: 506.50m3, 2023년: 647.50m3</t>
    <phoneticPr fontId="3" type="noConversion"/>
  </si>
  <si>
    <t>CJ CGV(국내) 기준</t>
    <phoneticPr fontId="3" type="noConversion"/>
  </si>
  <si>
    <t>2021년~2022년: CGV본사 및 CGV용산아이파크몰 한정. 2023년: 건축 폐기물 기타 배출량</t>
    <phoneticPr fontId="3" type="noConversion"/>
  </si>
  <si>
    <t>해당사항 없음</t>
    <phoneticPr fontId="3" type="noConversion"/>
  </si>
  <si>
    <t>2015년 이후 출생 자녀 등록 근로자 기준</t>
    <phoneticPr fontId="3" type="noConversion"/>
  </si>
  <si>
    <t>2023년 이후 신설된 그룹 복리후생 육아휴직(2년차) 제도 포함</t>
    <phoneticPr fontId="3" type="noConversion"/>
  </si>
  <si>
    <t>CJ CGV(국내), 4DPLEX Full time 근로자 기준. 두 법인의 평균치로 산출. 
몰입 직원 수(조직몰입도 관련 문항에 대해 긍정 회신한 직원수) / CJ Voice ON(하반기) 참여 대상자 수</t>
    <phoneticPr fontId="3" type="noConversion"/>
  </si>
  <si>
    <t>Full time 근로자(IT운영개발팀, 상영기술팀)</t>
    <phoneticPr fontId="3" type="noConversion"/>
  </si>
  <si>
    <t>Full time 근로자(IT솔루션팀, 콘텐츠솔루션팀, Immersive솔루션팀,  Tech solution팀)</t>
    <phoneticPr fontId="3" type="noConversion"/>
  </si>
  <si>
    <t>Full time 근로자(정보전략팀, 영사기술인원)</t>
    <phoneticPr fontId="3" type="noConversion"/>
  </si>
  <si>
    <t>Full time 근로자(IT팀)</t>
    <phoneticPr fontId="3" type="noConversion"/>
  </si>
  <si>
    <t>CJ CGV(국내) 한정</t>
    <phoneticPr fontId="3" type="noConversion"/>
  </si>
  <si>
    <t>MBO 평가 받은 임직원(PMDS+ 평가, KPI 평가) / 총 임직원 수</t>
    <phoneticPr fontId="3" type="noConversion"/>
  </si>
  <si>
    <t xml:space="preserve">다면평가 받은 임직원(PMDS+ 평가, 리더십 진단) / 총 임직원 수 </t>
    <phoneticPr fontId="3" type="noConversion"/>
  </si>
  <si>
    <t>상대평가 받은 임직원(PMDS+ 평가) / 총 임직원 수</t>
    <phoneticPr fontId="3" type="noConversion"/>
  </si>
  <si>
    <t>2021년~2023년은 Trade Union member/ Full time 현지 근로자 대상</t>
    <phoneticPr fontId="3" type="noConversion"/>
  </si>
  <si>
    <t>2021년~2023년은 중복된 인원 제외, 1회라도 교육을 수료한 임직원 수로 재산출</t>
    <phoneticPr fontId="3" type="noConversion"/>
  </si>
  <si>
    <r>
      <rPr>
        <sz val="11"/>
        <color theme="1"/>
        <rFont val="새굴림"/>
        <family val="1"/>
        <charset val="129"/>
      </rPr>
      <t>-</t>
    </r>
    <r>
      <rPr>
        <sz val="11"/>
        <color theme="1"/>
        <rFont val="CJ ONLYONE NEW body Regular"/>
        <charset val="129"/>
      </rPr>
      <t>262,325</t>
    </r>
    <phoneticPr fontId="3" type="noConversion"/>
  </si>
  <si>
    <r>
      <rPr>
        <sz val="11"/>
        <color theme="1"/>
        <rFont val="새굴림"/>
        <family val="1"/>
        <charset val="129"/>
      </rPr>
      <t>-</t>
    </r>
    <r>
      <rPr>
        <sz val="11"/>
        <color theme="1"/>
        <rFont val="CJ ONLYONE NEW body Regular"/>
        <charset val="129"/>
      </rPr>
      <t>119,117</t>
    </r>
    <phoneticPr fontId="3" type="noConversion"/>
  </si>
  <si>
    <t>INDEX</t>
    <phoneticPr fontId="3" type="noConversion"/>
  </si>
  <si>
    <t>ESG Fact Book #4. 사회성과</t>
    <phoneticPr fontId="3" type="noConversion"/>
  </si>
  <si>
    <t>안전영향평가 사업자수/전체 사업장수(위탁 포함)</t>
    <phoneticPr fontId="3" type="noConversion"/>
  </si>
  <si>
    <t>기준일 : 2023년 12월 29일</t>
  </si>
  <si>
    <t>기준일 : 2022년 12월 30일</t>
  </si>
  <si>
    <t>기준일 : 2021년 12월 31일</t>
  </si>
  <si>
    <r>
      <t xml:space="preserve">Scope1+2 값이 있는 </t>
    </r>
    <r>
      <rPr>
        <sz val="11"/>
        <rFont val="맑은 고딕"/>
        <family val="3"/>
        <charset val="129"/>
      </rPr>
      <t>5</t>
    </r>
    <r>
      <rPr>
        <sz val="11"/>
        <rFont val="CJ ONLYONE NEW body Regular"/>
        <charset val="129"/>
      </rPr>
      <t>개 법인에 한하여 계산</t>
    </r>
    <phoneticPr fontId="3" type="noConversion"/>
  </si>
  <si>
    <t>CJ CGV(국내) 기준</t>
    <phoneticPr fontId="3" type="noConversion"/>
  </si>
  <si>
    <t>보고범위: CJ CGV(국내), 윤리/준법경영 관련 지표에 한하여 4DPLEX(국내, 미국, 중국), CGV중국, 베트남, 인도네시아, 튀르키예</t>
    <phoneticPr fontId="3" type="noConversion"/>
  </si>
  <si>
    <t>총 폐기물 배출량/연간 매출액</t>
    <phoneticPr fontId="3" type="noConversion"/>
  </si>
  <si>
    <t>폐점 및 면적 반납 사유로 2023년 폐기물 기타 처리량 증가</t>
    <phoneticPr fontId="3" type="noConversion"/>
  </si>
  <si>
    <t>사외이사 불포함</t>
    <phoneticPr fontId="3" type="noConversion"/>
  </si>
  <si>
    <t>총 산업안전 교육 수료인원/산업안전 교육 대상자 수</t>
    <phoneticPr fontId="3" type="noConversion"/>
  </si>
  <si>
    <t>재생에너지 사용량/총 에너지 사용량</t>
    <phoneticPr fontId="3" type="noConversion"/>
  </si>
  <si>
    <t>2023년: FSC인증 영수증 용지 + 건축/인테리어 비품 + 피타일 + 카펫 구매 금액</t>
    <phoneticPr fontId="3" type="noConversion"/>
  </si>
  <si>
    <t>총 교육 수료 시간/총 임직원 수</t>
    <phoneticPr fontId="3" type="noConversion"/>
  </si>
  <si>
    <t>STEM부서 여성임직원 수/STEM부서 총 임직원 수</t>
    <phoneticPr fontId="3" type="noConversion"/>
  </si>
  <si>
    <t>여성 임원 수/총 임원 수</t>
    <phoneticPr fontId="3" type="noConversion"/>
  </si>
  <si>
    <t>현지채용 고위 관리자 수/총 고위 관리자 수</t>
    <phoneticPr fontId="3" type="noConversion"/>
  </si>
  <si>
    <t>성희롱 예방 교육 수료 인원/성희롱 예방 교육 대상 인원</t>
    <phoneticPr fontId="3" type="noConversion"/>
  </si>
  <si>
    <t>장애인 인식 개선 교육 수료 인원/장애인 인식 개선 교육 대상 인원</t>
    <phoneticPr fontId="3" type="noConversion"/>
  </si>
  <si>
    <t>단체교섭협약 적용 임직원 수/단체교섭협약 대상 임직원 수</t>
    <phoneticPr fontId="3" type="noConversion"/>
  </si>
  <si>
    <t>총 정보보호 교육 수료인원/정보보호 교육 대상자 수</t>
    <phoneticPr fontId="3" type="noConversion"/>
  </si>
  <si>
    <t>Defined benefit plan obligations and other retirement plans</t>
    <phoneticPr fontId="3" type="noConversion"/>
  </si>
  <si>
    <t>Purchased non-renewable energy consumption 
(Purchased from the grid &amp; steam purchased from outside)</t>
    <phoneticPr fontId="3" type="noConversion"/>
  </si>
  <si>
    <t>Ethics and compliance management</t>
  </si>
  <si>
    <r>
      <t xml:space="preserve"> 2021</t>
    </r>
    <r>
      <rPr>
        <sz val="11"/>
        <rFont val="맑은 고딕"/>
        <family val="3"/>
        <charset val="129"/>
      </rPr>
      <t>년</t>
    </r>
    <r>
      <rPr>
        <sz val="11"/>
        <rFont val="CJ ONLYONE NEW body Regular"/>
        <charset val="129"/>
      </rPr>
      <t>-2022</t>
    </r>
    <r>
      <rPr>
        <sz val="11"/>
        <rFont val="맑은 고딕"/>
        <family val="3"/>
        <charset val="129"/>
      </rPr>
      <t>년은</t>
    </r>
    <r>
      <rPr>
        <sz val="11"/>
        <rFont val="CJ ONLYONE NEW body Regular"/>
        <charset val="129"/>
      </rPr>
      <t xml:space="preserve"> CGV</t>
    </r>
    <r>
      <rPr>
        <sz val="11"/>
        <rFont val="맑은 고딕"/>
        <family val="3"/>
        <charset val="129"/>
      </rPr>
      <t>국내</t>
    </r>
    <r>
      <rPr>
        <sz val="11"/>
        <rFont val="CJ ONLYONE NEW body Regular"/>
        <charset val="129"/>
      </rPr>
      <t xml:space="preserve"> </t>
    </r>
    <r>
      <rPr>
        <sz val="11"/>
        <rFont val="맑은 고딕"/>
        <family val="3"/>
        <charset val="129"/>
      </rPr>
      <t>한정</t>
    </r>
    <r>
      <rPr>
        <sz val="11"/>
        <rFont val="CJ ONLYONE NEW body Regular"/>
        <charset val="129"/>
      </rPr>
      <t>, 2023</t>
    </r>
    <r>
      <rPr>
        <sz val="11"/>
        <rFont val="맑은 고딕"/>
        <family val="3"/>
        <charset val="129"/>
      </rPr>
      <t>년은</t>
    </r>
    <r>
      <rPr>
        <sz val="11"/>
        <rFont val="CJ ONLYONE NEW body Regular"/>
        <charset val="129"/>
      </rPr>
      <t xml:space="preserve"> </t>
    </r>
    <r>
      <rPr>
        <sz val="11"/>
        <rFont val="맑은 고딕"/>
        <family val="3"/>
        <charset val="129"/>
      </rPr>
      <t>연결기준</t>
    </r>
    <r>
      <rPr>
        <sz val="11"/>
        <rFont val="CJ ONLYONE NEW body Regular"/>
        <charset val="129"/>
      </rPr>
      <t xml:space="preserve"> </t>
    </r>
    <r>
      <rPr>
        <sz val="11"/>
        <rFont val="맑은 고딕"/>
        <family val="3"/>
        <charset val="129"/>
      </rPr>
      <t>합산</t>
    </r>
    <phoneticPr fontId="3" type="noConversion"/>
  </si>
  <si>
    <t>기간의 정함이 없는 근로자 + 기간제 근로자</t>
    <phoneticPr fontId="3" type="noConversion"/>
  </si>
  <si>
    <t>매니저 + 미소지기</t>
    <phoneticPr fontId="3" type="noConversion"/>
  </si>
  <si>
    <t xml:space="preserve">여성 관리자 수/전체 관리자 수
*관리자: CJ PMDS+의 평가 권한자   </t>
    <phoneticPr fontId="3" type="noConversion"/>
  </si>
  <si>
    <t>2021-2023년은 Full-time 근로자 대상</t>
    <phoneticPr fontId="3" type="noConversion"/>
  </si>
  <si>
    <t>정직원(Full time 근로자 중 기간의 정함이 없는 근로자), 4DPLEX(국내) 한정</t>
    <phoneticPr fontId="3" type="noConversion"/>
  </si>
  <si>
    <t xml:space="preserve">Percentage of women on the Board of Directors -&gt; Ratio </t>
    <phoneticPr fontId="3" type="noConversion"/>
  </si>
  <si>
    <t>Percentage of Female employee in the STEM departments</t>
    <phoneticPr fontId="3" type="noConversion"/>
  </si>
  <si>
    <t>Number of employees with disabled</t>
    <phoneticPr fontId="3" type="noConversion"/>
  </si>
  <si>
    <t>Total number of turnover employees</t>
    <phoneticPr fontId="3" type="noConversion"/>
  </si>
  <si>
    <t>Total number of voluntary turnover</t>
    <phoneticPr fontId="3" type="noConversion"/>
  </si>
  <si>
    <t>Total number of involuntary turnover</t>
    <phoneticPr fontId="3" type="noConversion"/>
  </si>
  <si>
    <t>Involuntary turnover rate(gender)</t>
    <phoneticPr fontId="3" type="noConversion"/>
  </si>
  <si>
    <t>Involuntary turnover rate(by age)</t>
    <phoneticPr fontId="3" type="noConversion"/>
  </si>
  <si>
    <t>Involuntary turnover rate(by gender)</t>
    <phoneticPr fontId="3" type="noConversion"/>
  </si>
  <si>
    <t>Work life balance_Parental leave and maternity leave</t>
    <phoneticPr fontId="3" type="noConversion"/>
  </si>
  <si>
    <t>Number of male employees on parental leave</t>
    <phoneticPr fontId="3" type="noConversion"/>
  </si>
  <si>
    <t>Return rate from parental leave</t>
    <phoneticPr fontId="3" type="noConversion"/>
  </si>
  <si>
    <t>Number of employees on maternity leave</t>
    <phoneticPr fontId="3" type="noConversion"/>
  </si>
  <si>
    <t>Number of female on maternity leave</t>
    <phoneticPr fontId="3" type="noConversion"/>
  </si>
  <si>
    <t>Number of male on maternity leave</t>
    <phoneticPr fontId="3" type="noConversion"/>
  </si>
  <si>
    <t>Total financial loss due to legal procedures related to personal information protection</t>
    <phoneticPr fontId="3" type="noConversion"/>
  </si>
  <si>
    <r>
      <t>2021</t>
    </r>
    <r>
      <rPr>
        <sz val="11"/>
        <rFont val="맑은 고딕"/>
        <family val="3"/>
        <charset val="129"/>
      </rPr>
      <t>년</t>
    </r>
    <r>
      <rPr>
        <sz val="11"/>
        <rFont val="CJ ONLYONE NEW body Regular"/>
        <charset val="129"/>
      </rPr>
      <t>: 1,845,571,870 / 2022</t>
    </r>
    <r>
      <rPr>
        <sz val="11"/>
        <rFont val="맑은 고딕"/>
        <family val="3"/>
        <charset val="129"/>
      </rPr>
      <t>년</t>
    </r>
    <r>
      <rPr>
        <sz val="11"/>
        <rFont val="CJ ONLYONE NEW body Regular"/>
        <charset val="129"/>
      </rPr>
      <t>: 1,525,147,726 / 2023</t>
    </r>
    <r>
      <rPr>
        <sz val="11"/>
        <rFont val="맑은 고딕"/>
        <family val="3"/>
        <charset val="129"/>
      </rPr>
      <t>년</t>
    </r>
    <r>
      <rPr>
        <sz val="11"/>
        <rFont val="CJ ONLYONE NEW body Regular"/>
        <charset val="129"/>
      </rPr>
      <t>: 3,471,845,218 (IDR)</t>
    </r>
    <phoneticPr fontId="3" type="noConversion"/>
  </si>
  <si>
    <t>연도별 기말 환율 적용하여 합산한 값임</t>
    <phoneticPr fontId="3" type="noConversion"/>
  </si>
  <si>
    <r>
      <t>판매 상제품</t>
    </r>
    <r>
      <rPr>
        <sz val="11"/>
        <rFont val="새굴림"/>
        <family val="1"/>
        <charset val="129"/>
      </rPr>
      <t xml:space="preserve"> + </t>
    </r>
    <r>
      <rPr>
        <sz val="11"/>
        <rFont val="CJ ONLYONE NEW body Regular"/>
        <charset val="129"/>
      </rPr>
      <t>자체 소비</t>
    </r>
    <phoneticPr fontId="3" type="noConversion"/>
  </si>
  <si>
    <t>ea</t>
    <phoneticPr fontId="3" type="noConversion"/>
  </si>
  <si>
    <t>Ton/KRW 100M</t>
    <phoneticPr fontId="3" type="noConversion"/>
  </si>
  <si>
    <t>2021년~2023년: PLA 스트로우 구매 금액</t>
    <phoneticPr fontId="3" type="noConversion"/>
  </si>
  <si>
    <t xml:space="preserve">중국 정부가 공급하는 에너지 내에 재생에너지 발전이 포함됨,
이에 2021년~2023년 중국 전력공급 관련 뉴스 통해 각 년도 재생에너지 발전 비율 확인해(2021년: 30%, 2022년 32%, 2023년 33%) 재생에너지 사용량 산출 </t>
    <phoneticPr fontId="3" type="noConversion"/>
  </si>
  <si>
    <r>
      <rPr>
        <sz val="11"/>
        <rFont val="맑은 고딕"/>
        <family val="3"/>
        <charset val="129"/>
      </rPr>
      <t xml:space="preserve">4DPLEX </t>
    </r>
    <r>
      <rPr>
        <sz val="11"/>
        <rFont val="CJ ONLYONE NEW body Regular"/>
        <charset val="129"/>
      </rPr>
      <t>2021년~2023년 기타(매립+소각) 폐기물량 있지만, 부피(m3) 값만 있어 합산 데이터에 미포함. 2021년: 262.50m3, 2022년: 506.50m3, 2023년: 647.50m3</t>
    </r>
    <phoneticPr fontId="3" type="noConversion"/>
  </si>
  <si>
    <t>해당사항 없음(업종 및 직무 특성상 전문직 구분은 없음)</t>
    <phoneticPr fontId="3" type="noConversion"/>
  </si>
  <si>
    <t>KRW 10K</t>
  </si>
  <si>
    <r>
      <t>DE&amp;I (Di</t>
    </r>
    <r>
      <rPr>
        <b/>
        <sz val="11"/>
        <rFont val="Calibri"/>
        <family val="2"/>
      </rPr>
      <t>versity</t>
    </r>
    <r>
      <rPr>
        <b/>
        <sz val="11"/>
        <rFont val="CJ ONLYONE NEW body Regular"/>
        <charset val="129"/>
      </rPr>
      <t>, Equity and Inculusion) Enhancement</t>
    </r>
    <phoneticPr fontId="3" type="noConversion"/>
  </si>
  <si>
    <t>Percentage of Female manager</t>
    <phoneticPr fontId="3" type="noConversion"/>
  </si>
  <si>
    <t>Percentage of Gender equity</t>
    <phoneticPr fontId="3" type="noConversion"/>
  </si>
  <si>
    <t>Employees' lost time injury frequency rate (Lost time injury frequency rate)</t>
    <phoneticPr fontId="3" type="noConversion"/>
  </si>
  <si>
    <r>
      <t xml:space="preserve">Cash dividend </t>
    </r>
    <r>
      <rPr>
        <b/>
        <sz val="11"/>
        <rFont val="새굴림"/>
        <family val="1"/>
        <charset val="129"/>
      </rPr>
      <t>P</t>
    </r>
    <r>
      <rPr>
        <b/>
        <sz val="11"/>
        <rFont val="CJ ONLYONE NEW body Regular"/>
        <charset val="129"/>
      </rPr>
      <t xml:space="preserve">ayout </t>
    </r>
    <r>
      <rPr>
        <b/>
        <sz val="11"/>
        <rFont val="새굴림"/>
        <family val="1"/>
        <charset val="129"/>
      </rPr>
      <t>R</t>
    </r>
    <r>
      <rPr>
        <b/>
        <sz val="11"/>
        <rFont val="CJ ONLYONE NEW body Regular"/>
        <charset val="129"/>
      </rPr>
      <t>atio</t>
    </r>
    <phoneticPr fontId="3" type="noConversion"/>
  </si>
  <si>
    <t>Voluntary turnover rate(by age)</t>
    <phoneticPr fontId="3" type="noConversion"/>
  </si>
  <si>
    <t>Total number of reported cases against human rights</t>
    <phoneticPr fontId="3" type="noConversion"/>
  </si>
  <si>
    <t>Number of valid and resorved cases against human rights</t>
    <phoneticPr fontId="3" type="noConversion"/>
  </si>
  <si>
    <t>Number of agenda items submitted to the Board of Directors</t>
    <phoneticPr fontId="3" type="noConversion"/>
  </si>
  <si>
    <t>Total hours of ethics/compliance management training completed</t>
    <phoneticPr fontId="3" type="noConversion"/>
  </si>
  <si>
    <t xml:space="preserve">Total number of participants who completed ethics/compliance management training </t>
    <phoneticPr fontId="3" type="noConversion"/>
  </si>
  <si>
    <t>총 윤리/준법경영 교육 수료 시간</t>
    <phoneticPr fontId="3" type="noConversion"/>
  </si>
  <si>
    <t>윤리/준법경영 교육</t>
    <phoneticPr fontId="3" type="noConversion"/>
  </si>
  <si>
    <t>총 윤리/준법경영 교육 수료 인원</t>
    <phoneticPr fontId="3" type="noConversion"/>
  </si>
  <si>
    <t>Number of reported cases against ethics/compliance management</t>
    <phoneticPr fontId="3" type="noConversion"/>
  </si>
  <si>
    <t>Number of valid and resolved cases against ethics/compliance management</t>
    <phoneticPr fontId="3" type="noConversion"/>
  </si>
  <si>
    <t>휘발유 사용량 *배출계수 환산값_IPCC기준</t>
    <phoneticPr fontId="3" type="noConversion"/>
  </si>
  <si>
    <t>중국 공개 국가 전력망 배출계수 기준</t>
    <phoneticPr fontId="3" type="noConversion"/>
  </si>
  <si>
    <t>2021년~2022년: 중국법인 / 2023년: 국내+중국법인</t>
    <phoneticPr fontId="3" type="noConversion"/>
  </si>
  <si>
    <t>총 교육 비용/총 임직원 수
현지통화 기준, 연도별 기말환율 적용 후 합산</t>
    <phoneticPr fontId="3" type="noConversion"/>
  </si>
  <si>
    <t>2021년~2022년 보고서에서는 Scope1+Scope2 합산 값으로 기보고하였으나 정정. 2023년도 보고시 CJ그룹 보고 기준에 따라 2021년~2023년도 값을 온실가스 검증성명서 상 총량값으로 수정</t>
    <phoneticPr fontId="3" type="noConversion"/>
  </si>
  <si>
    <t>2021~2023년 온실가스 목표관리제 온실가스 배출 허용량으로 목표 산정</t>
    <phoneticPr fontId="3" type="noConversion"/>
  </si>
  <si>
    <t>2021~2022년: 중국, 2023년: 국내 + 중국</t>
    <phoneticPr fontId="3" type="noConversion"/>
  </si>
  <si>
    <t>구매한 비재생 에너지(전력)</t>
    <phoneticPr fontId="3" type="noConversion"/>
  </si>
  <si>
    <t>2021년: 173,763.76 / 2022년: 54,826.65 / 2023년: 7,569,641.49 (TRY)</t>
    <phoneticPr fontId="3" type="noConversion"/>
  </si>
  <si>
    <t>3일 이상 근로손실 발생한 산업재해 건 수</t>
    <phoneticPr fontId="3" type="noConversion"/>
  </si>
  <si>
    <t>출퇴근사고 2021년 1건, 2022년 2건, 2023년 0건 포함</t>
    <phoneticPr fontId="3" type="noConversion"/>
  </si>
  <si>
    <t>출퇴근사고 0건 포함</t>
    <phoneticPr fontId="3" type="noConversion"/>
  </si>
  <si>
    <t>출퇴근사고 2021년 1건, 2022년 1건, 2023년 0건 포함</t>
    <phoneticPr fontId="3" type="noConversion"/>
  </si>
  <si>
    <r>
      <t>온실가스 직</t>
    </r>
    <r>
      <rPr>
        <b/>
        <sz val="11"/>
        <color theme="1"/>
        <rFont val="Calibri"/>
        <family val="2"/>
      </rPr>
      <t>·</t>
    </r>
    <r>
      <rPr>
        <b/>
        <sz val="11"/>
        <color theme="1"/>
        <rFont val="CJ ONLYONE NEW body Regular"/>
        <charset val="129"/>
      </rPr>
      <t>간접 배출량 (Scope 1+2)</t>
    </r>
    <phoneticPr fontId="3" type="noConversion"/>
  </si>
  <si>
    <t>당사 보유 지주회사 보통 주식 수</t>
    <phoneticPr fontId="3" type="noConversion"/>
  </si>
  <si>
    <t>기타(매립, 소각 등)</t>
    <phoneticPr fontId="3" type="noConversion"/>
  </si>
  <si>
    <t>계약 유형별 신규 채용자 수</t>
    <phoneticPr fontId="3" type="noConversion"/>
  </si>
  <si>
    <t>경영진 구성 비율(성별)</t>
    <phoneticPr fontId="3" type="noConversion"/>
  </si>
  <si>
    <t>경영진/임원 구성 비율(연령별)</t>
    <phoneticPr fontId="3" type="noConversion"/>
  </si>
  <si>
    <t>%</t>
    <phoneticPr fontId="3" type="noConversion"/>
  </si>
  <si>
    <t>이사회 인원 수</t>
    <phoneticPr fontId="3" type="noConversion"/>
  </si>
  <si>
    <t>사외이사 수</t>
    <phoneticPr fontId="3" type="noConversion"/>
  </si>
  <si>
    <t>여성이사 수</t>
    <phoneticPr fontId="3" type="noConversion"/>
  </si>
  <si>
    <t>Ratio of independent directors on the Board of Directors</t>
    <phoneticPr fontId="3" type="noConversion"/>
  </si>
  <si>
    <r>
      <t>2021년~2022년: CGV본사 및 CGV용산아이파크몰 한정. 건물 전체 재활용량*면적비 환산 추정 값</t>
    </r>
    <r>
      <rPr>
        <sz val="11"/>
        <rFont val="맑은 고딕"/>
        <family val="3"/>
        <charset val="129"/>
      </rPr>
      <t xml:space="preserve">, </t>
    </r>
    <r>
      <rPr>
        <sz val="11"/>
        <rFont val="CJ ONLYONE NEW body Regular"/>
        <charset val="129"/>
      </rPr>
      <t>2023년: CGV본사는 산출 방식 동일, CGV용산아이파크몰의 경우 매점 주요 패키지 무게 환산 추정값으로 산출방식 변경(HDC아이파크몰 내 일반폐기물은 모두 재활용 폐기물)</t>
    </r>
    <phoneticPr fontId="3" type="noConversion"/>
  </si>
  <si>
    <r>
      <t>2021년~2022년: CGV본사 및 CGV용산아이파크몰 한정
2023년:</t>
    </r>
    <r>
      <rPr>
        <sz val="11"/>
        <rFont val="맑은 고딕"/>
        <family val="3"/>
        <charset val="129"/>
      </rPr>
      <t xml:space="preserve"> </t>
    </r>
    <r>
      <rPr>
        <sz val="11"/>
        <rFont val="CJ ONLYONE NEW body Regular"/>
        <charset val="129"/>
      </rPr>
      <t>CGV직영 극장 매점 주요 패키지 무게 환산 추정 값
(재활용, 소각, 매립 여부 확인 불가 폐기물량) + 건축 폐기물 기타 배출량</t>
    </r>
    <phoneticPr fontId="3" type="noConversion"/>
  </si>
  <si>
    <r>
      <t>2021년~2022년: CGV본사 및 CGV용산아이파크몰 한정. 건물 전체 일반폐기물량*면적비 환산 추정 값</t>
    </r>
    <r>
      <rPr>
        <sz val="11"/>
        <rFont val="맑은 고딕"/>
        <family val="3"/>
        <charset val="129"/>
      </rPr>
      <t xml:space="preserve">, </t>
    </r>
    <r>
      <rPr>
        <sz val="11"/>
        <rFont val="CJ ONLYONE NEW body Regular"/>
        <charset val="129"/>
      </rPr>
      <t xml:space="preserve">2023년: CGV본사는 산출 방식 동일,  CGV직영 극장 매점 주요 패키지의 무게 환산 추정 값 </t>
    </r>
    <phoneticPr fontId="3" type="noConversion"/>
  </si>
  <si>
    <t>전력소비량*전력배출계수환산값_IEA2021 기준</t>
    <phoneticPr fontId="3" type="noConversion"/>
  </si>
  <si>
    <t>2021년~2022년: 비재생 연료 기반(스팀+연료)+구매한 비재생 에너지(전력) 합산 값으로 기보고하였으나 정정, 2023년: CJ그룹 보고 기준에 따라 2021년~2023년도 값을 온실가스 검증성명서 상 총량값으로 수정</t>
    <phoneticPr fontId="3" type="noConversion"/>
  </si>
  <si>
    <r>
      <t>2021년~2022년</t>
    </r>
    <r>
      <rPr>
        <sz val="11"/>
        <rFont val="맑은 고딕"/>
        <family val="3"/>
        <charset val="129"/>
      </rPr>
      <t xml:space="preserve">: </t>
    </r>
    <r>
      <rPr>
        <sz val="11"/>
        <rFont val="CJ ONLYONE NEW body Regular"/>
        <charset val="129"/>
      </rPr>
      <t>온실가스 목표관리제 에너지 소비 허용량으로 목표 산정, 2023년</t>
    </r>
    <r>
      <rPr>
        <sz val="11"/>
        <rFont val="맑은 고딕"/>
        <family val="3"/>
        <charset val="129"/>
      </rPr>
      <t>:</t>
    </r>
    <r>
      <rPr>
        <sz val="11"/>
        <rFont val="CJ ONLYONE NEW body Regular"/>
        <charset val="129"/>
      </rPr>
      <t xml:space="preserve"> 자체 산정</t>
    </r>
    <phoneticPr fontId="3" type="noConversion"/>
  </si>
  <si>
    <t>극장 매점 주요 패키지 출고량 무게 환산 추정 값(재활용, 소각, 매립 여부 확인 불가로 기타로 보고)</t>
    <phoneticPr fontId="3" type="noConversion"/>
  </si>
  <si>
    <t>연령별 임원 수 / 총 임원 수</t>
    <phoneticPr fontId="3" type="noConversion"/>
  </si>
  <si>
    <t>연령별 자발적 이직자 수/총 임직원 수
산출 계산식 변경으로 전년도 보고 수치 변경</t>
    <phoneticPr fontId="3" type="noConversion"/>
  </si>
  <si>
    <t>성별 자발적 이직자 수/총 임직원 수
산출 계산식 변경으로 전년도 보고 수치 변경</t>
    <phoneticPr fontId="3" type="noConversion"/>
  </si>
  <si>
    <t>비자발적 이직자 수/총 임직원 수
산출 계산식 변경으로 전년도 보고 수치 변경</t>
    <phoneticPr fontId="3" type="noConversion"/>
  </si>
  <si>
    <t>성별 비자발적 이직자 수/총 임직원 수
산출 계산식 변경으로 전년도 보고 수치 변경</t>
    <phoneticPr fontId="3" type="noConversion"/>
  </si>
  <si>
    <r>
      <t>육아휴직 후 복귀한 임직원 수 /</t>
    </r>
    <r>
      <rPr>
        <sz val="11"/>
        <rFont val="새굴림"/>
        <family val="1"/>
        <charset val="129"/>
      </rPr>
      <t xml:space="preserve"> </t>
    </r>
    <r>
      <rPr>
        <sz val="11"/>
        <rFont val="CJ ONLYONE NEW body Regular"/>
        <charset val="129"/>
      </rPr>
      <t>육아휴직 후 복귀 예정 임직원 수</t>
    </r>
    <phoneticPr fontId="3" type="noConversion"/>
  </si>
  <si>
    <t>육아휴직 후 복귀한 임직원 수 / 육아휴직 후 복귀 예정 임직원 수</t>
    <phoneticPr fontId="3" type="noConversion"/>
  </si>
  <si>
    <r>
      <t xml:space="preserve">(직전 연도 육아휴직 복귀 후 12개월 이상 근무한 당해 연도 남성 임직원 수 + 직전 연도 육아휴직 복귀 후 12개월 이상 근무한 당해 연도 여성 임직원 수) / </t>
    </r>
    <r>
      <rPr>
        <sz val="11"/>
        <rFont val="새굴림"/>
        <family val="1"/>
        <charset val="129"/>
      </rPr>
      <t>(</t>
    </r>
    <r>
      <rPr>
        <sz val="11"/>
        <rFont val="CJ ONLYONE NEW body Regular"/>
        <charset val="129"/>
      </rPr>
      <t>직전 연도</t>
    </r>
    <r>
      <rPr>
        <sz val="11"/>
        <rFont val="새굴림"/>
        <family val="1"/>
        <charset val="129"/>
      </rPr>
      <t xml:space="preserve"> </t>
    </r>
    <r>
      <rPr>
        <sz val="11"/>
        <rFont val="CJ ONLYONE NEW body Regular"/>
        <charset val="129"/>
      </rPr>
      <t>육아휴직 후 복귀한 남성 임직원 수 + 육아휴직 후 복귀한 여성 임직원 수)</t>
    </r>
    <phoneticPr fontId="3" type="noConversion"/>
  </si>
  <si>
    <t>(임직원 근로손실 부상 건수/임직원 총 근무 시간)*1,000,000</t>
    <phoneticPr fontId="3" type="noConversion"/>
  </si>
  <si>
    <r>
      <rPr>
        <u/>
        <sz val="11"/>
        <rFont val="CJ ONLYONE NEW body Regular"/>
        <charset val="129"/>
      </rPr>
      <t>유효 제보 기준 변경</t>
    </r>
    <r>
      <rPr>
        <sz val="11"/>
        <rFont val="CJ ONLYONE NEW body Regular"/>
        <charset val="129"/>
      </rPr>
      <t>으로 인해 2021년 데이터 변경(15건→13건)
: 허위 신고가 명백한 경우 등 신고내용을 확인하거나 조사할 필요가 없는 경우를 제외한 제보 건수</t>
    </r>
    <phoneticPr fontId="3" type="noConversion"/>
  </si>
  <si>
    <t>일부 미공개 법인 제외 공개 법인 합산 값</t>
    <phoneticPr fontId="3" type="noConversion"/>
  </si>
  <si>
    <t>미공개 법인 포함</t>
    <phoneticPr fontId="3" type="noConversion"/>
  </si>
  <si>
    <r>
      <t>도시가스 온실가스 배출량+휘발유 온실가스 배출량
도시가스&amp;휘발유 배출계수 환산값</t>
    </r>
    <r>
      <rPr>
        <sz val="11"/>
        <rFont val="맑은 고딕"/>
        <family val="3"/>
        <charset val="129"/>
      </rPr>
      <t>_</t>
    </r>
    <r>
      <rPr>
        <sz val="11"/>
        <rFont val="CJ ONLYONE NEW body Regular"/>
        <charset val="129"/>
      </rPr>
      <t>IPCC 기준</t>
    </r>
    <phoneticPr fontId="3" type="noConversion"/>
  </si>
  <si>
    <t>124개 직영사이트 용수취수량 합산</t>
    <phoneticPr fontId="3" type="noConversion"/>
  </si>
  <si>
    <t>CJ CGV(국내), 4DPLEX(국내) 기준</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</si>
</sst>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1" formatCode="_-* #,##0_-;\-* #,##0_-;_-* &quot;-&quot;_-;_-@_-"/>
    <numFmt numFmtId="43" formatCode="_-* #,##0.00_-;\-* #,##0.00_-;_-* &quot;-&quot;??_-;_-@_-"/>
    <numFmt numFmtId="176" formatCode="_(* #,##0.00_);_(* \(#,##0.00\);_(* &quot;-&quot;??_);_(@_)"/>
    <numFmt numFmtId="177" formatCode="mm&quot;월&quot;\ dd&quot;일&quot;"/>
    <numFmt numFmtId="178" formatCode="0_);[Red]\(0\)"/>
    <numFmt numFmtId="179" formatCode="_-* #,##0.00_-;\-* #,##0.00_-;_-* &quot;-&quot;_-;_-@_-"/>
    <numFmt numFmtId="180" formatCode="#,##0.0"/>
    <numFmt numFmtId="181" formatCode="#,##0.0_ "/>
    <numFmt numFmtId="182" formatCode="#,##0_ "/>
    <numFmt numFmtId="183" formatCode="0.000_);[Red]\(0.000\)"/>
    <numFmt numFmtId="184" formatCode="#,##0.000"/>
    <numFmt numFmtId="185" formatCode="0.00_);[Red]\(0.00\)"/>
    <numFmt numFmtId="186" formatCode="#,##0.0_);[Red]\(#,##0.0\)"/>
    <numFmt numFmtId="187" formatCode="#,##0_ ;[Red]\-#,##0\ "/>
    <numFmt numFmtId="188" formatCode="_(* #,##0_);_(* \(#,##0\);_(* &quot;-&quot;??_);_(@_)"/>
    <numFmt numFmtId="189" formatCode="_ * #,##0.00_ ;_ * \-#,##0.00_ ;_ * &quot;-&quot;??_ ;_ @_ "/>
    <numFmt numFmtId="190" formatCode="_ * #,##0_ ;_ * \-#,##0_ ;_ * &quot;-&quot;??_ ;_ @_ "/>
    <numFmt numFmtId="191" formatCode="0.0%"/>
    <numFmt numFmtId="192" formatCode="#,##0.0_ ;[Red]\-#,##0.0\ "/>
    <numFmt numFmtId="193" formatCode="#,##0.00_ ;[Red]\-#,##0.00\ "/>
    <numFmt numFmtId="194" formatCode="#,##0.0;[Red]\-#,##0.0"/>
    <numFmt numFmtId="195" formatCode="#,##0.000;[Red]\-#,##0.000"/>
    <numFmt numFmtId="196" formatCode="0.0_);[Red]\(0.0\)"/>
    <numFmt numFmtId="197" formatCode="#,##0.00_ "/>
  </numFmts>
  <fonts count="137">
    <font>
      <sz val="11"/>
      <color theme="1"/>
      <name val="맑은 고딕"/>
      <family val="2"/>
      <charset val="129"/>
      <scheme val="minor"/>
    </font>
    <font>
      <sz val="11"/>
      <color theme="1"/>
      <name val="맑은 고딕"/>
      <family val="2"/>
      <charset val="129"/>
      <scheme val="minor"/>
    </font>
    <font>
      <sz val="11"/>
      <color theme="0"/>
      <name val="맑은 고딕"/>
      <family val="3"/>
      <charset val="129"/>
      <scheme val="minor"/>
    </font>
    <font>
      <sz val="8"/>
      <name val="맑은 고딕"/>
      <family val="2"/>
      <charset val="129"/>
      <scheme val="minor"/>
    </font>
    <font>
      <b/>
      <sz val="11"/>
      <color theme="0"/>
      <name val="맑은 고딕"/>
      <family val="3"/>
      <charset val="129"/>
      <scheme val="minor"/>
    </font>
    <font>
      <sz val="11"/>
      <color theme="1"/>
      <name val="맑은 고딕"/>
      <family val="3"/>
      <charset val="129"/>
      <scheme val="minor"/>
    </font>
    <font>
      <sz val="16"/>
      <color theme="0"/>
      <name val="맑은 고딕"/>
      <family val="3"/>
      <charset val="129"/>
      <scheme val="minor"/>
    </font>
    <font>
      <b/>
      <sz val="22"/>
      <color theme="0"/>
      <name val="맑은 고딕"/>
      <family val="3"/>
      <charset val="129"/>
      <scheme val="minor"/>
    </font>
    <font>
      <b/>
      <sz val="16"/>
      <color theme="0"/>
      <name val="맑은 고딕"/>
      <family val="3"/>
      <charset val="129"/>
      <scheme val="minor"/>
    </font>
    <font>
      <sz val="16"/>
      <color theme="1"/>
      <name val="맑은 고딕"/>
      <family val="3"/>
      <charset val="129"/>
      <scheme val="minor"/>
    </font>
    <font>
      <b/>
      <sz val="12"/>
      <color theme="1"/>
      <name val="맑은 고딕"/>
      <family val="3"/>
      <charset val="129"/>
      <scheme val="minor"/>
    </font>
    <font>
      <sz val="11"/>
      <color rgb="FFFF0000"/>
      <name val="맑은 고딕"/>
      <family val="3"/>
      <charset val="129"/>
      <scheme val="minor"/>
    </font>
    <font>
      <sz val="12"/>
      <color rgb="FFFF0000"/>
      <name val="맑은 고딕"/>
      <family val="3"/>
      <charset val="129"/>
      <scheme val="minor"/>
    </font>
    <font>
      <sz val="12"/>
      <color theme="1"/>
      <name val="맑은 고딕"/>
      <family val="3"/>
      <charset val="129"/>
      <scheme val="minor"/>
    </font>
    <font>
      <b/>
      <sz val="12"/>
      <color rgb="FFFF0000"/>
      <name val="맑은 고딕"/>
      <family val="3"/>
      <charset val="129"/>
      <scheme val="minor"/>
    </font>
    <font>
      <b/>
      <sz val="11"/>
      <color theme="1"/>
      <name val="맑은 고딕"/>
      <family val="3"/>
      <charset val="129"/>
      <scheme val="minor"/>
    </font>
    <font>
      <b/>
      <sz val="12"/>
      <color theme="0"/>
      <name val="맑은 고딕"/>
      <family val="3"/>
      <charset val="129"/>
      <scheme val="minor"/>
    </font>
    <font>
      <sz val="11"/>
      <color theme="1"/>
      <name val="맑은 고딕"/>
      <family val="2"/>
      <scheme val="minor"/>
    </font>
    <font>
      <sz val="8"/>
      <name val="맑은 고딕"/>
      <family val="3"/>
      <charset val="129"/>
      <scheme val="minor"/>
    </font>
    <font>
      <b/>
      <sz val="16"/>
      <color theme="1"/>
      <name val="맑은 고딕"/>
      <family val="3"/>
      <charset val="129"/>
      <scheme val="minor"/>
    </font>
    <font>
      <b/>
      <sz val="11"/>
      <color rgb="FFFF0000"/>
      <name val="맑은 고딕"/>
      <family val="3"/>
      <charset val="129"/>
      <scheme val="minor"/>
    </font>
    <font>
      <sz val="11"/>
      <name val="맑은 고딕"/>
      <family val="3"/>
      <charset val="129"/>
      <scheme val="minor"/>
    </font>
    <font>
      <sz val="11"/>
      <color rgb="FF000000"/>
      <name val="맑은 고딕"/>
      <family val="3"/>
      <charset val="129"/>
    </font>
    <font>
      <b/>
      <sz val="11"/>
      <color rgb="FFFF0000"/>
      <name val="맑은 고딕"/>
      <family val="3"/>
      <charset val="129"/>
    </font>
    <font>
      <sz val="11"/>
      <name val="맑은 고딕"/>
      <family val="3"/>
      <charset val="129"/>
    </font>
    <font>
      <b/>
      <sz val="11"/>
      <name val="맑은 고딕"/>
      <family val="3"/>
      <charset val="129"/>
    </font>
    <font>
      <b/>
      <sz val="11"/>
      <name val="맑은 고딕"/>
      <family val="3"/>
      <charset val="129"/>
      <scheme val="minor"/>
    </font>
    <font>
      <vertAlign val="superscript"/>
      <sz val="11"/>
      <color theme="1"/>
      <name val="맑은 고딕"/>
      <family val="3"/>
      <charset val="129"/>
      <scheme val="minor"/>
    </font>
    <font>
      <vertAlign val="superscript"/>
      <sz val="11"/>
      <name val="맑은 고딕"/>
      <family val="3"/>
      <charset val="129"/>
      <scheme val="minor"/>
    </font>
    <font>
      <sz val="12"/>
      <name val="맑은 고딕"/>
      <family val="3"/>
      <charset val="129"/>
      <scheme val="minor"/>
    </font>
    <font>
      <sz val="16"/>
      <name val="맑은 고딕"/>
      <family val="3"/>
      <charset val="129"/>
      <scheme val="minor"/>
    </font>
    <font>
      <sz val="11"/>
      <color theme="6" tint="0.39997558519241921"/>
      <name val="맑은 고딕"/>
      <family val="3"/>
      <charset val="129"/>
      <scheme val="minor"/>
    </font>
    <font>
      <sz val="11"/>
      <color rgb="FF0000FF"/>
      <name val="맑은 고딕"/>
      <family val="3"/>
      <charset val="129"/>
      <scheme val="minor"/>
    </font>
    <font>
      <sz val="16"/>
      <color rgb="FFFF0000"/>
      <name val="맑은 고딕"/>
      <family val="3"/>
      <charset val="129"/>
      <scheme val="minor"/>
    </font>
    <font>
      <sz val="14"/>
      <color theme="1"/>
      <name val="맑은 고딕"/>
      <family val="3"/>
      <charset val="129"/>
      <scheme val="minor"/>
    </font>
    <font>
      <sz val="14"/>
      <name val="맑은 고딕"/>
      <family val="3"/>
      <charset val="129"/>
      <scheme val="minor"/>
    </font>
    <font>
      <b/>
      <sz val="9"/>
      <color indexed="81"/>
      <name val="Tahoma"/>
      <family val="2"/>
    </font>
    <font>
      <sz val="9"/>
      <color indexed="81"/>
      <name val="Tahoma"/>
      <family val="2"/>
    </font>
    <font>
      <sz val="9"/>
      <color indexed="81"/>
      <name val="BatangChe"/>
      <family val="3"/>
      <charset val="129"/>
    </font>
    <font>
      <b/>
      <sz val="9"/>
      <color indexed="81"/>
      <name val="BatangChe"/>
      <family val="3"/>
      <charset val="129"/>
    </font>
    <font>
      <b/>
      <sz val="9"/>
      <color indexed="81"/>
      <name val="돋움"/>
      <family val="3"/>
      <charset val="129"/>
    </font>
    <font>
      <sz val="9"/>
      <color indexed="81"/>
      <name val="돋움"/>
      <family val="3"/>
      <charset val="129"/>
    </font>
    <font>
      <b/>
      <sz val="16"/>
      <name val="맑은 고딕"/>
      <family val="3"/>
      <charset val="129"/>
      <scheme val="minor"/>
    </font>
    <font>
      <b/>
      <sz val="11"/>
      <color rgb="FF0070C0"/>
      <name val="맑은 고딕"/>
      <family val="3"/>
      <charset val="129"/>
      <scheme val="minor"/>
    </font>
    <font>
      <strike/>
      <sz val="11"/>
      <color theme="1"/>
      <name val="맑은 고딕"/>
      <family val="3"/>
      <charset val="129"/>
      <scheme val="minor"/>
    </font>
    <font>
      <strike/>
      <sz val="11"/>
      <name val="맑은 고딕"/>
      <family val="3"/>
      <charset val="129"/>
      <scheme val="minor"/>
    </font>
    <font>
      <sz val="11"/>
      <color rgb="FFC00000"/>
      <name val="맑은 고딕"/>
      <family val="3"/>
      <charset val="129"/>
      <scheme val="minor"/>
    </font>
    <font>
      <b/>
      <sz val="12"/>
      <color indexed="81"/>
      <name val="돋움"/>
      <family val="3"/>
      <charset val="129"/>
    </font>
    <font>
      <b/>
      <sz val="12"/>
      <color indexed="81"/>
      <name val="Tahoma"/>
      <family val="2"/>
    </font>
    <font>
      <b/>
      <sz val="11"/>
      <color indexed="81"/>
      <name val="Tahoma"/>
      <family val="2"/>
    </font>
    <font>
      <b/>
      <sz val="11"/>
      <color indexed="81"/>
      <name val="돋움"/>
      <family val="3"/>
      <charset val="129"/>
    </font>
    <font>
      <sz val="11"/>
      <color indexed="81"/>
      <name val="돋움"/>
      <family val="3"/>
      <charset val="129"/>
    </font>
    <font>
      <sz val="11"/>
      <color indexed="81"/>
      <name val="Tahoma"/>
      <family val="2"/>
    </font>
    <font>
      <b/>
      <sz val="12"/>
      <color indexed="81"/>
      <name val="BatangChe"/>
      <family val="3"/>
      <charset val="129"/>
    </font>
    <font>
      <sz val="10"/>
      <name val="Arial"/>
      <family val="2"/>
    </font>
    <font>
      <b/>
      <sz val="10"/>
      <color indexed="8"/>
      <name val="Arial"/>
      <family val="2"/>
    </font>
    <font>
      <b/>
      <sz val="16"/>
      <color rgb="FF0828FC"/>
      <name val="맑은 고딕"/>
      <family val="3"/>
      <charset val="129"/>
      <scheme val="minor"/>
    </font>
    <font>
      <sz val="11"/>
      <color rgb="FF0828FC"/>
      <name val="맑은 고딕"/>
      <family val="3"/>
      <charset val="129"/>
      <scheme val="minor"/>
    </font>
    <font>
      <b/>
      <sz val="11"/>
      <color rgb="FF0828FC"/>
      <name val="맑은 고딕"/>
      <family val="3"/>
      <charset val="129"/>
      <scheme val="minor"/>
    </font>
    <font>
      <sz val="16"/>
      <color rgb="FF0828FC"/>
      <name val="맑은 고딕"/>
      <family val="3"/>
      <charset val="129"/>
      <scheme val="minor"/>
    </font>
    <font>
      <sz val="12"/>
      <color rgb="FF0828FC"/>
      <name val="맑은 고딕"/>
      <family val="3"/>
      <charset val="129"/>
      <scheme val="minor"/>
    </font>
    <font>
      <sz val="12"/>
      <color theme="1"/>
      <name val="맑은 고딕"/>
      <family val="2"/>
      <scheme val="minor"/>
    </font>
    <font>
      <b/>
      <sz val="16"/>
      <color rgb="FF0828FC"/>
      <name val="맑은 고딕"/>
      <family val="2"/>
      <charset val="134"/>
      <scheme val="minor"/>
    </font>
    <font>
      <b/>
      <sz val="9"/>
      <color indexed="81"/>
      <name val="宋体"/>
      <family val="3"/>
      <charset val="134"/>
    </font>
    <font>
      <sz val="9"/>
      <color indexed="81"/>
      <name val="宋体"/>
      <family val="3"/>
      <charset val="134"/>
    </font>
    <font>
      <b/>
      <vertAlign val="superscript"/>
      <sz val="11"/>
      <color theme="1"/>
      <name val="맑은 고딕"/>
      <family val="3"/>
      <charset val="129"/>
      <scheme val="minor"/>
    </font>
    <font>
      <b/>
      <sz val="11"/>
      <color rgb="FFC00000"/>
      <name val="맑은 고딕"/>
      <family val="3"/>
      <charset val="129"/>
      <scheme val="minor"/>
    </font>
    <font>
      <b/>
      <sz val="9"/>
      <color indexed="81"/>
      <name val="맑은 고딕"/>
      <family val="3"/>
      <charset val="129"/>
    </font>
    <font>
      <b/>
      <sz val="9"/>
      <color indexed="81"/>
      <name val="SimSun-ExtB"/>
      <family val="3"/>
      <charset val="134"/>
    </font>
    <font>
      <b/>
      <vertAlign val="superscript"/>
      <sz val="11"/>
      <color rgb="FFC00000"/>
      <name val="맑은 고딕"/>
      <family val="3"/>
      <charset val="129"/>
      <scheme val="minor"/>
    </font>
    <font>
      <sz val="9"/>
      <color theme="1"/>
      <name val="맑은 고딕"/>
      <family val="3"/>
      <charset val="129"/>
      <scheme val="minor"/>
    </font>
    <font>
      <b/>
      <sz val="9"/>
      <color rgb="FFFF0000"/>
      <name val="맑은 고딕"/>
      <family val="3"/>
      <charset val="129"/>
      <scheme val="minor"/>
    </font>
    <font>
      <sz val="9"/>
      <name val="맑은 고딕"/>
      <family val="3"/>
      <charset val="129"/>
      <scheme val="minor"/>
    </font>
    <font>
      <sz val="9"/>
      <color rgb="FFFF0000"/>
      <name val="맑은 고딕"/>
      <family val="3"/>
      <charset val="129"/>
      <scheme val="minor"/>
    </font>
    <font>
      <b/>
      <sz val="9"/>
      <color theme="1"/>
      <name val="맑은 고딕"/>
      <family val="3"/>
      <charset val="129"/>
      <scheme val="minor"/>
    </font>
    <font>
      <b/>
      <sz val="11"/>
      <color theme="1"/>
      <name val="맑은 고딕"/>
      <family val="2"/>
      <charset val="129"/>
      <scheme val="minor"/>
    </font>
    <font>
      <b/>
      <vertAlign val="superscript"/>
      <sz val="11"/>
      <color rgb="FFFF0000"/>
      <name val="맑은 고딕"/>
      <family val="3"/>
      <charset val="129"/>
      <scheme val="minor"/>
    </font>
    <font>
      <sz val="9"/>
      <color theme="0"/>
      <name val="맑은 고딕"/>
      <family val="3"/>
      <charset val="129"/>
      <scheme val="minor"/>
    </font>
    <font>
      <sz val="10"/>
      <color theme="1"/>
      <name val="맑은 고딕"/>
      <family val="3"/>
      <charset val="129"/>
      <scheme val="minor"/>
    </font>
    <font>
      <sz val="10"/>
      <color theme="1"/>
      <name val="CJ ONLYONE NEW body Regular"/>
      <family val="2"/>
    </font>
    <font>
      <b/>
      <sz val="11"/>
      <color theme="1"/>
      <name val="CJ ONLYONE NEW body Regular"/>
      <charset val="129"/>
    </font>
    <font>
      <sz val="11"/>
      <color theme="1"/>
      <name val="CJ ONLYONE NEW body Regular"/>
      <charset val="129"/>
    </font>
    <font>
      <sz val="11"/>
      <color rgb="FFFF0000"/>
      <name val="CJ ONLYONE NEW body Light"/>
      <family val="2"/>
    </font>
    <font>
      <sz val="11"/>
      <color theme="0"/>
      <name val="CJ ONLYONE NEW body Regular"/>
      <charset val="129"/>
    </font>
    <font>
      <b/>
      <sz val="11"/>
      <color theme="0"/>
      <name val="CJ ONLYONE NEW body Regular"/>
      <charset val="129"/>
    </font>
    <font>
      <sz val="16"/>
      <color theme="0"/>
      <name val="CJ ONLYONE NEW body Regular"/>
      <charset val="129"/>
    </font>
    <font>
      <b/>
      <sz val="22"/>
      <color theme="0"/>
      <name val="CJ ONLYONE NEW body Regular"/>
      <charset val="129"/>
    </font>
    <font>
      <b/>
      <sz val="16"/>
      <color theme="0"/>
      <name val="CJ ONLYONE NEW body Regular"/>
      <charset val="129"/>
    </font>
    <font>
      <sz val="16"/>
      <color theme="1"/>
      <name val="CJ ONLYONE NEW body Regular"/>
      <charset val="129"/>
    </font>
    <font>
      <b/>
      <sz val="12"/>
      <color theme="1"/>
      <name val="CJ ONLYONE NEW body Regular"/>
      <charset val="129"/>
    </font>
    <font>
      <sz val="11"/>
      <color rgb="FFFF0000"/>
      <name val="CJ ONLYONE NEW body Regular"/>
      <charset val="129"/>
    </font>
    <font>
      <sz val="12"/>
      <color rgb="FFFF0000"/>
      <name val="CJ ONLYONE NEW body Regular"/>
      <charset val="129"/>
    </font>
    <font>
      <sz val="12"/>
      <color theme="1"/>
      <name val="CJ ONLYONE NEW body Regular"/>
      <charset val="129"/>
    </font>
    <font>
      <b/>
      <sz val="12"/>
      <color rgb="FFFF0000"/>
      <name val="CJ ONLYONE NEW body Regular"/>
      <charset val="129"/>
    </font>
    <font>
      <b/>
      <sz val="12"/>
      <color theme="0"/>
      <name val="CJ ONLYONE NEW body Regular"/>
      <charset val="129"/>
    </font>
    <font>
      <b/>
      <sz val="16"/>
      <color theme="1"/>
      <name val="CJ ONLYONE NEW body Regular"/>
      <charset val="129"/>
    </font>
    <font>
      <sz val="11"/>
      <name val="CJ ONLYONE NEW body Regular"/>
      <charset val="129"/>
    </font>
    <font>
      <b/>
      <sz val="11"/>
      <name val="CJ ONLYONE NEW body Regular"/>
      <charset val="129"/>
    </font>
    <font>
      <sz val="9"/>
      <color theme="1"/>
      <name val="CJ ONLYONE NEW body Regular"/>
      <charset val="129"/>
    </font>
    <font>
      <sz val="11"/>
      <color theme="1" tint="0.499984740745262"/>
      <name val="CJ ONLYONE NEW body Regular"/>
      <charset val="129"/>
    </font>
    <font>
      <b/>
      <sz val="11"/>
      <color theme="1" tint="0.499984740745262"/>
      <name val="CJ ONLYONE NEW body Regular"/>
      <charset val="129"/>
    </font>
    <font>
      <b/>
      <sz val="22"/>
      <color theme="1" tint="0.499984740745262"/>
      <name val="CJ ONLYONE NEW body Regular"/>
      <charset val="129"/>
    </font>
    <font>
      <b/>
      <sz val="16"/>
      <color theme="1" tint="0.499984740745262"/>
      <name val="CJ ONLYONE NEW body Regular"/>
      <charset val="129"/>
    </font>
    <font>
      <b/>
      <sz val="11"/>
      <color rgb="FFFF0000"/>
      <name val="CJ ONLYONE NEW body Regular"/>
      <charset val="129"/>
    </font>
    <font>
      <sz val="11"/>
      <color rgb="FF13EC08"/>
      <name val="CJ ONLYONE NEW body Regular"/>
      <charset val="129"/>
    </font>
    <font>
      <b/>
      <sz val="11"/>
      <color rgb="FF13EC08"/>
      <name val="CJ ONLYONE NEW body Regular"/>
      <charset val="129"/>
    </font>
    <font>
      <vertAlign val="subscript"/>
      <sz val="11"/>
      <color theme="1"/>
      <name val="CJ ONLYONE NEW body Regular"/>
      <charset val="129"/>
    </font>
    <font>
      <vertAlign val="superscript"/>
      <sz val="11"/>
      <color theme="1"/>
      <name val="CJ ONLYONE NEW body Regular"/>
      <charset val="129"/>
    </font>
    <font>
      <vertAlign val="superscript"/>
      <sz val="11"/>
      <name val="CJ ONLYONE NEW body Regular"/>
      <charset val="129"/>
    </font>
    <font>
      <b/>
      <sz val="13"/>
      <name val="CJ ONLYONE NEW body Regular"/>
      <charset val="129"/>
    </font>
    <font>
      <sz val="13"/>
      <name val="CJ ONLYONE NEW body Regular"/>
      <charset val="129"/>
    </font>
    <font>
      <b/>
      <sz val="18"/>
      <name val="CJ ONLYONE NEW body Regular"/>
      <charset val="129"/>
    </font>
    <font>
      <b/>
      <sz val="11"/>
      <color rgb="FFFF0000"/>
      <name val="CJ ONLYONE NEW body Light"/>
      <charset val="129"/>
    </font>
    <font>
      <strike/>
      <sz val="11"/>
      <color rgb="FFFF0000"/>
      <name val="CJ ONLYONE NEW body Regular"/>
      <charset val="129"/>
    </font>
    <font>
      <b/>
      <sz val="11"/>
      <color theme="0"/>
      <name val="CJ ONLYONE NEW 본문 Regular"/>
      <family val="3"/>
      <charset val="129"/>
    </font>
    <font>
      <sz val="11"/>
      <name val="새굴림"/>
      <family val="1"/>
      <charset val="129"/>
    </font>
    <font>
      <b/>
      <sz val="11"/>
      <name val="새굴림"/>
      <family val="1"/>
      <charset val="129"/>
    </font>
    <font>
      <u/>
      <sz val="11"/>
      <name val="CJ ONLYONE NEW body Regular"/>
      <charset val="129"/>
    </font>
    <font>
      <b/>
      <sz val="11"/>
      <color theme="1"/>
      <name val="맑은 고딕"/>
      <family val="3"/>
      <charset val="129"/>
    </font>
    <font>
      <b/>
      <sz val="11"/>
      <color theme="1"/>
      <name val="CJ ONLYONE NEW 본문 Light"/>
      <family val="3"/>
      <charset val="129"/>
    </font>
    <font>
      <sz val="11"/>
      <name val="CJ ONLYONE NEW body Light"/>
      <family val="2"/>
    </font>
    <font>
      <sz val="11"/>
      <color theme="1"/>
      <name val="새굴림"/>
      <family val="1"/>
      <charset val="129"/>
    </font>
    <font>
      <sz val="10"/>
      <color theme="1"/>
      <name val="새굴림"/>
      <family val="2"/>
      <charset val="129"/>
    </font>
    <font>
      <b/>
      <sz val="18"/>
      <color theme="1"/>
      <name val="CJ ONLYONE NEW body Regular"/>
      <charset val="129"/>
    </font>
    <font>
      <sz val="11"/>
      <color theme="1"/>
      <name val="CJ ONLYONE NEW body Regular"/>
      <family val="2"/>
    </font>
    <font>
      <sz val="11"/>
      <color rgb="FFFF0000"/>
      <name val="CJ ONLYONE NEW body Regular"/>
      <family val="3"/>
      <charset val="129"/>
    </font>
    <font>
      <sz val="11"/>
      <name val="CJ ONLYONE NEW body Regular"/>
      <family val="3"/>
      <charset val="129"/>
    </font>
    <font>
      <b/>
      <sz val="16"/>
      <name val="CJ ONLYONE NEW body Regular"/>
      <charset val="129"/>
    </font>
    <font>
      <b/>
      <sz val="11"/>
      <name val="CJ ONLYONE NEW body Light"/>
      <charset val="129"/>
    </font>
    <font>
      <b/>
      <sz val="11"/>
      <name val="Calibri"/>
      <family val="2"/>
    </font>
    <font>
      <b/>
      <sz val="11"/>
      <color theme="1"/>
      <name val="Calibri"/>
      <family val="2"/>
    </font>
    <font>
      <sz val="11"/>
      <color rgb="FFFF0000"/>
      <name val="새굴림"/>
      <family val="1"/>
      <charset val="129"/>
    </font>
    <font>
      <sz val="11"/>
      <color rgb="FFFF0000"/>
      <name val="맑은 고딕"/>
      <family val="3"/>
      <charset val="129"/>
    </font>
    <font>
      <sz val="9"/>
      <name val="CJ ONLYONE NEW body Regular"/>
      <charset val="129"/>
    </font>
    <font>
      <sz val="11"/>
      <color rgb="FFFF0000"/>
      <name val="CJ ONLYONE NEW body Light"/>
      <charset val="129"/>
    </font>
    <font>
      <b/>
      <sz val="11"/>
      <color rgb="FFC00000"/>
      <name val="CJ ONLYONE NEW body Regular"/>
      <charset val="129"/>
    </font>
    <font>
      <sz val="11"/>
      <color rgb="FFC00000"/>
      <name val="CJ ONLYONE NEW body Regular"/>
      <charset val="129"/>
    </font>
  </fonts>
  <fills count="71">
    <fill>
      <patternFill patternType="none"/>
    </fill>
    <fill>
      <patternFill patternType="gray125"/>
    </fill>
    <fill>
      <patternFill patternType="solid">
        <fgColor rgb="FFCA1211"/>
        <bgColor indexed="64"/>
      </patternFill>
    </fill>
    <fill>
      <patternFill patternType="solid">
        <fgColor theme="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A39382"/>
        <bgColor theme="0"/>
      </patternFill>
    </fill>
    <fill>
      <patternFill patternType="solid">
        <fgColor rgb="FFA39382"/>
        <bgColor indexed="64"/>
      </patternFill>
    </fill>
    <fill>
      <patternFill patternType="solid">
        <fgColor theme="1" tint="4.9989318521683403E-2"/>
        <bgColor indexed="64"/>
      </patternFill>
    </fill>
    <fill>
      <patternFill patternType="solid">
        <fgColor theme="5" tint="0.39997558519241921"/>
        <bgColor indexed="64"/>
      </patternFill>
    </fill>
    <fill>
      <patternFill patternType="solid">
        <fgColor theme="5" tint="0.39997558519241921"/>
        <bgColor theme="8"/>
      </patternFill>
    </fill>
    <fill>
      <patternFill patternType="solid">
        <fgColor rgb="FFD1C9C1"/>
        <bgColor theme="0"/>
      </patternFill>
    </fill>
    <fill>
      <patternFill patternType="solid">
        <fgColor rgb="FFD1C9C1"/>
        <bgColor indexed="64"/>
      </patternFill>
    </fill>
    <fill>
      <patternFill patternType="solid">
        <fgColor rgb="FFD1C9C1"/>
        <bgColor theme="8"/>
      </patternFill>
    </fill>
    <fill>
      <patternFill patternType="solid">
        <fgColor theme="6" tint="0.79998168889431442"/>
        <bgColor theme="0"/>
      </patternFill>
    </fill>
    <fill>
      <patternFill patternType="solid">
        <fgColor theme="0"/>
        <bgColor theme="0"/>
      </patternFill>
    </fill>
    <fill>
      <patternFill patternType="solid">
        <fgColor theme="0" tint="-0.249977111117893"/>
        <bgColor indexed="64"/>
      </patternFill>
    </fill>
    <fill>
      <patternFill patternType="solid">
        <fgColor theme="5" tint="0.79998168889431442"/>
        <bgColor indexed="64"/>
      </patternFill>
    </fill>
    <fill>
      <patternFill patternType="solid">
        <fgColor theme="7" tint="0.79998168889431442"/>
        <bgColor theme="0"/>
      </patternFill>
    </fill>
    <fill>
      <patternFill patternType="solid">
        <fgColor theme="6" tint="0.79998168889431442"/>
        <bgColor indexed="64"/>
      </patternFill>
    </fill>
    <fill>
      <patternFill patternType="solid">
        <fgColor theme="0" tint="-0.499984740745262"/>
        <bgColor indexed="64"/>
      </patternFill>
    </fill>
    <fill>
      <patternFill patternType="solid">
        <fgColor rgb="FFFFFF00"/>
        <bgColor indexed="64"/>
      </patternFill>
    </fill>
    <fill>
      <patternFill patternType="solid">
        <fgColor rgb="FFFFF2CC"/>
        <bgColor rgb="FF000000"/>
      </patternFill>
    </fill>
    <fill>
      <patternFill patternType="solid">
        <fgColor theme="6" tint="0.79998168889431442"/>
        <bgColor rgb="FF000000"/>
      </patternFill>
    </fill>
    <fill>
      <patternFill patternType="solid">
        <fgColor rgb="FFFFFFFF"/>
        <bgColor rgb="FF000000"/>
      </patternFill>
    </fill>
    <fill>
      <patternFill patternType="solid">
        <fgColor rgb="FFFFFFFF"/>
        <bgColor rgb="FFFFFFFF"/>
      </patternFill>
    </fill>
    <fill>
      <patternFill patternType="solid">
        <fgColor rgb="FFDDEBF7"/>
        <bgColor rgb="FFFFFFFF"/>
      </patternFill>
    </fill>
    <fill>
      <patternFill patternType="solid">
        <fgColor rgb="FFDDEBF7"/>
        <bgColor rgb="FF000000"/>
      </patternFill>
    </fill>
    <fill>
      <patternFill patternType="solid">
        <fgColor theme="4" tint="0.79998168889431442"/>
        <bgColor theme="0"/>
      </patternFill>
    </fill>
    <fill>
      <patternFill patternType="solid">
        <fgColor theme="6" tint="0.59999389629810485"/>
        <bgColor theme="0"/>
      </patternFill>
    </fill>
    <fill>
      <patternFill patternType="solid">
        <fgColor theme="6" tint="0.59999389629810485"/>
        <bgColor indexed="64"/>
      </patternFill>
    </fill>
    <fill>
      <patternFill patternType="solid">
        <fgColor theme="5"/>
        <bgColor indexed="64"/>
      </patternFill>
    </fill>
    <fill>
      <patternFill patternType="solid">
        <fgColor rgb="FFFF0000"/>
        <bgColor indexed="64"/>
      </patternFill>
    </fill>
    <fill>
      <patternFill patternType="solid">
        <fgColor theme="5" tint="0.59999389629810485"/>
        <bgColor theme="0"/>
      </patternFill>
    </fill>
    <fill>
      <patternFill patternType="solid">
        <fgColor theme="5" tint="0.59999389629810485"/>
        <bgColor indexed="64"/>
      </patternFill>
    </fill>
    <fill>
      <patternFill patternType="solid">
        <fgColor rgb="FFFCE4D6"/>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4" tint="0.79998168889431442"/>
        <bgColor rgb="FF000000"/>
      </patternFill>
    </fill>
    <fill>
      <patternFill patternType="solid">
        <fgColor rgb="FF7030A0"/>
        <bgColor indexed="64"/>
      </patternFill>
    </fill>
    <fill>
      <patternFill patternType="solid">
        <fgColor theme="0" tint="-0.249977111117893"/>
        <bgColor theme="0"/>
      </patternFill>
    </fill>
    <fill>
      <patternFill patternType="solid">
        <fgColor rgb="FF0828FC"/>
        <bgColor indexed="64"/>
      </patternFill>
    </fill>
    <fill>
      <patternFill patternType="solid">
        <fgColor rgb="FF92D050"/>
        <bgColor indexed="64"/>
      </patternFill>
    </fill>
    <fill>
      <patternFill patternType="solid">
        <fgColor rgb="FF92D050"/>
        <bgColor theme="0"/>
      </patternFill>
    </fill>
    <fill>
      <patternFill patternType="solid">
        <fgColor rgb="FFFFFF00"/>
        <bgColor theme="0"/>
      </patternFill>
    </fill>
    <fill>
      <patternFill patternType="solid">
        <fgColor theme="0" tint="-4.9989318521683403E-2"/>
        <bgColor indexed="64"/>
      </patternFill>
    </fill>
    <fill>
      <patternFill patternType="solid">
        <fgColor rgb="FFFFFF00"/>
        <bgColor rgb="FF000000"/>
      </patternFill>
    </fill>
    <fill>
      <patternFill patternType="solid">
        <fgColor theme="8" tint="0.79998168889431442"/>
        <bgColor indexed="64"/>
      </patternFill>
    </fill>
    <fill>
      <patternFill patternType="solid">
        <fgColor theme="8" tint="0.79998168889431442"/>
        <bgColor theme="0"/>
      </patternFill>
    </fill>
    <fill>
      <patternFill patternType="solid">
        <fgColor theme="7" tint="0.79998168889431442"/>
        <bgColor rgb="FF000000"/>
      </patternFill>
    </fill>
    <fill>
      <patternFill patternType="solid">
        <fgColor theme="7" tint="0.79998168889431442"/>
        <bgColor rgb="FFFFFFFF"/>
      </patternFill>
    </fill>
    <fill>
      <patternFill patternType="solid">
        <fgColor theme="2"/>
        <bgColor indexed="64"/>
      </patternFill>
    </fill>
    <fill>
      <patternFill patternType="solid">
        <fgColor theme="4" tint="0.39997558519241921"/>
        <bgColor indexed="64"/>
      </patternFill>
    </fill>
    <fill>
      <patternFill patternType="solid">
        <fgColor rgb="FF92D050"/>
        <bgColor rgb="FF000000"/>
      </patternFill>
    </fill>
    <fill>
      <patternFill patternType="solid">
        <fgColor theme="7" tint="0.59999389629810485"/>
        <bgColor indexed="64"/>
      </patternFill>
    </fill>
    <fill>
      <patternFill patternType="solid">
        <fgColor rgb="FFFF0000"/>
        <bgColor rgb="FF000000"/>
      </patternFill>
    </fill>
    <fill>
      <patternFill patternType="solid">
        <fgColor theme="1"/>
        <bgColor indexed="64"/>
      </patternFill>
    </fill>
    <fill>
      <patternFill patternType="solid">
        <fgColor theme="2"/>
        <bgColor theme="0"/>
      </patternFill>
    </fill>
    <fill>
      <patternFill patternType="solid">
        <fgColor theme="1"/>
        <bgColor theme="0"/>
      </patternFill>
    </fill>
    <fill>
      <patternFill patternType="solid">
        <fgColor theme="0" tint="-0.14999847407452621"/>
        <bgColor indexed="64"/>
      </patternFill>
    </fill>
    <fill>
      <patternFill patternType="solid">
        <fgColor theme="1" tint="0.34998626667073579"/>
        <bgColor theme="0"/>
      </patternFill>
    </fill>
    <fill>
      <patternFill patternType="solid">
        <fgColor theme="1" tint="0.34998626667073579"/>
        <bgColor indexed="64"/>
      </patternFill>
    </fill>
    <fill>
      <patternFill patternType="solid">
        <fgColor theme="0" tint="-0.14999847407452621"/>
        <bgColor theme="0"/>
      </patternFill>
    </fill>
    <fill>
      <patternFill patternType="solid">
        <fgColor theme="7" tint="0.39997558519241921"/>
        <bgColor indexed="64"/>
      </patternFill>
    </fill>
    <fill>
      <patternFill patternType="solid">
        <fgColor theme="1" tint="0.499984740745262"/>
        <bgColor indexed="64"/>
      </patternFill>
    </fill>
    <fill>
      <patternFill patternType="solid">
        <fgColor rgb="FFA9EB3D"/>
        <bgColor indexed="64"/>
      </patternFill>
    </fill>
    <fill>
      <patternFill patternType="solid">
        <fgColor theme="8" tint="0.39994506668294322"/>
        <bgColor indexed="64"/>
      </patternFill>
    </fill>
    <fill>
      <patternFill patternType="solid">
        <fgColor theme="0" tint="-4.9989318521683403E-2"/>
        <bgColor theme="0"/>
      </patternFill>
    </fill>
    <fill>
      <patternFill patternType="solid">
        <fgColor theme="9" tint="0.59999389629810485"/>
        <bgColor theme="0"/>
      </patternFill>
    </fill>
    <fill>
      <patternFill patternType="solid">
        <fgColor theme="8" tint="0.79998168889431442"/>
        <bgColor rgb="FF000000"/>
      </patternFill>
    </fill>
  </fills>
  <borders count="476">
    <border>
      <left/>
      <right/>
      <top/>
      <bottom/>
      <diagonal/>
    </border>
    <border>
      <left/>
      <right/>
      <top style="thin">
        <color indexed="64"/>
      </top>
      <bottom/>
      <diagonal/>
    </border>
    <border>
      <left/>
      <right style="thin">
        <color indexed="64"/>
      </right>
      <top style="thin">
        <color indexed="64"/>
      </top>
      <bottom/>
      <diagonal/>
    </border>
    <border>
      <left/>
      <right style="thin">
        <color auto="1"/>
      </right>
      <top/>
      <bottom/>
      <diagonal/>
    </border>
    <border>
      <left/>
      <right/>
      <top/>
      <bottom style="thin">
        <color auto="1"/>
      </bottom>
      <diagonal/>
    </border>
    <border>
      <left/>
      <right style="thin">
        <color indexed="64"/>
      </right>
      <top/>
      <bottom style="thin">
        <color indexed="64"/>
      </bottom>
      <diagonal/>
    </border>
    <border>
      <left/>
      <right/>
      <top style="thick">
        <color theme="1"/>
      </top>
      <bottom style="thin">
        <color indexed="64"/>
      </bottom>
      <diagonal/>
    </border>
    <border>
      <left/>
      <right style="thin">
        <color indexed="64"/>
      </right>
      <top style="thick">
        <color theme="1"/>
      </top>
      <bottom style="thin">
        <color indexed="64"/>
      </bottom>
      <diagonal/>
    </border>
    <border>
      <left style="thin">
        <color indexed="64"/>
      </left>
      <right/>
      <top style="thick">
        <color theme="1"/>
      </top>
      <bottom style="thin">
        <color indexed="64"/>
      </bottom>
      <diagonal/>
    </border>
    <border>
      <left style="thin">
        <color indexed="64"/>
      </left>
      <right style="thin">
        <color theme="1"/>
      </right>
      <top style="thick">
        <color theme="1"/>
      </top>
      <bottom style="thin">
        <color indexed="64"/>
      </bottom>
      <diagonal/>
    </border>
    <border>
      <left style="thin">
        <color theme="1"/>
      </left>
      <right/>
      <top style="thick">
        <color theme="1"/>
      </top>
      <bottom style="thin">
        <color theme="1"/>
      </bottom>
      <diagonal/>
    </border>
    <border>
      <left/>
      <right/>
      <top style="thick">
        <color theme="1"/>
      </top>
      <bottom style="thin">
        <color theme="1"/>
      </bottom>
      <diagonal/>
    </border>
    <border>
      <left/>
      <right style="thin">
        <color theme="1"/>
      </right>
      <top style="thick">
        <color theme="1"/>
      </top>
      <bottom style="thin">
        <color theme="1"/>
      </bottom>
      <diagonal/>
    </border>
    <border>
      <left style="thin">
        <color theme="1"/>
      </left>
      <right/>
      <top style="thick">
        <color theme="1"/>
      </top>
      <bottom/>
      <diagonal/>
    </border>
    <border>
      <left/>
      <right/>
      <top style="thick">
        <color theme="1"/>
      </top>
      <bottom/>
      <diagonal/>
    </border>
    <border>
      <left/>
      <right style="thin">
        <color theme="1"/>
      </right>
      <top style="thick">
        <color theme="1"/>
      </top>
      <bottom/>
      <diagonal/>
    </border>
    <border>
      <left style="thin">
        <color theme="1"/>
      </left>
      <right/>
      <top style="thick">
        <color theme="1"/>
      </top>
      <bottom style="thin">
        <color indexed="64"/>
      </bottom>
      <diagonal/>
    </border>
    <border>
      <left/>
      <right style="thick">
        <color theme="1"/>
      </right>
      <top style="thick">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theme="1"/>
      </right>
      <top/>
      <bottom/>
      <diagonal/>
    </border>
    <border>
      <left style="thin">
        <color theme="1"/>
      </left>
      <right style="thin">
        <color theme="1"/>
      </right>
      <top style="thin">
        <color theme="1"/>
      </top>
      <bottom style="medium">
        <color theme="1"/>
      </bottom>
      <diagonal/>
    </border>
    <border>
      <left style="thin">
        <color theme="1"/>
      </left>
      <right/>
      <top/>
      <bottom style="medium">
        <color theme="1"/>
      </bottom>
      <diagonal/>
    </border>
    <border>
      <left/>
      <right/>
      <top/>
      <bottom style="medium">
        <color theme="1"/>
      </bottom>
      <diagonal/>
    </border>
    <border>
      <left/>
      <right style="thin">
        <color theme="1"/>
      </right>
      <top/>
      <bottom style="medium">
        <color theme="1"/>
      </bottom>
      <diagonal/>
    </border>
    <border>
      <left style="thin">
        <color theme="1"/>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style="thick">
        <color theme="1"/>
      </left>
      <right/>
      <top/>
      <bottom style="medium">
        <color theme="1"/>
      </bottom>
      <diagonal/>
    </border>
    <border>
      <left/>
      <right/>
      <top style="medium">
        <color theme="1"/>
      </top>
      <bottom style="medium">
        <color theme="1"/>
      </bottom>
      <diagonal/>
    </border>
    <border>
      <left/>
      <right style="thick">
        <color auto="1"/>
      </right>
      <top style="medium">
        <color theme="1"/>
      </top>
      <bottom style="medium">
        <color theme="1"/>
      </bottom>
      <diagonal/>
    </border>
    <border>
      <left style="thick">
        <color theme="1"/>
      </left>
      <right/>
      <top style="medium">
        <color theme="1"/>
      </top>
      <bottom style="medium">
        <color theme="1"/>
      </bottom>
      <diagonal/>
    </border>
    <border>
      <left style="thick">
        <color theme="1"/>
      </left>
      <right/>
      <top style="thin">
        <color rgb="FFB5A99B"/>
      </top>
      <bottom style="thin">
        <color rgb="FFB5A99B"/>
      </bottom>
      <diagonal/>
    </border>
    <border>
      <left style="thin">
        <color indexed="64"/>
      </left>
      <right/>
      <top style="medium">
        <color theme="1"/>
      </top>
      <bottom style="thin">
        <color rgb="FFA39382"/>
      </bottom>
      <diagonal/>
    </border>
    <border>
      <left/>
      <right/>
      <top style="medium">
        <color theme="1"/>
      </top>
      <bottom style="thin">
        <color rgb="FFA39382"/>
      </bottom>
      <diagonal/>
    </border>
    <border>
      <left style="thin">
        <color rgb="FFA39382"/>
      </left>
      <right/>
      <top/>
      <bottom style="thin">
        <color rgb="FFA39382"/>
      </bottom>
      <diagonal/>
    </border>
    <border>
      <left style="thin">
        <color rgb="FFA39382"/>
      </left>
      <right style="thin">
        <color rgb="FFA39382"/>
      </right>
      <top style="medium">
        <color theme="1"/>
      </top>
      <bottom/>
      <diagonal/>
    </border>
    <border>
      <left/>
      <right style="thin">
        <color rgb="FFA39382"/>
      </right>
      <top style="medium">
        <color theme="1"/>
      </top>
      <bottom style="thin">
        <color rgb="FFA39382"/>
      </bottom>
      <diagonal/>
    </border>
    <border>
      <left style="thin">
        <color rgb="FFA39382"/>
      </left>
      <right style="thin">
        <color rgb="FFA39382"/>
      </right>
      <top/>
      <bottom style="thin">
        <color rgb="FFA39382"/>
      </bottom>
      <diagonal/>
    </border>
    <border>
      <left style="thin">
        <color rgb="FFA39382"/>
      </left>
      <right style="thin">
        <color rgb="FFA39382"/>
      </right>
      <top style="thin">
        <color rgb="FFA39382"/>
      </top>
      <bottom style="thin">
        <color rgb="FFA39382"/>
      </bottom>
      <diagonal/>
    </border>
    <border>
      <left style="dashed">
        <color theme="1"/>
      </left>
      <right style="dashed">
        <color theme="1"/>
      </right>
      <top style="medium">
        <color theme="1"/>
      </top>
      <bottom style="dashed">
        <color theme="1"/>
      </bottom>
      <diagonal/>
    </border>
    <border>
      <left style="dashed">
        <color theme="1"/>
      </left>
      <right style="thick">
        <color auto="1"/>
      </right>
      <top style="medium">
        <color theme="1"/>
      </top>
      <bottom style="dashed">
        <color theme="1"/>
      </bottom>
      <diagonal/>
    </border>
    <border>
      <left style="thin">
        <color indexed="64"/>
      </left>
      <right/>
      <top style="thin">
        <color rgb="FFA39382"/>
      </top>
      <bottom style="thin">
        <color rgb="FFA39382"/>
      </bottom>
      <diagonal/>
    </border>
    <border>
      <left/>
      <right/>
      <top style="thin">
        <color rgb="FFA39382"/>
      </top>
      <bottom style="thin">
        <color rgb="FFA39382"/>
      </bottom>
      <diagonal/>
    </border>
    <border>
      <left style="thin">
        <color rgb="FFA39382"/>
      </left>
      <right/>
      <top style="thin">
        <color rgb="FFA39382"/>
      </top>
      <bottom style="thin">
        <color rgb="FFA39382"/>
      </bottom>
      <diagonal/>
    </border>
    <border>
      <left style="thin">
        <color rgb="FFA39382"/>
      </left>
      <right style="thin">
        <color rgb="FFA39382"/>
      </right>
      <top/>
      <bottom/>
      <diagonal/>
    </border>
    <border>
      <left/>
      <right style="thin">
        <color rgb="FFA39382"/>
      </right>
      <top style="thin">
        <color rgb="FFA39382"/>
      </top>
      <bottom style="thin">
        <color rgb="FFA39382"/>
      </bottom>
      <diagonal/>
    </border>
    <border>
      <left style="dashed">
        <color theme="1"/>
      </left>
      <right style="dashed">
        <color theme="1"/>
      </right>
      <top/>
      <bottom style="dashed">
        <color theme="1"/>
      </bottom>
      <diagonal/>
    </border>
    <border>
      <left style="dashed">
        <color theme="1"/>
      </left>
      <right style="thick">
        <color auto="1"/>
      </right>
      <top/>
      <bottom style="dashed">
        <color theme="1"/>
      </bottom>
      <diagonal/>
    </border>
    <border>
      <left/>
      <right/>
      <top style="thin">
        <color rgb="FFA39382"/>
      </top>
      <bottom style="thin">
        <color indexed="64"/>
      </bottom>
      <diagonal/>
    </border>
    <border>
      <left/>
      <right/>
      <top/>
      <bottom style="thin">
        <color rgb="FFA39382"/>
      </bottom>
      <diagonal/>
    </border>
    <border>
      <left style="thin">
        <color indexed="64"/>
      </left>
      <right/>
      <top style="thin">
        <color rgb="FFA39382"/>
      </top>
      <bottom style="medium">
        <color theme="1"/>
      </bottom>
      <diagonal/>
    </border>
    <border>
      <left/>
      <right/>
      <top style="thin">
        <color rgb="FFA39382"/>
      </top>
      <bottom style="medium">
        <color theme="1"/>
      </bottom>
      <diagonal/>
    </border>
    <border>
      <left style="thin">
        <color rgb="FFA39382"/>
      </left>
      <right/>
      <top style="thin">
        <color rgb="FFA39382"/>
      </top>
      <bottom/>
      <diagonal/>
    </border>
    <border>
      <left/>
      <right style="thin">
        <color rgb="FFA39382"/>
      </right>
      <top style="thin">
        <color rgb="FFA39382"/>
      </top>
      <bottom style="medium">
        <color theme="1"/>
      </bottom>
      <diagonal/>
    </border>
    <border>
      <left style="thin">
        <color rgb="FFA39382"/>
      </left>
      <right style="thin">
        <color rgb="FFA39382"/>
      </right>
      <top style="thin">
        <color rgb="FFA39382"/>
      </top>
      <bottom/>
      <diagonal/>
    </border>
    <border>
      <left style="thin">
        <color rgb="FFA39382"/>
      </left>
      <right style="thin">
        <color rgb="FFA39382"/>
      </right>
      <top style="medium">
        <color theme="1"/>
      </top>
      <bottom style="medium">
        <color theme="1"/>
      </bottom>
      <diagonal/>
    </border>
    <border>
      <left style="thin">
        <color indexed="64"/>
      </left>
      <right style="thin">
        <color rgb="FFA39382"/>
      </right>
      <top style="thin">
        <color rgb="FFA39382"/>
      </top>
      <bottom/>
      <diagonal/>
    </border>
    <border>
      <left/>
      <right style="thin">
        <color rgb="FFA39382"/>
      </right>
      <top style="thin">
        <color rgb="FFA39382"/>
      </top>
      <bottom/>
      <diagonal/>
    </border>
    <border>
      <left style="thin">
        <color indexed="64"/>
      </left>
      <right style="thin">
        <color rgb="FFA39382"/>
      </right>
      <top/>
      <bottom/>
      <diagonal/>
    </border>
    <border>
      <left style="dashed">
        <color theme="1"/>
      </left>
      <right style="dashed">
        <color theme="1"/>
      </right>
      <top style="dashed">
        <color theme="1"/>
      </top>
      <bottom style="dashed">
        <color theme="1"/>
      </bottom>
      <diagonal/>
    </border>
    <border>
      <left style="dashed">
        <color theme="1"/>
      </left>
      <right style="thick">
        <color auto="1"/>
      </right>
      <top style="dashed">
        <color theme="1"/>
      </top>
      <bottom style="dashed">
        <color theme="1"/>
      </bottom>
      <diagonal/>
    </border>
    <border>
      <left style="thin">
        <color indexed="64"/>
      </left>
      <right style="thin">
        <color rgb="FFA39382"/>
      </right>
      <top/>
      <bottom style="thin">
        <color rgb="FFA39382"/>
      </bottom>
      <diagonal/>
    </border>
    <border>
      <left style="dashed">
        <color theme="1"/>
      </left>
      <right style="dashed">
        <color theme="1"/>
      </right>
      <top/>
      <bottom/>
      <diagonal/>
    </border>
    <border>
      <left style="dashed">
        <color theme="1"/>
      </left>
      <right style="thick">
        <color auto="1"/>
      </right>
      <top style="dashed">
        <color theme="1"/>
      </top>
      <bottom/>
      <diagonal/>
    </border>
    <border>
      <left/>
      <right style="thin">
        <color rgb="FFA39382"/>
      </right>
      <top/>
      <bottom/>
      <diagonal/>
    </border>
    <border>
      <left style="thin">
        <color rgb="FFA39382"/>
      </left>
      <right/>
      <top/>
      <bottom/>
      <diagonal/>
    </border>
    <border>
      <left style="dashed">
        <color theme="1"/>
      </left>
      <right style="dashed">
        <color theme="1"/>
      </right>
      <top style="dashed">
        <color theme="1"/>
      </top>
      <bottom/>
      <diagonal/>
    </border>
    <border>
      <left style="thin">
        <color rgb="FFA39382"/>
      </left>
      <right/>
      <top style="thin">
        <color rgb="FFA39382"/>
      </top>
      <bottom style="medium">
        <color theme="1"/>
      </bottom>
      <diagonal/>
    </border>
    <border>
      <left style="thin">
        <color rgb="FFA39382"/>
      </left>
      <right/>
      <top style="thin">
        <color indexed="64"/>
      </top>
      <bottom style="medium">
        <color indexed="64"/>
      </bottom>
      <diagonal/>
    </border>
    <border>
      <left style="thin">
        <color rgb="FFA39382"/>
      </left>
      <right style="thin">
        <color rgb="FFA39382"/>
      </right>
      <top/>
      <bottom style="medium">
        <color indexed="64"/>
      </bottom>
      <diagonal/>
    </border>
    <border>
      <left/>
      <right style="thin">
        <color rgb="FFA39382"/>
      </right>
      <top/>
      <bottom style="medium">
        <color theme="1"/>
      </bottom>
      <diagonal/>
    </border>
    <border>
      <left/>
      <right style="thin">
        <color rgb="FFA39382"/>
      </right>
      <top style="thin">
        <color indexed="64"/>
      </top>
      <bottom style="medium">
        <color indexed="64"/>
      </bottom>
      <diagonal/>
    </border>
    <border>
      <left style="thin">
        <color rgb="FFA39382"/>
      </left>
      <right style="thin">
        <color rgb="FFA39382"/>
      </right>
      <top style="thin">
        <color indexed="64"/>
      </top>
      <bottom style="medium">
        <color indexed="64"/>
      </bottom>
      <diagonal/>
    </border>
    <border>
      <left style="thin">
        <color rgb="FFA39382"/>
      </left>
      <right style="thin">
        <color rgb="FFA39382"/>
      </right>
      <top style="thin">
        <color rgb="FFA39382"/>
      </top>
      <bottom style="medium">
        <color indexed="64"/>
      </bottom>
      <diagonal/>
    </border>
    <border>
      <left style="thin">
        <color rgb="FFA39382"/>
      </left>
      <right style="thin">
        <color rgb="FFA39382"/>
      </right>
      <top style="thin">
        <color rgb="FFA39382"/>
      </top>
      <bottom style="medium">
        <color theme="1"/>
      </bottom>
      <diagonal/>
    </border>
    <border>
      <left style="thin">
        <color rgb="FFA39382"/>
      </left>
      <right style="thin">
        <color rgb="FFA39382"/>
      </right>
      <top/>
      <bottom style="medium">
        <color theme="1"/>
      </bottom>
      <diagonal/>
    </border>
    <border>
      <left/>
      <right style="thick">
        <color auto="1"/>
      </right>
      <top/>
      <bottom style="medium">
        <color theme="1"/>
      </bottom>
      <diagonal/>
    </border>
    <border>
      <left style="thin">
        <color rgb="FFA39382"/>
      </left>
      <right/>
      <top style="medium">
        <color theme="1"/>
      </top>
      <bottom style="thin">
        <color rgb="FFA39382"/>
      </bottom>
      <diagonal/>
    </border>
    <border>
      <left style="thin">
        <color rgb="FFA39382"/>
      </left>
      <right style="thin">
        <color rgb="FFA39382"/>
      </right>
      <top style="medium">
        <color theme="1"/>
      </top>
      <bottom style="thin">
        <color rgb="FFA39382"/>
      </bottom>
      <diagonal/>
    </border>
    <border>
      <left/>
      <right style="dashed">
        <color theme="1"/>
      </right>
      <top style="dashed">
        <color theme="1"/>
      </top>
      <bottom style="dashed">
        <color theme="1"/>
      </bottom>
      <diagonal/>
    </border>
    <border>
      <left/>
      <right style="thin">
        <color rgb="FFA39382"/>
      </right>
      <top/>
      <bottom style="thin">
        <color rgb="FFA39382"/>
      </bottom>
      <diagonal/>
    </border>
    <border>
      <left/>
      <right style="thin">
        <color indexed="64"/>
      </right>
      <top style="thin">
        <color rgb="FFA39382"/>
      </top>
      <bottom/>
      <diagonal/>
    </border>
    <border>
      <left/>
      <right/>
      <top style="thin">
        <color rgb="FFA39382"/>
      </top>
      <bottom/>
      <diagonal/>
    </border>
    <border>
      <left/>
      <right/>
      <top style="medium">
        <color theme="1"/>
      </top>
      <bottom/>
      <diagonal/>
    </border>
    <border>
      <left/>
      <right/>
      <top style="medium">
        <color theme="1"/>
      </top>
      <bottom style="medium">
        <color indexed="64"/>
      </bottom>
      <diagonal/>
    </border>
    <border>
      <left/>
      <right style="thin">
        <color rgb="FFA39382"/>
      </right>
      <top style="medium">
        <color rgb="FF000000"/>
      </top>
      <bottom style="thin">
        <color rgb="FFA39382"/>
      </bottom>
      <diagonal/>
    </border>
    <border>
      <left style="thin">
        <color rgb="FFA39382"/>
      </left>
      <right style="thin">
        <color rgb="FFA39382"/>
      </right>
      <top style="medium">
        <color rgb="FF000000"/>
      </top>
      <bottom style="thin">
        <color rgb="FFA39382"/>
      </bottom>
      <diagonal/>
    </border>
    <border>
      <left style="thin">
        <color rgb="FFA39382"/>
      </left>
      <right/>
      <top style="thin">
        <color rgb="FFA39382"/>
      </top>
      <bottom style="medium">
        <color indexed="64"/>
      </bottom>
      <diagonal/>
    </border>
    <border>
      <left/>
      <right style="thin">
        <color rgb="FFA39382"/>
      </right>
      <top/>
      <bottom style="medium">
        <color indexed="64"/>
      </bottom>
      <diagonal/>
    </border>
    <border>
      <left style="thin">
        <color rgb="FFA39382"/>
      </left>
      <right/>
      <top/>
      <bottom style="medium">
        <color indexed="64"/>
      </bottom>
      <diagonal/>
    </border>
    <border>
      <left/>
      <right style="dashed">
        <color theme="1"/>
      </right>
      <top/>
      <bottom style="dashed">
        <color theme="1"/>
      </bottom>
      <diagonal/>
    </border>
    <border>
      <left/>
      <right/>
      <top style="thin">
        <color rgb="FFA39382"/>
      </top>
      <bottom style="thick">
        <color theme="1"/>
      </bottom>
      <diagonal/>
    </border>
    <border>
      <left/>
      <right/>
      <top style="thick">
        <color theme="1"/>
      </top>
      <bottom style="medium">
        <color theme="1"/>
      </bottom>
      <diagonal/>
    </border>
    <border>
      <left style="thin">
        <color rgb="FFA39382"/>
      </left>
      <right style="thin">
        <color rgb="FFA39382"/>
      </right>
      <top style="thick">
        <color theme="1"/>
      </top>
      <bottom style="medium">
        <color theme="1"/>
      </bottom>
      <diagonal/>
    </border>
    <border>
      <left/>
      <right style="thick">
        <color auto="1"/>
      </right>
      <top style="thick">
        <color theme="1"/>
      </top>
      <bottom style="medium">
        <color theme="1"/>
      </bottom>
      <diagonal/>
    </border>
    <border>
      <left/>
      <right style="thin">
        <color rgb="FFA39382"/>
      </right>
      <top style="thin">
        <color rgb="FFA39382"/>
      </top>
      <bottom style="medium">
        <color indexed="64"/>
      </bottom>
      <diagonal/>
    </border>
    <border>
      <left style="thin">
        <color rgb="FFA39382"/>
      </left>
      <right style="dashed">
        <color theme="1" tint="4.9989318521683403E-2"/>
      </right>
      <top style="medium">
        <color theme="1"/>
      </top>
      <bottom style="dashed">
        <color theme="1" tint="4.9989318521683403E-2"/>
      </bottom>
      <diagonal/>
    </border>
    <border>
      <left style="dashed">
        <color theme="1" tint="4.9989318521683403E-2"/>
      </left>
      <right style="dashed">
        <color theme="1" tint="4.9989318521683403E-2"/>
      </right>
      <top style="medium">
        <color theme="1"/>
      </top>
      <bottom style="dashed">
        <color theme="1" tint="4.9989318521683403E-2"/>
      </bottom>
      <diagonal/>
    </border>
    <border>
      <left style="dashed">
        <color theme="1" tint="4.9989318521683403E-2"/>
      </left>
      <right style="thick">
        <color auto="1"/>
      </right>
      <top style="medium">
        <color theme="1"/>
      </top>
      <bottom style="dashed">
        <color theme="1" tint="4.9989318521683403E-2"/>
      </bottom>
      <diagonal/>
    </border>
    <border>
      <left style="thin">
        <color rgb="FFA39382"/>
      </left>
      <right style="dashed">
        <color theme="1" tint="4.9989318521683403E-2"/>
      </right>
      <top style="dashed">
        <color theme="1" tint="4.9989318521683403E-2"/>
      </top>
      <bottom/>
      <diagonal/>
    </border>
    <border>
      <left style="dashed">
        <color theme="1" tint="4.9989318521683403E-2"/>
      </left>
      <right style="dashed">
        <color theme="1" tint="4.9989318521683403E-2"/>
      </right>
      <top style="dashed">
        <color theme="1" tint="4.9989318521683403E-2"/>
      </top>
      <bottom style="dashed">
        <color theme="1" tint="4.9989318521683403E-2"/>
      </bottom>
      <diagonal/>
    </border>
    <border>
      <left style="dashed">
        <color theme="1" tint="4.9989318521683403E-2"/>
      </left>
      <right style="thick">
        <color auto="1"/>
      </right>
      <top style="dashed">
        <color theme="1" tint="4.9989318521683403E-2"/>
      </top>
      <bottom style="dashed">
        <color theme="1" tint="4.9989318521683403E-2"/>
      </bottom>
      <diagonal/>
    </border>
    <border>
      <left style="thin">
        <color rgb="FFA39382"/>
      </left>
      <right style="dashed">
        <color theme="1" tint="4.9989318521683403E-2"/>
      </right>
      <top style="dashed">
        <color theme="1"/>
      </top>
      <bottom style="dashed">
        <color theme="1" tint="4.9989318521683403E-2"/>
      </bottom>
      <diagonal/>
    </border>
    <border>
      <left style="thin">
        <color rgb="FFA39382"/>
      </left>
      <right style="dashed">
        <color theme="1" tint="4.9989318521683403E-2"/>
      </right>
      <top style="dashed">
        <color theme="1" tint="4.9989318521683403E-2"/>
      </top>
      <bottom style="dashed">
        <color theme="1" tint="4.9989318521683403E-2"/>
      </bottom>
      <diagonal/>
    </border>
    <border>
      <left style="thin">
        <color rgb="FFA39382"/>
      </left>
      <right/>
      <top/>
      <bottom style="medium">
        <color theme="1"/>
      </bottom>
      <diagonal/>
    </border>
    <border>
      <left/>
      <right style="dashed">
        <color theme="1"/>
      </right>
      <top style="dashed">
        <color theme="1"/>
      </top>
      <bottom/>
      <diagonal/>
    </border>
    <border>
      <left style="medium">
        <color rgb="FFA39382"/>
      </left>
      <right style="thin">
        <color rgb="FFA39382"/>
      </right>
      <top/>
      <bottom style="thin">
        <color rgb="FFA39382"/>
      </bottom>
      <diagonal/>
    </border>
    <border>
      <left style="medium">
        <color rgb="FFA39382"/>
      </left>
      <right style="thin">
        <color rgb="FFA39382"/>
      </right>
      <top style="thin">
        <color rgb="FFA39382"/>
      </top>
      <bottom style="thin">
        <color rgb="FFA39382"/>
      </bottom>
      <diagonal/>
    </border>
    <border>
      <left style="thin">
        <color rgb="FFA39382"/>
      </left>
      <right style="thin">
        <color rgb="FFA39382"/>
      </right>
      <top style="thin">
        <color rgb="FFA39382"/>
      </top>
      <bottom style="thick">
        <color theme="1"/>
      </bottom>
      <diagonal/>
    </border>
    <border>
      <left style="thin">
        <color rgb="FFA39382"/>
      </left>
      <right style="dashed">
        <color theme="1"/>
      </right>
      <top style="dashed">
        <color theme="1"/>
      </top>
      <bottom/>
      <diagonal/>
    </border>
    <border>
      <left style="thin">
        <color rgb="FFA39382"/>
      </left>
      <right style="dashed">
        <color theme="1"/>
      </right>
      <top style="dashed">
        <color theme="1"/>
      </top>
      <bottom style="dashed">
        <color rgb="FFA39382"/>
      </bottom>
      <diagonal/>
    </border>
    <border>
      <left style="thin">
        <color rgb="FFA39382"/>
      </left>
      <right/>
      <top style="dashed">
        <color rgb="FFA39382"/>
      </top>
      <bottom style="dashed">
        <color rgb="FFA39382"/>
      </bottom>
      <diagonal/>
    </border>
    <border>
      <left style="dashed">
        <color theme="1"/>
      </left>
      <right style="dashed">
        <color theme="1"/>
      </right>
      <top style="dashed">
        <color theme="1"/>
      </top>
      <bottom style="medium">
        <color indexed="64"/>
      </bottom>
      <diagonal/>
    </border>
    <border>
      <left style="thin">
        <color rgb="FFA39382"/>
      </left>
      <right style="thin">
        <color rgb="FFA39382"/>
      </right>
      <top style="medium">
        <color theme="1"/>
      </top>
      <bottom style="thin">
        <color indexed="64"/>
      </bottom>
      <diagonal/>
    </border>
    <border>
      <left style="thin">
        <color rgb="FFA39382"/>
      </left>
      <right style="dashed">
        <color theme="1"/>
      </right>
      <top style="dashed">
        <color theme="1"/>
      </top>
      <bottom style="medium">
        <color indexed="64"/>
      </bottom>
      <diagonal/>
    </border>
    <border>
      <left style="dashed">
        <color theme="1"/>
      </left>
      <right style="thick">
        <color auto="1"/>
      </right>
      <top style="dashed">
        <color theme="1"/>
      </top>
      <bottom style="medium">
        <color theme="1"/>
      </bottom>
      <diagonal/>
    </border>
    <border>
      <left style="dashed">
        <color theme="1"/>
      </left>
      <right style="thick">
        <color auto="1"/>
      </right>
      <top/>
      <bottom/>
      <diagonal/>
    </border>
    <border>
      <left/>
      <right style="thick">
        <color auto="1"/>
      </right>
      <top style="dashed">
        <color theme="1"/>
      </top>
      <bottom style="dashed">
        <color theme="1"/>
      </bottom>
      <diagonal/>
    </border>
    <border>
      <left style="thin">
        <color rgb="FFA39382"/>
      </left>
      <right style="thin">
        <color rgb="FFA39382"/>
      </right>
      <top style="thin">
        <color indexed="64"/>
      </top>
      <bottom/>
      <diagonal/>
    </border>
    <border>
      <left/>
      <right style="thin">
        <color rgb="FFA39382"/>
      </right>
      <top style="thin">
        <color indexed="64"/>
      </top>
      <bottom/>
      <diagonal/>
    </border>
    <border>
      <left style="thin">
        <color rgb="FFA39382"/>
      </left>
      <right/>
      <top style="thin">
        <color rgb="FFA39382"/>
      </top>
      <bottom style="thin">
        <color indexed="64"/>
      </bottom>
      <diagonal/>
    </border>
    <border>
      <left/>
      <right/>
      <top/>
      <bottom style="medium">
        <color indexed="64"/>
      </bottom>
      <diagonal/>
    </border>
    <border>
      <left style="thin">
        <color rgb="FFA39382"/>
      </left>
      <right style="thin">
        <color rgb="FFA39382"/>
      </right>
      <top style="dashed">
        <color theme="1"/>
      </top>
      <bottom style="medium">
        <color indexed="64"/>
      </bottom>
      <diagonal/>
    </border>
    <border>
      <left style="thin">
        <color rgb="FFA39382"/>
      </left>
      <right style="thick">
        <color auto="1"/>
      </right>
      <top style="dashed">
        <color theme="1"/>
      </top>
      <bottom style="medium">
        <color indexed="64"/>
      </bottom>
      <diagonal/>
    </border>
    <border>
      <left style="thick">
        <color theme="1"/>
      </left>
      <right/>
      <top style="thick">
        <color theme="1"/>
      </top>
      <bottom style="thin">
        <color indexed="64"/>
      </bottom>
      <diagonal/>
    </border>
    <border>
      <left style="thick">
        <color theme="1"/>
      </left>
      <right style="thin">
        <color indexed="64"/>
      </right>
      <top style="thin">
        <color indexed="64"/>
      </top>
      <bottom style="thin">
        <color indexed="64"/>
      </bottom>
      <diagonal/>
    </border>
    <border>
      <left style="thick">
        <color theme="1"/>
      </left>
      <right style="thin">
        <color theme="1"/>
      </right>
      <top style="medium">
        <color theme="1"/>
      </top>
      <bottom style="thin">
        <color rgb="FFB5A99B"/>
      </bottom>
      <diagonal/>
    </border>
    <border>
      <left style="thick">
        <color theme="1"/>
      </left>
      <right style="thin">
        <color theme="1"/>
      </right>
      <top style="thin">
        <color rgb="FFB5A99B"/>
      </top>
      <bottom style="thin">
        <color rgb="FFB5A99B"/>
      </bottom>
      <diagonal/>
    </border>
    <border>
      <left style="thick">
        <color theme="1"/>
      </left>
      <right style="thin">
        <color theme="1"/>
      </right>
      <top style="thin">
        <color rgb="FFB5A99B"/>
      </top>
      <bottom style="medium">
        <color theme="1"/>
      </bottom>
      <diagonal/>
    </border>
    <border>
      <left style="thick">
        <color theme="1"/>
      </left>
      <right style="thin">
        <color theme="1"/>
      </right>
      <top style="medium">
        <color theme="1"/>
      </top>
      <bottom style="thin">
        <color rgb="FFA39382"/>
      </bottom>
      <diagonal/>
    </border>
    <border>
      <left style="thick">
        <color theme="1"/>
      </left>
      <right style="thin">
        <color theme="1"/>
      </right>
      <top style="thin">
        <color rgb="FFA39382"/>
      </top>
      <bottom style="thin">
        <color rgb="FFA39382"/>
      </bottom>
      <diagonal/>
    </border>
    <border>
      <left style="thick">
        <color theme="1"/>
      </left>
      <right style="thin">
        <color theme="1"/>
      </right>
      <top style="thin">
        <color rgb="FFB5A99B"/>
      </top>
      <bottom/>
      <diagonal/>
    </border>
    <border>
      <left style="thin">
        <color rgb="FFA39382"/>
      </left>
      <right/>
      <top style="dashed">
        <color rgb="FFA39382"/>
      </top>
      <bottom/>
      <diagonal/>
    </border>
    <border>
      <left style="thick">
        <color theme="1"/>
      </left>
      <right/>
      <top/>
      <bottom style="thin">
        <color rgb="FFB5A99B"/>
      </bottom>
      <diagonal/>
    </border>
    <border>
      <left style="thin">
        <color rgb="FFA39382"/>
      </left>
      <right style="thin">
        <color rgb="FFA39382"/>
      </right>
      <top/>
      <bottom style="thin">
        <color indexed="64"/>
      </bottom>
      <diagonal/>
    </border>
    <border>
      <left style="thin">
        <color rgb="FFA39382"/>
      </left>
      <right/>
      <top/>
      <bottom style="thin">
        <color indexed="64"/>
      </bottom>
      <diagonal/>
    </border>
    <border>
      <left/>
      <right style="dashed">
        <color theme="1"/>
      </right>
      <top/>
      <bottom/>
      <diagonal/>
    </border>
    <border>
      <left style="thin">
        <color theme="1"/>
      </left>
      <right style="thin">
        <color rgb="FFA39382"/>
      </right>
      <top style="thin">
        <color rgb="FFA39382"/>
      </top>
      <bottom style="medium">
        <color indexed="64"/>
      </bottom>
      <diagonal/>
    </border>
    <border>
      <left/>
      <right/>
      <top style="thin">
        <color rgb="FFA39382"/>
      </top>
      <bottom style="medium">
        <color indexed="64"/>
      </bottom>
      <diagonal/>
    </border>
    <border>
      <left/>
      <right style="thin">
        <color indexed="64"/>
      </right>
      <top/>
      <bottom style="medium">
        <color indexed="64"/>
      </bottom>
      <diagonal/>
    </border>
    <border>
      <left style="thin">
        <color indexed="64"/>
      </left>
      <right/>
      <top style="thin">
        <color rgb="FFA39382"/>
      </top>
      <bottom style="medium">
        <color indexed="64"/>
      </bottom>
      <diagonal/>
    </border>
    <border>
      <left/>
      <right style="dashed">
        <color theme="1"/>
      </right>
      <top/>
      <bottom style="medium">
        <color indexed="64"/>
      </bottom>
      <diagonal/>
    </border>
    <border>
      <left style="dashed">
        <color theme="1"/>
      </left>
      <right style="dashed">
        <color theme="1"/>
      </right>
      <top/>
      <bottom style="medium">
        <color indexed="64"/>
      </bottom>
      <diagonal/>
    </border>
    <border>
      <left style="dashed">
        <color theme="1"/>
      </left>
      <right style="thick">
        <color auto="1"/>
      </right>
      <top/>
      <bottom style="medium">
        <color indexed="64"/>
      </bottom>
      <diagonal/>
    </border>
    <border>
      <left style="thick">
        <color theme="1"/>
      </left>
      <right style="thin">
        <color indexed="64"/>
      </right>
      <top style="thin">
        <color rgb="FFB5A99B"/>
      </top>
      <bottom/>
      <diagonal/>
    </border>
    <border>
      <left style="thin">
        <color rgb="FFA39382"/>
      </left>
      <right/>
      <top style="thin">
        <color indexed="64"/>
      </top>
      <bottom/>
      <diagonal/>
    </border>
    <border>
      <left style="dashed">
        <color theme="1"/>
      </left>
      <right style="dashed">
        <color theme="1"/>
      </right>
      <top style="thin">
        <color indexed="64"/>
      </top>
      <bottom/>
      <diagonal/>
    </border>
    <border>
      <left style="dashed">
        <color theme="1"/>
      </left>
      <right style="thick">
        <color auto="1"/>
      </right>
      <top style="thin">
        <color indexed="64"/>
      </top>
      <bottom/>
      <diagonal/>
    </border>
    <border>
      <left style="thin">
        <color theme="1"/>
      </left>
      <right style="thin">
        <color theme="1"/>
      </right>
      <top style="thick">
        <color theme="1"/>
      </top>
      <bottom/>
      <diagonal/>
    </border>
    <border>
      <left style="thin">
        <color theme="1"/>
      </left>
      <right style="thin">
        <color theme="1"/>
      </right>
      <top/>
      <bottom style="medium">
        <color theme="1"/>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auto="1"/>
      </bottom>
      <diagonal/>
    </border>
    <border>
      <left style="thick">
        <color theme="1"/>
      </left>
      <right/>
      <top style="medium">
        <color theme="1"/>
      </top>
      <bottom/>
      <diagonal/>
    </border>
    <border>
      <left style="thin">
        <color rgb="FFA39382"/>
      </left>
      <right style="thin">
        <color indexed="64"/>
      </right>
      <top/>
      <bottom/>
      <diagonal/>
    </border>
    <border>
      <left/>
      <right style="thin">
        <color rgb="FFA39382"/>
      </right>
      <top/>
      <bottom style="thin">
        <color indexed="64"/>
      </bottom>
      <diagonal/>
    </border>
    <border>
      <left style="thick">
        <color theme="1"/>
      </left>
      <right/>
      <top style="thick">
        <color theme="1"/>
      </top>
      <bottom/>
      <diagonal/>
    </border>
    <border>
      <left/>
      <right style="thin">
        <color indexed="64"/>
      </right>
      <top style="thick">
        <color theme="1"/>
      </top>
      <bottom/>
      <diagonal/>
    </border>
    <border>
      <left style="thin">
        <color indexed="64"/>
      </left>
      <right style="thin">
        <color theme="1"/>
      </right>
      <top style="thick">
        <color theme="1"/>
      </top>
      <bottom/>
      <diagonal/>
    </border>
    <border>
      <left style="thick">
        <color theme="1"/>
      </left>
      <right/>
      <top/>
      <bottom/>
      <diagonal/>
    </border>
    <border>
      <left style="thin">
        <color indexed="64"/>
      </left>
      <right style="thin">
        <color theme="1"/>
      </right>
      <top/>
      <bottom style="thin">
        <color indexed="64"/>
      </bottom>
      <diagonal/>
    </border>
    <border>
      <left style="thick">
        <color auto="1"/>
      </left>
      <right/>
      <top style="medium">
        <color theme="1"/>
      </top>
      <bottom style="thin">
        <color rgb="FFA39382"/>
      </bottom>
      <diagonal/>
    </border>
    <border>
      <left style="thick">
        <color auto="1"/>
      </left>
      <right style="thin">
        <color rgb="FFA39382"/>
      </right>
      <top style="medium">
        <color theme="1"/>
      </top>
      <bottom style="thin">
        <color rgb="FFA39382"/>
      </bottom>
      <diagonal/>
    </border>
    <border>
      <left style="thick">
        <color auto="1"/>
      </left>
      <right/>
      <top style="thin">
        <color rgb="FFA39382"/>
      </top>
      <bottom style="thin">
        <color rgb="FFA39382"/>
      </bottom>
      <diagonal/>
    </border>
    <border>
      <left style="thick">
        <color auto="1"/>
      </left>
      <right style="thin">
        <color rgb="FFA39382"/>
      </right>
      <top style="thin">
        <color rgb="FFA39382"/>
      </top>
      <bottom style="thin">
        <color rgb="FFA39382"/>
      </bottom>
      <diagonal/>
    </border>
    <border>
      <left style="thick">
        <color auto="1"/>
      </left>
      <right/>
      <top style="thin">
        <color rgb="FFA39382"/>
      </top>
      <bottom style="medium">
        <color theme="1"/>
      </bottom>
      <diagonal/>
    </border>
    <border>
      <left style="thick">
        <color auto="1"/>
      </left>
      <right style="thin">
        <color rgb="FFA39382"/>
      </right>
      <top style="thin">
        <color rgb="FFA39382"/>
      </top>
      <bottom style="medium">
        <color theme="1"/>
      </bottom>
      <diagonal/>
    </border>
    <border>
      <left style="thin">
        <color indexed="64"/>
      </left>
      <right style="thin">
        <color rgb="FFA39382"/>
      </right>
      <top style="thin">
        <color rgb="FFA39382"/>
      </top>
      <bottom style="thin">
        <color rgb="FFA39382"/>
      </bottom>
      <diagonal/>
    </border>
    <border>
      <left style="thin">
        <color indexed="64"/>
      </left>
      <right style="thin">
        <color rgb="FFA39382"/>
      </right>
      <top style="thin">
        <color rgb="FFA39382"/>
      </top>
      <bottom style="medium">
        <color theme="1"/>
      </bottom>
      <diagonal/>
    </border>
    <border>
      <left style="thick">
        <color theme="1"/>
      </left>
      <right/>
      <top style="thick">
        <color theme="1"/>
      </top>
      <bottom style="medium">
        <color theme="1"/>
      </bottom>
      <diagonal/>
    </border>
    <border>
      <left style="thick">
        <color theme="1"/>
      </left>
      <right style="thick">
        <color theme="1"/>
      </right>
      <top style="thin">
        <color rgb="FFA39382"/>
      </top>
      <bottom style="thin">
        <color rgb="FFA39382"/>
      </bottom>
      <diagonal/>
    </border>
    <border>
      <left style="thick">
        <color theme="1"/>
      </left>
      <right/>
      <top style="medium">
        <color theme="1"/>
      </top>
      <bottom style="thin">
        <color rgb="FFA39382"/>
      </bottom>
      <diagonal/>
    </border>
    <border>
      <left style="thick">
        <color theme="1"/>
      </left>
      <right/>
      <top style="thin">
        <color rgb="FFA39382"/>
      </top>
      <bottom style="thin">
        <color rgb="FFA39382"/>
      </bottom>
      <diagonal/>
    </border>
    <border>
      <left style="thick">
        <color theme="1"/>
      </left>
      <right/>
      <top style="thin">
        <color rgb="FFA39382"/>
      </top>
      <bottom/>
      <diagonal/>
    </border>
    <border>
      <left style="thick">
        <color theme="1"/>
      </left>
      <right style="thin">
        <color rgb="FFA39382"/>
      </right>
      <top style="thin">
        <color rgb="FFA39382"/>
      </top>
      <bottom/>
      <diagonal/>
    </border>
    <border>
      <left style="thick">
        <color theme="1"/>
      </left>
      <right style="thin">
        <color rgb="FFA39382"/>
      </right>
      <top style="thin">
        <color rgb="FFA39382"/>
      </top>
      <bottom style="thin">
        <color rgb="FFA39382"/>
      </bottom>
      <diagonal/>
    </border>
    <border>
      <left style="thick">
        <color theme="1"/>
      </left>
      <right style="thin">
        <color rgb="FFA39382"/>
      </right>
      <top/>
      <bottom style="thin">
        <color rgb="FFA39382"/>
      </bottom>
      <diagonal/>
    </border>
    <border>
      <left style="thick">
        <color theme="1"/>
      </left>
      <right style="thin">
        <color rgb="FFA39382"/>
      </right>
      <top/>
      <bottom style="medium">
        <color theme="1"/>
      </bottom>
      <diagonal/>
    </border>
    <border>
      <left style="thick">
        <color theme="1"/>
      </left>
      <right style="thick">
        <color theme="1"/>
      </right>
      <top style="medium">
        <color theme="1"/>
      </top>
      <bottom style="thin">
        <color rgb="FFA39382"/>
      </bottom>
      <diagonal/>
    </border>
    <border>
      <left style="thick">
        <color theme="1"/>
      </left>
      <right style="thin">
        <color rgb="FFA39382"/>
      </right>
      <top style="medium">
        <color theme="1"/>
      </top>
      <bottom style="thin">
        <color rgb="FFA39382"/>
      </bottom>
      <diagonal/>
    </border>
    <border>
      <left style="thick">
        <color theme="1"/>
      </left>
      <right style="thick">
        <color theme="1"/>
      </right>
      <top style="thin">
        <color rgb="FFA39382"/>
      </top>
      <bottom style="thin">
        <color theme="1"/>
      </bottom>
      <diagonal/>
    </border>
    <border>
      <left style="thick">
        <color theme="1"/>
      </left>
      <right style="thick">
        <color theme="1"/>
      </right>
      <top style="thin">
        <color theme="1"/>
      </top>
      <bottom style="thin">
        <color theme="1"/>
      </bottom>
      <diagonal/>
    </border>
    <border>
      <left style="thick">
        <color theme="1"/>
      </left>
      <right style="thick">
        <color theme="1"/>
      </right>
      <top style="thin">
        <color theme="1"/>
      </top>
      <bottom style="medium">
        <color theme="1"/>
      </bottom>
      <diagonal/>
    </border>
    <border>
      <left style="thick">
        <color theme="1"/>
      </left>
      <right style="thin">
        <color rgb="FFA39382"/>
      </right>
      <top/>
      <bottom/>
      <diagonal/>
    </border>
    <border>
      <left style="thick">
        <color theme="1"/>
      </left>
      <right style="thick">
        <color theme="1"/>
      </right>
      <top style="thin">
        <color rgb="FFB5A99B"/>
      </top>
      <bottom style="thin">
        <color rgb="FFB5A99B"/>
      </bottom>
      <diagonal/>
    </border>
    <border>
      <left style="thick">
        <color theme="1"/>
      </left>
      <right style="thick">
        <color theme="1"/>
      </right>
      <top style="thin">
        <color rgb="FFB5A99B"/>
      </top>
      <bottom/>
      <diagonal/>
    </border>
    <border>
      <left style="thick">
        <color theme="1"/>
      </left>
      <right style="thick">
        <color theme="1"/>
      </right>
      <top style="medium">
        <color theme="1"/>
      </top>
      <bottom style="thin">
        <color rgb="FFB5A99B"/>
      </bottom>
      <diagonal/>
    </border>
    <border>
      <left style="thin">
        <color rgb="FFA39382"/>
      </left>
      <right style="dashed">
        <color theme="1"/>
      </right>
      <top style="dashed">
        <color theme="1"/>
      </top>
      <bottom style="dashed">
        <color theme="1"/>
      </bottom>
      <diagonal/>
    </border>
    <border>
      <left style="thick">
        <color theme="1"/>
      </left>
      <right style="thick">
        <color theme="1"/>
      </right>
      <top style="thin">
        <color rgb="FFB5A99B"/>
      </top>
      <bottom style="thin">
        <color rgb="FFA39382"/>
      </bottom>
      <diagonal/>
    </border>
    <border>
      <left style="thick">
        <color theme="1"/>
      </left>
      <right/>
      <top/>
      <bottom style="thin">
        <color rgb="FFA39382"/>
      </bottom>
      <diagonal/>
    </border>
    <border>
      <left style="thick">
        <color theme="1"/>
      </left>
      <right style="thick">
        <color theme="1"/>
      </right>
      <top style="thin">
        <color rgb="FFA39382"/>
      </top>
      <bottom style="medium">
        <color theme="1"/>
      </bottom>
      <diagonal/>
    </border>
    <border>
      <left style="thick">
        <color theme="1"/>
      </left>
      <right style="thin">
        <color rgb="FFA39382"/>
      </right>
      <top style="thin">
        <color rgb="FFA39382"/>
      </top>
      <bottom style="medium">
        <color theme="1"/>
      </bottom>
      <diagonal/>
    </border>
    <border>
      <left style="thick">
        <color theme="1"/>
      </left>
      <right style="thick">
        <color theme="1"/>
      </right>
      <top style="thin">
        <color rgb="FFA39382"/>
      </top>
      <bottom/>
      <diagonal/>
    </border>
    <border>
      <left style="thick">
        <color theme="1"/>
      </left>
      <right style="thick">
        <color theme="1"/>
      </right>
      <top/>
      <bottom style="thin">
        <color rgb="FFA39382"/>
      </bottom>
      <diagonal/>
    </border>
    <border>
      <left style="thick">
        <color theme="1"/>
      </left>
      <right style="thick">
        <color theme="1"/>
      </right>
      <top/>
      <bottom/>
      <diagonal/>
    </border>
    <border>
      <left/>
      <right style="medium">
        <color theme="1"/>
      </right>
      <top style="medium">
        <color theme="1"/>
      </top>
      <bottom style="medium">
        <color theme="1"/>
      </bottom>
      <diagonal/>
    </border>
    <border>
      <left style="thick">
        <color theme="1"/>
      </left>
      <right/>
      <top style="thin">
        <color rgb="FFA39382"/>
      </top>
      <bottom style="medium">
        <color theme="1"/>
      </bottom>
      <diagonal/>
    </border>
    <border>
      <left style="thin">
        <color rgb="FFA39382"/>
      </left>
      <right/>
      <top style="dashed">
        <color rgb="FFA39382"/>
      </top>
      <bottom style="medium">
        <color theme="1"/>
      </bottom>
      <diagonal/>
    </border>
    <border>
      <left style="dashed">
        <color theme="1"/>
      </left>
      <right style="thick">
        <color auto="1"/>
      </right>
      <top style="dashed">
        <color theme="1"/>
      </top>
      <bottom style="medium">
        <color indexed="64"/>
      </bottom>
      <diagonal/>
    </border>
    <border>
      <left/>
      <right style="thin">
        <color rgb="FFA39382"/>
      </right>
      <top style="medium">
        <color theme="1"/>
      </top>
      <bottom/>
      <diagonal/>
    </border>
    <border>
      <left style="thin">
        <color rgb="FFA39382"/>
      </left>
      <right/>
      <top style="medium">
        <color theme="1"/>
      </top>
      <bottom/>
      <diagonal/>
    </border>
    <border>
      <left/>
      <right style="dashed">
        <color theme="1"/>
      </right>
      <top style="dashed">
        <color theme="1"/>
      </top>
      <bottom style="medium">
        <color theme="1"/>
      </bottom>
      <diagonal/>
    </border>
    <border>
      <left style="dashed">
        <color theme="1"/>
      </left>
      <right style="dashed">
        <color theme="1"/>
      </right>
      <top style="dashed">
        <color theme="1"/>
      </top>
      <bottom style="medium">
        <color theme="1"/>
      </bottom>
      <diagonal/>
    </border>
    <border>
      <left style="thick">
        <color theme="1"/>
      </left>
      <right style="thick">
        <color theme="1"/>
      </right>
      <top/>
      <bottom style="thin">
        <color rgb="FFB5A99B"/>
      </bottom>
      <diagonal/>
    </border>
    <border>
      <left style="thick">
        <color theme="1"/>
      </left>
      <right style="thick">
        <color theme="1"/>
      </right>
      <top style="thin">
        <color rgb="FFB5A99B"/>
      </top>
      <bottom style="thick">
        <color theme="1"/>
      </bottom>
      <diagonal/>
    </border>
    <border>
      <left style="thick">
        <color theme="1"/>
      </left>
      <right/>
      <top style="thin">
        <color rgb="FFB5A99B"/>
      </top>
      <bottom/>
      <diagonal/>
    </border>
    <border>
      <left style="thick">
        <color theme="1"/>
      </left>
      <right style="thick">
        <color theme="1"/>
      </right>
      <top style="thin">
        <color rgb="FFB5A99B"/>
      </top>
      <bottom style="medium">
        <color indexed="64"/>
      </bottom>
      <diagonal/>
    </border>
    <border>
      <left style="thin">
        <color rgb="FFA39382"/>
      </left>
      <right style="dashed">
        <color theme="1"/>
      </right>
      <top style="dashed">
        <color theme="1"/>
      </top>
      <bottom style="medium">
        <color theme="1"/>
      </bottom>
      <diagonal/>
    </border>
    <border>
      <left style="thin">
        <color theme="1"/>
      </left>
      <right/>
      <top style="thin">
        <color theme="1"/>
      </top>
      <bottom style="medium">
        <color theme="1"/>
      </bottom>
      <diagonal/>
    </border>
    <border>
      <left/>
      <right style="thin">
        <color theme="1"/>
      </right>
      <top style="thin">
        <color theme="1"/>
      </top>
      <bottom style="medium">
        <color theme="1"/>
      </bottom>
      <diagonal/>
    </border>
    <border>
      <left style="medium">
        <color indexed="64"/>
      </left>
      <right/>
      <top style="medium">
        <color indexed="64"/>
      </top>
      <bottom style="thin">
        <color theme="1"/>
      </bottom>
      <diagonal/>
    </border>
    <border>
      <left/>
      <right/>
      <top style="medium">
        <color indexed="64"/>
      </top>
      <bottom style="thin">
        <color theme="1"/>
      </bottom>
      <diagonal/>
    </border>
    <border>
      <left/>
      <right style="medium">
        <color indexed="64"/>
      </right>
      <top style="medium">
        <color indexed="64"/>
      </top>
      <bottom style="thin">
        <color theme="1"/>
      </bottom>
      <diagonal/>
    </border>
    <border>
      <left style="medium">
        <color indexed="64"/>
      </left>
      <right style="thin">
        <color theme="1"/>
      </right>
      <top style="thin">
        <color theme="1"/>
      </top>
      <bottom style="medium">
        <color theme="1"/>
      </bottom>
      <diagonal/>
    </border>
    <border>
      <left style="thin">
        <color theme="1"/>
      </left>
      <right style="medium">
        <color indexed="64"/>
      </right>
      <top style="thin">
        <color theme="1"/>
      </top>
      <bottom style="medium">
        <color theme="1"/>
      </bottom>
      <diagonal/>
    </border>
    <border>
      <left style="medium">
        <color indexed="64"/>
      </left>
      <right/>
      <top/>
      <bottom/>
      <diagonal/>
    </border>
    <border>
      <left/>
      <right style="medium">
        <color indexed="64"/>
      </right>
      <top/>
      <bottom/>
      <diagonal/>
    </border>
    <border>
      <left style="medium">
        <color indexed="64"/>
      </left>
      <right/>
      <top style="medium">
        <color theme="1"/>
      </top>
      <bottom style="medium">
        <color theme="1"/>
      </bottom>
      <diagonal/>
    </border>
    <border>
      <left/>
      <right style="medium">
        <color indexed="64"/>
      </right>
      <top style="medium">
        <color theme="1"/>
      </top>
      <bottom style="medium">
        <color theme="1"/>
      </bottom>
      <diagonal/>
    </border>
    <border>
      <left style="medium">
        <color indexed="64"/>
      </left>
      <right style="thin">
        <color rgb="FFA39382"/>
      </right>
      <top style="thin">
        <color rgb="FFA39382"/>
      </top>
      <bottom style="thin">
        <color rgb="FFA39382"/>
      </bottom>
      <diagonal/>
    </border>
    <border>
      <left style="thin">
        <color rgb="FFA39382"/>
      </left>
      <right style="medium">
        <color indexed="64"/>
      </right>
      <top style="thin">
        <color rgb="FFA39382"/>
      </top>
      <bottom style="thin">
        <color rgb="FFA39382"/>
      </bottom>
      <diagonal/>
    </border>
    <border>
      <left style="medium">
        <color indexed="64"/>
      </left>
      <right style="thin">
        <color rgb="FFA39382"/>
      </right>
      <top style="thin">
        <color rgb="FFA39382"/>
      </top>
      <bottom/>
      <diagonal/>
    </border>
    <border>
      <left style="thin">
        <color rgb="FFA39382"/>
      </left>
      <right style="medium">
        <color indexed="64"/>
      </right>
      <top style="thin">
        <color rgb="FFA39382"/>
      </top>
      <bottom/>
      <diagonal/>
    </border>
    <border>
      <left style="medium">
        <color indexed="64"/>
      </left>
      <right style="thin">
        <color rgb="FFA39382"/>
      </right>
      <top style="thin">
        <color rgb="FFA39382"/>
      </top>
      <bottom style="medium">
        <color indexed="64"/>
      </bottom>
      <diagonal/>
    </border>
    <border>
      <left style="thin">
        <color rgb="FFA39382"/>
      </left>
      <right style="medium">
        <color indexed="64"/>
      </right>
      <top style="thin">
        <color rgb="FFA39382"/>
      </top>
      <bottom style="medium">
        <color indexed="64"/>
      </bottom>
      <diagonal/>
    </border>
    <border>
      <left style="medium">
        <color indexed="64"/>
      </left>
      <right/>
      <top/>
      <bottom style="medium">
        <color theme="1"/>
      </bottom>
      <diagonal/>
    </border>
    <border>
      <left/>
      <right style="medium">
        <color indexed="64"/>
      </right>
      <top/>
      <bottom style="medium">
        <color theme="1"/>
      </bottom>
      <diagonal/>
    </border>
    <border>
      <left style="medium">
        <color indexed="64"/>
      </left>
      <right style="thin">
        <color rgb="FFA39382"/>
      </right>
      <top style="medium">
        <color theme="1"/>
      </top>
      <bottom style="thin">
        <color rgb="FFA39382"/>
      </bottom>
      <diagonal/>
    </border>
    <border>
      <left style="thin">
        <color rgb="FFA39382"/>
      </left>
      <right style="medium">
        <color indexed="64"/>
      </right>
      <top style="medium">
        <color theme="1"/>
      </top>
      <bottom style="thin">
        <color rgb="FFA39382"/>
      </bottom>
      <diagonal/>
    </border>
    <border>
      <left style="medium">
        <color indexed="64"/>
      </left>
      <right style="thin">
        <color rgb="FFA39382"/>
      </right>
      <top/>
      <bottom style="thin">
        <color rgb="FFA39382"/>
      </bottom>
      <diagonal/>
    </border>
    <border>
      <left style="thin">
        <color rgb="FFA39382"/>
      </left>
      <right style="medium">
        <color indexed="64"/>
      </right>
      <top/>
      <bottom style="thin">
        <color rgb="FFA39382"/>
      </bottom>
      <diagonal/>
    </border>
    <border>
      <left style="medium">
        <color indexed="64"/>
      </left>
      <right/>
      <top style="medium">
        <color theme="1"/>
      </top>
      <bottom/>
      <diagonal/>
    </border>
    <border>
      <left/>
      <right style="medium">
        <color indexed="64"/>
      </right>
      <top style="medium">
        <color theme="1"/>
      </top>
      <bottom/>
      <diagonal/>
    </border>
    <border>
      <left/>
      <right style="medium">
        <color indexed="64"/>
      </right>
      <top style="thin">
        <color rgb="FFA39382"/>
      </top>
      <bottom style="thin">
        <color rgb="FFA39382"/>
      </bottom>
      <diagonal/>
    </border>
    <border>
      <left style="medium">
        <color indexed="64"/>
      </left>
      <right style="thin">
        <color rgb="FFA39382"/>
      </right>
      <top/>
      <bottom/>
      <diagonal/>
    </border>
    <border>
      <left style="medium">
        <color indexed="64"/>
      </left>
      <right style="thin">
        <color rgb="FFA39382"/>
      </right>
      <top style="thin">
        <color rgb="FFA39382"/>
      </top>
      <bottom style="medium">
        <color theme="1"/>
      </bottom>
      <diagonal/>
    </border>
    <border>
      <left style="thin">
        <color rgb="FFA39382"/>
      </left>
      <right style="medium">
        <color indexed="64"/>
      </right>
      <top style="thin">
        <color rgb="FFA39382"/>
      </top>
      <bottom style="medium">
        <color theme="1"/>
      </bottom>
      <diagonal/>
    </border>
    <border>
      <left style="thin">
        <color rgb="FFA39382"/>
      </left>
      <right style="medium">
        <color indexed="64"/>
      </right>
      <top/>
      <bottom/>
      <diagonal/>
    </border>
    <border>
      <left style="medium">
        <color indexed="64"/>
      </left>
      <right/>
      <top style="thick">
        <color theme="1"/>
      </top>
      <bottom style="medium">
        <color theme="1"/>
      </bottom>
      <diagonal/>
    </border>
    <border>
      <left/>
      <right style="medium">
        <color indexed="64"/>
      </right>
      <top style="thick">
        <color theme="1"/>
      </top>
      <bottom style="medium">
        <color theme="1"/>
      </bottom>
      <diagonal/>
    </border>
    <border>
      <left style="medium">
        <color theme="1"/>
      </left>
      <right/>
      <top style="medium">
        <color theme="1"/>
      </top>
      <bottom style="medium">
        <color theme="1"/>
      </bottom>
      <diagonal/>
    </border>
    <border>
      <left style="medium">
        <color indexed="64"/>
      </left>
      <right style="thin">
        <color rgb="FFA39382"/>
      </right>
      <top style="medium">
        <color theme="1"/>
      </top>
      <bottom/>
      <diagonal/>
    </border>
    <border>
      <left style="thin">
        <color rgb="FFA39382"/>
      </left>
      <right style="medium">
        <color indexed="64"/>
      </right>
      <top style="medium">
        <color theme="1"/>
      </top>
      <bottom/>
      <diagonal/>
    </border>
    <border>
      <left style="thin">
        <color theme="1"/>
      </left>
      <right style="medium">
        <color indexed="64"/>
      </right>
      <top style="thin">
        <color theme="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ck">
        <color theme="1"/>
      </top>
      <bottom/>
      <diagonal/>
    </border>
    <border>
      <left style="thin">
        <color theme="1"/>
      </left>
      <right style="thick">
        <color indexed="64"/>
      </right>
      <top style="thick">
        <color theme="1"/>
      </top>
      <bottom/>
      <diagonal/>
    </border>
    <border>
      <left style="thick">
        <color indexed="64"/>
      </left>
      <right style="thin">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n">
        <color theme="1"/>
      </right>
      <top style="thin">
        <color indexed="64"/>
      </top>
      <bottom style="thick">
        <color indexed="64"/>
      </bottom>
      <diagonal/>
    </border>
    <border>
      <left style="thin">
        <color theme="1"/>
      </left>
      <right style="thick">
        <color indexed="64"/>
      </right>
      <top/>
      <bottom style="medium">
        <color theme="1"/>
      </bottom>
      <diagonal/>
    </border>
    <border>
      <left style="thin">
        <color indexed="64"/>
      </left>
      <right style="thin">
        <color rgb="FFA39382"/>
      </right>
      <top/>
      <bottom style="medium">
        <color theme="1"/>
      </bottom>
      <diagonal/>
    </border>
    <border>
      <left style="medium">
        <color indexed="64"/>
      </left>
      <right style="thin">
        <color rgb="FFA39382"/>
      </right>
      <top style="thin">
        <color indexed="64"/>
      </top>
      <bottom style="medium">
        <color indexed="64"/>
      </bottom>
      <diagonal/>
    </border>
    <border>
      <left style="dashed">
        <color theme="1"/>
      </left>
      <right style="thick">
        <color auto="1"/>
      </right>
      <top style="thin">
        <color indexed="64"/>
      </top>
      <bottom style="medium">
        <color indexed="64"/>
      </bottom>
      <diagonal/>
    </border>
    <border>
      <left style="thin">
        <color rgb="FFA39382"/>
      </left>
      <right/>
      <top style="medium">
        <color theme="1"/>
      </top>
      <bottom style="medium">
        <color theme="1"/>
      </bottom>
      <diagonal/>
    </border>
    <border>
      <left/>
      <right style="thick">
        <color indexed="64"/>
      </right>
      <top/>
      <bottom style="dashed">
        <color theme="1"/>
      </bottom>
      <diagonal/>
    </border>
    <border>
      <left style="thin">
        <color rgb="FFA39382"/>
      </left>
      <right/>
      <top style="thin">
        <color rgb="FFA39382"/>
      </top>
      <bottom style="thick">
        <color theme="1"/>
      </bottom>
      <diagonal/>
    </border>
    <border>
      <left style="thin">
        <color rgb="FFA39382"/>
      </left>
      <right style="thin">
        <color rgb="FFA39382"/>
      </right>
      <top/>
      <bottom style="thick">
        <color theme="1"/>
      </bottom>
      <diagonal/>
    </border>
    <border>
      <left/>
      <right style="thin">
        <color indexed="64"/>
      </right>
      <top/>
      <bottom style="thick">
        <color theme="1"/>
      </bottom>
      <diagonal/>
    </border>
    <border>
      <left style="thin">
        <color indexed="64"/>
      </left>
      <right/>
      <top style="thin">
        <color rgb="FFA39382"/>
      </top>
      <bottom style="thick">
        <color theme="1"/>
      </bottom>
      <diagonal/>
    </border>
    <border>
      <left/>
      <right style="thick">
        <color indexed="64"/>
      </right>
      <top/>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ck">
        <color indexed="64"/>
      </right>
      <top style="hair">
        <color indexed="64"/>
      </top>
      <bottom style="hair">
        <color indexed="64"/>
      </bottom>
      <diagonal/>
    </border>
    <border>
      <left style="thin">
        <color rgb="FFA39382"/>
      </left>
      <right style="thick">
        <color indexed="64"/>
      </right>
      <top style="medium">
        <color theme="1"/>
      </top>
      <bottom style="dashed">
        <color theme="1" tint="4.9989318521683403E-2"/>
      </bottom>
      <diagonal/>
    </border>
    <border>
      <left style="thin">
        <color rgb="FFA39382"/>
      </left>
      <right style="thick">
        <color indexed="64"/>
      </right>
      <top style="dashed">
        <color theme="1" tint="4.9989318521683403E-2"/>
      </top>
      <bottom/>
      <diagonal/>
    </border>
    <border>
      <left style="thin">
        <color rgb="FFA39382"/>
      </left>
      <right style="thick">
        <color indexed="64"/>
      </right>
      <top style="dashed">
        <color theme="1"/>
      </top>
      <bottom style="dashed">
        <color theme="1" tint="4.9989318521683403E-2"/>
      </bottom>
      <diagonal/>
    </border>
    <border>
      <left style="thin">
        <color rgb="FFA39382"/>
      </left>
      <right style="thick">
        <color indexed="64"/>
      </right>
      <top style="dashed">
        <color theme="1" tint="4.9989318521683403E-2"/>
      </top>
      <bottom style="dashed">
        <color theme="1" tint="4.9989318521683403E-2"/>
      </bottom>
      <diagonal/>
    </border>
    <border>
      <left style="thin">
        <color rgb="FFA39382"/>
      </left>
      <right style="thick">
        <color indexed="64"/>
      </right>
      <top style="thin">
        <color rgb="FFA39382"/>
      </top>
      <bottom style="thin">
        <color rgb="FFA39382"/>
      </bottom>
      <diagonal/>
    </border>
    <border>
      <left/>
      <right style="thick">
        <color indexed="64"/>
      </right>
      <top style="dashed">
        <color theme="1"/>
      </top>
      <bottom/>
      <diagonal/>
    </border>
    <border>
      <left/>
      <right style="thick">
        <color indexed="64"/>
      </right>
      <top style="dashed">
        <color theme="1"/>
      </top>
      <bottom style="medium">
        <color theme="1"/>
      </bottom>
      <diagonal/>
    </border>
    <border>
      <left style="thick">
        <color theme="1"/>
      </left>
      <right/>
      <top/>
      <bottom style="thick">
        <color theme="1"/>
      </bottom>
      <diagonal/>
    </border>
    <border>
      <left/>
      <right/>
      <top/>
      <bottom style="thick">
        <color theme="1"/>
      </bottom>
      <diagonal/>
    </border>
    <border>
      <left style="thin">
        <color rgb="FFA39382"/>
      </left>
      <right/>
      <top style="medium">
        <color theme="1"/>
      </top>
      <bottom style="thin">
        <color indexed="64"/>
      </bottom>
      <diagonal/>
    </border>
    <border>
      <left/>
      <right style="thin">
        <color theme="1"/>
      </right>
      <top style="medium">
        <color indexed="64"/>
      </top>
      <bottom style="thin">
        <color theme="1"/>
      </bottom>
      <diagonal/>
    </border>
    <border>
      <left style="thin">
        <color theme="1"/>
      </left>
      <right/>
      <top style="medium">
        <color indexed="64"/>
      </top>
      <bottom style="thin">
        <color theme="1"/>
      </bottom>
      <diagonal/>
    </border>
    <border>
      <left style="thin">
        <color indexed="64"/>
      </left>
      <right style="medium">
        <color indexed="64"/>
      </right>
      <top style="thin">
        <color theme="1"/>
      </top>
      <bottom style="medium">
        <color theme="1"/>
      </bottom>
      <diagonal/>
    </border>
    <border>
      <left style="thin">
        <color theme="1"/>
      </left>
      <right style="medium">
        <color indexed="64"/>
      </right>
      <top style="medium">
        <color theme="1"/>
      </top>
      <bottom/>
      <diagonal/>
    </border>
    <border>
      <left style="thin">
        <color theme="1"/>
      </left>
      <right style="medium">
        <color indexed="64"/>
      </right>
      <top style="medium">
        <color theme="1"/>
      </top>
      <bottom style="medium">
        <color theme="1"/>
      </bottom>
      <diagonal/>
    </border>
    <border>
      <left style="thin">
        <color theme="1"/>
      </left>
      <right style="medium">
        <color indexed="64"/>
      </right>
      <top style="thin">
        <color rgb="FFA39382"/>
      </top>
      <bottom style="thin">
        <color rgb="FFA39382"/>
      </bottom>
      <diagonal/>
    </border>
    <border>
      <left style="thin">
        <color theme="1"/>
      </left>
      <right style="medium">
        <color indexed="64"/>
      </right>
      <top style="thin">
        <color rgb="FFA39382"/>
      </top>
      <bottom/>
      <diagonal/>
    </border>
    <border>
      <left style="thin">
        <color theme="1"/>
      </left>
      <right style="medium">
        <color indexed="64"/>
      </right>
      <top style="thin">
        <color rgb="FFA39382"/>
      </top>
      <bottom style="medium">
        <color indexed="64"/>
      </bottom>
      <diagonal/>
    </border>
    <border>
      <left style="dashed">
        <color theme="1"/>
      </left>
      <right style="dashed">
        <color theme="1"/>
      </right>
      <top style="thin">
        <color indexed="64"/>
      </top>
      <bottom style="medium">
        <color indexed="64"/>
      </bottom>
      <diagonal/>
    </border>
    <border>
      <left style="thin">
        <color theme="1"/>
      </left>
      <right style="medium">
        <color indexed="64"/>
      </right>
      <top/>
      <bottom style="medium">
        <color theme="1"/>
      </bottom>
      <diagonal/>
    </border>
    <border>
      <left style="thin">
        <color theme="1"/>
      </left>
      <right style="medium">
        <color indexed="64"/>
      </right>
      <top style="medium">
        <color theme="1"/>
      </top>
      <bottom style="thin">
        <color rgb="FFA39382"/>
      </bottom>
      <diagonal/>
    </border>
    <border>
      <left style="thin">
        <color theme="1"/>
      </left>
      <right style="medium">
        <color indexed="64"/>
      </right>
      <top/>
      <bottom style="thin">
        <color rgb="FFA39382"/>
      </bottom>
      <diagonal/>
    </border>
    <border>
      <left style="thin">
        <color theme="1"/>
      </left>
      <right style="medium">
        <color indexed="64"/>
      </right>
      <top style="thin">
        <color rgb="FFA39382"/>
      </top>
      <bottom style="medium">
        <color theme="1"/>
      </bottom>
      <diagonal/>
    </border>
    <border>
      <left/>
      <right style="thin">
        <color rgb="FFA39382"/>
      </right>
      <top style="thin">
        <color rgb="FFA39382"/>
      </top>
      <bottom style="thick">
        <color theme="1"/>
      </bottom>
      <diagonal/>
    </border>
    <border>
      <left style="thin">
        <color theme="1"/>
      </left>
      <right style="medium">
        <color indexed="64"/>
      </right>
      <top style="thick">
        <color theme="1"/>
      </top>
      <bottom style="medium">
        <color theme="1"/>
      </bottom>
      <diagonal/>
    </border>
    <border>
      <left style="thick">
        <color theme="1"/>
      </left>
      <right/>
      <top style="thin">
        <color rgb="FFA39382"/>
      </top>
      <bottom style="thick">
        <color theme="1"/>
      </bottom>
      <diagonal/>
    </border>
    <border>
      <left style="thin">
        <color indexed="64"/>
      </left>
      <right style="thin">
        <color indexed="64"/>
      </right>
      <top style="thin">
        <color rgb="FFA39382"/>
      </top>
      <bottom style="thin">
        <color rgb="FFA39382"/>
      </bottom>
      <diagonal/>
    </border>
    <border>
      <left style="thin">
        <color indexed="64"/>
      </left>
      <right style="thin">
        <color theme="1"/>
      </right>
      <top style="thin">
        <color rgb="FFA39382"/>
      </top>
      <bottom style="thin">
        <color rgb="FFA39382"/>
      </bottom>
      <diagonal/>
    </border>
    <border>
      <left/>
      <right style="thick">
        <color theme="1"/>
      </right>
      <top style="thin">
        <color rgb="FFA39382"/>
      </top>
      <bottom style="thin">
        <color rgb="FFA39382"/>
      </bottom>
      <diagonal/>
    </border>
    <border>
      <left style="thin">
        <color theme="0" tint="-0.499984740745262"/>
      </left>
      <right style="thin">
        <color rgb="FFA39382"/>
      </right>
      <top style="thin">
        <color rgb="FFA39382"/>
      </top>
      <bottom style="thin">
        <color rgb="FFA39382"/>
      </bottom>
      <diagonal/>
    </border>
    <border>
      <left style="medium">
        <color theme="1"/>
      </left>
      <right style="thin">
        <color rgb="FFA39382"/>
      </right>
      <top style="thin">
        <color rgb="FFA39382"/>
      </top>
      <bottom style="thin">
        <color rgb="FFA39382"/>
      </bottom>
      <diagonal/>
    </border>
    <border>
      <left style="thin">
        <color rgb="FFA39382"/>
      </left>
      <right style="medium">
        <color theme="1"/>
      </right>
      <top style="thin">
        <color rgb="FFA39382"/>
      </top>
      <bottom style="thin">
        <color rgb="FFA39382"/>
      </bottom>
      <diagonal/>
    </border>
    <border>
      <left style="medium">
        <color theme="1"/>
      </left>
      <right style="thin">
        <color rgb="FFA39382"/>
      </right>
      <top style="medium">
        <color theme="1"/>
      </top>
      <bottom style="thin">
        <color rgb="FFA39382"/>
      </bottom>
      <diagonal/>
    </border>
    <border>
      <left style="thin">
        <color rgb="FFA39382"/>
      </left>
      <right style="medium">
        <color theme="1"/>
      </right>
      <top style="medium">
        <color theme="1"/>
      </top>
      <bottom style="thin">
        <color rgb="FFA39382"/>
      </bottom>
      <diagonal/>
    </border>
    <border>
      <left style="thick">
        <color theme="1"/>
      </left>
      <right style="thin">
        <color theme="1"/>
      </right>
      <top/>
      <bottom style="thin">
        <color rgb="FFB5A99B"/>
      </bottom>
      <diagonal/>
    </border>
    <border>
      <left style="thin">
        <color theme="1"/>
      </left>
      <right/>
      <top style="thin">
        <color rgb="FFA39382"/>
      </top>
      <bottom style="thin">
        <color rgb="FFA39382"/>
      </bottom>
      <diagonal/>
    </border>
    <border>
      <left style="medium">
        <color theme="1"/>
      </left>
      <right style="thin">
        <color rgb="FFA39382"/>
      </right>
      <top/>
      <bottom style="thin">
        <color rgb="FFA39382"/>
      </bottom>
      <diagonal/>
    </border>
    <border>
      <left style="medium">
        <color theme="1"/>
      </left>
      <right style="thin">
        <color rgb="FFA39382"/>
      </right>
      <top style="thin">
        <color rgb="FFA39382"/>
      </top>
      <bottom style="medium">
        <color theme="1"/>
      </bottom>
      <diagonal/>
    </border>
    <border>
      <left style="thin">
        <color rgb="FFA39382"/>
      </left>
      <right style="medium">
        <color theme="1"/>
      </right>
      <top style="thin">
        <color rgb="FFA39382"/>
      </top>
      <bottom style="medium">
        <color theme="1"/>
      </bottom>
      <diagonal/>
    </border>
    <border>
      <left style="thin">
        <color theme="1"/>
      </left>
      <right/>
      <top style="medium">
        <color theme="1"/>
      </top>
      <bottom style="thin">
        <color rgb="FFA39382"/>
      </bottom>
      <diagonal/>
    </border>
    <border>
      <left style="medium">
        <color indexed="64"/>
      </left>
      <right/>
      <top style="thin">
        <color rgb="FFA39382"/>
      </top>
      <bottom style="thin">
        <color rgb="FFA39382"/>
      </bottom>
      <diagonal/>
    </border>
    <border>
      <left style="medium">
        <color indexed="64"/>
      </left>
      <right/>
      <top style="thick">
        <color theme="1"/>
      </top>
      <bottom style="thin">
        <color theme="1"/>
      </bottom>
      <diagonal/>
    </border>
    <border>
      <left style="thin">
        <color theme="1"/>
      </left>
      <right/>
      <top/>
      <bottom style="thin">
        <color rgb="FFA39382"/>
      </bottom>
      <diagonal/>
    </border>
    <border>
      <left/>
      <right style="thin">
        <color rgb="FFA39382"/>
      </right>
      <top style="medium">
        <color theme="1"/>
      </top>
      <bottom style="medium">
        <color theme="1"/>
      </bottom>
      <diagonal/>
    </border>
    <border>
      <left style="thin">
        <color indexed="64"/>
      </left>
      <right/>
      <top/>
      <bottom style="thin">
        <color rgb="FFA39382"/>
      </bottom>
      <diagonal/>
    </border>
    <border>
      <left style="thin">
        <color theme="1"/>
      </left>
      <right style="thin">
        <color rgb="FFA39382"/>
      </right>
      <top style="thin">
        <color rgb="FFA39382"/>
      </top>
      <bottom style="thin">
        <color rgb="FFA39382"/>
      </bottom>
      <diagonal/>
    </border>
    <border>
      <left style="medium">
        <color theme="1"/>
      </left>
      <right style="thin">
        <color rgb="FFA39382"/>
      </right>
      <top style="thin">
        <color rgb="FFA39382"/>
      </top>
      <bottom/>
      <diagonal/>
    </border>
    <border>
      <left style="medium">
        <color theme="1"/>
      </left>
      <right style="thin">
        <color rgb="FFA39382"/>
      </right>
      <top/>
      <bottom/>
      <diagonal/>
    </border>
    <border>
      <left style="medium">
        <color indexed="64"/>
      </left>
      <right/>
      <top style="medium">
        <color indexed="64"/>
      </top>
      <bottom style="medium">
        <color theme="1"/>
      </bottom>
      <diagonal/>
    </border>
    <border>
      <left/>
      <right/>
      <top style="medium">
        <color indexed="64"/>
      </top>
      <bottom style="medium">
        <color theme="1"/>
      </bottom>
      <diagonal/>
    </border>
    <border>
      <left/>
      <right style="thick">
        <color auto="1"/>
      </right>
      <top style="medium">
        <color indexed="64"/>
      </top>
      <bottom style="medium">
        <color theme="1"/>
      </bottom>
      <diagonal/>
    </border>
    <border>
      <left/>
      <right style="medium">
        <color theme="1"/>
      </right>
      <top style="thin">
        <color rgb="FFA39382"/>
      </top>
      <bottom style="thin">
        <color rgb="FFA39382"/>
      </bottom>
      <diagonal/>
    </border>
    <border>
      <left/>
      <right style="medium">
        <color theme="1"/>
      </right>
      <top/>
      <bottom style="thin">
        <color rgb="FFA39382"/>
      </bottom>
      <diagonal/>
    </border>
    <border>
      <left style="thin">
        <color rgb="FFA39382"/>
      </left>
      <right style="medium">
        <color theme="1"/>
      </right>
      <top style="thin">
        <color rgb="FFA39382"/>
      </top>
      <bottom/>
      <diagonal/>
    </border>
    <border>
      <left style="thin">
        <color rgb="FFA39382"/>
      </left>
      <right style="thin">
        <color rgb="FFA39382"/>
      </right>
      <top style="thin">
        <color rgb="FFB5A99B"/>
      </top>
      <bottom style="thin">
        <color rgb="FFA39382"/>
      </bottom>
      <diagonal/>
    </border>
    <border>
      <left style="thick">
        <color theme="1"/>
      </left>
      <right style="thick">
        <color theme="1"/>
      </right>
      <top style="medium">
        <color theme="1"/>
      </top>
      <bottom style="medium">
        <color theme="1"/>
      </bottom>
      <diagonal/>
    </border>
    <border>
      <left style="thick">
        <color theme="1"/>
      </left>
      <right style="thin">
        <color rgb="FFA39382"/>
      </right>
      <top style="medium">
        <color theme="1"/>
      </top>
      <bottom style="thin">
        <color rgb="FFB5A99B"/>
      </bottom>
      <diagonal/>
    </border>
    <border>
      <left style="thick">
        <color theme="1"/>
      </left>
      <right style="thin">
        <color theme="1"/>
      </right>
      <top style="thin">
        <color rgb="FFB5A99B"/>
      </top>
      <bottom style="thin">
        <color rgb="FFA39382"/>
      </bottom>
      <diagonal/>
    </border>
    <border>
      <left style="thick">
        <color theme="1"/>
      </left>
      <right style="thin">
        <color rgb="FFA39382"/>
      </right>
      <top style="thin">
        <color rgb="FFA39382"/>
      </top>
      <bottom style="thin">
        <color rgb="FFB5A99B"/>
      </bottom>
      <diagonal/>
    </border>
    <border>
      <left style="medium">
        <color theme="1"/>
      </left>
      <right/>
      <top style="thin">
        <color rgb="FFA39382"/>
      </top>
      <bottom style="thin">
        <color rgb="FFA39382"/>
      </bottom>
      <diagonal/>
    </border>
    <border>
      <left style="thin">
        <color rgb="FF000000"/>
      </left>
      <right style="thin">
        <color rgb="FF000000"/>
      </right>
      <top style="thin">
        <color rgb="FF000000"/>
      </top>
      <bottom style="thin">
        <color rgb="FF000000"/>
      </bottom>
      <diagonal/>
    </border>
    <border>
      <left style="thick">
        <color theme="1"/>
      </left>
      <right/>
      <top style="thin">
        <color rgb="FFB5A99B"/>
      </top>
      <bottom style="thick">
        <color theme="1"/>
      </bottom>
      <diagonal/>
    </border>
    <border>
      <left style="thin">
        <color rgb="FFA39382"/>
      </left>
      <right style="medium">
        <color theme="1"/>
      </right>
      <top style="thin">
        <color rgb="FFA39382"/>
      </top>
      <bottom style="thick">
        <color theme="1"/>
      </bottom>
      <diagonal/>
    </border>
    <border>
      <left style="dashed">
        <color theme="1"/>
      </left>
      <right style="dashed">
        <color theme="1"/>
      </right>
      <top/>
      <bottom style="thick">
        <color theme="1"/>
      </bottom>
      <diagonal/>
    </border>
    <border>
      <left style="thick">
        <color theme="1"/>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theme="1"/>
      </right>
      <top style="thin">
        <color theme="1"/>
      </top>
      <bottom/>
      <diagonal/>
    </border>
    <border>
      <left style="thin">
        <color theme="1"/>
      </left>
      <right style="thin">
        <color theme="1"/>
      </right>
      <top style="thin">
        <color theme="1"/>
      </top>
      <bottom/>
      <diagonal/>
    </border>
    <border>
      <left style="thin">
        <color theme="1"/>
      </left>
      <right/>
      <top style="thin">
        <color theme="1"/>
      </top>
      <bottom/>
      <diagonal/>
    </border>
    <border>
      <left/>
      <right style="thin">
        <color theme="1"/>
      </right>
      <top/>
      <bottom/>
      <diagonal/>
    </border>
    <border>
      <left style="thin">
        <color theme="1"/>
      </left>
      <right style="thin">
        <color theme="1"/>
      </right>
      <top/>
      <bottom/>
      <diagonal/>
    </border>
    <border>
      <left style="thin">
        <color indexed="64"/>
      </left>
      <right/>
      <top style="medium">
        <color indexed="64"/>
      </top>
      <bottom style="thin">
        <color rgb="FFA39382"/>
      </bottom>
      <diagonal/>
    </border>
    <border>
      <left/>
      <right/>
      <top style="medium">
        <color indexed="64"/>
      </top>
      <bottom style="thin">
        <color rgb="FFA39382"/>
      </bottom>
      <diagonal/>
    </border>
    <border>
      <left/>
      <right style="thin">
        <color rgb="FFA39382"/>
      </right>
      <top style="medium">
        <color indexed="64"/>
      </top>
      <bottom style="thin">
        <color rgb="FFA39382"/>
      </bottom>
      <diagonal/>
    </border>
    <border>
      <left style="medium">
        <color auto="1"/>
      </left>
      <right style="medium">
        <color auto="1"/>
      </right>
      <top style="thin">
        <color rgb="FFA39382"/>
      </top>
      <bottom style="thin">
        <color rgb="FFA39382"/>
      </bottom>
      <diagonal/>
    </border>
    <border>
      <left/>
      <right style="medium">
        <color indexed="64"/>
      </right>
      <top style="medium">
        <color indexed="64"/>
      </top>
      <bottom style="thin">
        <color rgb="FFA39382"/>
      </bottom>
      <diagonal/>
    </border>
    <border>
      <left style="medium">
        <color indexed="64"/>
      </left>
      <right style="medium">
        <color indexed="64"/>
      </right>
      <top style="medium">
        <color indexed="64"/>
      </top>
      <bottom style="thin">
        <color rgb="FFA39382"/>
      </bottom>
      <diagonal/>
    </border>
    <border>
      <left style="medium">
        <color indexed="64"/>
      </left>
      <right/>
      <top style="medium">
        <color indexed="64"/>
      </top>
      <bottom style="thin">
        <color rgb="FFA39382"/>
      </bottom>
      <diagonal/>
    </border>
    <border>
      <left style="thin">
        <color theme="1"/>
      </left>
      <right style="thin">
        <color rgb="FFA39382"/>
      </right>
      <top/>
      <bottom style="thin">
        <color rgb="FFA39382"/>
      </bottom>
      <diagonal/>
    </border>
    <border>
      <left style="thick">
        <color theme="1"/>
      </left>
      <right style="thin">
        <color theme="1"/>
      </right>
      <top style="thin">
        <color rgb="FFB5A99B"/>
      </top>
      <bottom style="thick">
        <color theme="1"/>
      </bottom>
      <diagonal/>
    </border>
    <border>
      <left style="medium">
        <color indexed="64"/>
      </left>
      <right style="thin">
        <color rgb="FFA39382"/>
      </right>
      <top style="thin">
        <color rgb="FFA39382"/>
      </top>
      <bottom style="thick">
        <color theme="1"/>
      </bottom>
      <diagonal/>
    </border>
    <border>
      <left style="dashed">
        <color theme="1"/>
      </left>
      <right style="dashed">
        <color theme="1"/>
      </right>
      <top style="dashed">
        <color theme="1"/>
      </top>
      <bottom style="thick">
        <color theme="1"/>
      </bottom>
      <diagonal/>
    </border>
    <border>
      <left style="dashed">
        <color theme="1"/>
      </left>
      <right style="thick">
        <color auto="1"/>
      </right>
      <top style="dashed">
        <color theme="1"/>
      </top>
      <bottom style="thick">
        <color theme="1"/>
      </bottom>
      <diagonal/>
    </border>
    <border>
      <left/>
      <right style="dashed">
        <color theme="1"/>
      </right>
      <top style="dashed">
        <color theme="1"/>
      </top>
      <bottom style="thick">
        <color theme="1"/>
      </bottom>
      <diagonal/>
    </border>
    <border>
      <left style="thin">
        <color theme="1"/>
      </left>
      <right/>
      <top style="thin">
        <color rgb="FFA39382"/>
      </top>
      <bottom style="thick">
        <color theme="1"/>
      </bottom>
      <diagonal/>
    </border>
    <border>
      <left style="thin">
        <color rgb="FFA39382"/>
      </left>
      <right/>
      <top/>
      <bottom style="thick">
        <color theme="1"/>
      </bottom>
      <diagonal/>
    </border>
    <border>
      <left style="thin">
        <color theme="1"/>
      </left>
      <right style="thick">
        <color theme="1"/>
      </right>
      <top style="thick">
        <color theme="1"/>
      </top>
      <bottom style="thin">
        <color indexed="64"/>
      </bottom>
      <diagonal/>
    </border>
    <border>
      <left style="thin">
        <color indexed="64"/>
      </left>
      <right style="thick">
        <color theme="1"/>
      </right>
      <top/>
      <bottom/>
      <diagonal/>
    </border>
    <border>
      <left/>
      <right style="thick">
        <color theme="1"/>
      </right>
      <top style="medium">
        <color theme="1"/>
      </top>
      <bottom style="medium">
        <color theme="1"/>
      </bottom>
      <diagonal/>
    </border>
    <border>
      <left style="dashed">
        <color theme="1"/>
      </left>
      <right style="thick">
        <color theme="1"/>
      </right>
      <top style="medium">
        <color theme="1"/>
      </top>
      <bottom style="dashed">
        <color theme="1"/>
      </bottom>
      <diagonal/>
    </border>
    <border>
      <left style="dashed">
        <color theme="1"/>
      </left>
      <right style="thick">
        <color theme="1"/>
      </right>
      <top/>
      <bottom style="dashed">
        <color theme="1"/>
      </bottom>
      <diagonal/>
    </border>
    <border>
      <left style="dashed">
        <color theme="1"/>
      </left>
      <right style="thick">
        <color theme="1"/>
      </right>
      <top/>
      <bottom style="thick">
        <color theme="1"/>
      </bottom>
      <diagonal/>
    </border>
    <border>
      <left style="dashed">
        <color theme="1" tint="4.9989318521683403E-2"/>
      </left>
      <right style="dashed">
        <color theme="1" tint="4.9989318521683403E-2"/>
      </right>
      <top/>
      <bottom style="dashed">
        <color theme="1" tint="4.9989318521683403E-2"/>
      </bottom>
      <diagonal/>
    </border>
    <border>
      <left style="thin">
        <color rgb="FFA39382"/>
      </left>
      <right/>
      <top style="medium">
        <color indexed="64"/>
      </top>
      <bottom style="thin">
        <color rgb="FFA39382"/>
      </bottom>
      <diagonal/>
    </border>
    <border>
      <left style="thin">
        <color theme="1"/>
      </left>
      <right/>
      <top style="thin">
        <color rgb="FFA39382"/>
      </top>
      <bottom/>
      <diagonal/>
    </border>
    <border>
      <left style="thin">
        <color indexed="64"/>
      </left>
      <right style="thin">
        <color indexed="64"/>
      </right>
      <top/>
      <bottom style="medium">
        <color theme="1"/>
      </bottom>
      <diagonal/>
    </border>
    <border>
      <left style="thin">
        <color indexed="64"/>
      </left>
      <right style="thick">
        <color theme="1"/>
      </right>
      <top/>
      <bottom style="medium">
        <color theme="1"/>
      </bottom>
      <diagonal/>
    </border>
    <border>
      <left style="thick">
        <color theme="1"/>
      </left>
      <right style="thick">
        <color theme="1"/>
      </right>
      <top style="thick">
        <color theme="1"/>
      </top>
      <bottom style="thin">
        <color indexed="64"/>
      </bottom>
      <diagonal/>
    </border>
    <border>
      <left style="thick">
        <color theme="1"/>
      </left>
      <right style="thin">
        <color theme="1"/>
      </right>
      <top style="thin">
        <color theme="1"/>
      </top>
      <bottom/>
      <diagonal/>
    </border>
    <border>
      <left style="thin">
        <color theme="1"/>
      </left>
      <right style="thick">
        <color theme="1"/>
      </right>
      <top style="thin">
        <color theme="1"/>
      </top>
      <bottom/>
      <diagonal/>
    </border>
    <border>
      <left/>
      <right style="thick">
        <color theme="1"/>
      </right>
      <top/>
      <bottom style="medium">
        <color theme="1"/>
      </bottom>
      <diagonal/>
    </border>
    <border>
      <left style="thin">
        <color rgb="FFA39382"/>
      </left>
      <right style="thick">
        <color theme="1"/>
      </right>
      <top style="thin">
        <color rgb="FFA39382"/>
      </top>
      <bottom style="thin">
        <color rgb="FFA39382"/>
      </bottom>
      <diagonal/>
    </border>
    <border>
      <left style="thin">
        <color rgb="FFA39382"/>
      </left>
      <right style="thick">
        <color theme="1"/>
      </right>
      <top style="thin">
        <color rgb="FFA39382"/>
      </top>
      <bottom style="medium">
        <color theme="1"/>
      </bottom>
      <diagonal/>
    </border>
    <border>
      <left style="thin">
        <color rgb="FFA39382"/>
      </left>
      <right style="thick">
        <color theme="1"/>
      </right>
      <top style="thin">
        <color rgb="FFA39382"/>
      </top>
      <bottom/>
      <diagonal/>
    </border>
    <border>
      <left style="thick">
        <color theme="1"/>
      </left>
      <right style="thin">
        <color rgb="FFA39382"/>
      </right>
      <top style="thin">
        <color rgb="FFA39382"/>
      </top>
      <bottom style="medium">
        <color indexed="64"/>
      </bottom>
      <diagonal/>
    </border>
    <border>
      <left style="thin">
        <color rgb="FFA39382"/>
      </left>
      <right style="thick">
        <color theme="1"/>
      </right>
      <top style="thin">
        <color rgb="FFA39382"/>
      </top>
      <bottom style="medium">
        <color indexed="64"/>
      </bottom>
      <diagonal/>
    </border>
    <border>
      <left style="thin">
        <color rgb="FFA39382"/>
      </left>
      <right style="thick">
        <color theme="1"/>
      </right>
      <top style="medium">
        <color theme="1"/>
      </top>
      <bottom style="thin">
        <color rgb="FFA39382"/>
      </bottom>
      <diagonal/>
    </border>
    <border>
      <left style="thin">
        <color rgb="FFA39382"/>
      </left>
      <right style="thick">
        <color theme="1"/>
      </right>
      <top/>
      <bottom style="thin">
        <color rgb="FFA39382"/>
      </bottom>
      <diagonal/>
    </border>
    <border>
      <left style="thick">
        <color theme="1"/>
      </left>
      <right style="thin">
        <color rgb="FFA39382"/>
      </right>
      <top style="thin">
        <color rgb="FFA39382"/>
      </top>
      <bottom style="thick">
        <color theme="1"/>
      </bottom>
      <diagonal/>
    </border>
    <border>
      <left style="thin">
        <color rgb="FFA39382"/>
      </left>
      <right style="thick">
        <color theme="1"/>
      </right>
      <top style="thin">
        <color rgb="FFA39382"/>
      </top>
      <bottom style="thick">
        <color theme="1"/>
      </bottom>
      <diagonal/>
    </border>
    <border>
      <left style="thick">
        <color theme="1"/>
      </left>
      <right/>
      <top style="medium">
        <color indexed="64"/>
      </top>
      <bottom style="medium">
        <color theme="1"/>
      </bottom>
      <diagonal/>
    </border>
    <border>
      <left/>
      <right style="thick">
        <color theme="1"/>
      </right>
      <top style="medium">
        <color indexed="64"/>
      </top>
      <bottom style="medium">
        <color theme="1"/>
      </bottom>
      <diagonal/>
    </border>
    <border>
      <left/>
      <right style="thick">
        <color theme="1"/>
      </right>
      <top/>
      <bottom style="thin">
        <color rgb="FFA39382"/>
      </bottom>
      <diagonal/>
    </border>
    <border>
      <left style="thick">
        <color theme="1"/>
      </left>
      <right style="thin">
        <color theme="1"/>
      </right>
      <top/>
      <bottom style="thick">
        <color theme="1"/>
      </bottom>
      <diagonal/>
    </border>
    <border>
      <left style="thick">
        <color theme="1"/>
      </left>
      <right style="thin">
        <color rgb="FFA39382"/>
      </right>
      <top/>
      <bottom style="thick">
        <color theme="1"/>
      </bottom>
      <diagonal/>
    </border>
    <border>
      <left style="thin">
        <color rgb="FFA39382"/>
      </left>
      <right style="thick">
        <color theme="1"/>
      </right>
      <top/>
      <bottom style="thick">
        <color theme="1"/>
      </bottom>
      <diagonal/>
    </border>
    <border>
      <left style="thick">
        <color theme="1"/>
      </left>
      <right style="thin">
        <color theme="1"/>
      </right>
      <top/>
      <bottom style="thin">
        <color rgb="FFA39382"/>
      </bottom>
      <diagonal/>
    </border>
    <border>
      <left style="dashed">
        <color theme="1"/>
      </left>
      <right style="thick">
        <color theme="1"/>
      </right>
      <top style="dashed">
        <color theme="1"/>
      </top>
      <bottom style="dashed">
        <color theme="1"/>
      </bottom>
      <diagonal/>
    </border>
    <border>
      <left style="dashed">
        <color theme="1"/>
      </left>
      <right style="thick">
        <color theme="1"/>
      </right>
      <top style="dashed">
        <color theme="1"/>
      </top>
      <bottom style="thick">
        <color theme="1"/>
      </bottom>
      <diagonal/>
    </border>
    <border>
      <left/>
      <right style="thick">
        <color theme="1"/>
      </right>
      <top style="medium">
        <color indexed="64"/>
      </top>
      <bottom style="medium">
        <color indexed="64"/>
      </bottom>
      <diagonal/>
    </border>
    <border>
      <left style="dashed">
        <color theme="1"/>
      </left>
      <right style="thick">
        <color theme="1"/>
      </right>
      <top style="dashed">
        <color theme="1"/>
      </top>
      <bottom/>
      <diagonal/>
    </border>
    <border>
      <left style="dashed">
        <color theme="1"/>
      </left>
      <right style="thick">
        <color theme="1"/>
      </right>
      <top style="thin">
        <color indexed="64"/>
      </top>
      <bottom/>
      <diagonal/>
    </border>
    <border>
      <left/>
      <right style="thick">
        <color theme="1"/>
      </right>
      <top style="medium">
        <color indexed="64"/>
      </top>
      <bottom style="thin">
        <color rgb="FFA39382"/>
      </bottom>
      <diagonal/>
    </border>
    <border>
      <left style="thin">
        <color rgb="FFA39382"/>
      </left>
      <right style="thick">
        <color theme="1"/>
      </right>
      <top/>
      <bottom/>
      <diagonal/>
    </border>
    <border>
      <left style="dashed">
        <color theme="1" tint="4.9989318521683403E-2"/>
      </left>
      <right style="thick">
        <color theme="1"/>
      </right>
      <top style="dashed">
        <color theme="1" tint="4.9989318521683403E-2"/>
      </top>
      <bottom style="dashed">
        <color theme="1" tint="4.9989318521683403E-2"/>
      </bottom>
      <diagonal/>
    </border>
    <border>
      <left style="dashed">
        <color theme="1" tint="4.9989318521683403E-2"/>
      </left>
      <right style="thick">
        <color theme="1"/>
      </right>
      <top/>
      <bottom style="dashed">
        <color theme="1" tint="4.9989318521683403E-2"/>
      </bottom>
      <diagonal/>
    </border>
    <border>
      <left style="thin">
        <color rgb="FFA39382"/>
      </left>
      <right style="thick">
        <color theme="1"/>
      </right>
      <top style="dashed">
        <color theme="1"/>
      </top>
      <bottom style="medium">
        <color indexed="64"/>
      </bottom>
      <diagonal/>
    </border>
    <border>
      <left style="thin">
        <color rgb="FFA39382"/>
      </left>
      <right style="dashed">
        <color theme="1"/>
      </right>
      <top style="dashed">
        <color theme="1"/>
      </top>
      <bottom style="thick">
        <color theme="1"/>
      </bottom>
      <diagonal/>
    </border>
    <border>
      <left style="thick">
        <color theme="1"/>
      </left>
      <right style="thin">
        <color theme="1"/>
      </right>
      <top/>
      <bottom style="thin">
        <color theme="1" tint="0.499984740745262"/>
      </bottom>
      <diagonal/>
    </border>
    <border>
      <left/>
      <right/>
      <top/>
      <bottom style="thin">
        <color theme="1" tint="0.499984740745262"/>
      </bottom>
      <diagonal/>
    </border>
    <border>
      <left style="thin">
        <color rgb="FFA39382"/>
      </left>
      <right/>
      <top style="thin">
        <color rgb="FFA39382"/>
      </top>
      <bottom style="thin">
        <color theme="1" tint="0.499984740745262"/>
      </bottom>
      <diagonal/>
    </border>
    <border>
      <left style="thin">
        <color rgb="FFA39382"/>
      </left>
      <right style="thin">
        <color rgb="FFA39382"/>
      </right>
      <top style="thin">
        <color rgb="FFA39382"/>
      </top>
      <bottom style="thin">
        <color theme="1" tint="0.499984740745262"/>
      </bottom>
      <diagonal/>
    </border>
    <border>
      <left/>
      <right style="dashed">
        <color theme="1"/>
      </right>
      <top style="medium">
        <color theme="1"/>
      </top>
      <bottom style="dashed">
        <color theme="1"/>
      </bottom>
      <diagonal/>
    </border>
    <border>
      <left/>
      <right style="dashed">
        <color theme="1"/>
      </right>
      <top/>
      <bottom style="thick">
        <color theme="1"/>
      </bottom>
      <diagonal/>
    </border>
    <border>
      <left style="thin">
        <color rgb="FFA39382"/>
      </left>
      <right style="thick">
        <color indexed="64"/>
      </right>
      <top style="medium">
        <color theme="1"/>
      </top>
      <bottom style="thin">
        <color rgb="FFA39382"/>
      </bottom>
      <diagonal/>
    </border>
    <border>
      <left style="thin">
        <color rgb="FFA39382"/>
      </left>
      <right style="thick">
        <color indexed="64"/>
      </right>
      <top style="thin">
        <color rgb="FFA39382"/>
      </top>
      <bottom style="medium">
        <color theme="1"/>
      </bottom>
      <diagonal/>
    </border>
    <border>
      <left style="thin">
        <color rgb="FFA39382"/>
      </left>
      <right style="thick">
        <color indexed="64"/>
      </right>
      <top style="thin">
        <color rgb="FFA39382"/>
      </top>
      <bottom style="thick">
        <color auto="1"/>
      </bottom>
      <diagonal/>
    </border>
    <border>
      <left/>
      <right style="dashed">
        <color theme="1"/>
      </right>
      <top style="thin">
        <color indexed="64"/>
      </top>
      <bottom/>
      <diagonal/>
    </border>
    <border>
      <left style="thick">
        <color theme="1"/>
      </left>
      <right style="thick">
        <color indexed="64"/>
      </right>
      <top style="thick">
        <color theme="1"/>
      </top>
      <bottom/>
      <diagonal/>
    </border>
    <border>
      <left style="thick">
        <color theme="1"/>
      </left>
      <right style="thick">
        <color indexed="64"/>
      </right>
      <top/>
      <bottom style="medium">
        <color theme="1"/>
      </bottom>
      <diagonal/>
    </border>
    <border>
      <left style="thick">
        <color theme="1"/>
      </left>
      <right style="thick">
        <color indexed="64"/>
      </right>
      <top style="thin">
        <color rgb="FFA39382"/>
      </top>
      <bottom style="thin">
        <color rgb="FFA39382"/>
      </bottom>
      <diagonal/>
    </border>
    <border>
      <left style="thick">
        <color theme="1"/>
      </left>
      <right style="thick">
        <color indexed="64"/>
      </right>
      <top/>
      <bottom/>
      <diagonal/>
    </border>
    <border>
      <left style="thick">
        <color theme="1"/>
      </left>
      <right style="thick">
        <color indexed="64"/>
      </right>
      <top style="thin">
        <color rgb="FFA39382"/>
      </top>
      <bottom/>
      <diagonal/>
    </border>
    <border>
      <left style="thick">
        <color theme="1"/>
      </left>
      <right style="thick">
        <color indexed="64"/>
      </right>
      <top/>
      <bottom style="thin">
        <color rgb="FFA39382"/>
      </bottom>
      <diagonal/>
    </border>
    <border>
      <left style="thick">
        <color theme="1"/>
      </left>
      <right style="thick">
        <color indexed="64"/>
      </right>
      <top style="medium">
        <color indexed="64"/>
      </top>
      <bottom style="medium">
        <color theme="1"/>
      </bottom>
      <diagonal/>
    </border>
    <border>
      <left style="thick">
        <color theme="1"/>
      </left>
      <right style="thick">
        <color indexed="64"/>
      </right>
      <top style="medium">
        <color theme="1"/>
      </top>
      <bottom style="medium">
        <color theme="1"/>
      </bottom>
      <diagonal/>
    </border>
    <border>
      <left style="thick">
        <color theme="1"/>
      </left>
      <right style="thick">
        <color indexed="64"/>
      </right>
      <top style="medium">
        <color theme="1"/>
      </top>
      <bottom style="thin">
        <color rgb="FFA39382"/>
      </bottom>
      <diagonal/>
    </border>
    <border>
      <left style="thick">
        <color theme="1"/>
      </left>
      <right style="thick">
        <color indexed="64"/>
      </right>
      <top/>
      <bottom style="thick">
        <color theme="1"/>
      </bottom>
      <diagonal/>
    </border>
    <border>
      <left/>
      <right style="dashed">
        <color theme="1" tint="4.9989318521683403E-2"/>
      </right>
      <top style="dashed">
        <color theme="1" tint="4.9989318521683403E-2"/>
      </top>
      <bottom/>
      <diagonal/>
    </border>
    <border>
      <left/>
      <right style="dashed">
        <color theme="1" tint="4.9989318521683403E-2"/>
      </right>
      <top/>
      <bottom style="dashed">
        <color theme="1" tint="4.9989318521683403E-2"/>
      </bottom>
      <diagonal/>
    </border>
    <border>
      <left/>
      <right style="dashed">
        <color theme="1" tint="4.9989318521683403E-2"/>
      </right>
      <top style="dashed">
        <color theme="1" tint="4.9989318521683403E-2"/>
      </top>
      <bottom style="dashed">
        <color theme="1" tint="4.9989318521683403E-2"/>
      </bottom>
      <diagonal/>
    </border>
    <border>
      <left/>
      <right style="thin">
        <color rgb="FFA39382"/>
      </right>
      <top style="dashed">
        <color theme="1"/>
      </top>
      <bottom style="medium">
        <color indexed="64"/>
      </bottom>
      <diagonal/>
    </border>
    <border>
      <left/>
      <right style="thick">
        <color indexed="64"/>
      </right>
      <top style="thick">
        <color theme="1"/>
      </top>
      <bottom/>
      <diagonal/>
    </border>
    <border>
      <left/>
      <right style="thick">
        <color indexed="64"/>
      </right>
      <top style="medium">
        <color theme="1"/>
      </top>
      <bottom style="thin">
        <color rgb="FFA39382"/>
      </bottom>
      <diagonal/>
    </border>
    <border>
      <left/>
      <right style="thick">
        <color indexed="64"/>
      </right>
      <top/>
      <bottom style="thin">
        <color rgb="FFA39382"/>
      </bottom>
      <diagonal/>
    </border>
    <border>
      <left/>
      <right style="thick">
        <color indexed="64"/>
      </right>
      <top style="thin">
        <color rgb="FFA39382"/>
      </top>
      <bottom style="thin">
        <color rgb="FFA39382"/>
      </bottom>
      <diagonal/>
    </border>
    <border>
      <left/>
      <right style="thick">
        <color indexed="64"/>
      </right>
      <top style="thin">
        <color rgb="FFA39382"/>
      </top>
      <bottom/>
      <diagonal/>
    </border>
    <border>
      <left/>
      <right style="thick">
        <color indexed="64"/>
      </right>
      <top style="thin">
        <color rgb="FFA39382"/>
      </top>
      <bottom style="medium">
        <color indexed="64"/>
      </bottom>
      <diagonal/>
    </border>
    <border>
      <left style="thick">
        <color theme="1"/>
      </left>
      <right style="thick">
        <color indexed="64"/>
      </right>
      <top style="thin">
        <color rgb="FFA39382"/>
      </top>
      <bottom style="thick">
        <color theme="1"/>
      </bottom>
      <diagonal/>
    </border>
    <border>
      <left/>
      <right style="thin">
        <color indexed="64"/>
      </right>
      <top/>
      <bottom style="medium">
        <color theme="1"/>
      </bottom>
      <diagonal/>
    </border>
    <border>
      <left/>
      <right style="dashed">
        <color theme="1"/>
      </right>
      <top style="dashed">
        <color theme="1"/>
      </top>
      <bottom style="medium">
        <color indexed="64"/>
      </bottom>
      <diagonal/>
    </border>
    <border>
      <left style="thick">
        <color theme="1"/>
      </left>
      <right style="thick">
        <color indexed="64"/>
      </right>
      <top style="thin">
        <color rgb="FFA39382"/>
      </top>
      <bottom style="medium">
        <color theme="1"/>
      </bottom>
      <diagonal/>
    </border>
    <border>
      <left style="medium">
        <color indexed="64"/>
      </left>
      <right/>
      <top style="medium">
        <color indexed="64"/>
      </top>
      <bottom style="thin">
        <color indexed="64"/>
      </bottom>
      <diagonal/>
    </border>
    <border>
      <left style="thick">
        <color theme="1"/>
      </left>
      <right/>
      <top style="medium">
        <color indexed="64"/>
      </top>
      <bottom style="thin">
        <color indexed="64"/>
      </bottom>
      <diagonal/>
    </border>
    <border>
      <left style="thick">
        <color theme="1"/>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ck">
        <color theme="1"/>
      </left>
      <right style="thick">
        <color theme="1"/>
      </right>
      <top style="medium">
        <color indexed="64"/>
      </top>
      <bottom style="thin">
        <color indexed="64"/>
      </bottom>
      <diagonal/>
    </border>
    <border>
      <left style="thick">
        <color theme="1"/>
      </left>
      <right style="medium">
        <color indexed="64"/>
      </right>
      <top style="medium">
        <color indexed="64"/>
      </top>
      <bottom/>
      <diagonal/>
    </border>
    <border>
      <left style="medium">
        <color indexed="64"/>
      </left>
      <right style="thin">
        <color indexed="64"/>
      </right>
      <top style="thin">
        <color indexed="64"/>
      </top>
      <bottom/>
      <diagonal/>
    </border>
    <border>
      <left style="thick">
        <color theme="1"/>
      </left>
      <right style="medium">
        <color indexed="64"/>
      </right>
      <top/>
      <bottom style="medium">
        <color theme="1"/>
      </bottom>
      <diagonal/>
    </border>
    <border>
      <left style="thick">
        <color theme="1"/>
      </left>
      <right style="medium">
        <color indexed="64"/>
      </right>
      <top style="medium">
        <color indexed="64"/>
      </top>
      <bottom style="medium">
        <color indexed="64"/>
      </bottom>
      <diagonal/>
    </border>
    <border>
      <left style="medium">
        <color indexed="64"/>
      </left>
      <right/>
      <top/>
      <bottom style="thin">
        <color rgb="FFB5A99B"/>
      </bottom>
      <diagonal/>
    </border>
    <border>
      <left style="thick">
        <color theme="1"/>
      </left>
      <right style="medium">
        <color indexed="64"/>
      </right>
      <top style="medium">
        <color indexed="64"/>
      </top>
      <bottom style="thin">
        <color rgb="FFA39382"/>
      </bottom>
      <diagonal/>
    </border>
    <border>
      <left style="medium">
        <color indexed="64"/>
      </left>
      <right/>
      <top style="thin">
        <color rgb="FFB5A99B"/>
      </top>
      <bottom style="thin">
        <color rgb="FFB5A99B"/>
      </bottom>
      <diagonal/>
    </border>
    <border>
      <left style="thick">
        <color theme="1"/>
      </left>
      <right style="medium">
        <color indexed="64"/>
      </right>
      <top style="thin">
        <color rgb="FFA39382"/>
      </top>
      <bottom style="thin">
        <color rgb="FFA39382"/>
      </bottom>
      <diagonal/>
    </border>
    <border>
      <left style="thick">
        <color theme="1"/>
      </left>
      <right style="medium">
        <color indexed="64"/>
      </right>
      <top/>
      <bottom/>
      <diagonal/>
    </border>
    <border>
      <left style="thick">
        <color theme="1"/>
      </left>
      <right style="medium">
        <color indexed="64"/>
      </right>
      <top style="thin">
        <color rgb="FFA39382"/>
      </top>
      <bottom/>
      <diagonal/>
    </border>
    <border>
      <left style="medium">
        <color indexed="64"/>
      </left>
      <right style="thin">
        <color theme="1"/>
      </right>
      <top style="thin">
        <color rgb="FFB5A99B"/>
      </top>
      <bottom style="thin">
        <color rgb="FFB5A99B"/>
      </bottom>
      <diagonal/>
    </border>
    <border>
      <left style="thick">
        <color theme="1"/>
      </left>
      <right style="medium">
        <color indexed="64"/>
      </right>
      <top/>
      <bottom style="thin">
        <color rgb="FFA39382"/>
      </bottom>
      <diagonal/>
    </border>
    <border>
      <left style="medium">
        <color indexed="64"/>
      </left>
      <right style="thin">
        <color theme="1"/>
      </right>
      <top style="thin">
        <color rgb="FFB5A99B"/>
      </top>
      <bottom style="medium">
        <color indexed="64"/>
      </bottom>
      <diagonal/>
    </border>
    <border>
      <left style="thick">
        <color theme="1"/>
      </left>
      <right style="medium">
        <color indexed="64"/>
      </right>
      <top style="thin">
        <color rgb="FFA39382"/>
      </top>
      <bottom style="medium">
        <color indexed="64"/>
      </bottom>
      <diagonal/>
    </border>
    <border>
      <left style="thin">
        <color theme="1"/>
      </left>
      <right style="thin">
        <color rgb="FFA39382"/>
      </right>
      <top style="thin">
        <color rgb="FFA39382"/>
      </top>
      <bottom style="thick">
        <color indexed="64"/>
      </bottom>
      <diagonal/>
    </border>
    <border>
      <left/>
      <right style="thick">
        <color indexed="64"/>
      </right>
      <top style="thin">
        <color rgb="FFA39382"/>
      </top>
      <bottom style="thin">
        <color theme="6"/>
      </bottom>
      <diagonal/>
    </border>
    <border>
      <left/>
      <right style="thick">
        <color indexed="64"/>
      </right>
      <top style="thin">
        <color rgb="FFA39382"/>
      </top>
      <bottom style="thick">
        <color theme="1"/>
      </bottom>
      <diagonal/>
    </border>
    <border>
      <left style="thin">
        <color theme="1" tint="0.499984740745262"/>
      </left>
      <right style="thin">
        <color rgb="FFA39382"/>
      </right>
      <top style="thin">
        <color rgb="FFA39382"/>
      </top>
      <bottom style="thick">
        <color theme="1"/>
      </bottom>
      <diagonal/>
    </border>
    <border>
      <left style="thin">
        <color theme="1" tint="0.499984740745262"/>
      </left>
      <right style="thin">
        <color rgb="FFA39382"/>
      </right>
      <top style="thin">
        <color rgb="FFA39382"/>
      </top>
      <bottom/>
      <diagonal/>
    </border>
    <border>
      <left style="thin">
        <color theme="1" tint="0.499984740745262"/>
      </left>
      <right style="thin">
        <color rgb="FFA39382"/>
      </right>
      <top style="medium">
        <color theme="1"/>
      </top>
      <bottom style="medium">
        <color theme="1"/>
      </bottom>
      <diagonal/>
    </border>
    <border>
      <left style="thin">
        <color theme="1" tint="0.499984740745262"/>
      </left>
      <right style="thin">
        <color rgb="FFA39382"/>
      </right>
      <top style="medium">
        <color theme="1"/>
      </top>
      <bottom style="thin">
        <color rgb="FFA39382"/>
      </bottom>
      <diagonal/>
    </border>
    <border>
      <left style="thin">
        <color theme="1" tint="0.499984740745262"/>
      </left>
      <right style="thin">
        <color rgb="FFA39382"/>
      </right>
      <top style="thin">
        <color rgb="FFA39382"/>
      </top>
      <bottom style="thin">
        <color rgb="FFA39382"/>
      </bottom>
      <diagonal/>
    </border>
    <border>
      <left style="thin">
        <color rgb="FFA39382"/>
      </left>
      <right style="double">
        <color auto="1"/>
      </right>
      <top style="thin">
        <color rgb="FFA39382"/>
      </top>
      <bottom style="thin">
        <color rgb="FFA39382"/>
      </bottom>
      <diagonal/>
    </border>
    <border>
      <left style="thin">
        <color rgb="FFA39382"/>
      </left>
      <right style="double">
        <color auto="1"/>
      </right>
      <top style="thin">
        <color rgb="FFA39382"/>
      </top>
      <bottom/>
      <diagonal/>
    </border>
    <border>
      <left style="thick">
        <color theme="1"/>
      </left>
      <right style="thick">
        <color indexed="64"/>
      </right>
      <top style="thick">
        <color theme="1"/>
      </top>
      <bottom style="medium">
        <color theme="1"/>
      </bottom>
      <diagonal/>
    </border>
    <border>
      <left style="thick">
        <color theme="1"/>
      </left>
      <right style="thin">
        <color theme="1"/>
      </right>
      <top/>
      <bottom/>
      <diagonal/>
    </border>
    <border>
      <left/>
      <right style="thick">
        <color theme="1"/>
      </right>
      <top style="thick">
        <color theme="1"/>
      </top>
      <bottom style="medium">
        <color theme="1"/>
      </bottom>
      <diagonal/>
    </border>
    <border>
      <left/>
      <right style="medium">
        <color indexed="64"/>
      </right>
      <top/>
      <bottom style="thin">
        <color rgb="FFA39382"/>
      </bottom>
      <diagonal/>
    </border>
    <border>
      <left style="thin">
        <color theme="7" tint="-0.499984740745262"/>
      </left>
      <right/>
      <top style="thin">
        <color rgb="FFA39382"/>
      </top>
      <bottom style="thin">
        <color rgb="FFA39382"/>
      </bottom>
      <diagonal/>
    </border>
    <border>
      <left style="thin">
        <color theme="7" tint="-0.499984740745262"/>
      </left>
      <right style="thin">
        <color rgb="FFA39382"/>
      </right>
      <top style="thin">
        <color rgb="FFA39382"/>
      </top>
      <bottom style="thin">
        <color rgb="FFA39382"/>
      </bottom>
      <diagonal/>
    </border>
    <border>
      <left style="thin">
        <color theme="7" tint="-0.499984740745262"/>
      </left>
      <right style="thin">
        <color rgb="FFA39382"/>
      </right>
      <top style="thin">
        <color rgb="FFA39382"/>
      </top>
      <bottom style="medium">
        <color theme="1"/>
      </bottom>
      <diagonal/>
    </border>
    <border>
      <left/>
      <right style="medium">
        <color auto="1"/>
      </right>
      <top style="medium">
        <color theme="1"/>
      </top>
      <bottom style="thin">
        <color rgb="FFA39382"/>
      </bottom>
      <diagonal/>
    </border>
    <border>
      <left style="thick">
        <color theme="1"/>
      </left>
      <right style="thick">
        <color indexed="64"/>
      </right>
      <top style="thick">
        <color theme="1"/>
      </top>
      <bottom style="thin">
        <color indexed="64"/>
      </bottom>
      <diagonal/>
    </border>
    <border>
      <left style="thin">
        <color theme="1"/>
      </left>
      <right style="thick">
        <color indexed="64"/>
      </right>
      <top style="thin">
        <color theme="1"/>
      </top>
      <bottom/>
      <diagonal/>
    </border>
    <border>
      <left style="thin">
        <color rgb="FFA39382"/>
      </left>
      <right style="thick">
        <color indexed="64"/>
      </right>
      <top/>
      <bottom style="thin">
        <color rgb="FFA39382"/>
      </bottom>
      <diagonal/>
    </border>
    <border>
      <left style="thin">
        <color rgb="FFA39382"/>
      </left>
      <right style="thick">
        <color indexed="64"/>
      </right>
      <top style="thin">
        <color rgb="FFA39382"/>
      </top>
      <bottom/>
      <diagonal/>
    </border>
    <border>
      <left style="thin">
        <color rgb="FFA39382"/>
      </left>
      <right style="thick">
        <color indexed="64"/>
      </right>
      <top/>
      <bottom/>
      <diagonal/>
    </border>
    <border>
      <left style="thin">
        <color rgb="FFA39382"/>
      </left>
      <right style="thick">
        <color indexed="64"/>
      </right>
      <top style="thin">
        <color rgb="FFA39382"/>
      </top>
      <bottom style="medium">
        <color indexed="64"/>
      </bottom>
      <diagonal/>
    </border>
    <border>
      <left style="thin">
        <color rgb="FFA39382"/>
      </left>
      <right style="thick">
        <color indexed="64"/>
      </right>
      <top style="thin">
        <color rgb="FFA39382"/>
      </top>
      <bottom style="thick">
        <color theme="1"/>
      </bottom>
      <diagonal/>
    </border>
    <border>
      <left style="thick">
        <color theme="1"/>
      </left>
      <right style="thin">
        <color indexed="64"/>
      </right>
      <top style="thin">
        <color rgb="FFB5A99B"/>
      </top>
      <bottom style="thin">
        <color rgb="FFB5A99B"/>
      </bottom>
      <diagonal/>
    </border>
    <border>
      <left style="thick">
        <color theme="1"/>
      </left>
      <right style="thin">
        <color theme="1"/>
      </right>
      <top style="thin">
        <color rgb="FFB5A99B"/>
      </top>
      <bottom style="medium">
        <color indexed="64"/>
      </bottom>
      <diagonal/>
    </border>
    <border>
      <left style="thin">
        <color theme="1"/>
      </left>
      <right/>
      <top style="thin">
        <color rgb="FFA39382"/>
      </top>
      <bottom style="medium">
        <color indexed="64"/>
      </bottom>
      <diagonal/>
    </border>
  </borders>
  <cellStyleXfs count="9">
    <xf numFmtId="0" fontId="0" fillId="0" borderId="0">
      <alignment vertical="center"/>
    </xf>
    <xf numFmtId="41" fontId="1" fillId="0" borderId="0" applyFont="0" applyFill="0" applyBorder="0" applyAlignment="0" applyProtection="0">
      <alignment vertical="center"/>
    </xf>
    <xf numFmtId="0" fontId="17" fillId="0" borderId="0"/>
    <xf numFmtId="0" fontId="1" fillId="0" borderId="0">
      <alignment vertical="center"/>
    </xf>
    <xf numFmtId="176" fontId="54" fillId="0" borderId="0" applyFont="0" applyFill="0" applyBorder="0" applyAlignment="0" applyProtection="0"/>
    <xf numFmtId="9" fontId="1" fillId="0" borderId="0" applyFont="0" applyFill="0" applyBorder="0" applyAlignment="0" applyProtection="0"/>
    <xf numFmtId="189" fontId="1" fillId="0" borderId="0" applyFont="0" applyFill="0" applyBorder="0" applyAlignment="0" applyProtection="0">
      <alignment vertical="center"/>
    </xf>
    <xf numFmtId="43" fontId="1" fillId="0" borderId="0" applyFont="0" applyFill="0" applyBorder="0" applyAlignment="0" applyProtection="0"/>
    <xf numFmtId="9" fontId="1" fillId="0" borderId="0" applyFont="0" applyFill="0" applyBorder="0" applyAlignment="0" applyProtection="0">
      <alignment vertical="center"/>
    </xf>
  </cellStyleXfs>
  <cellXfs count="10246">
    <xf numFmtId="0" fontId="0" fillId="0" borderId="0" xfId="0">
      <alignment vertical="center"/>
    </xf>
    <xf numFmtId="0" fontId="2" fillId="0" borderId="0" xfId="0" applyFont="1" applyAlignment="1">
      <alignment horizontal="center" vertical="center" wrapText="1"/>
    </xf>
    <xf numFmtId="0" fontId="2" fillId="2"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0" xfId="0" applyFont="1" applyFill="1" applyAlignment="1">
      <alignment vertical="top"/>
    </xf>
    <xf numFmtId="0" fontId="4" fillId="2" borderId="0" xfId="0" applyFont="1" applyFill="1" applyAlignment="1">
      <alignment vertical="top" wrapText="1"/>
    </xf>
    <xf numFmtId="3" fontId="4" fillId="2" borderId="0" xfId="0" applyNumberFormat="1" applyFont="1" applyFill="1" applyAlignment="1">
      <alignment vertical="center" wrapText="1"/>
    </xf>
    <xf numFmtId="0" fontId="4" fillId="2" borderId="0" xfId="0" applyFont="1" applyFill="1" applyAlignment="1">
      <alignment vertical="center" wrapText="1"/>
    </xf>
    <xf numFmtId="0" fontId="4" fillId="2" borderId="0" xfId="0" applyFont="1" applyFill="1" applyAlignment="1">
      <alignment horizontal="left" vertical="center" wrapText="1"/>
    </xf>
    <xf numFmtId="0" fontId="2" fillId="2" borderId="0" xfId="0" applyFont="1" applyFill="1">
      <alignment vertical="center"/>
    </xf>
    <xf numFmtId="0" fontId="5" fillId="3" borderId="0" xfId="0" applyFont="1" applyFill="1" applyAlignment="1">
      <alignment horizontal="center" vertical="center"/>
    </xf>
    <xf numFmtId="0" fontId="5" fillId="0" borderId="0" xfId="0" applyFont="1">
      <alignment vertical="center"/>
    </xf>
    <xf numFmtId="0" fontId="6" fillId="0" borderId="0" xfId="0" applyFont="1" applyAlignment="1">
      <alignment horizontal="center" vertical="center" wrapText="1"/>
    </xf>
    <xf numFmtId="0" fontId="7" fillId="2" borderId="0" xfId="0" applyFont="1" applyFill="1" applyAlignment="1">
      <alignment horizontal="left" vertical="center"/>
    </xf>
    <xf numFmtId="0" fontId="4" fillId="2" borderId="0" xfId="0" applyFont="1" applyFill="1" applyAlignment="1">
      <alignment horizontal="left" vertical="center"/>
    </xf>
    <xf numFmtId="0" fontId="8" fillId="2" borderId="0" xfId="0" applyFont="1" applyFill="1" applyAlignment="1">
      <alignment horizontal="center" vertical="center" wrapText="1"/>
    </xf>
    <xf numFmtId="0" fontId="8" fillId="2" borderId="0" xfId="0" applyFont="1" applyFill="1" applyAlignment="1">
      <alignment vertical="center" wrapText="1"/>
    </xf>
    <xf numFmtId="0" fontId="8" fillId="2" borderId="0" xfId="0" applyFont="1" applyFill="1">
      <alignment vertical="center"/>
    </xf>
    <xf numFmtId="0" fontId="9" fillId="3" borderId="0" xfId="0" applyFont="1" applyFill="1" applyAlignment="1">
      <alignment horizontal="center" vertical="center"/>
    </xf>
    <xf numFmtId="0" fontId="9" fillId="0" borderId="0" xfId="0" applyFont="1">
      <alignment vertical="center"/>
    </xf>
    <xf numFmtId="0" fontId="5" fillId="2" borderId="0" xfId="0" applyFont="1" applyFill="1">
      <alignment vertical="center"/>
    </xf>
    <xf numFmtId="0" fontId="5" fillId="0" borderId="0" xfId="0" applyFont="1" applyAlignment="1">
      <alignment horizontal="center" vertical="center"/>
    </xf>
    <xf numFmtId="0" fontId="5" fillId="0" borderId="0" xfId="0" applyFont="1" applyAlignment="1">
      <alignment vertical="top"/>
    </xf>
    <xf numFmtId="3" fontId="5" fillId="0" borderId="0" xfId="0" applyNumberFormat="1" applyFont="1">
      <alignment vertical="center"/>
    </xf>
    <xf numFmtId="0" fontId="5" fillId="0" borderId="0" xfId="0" applyFont="1" applyAlignment="1">
      <alignment horizontal="left" vertical="center"/>
    </xf>
    <xf numFmtId="0" fontId="5" fillId="0" borderId="1" xfId="0" quotePrefix="1" applyFont="1" applyBorder="1">
      <alignment vertical="center"/>
    </xf>
    <xf numFmtId="0" fontId="5" fillId="0" borderId="2" xfId="0" quotePrefix="1" applyFont="1" applyBorder="1">
      <alignment vertical="center"/>
    </xf>
    <xf numFmtId="0" fontId="5" fillId="0" borderId="0" xfId="0" quotePrefix="1" applyFont="1">
      <alignment vertical="center"/>
    </xf>
    <xf numFmtId="0" fontId="5" fillId="0" borderId="0" xfId="0" applyFont="1" applyAlignment="1">
      <alignment vertical="center" wrapText="1"/>
    </xf>
    <xf numFmtId="3" fontId="11" fillId="3" borderId="0" xfId="0" applyNumberFormat="1" applyFont="1" applyFill="1">
      <alignment vertical="center"/>
    </xf>
    <xf numFmtId="0" fontId="11" fillId="3" borderId="0" xfId="0" applyFont="1" applyFill="1">
      <alignment vertical="center"/>
    </xf>
    <xf numFmtId="0" fontId="11" fillId="3" borderId="0" xfId="0" applyFont="1" applyFill="1" applyAlignment="1">
      <alignment vertical="top" wrapText="1"/>
    </xf>
    <xf numFmtId="0" fontId="12" fillId="3" borderId="0" xfId="0" applyFont="1" applyFill="1">
      <alignment vertical="center"/>
    </xf>
    <xf numFmtId="0" fontId="11" fillId="3" borderId="0" xfId="0" applyFont="1" applyFill="1" applyAlignment="1">
      <alignment horizontal="left" vertical="center"/>
    </xf>
    <xf numFmtId="0" fontId="5" fillId="0" borderId="3" xfId="0" quotePrefix="1" applyFont="1" applyBorder="1">
      <alignment vertical="center"/>
    </xf>
    <xf numFmtId="3" fontId="5" fillId="3" borderId="0" xfId="0" applyNumberFormat="1" applyFont="1" applyFill="1">
      <alignment vertical="center"/>
    </xf>
    <xf numFmtId="0" fontId="11" fillId="3" borderId="0" xfId="0" applyFont="1" applyFill="1" applyAlignment="1">
      <alignment horizontal="center" vertical="center"/>
    </xf>
    <xf numFmtId="3" fontId="5" fillId="0" borderId="0" xfId="0" applyNumberFormat="1" applyFont="1" applyAlignment="1">
      <alignment horizontal="left" vertical="center"/>
    </xf>
    <xf numFmtId="3" fontId="11" fillId="4" borderId="0" xfId="0" applyNumberFormat="1" applyFont="1" applyFill="1">
      <alignment vertical="center"/>
    </xf>
    <xf numFmtId="0" fontId="5" fillId="0" borderId="4" xfId="0" applyFont="1" applyBorder="1">
      <alignment vertical="center"/>
    </xf>
    <xf numFmtId="0" fontId="5" fillId="0" borderId="4" xfId="0" quotePrefix="1" applyFont="1" applyBorder="1">
      <alignment vertical="center"/>
    </xf>
    <xf numFmtId="0" fontId="5" fillId="0" borderId="5" xfId="0" quotePrefix="1" applyFont="1" applyBorder="1">
      <alignment vertical="center"/>
    </xf>
    <xf numFmtId="3" fontId="11" fillId="5" borderId="0" xfId="0" applyNumberFormat="1" applyFont="1" applyFill="1">
      <alignment vertical="center"/>
    </xf>
    <xf numFmtId="0" fontId="5" fillId="0" borderId="0" xfId="0" applyFont="1" applyAlignment="1">
      <alignment horizontal="left" vertical="center" wrapText="1"/>
    </xf>
    <xf numFmtId="0" fontId="5" fillId="0" borderId="0" xfId="0" applyFont="1" applyAlignment="1">
      <alignment horizontal="center" vertical="center" wrapText="1"/>
    </xf>
    <xf numFmtId="0" fontId="5" fillId="0" borderId="0" xfId="0" applyFont="1" applyAlignment="1">
      <alignment horizontal="left" vertical="top"/>
    </xf>
    <xf numFmtId="0" fontId="5" fillId="0" borderId="0" xfId="0" applyFont="1" applyAlignment="1">
      <alignment horizontal="left" vertical="top" wrapText="1"/>
    </xf>
    <xf numFmtId="3" fontId="5" fillId="0" borderId="0" xfId="0" applyNumberFormat="1" applyFont="1" applyAlignment="1">
      <alignment vertical="center" wrapText="1"/>
    </xf>
    <xf numFmtId="0" fontId="15" fillId="0" borderId="0" xfId="0" applyFont="1" applyAlignment="1">
      <alignment horizontal="center" vertical="center"/>
    </xf>
    <xf numFmtId="0" fontId="15" fillId="0" borderId="0" xfId="0" applyFont="1" applyAlignment="1">
      <alignment horizontal="left" vertical="center"/>
    </xf>
    <xf numFmtId="0" fontId="13" fillId="0" borderId="0" xfId="0" applyFont="1">
      <alignment vertical="center"/>
    </xf>
    <xf numFmtId="0" fontId="4" fillId="7" borderId="9" xfId="0" applyFont="1" applyFill="1" applyBorder="1">
      <alignment vertical="center"/>
    </xf>
    <xf numFmtId="0" fontId="4" fillId="7" borderId="14" xfId="0" applyFont="1" applyFill="1" applyBorder="1" applyAlignment="1">
      <alignment vertical="center" wrapText="1"/>
    </xf>
    <xf numFmtId="0" fontId="16" fillId="8" borderId="14" xfId="0" applyFont="1" applyFill="1" applyBorder="1" applyAlignment="1">
      <alignment vertical="center" wrapText="1"/>
    </xf>
    <xf numFmtId="0" fontId="13" fillId="0" borderId="0" xfId="0" applyFont="1" applyAlignment="1">
      <alignment horizontal="left" vertical="center"/>
    </xf>
    <xf numFmtId="0" fontId="4" fillId="6" borderId="18" xfId="0" applyFont="1" applyFill="1" applyBorder="1" applyAlignment="1">
      <alignment horizontal="center" vertical="center"/>
    </xf>
    <xf numFmtId="0" fontId="4" fillId="7" borderId="19" xfId="0" applyFont="1" applyFill="1" applyBorder="1" applyAlignment="1">
      <alignment horizontal="center" vertical="center"/>
    </xf>
    <xf numFmtId="0" fontId="4" fillId="7" borderId="20" xfId="0" applyFont="1" applyFill="1" applyBorder="1" applyAlignment="1">
      <alignment horizontal="center" vertical="center" wrapText="1"/>
    </xf>
    <xf numFmtId="0" fontId="15" fillId="7" borderId="20" xfId="0" applyFont="1" applyFill="1" applyBorder="1" applyAlignment="1">
      <alignment horizontal="center" vertical="center" wrapText="1"/>
    </xf>
    <xf numFmtId="0" fontId="16" fillId="7" borderId="20" xfId="0" applyFont="1" applyFill="1" applyBorder="1" applyAlignment="1">
      <alignment horizontal="center" vertical="center" wrapText="1"/>
    </xf>
    <xf numFmtId="0" fontId="4" fillId="7" borderId="22" xfId="0" applyFont="1" applyFill="1" applyBorder="1" applyAlignment="1">
      <alignment horizontal="center" vertical="center" wrapText="1"/>
    </xf>
    <xf numFmtId="0" fontId="16" fillId="8" borderId="22" xfId="0" applyFont="1" applyFill="1" applyBorder="1" applyAlignment="1">
      <alignment horizontal="center" vertical="center" wrapText="1"/>
    </xf>
    <xf numFmtId="0" fontId="10" fillId="10" borderId="24" xfId="2" applyFont="1" applyFill="1" applyBorder="1" applyAlignment="1">
      <alignment horizontal="center" vertical="center" wrapText="1"/>
    </xf>
    <xf numFmtId="0" fontId="10" fillId="10" borderId="25" xfId="2" applyFont="1" applyFill="1" applyBorder="1" applyAlignment="1">
      <alignment horizontal="center" vertical="center" wrapText="1"/>
    </xf>
    <xf numFmtId="0" fontId="10" fillId="10" borderId="26" xfId="2" applyFont="1" applyFill="1" applyBorder="1" applyAlignment="1">
      <alignment horizontal="center" vertical="center" wrapText="1"/>
    </xf>
    <xf numFmtId="0" fontId="19" fillId="11" borderId="27" xfId="0" applyFont="1" applyFill="1" applyBorder="1" applyAlignment="1">
      <alignment horizontal="left" vertical="center"/>
    </xf>
    <xf numFmtId="0" fontId="15" fillId="11" borderId="0" xfId="0" applyFont="1" applyFill="1" applyAlignment="1">
      <alignment horizontal="left" vertical="center"/>
    </xf>
    <xf numFmtId="0" fontId="15" fillId="12" borderId="0" xfId="0" applyFont="1" applyFill="1" applyAlignment="1">
      <alignment horizontal="center" vertical="center"/>
    </xf>
    <xf numFmtId="0" fontId="19" fillId="11" borderId="0" xfId="0" applyFont="1" applyFill="1" applyAlignment="1">
      <alignment horizontal="left" vertical="center"/>
    </xf>
    <xf numFmtId="0" fontId="15" fillId="11" borderId="0" xfId="0" applyFont="1" applyFill="1" applyAlignment="1">
      <alignment horizontal="left" vertical="top"/>
    </xf>
    <xf numFmtId="3" fontId="15" fillId="12" borderId="0" xfId="0" applyNumberFormat="1" applyFont="1" applyFill="1" applyAlignment="1">
      <alignment horizontal="center" vertical="center"/>
    </xf>
    <xf numFmtId="0" fontId="10" fillId="12" borderId="0" xfId="0" applyFont="1" applyFill="1" applyAlignment="1">
      <alignment horizontal="center" vertical="center" wrapText="1"/>
    </xf>
    <xf numFmtId="0" fontId="15" fillId="12" borderId="28" xfId="0" applyFont="1" applyFill="1" applyBorder="1" applyAlignment="1">
      <alignment horizontal="left" vertical="center" wrapText="1"/>
    </xf>
    <xf numFmtId="0" fontId="10" fillId="12" borderId="28" xfId="0" applyFont="1" applyFill="1" applyBorder="1" applyAlignment="1">
      <alignment horizontal="center" vertical="center"/>
    </xf>
    <xf numFmtId="0" fontId="10" fillId="13" borderId="28" xfId="2" applyFont="1" applyFill="1" applyBorder="1" applyAlignment="1">
      <alignment horizontal="center" vertical="center" wrapText="1"/>
    </xf>
    <xf numFmtId="0" fontId="10" fillId="13" borderId="29" xfId="2" applyFont="1" applyFill="1" applyBorder="1" applyAlignment="1">
      <alignment horizontal="center" vertical="center" wrapText="1"/>
    </xf>
    <xf numFmtId="0" fontId="19" fillId="14" borderId="30" xfId="0" applyFont="1" applyFill="1" applyBorder="1" applyAlignment="1">
      <alignment horizontal="left" vertical="center"/>
    </xf>
    <xf numFmtId="0" fontId="15" fillId="14" borderId="28" xfId="0" applyFont="1" applyFill="1" applyBorder="1" applyAlignment="1">
      <alignment horizontal="left" vertical="center"/>
    </xf>
    <xf numFmtId="0" fontId="15" fillId="14" borderId="28" xfId="0" applyFont="1" applyFill="1" applyBorder="1" applyAlignment="1">
      <alignment horizontal="center" vertical="center"/>
    </xf>
    <xf numFmtId="0" fontId="19" fillId="14" borderId="28" xfId="0" applyFont="1" applyFill="1" applyBorder="1" applyAlignment="1">
      <alignment horizontal="left" vertical="top"/>
    </xf>
    <xf numFmtId="0" fontId="15" fillId="14" borderId="28" xfId="0" applyFont="1" applyFill="1" applyBorder="1" applyAlignment="1">
      <alignment horizontal="left" vertical="top"/>
    </xf>
    <xf numFmtId="3" fontId="15" fillId="14" borderId="28" xfId="0" applyNumberFormat="1" applyFont="1" applyFill="1" applyBorder="1" applyAlignment="1">
      <alignment horizontal="left" vertical="center"/>
    </xf>
    <xf numFmtId="0" fontId="19" fillId="14" borderId="28" xfId="0" applyFont="1" applyFill="1" applyBorder="1" applyAlignment="1">
      <alignment horizontal="left" vertical="center"/>
    </xf>
    <xf numFmtId="0" fontId="19" fillId="14" borderId="29" xfId="0" applyFont="1" applyFill="1" applyBorder="1" applyAlignment="1">
      <alignment horizontal="left" vertical="center"/>
    </xf>
    <xf numFmtId="0" fontId="5" fillId="3" borderId="31" xfId="0" applyFont="1" applyFill="1" applyBorder="1" applyAlignment="1">
      <alignment vertical="top"/>
    </xf>
    <xf numFmtId="177" fontId="5" fillId="15" borderId="32" xfId="0" quotePrefix="1" applyNumberFormat="1" applyFont="1" applyFill="1" applyBorder="1">
      <alignment vertical="center"/>
    </xf>
    <xf numFmtId="177" fontId="5" fillId="15" borderId="33" xfId="0" quotePrefix="1" applyNumberFormat="1" applyFont="1" applyFill="1" applyBorder="1">
      <alignment vertical="center"/>
    </xf>
    <xf numFmtId="177" fontId="5" fillId="15" borderId="34" xfId="0" quotePrefix="1" applyNumberFormat="1" applyFont="1" applyFill="1" applyBorder="1" applyAlignment="1">
      <alignment horizontal="center" vertical="center"/>
    </xf>
    <xf numFmtId="0" fontId="5" fillId="0" borderId="35" xfId="0" applyFont="1" applyBorder="1" applyAlignment="1">
      <alignment vertical="top"/>
    </xf>
    <xf numFmtId="177" fontId="5" fillId="15" borderId="33" xfId="0" quotePrefix="1" applyNumberFormat="1" applyFont="1" applyFill="1" applyBorder="1" applyAlignment="1">
      <alignment vertical="top" wrapText="1"/>
    </xf>
    <xf numFmtId="177" fontId="5" fillId="15" borderId="36" xfId="0" quotePrefix="1" applyNumberFormat="1" applyFont="1" applyFill="1" applyBorder="1" applyAlignment="1">
      <alignment vertical="top" wrapText="1"/>
    </xf>
    <xf numFmtId="177" fontId="5" fillId="15" borderId="37" xfId="0" quotePrefix="1" applyNumberFormat="1" applyFont="1" applyFill="1" applyBorder="1" applyAlignment="1">
      <alignment horizontal="center" vertical="center"/>
    </xf>
    <xf numFmtId="3" fontId="5" fillId="3" borderId="38" xfId="0" applyNumberFormat="1" applyFont="1" applyFill="1" applyBorder="1" applyAlignment="1">
      <alignment vertical="center" wrapText="1"/>
    </xf>
    <xf numFmtId="178" fontId="5" fillId="3" borderId="38" xfId="0" applyNumberFormat="1" applyFont="1" applyFill="1" applyBorder="1" applyAlignment="1">
      <alignment horizontal="right" vertical="center" wrapText="1"/>
    </xf>
    <xf numFmtId="178" fontId="5" fillId="4" borderId="38" xfId="0" applyNumberFormat="1" applyFont="1" applyFill="1" applyBorder="1" applyAlignment="1">
      <alignment horizontal="right" vertical="center" wrapText="1"/>
    </xf>
    <xf numFmtId="3" fontId="5" fillId="0" borderId="38" xfId="0" applyNumberFormat="1" applyFont="1" applyBorder="1" applyAlignment="1">
      <alignment vertical="center" wrapText="1"/>
    </xf>
    <xf numFmtId="178" fontId="5" fillId="16" borderId="38" xfId="0" applyNumberFormat="1" applyFont="1" applyFill="1" applyBorder="1" applyAlignment="1">
      <alignment horizontal="right" vertical="center" wrapText="1"/>
    </xf>
    <xf numFmtId="178" fontId="13" fillId="16" borderId="38" xfId="0" applyNumberFormat="1" applyFont="1" applyFill="1" applyBorder="1" applyAlignment="1">
      <alignment horizontal="right" vertical="center" wrapText="1"/>
    </xf>
    <xf numFmtId="3" fontId="5" fillId="3" borderId="38" xfId="0" applyNumberFormat="1" applyFont="1" applyFill="1" applyBorder="1" applyAlignment="1">
      <alignment vertical="top"/>
    </xf>
    <xf numFmtId="3" fontId="5" fillId="3" borderId="38" xfId="0" applyNumberFormat="1" applyFont="1" applyFill="1" applyBorder="1" applyAlignment="1">
      <alignment horizontal="center" vertical="center"/>
    </xf>
    <xf numFmtId="3" fontId="13" fillId="4" borderId="38" xfId="0" applyNumberFormat="1" applyFont="1" applyFill="1" applyBorder="1" applyAlignment="1">
      <alignment vertical="center" wrapText="1"/>
    </xf>
    <xf numFmtId="0" fontId="5" fillId="17" borderId="39" xfId="0" applyFont="1" applyFill="1" applyBorder="1" applyAlignment="1">
      <alignment vertical="top"/>
    </xf>
    <xf numFmtId="0" fontId="5" fillId="17" borderId="40" xfId="0" applyFont="1" applyFill="1" applyBorder="1" applyAlignment="1">
      <alignment vertical="top" wrapText="1"/>
    </xf>
    <xf numFmtId="177" fontId="5" fillId="15" borderId="41" xfId="0" quotePrefix="1" applyNumberFormat="1" applyFont="1" applyFill="1" applyBorder="1">
      <alignment vertical="center"/>
    </xf>
    <xf numFmtId="177" fontId="5" fillId="15" borderId="42" xfId="0" quotePrefix="1" applyNumberFormat="1" applyFont="1" applyFill="1" applyBorder="1">
      <alignment vertical="center"/>
    </xf>
    <xf numFmtId="0" fontId="5" fillId="3" borderId="43" xfId="0" applyFont="1" applyFill="1" applyBorder="1" applyAlignment="1">
      <alignment horizontal="center" vertical="center"/>
    </xf>
    <xf numFmtId="0" fontId="5" fillId="0" borderId="44" xfId="0" applyFont="1" applyBorder="1" applyAlignment="1">
      <alignment vertical="top"/>
    </xf>
    <xf numFmtId="177" fontId="5" fillId="15" borderId="42" xfId="0" quotePrefix="1" applyNumberFormat="1" applyFont="1" applyFill="1" applyBorder="1" applyAlignment="1">
      <alignment vertical="top" wrapText="1"/>
    </xf>
    <xf numFmtId="177" fontId="5" fillId="15" borderId="45" xfId="0" quotePrefix="1" applyNumberFormat="1" applyFont="1" applyFill="1" applyBorder="1" applyAlignment="1">
      <alignment vertical="top" wrapText="1"/>
    </xf>
    <xf numFmtId="0" fontId="5" fillId="3" borderId="38" xfId="0" applyFont="1" applyFill="1" applyBorder="1" applyAlignment="1">
      <alignment horizontal="center" vertical="center"/>
    </xf>
    <xf numFmtId="0" fontId="5" fillId="17" borderId="46" xfId="0" applyFont="1" applyFill="1" applyBorder="1" applyAlignment="1">
      <alignment vertical="top"/>
    </xf>
    <xf numFmtId="0" fontId="5" fillId="17" borderId="46" xfId="0" applyFont="1" applyFill="1" applyBorder="1" applyAlignment="1">
      <alignment horizontal="center" vertical="top"/>
    </xf>
    <xf numFmtId="0" fontId="5" fillId="17" borderId="47" xfId="0" applyFont="1" applyFill="1" applyBorder="1" applyAlignment="1">
      <alignment vertical="top" wrapText="1"/>
    </xf>
    <xf numFmtId="0" fontId="5" fillId="3" borderId="31" xfId="0" quotePrefix="1" applyFont="1" applyFill="1" applyBorder="1">
      <alignment vertical="center"/>
    </xf>
    <xf numFmtId="0" fontId="5" fillId="17" borderId="46" xfId="0" quotePrefix="1" applyFont="1" applyFill="1" applyBorder="1" applyAlignment="1">
      <alignment horizontal="center" vertical="top"/>
    </xf>
    <xf numFmtId="177" fontId="5" fillId="15" borderId="48" xfId="0" quotePrefix="1" applyNumberFormat="1" applyFont="1" applyFill="1" applyBorder="1" applyAlignment="1">
      <alignment vertical="top" wrapText="1"/>
    </xf>
    <xf numFmtId="177" fontId="5" fillId="15" borderId="49" xfId="0" quotePrefix="1" applyNumberFormat="1" applyFont="1" applyFill="1" applyBorder="1" applyAlignment="1">
      <alignment vertical="top" wrapText="1"/>
    </xf>
    <xf numFmtId="177" fontId="5" fillId="15" borderId="50" xfId="0" quotePrefix="1" applyNumberFormat="1" applyFont="1" applyFill="1" applyBorder="1">
      <alignment vertical="center"/>
    </xf>
    <xf numFmtId="177" fontId="5" fillId="15" borderId="51" xfId="0" quotePrefix="1" applyNumberFormat="1" applyFont="1" applyFill="1" applyBorder="1">
      <alignment vertical="center"/>
    </xf>
    <xf numFmtId="0" fontId="5" fillId="3" borderId="52" xfId="0" applyFont="1" applyFill="1" applyBorder="1" applyAlignment="1">
      <alignment horizontal="center" vertical="center"/>
    </xf>
    <xf numFmtId="177" fontId="5" fillId="15" borderId="51" xfId="0" quotePrefix="1" applyNumberFormat="1" applyFont="1" applyFill="1" applyBorder="1" applyAlignment="1">
      <alignment vertical="top" wrapText="1"/>
    </xf>
    <xf numFmtId="177" fontId="5" fillId="15" borderId="53" xfId="0" quotePrefix="1" applyNumberFormat="1" applyFont="1" applyFill="1" applyBorder="1" applyAlignment="1">
      <alignment vertical="top" wrapText="1"/>
    </xf>
    <xf numFmtId="0" fontId="5" fillId="3" borderId="54" xfId="0" applyFont="1" applyFill="1" applyBorder="1" applyAlignment="1">
      <alignment horizontal="center" vertical="center"/>
    </xf>
    <xf numFmtId="0" fontId="19" fillId="14" borderId="30" xfId="0" applyFont="1" applyFill="1" applyBorder="1">
      <alignment vertical="center"/>
    </xf>
    <xf numFmtId="0" fontId="15" fillId="14" borderId="28" xfId="0" applyFont="1" applyFill="1" applyBorder="1">
      <alignment vertical="center"/>
    </xf>
    <xf numFmtId="0" fontId="19" fillId="14" borderId="55" xfId="0" applyFont="1" applyFill="1" applyBorder="1" applyAlignment="1">
      <alignment vertical="top"/>
    </xf>
    <xf numFmtId="0" fontId="15" fillId="14" borderId="28" xfId="0" applyFont="1" applyFill="1" applyBorder="1" applyAlignment="1">
      <alignment vertical="top"/>
    </xf>
    <xf numFmtId="178" fontId="15" fillId="14" borderId="28" xfId="0" applyNumberFormat="1" applyFont="1" applyFill="1" applyBorder="1" applyAlignment="1">
      <alignment horizontal="right" vertical="center" wrapText="1"/>
    </xf>
    <xf numFmtId="178" fontId="19" fillId="14" borderId="28" xfId="0" applyNumberFormat="1" applyFont="1" applyFill="1" applyBorder="1" applyAlignment="1">
      <alignment horizontal="right" vertical="center" wrapText="1"/>
    </xf>
    <xf numFmtId="0" fontId="19" fillId="14" borderId="28" xfId="0" applyFont="1" applyFill="1" applyBorder="1">
      <alignment vertical="center"/>
    </xf>
    <xf numFmtId="0" fontId="9" fillId="14" borderId="28" xfId="0" applyFont="1" applyFill="1" applyBorder="1" applyAlignment="1">
      <alignment vertical="top"/>
    </xf>
    <xf numFmtId="0" fontId="9" fillId="14" borderId="29" xfId="0" applyFont="1" applyFill="1" applyBorder="1" applyAlignment="1">
      <alignment vertical="top" wrapText="1"/>
    </xf>
    <xf numFmtId="177" fontId="5" fillId="15" borderId="43" xfId="0" quotePrefix="1" applyNumberFormat="1" applyFont="1" applyFill="1" applyBorder="1" applyAlignment="1">
      <alignment horizontal="center" vertical="center"/>
    </xf>
    <xf numFmtId="0" fontId="9" fillId="3" borderId="44" xfId="0" applyFont="1" applyFill="1" applyBorder="1">
      <alignment vertical="center"/>
    </xf>
    <xf numFmtId="177" fontId="5" fillId="15" borderId="33" xfId="0" quotePrefix="1" applyNumberFormat="1" applyFont="1" applyFill="1" applyBorder="1" applyAlignment="1">
      <alignment vertical="top"/>
    </xf>
    <xf numFmtId="177" fontId="5" fillId="15" borderId="36" xfId="0" quotePrefix="1" applyNumberFormat="1" applyFont="1" applyFill="1" applyBorder="1" applyAlignment="1">
      <alignment vertical="top"/>
    </xf>
    <xf numFmtId="177" fontId="5" fillId="15" borderId="38" xfId="0" quotePrefix="1" applyNumberFormat="1" applyFont="1" applyFill="1" applyBorder="1" applyAlignment="1">
      <alignment horizontal="center" vertical="center"/>
    </xf>
    <xf numFmtId="178" fontId="5" fillId="18" borderId="38" xfId="0" quotePrefix="1" applyNumberFormat="1" applyFont="1" applyFill="1" applyBorder="1" applyAlignment="1">
      <alignment horizontal="right" vertical="center" wrapText="1"/>
    </xf>
    <xf numFmtId="3" fontId="5" fillId="4" borderId="38" xfId="0" applyNumberFormat="1" applyFont="1" applyFill="1" applyBorder="1">
      <alignment vertical="center"/>
    </xf>
    <xf numFmtId="0" fontId="5" fillId="3" borderId="0" xfId="0" applyFont="1" applyFill="1">
      <alignment vertical="center"/>
    </xf>
    <xf numFmtId="177" fontId="5" fillId="0" borderId="42" xfId="0" quotePrefix="1" applyNumberFormat="1" applyFont="1" applyBorder="1" applyAlignment="1">
      <alignment vertical="top"/>
    </xf>
    <xf numFmtId="177" fontId="5" fillId="0" borderId="45" xfId="0" quotePrefix="1" applyNumberFormat="1" applyFont="1" applyBorder="1" applyAlignment="1">
      <alignment vertical="top"/>
    </xf>
    <xf numFmtId="0" fontId="9" fillId="0" borderId="44" xfId="0" applyFont="1" applyBorder="1" applyAlignment="1">
      <alignment vertical="top"/>
    </xf>
    <xf numFmtId="177" fontId="5" fillId="15" borderId="42" xfId="0" quotePrefix="1" applyNumberFormat="1" applyFont="1" applyFill="1" applyBorder="1" applyAlignment="1">
      <alignment vertical="top"/>
    </xf>
    <xf numFmtId="177" fontId="5" fillId="15" borderId="45" xfId="0" quotePrefix="1" applyNumberFormat="1" applyFont="1" applyFill="1" applyBorder="1" applyAlignment="1">
      <alignment vertical="top"/>
    </xf>
    <xf numFmtId="177" fontId="5" fillId="15" borderId="51" xfId="0" quotePrefix="1" applyNumberFormat="1" applyFont="1" applyFill="1" applyBorder="1" applyAlignment="1">
      <alignment vertical="top"/>
    </xf>
    <xf numFmtId="177" fontId="5" fillId="15" borderId="53" xfId="0" quotePrefix="1" applyNumberFormat="1" applyFont="1" applyFill="1" applyBorder="1" applyAlignment="1">
      <alignment vertical="top"/>
    </xf>
    <xf numFmtId="3" fontId="15" fillId="14" borderId="28" xfId="0" applyNumberFormat="1" applyFont="1" applyFill="1" applyBorder="1" applyAlignment="1">
      <alignment horizontal="left" vertical="center" wrapText="1"/>
    </xf>
    <xf numFmtId="0" fontId="19" fillId="14" borderId="28" xfId="0" applyFont="1" applyFill="1" applyBorder="1" applyAlignment="1">
      <alignment vertical="center" wrapText="1"/>
    </xf>
    <xf numFmtId="3" fontId="5" fillId="16" borderId="38" xfId="0" quotePrefix="1" applyNumberFormat="1" applyFont="1" applyFill="1" applyBorder="1" applyAlignment="1">
      <alignment horizontal="left" vertical="center" wrapText="1"/>
    </xf>
    <xf numFmtId="3" fontId="5" fillId="16" borderId="38" xfId="0" applyNumberFormat="1" applyFont="1" applyFill="1" applyBorder="1" applyAlignment="1">
      <alignment horizontal="left" vertical="center" wrapText="1"/>
    </xf>
    <xf numFmtId="3" fontId="5" fillId="3" borderId="38" xfId="0" applyNumberFormat="1" applyFont="1" applyFill="1" applyBorder="1" applyAlignment="1">
      <alignment vertical="top" wrapText="1"/>
    </xf>
    <xf numFmtId="178" fontId="5" fillId="3" borderId="38" xfId="0" applyNumberFormat="1" applyFont="1" applyFill="1" applyBorder="1" applyAlignment="1">
      <alignment horizontal="right" vertical="top" wrapText="1"/>
    </xf>
    <xf numFmtId="178" fontId="13" fillId="4" borderId="38" xfId="0" applyNumberFormat="1" applyFont="1" applyFill="1" applyBorder="1" applyAlignment="1">
      <alignment horizontal="right" vertical="center" wrapText="1"/>
    </xf>
    <xf numFmtId="0" fontId="5" fillId="17" borderId="46" xfId="0" applyFont="1" applyFill="1" applyBorder="1" applyAlignment="1">
      <alignment horizontal="center" vertical="center"/>
    </xf>
    <xf numFmtId="0" fontId="15" fillId="14" borderId="55" xfId="0" applyFont="1" applyFill="1" applyBorder="1" applyAlignment="1">
      <alignment vertical="top"/>
    </xf>
    <xf numFmtId="178" fontId="15" fillId="14" borderId="28" xfId="0" applyNumberFormat="1" applyFont="1" applyFill="1" applyBorder="1" applyAlignment="1">
      <alignment horizontal="right" vertical="center"/>
    </xf>
    <xf numFmtId="3" fontId="5" fillId="16" borderId="38" xfId="0" quotePrefix="1" applyNumberFormat="1" applyFont="1" applyFill="1" applyBorder="1" applyAlignment="1">
      <alignment vertical="center" wrapText="1"/>
    </xf>
    <xf numFmtId="3" fontId="5" fillId="16" borderId="38" xfId="0" applyNumberFormat="1" applyFont="1" applyFill="1" applyBorder="1" applyAlignment="1">
      <alignment vertical="center" wrapText="1"/>
    </xf>
    <xf numFmtId="0" fontId="5" fillId="17" borderId="47" xfId="0" applyFont="1" applyFill="1" applyBorder="1" applyAlignment="1">
      <alignment horizontal="center" vertical="top" wrapText="1"/>
    </xf>
    <xf numFmtId="177" fontId="5" fillId="0" borderId="41" xfId="0" quotePrefix="1" applyNumberFormat="1" applyFont="1" applyBorder="1">
      <alignment vertical="center"/>
    </xf>
    <xf numFmtId="177" fontId="5" fillId="0" borderId="42" xfId="0" quotePrefix="1" applyNumberFormat="1" applyFont="1" applyBorder="1">
      <alignment vertical="center"/>
    </xf>
    <xf numFmtId="0" fontId="5" fillId="0" borderId="38" xfId="0" applyFont="1" applyBorder="1" applyAlignment="1">
      <alignment horizontal="center" vertical="center"/>
    </xf>
    <xf numFmtId="3" fontId="5" fillId="0" borderId="38" xfId="0" applyNumberFormat="1" applyFont="1" applyBorder="1" applyAlignment="1">
      <alignment vertical="top"/>
    </xf>
    <xf numFmtId="177" fontId="5" fillId="0" borderId="38" xfId="0" quotePrefix="1" applyNumberFormat="1" applyFont="1" applyBorder="1" applyAlignment="1">
      <alignment horizontal="center" vertical="center"/>
    </xf>
    <xf numFmtId="0" fontId="5" fillId="0" borderId="54" xfId="0" applyFont="1" applyBorder="1" applyAlignment="1">
      <alignment horizontal="center" vertical="center"/>
    </xf>
    <xf numFmtId="177" fontId="5" fillId="14" borderId="41" xfId="0" quotePrefix="1" applyNumberFormat="1" applyFont="1" applyFill="1" applyBorder="1">
      <alignment vertical="center"/>
    </xf>
    <xf numFmtId="177" fontId="5" fillId="14" borderId="42" xfId="0" quotePrefix="1" applyNumberFormat="1" applyFont="1" applyFill="1" applyBorder="1">
      <alignment vertical="center"/>
    </xf>
    <xf numFmtId="0" fontId="5" fillId="19" borderId="44" xfId="0" applyFont="1" applyFill="1" applyBorder="1" applyAlignment="1">
      <alignment vertical="top"/>
    </xf>
    <xf numFmtId="0" fontId="5" fillId="19" borderId="54" xfId="0" quotePrefix="1" applyFont="1" applyFill="1" applyBorder="1" applyAlignment="1">
      <alignment horizontal="center" vertical="center"/>
    </xf>
    <xf numFmtId="3" fontId="5" fillId="19" borderId="38" xfId="0" quotePrefix="1" applyNumberFormat="1" applyFont="1" applyFill="1" applyBorder="1" applyAlignment="1">
      <alignment vertical="center" wrapText="1"/>
    </xf>
    <xf numFmtId="3" fontId="5" fillId="19" borderId="38" xfId="0" applyNumberFormat="1" applyFont="1" applyFill="1" applyBorder="1" applyAlignment="1">
      <alignment vertical="center" wrapText="1"/>
    </xf>
    <xf numFmtId="178" fontId="5" fillId="19" borderId="38" xfId="0" applyNumberFormat="1" applyFont="1" applyFill="1" applyBorder="1" applyAlignment="1">
      <alignment horizontal="right" vertical="center" wrapText="1"/>
    </xf>
    <xf numFmtId="178" fontId="13" fillId="19" borderId="38" xfId="0" applyNumberFormat="1" applyFont="1" applyFill="1" applyBorder="1" applyAlignment="1">
      <alignment horizontal="right" vertical="center" wrapText="1"/>
    </xf>
    <xf numFmtId="178" fontId="13" fillId="19" borderId="38" xfId="0" applyNumberFormat="1" applyFont="1" applyFill="1" applyBorder="1" applyAlignment="1">
      <alignment horizontal="right" vertical="top" wrapText="1"/>
    </xf>
    <xf numFmtId="177" fontId="5" fillId="0" borderId="56" xfId="0" quotePrefix="1" applyNumberFormat="1" applyFont="1" applyBorder="1" applyAlignment="1">
      <alignment vertical="top" wrapText="1"/>
    </xf>
    <xf numFmtId="177" fontId="5" fillId="0" borderId="57" xfId="0" quotePrefix="1" applyNumberFormat="1" applyFont="1" applyBorder="1" applyAlignment="1">
      <alignment vertical="top" wrapText="1"/>
    </xf>
    <xf numFmtId="177" fontId="5" fillId="0" borderId="45" xfId="0" quotePrefix="1" applyNumberFormat="1" applyFont="1" applyBorder="1" applyAlignment="1">
      <alignment horizontal="left" vertical="top"/>
    </xf>
    <xf numFmtId="177" fontId="5" fillId="0" borderId="42" xfId="0" quotePrefix="1" applyNumberFormat="1" applyFont="1" applyBorder="1" applyAlignment="1">
      <alignment horizontal="left" vertical="top"/>
    </xf>
    <xf numFmtId="3" fontId="5" fillId="0" borderId="38" xfId="0" quotePrefix="1" applyNumberFormat="1" applyFont="1" applyBorder="1" applyAlignment="1">
      <alignment horizontal="center" vertical="center"/>
    </xf>
    <xf numFmtId="178" fontId="13" fillId="4" borderId="38" xfId="0" applyNumberFormat="1" applyFont="1" applyFill="1" applyBorder="1" applyAlignment="1">
      <alignment horizontal="right" vertical="top" wrapText="1"/>
    </xf>
    <xf numFmtId="3" fontId="5" fillId="0" borderId="38" xfId="0" applyNumberFormat="1" applyFont="1" applyBorder="1" applyAlignment="1">
      <alignment horizontal="left" vertical="top" wrapText="1"/>
    </xf>
    <xf numFmtId="177" fontId="5" fillId="0" borderId="58" xfId="0" quotePrefix="1" applyNumberFormat="1" applyFont="1" applyBorder="1" applyAlignment="1">
      <alignment vertical="top" wrapText="1"/>
    </xf>
    <xf numFmtId="177" fontId="5" fillId="0" borderId="0" xfId="0" quotePrefix="1" applyNumberFormat="1" applyFont="1" applyAlignment="1">
      <alignment vertical="top" wrapText="1"/>
    </xf>
    <xf numFmtId="177" fontId="5" fillId="0" borderId="43" xfId="0" quotePrefix="1" applyNumberFormat="1" applyFont="1" applyBorder="1" applyAlignment="1">
      <alignment vertical="top"/>
    </xf>
    <xf numFmtId="3" fontId="5" fillId="0" borderId="38" xfId="0" applyNumberFormat="1" applyFont="1" applyBorder="1" applyAlignment="1">
      <alignment horizontal="center" vertical="center" wrapText="1"/>
    </xf>
    <xf numFmtId="0" fontId="5" fillId="17" borderId="59" xfId="0" applyFont="1" applyFill="1" applyBorder="1" applyAlignment="1">
      <alignment horizontal="center" vertical="top"/>
    </xf>
    <xf numFmtId="0" fontId="5" fillId="17" borderId="60" xfId="0" applyFont="1" applyFill="1" applyBorder="1" applyAlignment="1">
      <alignment horizontal="center" vertical="top" wrapText="1"/>
    </xf>
    <xf numFmtId="177" fontId="5" fillId="0" borderId="61" xfId="0" quotePrefix="1" applyNumberFormat="1" applyFont="1" applyBorder="1" applyAlignment="1">
      <alignment vertical="top" wrapText="1"/>
    </xf>
    <xf numFmtId="177" fontId="5" fillId="0" borderId="49" xfId="0" quotePrefix="1" applyNumberFormat="1" applyFont="1" applyBorder="1" applyAlignment="1">
      <alignment vertical="top" wrapText="1"/>
    </xf>
    <xf numFmtId="3" fontId="5" fillId="0" borderId="38" xfId="0" applyNumberFormat="1" applyFont="1" applyBorder="1" applyAlignment="1">
      <alignment horizontal="center" vertical="center"/>
    </xf>
    <xf numFmtId="0" fontId="5" fillId="19" borderId="54" xfId="0" quotePrefix="1" applyFont="1" applyFill="1" applyBorder="1" applyAlignment="1">
      <alignment horizontal="left" vertical="center"/>
    </xf>
    <xf numFmtId="178" fontId="5" fillId="19" borderId="54" xfId="0" quotePrefix="1" applyNumberFormat="1" applyFont="1" applyFill="1" applyBorder="1" applyAlignment="1">
      <alignment horizontal="right" vertical="center"/>
    </xf>
    <xf numFmtId="0" fontId="5" fillId="0" borderId="58" xfId="0" applyFont="1" applyBorder="1">
      <alignment vertical="center"/>
    </xf>
    <xf numFmtId="177" fontId="5" fillId="0" borderId="34" xfId="0" quotePrefix="1" applyNumberFormat="1" applyFont="1" applyBorder="1" applyAlignment="1">
      <alignment horizontal="left" vertical="center"/>
    </xf>
    <xf numFmtId="177" fontId="5" fillId="0" borderId="42" xfId="0" quotePrefix="1" applyNumberFormat="1" applyFont="1" applyBorder="1" applyAlignment="1">
      <alignment horizontal="left" vertical="center"/>
    </xf>
    <xf numFmtId="177" fontId="5" fillId="0" borderId="38" xfId="0" quotePrefix="1" applyNumberFormat="1" applyFont="1" applyBorder="1" applyAlignment="1">
      <alignment horizontal="left" vertical="center"/>
    </xf>
    <xf numFmtId="177" fontId="5" fillId="0" borderId="43" xfId="0" quotePrefix="1" applyNumberFormat="1" applyFont="1" applyBorder="1" applyAlignment="1">
      <alignment horizontal="left" vertical="center"/>
    </xf>
    <xf numFmtId="177" fontId="5" fillId="0" borderId="38" xfId="0" quotePrefix="1" applyNumberFormat="1" applyFont="1" applyBorder="1" applyAlignment="1">
      <alignment horizontal="left" vertical="top"/>
    </xf>
    <xf numFmtId="177" fontId="5" fillId="15" borderId="37" xfId="0" quotePrefix="1" applyNumberFormat="1" applyFont="1" applyFill="1" applyBorder="1" applyAlignment="1">
      <alignment horizontal="left" vertical="center"/>
    </xf>
    <xf numFmtId="177" fontId="5" fillId="15" borderId="34" xfId="0" quotePrefix="1" applyNumberFormat="1" applyFont="1" applyFill="1" applyBorder="1" applyAlignment="1">
      <alignment horizontal="left" vertical="center"/>
    </xf>
    <xf numFmtId="177" fontId="5" fillId="15" borderId="38" xfId="0" quotePrefix="1" applyNumberFormat="1" applyFont="1" applyFill="1" applyBorder="1" applyAlignment="1">
      <alignment horizontal="left" vertical="top"/>
    </xf>
    <xf numFmtId="177" fontId="5" fillId="15" borderId="42" xfId="0" quotePrefix="1" applyNumberFormat="1" applyFont="1" applyFill="1" applyBorder="1" applyAlignment="1">
      <alignment horizontal="left" vertical="top"/>
    </xf>
    <xf numFmtId="177" fontId="5" fillId="15" borderId="58" xfId="0" quotePrefix="1" applyNumberFormat="1" applyFont="1" applyFill="1" applyBorder="1" applyAlignment="1">
      <alignment vertical="top" wrapText="1"/>
    </xf>
    <xf numFmtId="177" fontId="5" fillId="15" borderId="38" xfId="0" quotePrefix="1" applyNumberFormat="1" applyFont="1" applyFill="1" applyBorder="1" applyAlignment="1">
      <alignment horizontal="left" vertical="center"/>
    </xf>
    <xf numFmtId="177" fontId="5" fillId="15" borderId="43" xfId="0" quotePrefix="1" applyNumberFormat="1" applyFont="1" applyFill="1" applyBorder="1" applyAlignment="1">
      <alignment horizontal="left" vertical="center"/>
    </xf>
    <xf numFmtId="177" fontId="5" fillId="15" borderId="0" xfId="0" quotePrefix="1" applyNumberFormat="1" applyFont="1" applyFill="1" applyAlignment="1">
      <alignment vertical="top" wrapText="1"/>
    </xf>
    <xf numFmtId="0" fontId="5" fillId="15" borderId="43" xfId="0" quotePrefix="1" applyFont="1" applyFill="1" applyBorder="1" applyAlignment="1">
      <alignment vertical="top"/>
    </xf>
    <xf numFmtId="0" fontId="5" fillId="15" borderId="42" xfId="0" quotePrefix="1" applyFont="1" applyFill="1" applyBorder="1" applyAlignment="1">
      <alignment vertical="top"/>
    </xf>
    <xf numFmtId="3" fontId="13" fillId="4" borderId="38" xfId="0" applyNumberFormat="1" applyFont="1" applyFill="1" applyBorder="1" applyAlignment="1">
      <alignment horizontal="center" vertical="center" wrapText="1"/>
    </xf>
    <xf numFmtId="0" fontId="5" fillId="15" borderId="43" xfId="0" quotePrefix="1" applyFont="1" applyFill="1" applyBorder="1" applyAlignment="1">
      <alignment horizontal="left" vertical="top"/>
    </xf>
    <xf numFmtId="0" fontId="5" fillId="15" borderId="42" xfId="0" quotePrefix="1" applyFont="1" applyFill="1" applyBorder="1" applyAlignment="1">
      <alignment horizontal="left" vertical="top"/>
    </xf>
    <xf numFmtId="179" fontId="13" fillId="4" borderId="38" xfId="1" applyNumberFormat="1" applyFont="1" applyFill="1" applyBorder="1" applyAlignment="1">
      <alignment horizontal="center" vertical="center" wrapText="1"/>
    </xf>
    <xf numFmtId="177" fontId="5" fillId="15" borderId="61" xfId="0" quotePrefix="1" applyNumberFormat="1" applyFont="1" applyFill="1" applyBorder="1" applyAlignment="1">
      <alignment vertical="top" wrapText="1"/>
    </xf>
    <xf numFmtId="0" fontId="5" fillId="15" borderId="38" xfId="0" quotePrefix="1" applyFont="1" applyFill="1" applyBorder="1" applyAlignment="1">
      <alignment horizontal="left" vertical="top"/>
    </xf>
    <xf numFmtId="178" fontId="13" fillId="19" borderId="54" xfId="0" applyNumberFormat="1" applyFont="1" applyFill="1" applyBorder="1" applyAlignment="1">
      <alignment horizontal="right" vertical="center" wrapText="1"/>
    </xf>
    <xf numFmtId="178" fontId="5" fillId="19" borderId="54" xfId="0" applyNumberFormat="1" applyFont="1" applyFill="1" applyBorder="1" applyAlignment="1">
      <alignment horizontal="right" vertical="center" wrapText="1"/>
    </xf>
    <xf numFmtId="3" fontId="5" fillId="3" borderId="54" xfId="0" applyNumberFormat="1" applyFont="1" applyFill="1" applyBorder="1" applyAlignment="1">
      <alignment vertical="top"/>
    </xf>
    <xf numFmtId="3" fontId="5" fillId="4" borderId="54" xfId="0" applyNumberFormat="1" applyFont="1" applyFill="1" applyBorder="1">
      <alignment vertical="center"/>
    </xf>
    <xf numFmtId="3" fontId="5" fillId="3" borderId="54" xfId="0" applyNumberFormat="1" applyFont="1" applyFill="1" applyBorder="1" applyAlignment="1">
      <alignment horizontal="center" vertical="center"/>
    </xf>
    <xf numFmtId="0" fontId="5" fillId="17" borderId="62" xfId="0" applyFont="1" applyFill="1" applyBorder="1" applyAlignment="1">
      <alignment horizontal="center" vertical="top"/>
    </xf>
    <xf numFmtId="0" fontId="5" fillId="17" borderId="63" xfId="0" applyFont="1" applyFill="1" applyBorder="1" applyAlignment="1">
      <alignment horizontal="center" vertical="top" wrapText="1"/>
    </xf>
    <xf numFmtId="177" fontId="5" fillId="15" borderId="34" xfId="0" quotePrefix="1" applyNumberFormat="1" applyFont="1" applyFill="1" applyBorder="1">
      <alignment vertical="center"/>
    </xf>
    <xf numFmtId="177" fontId="5" fillId="15" borderId="49" xfId="0" quotePrefix="1" applyNumberFormat="1" applyFont="1" applyFill="1" applyBorder="1">
      <alignment vertical="center"/>
    </xf>
    <xf numFmtId="0" fontId="5" fillId="0" borderId="64" xfId="0" applyFont="1" applyBorder="1">
      <alignment vertical="center"/>
    </xf>
    <xf numFmtId="177" fontId="5" fillId="15" borderId="65" xfId="0" quotePrefix="1" applyNumberFormat="1" applyFont="1" applyFill="1" applyBorder="1">
      <alignment vertical="center"/>
    </xf>
    <xf numFmtId="177" fontId="5" fillId="15" borderId="0" xfId="0" quotePrefix="1" applyNumberFormat="1" applyFont="1" applyFill="1">
      <alignment vertical="center"/>
    </xf>
    <xf numFmtId="178" fontId="5" fillId="0" borderId="38" xfId="0" applyNumberFormat="1" applyFont="1" applyBorder="1" applyAlignment="1">
      <alignment horizontal="right" vertical="center" wrapText="1"/>
    </xf>
    <xf numFmtId="3" fontId="5" fillId="4" borderId="38" xfId="0" applyNumberFormat="1" applyFont="1" applyFill="1" applyBorder="1" applyAlignment="1">
      <alignment vertical="center" wrapText="1"/>
    </xf>
    <xf numFmtId="179" fontId="5" fillId="4" borderId="38" xfId="1" applyNumberFormat="1" applyFont="1" applyFill="1" applyBorder="1" applyAlignment="1">
      <alignment vertical="center" wrapText="1"/>
    </xf>
    <xf numFmtId="3" fontId="5" fillId="0" borderId="54" xfId="0" applyNumberFormat="1" applyFont="1" applyBorder="1">
      <alignment vertical="center"/>
    </xf>
    <xf numFmtId="0" fontId="5" fillId="17" borderId="66" xfId="0" applyFont="1" applyFill="1" applyBorder="1" applyAlignment="1">
      <alignment horizontal="center" vertical="top"/>
    </xf>
    <xf numFmtId="0" fontId="5" fillId="0" borderId="69" xfId="0" applyFont="1" applyBorder="1" applyAlignment="1">
      <alignment vertical="top"/>
    </xf>
    <xf numFmtId="177" fontId="5" fillId="15" borderId="70" xfId="0" quotePrefix="1" applyNumberFormat="1" applyFont="1" applyFill="1" applyBorder="1" applyAlignment="1">
      <alignment vertical="top" wrapText="1"/>
    </xf>
    <xf numFmtId="177" fontId="5" fillId="0" borderId="68" xfId="0" quotePrefix="1" applyNumberFormat="1" applyFont="1" applyBorder="1" applyAlignment="1">
      <alignment vertical="top"/>
    </xf>
    <xf numFmtId="177" fontId="5" fillId="0" borderId="71" xfId="0" quotePrefix="1" applyNumberFormat="1" applyFont="1" applyBorder="1" applyAlignment="1">
      <alignment vertical="top"/>
    </xf>
    <xf numFmtId="3" fontId="5" fillId="3" borderId="72" xfId="0" applyNumberFormat="1" applyFont="1" applyFill="1" applyBorder="1" applyAlignment="1">
      <alignment horizontal="center" vertical="center"/>
    </xf>
    <xf numFmtId="3" fontId="5" fillId="16" borderId="73" xfId="0" applyNumberFormat="1" applyFont="1" applyFill="1" applyBorder="1" applyAlignment="1">
      <alignment vertical="center" wrapText="1"/>
    </xf>
    <xf numFmtId="3" fontId="5" fillId="0" borderId="74" xfId="0" applyNumberFormat="1" applyFont="1" applyBorder="1" applyAlignment="1">
      <alignment vertical="center" wrapText="1"/>
    </xf>
    <xf numFmtId="178" fontId="5" fillId="3" borderId="73" xfId="0" applyNumberFormat="1" applyFont="1" applyFill="1" applyBorder="1" applyAlignment="1">
      <alignment horizontal="right" vertical="center" wrapText="1"/>
    </xf>
    <xf numFmtId="178" fontId="13" fillId="4" borderId="73" xfId="0" applyNumberFormat="1" applyFont="1" applyFill="1" applyBorder="1" applyAlignment="1">
      <alignment horizontal="right" vertical="center" wrapText="1"/>
    </xf>
    <xf numFmtId="3" fontId="13" fillId="4" borderId="73" xfId="0" applyNumberFormat="1" applyFont="1" applyFill="1" applyBorder="1" applyAlignment="1">
      <alignment vertical="center" wrapText="1"/>
    </xf>
    <xf numFmtId="3" fontId="5" fillId="3" borderId="73" xfId="0" applyNumberFormat="1" applyFont="1" applyFill="1" applyBorder="1" applyAlignment="1">
      <alignment vertical="center" wrapText="1"/>
    </xf>
    <xf numFmtId="3" fontId="5" fillId="3" borderId="72" xfId="0" applyNumberFormat="1" applyFont="1" applyFill="1" applyBorder="1" applyAlignment="1">
      <alignment vertical="top"/>
    </xf>
    <xf numFmtId="0" fontId="15" fillId="11" borderId="22" xfId="0" applyFont="1" applyFill="1" applyBorder="1" applyAlignment="1">
      <alignment horizontal="left" vertical="center"/>
    </xf>
    <xf numFmtId="0" fontId="15" fillId="12" borderId="22" xfId="0" applyFont="1" applyFill="1" applyBorder="1" applyAlignment="1">
      <alignment horizontal="center" vertical="center"/>
    </xf>
    <xf numFmtId="0" fontId="19" fillId="11" borderId="75" xfId="0" applyFont="1" applyFill="1" applyBorder="1" applyAlignment="1">
      <alignment horizontal="left" vertical="top"/>
    </xf>
    <xf numFmtId="0" fontId="15" fillId="11" borderId="22" xfId="0" applyFont="1" applyFill="1" applyBorder="1" applyAlignment="1">
      <alignment horizontal="left" vertical="top"/>
    </xf>
    <xf numFmtId="0" fontId="10" fillId="12" borderId="22" xfId="0" applyFont="1" applyFill="1" applyBorder="1" applyAlignment="1">
      <alignment vertical="center" wrapText="1"/>
    </xf>
    <xf numFmtId="0" fontId="15" fillId="12" borderId="22" xfId="0" applyFont="1" applyFill="1" applyBorder="1" applyAlignment="1">
      <alignment horizontal="left" vertical="top" wrapText="1"/>
    </xf>
    <xf numFmtId="0" fontId="10" fillId="12" borderId="22" xfId="0" applyFont="1" applyFill="1" applyBorder="1" applyAlignment="1">
      <alignment horizontal="center" vertical="center"/>
    </xf>
    <xf numFmtId="0" fontId="13" fillId="13" borderId="76" xfId="2" applyFont="1" applyFill="1" applyBorder="1" applyAlignment="1">
      <alignment horizontal="center" vertical="top" wrapText="1"/>
    </xf>
    <xf numFmtId="177" fontId="5" fillId="0" borderId="77" xfId="0" quotePrefix="1" applyNumberFormat="1" applyFont="1" applyBorder="1" applyAlignment="1">
      <alignment horizontal="center" vertical="center"/>
    </xf>
    <xf numFmtId="0" fontId="5" fillId="3" borderId="38" xfId="0" applyFont="1" applyFill="1" applyBorder="1">
      <alignment vertical="center"/>
    </xf>
    <xf numFmtId="177" fontId="5" fillId="0" borderId="33" xfId="0" quotePrefix="1" applyNumberFormat="1" applyFont="1" applyBorder="1" applyAlignment="1">
      <alignment vertical="top"/>
    </xf>
    <xf numFmtId="177" fontId="5" fillId="0" borderId="78" xfId="0" quotePrefix="1" applyNumberFormat="1" applyFont="1" applyBorder="1" applyAlignment="1">
      <alignment horizontal="center" vertical="center"/>
    </xf>
    <xf numFmtId="3" fontId="5" fillId="5" borderId="78" xfId="0" quotePrefix="1" applyNumberFormat="1" applyFont="1" applyFill="1" applyBorder="1" applyAlignment="1">
      <alignment horizontal="right" vertical="center" wrapText="1"/>
    </xf>
    <xf numFmtId="3" fontId="5" fillId="3" borderId="78" xfId="0" quotePrefix="1" applyNumberFormat="1" applyFont="1" applyFill="1" applyBorder="1" applyAlignment="1">
      <alignment horizontal="right" vertical="center" wrapText="1"/>
    </xf>
    <xf numFmtId="3" fontId="5" fillId="0" borderId="78" xfId="0" quotePrefix="1" applyNumberFormat="1" applyFont="1" applyBorder="1" applyAlignment="1">
      <alignment horizontal="right" vertical="center" wrapText="1"/>
    </xf>
    <xf numFmtId="181" fontId="5" fillId="3" borderId="78" xfId="0" applyNumberFormat="1" applyFont="1" applyFill="1" applyBorder="1" applyAlignment="1">
      <alignment vertical="center" wrapText="1"/>
    </xf>
    <xf numFmtId="3" fontId="13" fillId="4" borderId="38" xfId="0" applyNumberFormat="1" applyFont="1" applyFill="1" applyBorder="1" applyAlignment="1">
      <alignment horizontal="right" vertical="center" wrapText="1"/>
    </xf>
    <xf numFmtId="181" fontId="5" fillId="3" borderId="78" xfId="0" applyNumberFormat="1" applyFont="1" applyFill="1" applyBorder="1" applyAlignment="1">
      <alignment horizontal="right" vertical="center" wrapText="1"/>
    </xf>
    <xf numFmtId="0" fontId="5" fillId="0" borderId="78" xfId="0" applyFont="1" applyBorder="1" applyAlignment="1">
      <alignment horizontal="left" vertical="top" wrapText="1"/>
    </xf>
    <xf numFmtId="0" fontId="5" fillId="0" borderId="37" xfId="0" applyFont="1" applyBorder="1" applyAlignment="1">
      <alignment horizontal="left" vertical="top" wrapText="1"/>
    </xf>
    <xf numFmtId="0" fontId="5" fillId="17" borderId="79" xfId="0" applyFont="1" applyFill="1" applyBorder="1" applyAlignment="1">
      <alignment horizontal="center" vertical="center" wrapText="1"/>
    </xf>
    <xf numFmtId="0" fontId="5" fillId="17" borderId="59" xfId="0" applyFont="1" applyFill="1" applyBorder="1" applyAlignment="1">
      <alignment horizontal="center" vertical="center"/>
    </xf>
    <xf numFmtId="177" fontId="5" fillId="15" borderId="38" xfId="0" quotePrefix="1" applyNumberFormat="1" applyFont="1" applyFill="1" applyBorder="1">
      <alignment vertical="center"/>
    </xf>
    <xf numFmtId="0" fontId="5" fillId="3" borderId="43" xfId="0" applyFont="1" applyFill="1" applyBorder="1" applyAlignment="1">
      <alignment vertical="top" wrapText="1"/>
    </xf>
    <xf numFmtId="0" fontId="5" fillId="3" borderId="45" xfId="0" applyFont="1" applyFill="1" applyBorder="1" applyAlignment="1">
      <alignment vertical="top" wrapText="1"/>
    </xf>
    <xf numFmtId="3" fontId="20" fillId="3" borderId="38" xfId="0" quotePrefix="1" applyNumberFormat="1" applyFont="1" applyFill="1" applyBorder="1" applyAlignment="1">
      <alignment horizontal="right" vertical="center" wrapText="1"/>
    </xf>
    <xf numFmtId="3" fontId="20" fillId="15" borderId="38" xfId="0" quotePrefix="1" applyNumberFormat="1" applyFont="1" applyFill="1" applyBorder="1" applyAlignment="1">
      <alignment horizontal="right" vertical="center" wrapText="1"/>
    </xf>
    <xf numFmtId="0" fontId="5" fillId="4" borderId="38" xfId="0" applyFont="1" applyFill="1" applyBorder="1" applyAlignment="1">
      <alignment horizontal="right" vertical="center" wrapText="1"/>
    </xf>
    <xf numFmtId="0" fontId="5" fillId="15" borderId="38" xfId="0" applyFont="1" applyFill="1" applyBorder="1" applyAlignment="1">
      <alignment horizontal="right" vertical="center" wrapText="1"/>
    </xf>
    <xf numFmtId="180" fontId="5" fillId="3" borderId="38" xfId="0" applyNumberFormat="1" applyFont="1" applyFill="1" applyBorder="1" applyAlignment="1">
      <alignment horizontal="right" vertical="center" wrapText="1"/>
    </xf>
    <xf numFmtId="3" fontId="5" fillId="4" borderId="38" xfId="0" applyNumberFormat="1" applyFont="1" applyFill="1" applyBorder="1" applyAlignment="1">
      <alignment horizontal="right" vertical="center" wrapText="1"/>
    </xf>
    <xf numFmtId="180" fontId="5" fillId="3" borderId="38" xfId="0" applyNumberFormat="1" applyFont="1" applyFill="1" applyBorder="1" applyAlignment="1">
      <alignment vertical="center" wrapText="1"/>
    </xf>
    <xf numFmtId="0" fontId="5" fillId="3" borderId="38" xfId="0" applyFont="1" applyFill="1" applyBorder="1" applyAlignment="1">
      <alignment horizontal="left" vertical="top" wrapText="1"/>
    </xf>
    <xf numFmtId="0" fontId="5" fillId="17" borderId="79" xfId="0" applyFont="1" applyFill="1" applyBorder="1" applyAlignment="1">
      <alignment horizontal="center" vertical="center"/>
    </xf>
    <xf numFmtId="3" fontId="11" fillId="4" borderId="38" xfId="0" quotePrefix="1" applyNumberFormat="1" applyFont="1" applyFill="1" applyBorder="1" applyAlignment="1">
      <alignment horizontal="right" vertical="center" wrapText="1"/>
    </xf>
    <xf numFmtId="3" fontId="11" fillId="15" borderId="38" xfId="0" quotePrefix="1" applyNumberFormat="1" applyFont="1" applyFill="1" applyBorder="1" applyAlignment="1">
      <alignment horizontal="right" vertical="center" wrapText="1"/>
    </xf>
    <xf numFmtId="0" fontId="5" fillId="3" borderId="43" xfId="0" quotePrefix="1" applyFont="1" applyFill="1" applyBorder="1" applyAlignment="1">
      <alignment horizontal="center" vertical="center"/>
    </xf>
    <xf numFmtId="0" fontId="5" fillId="3" borderId="38" xfId="0" quotePrefix="1" applyFont="1" applyFill="1" applyBorder="1" applyAlignment="1">
      <alignment horizontal="center" vertical="center"/>
    </xf>
    <xf numFmtId="2" fontId="5" fillId="5" borderId="38" xfId="0" applyNumberFormat="1" applyFont="1" applyFill="1" applyBorder="1" applyAlignment="1">
      <alignment vertical="center" wrapText="1"/>
    </xf>
    <xf numFmtId="3" fontId="21" fillId="0" borderId="38" xfId="0" applyNumberFormat="1" applyFont="1" applyBorder="1" applyAlignment="1">
      <alignment vertical="center" wrapText="1"/>
    </xf>
    <xf numFmtId="3" fontId="21" fillId="3" borderId="38" xfId="0" applyNumberFormat="1" applyFont="1" applyFill="1" applyBorder="1" applyAlignment="1">
      <alignment vertical="center" wrapText="1"/>
    </xf>
    <xf numFmtId="0" fontId="5" fillId="0" borderId="43" xfId="0" applyFont="1" applyBorder="1" applyAlignment="1">
      <alignment horizontal="center" vertical="center"/>
    </xf>
    <xf numFmtId="0" fontId="5" fillId="0" borderId="38" xfId="0" applyFont="1" applyBorder="1">
      <alignment vertical="center"/>
    </xf>
    <xf numFmtId="177" fontId="5" fillId="0" borderId="57" xfId="0" quotePrefix="1" applyNumberFormat="1" applyFont="1" applyBorder="1" applyAlignment="1">
      <alignment vertical="top"/>
    </xf>
    <xf numFmtId="177" fontId="5" fillId="0" borderId="43" xfId="0" quotePrefix="1" applyNumberFormat="1" applyFont="1" applyBorder="1" applyAlignment="1">
      <alignment vertical="top" wrapText="1"/>
    </xf>
    <xf numFmtId="177" fontId="5" fillId="0" borderId="45" xfId="0" quotePrefix="1" applyNumberFormat="1" applyFont="1" applyBorder="1" applyAlignment="1">
      <alignment vertical="top" wrapText="1"/>
    </xf>
    <xf numFmtId="3" fontId="21" fillId="15" borderId="38" xfId="0" applyNumberFormat="1" applyFont="1" applyFill="1" applyBorder="1" applyAlignment="1">
      <alignment vertical="center" wrapText="1"/>
    </xf>
    <xf numFmtId="3" fontId="11" fillId="4" borderId="38" xfId="0" quotePrefix="1" applyNumberFormat="1" applyFont="1" applyFill="1" applyBorder="1" applyAlignment="1">
      <alignment vertical="center" wrapText="1"/>
    </xf>
    <xf numFmtId="3" fontId="11" fillId="15" borderId="38" xfId="0" quotePrefix="1" applyNumberFormat="1" applyFont="1" applyFill="1" applyBorder="1" applyAlignment="1">
      <alignment vertical="center" wrapText="1"/>
    </xf>
    <xf numFmtId="0" fontId="5" fillId="3" borderId="38" xfId="0" applyFont="1" applyFill="1" applyBorder="1" applyAlignment="1">
      <alignment vertical="center" wrapText="1"/>
    </xf>
    <xf numFmtId="0" fontId="5" fillId="3" borderId="38" xfId="0" applyFont="1" applyFill="1" applyBorder="1" applyAlignment="1">
      <alignment vertical="top" wrapText="1"/>
    </xf>
    <xf numFmtId="0" fontId="5" fillId="0" borderId="43" xfId="0" quotePrefix="1" applyFont="1" applyBorder="1" applyAlignment="1">
      <alignment horizontal="center" vertical="center"/>
    </xf>
    <xf numFmtId="177" fontId="5" fillId="0" borderId="80" xfId="0" quotePrefix="1" applyNumberFormat="1" applyFont="1" applyBorder="1" applyAlignment="1">
      <alignment vertical="top"/>
    </xf>
    <xf numFmtId="3" fontId="5" fillId="15" borderId="38" xfId="0" applyNumberFormat="1" applyFont="1" applyFill="1" applyBorder="1" applyAlignment="1">
      <alignment vertical="center" wrapText="1"/>
    </xf>
    <xf numFmtId="3" fontId="20" fillId="3" borderId="38" xfId="0" applyNumberFormat="1" applyFont="1" applyFill="1" applyBorder="1" applyAlignment="1">
      <alignment vertical="center" wrapText="1"/>
    </xf>
    <xf numFmtId="3" fontId="15" fillId="20" borderId="38" xfId="0" applyNumberFormat="1" applyFont="1" applyFill="1" applyBorder="1" applyAlignment="1">
      <alignment horizontal="center" vertical="center"/>
    </xf>
    <xf numFmtId="177" fontId="5" fillId="0" borderId="81" xfId="0" quotePrefix="1" applyNumberFormat="1" applyFont="1" applyBorder="1" applyAlignment="1">
      <alignment vertical="top"/>
    </xf>
    <xf numFmtId="0" fontId="5" fillId="3" borderId="38" xfId="0" applyFont="1" applyFill="1" applyBorder="1" applyAlignment="1">
      <alignment horizontal="right" vertical="center"/>
    </xf>
    <xf numFmtId="0" fontId="5" fillId="0" borderId="38" xfId="0" applyFont="1" applyBorder="1" applyAlignment="1">
      <alignment horizontal="right" vertical="center"/>
    </xf>
    <xf numFmtId="3" fontId="22" fillId="22" borderId="38" xfId="0" applyNumberFormat="1" applyFont="1" applyFill="1" applyBorder="1" applyAlignment="1">
      <alignment horizontal="right" vertical="center" wrapText="1"/>
    </xf>
    <xf numFmtId="3" fontId="5" fillId="3" borderId="38" xfId="0" applyNumberFormat="1" applyFont="1" applyFill="1" applyBorder="1" applyAlignment="1">
      <alignment horizontal="right" vertical="center" wrapText="1"/>
    </xf>
    <xf numFmtId="0" fontId="5" fillId="21" borderId="38" xfId="0" applyFont="1" applyFill="1" applyBorder="1" applyAlignment="1">
      <alignment horizontal="left" vertical="top" wrapText="1"/>
    </xf>
    <xf numFmtId="177" fontId="5" fillId="0" borderId="43" xfId="0" quotePrefix="1" applyNumberFormat="1" applyFont="1" applyBorder="1">
      <alignment vertical="center"/>
    </xf>
    <xf numFmtId="177" fontId="5" fillId="0" borderId="82" xfId="0" quotePrefix="1" applyNumberFormat="1" applyFont="1" applyBorder="1" applyAlignment="1">
      <alignment vertical="top"/>
    </xf>
    <xf numFmtId="3" fontId="5" fillId="18" borderId="38" xfId="0" applyNumberFormat="1" applyFont="1" applyFill="1" applyBorder="1" applyAlignment="1">
      <alignment vertical="center" wrapText="1"/>
    </xf>
    <xf numFmtId="3" fontId="5" fillId="3" borderId="38" xfId="0" applyNumberFormat="1" applyFont="1" applyFill="1" applyBorder="1" applyAlignment="1">
      <alignment horizontal="center" vertical="top" wrapText="1"/>
    </xf>
    <xf numFmtId="177" fontId="5" fillId="0" borderId="49" xfId="0" quotePrefix="1" applyNumberFormat="1" applyFont="1" applyBorder="1" applyAlignment="1">
      <alignment vertical="top"/>
    </xf>
    <xf numFmtId="0" fontId="5" fillId="19" borderId="38" xfId="0" applyFont="1" applyFill="1" applyBorder="1">
      <alignment vertical="center"/>
    </xf>
    <xf numFmtId="177" fontId="5" fillId="19" borderId="57" xfId="0" quotePrefix="1" applyNumberFormat="1" applyFont="1" applyFill="1" applyBorder="1" applyAlignment="1">
      <alignment vertical="top"/>
    </xf>
    <xf numFmtId="177" fontId="5" fillId="19" borderId="42" xfId="0" quotePrefix="1" applyNumberFormat="1" applyFont="1" applyFill="1" applyBorder="1" applyAlignment="1">
      <alignment vertical="top" wrapText="1"/>
    </xf>
    <xf numFmtId="177" fontId="5" fillId="19" borderId="45" xfId="0" quotePrefix="1" applyNumberFormat="1" applyFont="1" applyFill="1" applyBorder="1" applyAlignment="1">
      <alignment vertical="top" wrapText="1"/>
    </xf>
    <xf numFmtId="0" fontId="5" fillId="19" borderId="38" xfId="0" quotePrefix="1" applyFont="1" applyFill="1" applyBorder="1" applyAlignment="1">
      <alignment horizontal="center" vertical="center"/>
    </xf>
    <xf numFmtId="0" fontId="5" fillId="19" borderId="38" xfId="0" quotePrefix="1" applyFont="1" applyFill="1" applyBorder="1" applyAlignment="1">
      <alignment horizontal="right" vertical="center"/>
    </xf>
    <xf numFmtId="3" fontId="22" fillId="23" borderId="38" xfId="0" applyNumberFormat="1" applyFont="1" applyFill="1" applyBorder="1" applyAlignment="1">
      <alignment horizontal="right" vertical="center" wrapText="1"/>
    </xf>
    <xf numFmtId="3" fontId="13" fillId="19" borderId="38" xfId="0" applyNumberFormat="1" applyFont="1" applyFill="1" applyBorder="1" applyAlignment="1">
      <alignment horizontal="right" vertical="center" wrapText="1"/>
    </xf>
    <xf numFmtId="3" fontId="5" fillId="19" borderId="38" xfId="0" applyNumberFormat="1" applyFont="1" applyFill="1" applyBorder="1" applyAlignment="1">
      <alignment horizontal="right" vertical="center" wrapText="1"/>
    </xf>
    <xf numFmtId="3" fontId="13" fillId="19" borderId="38" xfId="0" applyNumberFormat="1" applyFont="1" applyFill="1" applyBorder="1" applyAlignment="1">
      <alignment vertical="center" wrapText="1"/>
    </xf>
    <xf numFmtId="0" fontId="5" fillId="21" borderId="37" xfId="0" applyFont="1" applyFill="1" applyBorder="1" applyAlignment="1">
      <alignment horizontal="left" vertical="top" wrapText="1"/>
    </xf>
    <xf numFmtId="177" fontId="5" fillId="0" borderId="64" xfId="0" quotePrefix="1" applyNumberFormat="1" applyFont="1" applyBorder="1" applyAlignment="1">
      <alignment vertical="top"/>
    </xf>
    <xf numFmtId="177" fontId="5" fillId="0" borderId="67" xfId="0" quotePrefix="1" applyNumberFormat="1" applyFont="1" applyBorder="1">
      <alignment vertical="center"/>
    </xf>
    <xf numFmtId="177" fontId="5" fillId="0" borderId="51" xfId="0" quotePrefix="1" applyNumberFormat="1" applyFont="1" applyBorder="1">
      <alignment vertical="center"/>
    </xf>
    <xf numFmtId="177" fontId="5" fillId="0" borderId="75" xfId="0" quotePrefix="1" applyNumberFormat="1" applyFont="1" applyBorder="1" applyAlignment="1">
      <alignment vertical="top"/>
    </xf>
    <xf numFmtId="177" fontId="5" fillId="0" borderId="70" xfId="0" quotePrefix="1" applyNumberFormat="1" applyFont="1" applyBorder="1" applyAlignment="1">
      <alignment vertical="top"/>
    </xf>
    <xf numFmtId="177" fontId="5" fillId="0" borderId="67" xfId="0" quotePrefix="1" applyNumberFormat="1" applyFont="1" applyBorder="1" applyAlignment="1">
      <alignment vertical="top"/>
    </xf>
    <xf numFmtId="0" fontId="9" fillId="14" borderId="28" xfId="0" applyFont="1" applyFill="1" applyBorder="1" applyAlignment="1">
      <alignment horizontal="center" vertical="center"/>
    </xf>
    <xf numFmtId="0" fontId="9" fillId="14" borderId="29" xfId="0" applyFont="1" applyFill="1" applyBorder="1" applyAlignment="1">
      <alignment horizontal="center" vertical="top" wrapText="1"/>
    </xf>
    <xf numFmtId="177" fontId="5" fillId="0" borderId="78" xfId="0" quotePrefix="1" applyNumberFormat="1" applyFont="1" applyBorder="1" applyAlignment="1">
      <alignment vertical="top"/>
    </xf>
    <xf numFmtId="3" fontId="20" fillId="5" borderId="78" xfId="0" applyNumberFormat="1" applyFont="1" applyFill="1" applyBorder="1" applyAlignment="1">
      <alignment vertical="center" wrapText="1"/>
    </xf>
    <xf numFmtId="3" fontId="20" fillId="0" borderId="78" xfId="0" applyNumberFormat="1" applyFont="1" applyBorder="1" applyAlignment="1">
      <alignment vertical="center" wrapText="1"/>
    </xf>
    <xf numFmtId="3" fontId="20" fillId="3" borderId="78" xfId="0" applyNumberFormat="1" applyFont="1" applyFill="1" applyBorder="1" applyAlignment="1">
      <alignment vertical="center" wrapText="1"/>
    </xf>
    <xf numFmtId="3" fontId="5" fillId="5" borderId="78" xfId="0" applyNumberFormat="1" applyFont="1" applyFill="1" applyBorder="1" applyAlignment="1">
      <alignment vertical="center" wrapText="1"/>
    </xf>
    <xf numFmtId="3" fontId="13" fillId="4" borderId="37" xfId="0" applyNumberFormat="1" applyFont="1" applyFill="1" applyBorder="1" applyAlignment="1">
      <alignment vertical="center" wrapText="1"/>
    </xf>
    <xf numFmtId="0" fontId="5" fillId="17" borderId="79" xfId="0" applyFont="1" applyFill="1" applyBorder="1" applyAlignment="1">
      <alignment horizontal="center" vertical="top" wrapText="1"/>
    </xf>
    <xf numFmtId="177" fontId="5" fillId="0" borderId="54" xfId="0" quotePrefix="1" applyNumberFormat="1" applyFont="1" applyBorder="1" applyAlignment="1">
      <alignment vertical="top"/>
    </xf>
    <xf numFmtId="3" fontId="23" fillId="24" borderId="37" xfId="0" applyNumberFormat="1" applyFont="1" applyFill="1" applyBorder="1" applyAlignment="1">
      <alignment horizontal="right" vertical="center" wrapText="1"/>
    </xf>
    <xf numFmtId="3" fontId="24" fillId="24" borderId="37" xfId="0" applyNumberFormat="1" applyFont="1" applyFill="1" applyBorder="1" applyAlignment="1">
      <alignment horizontal="right" vertical="center" wrapText="1"/>
    </xf>
    <xf numFmtId="3" fontId="22" fillId="22" borderId="37" xfId="0" applyNumberFormat="1" applyFont="1" applyFill="1" applyBorder="1" applyAlignment="1">
      <alignment horizontal="right" vertical="center" wrapText="1"/>
    </xf>
    <xf numFmtId="3" fontId="22" fillId="15" borderId="37" xfId="0" applyNumberFormat="1" applyFont="1" applyFill="1" applyBorder="1" applyAlignment="1">
      <alignment horizontal="right" vertical="center" wrapText="1"/>
    </xf>
    <xf numFmtId="0" fontId="5" fillId="0" borderId="37" xfId="0" applyFont="1" applyBorder="1" applyAlignment="1">
      <alignment vertical="center" wrapText="1"/>
    </xf>
    <xf numFmtId="177" fontId="5" fillId="0" borderId="37" xfId="0" quotePrefix="1" applyNumberFormat="1" applyFont="1" applyBorder="1" applyAlignment="1">
      <alignment vertical="top"/>
    </xf>
    <xf numFmtId="177" fontId="5" fillId="0" borderId="34" xfId="0" quotePrefix="1" applyNumberFormat="1" applyFont="1" applyBorder="1" applyAlignment="1">
      <alignment vertical="top"/>
    </xf>
    <xf numFmtId="177" fontId="5" fillId="15" borderId="38" xfId="0" quotePrefix="1" applyNumberFormat="1" applyFont="1" applyFill="1" applyBorder="1" applyAlignment="1">
      <alignment vertical="top"/>
    </xf>
    <xf numFmtId="0" fontId="5" fillId="17" borderId="59" xfId="0" applyFont="1" applyFill="1" applyBorder="1" applyAlignment="1">
      <alignment horizontal="center" vertical="top" wrapText="1"/>
    </xf>
    <xf numFmtId="0" fontId="5" fillId="0" borderId="54" xfId="0" applyFont="1" applyBorder="1" applyAlignment="1">
      <alignment vertical="top"/>
    </xf>
    <xf numFmtId="0" fontId="5" fillId="0" borderId="57" xfId="0" applyFont="1" applyBorder="1" applyAlignment="1">
      <alignment vertical="top"/>
    </xf>
    <xf numFmtId="177" fontId="5" fillId="15" borderId="43" xfId="0" quotePrefix="1" applyNumberFormat="1" applyFont="1" applyFill="1" applyBorder="1" applyAlignment="1">
      <alignment vertical="top"/>
    </xf>
    <xf numFmtId="3" fontId="5" fillId="3" borderId="54" xfId="0" applyNumberFormat="1" applyFont="1" applyFill="1" applyBorder="1" applyAlignment="1">
      <alignment vertical="center" wrapText="1"/>
    </xf>
    <xf numFmtId="3" fontId="5" fillId="4" borderId="54" xfId="0" applyNumberFormat="1" applyFont="1" applyFill="1" applyBorder="1" applyAlignment="1">
      <alignment vertical="center" wrapText="1"/>
    </xf>
    <xf numFmtId="3" fontId="5" fillId="15" borderId="54" xfId="0" applyNumberFormat="1" applyFont="1" applyFill="1" applyBorder="1" applyAlignment="1">
      <alignment vertical="center" wrapText="1"/>
    </xf>
    <xf numFmtId="0" fontId="5" fillId="0" borderId="64" xfId="0" applyFont="1" applyBorder="1" applyAlignment="1">
      <alignment vertical="top"/>
    </xf>
    <xf numFmtId="3" fontId="20" fillId="5" borderId="38" xfId="0" applyNumberFormat="1" applyFont="1" applyFill="1" applyBorder="1" applyAlignment="1">
      <alignment vertical="center" wrapText="1"/>
    </xf>
    <xf numFmtId="3" fontId="20" fillId="0" borderId="38" xfId="0" applyNumberFormat="1" applyFont="1" applyBorder="1" applyAlignment="1">
      <alignment vertical="center" wrapText="1"/>
    </xf>
    <xf numFmtId="3" fontId="5" fillId="5" borderId="38" xfId="0" applyNumberFormat="1" applyFont="1" applyFill="1" applyBorder="1" applyAlignment="1">
      <alignment vertical="center" wrapText="1"/>
    </xf>
    <xf numFmtId="177" fontId="5" fillId="15" borderId="43" xfId="0" quotePrefix="1" applyNumberFormat="1" applyFont="1" applyFill="1" applyBorder="1">
      <alignment vertical="center"/>
    </xf>
    <xf numFmtId="0" fontId="5" fillId="0" borderId="38" xfId="0" applyFont="1" applyBorder="1" applyAlignment="1">
      <alignment vertical="top"/>
    </xf>
    <xf numFmtId="0" fontId="5" fillId="0" borderId="42" xfId="0" applyFont="1" applyBorder="1" applyAlignment="1">
      <alignment vertical="top"/>
    </xf>
    <xf numFmtId="0" fontId="5" fillId="0" borderId="45" xfId="0" applyFont="1" applyBorder="1" applyAlignment="1">
      <alignment vertical="top" wrapText="1"/>
    </xf>
    <xf numFmtId="3" fontId="23" fillId="26" borderId="38" xfId="0" quotePrefix="1" applyNumberFormat="1" applyFont="1" applyFill="1" applyBorder="1" applyAlignment="1">
      <alignment horizontal="right" vertical="center" wrapText="1"/>
    </xf>
    <xf numFmtId="3" fontId="24" fillId="0" borderId="38" xfId="0" quotePrefix="1" applyNumberFormat="1" applyFont="1" applyBorder="1" applyAlignment="1">
      <alignment horizontal="right" vertical="center" wrapText="1"/>
    </xf>
    <xf numFmtId="3" fontId="23" fillId="25" borderId="38" xfId="0" quotePrefix="1" applyNumberFormat="1" applyFont="1" applyFill="1" applyBorder="1" applyAlignment="1">
      <alignment horizontal="right" vertical="center" wrapText="1"/>
    </xf>
    <xf numFmtId="3" fontId="24" fillId="26" borderId="38" xfId="0" quotePrefix="1" applyNumberFormat="1" applyFont="1" applyFill="1" applyBorder="1" applyAlignment="1">
      <alignment horizontal="right" vertical="center" wrapText="1"/>
    </xf>
    <xf numFmtId="3" fontId="24" fillId="26" borderId="38" xfId="0" applyNumberFormat="1" applyFont="1" applyFill="1" applyBorder="1" applyAlignment="1">
      <alignment horizontal="right" vertical="center" wrapText="1"/>
    </xf>
    <xf numFmtId="3" fontId="21" fillId="28" borderId="38" xfId="0" applyNumberFormat="1" applyFont="1" applyFill="1" applyBorder="1" applyAlignment="1">
      <alignment vertical="center" wrapText="1"/>
    </xf>
    <xf numFmtId="0" fontId="5" fillId="0" borderId="38" xfId="0" applyFont="1" applyBorder="1" applyAlignment="1">
      <alignment horizontal="left" vertical="top" wrapText="1"/>
    </xf>
    <xf numFmtId="3" fontId="23" fillId="24" borderId="38" xfId="0" quotePrefix="1" applyNumberFormat="1" applyFont="1" applyFill="1" applyBorder="1" applyAlignment="1">
      <alignment horizontal="right" vertical="center" wrapText="1"/>
    </xf>
    <xf numFmtId="3" fontId="24" fillId="24" borderId="38" xfId="0" quotePrefix="1" applyNumberFormat="1" applyFont="1" applyFill="1" applyBorder="1" applyAlignment="1">
      <alignment horizontal="right" vertical="center" wrapText="1"/>
    </xf>
    <xf numFmtId="3" fontId="25" fillId="25" borderId="38" xfId="0" quotePrefix="1" applyNumberFormat="1" applyFont="1" applyFill="1" applyBorder="1" applyAlignment="1">
      <alignment horizontal="right" vertical="center" wrapText="1"/>
    </xf>
    <xf numFmtId="3" fontId="22" fillId="15" borderId="38" xfId="0" applyNumberFormat="1" applyFont="1" applyFill="1" applyBorder="1" applyAlignment="1">
      <alignment horizontal="right" vertical="center" wrapText="1"/>
    </xf>
    <xf numFmtId="0" fontId="5" fillId="0" borderId="38" xfId="0" quotePrefix="1" applyFont="1" applyBorder="1" applyAlignment="1">
      <alignment horizontal="center" vertical="center"/>
    </xf>
    <xf numFmtId="3" fontId="23" fillId="0" borderId="38" xfId="0" quotePrefix="1" applyNumberFormat="1" applyFont="1" applyBorder="1" applyAlignment="1">
      <alignment horizontal="right" vertical="center" wrapText="1"/>
    </xf>
    <xf numFmtId="3" fontId="21" fillId="28" borderId="38" xfId="0" quotePrefix="1" applyNumberFormat="1" applyFont="1" applyFill="1" applyBorder="1" applyAlignment="1">
      <alignment horizontal="right" vertical="center" wrapText="1"/>
    </xf>
    <xf numFmtId="3" fontId="21" fillId="0" borderId="38" xfId="0" quotePrefix="1" applyNumberFormat="1" applyFont="1" applyBorder="1" applyAlignment="1">
      <alignment horizontal="right" vertical="center" wrapText="1"/>
    </xf>
    <xf numFmtId="3" fontId="21" fillId="15" borderId="38" xfId="0" quotePrefix="1" applyNumberFormat="1" applyFont="1" applyFill="1" applyBorder="1" applyAlignment="1">
      <alignment horizontal="right" vertical="center" wrapText="1"/>
    </xf>
    <xf numFmtId="3" fontId="5" fillId="5" borderId="38" xfId="0" applyNumberFormat="1" applyFont="1" applyFill="1" applyBorder="1" applyAlignment="1">
      <alignment horizontal="right" vertical="center" wrapText="1"/>
    </xf>
    <xf numFmtId="3" fontId="13" fillId="5" borderId="38" xfId="0" applyNumberFormat="1" applyFont="1" applyFill="1" applyBorder="1" applyAlignment="1">
      <alignment vertical="center" wrapText="1"/>
    </xf>
    <xf numFmtId="3" fontId="5" fillId="3" borderId="38" xfId="0" quotePrefix="1" applyNumberFormat="1" applyFont="1" applyFill="1" applyBorder="1" applyAlignment="1">
      <alignment horizontal="right" vertical="center" wrapText="1"/>
    </xf>
    <xf numFmtId="3" fontId="21" fillId="3" borderId="38" xfId="0" quotePrefix="1" applyNumberFormat="1" applyFont="1" applyFill="1" applyBorder="1" applyAlignment="1">
      <alignment horizontal="right" vertical="center" wrapText="1"/>
    </xf>
    <xf numFmtId="3" fontId="5" fillId="15" borderId="38" xfId="0" applyNumberFormat="1" applyFont="1" applyFill="1" applyBorder="1" applyAlignment="1">
      <alignment horizontal="right" vertical="center" wrapText="1"/>
    </xf>
    <xf numFmtId="0" fontId="5" fillId="3" borderId="38" xfId="0" applyFont="1" applyFill="1" applyBorder="1" applyAlignment="1">
      <alignment horizontal="right" vertical="center" wrapText="1"/>
    </xf>
    <xf numFmtId="0" fontId="5" fillId="3" borderId="38" xfId="0" applyFont="1" applyFill="1" applyBorder="1" applyAlignment="1">
      <alignment horizontal="right" vertical="top" wrapText="1"/>
    </xf>
    <xf numFmtId="0" fontId="5" fillId="0" borderId="37" xfId="0" applyFont="1" applyBorder="1" applyAlignment="1">
      <alignment vertical="top"/>
    </xf>
    <xf numFmtId="0" fontId="5" fillId="0" borderId="80" xfId="0" applyFont="1" applyBorder="1" applyAlignment="1">
      <alignment vertical="top"/>
    </xf>
    <xf numFmtId="177" fontId="5" fillId="0" borderId="38" xfId="0" quotePrefix="1" applyNumberFormat="1" applyFont="1" applyBorder="1" applyAlignment="1">
      <alignment vertical="top"/>
    </xf>
    <xf numFmtId="4" fontId="23" fillId="27" borderId="38" xfId="0" applyNumberFormat="1" applyFont="1" applyFill="1" applyBorder="1" applyAlignment="1">
      <alignment horizontal="right" vertical="center" wrapText="1"/>
    </xf>
    <xf numFmtId="3" fontId="22" fillId="0" borderId="38" xfId="0" applyNumberFormat="1" applyFont="1" applyBorder="1" applyAlignment="1">
      <alignment horizontal="right" vertical="center" wrapText="1"/>
    </xf>
    <xf numFmtId="3" fontId="22" fillId="24" borderId="38" xfId="0" applyNumberFormat="1" applyFont="1" applyFill="1" applyBorder="1" applyAlignment="1">
      <alignment horizontal="right" vertical="center" wrapText="1"/>
    </xf>
    <xf numFmtId="4" fontId="22" fillId="27" borderId="38" xfId="0" applyNumberFormat="1" applyFont="1" applyFill="1" applyBorder="1" applyAlignment="1">
      <alignment horizontal="right" vertical="center" wrapText="1"/>
    </xf>
    <xf numFmtId="4" fontId="5" fillId="5" borderId="38" xfId="0" applyNumberFormat="1" applyFont="1" applyFill="1" applyBorder="1" applyAlignment="1">
      <alignment vertical="center" wrapText="1"/>
    </xf>
    <xf numFmtId="3" fontId="23" fillId="24" borderId="38" xfId="0" applyNumberFormat="1" applyFont="1" applyFill="1" applyBorder="1" applyAlignment="1">
      <alignment horizontal="right" vertical="center" wrapText="1"/>
    </xf>
    <xf numFmtId="3" fontId="23" fillId="24" borderId="37" xfId="0" quotePrefix="1" applyNumberFormat="1" applyFont="1" applyFill="1" applyBorder="1" applyAlignment="1">
      <alignment horizontal="right" vertical="center" wrapText="1"/>
    </xf>
    <xf numFmtId="3" fontId="23" fillId="22" borderId="38" xfId="0" quotePrefix="1" applyNumberFormat="1" applyFont="1" applyFill="1" applyBorder="1" applyAlignment="1">
      <alignment horizontal="right" vertical="center" wrapText="1"/>
    </xf>
    <xf numFmtId="3" fontId="23" fillId="15" borderId="38" xfId="0" quotePrefix="1" applyNumberFormat="1" applyFont="1" applyFill="1" applyBorder="1" applyAlignment="1">
      <alignment horizontal="right" vertical="center" wrapText="1"/>
    </xf>
    <xf numFmtId="3" fontId="26" fillId="5" borderId="38" xfId="0" quotePrefix="1" applyNumberFormat="1" applyFont="1" applyFill="1" applyBorder="1" applyAlignment="1">
      <alignment horizontal="right" vertical="center" wrapText="1"/>
    </xf>
    <xf numFmtId="3" fontId="26" fillId="0" borderId="38" xfId="0" quotePrefix="1" applyNumberFormat="1" applyFont="1" applyBorder="1" applyAlignment="1">
      <alignment horizontal="right" vertical="center" wrapText="1"/>
    </xf>
    <xf numFmtId="3" fontId="26" fillId="3" borderId="38" xfId="0" quotePrefix="1" applyNumberFormat="1" applyFont="1" applyFill="1" applyBorder="1" applyAlignment="1">
      <alignment horizontal="right" vertical="center" wrapText="1"/>
    </xf>
    <xf numFmtId="3" fontId="26" fillId="5" borderId="38" xfId="0" quotePrefix="1" applyNumberFormat="1" applyFont="1" applyFill="1" applyBorder="1" applyAlignment="1">
      <alignment vertical="center" wrapText="1"/>
    </xf>
    <xf numFmtId="3" fontId="26" fillId="3" borderId="38" xfId="0" quotePrefix="1" applyNumberFormat="1" applyFont="1" applyFill="1" applyBorder="1" applyAlignment="1">
      <alignment vertical="center" wrapText="1"/>
    </xf>
    <xf numFmtId="3" fontId="26" fillId="5" borderId="38" xfId="0" applyNumberFormat="1" applyFont="1" applyFill="1" applyBorder="1" applyAlignment="1">
      <alignment vertical="center" wrapText="1"/>
    </xf>
    <xf numFmtId="3" fontId="5" fillId="4" borderId="38" xfId="0" quotePrefix="1" applyNumberFormat="1" applyFont="1" applyFill="1" applyBorder="1" applyAlignment="1">
      <alignment horizontal="right" vertical="center" wrapText="1"/>
    </xf>
    <xf numFmtId="3" fontId="5" fillId="15" borderId="38" xfId="0" quotePrefix="1" applyNumberFormat="1" applyFont="1" applyFill="1" applyBorder="1" applyAlignment="1">
      <alignment horizontal="right" vertical="center" wrapText="1"/>
    </xf>
    <xf numFmtId="3" fontId="5" fillId="0" borderId="38" xfId="0" applyNumberFormat="1" applyFont="1" applyBorder="1" applyAlignment="1">
      <alignment horizontal="right" vertical="center" wrapText="1"/>
    </xf>
    <xf numFmtId="0" fontId="5" fillId="21" borderId="59" xfId="0" applyFont="1" applyFill="1" applyBorder="1" applyAlignment="1">
      <alignment horizontal="center" vertical="top" wrapText="1"/>
    </xf>
    <xf numFmtId="177" fontId="5" fillId="0" borderId="45" xfId="0" quotePrefix="1" applyNumberFormat="1" applyFont="1" applyBorder="1" applyAlignment="1">
      <alignment horizontal="left" vertical="top" wrapText="1"/>
    </xf>
    <xf numFmtId="177" fontId="5" fillId="19" borderId="42" xfId="0" quotePrefix="1" applyNumberFormat="1" applyFont="1" applyFill="1" applyBorder="1" applyAlignment="1">
      <alignment horizontal="left" vertical="center"/>
    </xf>
    <xf numFmtId="177" fontId="5" fillId="19" borderId="54" xfId="0" quotePrefix="1" applyNumberFormat="1" applyFont="1" applyFill="1" applyBorder="1" applyAlignment="1">
      <alignment vertical="top"/>
    </xf>
    <xf numFmtId="177" fontId="5" fillId="19" borderId="43" xfId="0" quotePrefix="1" applyNumberFormat="1" applyFont="1" applyFill="1" applyBorder="1" applyAlignment="1">
      <alignment vertical="top" wrapText="1"/>
    </xf>
    <xf numFmtId="177" fontId="5" fillId="19" borderId="45" xfId="0" quotePrefix="1" applyNumberFormat="1" applyFont="1" applyFill="1" applyBorder="1" applyAlignment="1">
      <alignment horizontal="left" vertical="top" wrapText="1"/>
    </xf>
    <xf numFmtId="3" fontId="20" fillId="19" borderId="38" xfId="0" quotePrefix="1" applyNumberFormat="1" applyFont="1" applyFill="1" applyBorder="1" applyAlignment="1">
      <alignment horizontal="right" vertical="center" wrapText="1"/>
    </xf>
    <xf numFmtId="3" fontId="5" fillId="19" borderId="38" xfId="0" quotePrefix="1" applyNumberFormat="1" applyFont="1" applyFill="1" applyBorder="1" applyAlignment="1">
      <alignment horizontal="right" vertical="center" wrapText="1"/>
    </xf>
    <xf numFmtId="0" fontId="5" fillId="19" borderId="38" xfId="0" applyFont="1" applyFill="1" applyBorder="1" applyAlignment="1">
      <alignment vertical="center" wrapText="1"/>
    </xf>
    <xf numFmtId="0" fontId="0" fillId="21" borderId="38" xfId="0" applyFill="1" applyBorder="1" applyAlignment="1">
      <alignment horizontal="left" vertical="top" wrapText="1"/>
    </xf>
    <xf numFmtId="177" fontId="5" fillId="15" borderId="42" xfId="0" quotePrefix="1" applyNumberFormat="1" applyFont="1" applyFill="1" applyBorder="1" applyAlignment="1">
      <alignment horizontal="left" vertical="center"/>
    </xf>
    <xf numFmtId="177" fontId="5" fillId="15" borderId="44" xfId="0" quotePrefix="1" applyNumberFormat="1" applyFont="1" applyFill="1" applyBorder="1" applyAlignment="1">
      <alignment vertical="top"/>
    </xf>
    <xf numFmtId="177" fontId="5" fillId="15" borderId="64" xfId="0" quotePrefix="1" applyNumberFormat="1" applyFont="1" applyFill="1" applyBorder="1" applyAlignment="1">
      <alignment vertical="top"/>
    </xf>
    <xf numFmtId="177" fontId="5" fillId="0" borderId="67" xfId="0" quotePrefix="1" applyNumberFormat="1" applyFont="1" applyBorder="1" applyAlignment="1">
      <alignment horizontal="left" vertical="center"/>
    </xf>
    <xf numFmtId="0" fontId="5" fillId="3" borderId="52" xfId="0" quotePrefix="1" applyFont="1" applyFill="1" applyBorder="1" applyAlignment="1">
      <alignment horizontal="center" vertical="center"/>
    </xf>
    <xf numFmtId="177" fontId="5" fillId="15" borderId="75" xfId="0" quotePrefix="1" applyNumberFormat="1" applyFont="1" applyFill="1" applyBorder="1" applyAlignment="1">
      <alignment vertical="top"/>
    </xf>
    <xf numFmtId="177" fontId="5" fillId="15" borderId="70" xfId="0" quotePrefix="1" applyNumberFormat="1" applyFont="1" applyFill="1" applyBorder="1" applyAlignment="1">
      <alignment vertical="top"/>
    </xf>
    <xf numFmtId="177" fontId="5" fillId="0" borderId="53" xfId="0" quotePrefix="1" applyNumberFormat="1" applyFont="1" applyBorder="1" applyAlignment="1">
      <alignment horizontal="left" vertical="top"/>
    </xf>
    <xf numFmtId="0" fontId="5" fillId="3" borderId="54" xfId="0" quotePrefix="1" applyFont="1" applyFill="1" applyBorder="1" applyAlignment="1">
      <alignment horizontal="center" vertical="center"/>
    </xf>
    <xf numFmtId="3" fontId="20" fillId="3" borderId="54" xfId="0" quotePrefix="1" applyNumberFormat="1" applyFont="1" applyFill="1" applyBorder="1" applyAlignment="1">
      <alignment horizontal="right" vertical="center" wrapText="1"/>
    </xf>
    <xf numFmtId="3" fontId="5" fillId="3" borderId="54" xfId="0" applyNumberFormat="1" applyFont="1" applyFill="1" applyBorder="1" applyAlignment="1">
      <alignment horizontal="right" vertical="center" wrapText="1"/>
    </xf>
    <xf numFmtId="0" fontId="5" fillId="3" borderId="54" xfId="0" applyFont="1" applyFill="1" applyBorder="1" applyAlignment="1">
      <alignment vertical="center" wrapText="1"/>
    </xf>
    <xf numFmtId="0" fontId="5" fillId="17" borderId="66" xfId="0" applyFont="1" applyFill="1" applyBorder="1" applyAlignment="1">
      <alignment horizontal="center" vertical="center"/>
    </xf>
    <xf numFmtId="0" fontId="19" fillId="14" borderId="35" xfId="0" applyFont="1" applyFill="1" applyBorder="1" applyAlignment="1">
      <alignment vertical="top"/>
    </xf>
    <xf numFmtId="0" fontId="15" fillId="14" borderId="83" xfId="0" applyFont="1" applyFill="1" applyBorder="1" applyAlignment="1">
      <alignment vertical="top"/>
    </xf>
    <xf numFmtId="0" fontId="15" fillId="14" borderId="83" xfId="0" applyFont="1" applyFill="1" applyBorder="1" applyAlignment="1">
      <alignment horizontal="center" vertical="center"/>
    </xf>
    <xf numFmtId="0" fontId="15" fillId="14" borderId="83" xfId="0" applyFont="1" applyFill="1" applyBorder="1" applyAlignment="1">
      <alignment horizontal="right" vertical="center"/>
    </xf>
    <xf numFmtId="0" fontId="15" fillId="14" borderId="83" xfId="0" applyFont="1" applyFill="1" applyBorder="1" applyAlignment="1">
      <alignment horizontal="left" vertical="top"/>
    </xf>
    <xf numFmtId="0" fontId="15" fillId="14" borderId="84" xfId="0" applyFont="1" applyFill="1" applyBorder="1" applyAlignment="1">
      <alignment horizontal="left" vertical="top"/>
    </xf>
    <xf numFmtId="0" fontId="5" fillId="3" borderId="78" xfId="0" applyFont="1" applyFill="1" applyBorder="1" applyAlignment="1">
      <alignment vertical="top"/>
    </xf>
    <xf numFmtId="0" fontId="5" fillId="3" borderId="33" xfId="0" applyFont="1" applyFill="1" applyBorder="1" applyAlignment="1">
      <alignment vertical="top"/>
    </xf>
    <xf numFmtId="177" fontId="5" fillId="15" borderId="78" xfId="0" quotePrefix="1" applyNumberFormat="1" applyFont="1" applyFill="1" applyBorder="1" applyAlignment="1">
      <alignment horizontal="center" vertical="center"/>
    </xf>
    <xf numFmtId="3" fontId="22" fillId="27" borderId="85" xfId="0" applyNumberFormat="1" applyFont="1" applyFill="1" applyBorder="1" applyAlignment="1">
      <alignment horizontal="right" vertical="center" wrapText="1"/>
    </xf>
    <xf numFmtId="3" fontId="22" fillId="0" borderId="86" xfId="0" applyNumberFormat="1" applyFont="1" applyBorder="1" applyAlignment="1">
      <alignment horizontal="right" vertical="center" wrapText="1"/>
    </xf>
    <xf numFmtId="3" fontId="22" fillId="27" borderId="86" xfId="0" applyNumberFormat="1" applyFont="1" applyFill="1" applyBorder="1" applyAlignment="1">
      <alignment horizontal="right" vertical="center" wrapText="1"/>
    </xf>
    <xf numFmtId="3" fontId="22" fillId="15" borderId="78" xfId="0" applyNumberFormat="1" applyFont="1" applyFill="1" applyBorder="1" applyAlignment="1">
      <alignment horizontal="right" vertical="center" wrapText="1"/>
    </xf>
    <xf numFmtId="3" fontId="5" fillId="0" borderId="78" xfId="0" applyNumberFormat="1" applyFont="1" applyBorder="1" applyAlignment="1">
      <alignment vertical="center" wrapText="1"/>
    </xf>
    <xf numFmtId="3" fontId="5" fillId="5" borderId="77" xfId="0" applyNumberFormat="1" applyFont="1" applyFill="1" applyBorder="1" applyAlignment="1">
      <alignment vertical="center" wrapText="1"/>
    </xf>
    <xf numFmtId="0" fontId="5" fillId="3" borderId="78" xfId="0" applyFont="1" applyFill="1" applyBorder="1" applyAlignment="1">
      <alignment horizontal="left" vertical="top"/>
    </xf>
    <xf numFmtId="0" fontId="5" fillId="3" borderId="37" xfId="0" applyFont="1" applyFill="1" applyBorder="1" applyAlignment="1">
      <alignment horizontal="left" vertical="top"/>
    </xf>
    <xf numFmtId="0" fontId="5" fillId="3" borderId="80" xfId="0" applyFont="1" applyFill="1" applyBorder="1" applyAlignment="1">
      <alignment vertical="top" wrapText="1"/>
    </xf>
    <xf numFmtId="0" fontId="5" fillId="0" borderId="82" xfId="0" applyFont="1" applyBorder="1" applyAlignment="1">
      <alignment vertical="top"/>
    </xf>
    <xf numFmtId="3" fontId="22" fillId="25" borderId="38" xfId="0" applyNumberFormat="1" applyFont="1" applyFill="1" applyBorder="1" applyAlignment="1">
      <alignment horizontal="right" vertical="center" wrapText="1"/>
    </xf>
    <xf numFmtId="0" fontId="21" fillId="3" borderId="38" xfId="0" applyFont="1" applyFill="1" applyBorder="1" applyAlignment="1">
      <alignment vertical="center" wrapText="1"/>
    </xf>
    <xf numFmtId="182" fontId="5" fillId="15" borderId="37" xfId="0" quotePrefix="1" applyNumberFormat="1" applyFont="1" applyFill="1" applyBorder="1" applyAlignment="1">
      <alignment vertical="center" wrapText="1"/>
    </xf>
    <xf numFmtId="177" fontId="5" fillId="29" borderId="43" xfId="0" quotePrefix="1" applyNumberFormat="1" applyFont="1" applyFill="1" applyBorder="1" applyAlignment="1">
      <alignment horizontal="center" vertical="center"/>
    </xf>
    <xf numFmtId="177" fontId="5" fillId="30" borderId="54" xfId="0" quotePrefix="1" applyNumberFormat="1" applyFont="1" applyFill="1" applyBorder="1" applyAlignment="1">
      <alignment vertical="top"/>
    </xf>
    <xf numFmtId="177" fontId="5" fillId="29" borderId="42" xfId="0" applyNumberFormat="1" applyFont="1" applyFill="1" applyBorder="1" applyAlignment="1">
      <alignment vertical="top"/>
    </xf>
    <xf numFmtId="177" fontId="5" fillId="29" borderId="42" xfId="0" applyNumberFormat="1" applyFont="1" applyFill="1" applyBorder="1" applyAlignment="1">
      <alignment vertical="top" wrapText="1"/>
    </xf>
    <xf numFmtId="177" fontId="5" fillId="29" borderId="45" xfId="0" applyNumberFormat="1" applyFont="1" applyFill="1" applyBorder="1" applyAlignment="1">
      <alignment horizontal="left" vertical="top" wrapText="1"/>
    </xf>
    <xf numFmtId="177" fontId="5" fillId="15" borderId="38" xfId="0" quotePrefix="1" applyNumberFormat="1" applyFont="1" applyFill="1" applyBorder="1" applyAlignment="1">
      <alignment horizontal="right" vertical="center"/>
    </xf>
    <xf numFmtId="3" fontId="5" fillId="5" borderId="45" xfId="0" applyNumberFormat="1" applyFont="1" applyFill="1" applyBorder="1" applyAlignment="1">
      <alignment vertical="center" wrapText="1"/>
    </xf>
    <xf numFmtId="0" fontId="5" fillId="3" borderId="38" xfId="0" applyFont="1" applyFill="1" applyBorder="1" applyAlignment="1">
      <alignment horizontal="left" vertical="top"/>
    </xf>
    <xf numFmtId="177" fontId="5" fillId="29" borderId="57" xfId="0" quotePrefix="1" applyNumberFormat="1" applyFont="1" applyFill="1" applyBorder="1" applyAlignment="1">
      <alignment vertical="top"/>
    </xf>
    <xf numFmtId="177" fontId="5" fillId="29" borderId="43" xfId="0" quotePrefix="1" applyNumberFormat="1" applyFont="1" applyFill="1" applyBorder="1" applyAlignment="1">
      <alignment vertical="top"/>
    </xf>
    <xf numFmtId="177" fontId="5" fillId="29" borderId="45" xfId="0" quotePrefix="1" applyNumberFormat="1" applyFont="1" applyFill="1" applyBorder="1" applyAlignment="1">
      <alignment vertical="top"/>
    </xf>
    <xf numFmtId="182" fontId="21" fillId="15" borderId="38" xfId="0" quotePrefix="1" applyNumberFormat="1" applyFont="1" applyFill="1" applyBorder="1" applyAlignment="1">
      <alignment vertical="top" wrapText="1"/>
    </xf>
    <xf numFmtId="177" fontId="5" fillId="29" borderId="80" xfId="0" quotePrefix="1" applyNumberFormat="1" applyFont="1" applyFill="1" applyBorder="1" applyAlignment="1">
      <alignment vertical="top"/>
    </xf>
    <xf numFmtId="177" fontId="21" fillId="15" borderId="42" xfId="0" applyNumberFormat="1" applyFont="1" applyFill="1" applyBorder="1" applyAlignment="1">
      <alignment vertical="top"/>
    </xf>
    <xf numFmtId="177" fontId="21" fillId="15" borderId="42" xfId="0" applyNumberFormat="1" applyFont="1" applyFill="1" applyBorder="1" applyAlignment="1">
      <alignment vertical="top" wrapText="1"/>
    </xf>
    <xf numFmtId="177" fontId="21" fillId="15" borderId="45" xfId="0" applyNumberFormat="1" applyFont="1" applyFill="1" applyBorder="1" applyAlignment="1">
      <alignment vertical="top" wrapText="1"/>
    </xf>
    <xf numFmtId="177" fontId="21" fillId="15" borderId="38" xfId="0" quotePrefix="1" applyNumberFormat="1" applyFont="1" applyFill="1" applyBorder="1" applyAlignment="1">
      <alignment horizontal="center" vertical="center"/>
    </xf>
    <xf numFmtId="3" fontId="23" fillId="24" borderId="54" xfId="0" applyNumberFormat="1" applyFont="1" applyFill="1" applyBorder="1" applyAlignment="1">
      <alignment horizontal="right" vertical="center" wrapText="1"/>
    </xf>
    <xf numFmtId="3" fontId="24" fillId="24" borderId="54" xfId="0" applyNumberFormat="1" applyFont="1" applyFill="1" applyBorder="1" applyAlignment="1">
      <alignment horizontal="right" vertical="center" wrapText="1"/>
    </xf>
    <xf numFmtId="3" fontId="24" fillId="0" borderId="54" xfId="0" applyNumberFormat="1" applyFont="1" applyBorder="1" applyAlignment="1">
      <alignment horizontal="right" vertical="center" wrapText="1"/>
    </xf>
    <xf numFmtId="3" fontId="24" fillId="22" borderId="54" xfId="0" applyNumberFormat="1" applyFont="1" applyFill="1" applyBorder="1" applyAlignment="1">
      <alignment horizontal="right" vertical="center" wrapText="1"/>
    </xf>
    <xf numFmtId="3" fontId="24" fillId="15" borderId="54" xfId="0" applyNumberFormat="1" applyFont="1" applyFill="1" applyBorder="1" applyAlignment="1">
      <alignment horizontal="right" vertical="center" wrapText="1"/>
    </xf>
    <xf numFmtId="182" fontId="24" fillId="25" borderId="54" xfId="0" quotePrefix="1" applyNumberFormat="1" applyFont="1" applyFill="1" applyBorder="1" applyAlignment="1">
      <alignment horizontal="right" vertical="top" wrapText="1"/>
    </xf>
    <xf numFmtId="182" fontId="24" fillId="25" borderId="38" xfId="0" quotePrefix="1" applyNumberFormat="1" applyFont="1" applyFill="1" applyBorder="1" applyAlignment="1">
      <alignment horizontal="right" vertical="top" wrapText="1"/>
    </xf>
    <xf numFmtId="3" fontId="29" fillId="4" borderId="38" xfId="0" applyNumberFormat="1" applyFont="1" applyFill="1" applyBorder="1" applyAlignment="1">
      <alignment vertical="center" wrapText="1"/>
    </xf>
    <xf numFmtId="0" fontId="21" fillId="3" borderId="38" xfId="0" applyFont="1" applyFill="1" applyBorder="1" applyAlignment="1">
      <alignment horizontal="left" vertical="top"/>
    </xf>
    <xf numFmtId="3" fontId="21" fillId="3" borderId="38" xfId="0" applyNumberFormat="1" applyFont="1" applyFill="1" applyBorder="1" applyAlignment="1">
      <alignment horizontal="center" vertical="center"/>
    </xf>
    <xf numFmtId="3" fontId="21" fillId="4" borderId="38" xfId="0" applyNumberFormat="1" applyFont="1" applyFill="1" applyBorder="1">
      <alignment vertical="center"/>
    </xf>
    <xf numFmtId="0" fontId="21" fillId="17" borderId="59" xfId="0" applyFont="1" applyFill="1" applyBorder="1" applyAlignment="1">
      <alignment horizontal="center" vertical="center"/>
    </xf>
    <xf numFmtId="0" fontId="21" fillId="17" borderId="60" xfId="0" applyFont="1" applyFill="1" applyBorder="1" applyAlignment="1">
      <alignment horizontal="center" vertical="top" wrapText="1"/>
    </xf>
    <xf numFmtId="0" fontId="30" fillId="3" borderId="0" xfId="0" applyFont="1" applyFill="1" applyAlignment="1">
      <alignment horizontal="center" vertical="center"/>
    </xf>
    <xf numFmtId="0" fontId="21" fillId="0" borderId="0" xfId="0" applyFont="1">
      <alignment vertical="center"/>
    </xf>
    <xf numFmtId="177" fontId="5" fillId="0" borderId="42" xfId="0" quotePrefix="1" applyNumberFormat="1" applyFont="1" applyBorder="1" applyAlignment="1">
      <alignment vertical="top" wrapText="1"/>
    </xf>
    <xf numFmtId="177" fontId="5" fillId="0" borderId="38" xfId="0" quotePrefix="1" applyNumberFormat="1" applyFont="1" applyBorder="1" applyAlignment="1">
      <alignment horizontal="right" vertical="center"/>
    </xf>
    <xf numFmtId="0" fontId="5" fillId="0" borderId="38" xfId="0" applyFont="1" applyBorder="1" applyAlignment="1">
      <alignment vertical="center" wrapText="1"/>
    </xf>
    <xf numFmtId="0" fontId="9" fillId="3" borderId="38" xfId="0" applyFont="1" applyFill="1" applyBorder="1" applyAlignment="1">
      <alignment horizontal="center" vertical="center" wrapText="1"/>
    </xf>
    <xf numFmtId="0" fontId="5" fillId="0" borderId="38" xfId="0" applyFont="1" applyBorder="1" applyAlignment="1">
      <alignment horizontal="center" vertical="center" wrapText="1"/>
    </xf>
    <xf numFmtId="0" fontId="31" fillId="0" borderId="38" xfId="0" applyFont="1" applyBorder="1" applyAlignment="1">
      <alignment horizontal="left" vertical="top"/>
    </xf>
    <xf numFmtId="3" fontId="13" fillId="4" borderId="44" xfId="0" applyNumberFormat="1" applyFont="1" applyFill="1" applyBorder="1" applyAlignment="1">
      <alignment vertical="center" wrapText="1"/>
    </xf>
    <xf numFmtId="0" fontId="5" fillId="0" borderId="38" xfId="0" applyFont="1" applyBorder="1" applyAlignment="1">
      <alignment horizontal="center" vertical="top" wrapText="1"/>
    </xf>
    <xf numFmtId="0" fontId="5" fillId="0" borderId="43" xfId="0" applyFont="1" applyBorder="1">
      <alignment vertical="center"/>
    </xf>
    <xf numFmtId="0" fontId="5" fillId="0" borderId="42" xfId="0" applyFont="1" applyBorder="1">
      <alignment vertical="center"/>
    </xf>
    <xf numFmtId="177" fontId="5" fillId="0" borderId="43" xfId="0" quotePrefix="1" applyNumberFormat="1" applyFont="1" applyBorder="1" applyAlignment="1">
      <alignment horizontal="center" vertical="center"/>
    </xf>
    <xf numFmtId="0" fontId="5" fillId="0" borderId="43" xfId="0" applyFont="1" applyBorder="1" applyAlignment="1">
      <alignment vertical="top" wrapText="1"/>
    </xf>
    <xf numFmtId="3" fontId="13" fillId="4" borderId="54" xfId="0" applyNumberFormat="1" applyFont="1" applyFill="1" applyBorder="1" applyAlignment="1">
      <alignment vertical="center" wrapText="1"/>
    </xf>
    <xf numFmtId="0" fontId="5" fillId="0" borderId="43" xfId="0" applyFont="1" applyBorder="1" applyAlignment="1">
      <alignment vertical="top"/>
    </xf>
    <xf numFmtId="0" fontId="5" fillId="0" borderId="43" xfId="0" applyFont="1" applyBorder="1" applyAlignment="1">
      <alignment horizontal="left" vertical="center"/>
    </xf>
    <xf numFmtId="0" fontId="5" fillId="0" borderId="42" xfId="0" applyFont="1" applyBorder="1" applyAlignment="1">
      <alignment vertical="top" wrapText="1"/>
    </xf>
    <xf numFmtId="0" fontId="5" fillId="0" borderId="45" xfId="0" applyFont="1" applyBorder="1" applyAlignment="1">
      <alignment horizontal="left" vertical="top" wrapText="1"/>
    </xf>
    <xf numFmtId="3" fontId="0" fillId="4" borderId="38" xfId="0" quotePrefix="1" applyNumberFormat="1" applyFill="1" applyBorder="1" applyAlignment="1">
      <alignment horizontal="right" vertical="center" wrapText="1"/>
    </xf>
    <xf numFmtId="182" fontId="11" fillId="4" borderId="38" xfId="0" quotePrefix="1" applyNumberFormat="1" applyFont="1" applyFill="1" applyBorder="1" applyAlignment="1">
      <alignment horizontal="right" vertical="center" wrapText="1"/>
    </xf>
    <xf numFmtId="182" fontId="11" fillId="15" borderId="38" xfId="0" quotePrefix="1" applyNumberFormat="1" applyFont="1" applyFill="1" applyBorder="1" applyAlignment="1">
      <alignment horizontal="right" vertical="center" wrapText="1"/>
    </xf>
    <xf numFmtId="3" fontId="0" fillId="4" borderId="38" xfId="0" applyNumberFormat="1" applyFill="1" applyBorder="1" applyAlignment="1">
      <alignment horizontal="right" vertical="center" wrapText="1"/>
    </xf>
    <xf numFmtId="0" fontId="5" fillId="0" borderId="38" xfId="0" applyFont="1" applyBorder="1" applyAlignment="1">
      <alignment horizontal="right" vertical="top" wrapText="1"/>
    </xf>
    <xf numFmtId="3" fontId="5" fillId="4" borderId="54" xfId="0" applyNumberFormat="1" applyFont="1" applyFill="1" applyBorder="1" applyAlignment="1">
      <alignment horizontal="right" vertical="center" wrapText="1"/>
    </xf>
    <xf numFmtId="0" fontId="5" fillId="0" borderId="38" xfId="0" applyFont="1" applyBorder="1" applyAlignment="1">
      <alignment horizontal="right" vertical="center" wrapText="1"/>
    </xf>
    <xf numFmtId="3" fontId="13" fillId="4" borderId="54" xfId="0" applyNumberFormat="1" applyFont="1" applyFill="1" applyBorder="1" applyAlignment="1">
      <alignment horizontal="right" vertical="center" wrapText="1"/>
    </xf>
    <xf numFmtId="0" fontId="9" fillId="3" borderId="38" xfId="0" applyFont="1" applyFill="1" applyBorder="1" applyAlignment="1">
      <alignment horizontal="right" vertical="center" wrapText="1"/>
    </xf>
    <xf numFmtId="0" fontId="5" fillId="0" borderId="38" xfId="0" applyFont="1" applyBorder="1" applyAlignment="1">
      <alignment horizontal="left" vertical="center"/>
    </xf>
    <xf numFmtId="0" fontId="0" fillId="0" borderId="38" xfId="0" applyBorder="1" applyAlignment="1">
      <alignment horizontal="center" vertical="center"/>
    </xf>
    <xf numFmtId="3" fontId="13" fillId="4" borderId="44" xfId="0" applyNumberFormat="1" applyFont="1" applyFill="1" applyBorder="1" applyAlignment="1">
      <alignment horizontal="right" vertical="center" wrapText="1"/>
    </xf>
    <xf numFmtId="177" fontId="5" fillId="0" borderId="87" xfId="0" quotePrefix="1" applyNumberFormat="1" applyFont="1" applyBorder="1" applyAlignment="1">
      <alignment horizontal="center" vertical="center"/>
    </xf>
    <xf numFmtId="0" fontId="5" fillId="0" borderId="88" xfId="0" applyFont="1" applyBorder="1" applyAlignment="1">
      <alignment vertical="top"/>
    </xf>
    <xf numFmtId="0" fontId="5" fillId="0" borderId="89" xfId="0" applyFont="1" applyBorder="1" applyAlignment="1">
      <alignment vertical="top" wrapText="1"/>
    </xf>
    <xf numFmtId="0" fontId="5" fillId="0" borderId="88" xfId="0" applyFont="1" applyBorder="1" applyAlignment="1">
      <alignment vertical="top" wrapText="1"/>
    </xf>
    <xf numFmtId="177" fontId="5" fillId="0" borderId="73" xfId="0" quotePrefix="1" applyNumberFormat="1" applyFont="1" applyBorder="1" applyAlignment="1">
      <alignment horizontal="center" vertical="center"/>
    </xf>
    <xf numFmtId="3" fontId="21" fillId="4" borderId="38" xfId="0" applyNumberFormat="1" applyFont="1" applyFill="1" applyBorder="1" applyAlignment="1">
      <alignment horizontal="right" vertical="center" wrapText="1"/>
    </xf>
    <xf numFmtId="3" fontId="29" fillId="4" borderId="38" xfId="0" applyNumberFormat="1" applyFont="1" applyFill="1" applyBorder="1" applyAlignment="1">
      <alignment horizontal="right" vertical="center" wrapText="1"/>
    </xf>
    <xf numFmtId="0" fontId="15" fillId="14" borderId="22" xfId="0" applyFont="1" applyFill="1" applyBorder="1" applyAlignment="1">
      <alignment horizontal="center" vertical="center"/>
    </xf>
    <xf numFmtId="0" fontId="19" fillId="14" borderId="75" xfId="0" applyFont="1" applyFill="1" applyBorder="1" applyAlignment="1">
      <alignment vertical="top"/>
    </xf>
    <xf numFmtId="0" fontId="19" fillId="14" borderId="22" xfId="0" applyFont="1" applyFill="1" applyBorder="1" applyAlignment="1">
      <alignment vertical="top"/>
    </xf>
    <xf numFmtId="0" fontId="15" fillId="14" borderId="22" xfId="0" applyFont="1" applyFill="1" applyBorder="1" applyAlignment="1">
      <alignment vertical="top"/>
    </xf>
    <xf numFmtId="177" fontId="5" fillId="15" borderId="78" xfId="0" quotePrefix="1" applyNumberFormat="1" applyFont="1" applyFill="1" applyBorder="1" applyAlignment="1">
      <alignment vertical="top"/>
    </xf>
    <xf numFmtId="177" fontId="5" fillId="15" borderId="80" xfId="0" quotePrefix="1" applyNumberFormat="1" applyFont="1" applyFill="1" applyBorder="1" applyAlignment="1">
      <alignment horizontal="left" vertical="top" wrapText="1"/>
    </xf>
    <xf numFmtId="3" fontId="20" fillId="28" borderId="78" xfId="0" quotePrefix="1" applyNumberFormat="1" applyFont="1" applyFill="1" applyBorder="1" applyAlignment="1">
      <alignment vertical="center" wrapText="1"/>
    </xf>
    <xf numFmtId="3" fontId="5" fillId="0" borderId="78" xfId="0" quotePrefix="1" applyNumberFormat="1" applyFont="1" applyBorder="1" applyAlignment="1">
      <alignment vertical="center" wrapText="1"/>
    </xf>
    <xf numFmtId="3" fontId="20" fillId="28" borderId="78" xfId="0" applyNumberFormat="1" applyFont="1" applyFill="1" applyBorder="1" applyAlignment="1">
      <alignment vertical="center" wrapText="1"/>
    </xf>
    <xf numFmtId="3" fontId="5" fillId="15" borderId="78" xfId="0" quotePrefix="1" applyNumberFormat="1" applyFont="1" applyFill="1" applyBorder="1" applyAlignment="1">
      <alignment vertical="center" wrapText="1"/>
    </xf>
    <xf numFmtId="3" fontId="5" fillId="28" borderId="78" xfId="0" applyNumberFormat="1" applyFont="1" applyFill="1" applyBorder="1" applyAlignment="1">
      <alignment vertical="center" wrapText="1"/>
    </xf>
    <xf numFmtId="3" fontId="5" fillId="28" borderId="78" xfId="0" quotePrefix="1" applyNumberFormat="1" applyFont="1" applyFill="1" applyBorder="1" applyAlignment="1">
      <alignment vertical="center" wrapText="1"/>
    </xf>
    <xf numFmtId="0" fontId="5" fillId="28" borderId="78" xfId="0" applyFont="1" applyFill="1" applyBorder="1" applyAlignment="1">
      <alignment vertical="center" wrapText="1"/>
    </xf>
    <xf numFmtId="178" fontId="5" fillId="28" borderId="78" xfId="0" applyNumberFormat="1" applyFont="1" applyFill="1" applyBorder="1" applyAlignment="1">
      <alignment vertical="center" wrapText="1"/>
    </xf>
    <xf numFmtId="178" fontId="5" fillId="0" borderId="78" xfId="0" applyNumberFormat="1" applyFont="1" applyBorder="1" applyAlignment="1">
      <alignment vertical="center" wrapText="1"/>
    </xf>
    <xf numFmtId="0" fontId="5" fillId="3" borderId="78" xfId="0" applyFont="1" applyFill="1" applyBorder="1" applyAlignment="1">
      <alignment horizontal="left" vertical="top" wrapText="1"/>
    </xf>
    <xf numFmtId="0" fontId="5" fillId="4" borderId="78" xfId="0" applyFont="1" applyFill="1" applyBorder="1">
      <alignment vertical="center"/>
    </xf>
    <xf numFmtId="0" fontId="5" fillId="0" borderId="44" xfId="0" applyFont="1" applyBorder="1" applyAlignment="1">
      <alignment horizontal="left" vertical="top"/>
    </xf>
    <xf numFmtId="177" fontId="5" fillId="15" borderId="43" xfId="0" quotePrefix="1" applyNumberFormat="1" applyFont="1" applyFill="1" applyBorder="1" applyAlignment="1">
      <alignment horizontal="left" vertical="top" wrapText="1"/>
    </xf>
    <xf numFmtId="177" fontId="5" fillId="15" borderId="45" xfId="0" quotePrefix="1" applyNumberFormat="1" applyFont="1" applyFill="1" applyBorder="1" applyAlignment="1">
      <alignment horizontal="left" vertical="top" wrapText="1"/>
    </xf>
    <xf numFmtId="3" fontId="20" fillId="3" borderId="38" xfId="0" quotePrefix="1" applyNumberFormat="1" applyFont="1" applyFill="1" applyBorder="1" applyAlignment="1">
      <alignment vertical="center" wrapText="1"/>
    </xf>
    <xf numFmtId="3" fontId="5" fillId="3" borderId="38" xfId="0" quotePrefix="1" applyNumberFormat="1" applyFont="1" applyFill="1" applyBorder="1" applyAlignment="1">
      <alignment vertical="center" wrapText="1"/>
    </xf>
    <xf numFmtId="3" fontId="5" fillId="15" borderId="38" xfId="0" quotePrefix="1" applyNumberFormat="1" applyFont="1" applyFill="1" applyBorder="1" applyAlignment="1">
      <alignment vertical="center" wrapText="1"/>
    </xf>
    <xf numFmtId="3" fontId="5" fillId="18" borderId="38" xfId="0" quotePrefix="1" applyNumberFormat="1" applyFont="1" applyFill="1" applyBorder="1" applyAlignment="1">
      <alignment vertical="center" wrapText="1"/>
    </xf>
    <xf numFmtId="178" fontId="13" fillId="4" borderId="38" xfId="0" applyNumberFormat="1" applyFont="1" applyFill="1" applyBorder="1" applyAlignment="1">
      <alignment vertical="center" wrapText="1"/>
    </xf>
    <xf numFmtId="178" fontId="5" fillId="3" borderId="38" xfId="0" applyNumberFormat="1" applyFont="1" applyFill="1" applyBorder="1" applyAlignment="1">
      <alignment vertical="center" wrapText="1"/>
    </xf>
    <xf numFmtId="0" fontId="5" fillId="3" borderId="37" xfId="0" applyFont="1" applyFill="1" applyBorder="1" applyAlignment="1">
      <alignment horizontal="left" vertical="top" wrapText="1"/>
    </xf>
    <xf numFmtId="3" fontId="5" fillId="3" borderId="37" xfId="0" applyNumberFormat="1" applyFont="1" applyFill="1" applyBorder="1" applyAlignment="1">
      <alignment horizontal="center" vertical="top" wrapText="1"/>
    </xf>
    <xf numFmtId="0" fontId="5" fillId="4" borderId="45" xfId="0" applyFont="1" applyFill="1" applyBorder="1">
      <alignment vertical="center"/>
    </xf>
    <xf numFmtId="0" fontId="5" fillId="4" borderId="38" xfId="0" applyFont="1" applyFill="1" applyBorder="1">
      <alignment vertical="center"/>
    </xf>
    <xf numFmtId="3" fontId="5" fillId="3" borderId="80" xfId="0" applyNumberFormat="1" applyFont="1" applyFill="1" applyBorder="1" applyAlignment="1">
      <alignment horizontal="center" vertical="top" wrapText="1"/>
    </xf>
    <xf numFmtId="177" fontId="5" fillId="0" borderId="54" xfId="0" quotePrefix="1" applyNumberFormat="1" applyFont="1" applyBorder="1">
      <alignment vertical="center"/>
    </xf>
    <xf numFmtId="0" fontId="5" fillId="0" borderId="65" xfId="0" applyFont="1" applyBorder="1" applyAlignment="1">
      <alignment horizontal="left" vertical="top" wrapText="1"/>
    </xf>
    <xf numFmtId="177" fontId="5" fillId="15" borderId="38" xfId="0" quotePrefix="1" applyNumberFormat="1" applyFont="1" applyFill="1" applyBorder="1" applyAlignment="1">
      <alignment horizontal="left" vertical="top" wrapText="1"/>
    </xf>
    <xf numFmtId="4" fontId="13" fillId="4" borderId="38" xfId="0" applyNumberFormat="1" applyFont="1" applyFill="1" applyBorder="1" applyAlignment="1">
      <alignment horizontal="center" vertical="center" wrapText="1"/>
    </xf>
    <xf numFmtId="177" fontId="5" fillId="0" borderId="37" xfId="0" quotePrefix="1" applyNumberFormat="1" applyFont="1" applyBorder="1">
      <alignment vertical="center"/>
    </xf>
    <xf numFmtId="177" fontId="5" fillId="0" borderId="38" xfId="0" quotePrefix="1" applyNumberFormat="1" applyFont="1" applyBorder="1" applyAlignment="1">
      <alignment horizontal="left" vertical="top" wrapText="1"/>
    </xf>
    <xf numFmtId="3" fontId="0" fillId="4" borderId="38" xfId="0" quotePrefix="1" applyNumberFormat="1" applyFill="1" applyBorder="1" applyAlignment="1">
      <alignment vertical="center" wrapText="1"/>
    </xf>
    <xf numFmtId="3" fontId="5" fillId="4" borderId="38" xfId="0" quotePrefix="1" applyNumberFormat="1" applyFont="1" applyFill="1" applyBorder="1" applyAlignment="1">
      <alignment vertical="center" wrapText="1"/>
    </xf>
    <xf numFmtId="177" fontId="5" fillId="0" borderId="43" xfId="0" quotePrefix="1" applyNumberFormat="1" applyFont="1" applyBorder="1" applyAlignment="1">
      <alignment horizontal="left" vertical="top" wrapText="1"/>
    </xf>
    <xf numFmtId="177" fontId="5" fillId="15" borderId="54" xfId="0" quotePrefix="1" applyNumberFormat="1" applyFont="1" applyFill="1" applyBorder="1">
      <alignment vertical="center"/>
    </xf>
    <xf numFmtId="177" fontId="5" fillId="15" borderId="37" xfId="0" quotePrefix="1" applyNumberFormat="1" applyFont="1" applyFill="1" applyBorder="1">
      <alignment vertical="center"/>
    </xf>
    <xf numFmtId="0" fontId="5" fillId="0" borderId="34" xfId="0" applyFont="1" applyBorder="1" applyAlignment="1">
      <alignment horizontal="left" vertical="top" wrapText="1"/>
    </xf>
    <xf numFmtId="177" fontId="5" fillId="15" borderId="43" xfId="0" quotePrefix="1" applyNumberFormat="1" applyFont="1" applyFill="1" applyBorder="1" applyAlignment="1">
      <alignment vertical="top" wrapText="1"/>
    </xf>
    <xf numFmtId="3" fontId="0" fillId="4" borderId="38" xfId="0" applyNumberFormat="1" applyFill="1" applyBorder="1" applyAlignment="1">
      <alignment vertical="center" wrapText="1"/>
    </xf>
    <xf numFmtId="4" fontId="5" fillId="3" borderId="38" xfId="0" applyNumberFormat="1" applyFont="1" applyFill="1" applyBorder="1" applyAlignment="1">
      <alignment vertical="center" wrapText="1"/>
    </xf>
    <xf numFmtId="177" fontId="5" fillId="0" borderId="42" xfId="0" quotePrefix="1" applyNumberFormat="1" applyFont="1" applyBorder="1" applyAlignment="1">
      <alignment horizontal="left" vertical="top" wrapText="1"/>
    </xf>
    <xf numFmtId="183" fontId="20" fillId="5" borderId="38" xfId="0" applyNumberFormat="1" applyFont="1" applyFill="1" applyBorder="1" applyAlignment="1">
      <alignment vertical="center" wrapText="1"/>
    </xf>
    <xf numFmtId="183" fontId="20" fillId="0" borderId="38" xfId="0" applyNumberFormat="1" applyFont="1" applyBorder="1" applyAlignment="1">
      <alignment vertical="center" wrapText="1"/>
    </xf>
    <xf numFmtId="183" fontId="20" fillId="3" borderId="38" xfId="0" applyNumberFormat="1" applyFont="1" applyFill="1" applyBorder="1" applyAlignment="1">
      <alignment vertical="center" wrapText="1"/>
    </xf>
    <xf numFmtId="183" fontId="26" fillId="5" borderId="38" xfId="0" applyNumberFormat="1" applyFont="1" applyFill="1" applyBorder="1" applyAlignment="1">
      <alignment vertical="center" wrapText="1"/>
    </xf>
    <xf numFmtId="184" fontId="21" fillId="5" borderId="38" xfId="0" applyNumberFormat="1" applyFont="1" applyFill="1" applyBorder="1" applyAlignment="1">
      <alignment vertical="center" wrapText="1"/>
    </xf>
    <xf numFmtId="183" fontId="5" fillId="3" borderId="38" xfId="0" applyNumberFormat="1" applyFont="1" applyFill="1" applyBorder="1" applyAlignment="1">
      <alignment vertical="center" wrapText="1"/>
    </xf>
    <xf numFmtId="177" fontId="5" fillId="0" borderId="43" xfId="0" quotePrefix="1" applyNumberFormat="1" applyFont="1" applyBorder="1" applyAlignment="1">
      <alignment horizontal="left" vertical="top"/>
    </xf>
    <xf numFmtId="0" fontId="15" fillId="0" borderId="38" xfId="0" applyFont="1" applyBorder="1" applyAlignment="1">
      <alignment horizontal="right" vertical="center"/>
    </xf>
    <xf numFmtId="177" fontId="5" fillId="15" borderId="45" xfId="0" quotePrefix="1" applyNumberFormat="1" applyFont="1" applyFill="1" applyBorder="1" applyAlignment="1">
      <alignment horizontal="left" vertical="center"/>
    </xf>
    <xf numFmtId="177" fontId="5" fillId="15" borderId="54" xfId="0" quotePrefix="1" applyNumberFormat="1" applyFont="1" applyFill="1" applyBorder="1" applyAlignment="1">
      <alignment vertical="top"/>
    </xf>
    <xf numFmtId="177" fontId="5" fillId="15" borderId="57" xfId="0" quotePrefix="1" applyNumberFormat="1" applyFont="1" applyFill="1" applyBorder="1" applyAlignment="1">
      <alignment vertical="top"/>
    </xf>
    <xf numFmtId="177" fontId="5" fillId="15" borderId="45" xfId="0" quotePrefix="1" applyNumberFormat="1" applyFont="1" applyFill="1" applyBorder="1" applyAlignment="1">
      <alignment horizontal="left" vertical="top"/>
    </xf>
    <xf numFmtId="177" fontId="5" fillId="15" borderId="37" xfId="0" quotePrefix="1" applyNumberFormat="1" applyFont="1" applyFill="1" applyBorder="1" applyAlignment="1">
      <alignment vertical="top"/>
    </xf>
    <xf numFmtId="177" fontId="5" fillId="15" borderId="80" xfId="0" quotePrefix="1" applyNumberFormat="1" applyFont="1" applyFill="1" applyBorder="1" applyAlignment="1">
      <alignment vertical="top"/>
    </xf>
    <xf numFmtId="185" fontId="5" fillId="5" borderId="38" xfId="0" applyNumberFormat="1" applyFont="1" applyFill="1" applyBorder="1" applyAlignment="1">
      <alignment vertical="center" wrapText="1"/>
    </xf>
    <xf numFmtId="185" fontId="5" fillId="0" borderId="38" xfId="0" applyNumberFormat="1" applyFont="1" applyBorder="1" applyAlignment="1">
      <alignment vertical="center" wrapText="1"/>
    </xf>
    <xf numFmtId="185" fontId="5" fillId="3" borderId="38" xfId="0" applyNumberFormat="1" applyFont="1" applyFill="1" applyBorder="1" applyAlignment="1">
      <alignment vertical="center" wrapText="1"/>
    </xf>
    <xf numFmtId="3" fontId="15" fillId="0" borderId="38" xfId="0" applyNumberFormat="1" applyFont="1" applyBorder="1" applyAlignment="1">
      <alignment horizontal="center" vertical="center"/>
    </xf>
    <xf numFmtId="0" fontId="5" fillId="0" borderId="42" xfId="0" applyFont="1" applyBorder="1" applyAlignment="1">
      <alignment vertical="center" wrapText="1"/>
    </xf>
    <xf numFmtId="3" fontId="0" fillId="4" borderId="54" xfId="0" applyNumberFormat="1" applyFill="1" applyBorder="1" applyAlignment="1">
      <alignment vertical="center" wrapText="1"/>
    </xf>
    <xf numFmtId="0" fontId="5" fillId="0" borderId="67" xfId="0" applyFont="1" applyBorder="1">
      <alignment vertical="center"/>
    </xf>
    <xf numFmtId="0" fontId="5" fillId="0" borderId="51" xfId="0" applyFont="1" applyBorder="1" applyAlignment="1">
      <alignment vertical="center" wrapText="1"/>
    </xf>
    <xf numFmtId="3" fontId="0" fillId="4" borderId="74" xfId="0" applyNumberFormat="1" applyFill="1" applyBorder="1" applyAlignment="1">
      <alignment vertical="center" wrapText="1"/>
    </xf>
    <xf numFmtId="3" fontId="5" fillId="3" borderId="51" xfId="0" applyNumberFormat="1" applyFont="1" applyFill="1" applyBorder="1" applyAlignment="1">
      <alignment vertical="center" wrapText="1"/>
    </xf>
    <xf numFmtId="3" fontId="5" fillId="3" borderId="53" xfId="0" applyNumberFormat="1" applyFont="1" applyFill="1" applyBorder="1" applyAlignment="1">
      <alignment vertical="center" wrapText="1"/>
    </xf>
    <xf numFmtId="3" fontId="5" fillId="18" borderId="67" xfId="0" applyNumberFormat="1" applyFont="1" applyFill="1" applyBorder="1" applyAlignment="1">
      <alignment vertical="center" wrapText="1"/>
    </xf>
    <xf numFmtId="3" fontId="5" fillId="15" borderId="67" xfId="0" applyNumberFormat="1" applyFont="1" applyFill="1" applyBorder="1" applyAlignment="1">
      <alignment vertical="center" wrapText="1"/>
    </xf>
    <xf numFmtId="3" fontId="5" fillId="4" borderId="74" xfId="0" applyNumberFormat="1" applyFont="1" applyFill="1" applyBorder="1" applyAlignment="1">
      <alignment vertical="center" wrapText="1"/>
    </xf>
    <xf numFmtId="3" fontId="13" fillId="4" borderId="74" xfId="0" applyNumberFormat="1" applyFont="1" applyFill="1" applyBorder="1" applyAlignment="1">
      <alignment vertical="center" wrapText="1"/>
    </xf>
    <xf numFmtId="0" fontId="5" fillId="3" borderId="74" xfId="0" applyFont="1" applyFill="1" applyBorder="1" applyAlignment="1">
      <alignment vertical="center" wrapText="1"/>
    </xf>
    <xf numFmtId="0" fontId="5" fillId="3" borderId="74" xfId="0" applyFont="1" applyFill="1" applyBorder="1" applyAlignment="1">
      <alignment horizontal="left" vertical="top" wrapText="1"/>
    </xf>
    <xf numFmtId="0" fontId="5" fillId="3" borderId="44" xfId="0" applyFont="1" applyFill="1" applyBorder="1" applyAlignment="1">
      <alignment horizontal="left" vertical="top" wrapText="1"/>
    </xf>
    <xf numFmtId="0" fontId="5" fillId="4" borderId="74" xfId="0" applyFont="1" applyFill="1" applyBorder="1">
      <alignment vertical="center"/>
    </xf>
    <xf numFmtId="0" fontId="19" fillId="14" borderId="55" xfId="0" applyFont="1" applyFill="1" applyBorder="1">
      <alignment vertical="center"/>
    </xf>
    <xf numFmtId="0" fontId="15" fillId="14" borderId="22" xfId="0" applyFont="1" applyFill="1" applyBorder="1" applyAlignment="1">
      <alignment vertical="top" wrapText="1"/>
    </xf>
    <xf numFmtId="0" fontId="15" fillId="14" borderId="22" xfId="0" applyFont="1" applyFill="1" applyBorder="1" applyAlignment="1">
      <alignment horizontal="right" vertical="center"/>
    </xf>
    <xf numFmtId="177" fontId="5" fillId="0" borderId="33" xfId="0" quotePrefix="1" applyNumberFormat="1" applyFont="1" applyBorder="1">
      <alignment vertical="center"/>
    </xf>
    <xf numFmtId="177" fontId="5" fillId="0" borderId="33" xfId="0" quotePrefix="1" applyNumberFormat="1" applyFont="1" applyBorder="1" applyAlignment="1">
      <alignment vertical="top" wrapText="1"/>
    </xf>
    <xf numFmtId="177" fontId="5" fillId="0" borderId="80" xfId="0" quotePrefix="1" applyNumberFormat="1" applyFont="1" applyBorder="1" applyAlignment="1">
      <alignment vertical="top" wrapText="1"/>
    </xf>
    <xf numFmtId="0" fontId="5" fillId="17" borderId="47" xfId="0" applyFont="1" applyFill="1" applyBorder="1" applyAlignment="1">
      <alignment horizontal="left" vertical="top" wrapText="1"/>
    </xf>
    <xf numFmtId="3" fontId="11" fillId="3" borderId="38" xfId="0" applyNumberFormat="1" applyFont="1" applyFill="1" applyBorder="1" applyAlignment="1">
      <alignment vertical="center" wrapText="1"/>
    </xf>
    <xf numFmtId="0" fontId="5" fillId="17" borderId="46" xfId="0" applyFont="1" applyFill="1" applyBorder="1" applyAlignment="1">
      <alignment horizontal="left" vertical="center"/>
    </xf>
    <xf numFmtId="3" fontId="5" fillId="0" borderId="38" xfId="0" applyNumberFormat="1" applyFont="1" applyBorder="1" applyAlignment="1">
      <alignment vertical="top" wrapText="1"/>
    </xf>
    <xf numFmtId="184" fontId="20" fillId="3" borderId="38" xfId="0" applyNumberFormat="1" applyFont="1" applyFill="1" applyBorder="1" applyAlignment="1">
      <alignment vertical="center" wrapText="1"/>
    </xf>
    <xf numFmtId="4" fontId="20" fillId="3" borderId="38" xfId="0" applyNumberFormat="1" applyFont="1" applyFill="1" applyBorder="1" applyAlignment="1">
      <alignment vertical="center" wrapText="1"/>
    </xf>
    <xf numFmtId="0" fontId="0" fillId="0" borderId="38" xfId="0" applyBorder="1" applyAlignment="1">
      <alignment vertical="center" wrapText="1"/>
    </xf>
    <xf numFmtId="0" fontId="13" fillId="3" borderId="0" xfId="0" applyFont="1" applyFill="1" applyAlignment="1">
      <alignment horizontal="center" vertical="center"/>
    </xf>
    <xf numFmtId="3" fontId="13" fillId="0" borderId="38" xfId="0" applyNumberFormat="1" applyFont="1" applyBorder="1" applyAlignment="1">
      <alignment vertical="center" wrapText="1"/>
    </xf>
    <xf numFmtId="0" fontId="5" fillId="0" borderId="38" xfId="0" applyFont="1" applyBorder="1" applyAlignment="1">
      <alignment vertical="top" wrapText="1"/>
    </xf>
    <xf numFmtId="177" fontId="5" fillId="0" borderId="45" xfId="0" quotePrefix="1" applyNumberFormat="1" applyFont="1" applyBorder="1">
      <alignment vertical="center"/>
    </xf>
    <xf numFmtId="0" fontId="21" fillId="0" borderId="43" xfId="0" applyFont="1" applyBorder="1">
      <alignment vertical="center"/>
    </xf>
    <xf numFmtId="0" fontId="21" fillId="0" borderId="42" xfId="0" applyFont="1" applyBorder="1">
      <alignment vertical="center"/>
    </xf>
    <xf numFmtId="0" fontId="21" fillId="0" borderId="43" xfId="0" applyFont="1" applyBorder="1" applyAlignment="1">
      <alignment vertical="top" wrapText="1"/>
    </xf>
    <xf numFmtId="0" fontId="21" fillId="0" borderId="45" xfId="0" applyFont="1" applyBorder="1" applyAlignment="1">
      <alignment horizontal="left" vertical="top" wrapText="1"/>
    </xf>
    <xf numFmtId="177" fontId="5" fillId="0" borderId="38" xfId="0" quotePrefix="1" applyNumberFormat="1" applyFont="1" applyBorder="1">
      <alignment vertical="center"/>
    </xf>
    <xf numFmtId="0" fontId="5" fillId="17" borderId="90" xfId="0" applyFont="1" applyFill="1" applyBorder="1" applyAlignment="1">
      <alignment horizontal="center" vertical="center"/>
    </xf>
    <xf numFmtId="0" fontId="21" fillId="0" borderId="38" xfId="0" applyFont="1" applyBorder="1" applyAlignment="1">
      <alignment vertical="top"/>
    </xf>
    <xf numFmtId="0" fontId="21" fillId="0" borderId="42" xfId="0" applyFont="1" applyBorder="1" applyAlignment="1">
      <alignment vertical="top"/>
    </xf>
    <xf numFmtId="0" fontId="21" fillId="0" borderId="42" xfId="0" applyFont="1" applyBorder="1" applyAlignment="1">
      <alignment vertical="top" wrapText="1"/>
    </xf>
    <xf numFmtId="0" fontId="21" fillId="0" borderId="54" xfId="0" applyFont="1" applyBorder="1" applyAlignment="1">
      <alignment vertical="top"/>
    </xf>
    <xf numFmtId="0" fontId="21" fillId="0" borderId="81" xfId="0" applyFont="1" applyBorder="1" applyAlignment="1">
      <alignment vertical="top"/>
    </xf>
    <xf numFmtId="0" fontId="21" fillId="0" borderId="41" xfId="0" applyFont="1" applyBorder="1" applyAlignment="1">
      <alignment vertical="top" wrapText="1"/>
    </xf>
    <xf numFmtId="0" fontId="21" fillId="0" borderId="44" xfId="0" applyFont="1" applyBorder="1" applyAlignment="1">
      <alignment vertical="top"/>
    </xf>
    <xf numFmtId="0" fontId="21" fillId="0" borderId="3" xfId="0" applyFont="1" applyBorder="1" applyAlignment="1">
      <alignment vertical="top"/>
    </xf>
    <xf numFmtId="0" fontId="15" fillId="11" borderId="92" xfId="0" applyFont="1" applyFill="1" applyBorder="1" applyAlignment="1">
      <alignment horizontal="left" vertical="center"/>
    </xf>
    <xf numFmtId="0" fontId="15" fillId="12" borderId="92" xfId="0" applyFont="1" applyFill="1" applyBorder="1" applyAlignment="1">
      <alignment horizontal="center" vertical="center"/>
    </xf>
    <xf numFmtId="0" fontId="19" fillId="11" borderId="93" xfId="0" applyFont="1" applyFill="1" applyBorder="1" applyAlignment="1">
      <alignment horizontal="left" vertical="top"/>
    </xf>
    <xf numFmtId="0" fontId="15" fillId="11" borderId="92" xfId="0" applyFont="1" applyFill="1" applyBorder="1" applyAlignment="1">
      <alignment horizontal="left" vertical="top"/>
    </xf>
    <xf numFmtId="0" fontId="10" fillId="12" borderId="92" xfId="0" applyFont="1" applyFill="1" applyBorder="1" applyAlignment="1">
      <alignment vertical="center" wrapText="1"/>
    </xf>
    <xf numFmtId="0" fontId="15" fillId="12" borderId="92" xfId="0" applyFont="1" applyFill="1" applyBorder="1" applyAlignment="1">
      <alignment horizontal="left" vertical="top" wrapText="1"/>
    </xf>
    <xf numFmtId="0" fontId="13" fillId="13" borderId="94" xfId="2" applyFont="1" applyFill="1" applyBorder="1" applyAlignment="1">
      <alignment horizontal="center" vertical="top" wrapText="1"/>
    </xf>
    <xf numFmtId="177" fontId="5" fillId="15" borderId="77" xfId="0" quotePrefix="1" applyNumberFormat="1" applyFont="1" applyFill="1" applyBorder="1" applyAlignment="1">
      <alignment horizontal="center" vertical="center"/>
    </xf>
    <xf numFmtId="177" fontId="5" fillId="0" borderId="36" xfId="0" quotePrefix="1" applyNumberFormat="1" applyFont="1" applyBorder="1" applyAlignment="1">
      <alignment vertical="top" wrapText="1"/>
    </xf>
    <xf numFmtId="178" fontId="5" fillId="0" borderId="38" xfId="0" quotePrefix="1" applyNumberFormat="1" applyFont="1" applyBorder="1" applyAlignment="1">
      <alignment vertical="center" wrapText="1"/>
    </xf>
    <xf numFmtId="178" fontId="5" fillId="15" borderId="38" xfId="0" quotePrefix="1" applyNumberFormat="1" applyFont="1" applyFill="1" applyBorder="1" applyAlignment="1">
      <alignment vertical="center" wrapText="1"/>
    </xf>
    <xf numFmtId="178" fontId="5" fillId="28" borderId="78" xfId="0" quotePrefix="1" applyNumberFormat="1" applyFont="1" applyFill="1" applyBorder="1" applyAlignment="1">
      <alignment vertical="center" wrapText="1"/>
    </xf>
    <xf numFmtId="178" fontId="5" fillId="3" borderId="38" xfId="0" quotePrefix="1" applyNumberFormat="1" applyFont="1" applyFill="1" applyBorder="1" applyAlignment="1">
      <alignment vertical="center" wrapText="1"/>
    </xf>
    <xf numFmtId="3" fontId="5" fillId="3" borderId="78" xfId="0" applyNumberFormat="1" applyFont="1" applyFill="1" applyBorder="1" applyAlignment="1">
      <alignment horizontal="center" vertical="center"/>
    </xf>
    <xf numFmtId="0" fontId="5" fillId="0" borderId="45" xfId="0" applyFont="1" applyBorder="1" applyAlignment="1">
      <alignment vertical="top"/>
    </xf>
    <xf numFmtId="178" fontId="5" fillId="4" borderId="38" xfId="0" applyNumberFormat="1" applyFont="1" applyFill="1" applyBorder="1" applyAlignment="1">
      <alignment vertical="center" wrapText="1"/>
    </xf>
    <xf numFmtId="178" fontId="5" fillId="15" borderId="38" xfId="0" applyNumberFormat="1" applyFont="1" applyFill="1" applyBorder="1" applyAlignment="1">
      <alignment vertical="center" wrapText="1"/>
    </xf>
    <xf numFmtId="178" fontId="5" fillId="15" borderId="38" xfId="0" quotePrefix="1" applyNumberFormat="1" applyFont="1" applyFill="1" applyBorder="1" applyAlignment="1">
      <alignment vertical="top" wrapText="1"/>
    </xf>
    <xf numFmtId="178" fontId="13" fillId="0" borderId="38" xfId="0" applyNumberFormat="1" applyFont="1" applyBorder="1" applyAlignment="1">
      <alignment vertical="center" wrapText="1"/>
    </xf>
    <xf numFmtId="178" fontId="5" fillId="3" borderId="38" xfId="0" applyNumberFormat="1" applyFont="1" applyFill="1" applyBorder="1" applyAlignment="1">
      <alignment vertical="top" wrapText="1"/>
    </xf>
    <xf numFmtId="178" fontId="13" fillId="15" borderId="38" xfId="0" applyNumberFormat="1" applyFont="1" applyFill="1" applyBorder="1" applyAlignment="1">
      <alignment vertical="center" wrapText="1"/>
    </xf>
    <xf numFmtId="178" fontId="5" fillId="0" borderId="0" xfId="0" applyNumberFormat="1" applyFont="1" applyAlignment="1">
      <alignment vertical="top" wrapText="1"/>
    </xf>
    <xf numFmtId="178" fontId="5" fillId="3" borderId="38" xfId="0" quotePrefix="1" applyNumberFormat="1" applyFont="1" applyFill="1" applyBorder="1" applyAlignment="1">
      <alignment vertical="top" wrapText="1"/>
    </xf>
    <xf numFmtId="178" fontId="5" fillId="0" borderId="38" xfId="0" applyNumberFormat="1" applyFont="1" applyBorder="1" applyAlignment="1">
      <alignment vertical="center" wrapText="1"/>
    </xf>
    <xf numFmtId="3" fontId="13" fillId="32" borderId="38" xfId="0" applyNumberFormat="1" applyFont="1" applyFill="1" applyBorder="1" applyAlignment="1">
      <alignment vertical="center" wrapText="1"/>
    </xf>
    <xf numFmtId="0" fontId="5" fillId="19" borderId="43" xfId="0" applyFont="1" applyFill="1" applyBorder="1" applyAlignment="1">
      <alignment vertical="top"/>
    </xf>
    <xf numFmtId="0" fontId="5" fillId="19" borderId="45" xfId="0" applyFont="1" applyFill="1" applyBorder="1" applyAlignment="1">
      <alignment vertical="top"/>
    </xf>
    <xf numFmtId="177" fontId="5" fillId="19" borderId="44" xfId="0" quotePrefix="1" applyNumberFormat="1" applyFont="1" applyFill="1" applyBorder="1" applyAlignment="1">
      <alignment horizontal="center" vertical="center"/>
    </xf>
    <xf numFmtId="178" fontId="5" fillId="19" borderId="44" xfId="0" quotePrefix="1" applyNumberFormat="1" applyFont="1" applyFill="1" applyBorder="1" applyAlignment="1">
      <alignment horizontal="left" vertical="center"/>
    </xf>
    <xf numFmtId="178" fontId="5" fillId="19" borderId="44" xfId="0" quotePrefix="1" applyNumberFormat="1" applyFont="1" applyFill="1" applyBorder="1" applyAlignment="1">
      <alignment horizontal="center" vertical="center"/>
    </xf>
    <xf numFmtId="178" fontId="13" fillId="19" borderId="38" xfId="0" applyNumberFormat="1" applyFont="1" applyFill="1" applyBorder="1" applyAlignment="1">
      <alignment vertical="center" wrapText="1"/>
    </xf>
    <xf numFmtId="178" fontId="5" fillId="19" borderId="38" xfId="0" quotePrefix="1" applyNumberFormat="1" applyFont="1" applyFill="1" applyBorder="1" applyAlignment="1">
      <alignment vertical="center" wrapText="1"/>
    </xf>
    <xf numFmtId="178" fontId="5" fillId="19" borderId="38" xfId="0" applyNumberFormat="1" applyFont="1" applyFill="1" applyBorder="1" applyAlignment="1">
      <alignment vertical="center" wrapText="1"/>
    </xf>
    <xf numFmtId="177" fontId="5" fillId="0" borderId="44" xfId="0" quotePrefix="1" applyNumberFormat="1" applyFont="1" applyBorder="1" applyAlignment="1">
      <alignment vertical="top"/>
    </xf>
    <xf numFmtId="0" fontId="5" fillId="19" borderId="82" xfId="0" applyFont="1" applyFill="1" applyBorder="1">
      <alignment vertical="center"/>
    </xf>
    <xf numFmtId="0" fontId="5" fillId="17" borderId="90" xfId="0" applyFont="1" applyFill="1" applyBorder="1" applyAlignment="1">
      <alignment horizontal="center" vertical="top" wrapText="1"/>
    </xf>
    <xf numFmtId="0" fontId="0" fillId="3" borderId="38" xfId="0" applyFill="1" applyBorder="1" applyAlignment="1">
      <alignment horizontal="center" vertical="center"/>
    </xf>
    <xf numFmtId="0" fontId="5" fillId="0" borderId="38" xfId="0" applyFont="1" applyBorder="1" applyAlignment="1">
      <alignment horizontal="left" vertical="top"/>
    </xf>
    <xf numFmtId="0" fontId="0" fillId="19" borderId="54" xfId="0" applyFill="1" applyBorder="1" applyAlignment="1">
      <alignment vertical="top"/>
    </xf>
    <xf numFmtId="0" fontId="0" fillId="19" borderId="57" xfId="0" applyFill="1" applyBorder="1" applyAlignment="1">
      <alignment vertical="top"/>
    </xf>
    <xf numFmtId="0" fontId="5" fillId="19" borderId="43" xfId="0" applyFont="1" applyFill="1" applyBorder="1" applyAlignment="1">
      <alignment horizontal="left" vertical="top"/>
    </xf>
    <xf numFmtId="0" fontId="5" fillId="19" borderId="45" xfId="0" applyFont="1" applyFill="1" applyBorder="1" applyAlignment="1">
      <alignment horizontal="left" vertical="top"/>
    </xf>
    <xf numFmtId="178" fontId="5" fillId="19" borderId="38" xfId="0" applyNumberFormat="1" applyFont="1" applyFill="1" applyBorder="1" applyAlignment="1">
      <alignment vertical="top" wrapText="1"/>
    </xf>
    <xf numFmtId="0" fontId="0" fillId="17" borderId="59" xfId="0" applyFill="1" applyBorder="1" applyAlignment="1">
      <alignment horizontal="center" vertical="center"/>
    </xf>
    <xf numFmtId="0" fontId="0" fillId="17" borderId="47" xfId="0" applyFill="1" applyBorder="1" applyAlignment="1">
      <alignment horizontal="center" vertical="top" wrapText="1"/>
    </xf>
    <xf numFmtId="0" fontId="0" fillId="0" borderId="43" xfId="0" applyBorder="1" applyAlignment="1">
      <alignment horizontal="center" vertical="center"/>
    </xf>
    <xf numFmtId="0" fontId="0" fillId="0" borderId="54" xfId="0" applyBorder="1" applyAlignment="1">
      <alignment vertical="top"/>
    </xf>
    <xf numFmtId="0" fontId="0" fillId="0" borderId="57" xfId="0" applyBorder="1" applyAlignment="1">
      <alignment vertical="top"/>
    </xf>
    <xf numFmtId="3" fontId="13" fillId="18" borderId="38" xfId="0" applyNumberFormat="1" applyFont="1" applyFill="1" applyBorder="1" applyAlignment="1">
      <alignment vertical="center" wrapText="1"/>
    </xf>
    <xf numFmtId="0" fontId="0" fillId="3" borderId="38" xfId="0" applyFill="1" applyBorder="1" applyAlignment="1">
      <alignment vertical="center" wrapText="1"/>
    </xf>
    <xf numFmtId="178" fontId="0" fillId="3" borderId="38" xfId="0" applyNumberFormat="1" applyFill="1" applyBorder="1" applyAlignment="1">
      <alignment vertical="center" wrapText="1"/>
    </xf>
    <xf numFmtId="178" fontId="0" fillId="3" borderId="38" xfId="0" applyNumberFormat="1" applyFill="1" applyBorder="1" applyAlignment="1">
      <alignment vertical="top" wrapText="1"/>
    </xf>
    <xf numFmtId="0" fontId="0" fillId="4" borderId="38" xfId="0" applyFill="1" applyBorder="1">
      <alignment vertical="center"/>
    </xf>
    <xf numFmtId="0" fontId="0" fillId="0" borderId="37" xfId="0" applyBorder="1" applyAlignment="1">
      <alignment vertical="top"/>
    </xf>
    <xf numFmtId="0" fontId="0" fillId="0" borderId="80" xfId="0" applyBorder="1" applyAlignment="1">
      <alignment vertical="top"/>
    </xf>
    <xf numFmtId="0" fontId="5" fillId="0" borderId="45" xfId="0" applyFont="1" applyBorder="1" applyAlignment="1">
      <alignment horizontal="left" vertical="top"/>
    </xf>
    <xf numFmtId="0" fontId="5" fillId="19" borderId="54" xfId="0" applyFont="1" applyFill="1" applyBorder="1" applyAlignment="1">
      <alignment vertical="top"/>
    </xf>
    <xf numFmtId="0" fontId="5" fillId="19" borderId="57" xfId="0" applyFont="1" applyFill="1" applyBorder="1" applyAlignment="1">
      <alignment vertical="top"/>
    </xf>
    <xf numFmtId="178" fontId="0" fillId="19" borderId="38" xfId="0" applyNumberFormat="1" applyFill="1" applyBorder="1" applyAlignment="1">
      <alignment vertical="center" wrapText="1"/>
    </xf>
    <xf numFmtId="178" fontId="0" fillId="19" borderId="38" xfId="0" applyNumberFormat="1" applyFill="1" applyBorder="1" applyAlignment="1">
      <alignment vertical="top" wrapText="1"/>
    </xf>
    <xf numFmtId="0" fontId="0" fillId="19" borderId="38" xfId="0" applyFill="1" applyBorder="1" applyAlignment="1">
      <alignment vertical="center" wrapText="1"/>
    </xf>
    <xf numFmtId="0" fontId="5" fillId="19" borderId="90" xfId="0" applyFont="1" applyFill="1" applyBorder="1" applyAlignment="1">
      <alignment horizontal="center" vertical="center"/>
    </xf>
    <xf numFmtId="0" fontId="5" fillId="19" borderId="59" xfId="0" applyFont="1" applyFill="1" applyBorder="1" applyAlignment="1">
      <alignment horizontal="center" vertical="center"/>
    </xf>
    <xf numFmtId="0" fontId="5" fillId="19" borderId="47" xfId="0" applyFont="1" applyFill="1" applyBorder="1" applyAlignment="1">
      <alignment horizontal="center" vertical="top" wrapText="1"/>
    </xf>
    <xf numFmtId="178" fontId="13" fillId="18" borderId="38" xfId="0" applyNumberFormat="1" applyFont="1" applyFill="1" applyBorder="1" applyAlignment="1">
      <alignment vertical="center" wrapText="1"/>
    </xf>
    <xf numFmtId="0" fontId="5" fillId="35" borderId="59" xfId="0" applyFont="1" applyFill="1" applyBorder="1" applyAlignment="1">
      <alignment horizontal="center" vertical="center"/>
    </xf>
    <xf numFmtId="0" fontId="5" fillId="19" borderId="42" xfId="0" applyFont="1" applyFill="1" applyBorder="1" applyAlignment="1">
      <alignment vertical="center" wrapText="1"/>
    </xf>
    <xf numFmtId="0" fontId="5" fillId="4" borderId="0" xfId="0" applyFont="1" applyFill="1">
      <alignment vertical="center"/>
    </xf>
    <xf numFmtId="3" fontId="13" fillId="4" borderId="38" xfId="0" applyNumberFormat="1" applyFont="1" applyFill="1" applyBorder="1">
      <alignment vertical="center"/>
    </xf>
    <xf numFmtId="0" fontId="5" fillId="19" borderId="42" xfId="0" applyFont="1" applyFill="1" applyBorder="1" applyAlignment="1">
      <alignment vertical="top"/>
    </xf>
    <xf numFmtId="0" fontId="5" fillId="0" borderId="90" xfId="0" applyFont="1" applyBorder="1" applyAlignment="1">
      <alignment horizontal="center" vertical="center"/>
    </xf>
    <xf numFmtId="0" fontId="5" fillId="0" borderId="47" xfId="0" applyFont="1" applyBorder="1" applyAlignment="1">
      <alignment horizontal="center" vertical="top" wrapText="1"/>
    </xf>
    <xf numFmtId="177" fontId="5" fillId="0" borderId="42" xfId="0" quotePrefix="1" applyNumberFormat="1" applyFont="1" applyBorder="1" applyAlignment="1">
      <alignment vertical="center" wrapText="1"/>
    </xf>
    <xf numFmtId="3" fontId="13" fillId="15" borderId="38" xfId="0" applyNumberFormat="1" applyFont="1" applyFill="1" applyBorder="1" applyAlignment="1">
      <alignment vertical="center" wrapText="1"/>
    </xf>
    <xf numFmtId="177" fontId="5" fillId="0" borderId="82" xfId="0" quotePrefix="1" applyNumberFormat="1" applyFont="1" applyBorder="1" applyAlignment="1">
      <alignment vertical="center" wrapText="1"/>
    </xf>
    <xf numFmtId="180" fontId="13" fillId="15" borderId="38" xfId="0" applyNumberFormat="1" applyFont="1" applyFill="1" applyBorder="1" applyAlignment="1">
      <alignment vertical="center" wrapText="1"/>
    </xf>
    <xf numFmtId="180" fontId="13" fillId="4" borderId="38" xfId="0" applyNumberFormat="1" applyFont="1" applyFill="1" applyBorder="1" applyAlignment="1">
      <alignment vertical="center" wrapText="1"/>
    </xf>
    <xf numFmtId="0" fontId="5" fillId="3" borderId="67" xfId="0" applyFont="1" applyFill="1" applyBorder="1" applyAlignment="1">
      <alignment horizontal="center" vertical="center"/>
    </xf>
    <xf numFmtId="0" fontId="5" fillId="0" borderId="74" xfId="0" applyFont="1" applyBorder="1" applyAlignment="1">
      <alignment vertical="top"/>
    </xf>
    <xf numFmtId="0" fontId="5" fillId="0" borderId="51" xfId="0" applyFont="1" applyBorder="1" applyAlignment="1">
      <alignment vertical="top"/>
    </xf>
    <xf numFmtId="0" fontId="5" fillId="0" borderId="51" xfId="0" applyFont="1" applyBorder="1" applyAlignment="1">
      <alignment vertical="top" wrapText="1"/>
    </xf>
    <xf numFmtId="0" fontId="5" fillId="0" borderId="53" xfId="0" applyFont="1" applyBorder="1" applyAlignment="1">
      <alignment vertical="top" wrapText="1"/>
    </xf>
    <xf numFmtId="0" fontId="5" fillId="3" borderId="74" xfId="0" applyFont="1" applyFill="1" applyBorder="1" applyAlignment="1">
      <alignment horizontal="center" vertical="center"/>
    </xf>
    <xf numFmtId="178" fontId="13" fillId="4" borderId="74" xfId="0" applyNumberFormat="1" applyFont="1" applyFill="1" applyBorder="1" applyAlignment="1">
      <alignment vertical="center" wrapText="1"/>
    </xf>
    <xf numFmtId="178" fontId="5" fillId="3" borderId="74" xfId="0" applyNumberFormat="1" applyFont="1" applyFill="1" applyBorder="1" applyAlignment="1">
      <alignment vertical="center" wrapText="1"/>
    </xf>
    <xf numFmtId="0" fontId="5" fillId="3" borderId="54" xfId="0" applyFont="1" applyFill="1" applyBorder="1" applyAlignment="1">
      <alignment horizontal="left" vertical="top" wrapText="1"/>
    </xf>
    <xf numFmtId="0" fontId="5" fillId="4" borderId="73" xfId="0" applyFont="1" applyFill="1" applyBorder="1">
      <alignment vertical="center"/>
    </xf>
    <xf numFmtId="178" fontId="15" fillId="14" borderId="28" xfId="0" applyNumberFormat="1" applyFont="1" applyFill="1" applyBorder="1" applyAlignment="1">
      <alignment horizontal="left" vertical="center"/>
    </xf>
    <xf numFmtId="178" fontId="15" fillId="14" borderId="28" xfId="0" applyNumberFormat="1" applyFont="1" applyFill="1" applyBorder="1" applyAlignment="1">
      <alignment horizontal="center" vertical="center"/>
    </xf>
    <xf numFmtId="178" fontId="19" fillId="14" borderId="28" xfId="0" applyNumberFormat="1" applyFont="1" applyFill="1" applyBorder="1" applyAlignment="1">
      <alignment vertical="center" wrapText="1"/>
    </xf>
    <xf numFmtId="3" fontId="15" fillId="14" borderId="28" xfId="0" applyNumberFormat="1" applyFont="1" applyFill="1" applyBorder="1">
      <alignment vertical="center"/>
    </xf>
    <xf numFmtId="3" fontId="5" fillId="14" borderId="28" xfId="0" applyNumberFormat="1" applyFont="1" applyFill="1" applyBorder="1" applyAlignment="1">
      <alignment horizontal="center" vertical="center"/>
    </xf>
    <xf numFmtId="0" fontId="5" fillId="3" borderId="42" xfId="0" applyFont="1" applyFill="1" applyBorder="1">
      <alignment vertical="center"/>
    </xf>
    <xf numFmtId="178" fontId="5" fillId="0" borderId="78" xfId="0" quotePrefix="1" applyNumberFormat="1" applyFont="1" applyBorder="1" applyAlignment="1">
      <alignment vertical="center" wrapText="1"/>
    </xf>
    <xf numFmtId="178" fontId="5" fillId="15" borderId="78" xfId="0" quotePrefix="1" applyNumberFormat="1" applyFont="1" applyFill="1" applyBorder="1" applyAlignment="1">
      <alignment vertical="center" wrapText="1"/>
    </xf>
    <xf numFmtId="3" fontId="5" fillId="15" borderId="37" xfId="0" quotePrefix="1" applyNumberFormat="1" applyFont="1" applyFill="1" applyBorder="1" applyAlignment="1">
      <alignment vertical="center" wrapText="1"/>
    </xf>
    <xf numFmtId="178" fontId="5" fillId="15" borderId="37" xfId="0" quotePrefix="1" applyNumberFormat="1" applyFont="1" applyFill="1" applyBorder="1" applyAlignment="1">
      <alignment vertical="center" wrapText="1"/>
    </xf>
    <xf numFmtId="0" fontId="5" fillId="3" borderId="43" xfId="0" applyFont="1" applyFill="1" applyBorder="1">
      <alignment vertical="center"/>
    </xf>
    <xf numFmtId="177" fontId="5" fillId="19" borderId="42" xfId="0" quotePrefix="1" applyNumberFormat="1" applyFont="1" applyFill="1" applyBorder="1" applyAlignment="1">
      <alignment vertical="center" wrapText="1"/>
    </xf>
    <xf numFmtId="0" fontId="5" fillId="19" borderId="42" xfId="0" applyFont="1" applyFill="1" applyBorder="1">
      <alignment vertical="center"/>
    </xf>
    <xf numFmtId="0" fontId="5" fillId="19" borderId="43" xfId="0" applyFont="1" applyFill="1" applyBorder="1" applyAlignment="1">
      <alignment vertical="top" wrapText="1"/>
    </xf>
    <xf numFmtId="0" fontId="5" fillId="19" borderId="45" xfId="0" applyFont="1" applyFill="1" applyBorder="1" applyAlignment="1">
      <alignment vertical="top" wrapText="1"/>
    </xf>
    <xf numFmtId="177" fontId="5" fillId="14" borderId="38" xfId="0" quotePrefix="1" applyNumberFormat="1" applyFont="1" applyFill="1" applyBorder="1" applyAlignment="1">
      <alignment horizontal="center" vertical="center"/>
    </xf>
    <xf numFmtId="178" fontId="5" fillId="14" borderId="38" xfId="0" quotePrefix="1" applyNumberFormat="1" applyFont="1" applyFill="1" applyBorder="1" applyAlignment="1">
      <alignment horizontal="left" vertical="center"/>
    </xf>
    <xf numFmtId="178" fontId="5" fillId="14" borderId="38" xfId="0" quotePrefix="1" applyNumberFormat="1" applyFont="1" applyFill="1" applyBorder="1" applyAlignment="1">
      <alignment horizontal="center" vertical="center"/>
    </xf>
    <xf numFmtId="178" fontId="13" fillId="14" borderId="38" xfId="0" applyNumberFormat="1" applyFont="1" applyFill="1" applyBorder="1" applyAlignment="1">
      <alignment vertical="center" wrapText="1"/>
    </xf>
    <xf numFmtId="0" fontId="5" fillId="3" borderId="38" xfId="0" applyFont="1" applyFill="1" applyBorder="1" applyAlignment="1">
      <alignment vertical="top"/>
    </xf>
    <xf numFmtId="177" fontId="5" fillId="19" borderId="42" xfId="0" quotePrefix="1" applyNumberFormat="1" applyFont="1" applyFill="1" applyBorder="1">
      <alignment vertical="center"/>
    </xf>
    <xf numFmtId="178" fontId="5" fillId="0" borderId="38" xfId="0" applyNumberFormat="1" applyFont="1" applyBorder="1" applyAlignment="1">
      <alignment vertical="top" wrapText="1"/>
    </xf>
    <xf numFmtId="178" fontId="5" fillId="5" borderId="38" xfId="0" applyNumberFormat="1" applyFont="1" applyFill="1" applyBorder="1" applyAlignment="1">
      <alignment vertical="center" wrapText="1"/>
    </xf>
    <xf numFmtId="0" fontId="5" fillId="19" borderId="38" xfId="0" applyFont="1" applyFill="1" applyBorder="1" applyAlignment="1">
      <alignment vertical="top"/>
    </xf>
    <xf numFmtId="3" fontId="5" fillId="19" borderId="0" xfId="0" applyNumberFormat="1" applyFont="1" applyFill="1" applyAlignment="1">
      <alignment horizontal="left" vertical="center"/>
    </xf>
    <xf numFmtId="0" fontId="5" fillId="3" borderId="54" xfId="0" applyFont="1" applyFill="1" applyBorder="1" applyAlignment="1">
      <alignment horizontal="left" vertical="top"/>
    </xf>
    <xf numFmtId="0" fontId="5" fillId="3" borderId="45" xfId="0" applyFont="1" applyFill="1" applyBorder="1">
      <alignment vertical="center"/>
    </xf>
    <xf numFmtId="0" fontId="5" fillId="3" borderId="54" xfId="0" applyFont="1" applyFill="1" applyBorder="1" applyAlignment="1">
      <alignment vertical="top"/>
    </xf>
    <xf numFmtId="0" fontId="5" fillId="19" borderId="43" xfId="0" applyFont="1" applyFill="1" applyBorder="1">
      <alignment vertical="center"/>
    </xf>
    <xf numFmtId="177" fontId="5" fillId="14" borderId="38" xfId="0" quotePrefix="1" applyNumberFormat="1" applyFont="1" applyFill="1" applyBorder="1" applyAlignment="1">
      <alignment horizontal="left" vertical="center"/>
    </xf>
    <xf numFmtId="0" fontId="5" fillId="0" borderId="54" xfId="0" applyFont="1" applyBorder="1" applyAlignment="1">
      <alignment horizontal="left" vertical="top"/>
    </xf>
    <xf numFmtId="0" fontId="5" fillId="3" borderId="87" xfId="0" applyFont="1" applyFill="1" applyBorder="1">
      <alignment vertical="center"/>
    </xf>
    <xf numFmtId="0" fontId="5" fillId="3" borderId="95" xfId="0" applyFont="1" applyFill="1" applyBorder="1">
      <alignment vertical="center"/>
    </xf>
    <xf numFmtId="3" fontId="5" fillId="3" borderId="74" xfId="0" applyNumberFormat="1" applyFont="1" applyFill="1" applyBorder="1" applyAlignment="1">
      <alignment vertical="center" wrapText="1"/>
    </xf>
    <xf numFmtId="3" fontId="5" fillId="15" borderId="74" xfId="0" applyNumberFormat="1" applyFont="1" applyFill="1" applyBorder="1" applyAlignment="1">
      <alignment vertical="center" wrapText="1"/>
    </xf>
    <xf numFmtId="3" fontId="5" fillId="3" borderId="74" xfId="0" applyNumberFormat="1" applyFont="1" applyFill="1" applyBorder="1" applyAlignment="1">
      <alignment horizontal="center" vertical="center"/>
    </xf>
    <xf numFmtId="0" fontId="5" fillId="14" borderId="28" xfId="0" applyFont="1" applyFill="1" applyBorder="1" applyAlignment="1">
      <alignment horizontal="center" vertical="center"/>
    </xf>
    <xf numFmtId="0" fontId="5" fillId="0" borderId="42" xfId="0" quotePrefix="1" applyFont="1" applyBorder="1" applyAlignment="1">
      <alignment vertical="top" wrapText="1"/>
    </xf>
    <xf numFmtId="0" fontId="5" fillId="0" borderId="45" xfId="0" quotePrefix="1" applyFont="1" applyBorder="1" applyAlignment="1">
      <alignment horizontal="left" vertical="top" wrapText="1"/>
    </xf>
    <xf numFmtId="0" fontId="5" fillId="0" borderId="77" xfId="0" applyFont="1" applyBorder="1" applyAlignment="1">
      <alignment horizontal="center" vertical="center"/>
    </xf>
    <xf numFmtId="0" fontId="5" fillId="0" borderId="78" xfId="0" quotePrefix="1" applyFont="1" applyBorder="1" applyAlignment="1">
      <alignment horizontal="left" vertical="top"/>
    </xf>
    <xf numFmtId="0" fontId="5" fillId="0" borderId="42" xfId="0" quotePrefix="1" applyFont="1" applyBorder="1" applyAlignment="1">
      <alignment vertical="top"/>
    </xf>
    <xf numFmtId="0" fontId="5" fillId="0" borderId="78" xfId="0" applyFont="1" applyBorder="1" applyAlignment="1">
      <alignment horizontal="center" vertical="center"/>
    </xf>
    <xf numFmtId="3" fontId="11" fillId="3" borderId="78" xfId="0" applyNumberFormat="1" applyFont="1" applyFill="1" applyBorder="1" applyAlignment="1">
      <alignment vertical="center" wrapText="1"/>
    </xf>
    <xf numFmtId="3" fontId="11" fillId="0" borderId="78" xfId="0" applyNumberFormat="1" applyFont="1" applyBorder="1" applyAlignment="1">
      <alignment vertical="center" wrapText="1"/>
    </xf>
    <xf numFmtId="3" fontId="5" fillId="4" borderId="78" xfId="0" applyNumberFormat="1" applyFont="1" applyFill="1" applyBorder="1" applyAlignment="1">
      <alignment vertical="center" wrapText="1"/>
    </xf>
    <xf numFmtId="3" fontId="5" fillId="15" borderId="78" xfId="0" applyNumberFormat="1" applyFont="1" applyFill="1" applyBorder="1" applyAlignment="1">
      <alignment vertical="center" wrapText="1"/>
    </xf>
    <xf numFmtId="3" fontId="13" fillId="0" borderId="78" xfId="0" applyNumberFormat="1" applyFont="1" applyBorder="1" applyAlignment="1">
      <alignment vertical="center" wrapText="1"/>
    </xf>
    <xf numFmtId="0" fontId="5" fillId="0" borderId="78" xfId="0" applyFont="1" applyBorder="1" applyAlignment="1">
      <alignment vertical="center" wrapText="1"/>
    </xf>
    <xf numFmtId="3" fontId="13" fillId="15" borderId="78" xfId="0" applyNumberFormat="1" applyFont="1" applyFill="1" applyBorder="1" applyAlignment="1">
      <alignment vertical="center" wrapText="1"/>
    </xf>
    <xf numFmtId="3" fontId="13" fillId="4" borderId="78" xfId="0" applyNumberFormat="1" applyFont="1" applyFill="1" applyBorder="1" applyAlignment="1">
      <alignment vertical="center" wrapText="1"/>
    </xf>
    <xf numFmtId="0" fontId="5" fillId="4" borderId="77" xfId="0" applyFont="1" applyFill="1" applyBorder="1">
      <alignment vertical="center"/>
    </xf>
    <xf numFmtId="0" fontId="5" fillId="17" borderId="96" xfId="0" applyFont="1" applyFill="1" applyBorder="1" applyAlignment="1">
      <alignment horizontal="center" vertical="center"/>
    </xf>
    <xf numFmtId="0" fontId="5" fillId="17" borderId="97" xfId="0" applyFont="1" applyFill="1" applyBorder="1" applyAlignment="1">
      <alignment horizontal="center" vertical="center"/>
    </xf>
    <xf numFmtId="0" fontId="5" fillId="17" borderId="98" xfId="0" applyFont="1" applyFill="1" applyBorder="1" applyAlignment="1">
      <alignment horizontal="center" vertical="top" wrapText="1"/>
    </xf>
    <xf numFmtId="0" fontId="5" fillId="0" borderId="38" xfId="0" quotePrefix="1" applyFont="1" applyBorder="1" applyAlignment="1">
      <alignment horizontal="left" vertical="top"/>
    </xf>
    <xf numFmtId="3" fontId="11" fillId="0" borderId="38" xfId="0" applyNumberFormat="1" applyFont="1" applyBorder="1" applyAlignment="1">
      <alignment vertical="center" wrapText="1"/>
    </xf>
    <xf numFmtId="0" fontId="5" fillId="4" borderId="43" xfId="0" applyFont="1" applyFill="1" applyBorder="1">
      <alignment vertical="center"/>
    </xf>
    <xf numFmtId="0" fontId="5" fillId="17" borderId="99" xfId="0" applyFont="1" applyFill="1" applyBorder="1" applyAlignment="1">
      <alignment horizontal="center" vertical="center"/>
    </xf>
    <xf numFmtId="0" fontId="5" fillId="17" borderId="100" xfId="0" applyFont="1" applyFill="1" applyBorder="1" applyAlignment="1">
      <alignment horizontal="center" vertical="center"/>
    </xf>
    <xf numFmtId="0" fontId="5" fillId="17" borderId="101" xfId="0" applyFont="1" applyFill="1" applyBorder="1" applyAlignment="1">
      <alignment horizontal="center" vertical="top" wrapText="1"/>
    </xf>
    <xf numFmtId="0" fontId="5" fillId="0" borderId="38" xfId="0" quotePrefix="1" applyFont="1" applyBorder="1" applyAlignment="1">
      <alignment vertical="top"/>
    </xf>
    <xf numFmtId="0" fontId="5" fillId="0" borderId="45" xfId="0" quotePrefix="1" applyFont="1" applyBorder="1" applyAlignment="1">
      <alignment horizontal="center" vertical="center"/>
    </xf>
    <xf numFmtId="3" fontId="20" fillId="18" borderId="38" xfId="0" applyNumberFormat="1" applyFont="1" applyFill="1" applyBorder="1" applyAlignment="1">
      <alignment vertical="center" wrapText="1"/>
    </xf>
    <xf numFmtId="0" fontId="5" fillId="17" borderId="102" xfId="0" applyFont="1" applyFill="1" applyBorder="1" applyAlignment="1">
      <alignment horizontal="center" vertical="center"/>
    </xf>
    <xf numFmtId="0" fontId="5" fillId="0" borderId="42" xfId="0" quotePrefix="1" applyFont="1" applyBorder="1">
      <alignment vertical="center"/>
    </xf>
    <xf numFmtId="0" fontId="5" fillId="0" borderId="45" xfId="0" applyFont="1" applyBorder="1" applyAlignment="1">
      <alignment horizontal="center" vertical="center"/>
    </xf>
    <xf numFmtId="178" fontId="21" fillId="5" borderId="38" xfId="0" applyNumberFormat="1" applyFont="1" applyFill="1" applyBorder="1" applyAlignment="1">
      <alignment vertical="center" wrapText="1"/>
    </xf>
    <xf numFmtId="178" fontId="11" fillId="0" borderId="38" xfId="0" applyNumberFormat="1" applyFont="1" applyBorder="1" applyAlignment="1">
      <alignment vertical="center" wrapText="1"/>
    </xf>
    <xf numFmtId="3" fontId="21" fillId="5" borderId="38" xfId="0" applyNumberFormat="1" applyFont="1" applyFill="1" applyBorder="1" applyAlignment="1">
      <alignment vertical="center" wrapText="1"/>
    </xf>
    <xf numFmtId="0" fontId="5" fillId="17" borderId="103" xfId="0" applyFont="1" applyFill="1" applyBorder="1" applyAlignment="1">
      <alignment horizontal="center" vertical="center"/>
    </xf>
    <xf numFmtId="0" fontId="5" fillId="0" borderId="43" xfId="0" quotePrefix="1" applyFont="1" applyBorder="1">
      <alignment vertical="center"/>
    </xf>
    <xf numFmtId="0" fontId="5" fillId="0" borderId="45" xfId="0" quotePrefix="1" applyFont="1" applyBorder="1" applyAlignment="1">
      <alignment horizontal="left" vertical="top"/>
    </xf>
    <xf numFmtId="178" fontId="21" fillId="3" borderId="38" xfId="0" applyNumberFormat="1" applyFont="1" applyFill="1" applyBorder="1" applyAlignment="1">
      <alignment vertical="center" wrapText="1"/>
    </xf>
    <xf numFmtId="178" fontId="21" fillId="0" borderId="38" xfId="0" applyNumberFormat="1" applyFont="1" applyBorder="1" applyAlignment="1">
      <alignment vertical="center" wrapText="1"/>
    </xf>
    <xf numFmtId="178" fontId="21" fillId="4" borderId="38" xfId="0" applyNumberFormat="1" applyFont="1" applyFill="1" applyBorder="1" applyAlignment="1">
      <alignment vertical="center" wrapText="1"/>
    </xf>
    <xf numFmtId="178" fontId="5" fillId="0" borderId="38" xfId="0" applyNumberFormat="1" applyFont="1" applyBorder="1" applyAlignment="1">
      <alignment horizontal="center" vertical="top" wrapText="1"/>
    </xf>
    <xf numFmtId="0" fontId="5" fillId="0" borderId="45" xfId="0" quotePrefix="1" applyFont="1" applyBorder="1">
      <alignment vertical="center"/>
    </xf>
    <xf numFmtId="178" fontId="21" fillId="15" borderId="38" xfId="0" applyNumberFormat="1" applyFont="1" applyFill="1" applyBorder="1" applyAlignment="1">
      <alignment vertical="center" wrapText="1"/>
    </xf>
    <xf numFmtId="178" fontId="13" fillId="4" borderId="43" xfId="0" applyNumberFormat="1" applyFont="1" applyFill="1" applyBorder="1" applyAlignment="1">
      <alignment vertical="center" wrapText="1"/>
    </xf>
    <xf numFmtId="3" fontId="5" fillId="3" borderId="45" xfId="0" applyNumberFormat="1" applyFont="1" applyFill="1" applyBorder="1" applyAlignment="1">
      <alignment horizontal="center" vertical="center"/>
    </xf>
    <xf numFmtId="177" fontId="5" fillId="15" borderId="80" xfId="0" quotePrefix="1" applyNumberFormat="1" applyFont="1" applyFill="1" applyBorder="1" applyAlignment="1">
      <alignment horizontal="left" vertical="top"/>
    </xf>
    <xf numFmtId="178" fontId="5" fillId="3" borderId="37" xfId="0" quotePrefix="1" applyNumberFormat="1" applyFont="1" applyFill="1" applyBorder="1" applyAlignment="1">
      <alignment vertical="center" wrapText="1"/>
    </xf>
    <xf numFmtId="178" fontId="5" fillId="4" borderId="37" xfId="0" applyNumberFormat="1" applyFont="1" applyFill="1" applyBorder="1" applyAlignment="1">
      <alignment vertical="center" wrapText="1"/>
    </xf>
    <xf numFmtId="178" fontId="5" fillId="15" borderId="37" xfId="0" applyNumberFormat="1" applyFont="1" applyFill="1" applyBorder="1" applyAlignment="1">
      <alignment vertical="center" wrapText="1"/>
    </xf>
    <xf numFmtId="3" fontId="13" fillId="15" borderId="37" xfId="0" quotePrefix="1" applyNumberFormat="1" applyFont="1" applyFill="1" applyBorder="1" applyAlignment="1">
      <alignment vertical="center" wrapText="1"/>
    </xf>
    <xf numFmtId="3" fontId="13" fillId="15" borderId="37" xfId="0" applyNumberFormat="1" applyFont="1" applyFill="1" applyBorder="1" applyAlignment="1">
      <alignment vertical="center" wrapText="1"/>
    </xf>
    <xf numFmtId="178" fontId="13" fillId="4" borderId="37" xfId="0" quotePrefix="1" applyNumberFormat="1" applyFont="1" applyFill="1" applyBorder="1" applyAlignment="1">
      <alignment vertical="center" wrapText="1"/>
    </xf>
    <xf numFmtId="178" fontId="13" fillId="15" borderId="37" xfId="0" quotePrefix="1" applyNumberFormat="1" applyFont="1" applyFill="1" applyBorder="1" applyAlignment="1">
      <alignment vertical="center" wrapText="1"/>
    </xf>
    <xf numFmtId="178" fontId="13" fillId="4" borderId="37" xfId="0" applyNumberFormat="1" applyFont="1" applyFill="1" applyBorder="1" applyAlignment="1">
      <alignment vertical="center" wrapText="1"/>
    </xf>
    <xf numFmtId="178" fontId="13" fillId="15" borderId="37" xfId="0" applyNumberFormat="1" applyFont="1" applyFill="1" applyBorder="1" applyAlignment="1">
      <alignment vertical="center" wrapText="1"/>
    </xf>
    <xf numFmtId="178" fontId="5" fillId="3" borderId="37" xfId="0" applyNumberFormat="1" applyFont="1" applyFill="1" applyBorder="1" applyAlignment="1">
      <alignment vertical="center" wrapText="1"/>
    </xf>
    <xf numFmtId="3" fontId="5" fillId="3" borderId="37" xfId="0" applyNumberFormat="1" applyFont="1" applyFill="1" applyBorder="1" applyAlignment="1">
      <alignment horizontal="center" vertical="center"/>
    </xf>
    <xf numFmtId="3" fontId="5" fillId="15" borderId="43" xfId="0" quotePrefix="1" applyNumberFormat="1" applyFont="1" applyFill="1" applyBorder="1" applyAlignment="1">
      <alignment horizontal="center" vertical="center"/>
    </xf>
    <xf numFmtId="3" fontId="5" fillId="15" borderId="38" xfId="0" quotePrefix="1" applyNumberFormat="1" applyFont="1" applyFill="1" applyBorder="1" applyAlignment="1">
      <alignment horizontal="center" vertical="center"/>
    </xf>
    <xf numFmtId="177" fontId="5" fillId="15" borderId="67" xfId="0" quotePrefix="1" applyNumberFormat="1" applyFont="1" applyFill="1" applyBorder="1" applyAlignment="1">
      <alignment horizontal="center" vertical="center"/>
    </xf>
    <xf numFmtId="177" fontId="5" fillId="0" borderId="74" xfId="0" quotePrefix="1" applyNumberFormat="1" applyFont="1" applyBorder="1" applyAlignment="1">
      <alignment vertical="top"/>
    </xf>
    <xf numFmtId="177" fontId="5" fillId="0" borderId="51" xfId="0" quotePrefix="1" applyNumberFormat="1" applyFont="1" applyBorder="1" applyAlignment="1">
      <alignment vertical="top"/>
    </xf>
    <xf numFmtId="177" fontId="5" fillId="0" borderId="51" xfId="0" quotePrefix="1" applyNumberFormat="1" applyFont="1" applyBorder="1" applyAlignment="1">
      <alignment vertical="top" wrapText="1"/>
    </xf>
    <xf numFmtId="177" fontId="5" fillId="0" borderId="74" xfId="0" quotePrefix="1" applyNumberFormat="1" applyFont="1" applyBorder="1" applyAlignment="1">
      <alignment horizontal="center" vertical="center"/>
    </xf>
    <xf numFmtId="178" fontId="5" fillId="4" borderId="74" xfId="0" quotePrefix="1" applyNumberFormat="1" applyFont="1" applyFill="1" applyBorder="1" applyAlignment="1">
      <alignment vertical="center" wrapText="1"/>
    </xf>
    <xf numFmtId="178" fontId="5" fillId="3" borderId="74" xfId="0" quotePrefix="1" applyNumberFormat="1" applyFont="1" applyFill="1" applyBorder="1" applyAlignment="1">
      <alignment vertical="center" wrapText="1"/>
    </xf>
    <xf numFmtId="178" fontId="5" fillId="15" borderId="74" xfId="0" quotePrefix="1" applyNumberFormat="1" applyFont="1" applyFill="1" applyBorder="1" applyAlignment="1">
      <alignment vertical="center" wrapText="1"/>
    </xf>
    <xf numFmtId="178" fontId="5" fillId="4" borderId="74" xfId="0" applyNumberFormat="1" applyFont="1" applyFill="1" applyBorder="1" applyAlignment="1">
      <alignment vertical="center" wrapText="1"/>
    </xf>
    <xf numFmtId="178" fontId="5" fillId="15" borderId="74" xfId="0" applyNumberFormat="1" applyFont="1" applyFill="1" applyBorder="1" applyAlignment="1">
      <alignment vertical="center" wrapText="1"/>
    </xf>
    <xf numFmtId="3" fontId="13" fillId="15" borderId="74" xfId="0" quotePrefix="1" applyNumberFormat="1" applyFont="1" applyFill="1" applyBorder="1" applyAlignment="1">
      <alignment vertical="center" wrapText="1"/>
    </xf>
    <xf numFmtId="178" fontId="13" fillId="4" borderId="74" xfId="0" quotePrefix="1" applyNumberFormat="1" applyFont="1" applyFill="1" applyBorder="1" applyAlignment="1">
      <alignment vertical="center" wrapText="1"/>
    </xf>
    <xf numFmtId="178" fontId="13" fillId="15" borderId="74" xfId="0" quotePrefix="1" applyNumberFormat="1" applyFont="1" applyFill="1" applyBorder="1" applyAlignment="1">
      <alignment vertical="center" wrapText="1"/>
    </xf>
    <xf numFmtId="3" fontId="5" fillId="15" borderId="77" xfId="0" quotePrefix="1" applyNumberFormat="1" applyFont="1" applyFill="1" applyBorder="1" applyAlignment="1">
      <alignment horizontal="center" vertical="center"/>
    </xf>
    <xf numFmtId="3" fontId="5" fillId="15" borderId="78" xfId="0" quotePrefix="1" applyNumberFormat="1" applyFont="1" applyFill="1" applyBorder="1" applyAlignment="1">
      <alignment horizontal="center" vertical="center"/>
    </xf>
    <xf numFmtId="3" fontId="5" fillId="3" borderId="78" xfId="0" applyNumberFormat="1" applyFont="1" applyFill="1" applyBorder="1" applyAlignment="1">
      <alignment vertical="center" wrapText="1"/>
    </xf>
    <xf numFmtId="178" fontId="5" fillId="3" borderId="78" xfId="0" applyNumberFormat="1" applyFont="1" applyFill="1" applyBorder="1" applyAlignment="1">
      <alignment vertical="center" wrapText="1"/>
    </xf>
    <xf numFmtId="178" fontId="13" fillId="4" borderId="78" xfId="0" applyNumberFormat="1" applyFont="1" applyFill="1" applyBorder="1" applyAlignment="1">
      <alignment vertical="center" wrapText="1"/>
    </xf>
    <xf numFmtId="178" fontId="11" fillId="5" borderId="38" xfId="0" applyNumberFormat="1" applyFont="1" applyFill="1" applyBorder="1" applyAlignment="1">
      <alignment vertical="center" wrapText="1"/>
    </xf>
    <xf numFmtId="0" fontId="21" fillId="0" borderId="38" xfId="0" applyFont="1" applyBorder="1" applyAlignment="1">
      <alignment horizontal="left" vertical="top" wrapText="1"/>
    </xf>
    <xf numFmtId="3" fontId="21" fillId="0" borderId="38" xfId="0" applyNumberFormat="1" applyFont="1" applyBorder="1" applyAlignment="1">
      <alignment horizontal="center" vertical="center"/>
    </xf>
    <xf numFmtId="0" fontId="21" fillId="4" borderId="38" xfId="0" applyFont="1" applyFill="1" applyBorder="1">
      <alignment vertical="center"/>
    </xf>
    <xf numFmtId="0" fontId="21" fillId="17" borderId="90" xfId="0" applyFont="1" applyFill="1" applyBorder="1" applyAlignment="1">
      <alignment horizontal="center" vertical="center"/>
    </xf>
    <xf numFmtId="0" fontId="11" fillId="17" borderId="59" xfId="0" applyFont="1" applyFill="1" applyBorder="1" applyAlignment="1">
      <alignment horizontal="center" vertical="center"/>
    </xf>
    <xf numFmtId="0" fontId="11" fillId="17" borderId="60" xfId="0" applyFont="1" applyFill="1" applyBorder="1" applyAlignment="1">
      <alignment horizontal="center" vertical="top" wrapText="1"/>
    </xf>
    <xf numFmtId="0" fontId="33" fillId="0" borderId="0" xfId="0" applyFont="1" applyAlignment="1">
      <alignment horizontal="center" vertical="center"/>
    </xf>
    <xf numFmtId="0" fontId="11" fillId="0" borderId="0" xfId="0" applyFont="1">
      <alignment vertical="center"/>
    </xf>
    <xf numFmtId="3" fontId="5" fillId="0" borderId="43" xfId="0" quotePrefix="1" applyNumberFormat="1" applyFont="1" applyBorder="1" applyAlignment="1">
      <alignment horizontal="center" vertical="center"/>
    </xf>
    <xf numFmtId="178" fontId="5" fillId="0" borderId="38" xfId="0" quotePrefix="1" applyNumberFormat="1" applyFont="1" applyBorder="1" applyAlignment="1">
      <alignment vertical="top" wrapText="1"/>
    </xf>
    <xf numFmtId="178" fontId="12" fillId="4" borderId="38" xfId="0" applyNumberFormat="1" applyFont="1" applyFill="1" applyBorder="1" applyAlignment="1">
      <alignment vertical="center" wrapText="1"/>
    </xf>
    <xf numFmtId="0" fontId="21" fillId="0" borderId="38" xfId="0" applyFont="1" applyBorder="1" applyAlignment="1">
      <alignment horizontal="left" vertical="top"/>
    </xf>
    <xf numFmtId="0" fontId="11" fillId="17" borderId="90" xfId="0" applyFont="1" applyFill="1" applyBorder="1" applyAlignment="1">
      <alignment horizontal="center" vertical="center"/>
    </xf>
    <xf numFmtId="0" fontId="11" fillId="17" borderId="47" xfId="0" applyFont="1" applyFill="1" applyBorder="1" applyAlignment="1">
      <alignment horizontal="center" vertical="top" wrapText="1"/>
    </xf>
    <xf numFmtId="177" fontId="5" fillId="0" borderId="74" xfId="0" quotePrefix="1" applyNumberFormat="1" applyFont="1" applyBorder="1">
      <alignment vertical="center"/>
    </xf>
    <xf numFmtId="3" fontId="5" fillId="0" borderId="67" xfId="0" quotePrefix="1" applyNumberFormat="1" applyFont="1" applyBorder="1" applyAlignment="1">
      <alignment horizontal="center" vertical="center"/>
    </xf>
    <xf numFmtId="177" fontId="5" fillId="0" borderId="74" xfId="0" quotePrefix="1" applyNumberFormat="1" applyFont="1" applyBorder="1" applyAlignment="1">
      <alignment horizontal="left" vertical="top"/>
    </xf>
    <xf numFmtId="177" fontId="5" fillId="0" borderId="67" xfId="0" quotePrefix="1" applyNumberFormat="1" applyFont="1" applyBorder="1" applyAlignment="1">
      <alignment vertical="top" wrapText="1"/>
    </xf>
    <xf numFmtId="177" fontId="5" fillId="0" borderId="53" xfId="0" quotePrefix="1" applyNumberFormat="1" applyFont="1" applyBorder="1" applyAlignment="1">
      <alignment horizontal="left" vertical="top" wrapText="1"/>
    </xf>
    <xf numFmtId="3" fontId="5" fillId="0" borderId="74" xfId="0" quotePrefix="1" applyNumberFormat="1" applyFont="1" applyBorder="1" applyAlignment="1">
      <alignment horizontal="center" vertical="center"/>
    </xf>
    <xf numFmtId="178" fontId="5" fillId="0" borderId="74" xfId="0" quotePrefix="1" applyNumberFormat="1" applyFont="1" applyBorder="1" applyAlignment="1">
      <alignment vertical="top" wrapText="1"/>
    </xf>
    <xf numFmtId="3" fontId="5" fillId="0" borderId="74" xfId="0" applyNumberFormat="1" applyFont="1" applyBorder="1" applyAlignment="1">
      <alignment vertical="top" wrapText="1"/>
    </xf>
    <xf numFmtId="3" fontId="13" fillId="15" borderId="74" xfId="0" applyNumberFormat="1" applyFont="1" applyFill="1" applyBorder="1" applyAlignment="1">
      <alignment vertical="center" wrapText="1"/>
    </xf>
    <xf numFmtId="178" fontId="13" fillId="15" borderId="74" xfId="0" applyNumberFormat="1" applyFont="1" applyFill="1" applyBorder="1" applyAlignment="1">
      <alignment vertical="center" wrapText="1"/>
    </xf>
    <xf numFmtId="178" fontId="5" fillId="0" borderId="74" xfId="0" applyNumberFormat="1" applyFont="1" applyBorder="1" applyAlignment="1">
      <alignment vertical="top" wrapText="1"/>
    </xf>
    <xf numFmtId="178" fontId="12" fillId="4" borderId="74" xfId="0" applyNumberFormat="1" applyFont="1" applyFill="1" applyBorder="1" applyAlignment="1">
      <alignment vertical="center" wrapText="1"/>
    </xf>
    <xf numFmtId="178" fontId="11" fillId="0" borderId="74" xfId="0" applyNumberFormat="1" applyFont="1" applyBorder="1" applyAlignment="1">
      <alignment vertical="center" wrapText="1"/>
    </xf>
    <xf numFmtId="0" fontId="21" fillId="0" borderId="74" xfId="0" applyFont="1" applyBorder="1" applyAlignment="1">
      <alignment horizontal="left" vertical="top"/>
    </xf>
    <xf numFmtId="3" fontId="21" fillId="0" borderId="74" xfId="0" applyNumberFormat="1" applyFont="1" applyBorder="1" applyAlignment="1">
      <alignment horizontal="center" vertical="center"/>
    </xf>
    <xf numFmtId="0" fontId="21" fillId="4" borderId="74" xfId="0" applyFont="1" applyFill="1" applyBorder="1">
      <alignment vertical="center"/>
    </xf>
    <xf numFmtId="177" fontId="5" fillId="19" borderId="33" xfId="0" quotePrefix="1" applyNumberFormat="1" applyFont="1" applyFill="1" applyBorder="1">
      <alignment vertical="center"/>
    </xf>
    <xf numFmtId="177" fontId="5" fillId="19" borderId="78" xfId="0" quotePrefix="1" applyNumberFormat="1" applyFont="1" applyFill="1" applyBorder="1">
      <alignment vertical="center"/>
    </xf>
    <xf numFmtId="0" fontId="5" fillId="19" borderId="78" xfId="0" quotePrefix="1" applyFont="1" applyFill="1" applyBorder="1" applyAlignment="1">
      <alignment horizontal="center" vertical="center"/>
    </xf>
    <xf numFmtId="0" fontId="5" fillId="19" borderId="78" xfId="0" quotePrefix="1" applyFont="1" applyFill="1" applyBorder="1" applyAlignment="1">
      <alignment horizontal="left" vertical="center"/>
    </xf>
    <xf numFmtId="3" fontId="13" fillId="19" borderId="78" xfId="0" applyNumberFormat="1" applyFont="1" applyFill="1" applyBorder="1" applyAlignment="1">
      <alignment vertical="center" wrapText="1"/>
    </xf>
    <xf numFmtId="3" fontId="13" fillId="14" borderId="78" xfId="0" applyNumberFormat="1" applyFont="1" applyFill="1" applyBorder="1" applyAlignment="1">
      <alignment vertical="center" wrapText="1"/>
    </xf>
    <xf numFmtId="3" fontId="5" fillId="19" borderId="78" xfId="0" applyNumberFormat="1" applyFont="1" applyFill="1" applyBorder="1" applyAlignment="1">
      <alignment vertical="center" wrapText="1"/>
    </xf>
    <xf numFmtId="0" fontId="5" fillId="19" borderId="78" xfId="0" applyFont="1" applyFill="1" applyBorder="1" applyAlignment="1">
      <alignment vertical="center" wrapText="1"/>
    </xf>
    <xf numFmtId="0" fontId="21" fillId="4" borderId="78" xfId="0" applyFont="1" applyFill="1" applyBorder="1">
      <alignment vertical="center"/>
    </xf>
    <xf numFmtId="0" fontId="5" fillId="17" borderId="59" xfId="0" quotePrefix="1" applyFont="1" applyFill="1" applyBorder="1" applyAlignment="1">
      <alignment horizontal="center" vertical="center"/>
    </xf>
    <xf numFmtId="0" fontId="5" fillId="0" borderId="34" xfId="0" applyFont="1" applyBorder="1">
      <alignment vertical="center"/>
    </xf>
    <xf numFmtId="0" fontId="5" fillId="0" borderId="49" xfId="0" applyFont="1" applyBorder="1">
      <alignment vertical="center"/>
    </xf>
    <xf numFmtId="0" fontId="5" fillId="0" borderId="34" xfId="0" applyFont="1" applyBorder="1" applyAlignment="1">
      <alignment vertical="top"/>
    </xf>
    <xf numFmtId="0" fontId="5" fillId="3" borderId="37" xfId="0" applyFont="1" applyFill="1" applyBorder="1" applyAlignment="1">
      <alignment horizontal="center" vertical="center"/>
    </xf>
    <xf numFmtId="3" fontId="5" fillId="15" borderId="37" xfId="0" applyNumberFormat="1" applyFont="1" applyFill="1" applyBorder="1" applyAlignment="1">
      <alignment vertical="center" wrapText="1"/>
    </xf>
    <xf numFmtId="3" fontId="5" fillId="3" borderId="37" xfId="0" applyNumberFormat="1" applyFont="1" applyFill="1" applyBorder="1" applyAlignment="1">
      <alignment vertical="center" wrapText="1"/>
    </xf>
    <xf numFmtId="3" fontId="5" fillId="4" borderId="37" xfId="0" applyNumberFormat="1" applyFont="1" applyFill="1" applyBorder="1" applyAlignment="1">
      <alignment vertical="center" wrapText="1"/>
    </xf>
    <xf numFmtId="0" fontId="5" fillId="3" borderId="37" xfId="0" applyFont="1" applyFill="1" applyBorder="1" applyAlignment="1">
      <alignment vertical="center" wrapText="1"/>
    </xf>
    <xf numFmtId="0" fontId="5" fillId="4" borderId="37" xfId="0" applyFont="1" applyFill="1" applyBorder="1">
      <alignment vertical="center"/>
    </xf>
    <xf numFmtId="3" fontId="5" fillId="18" borderId="38" xfId="0" applyNumberFormat="1" applyFont="1" applyFill="1" applyBorder="1" applyAlignment="1">
      <alignment horizontal="center" vertical="center" wrapText="1"/>
    </xf>
    <xf numFmtId="0" fontId="5" fillId="19" borderId="64" xfId="0" applyFont="1" applyFill="1" applyBorder="1" applyAlignment="1">
      <alignment vertical="top"/>
    </xf>
    <xf numFmtId="0" fontId="5" fillId="19" borderId="38" xfId="0" applyFont="1" applyFill="1" applyBorder="1" applyAlignment="1">
      <alignment horizontal="center" vertical="center"/>
    </xf>
    <xf numFmtId="3" fontId="5" fillId="14" borderId="38" xfId="0" applyNumberFormat="1" applyFont="1" applyFill="1" applyBorder="1" applyAlignment="1">
      <alignment horizontal="center" vertical="center" wrapText="1"/>
    </xf>
    <xf numFmtId="3" fontId="5" fillId="14" borderId="38" xfId="0" applyNumberFormat="1" applyFont="1" applyFill="1" applyBorder="1" applyAlignment="1">
      <alignment vertical="center" wrapText="1"/>
    </xf>
    <xf numFmtId="0" fontId="5" fillId="0" borderId="44" xfId="0" quotePrefix="1" applyFont="1" applyBorder="1" applyAlignment="1">
      <alignment vertical="center" wrapText="1"/>
    </xf>
    <xf numFmtId="0" fontId="5" fillId="0" borderId="37" xfId="0" quotePrefix="1" applyFont="1" applyBorder="1" applyAlignment="1">
      <alignment vertical="center" wrapText="1"/>
    </xf>
    <xf numFmtId="0" fontId="5" fillId="0" borderId="54" xfId="0" applyFont="1" applyBorder="1">
      <alignment vertical="center"/>
    </xf>
    <xf numFmtId="0" fontId="5" fillId="36" borderId="38" xfId="0" applyFont="1" applyFill="1" applyBorder="1" applyAlignment="1">
      <alignment horizontal="center" vertical="center"/>
    </xf>
    <xf numFmtId="0" fontId="5" fillId="37" borderId="38" xfId="0" applyFont="1" applyFill="1" applyBorder="1" applyAlignment="1">
      <alignment horizontal="left" vertical="top" wrapText="1"/>
    </xf>
    <xf numFmtId="177" fontId="5" fillId="19" borderId="38" xfId="0" quotePrefix="1" applyNumberFormat="1" applyFont="1" applyFill="1" applyBorder="1">
      <alignment vertical="center"/>
    </xf>
    <xf numFmtId="0" fontId="5" fillId="19" borderId="38" xfId="0" applyFont="1" applyFill="1" applyBorder="1" applyAlignment="1">
      <alignment horizontal="left" vertical="center"/>
    </xf>
    <xf numFmtId="3" fontId="13" fillId="14" borderId="38" xfId="0" applyNumberFormat="1" applyFont="1" applyFill="1" applyBorder="1" applyAlignment="1">
      <alignment vertical="center" wrapText="1"/>
    </xf>
    <xf numFmtId="0" fontId="5" fillId="0" borderId="54" xfId="0" applyFont="1" applyBorder="1" applyAlignment="1">
      <alignment vertical="top" wrapText="1"/>
    </xf>
    <xf numFmtId="0" fontId="5" fillId="0" borderId="38" xfId="0" quotePrefix="1" applyFont="1" applyBorder="1">
      <alignment vertical="center"/>
    </xf>
    <xf numFmtId="0" fontId="5" fillId="0" borderId="37" xfId="0" applyFont="1" applyBorder="1" applyAlignment="1">
      <alignment vertical="top" wrapText="1"/>
    </xf>
    <xf numFmtId="0" fontId="5" fillId="19" borderId="38" xfId="0" quotePrefix="1" applyFont="1" applyFill="1" applyBorder="1" applyAlignment="1">
      <alignment vertical="top"/>
    </xf>
    <xf numFmtId="0" fontId="5" fillId="35" borderId="79" xfId="0" applyFont="1" applyFill="1" applyBorder="1" applyAlignment="1">
      <alignment horizontal="center" vertical="center"/>
    </xf>
    <xf numFmtId="0" fontId="5" fillId="0" borderId="80" xfId="0" quotePrefix="1" applyFont="1" applyBorder="1" applyAlignment="1">
      <alignment vertical="center" wrapText="1"/>
    </xf>
    <xf numFmtId="3" fontId="13" fillId="0" borderId="38" xfId="0" applyNumberFormat="1" applyFont="1" applyBorder="1" applyAlignment="1">
      <alignment vertical="top" wrapText="1"/>
    </xf>
    <xf numFmtId="3" fontId="13" fillId="15" borderId="38" xfId="0" applyNumberFormat="1" applyFont="1" applyFill="1" applyBorder="1" applyAlignment="1">
      <alignment vertical="top" wrapText="1"/>
    </xf>
    <xf numFmtId="3" fontId="13" fillId="0" borderId="54" xfId="0" applyNumberFormat="1" applyFont="1" applyBorder="1" applyAlignment="1">
      <alignment vertical="center" wrapText="1"/>
    </xf>
    <xf numFmtId="3" fontId="13" fillId="15" borderId="54" xfId="0" applyNumberFormat="1" applyFont="1" applyFill="1" applyBorder="1" applyAlignment="1">
      <alignment vertical="center" wrapText="1"/>
    </xf>
    <xf numFmtId="3" fontId="13" fillId="19" borderId="54" xfId="0" applyNumberFormat="1" applyFont="1" applyFill="1" applyBorder="1" applyAlignment="1">
      <alignment vertical="center" wrapText="1"/>
    </xf>
    <xf numFmtId="3" fontId="13" fillId="14" borderId="54" xfId="0" applyNumberFormat="1" applyFont="1" applyFill="1" applyBorder="1" applyAlignment="1">
      <alignment vertical="center" wrapText="1"/>
    </xf>
    <xf numFmtId="0" fontId="5" fillId="19" borderId="54" xfId="0" applyFont="1" applyFill="1" applyBorder="1" applyAlignment="1">
      <alignment vertical="center" wrapText="1"/>
    </xf>
    <xf numFmtId="0" fontId="5" fillId="0" borderId="54" xfId="0" quotePrefix="1" applyFont="1" applyBorder="1" applyAlignment="1">
      <alignment vertical="top"/>
    </xf>
    <xf numFmtId="0" fontId="5" fillId="0" borderId="57" xfId="0" quotePrefix="1" applyFont="1" applyBorder="1" applyAlignment="1">
      <alignment vertical="top"/>
    </xf>
    <xf numFmtId="0" fontId="5" fillId="0" borderId="43" xfId="0" quotePrefix="1" applyFont="1" applyBorder="1" applyAlignment="1">
      <alignment vertical="top" wrapText="1"/>
    </xf>
    <xf numFmtId="0" fontId="5" fillId="0" borderId="45" xfId="0" quotePrefix="1" applyFont="1" applyBorder="1" applyAlignment="1">
      <alignment vertical="top" wrapText="1"/>
    </xf>
    <xf numFmtId="0" fontId="5" fillId="0" borderId="44" xfId="0" quotePrefix="1" applyFont="1" applyBorder="1" applyAlignment="1">
      <alignment vertical="top"/>
    </xf>
    <xf numFmtId="0" fontId="5" fillId="0" borderId="64" xfId="0" quotePrefix="1" applyFont="1" applyBorder="1" applyAlignment="1">
      <alignment vertical="top"/>
    </xf>
    <xf numFmtId="0" fontId="5" fillId="0" borderId="80" xfId="0" quotePrefix="1" applyFont="1" applyBorder="1">
      <alignment vertical="center"/>
    </xf>
    <xf numFmtId="0" fontId="5" fillId="0" borderId="37" xfId="0" quotePrefix="1" applyFont="1" applyBorder="1" applyAlignment="1">
      <alignment vertical="top"/>
    </xf>
    <xf numFmtId="0" fontId="5" fillId="0" borderId="80" xfId="0" quotePrefix="1" applyFont="1" applyBorder="1" applyAlignment="1">
      <alignment vertical="top"/>
    </xf>
    <xf numFmtId="0" fontId="5" fillId="0" borderId="37" xfId="0" quotePrefix="1" applyFont="1" applyBorder="1" applyAlignment="1">
      <alignment horizontal="left" vertical="center"/>
    </xf>
    <xf numFmtId="0" fontId="5" fillId="0" borderId="49" xfId="0" quotePrefix="1" applyFont="1" applyBorder="1">
      <alignment vertical="center"/>
    </xf>
    <xf numFmtId="3" fontId="20" fillId="15" borderId="37" xfId="0" applyNumberFormat="1" applyFont="1" applyFill="1" applyBorder="1" applyAlignment="1">
      <alignment vertical="center" wrapText="1"/>
    </xf>
    <xf numFmtId="3" fontId="13" fillId="0" borderId="37" xfId="0" applyNumberFormat="1" applyFont="1" applyBorder="1" applyAlignment="1">
      <alignment vertical="center" wrapText="1"/>
    </xf>
    <xf numFmtId="3" fontId="13" fillId="4" borderId="37" xfId="0" applyNumberFormat="1" applyFont="1" applyFill="1" applyBorder="1">
      <alignment vertical="center"/>
    </xf>
    <xf numFmtId="0" fontId="5" fillId="3" borderId="37" xfId="0" applyFont="1" applyFill="1" applyBorder="1" applyAlignment="1">
      <alignment vertical="top" wrapText="1"/>
    </xf>
    <xf numFmtId="0" fontId="5" fillId="3" borderId="38" xfId="0" quotePrefix="1" applyFont="1" applyFill="1" applyBorder="1" applyAlignment="1">
      <alignment horizontal="left" vertical="center"/>
    </xf>
    <xf numFmtId="0" fontId="5" fillId="3" borderId="42" xfId="0" quotePrefix="1" applyFont="1" applyFill="1" applyBorder="1" applyAlignment="1">
      <alignment horizontal="center" vertical="center"/>
    </xf>
    <xf numFmtId="0" fontId="5" fillId="3" borderId="45" xfId="0" quotePrefix="1" applyFont="1" applyFill="1" applyBorder="1" applyAlignment="1">
      <alignment vertical="top"/>
    </xf>
    <xf numFmtId="3" fontId="20" fillId="15" borderId="38" xfId="0" applyNumberFormat="1" applyFont="1" applyFill="1" applyBorder="1" applyAlignment="1">
      <alignment vertical="center" wrapText="1"/>
    </xf>
    <xf numFmtId="0" fontId="5" fillId="3" borderId="42" xfId="0" quotePrefix="1" applyFont="1" applyFill="1" applyBorder="1">
      <alignment vertical="center"/>
    </xf>
    <xf numFmtId="0" fontId="5" fillId="3" borderId="42" xfId="0" quotePrefix="1" applyFont="1" applyFill="1" applyBorder="1" applyAlignment="1">
      <alignment vertical="top"/>
    </xf>
    <xf numFmtId="0" fontId="5" fillId="3" borderId="42" xfId="0" quotePrefix="1" applyFont="1" applyFill="1" applyBorder="1" applyAlignment="1">
      <alignment vertical="top" wrapText="1"/>
    </xf>
    <xf numFmtId="0" fontId="5" fillId="3" borderId="45" xfId="0" quotePrefix="1" applyFont="1" applyFill="1" applyBorder="1" applyAlignment="1">
      <alignment vertical="top" wrapText="1"/>
    </xf>
    <xf numFmtId="4" fontId="21" fillId="0" borderId="38" xfId="0" applyNumberFormat="1" applyFont="1" applyBorder="1" applyAlignment="1">
      <alignment vertical="center" wrapText="1"/>
    </xf>
    <xf numFmtId="4" fontId="21" fillId="3" borderId="38" xfId="0" applyNumberFormat="1" applyFont="1" applyFill="1" applyBorder="1" applyAlignment="1">
      <alignment vertical="center" wrapText="1"/>
    </xf>
    <xf numFmtId="4" fontId="21" fillId="3" borderId="38" xfId="0" applyNumberFormat="1" applyFont="1" applyFill="1" applyBorder="1" applyAlignment="1">
      <alignment vertical="top" wrapText="1"/>
    </xf>
    <xf numFmtId="0" fontId="5" fillId="3" borderId="38" xfId="0" quotePrefix="1" applyFont="1" applyFill="1" applyBorder="1">
      <alignment vertical="center"/>
    </xf>
    <xf numFmtId="0" fontId="5" fillId="3" borderId="43" xfId="0" quotePrefix="1" applyFont="1" applyFill="1" applyBorder="1" applyAlignment="1">
      <alignment vertical="top"/>
    </xf>
    <xf numFmtId="3" fontId="21" fillId="18" borderId="38" xfId="0" applyNumberFormat="1" applyFont="1" applyFill="1" applyBorder="1" applyAlignment="1">
      <alignment vertical="center" wrapText="1"/>
    </xf>
    <xf numFmtId="4" fontId="21" fillId="15" borderId="38" xfId="0" applyNumberFormat="1" applyFont="1" applyFill="1" applyBorder="1" applyAlignment="1">
      <alignment vertical="top" wrapText="1"/>
    </xf>
    <xf numFmtId="3" fontId="21" fillId="3" borderId="38" xfId="0" applyNumberFormat="1" applyFont="1" applyFill="1" applyBorder="1" applyAlignment="1">
      <alignment vertical="top" wrapText="1"/>
    </xf>
    <xf numFmtId="0" fontId="5" fillId="3" borderId="43" xfId="0" quotePrefix="1" applyFont="1" applyFill="1" applyBorder="1">
      <alignment vertical="center"/>
    </xf>
    <xf numFmtId="3" fontId="21" fillId="15" borderId="38" xfId="0" applyNumberFormat="1" applyFont="1" applyFill="1" applyBorder="1" applyAlignment="1">
      <alignment horizontal="right" vertical="center" wrapText="1"/>
    </xf>
    <xf numFmtId="3" fontId="21" fillId="15" borderId="38" xfId="0" applyNumberFormat="1" applyFont="1" applyFill="1" applyBorder="1" applyAlignment="1">
      <alignment horizontal="center" vertical="center" wrapText="1"/>
    </xf>
    <xf numFmtId="3" fontId="21" fillId="3" borderId="38" xfId="0" applyNumberFormat="1" applyFont="1" applyFill="1" applyBorder="1" applyAlignment="1">
      <alignment horizontal="center" vertical="center" wrapText="1"/>
    </xf>
    <xf numFmtId="3" fontId="21" fillId="0" borderId="38" xfId="0" applyNumberFormat="1" applyFont="1" applyBorder="1" applyAlignment="1">
      <alignment horizontal="right" vertical="center" wrapText="1"/>
    </xf>
    <xf numFmtId="3" fontId="21" fillId="3" borderId="38" xfId="0" applyNumberFormat="1" applyFont="1" applyFill="1" applyBorder="1" applyAlignment="1">
      <alignment horizontal="center" vertical="top" wrapText="1"/>
    </xf>
    <xf numFmtId="0" fontId="5" fillId="3" borderId="104" xfId="0" applyFont="1" applyFill="1" applyBorder="1" applyAlignment="1">
      <alignment horizontal="center" vertical="center"/>
    </xf>
    <xf numFmtId="0" fontId="5" fillId="3" borderId="51" xfId="0" applyFont="1" applyFill="1" applyBorder="1" applyAlignment="1">
      <alignment vertical="top"/>
    </xf>
    <xf numFmtId="0" fontId="5" fillId="3" borderId="53" xfId="0" applyFont="1" applyFill="1" applyBorder="1" applyAlignment="1">
      <alignment vertical="top"/>
    </xf>
    <xf numFmtId="0" fontId="5" fillId="3" borderId="37" xfId="0" applyFont="1" applyFill="1" applyBorder="1" applyAlignment="1">
      <alignment vertical="top"/>
    </xf>
    <xf numFmtId="3" fontId="5" fillId="18" borderId="37" xfId="0" applyNumberFormat="1" applyFont="1" applyFill="1" applyBorder="1" applyAlignment="1">
      <alignment vertical="center" wrapText="1"/>
    </xf>
    <xf numFmtId="0" fontId="5" fillId="19" borderId="42" xfId="0" quotePrefix="1" applyFont="1" applyFill="1" applyBorder="1">
      <alignment vertical="center"/>
    </xf>
    <xf numFmtId="0" fontId="5" fillId="19" borderId="78" xfId="0" quotePrefix="1" applyFont="1" applyFill="1" applyBorder="1">
      <alignment vertical="center"/>
    </xf>
    <xf numFmtId="0" fontId="5" fillId="19" borderId="33" xfId="0" quotePrefix="1" applyFont="1" applyFill="1" applyBorder="1">
      <alignment vertical="center"/>
    </xf>
    <xf numFmtId="177" fontId="5" fillId="19" borderId="36" xfId="0" quotePrefix="1" applyNumberFormat="1" applyFont="1" applyFill="1" applyBorder="1" applyAlignment="1">
      <alignment vertical="top"/>
    </xf>
    <xf numFmtId="177" fontId="5" fillId="14" borderId="78" xfId="0" quotePrefix="1" applyNumberFormat="1" applyFont="1" applyFill="1" applyBorder="1" applyAlignment="1">
      <alignment horizontal="right" vertical="center"/>
    </xf>
    <xf numFmtId="177" fontId="5" fillId="14" borderId="38" xfId="0" quotePrefix="1" applyNumberFormat="1" applyFont="1" applyFill="1" applyBorder="1" applyAlignment="1">
      <alignment horizontal="right" vertical="center"/>
    </xf>
    <xf numFmtId="3" fontId="13" fillId="19" borderId="78" xfId="0" applyNumberFormat="1" applyFont="1" applyFill="1" applyBorder="1" applyAlignment="1">
      <alignment horizontal="right" vertical="center" wrapText="1"/>
    </xf>
    <xf numFmtId="0" fontId="5" fillId="19" borderId="78" xfId="0" applyFont="1" applyFill="1" applyBorder="1" applyAlignment="1">
      <alignment horizontal="right" vertical="center" wrapText="1"/>
    </xf>
    <xf numFmtId="0" fontId="5" fillId="19" borderId="78" xfId="0" applyFont="1" applyFill="1" applyBorder="1" applyAlignment="1">
      <alignment horizontal="left" vertical="top" wrapText="1"/>
    </xf>
    <xf numFmtId="0" fontId="5" fillId="19" borderId="37" xfId="0" applyFont="1" applyFill="1" applyBorder="1" applyAlignment="1">
      <alignment horizontal="center" vertical="center"/>
    </xf>
    <xf numFmtId="0" fontId="5" fillId="35" borderId="60" xfId="0" applyFont="1" applyFill="1" applyBorder="1" applyAlignment="1">
      <alignment horizontal="center" vertical="top" wrapText="1"/>
    </xf>
    <xf numFmtId="3" fontId="22" fillId="25" borderId="37" xfId="0" quotePrefix="1" applyNumberFormat="1" applyFont="1" applyFill="1" applyBorder="1" applyAlignment="1">
      <alignment horizontal="right" vertical="center" wrapText="1"/>
    </xf>
    <xf numFmtId="3" fontId="13" fillId="4" borderId="37" xfId="0" applyNumberFormat="1" applyFont="1" applyFill="1" applyBorder="1" applyAlignment="1">
      <alignment horizontal="right" vertical="center" wrapText="1"/>
    </xf>
    <xf numFmtId="0" fontId="5" fillId="3" borderId="37" xfId="0" applyFont="1" applyFill="1" applyBorder="1" applyAlignment="1">
      <alignment horizontal="right" vertical="center" wrapText="1"/>
    </xf>
    <xf numFmtId="0" fontId="5" fillId="0" borderId="43" xfId="0" quotePrefix="1" applyFont="1" applyBorder="1" applyAlignment="1">
      <alignment vertical="top"/>
    </xf>
    <xf numFmtId="3" fontId="22" fillId="25" borderId="38" xfId="0" quotePrefix="1" applyNumberFormat="1" applyFont="1" applyFill="1" applyBorder="1" applyAlignment="1">
      <alignment horizontal="right" vertical="center" wrapText="1"/>
    </xf>
    <xf numFmtId="0" fontId="5" fillId="3" borderId="57" xfId="0" quotePrefix="1" applyFont="1" applyFill="1" applyBorder="1" applyAlignment="1">
      <alignment vertical="top"/>
    </xf>
    <xf numFmtId="0" fontId="5" fillId="3" borderId="80" xfId="0" quotePrefix="1" applyFont="1" applyFill="1" applyBorder="1" applyAlignment="1">
      <alignment vertical="top"/>
    </xf>
    <xf numFmtId="0" fontId="5" fillId="35" borderId="105" xfId="0" applyFont="1" applyFill="1" applyBorder="1" applyAlignment="1">
      <alignment horizontal="center" vertical="center"/>
    </xf>
    <xf numFmtId="4" fontId="24" fillId="25" borderId="38" xfId="0" applyNumberFormat="1" applyFont="1" applyFill="1" applyBorder="1" applyAlignment="1">
      <alignment horizontal="right" vertical="center" wrapText="1"/>
    </xf>
    <xf numFmtId="4" fontId="24" fillId="24" borderId="38" xfId="0" applyNumberFormat="1" applyFont="1" applyFill="1" applyBorder="1" applyAlignment="1">
      <alignment horizontal="right" vertical="center" wrapText="1"/>
    </xf>
    <xf numFmtId="4" fontId="22" fillId="22" borderId="38" xfId="0" applyNumberFormat="1" applyFont="1" applyFill="1" applyBorder="1" applyAlignment="1">
      <alignment horizontal="right" vertical="center" wrapText="1"/>
    </xf>
    <xf numFmtId="4" fontId="22" fillId="15" borderId="38" xfId="0" applyNumberFormat="1" applyFont="1" applyFill="1" applyBorder="1" applyAlignment="1">
      <alignment horizontal="right" vertical="center" wrapText="1"/>
    </xf>
    <xf numFmtId="4" fontId="24" fillId="25" borderId="38" xfId="0" applyNumberFormat="1" applyFont="1" applyFill="1" applyBorder="1" applyAlignment="1">
      <alignment horizontal="right" vertical="top" wrapText="1"/>
    </xf>
    <xf numFmtId="4" fontId="24" fillId="24" borderId="38" xfId="0" applyNumberFormat="1" applyFont="1" applyFill="1" applyBorder="1" applyAlignment="1">
      <alignment horizontal="right" vertical="top" wrapText="1"/>
    </xf>
    <xf numFmtId="4" fontId="13" fillId="4" borderId="38" xfId="0" applyNumberFormat="1" applyFont="1" applyFill="1" applyBorder="1" applyAlignment="1">
      <alignment horizontal="right" vertical="center" wrapText="1"/>
    </xf>
    <xf numFmtId="4" fontId="21" fillId="3" borderId="38" xfId="0" applyNumberFormat="1" applyFont="1" applyFill="1" applyBorder="1" applyAlignment="1">
      <alignment horizontal="right" vertical="center" wrapText="1"/>
    </xf>
    <xf numFmtId="0" fontId="5" fillId="17" borderId="63" xfId="0" applyFont="1" applyFill="1" applyBorder="1" applyAlignment="1">
      <alignment horizontal="center" vertical="center"/>
    </xf>
    <xf numFmtId="3" fontId="24" fillId="25" borderId="38" xfId="0" applyNumberFormat="1" applyFont="1" applyFill="1" applyBorder="1" applyAlignment="1">
      <alignment horizontal="right" vertical="center" wrapText="1"/>
    </xf>
    <xf numFmtId="3" fontId="24" fillId="24" borderId="38" xfId="0" applyNumberFormat="1" applyFont="1" applyFill="1" applyBorder="1" applyAlignment="1">
      <alignment horizontal="right" vertical="center" wrapText="1"/>
    </xf>
    <xf numFmtId="3" fontId="24" fillId="25" borderId="38" xfId="0" applyNumberFormat="1" applyFont="1" applyFill="1" applyBorder="1" applyAlignment="1">
      <alignment horizontal="right" vertical="top" wrapText="1"/>
    </xf>
    <xf numFmtId="3" fontId="24" fillId="24" borderId="38" xfId="0" applyNumberFormat="1" applyFont="1" applyFill="1" applyBorder="1" applyAlignment="1">
      <alignment horizontal="right" vertical="top" wrapText="1"/>
    </xf>
    <xf numFmtId="3" fontId="21" fillId="3" borderId="38" xfId="0" applyNumberFormat="1" applyFont="1" applyFill="1" applyBorder="1" applyAlignment="1">
      <alignment horizontal="right" vertical="top" wrapText="1"/>
    </xf>
    <xf numFmtId="3" fontId="21" fillId="3" borderId="38" xfId="0" applyNumberFormat="1" applyFont="1" applyFill="1" applyBorder="1" applyAlignment="1">
      <alignment horizontal="right" vertical="center" wrapText="1"/>
    </xf>
    <xf numFmtId="0" fontId="5" fillId="17" borderId="105" xfId="0" applyFont="1" applyFill="1" applyBorder="1" applyAlignment="1">
      <alignment horizontal="center" vertical="center"/>
    </xf>
    <xf numFmtId="0" fontId="5" fillId="17" borderId="60" xfId="0" applyFont="1" applyFill="1" applyBorder="1" applyAlignment="1">
      <alignment horizontal="center" vertical="center"/>
    </xf>
    <xf numFmtId="3" fontId="13" fillId="0" borderId="38" xfId="0" applyNumberFormat="1" applyFont="1" applyBorder="1" applyAlignment="1">
      <alignment horizontal="right" vertical="center" wrapText="1"/>
    </xf>
    <xf numFmtId="3" fontId="13" fillId="15" borderId="38" xfId="0" applyNumberFormat="1" applyFont="1" applyFill="1" applyBorder="1" applyAlignment="1">
      <alignment horizontal="right" vertical="center" wrapText="1"/>
    </xf>
    <xf numFmtId="3" fontId="21" fillId="15" borderId="38" xfId="0" applyNumberFormat="1" applyFont="1" applyFill="1" applyBorder="1" applyAlignment="1">
      <alignment horizontal="right" vertical="top" wrapText="1"/>
    </xf>
    <xf numFmtId="3" fontId="15" fillId="3" borderId="38" xfId="0" applyNumberFormat="1" applyFont="1" applyFill="1" applyBorder="1" applyAlignment="1">
      <alignment horizontal="center" vertical="center"/>
    </xf>
    <xf numFmtId="0" fontId="5" fillId="3" borderId="57" xfId="0" quotePrefix="1" applyFont="1" applyFill="1" applyBorder="1" applyAlignment="1">
      <alignment vertical="top" wrapText="1"/>
    </xf>
    <xf numFmtId="3" fontId="5" fillId="15" borderId="54" xfId="0" applyNumberFormat="1" applyFont="1" applyFill="1" applyBorder="1" applyAlignment="1">
      <alignment horizontal="right" vertical="center" wrapText="1"/>
    </xf>
    <xf numFmtId="0" fontId="5" fillId="3" borderId="54" xfId="0" applyFont="1" applyFill="1" applyBorder="1" applyAlignment="1">
      <alignment horizontal="right" vertical="center" wrapText="1"/>
    </xf>
    <xf numFmtId="0" fontId="5" fillId="21" borderId="54" xfId="0" applyFont="1" applyFill="1" applyBorder="1" applyAlignment="1">
      <alignment horizontal="left" vertical="top" wrapText="1"/>
    </xf>
    <xf numFmtId="0" fontId="5" fillId="3" borderId="42" xfId="0" quotePrefix="1" applyFont="1" applyFill="1" applyBorder="1" applyAlignment="1">
      <alignment horizontal="left" vertical="top"/>
    </xf>
    <xf numFmtId="0" fontId="5" fillId="3" borderId="42" xfId="0" quotePrefix="1" applyFont="1" applyFill="1" applyBorder="1" applyAlignment="1">
      <alignment horizontal="left" vertical="top" wrapText="1"/>
    </xf>
    <xf numFmtId="0" fontId="5" fillId="3" borderId="45" xfId="0" quotePrefix="1" applyFont="1" applyFill="1" applyBorder="1" applyAlignment="1">
      <alignment horizontal="left" vertical="top" wrapText="1"/>
    </xf>
    <xf numFmtId="0" fontId="5" fillId="3" borderId="57" xfId="0" quotePrefix="1" applyFont="1" applyFill="1" applyBorder="1" applyAlignment="1">
      <alignment horizontal="left" vertical="top"/>
    </xf>
    <xf numFmtId="0" fontId="5" fillId="3" borderId="43" xfId="0" quotePrefix="1" applyFont="1" applyFill="1" applyBorder="1" applyAlignment="1">
      <alignment vertical="top" wrapText="1"/>
    </xf>
    <xf numFmtId="177" fontId="5" fillId="15" borderId="57" xfId="0" quotePrefix="1" applyNumberFormat="1" applyFont="1" applyFill="1" applyBorder="1" applyAlignment="1">
      <alignment vertical="top" wrapText="1"/>
    </xf>
    <xf numFmtId="0" fontId="5" fillId="0" borderId="52" xfId="0" applyFont="1" applyBorder="1" applyAlignment="1">
      <alignment horizontal="center" vertical="center"/>
    </xf>
    <xf numFmtId="0" fontId="5" fillId="3" borderId="42" xfId="0" applyFont="1" applyFill="1" applyBorder="1" applyAlignment="1">
      <alignment vertical="top"/>
    </xf>
    <xf numFmtId="0" fontId="5" fillId="3" borderId="57" xfId="0" applyFont="1" applyFill="1" applyBorder="1" applyAlignment="1">
      <alignment vertical="top" wrapText="1"/>
    </xf>
    <xf numFmtId="0" fontId="5" fillId="0" borderId="56" xfId="0" quotePrefix="1" applyFont="1" applyBorder="1" applyAlignment="1">
      <alignment vertical="top"/>
    </xf>
    <xf numFmtId="3" fontId="5" fillId="18" borderId="54" xfId="0" applyNumberFormat="1" applyFont="1" applyFill="1" applyBorder="1" applyAlignment="1">
      <alignment horizontal="right" vertical="center" wrapText="1"/>
    </xf>
    <xf numFmtId="0" fontId="5" fillId="0" borderId="57" xfId="0" quotePrefix="1" applyFont="1" applyBorder="1" applyAlignment="1">
      <alignment vertical="top" wrapText="1"/>
    </xf>
    <xf numFmtId="3" fontId="5" fillId="18" borderId="38" xfId="0" applyNumberFormat="1" applyFont="1" applyFill="1" applyBorder="1" applyAlignment="1">
      <alignment horizontal="right" vertical="center" wrapText="1"/>
    </xf>
    <xf numFmtId="0" fontId="15" fillId="14" borderId="28" xfId="0" applyFont="1" applyFill="1" applyBorder="1" applyAlignment="1">
      <alignment horizontal="right" vertical="center"/>
    </xf>
    <xf numFmtId="0" fontId="19" fillId="14" borderId="28" xfId="0" applyFont="1" applyFill="1" applyBorder="1" applyAlignment="1">
      <alignment horizontal="right" vertical="center" wrapText="1"/>
    </xf>
    <xf numFmtId="0" fontId="9" fillId="14" borderId="29" xfId="0" applyFont="1" applyFill="1" applyBorder="1" applyAlignment="1">
      <alignment horizontal="center" vertical="center"/>
    </xf>
    <xf numFmtId="177" fontId="5" fillId="0" borderId="34" xfId="0" quotePrefix="1" applyNumberFormat="1" applyFont="1" applyBorder="1" applyAlignment="1">
      <alignment horizontal="center" vertical="top" wrapText="1"/>
    </xf>
    <xf numFmtId="0" fontId="5" fillId="0" borderId="78" xfId="0" applyFont="1" applyBorder="1" applyAlignment="1">
      <alignment vertical="top"/>
    </xf>
    <xf numFmtId="0" fontId="5" fillId="0" borderId="33" xfId="0" applyFont="1" applyBorder="1" applyAlignment="1">
      <alignment vertical="top"/>
    </xf>
    <xf numFmtId="0" fontId="5" fillId="0" borderId="36" xfId="0" applyFont="1" applyBorder="1" applyAlignment="1">
      <alignment vertical="top"/>
    </xf>
    <xf numFmtId="177" fontId="5" fillId="15" borderId="78" xfId="0" quotePrefix="1" applyNumberFormat="1" applyFont="1" applyFill="1" applyBorder="1" applyAlignment="1">
      <alignment horizontal="center" vertical="top" wrapText="1"/>
    </xf>
    <xf numFmtId="185" fontId="21" fillId="4" borderId="78" xfId="0" quotePrefix="1" applyNumberFormat="1" applyFont="1" applyFill="1" applyBorder="1" applyAlignment="1">
      <alignment horizontal="right" vertical="center" wrapText="1"/>
    </xf>
    <xf numFmtId="185" fontId="11" fillId="3" borderId="78" xfId="0" quotePrefix="1" applyNumberFormat="1" applyFont="1" applyFill="1" applyBorder="1" applyAlignment="1">
      <alignment horizontal="right" vertical="center" wrapText="1"/>
    </xf>
    <xf numFmtId="185" fontId="11" fillId="15" borderId="78" xfId="0" quotePrefix="1" applyNumberFormat="1" applyFont="1" applyFill="1" applyBorder="1" applyAlignment="1">
      <alignment horizontal="right" vertical="center" wrapText="1"/>
    </xf>
    <xf numFmtId="185" fontId="5" fillId="4" borderId="78" xfId="0" applyNumberFormat="1" applyFont="1" applyFill="1" applyBorder="1" applyAlignment="1">
      <alignment horizontal="right" vertical="center" wrapText="1"/>
    </xf>
    <xf numFmtId="185" fontId="5" fillId="15" borderId="78" xfId="0" applyNumberFormat="1" applyFont="1" applyFill="1" applyBorder="1" applyAlignment="1">
      <alignment horizontal="right" vertical="center" wrapText="1"/>
    </xf>
    <xf numFmtId="185" fontId="5" fillId="0" borderId="78" xfId="0" applyNumberFormat="1" applyFont="1" applyBorder="1" applyAlignment="1">
      <alignment horizontal="right" vertical="top" wrapText="1"/>
    </xf>
    <xf numFmtId="185" fontId="13" fillId="4" borderId="78" xfId="0" applyNumberFormat="1" applyFont="1" applyFill="1" applyBorder="1" applyAlignment="1">
      <alignment horizontal="right" vertical="center" wrapText="1"/>
    </xf>
    <xf numFmtId="185" fontId="5" fillId="0" borderId="78" xfId="0" applyNumberFormat="1" applyFont="1" applyBorder="1" applyAlignment="1">
      <alignment horizontal="right" vertical="center" wrapText="1"/>
    </xf>
    <xf numFmtId="185" fontId="5" fillId="0" borderId="78" xfId="0" quotePrefix="1" applyNumberFormat="1" applyFont="1" applyBorder="1" applyAlignment="1">
      <alignment horizontal="right" vertical="top" wrapText="1"/>
    </xf>
    <xf numFmtId="0" fontId="5" fillId="0" borderId="36" xfId="0" applyFont="1" applyBorder="1" applyAlignment="1">
      <alignment horizontal="left" vertical="top" wrapText="1"/>
    </xf>
    <xf numFmtId="177" fontId="5" fillId="0" borderId="34" xfId="0" quotePrefix="1" applyNumberFormat="1" applyFont="1" applyBorder="1" applyAlignment="1">
      <alignment vertical="center" wrapText="1"/>
    </xf>
    <xf numFmtId="177" fontId="5" fillId="0" borderId="49" xfId="0" quotePrefix="1" applyNumberFormat="1" applyFont="1" applyBorder="1" applyAlignment="1">
      <alignment vertical="center" wrapText="1"/>
    </xf>
    <xf numFmtId="177" fontId="5" fillId="15" borderId="37" xfId="0" quotePrefix="1" applyNumberFormat="1" applyFont="1" applyFill="1" applyBorder="1" applyAlignment="1">
      <alignment horizontal="center" vertical="top" wrapText="1"/>
    </xf>
    <xf numFmtId="3" fontId="21" fillId="3" borderId="37" xfId="0" quotePrefix="1" applyNumberFormat="1" applyFont="1" applyFill="1" applyBorder="1" applyAlignment="1">
      <alignment vertical="center" wrapText="1"/>
    </xf>
    <xf numFmtId="3" fontId="11" fillId="3" borderId="37" xfId="0" quotePrefix="1" applyNumberFormat="1" applyFont="1" applyFill="1" applyBorder="1" applyAlignment="1">
      <alignment vertical="center" wrapText="1"/>
    </xf>
    <xf numFmtId="3" fontId="11" fillId="15" borderId="37" xfId="0" quotePrefix="1" applyNumberFormat="1" applyFont="1" applyFill="1" applyBorder="1" applyAlignment="1">
      <alignment vertical="center" wrapText="1"/>
    </xf>
    <xf numFmtId="185" fontId="13" fillId="4" borderId="37" xfId="0" applyNumberFormat="1" applyFont="1" applyFill="1" applyBorder="1" applyAlignment="1">
      <alignment horizontal="right" vertical="center" wrapText="1"/>
    </xf>
    <xf numFmtId="185" fontId="5" fillId="0" borderId="37" xfId="0" applyNumberFormat="1" applyFont="1" applyBorder="1" applyAlignment="1">
      <alignment horizontal="right" vertical="center" wrapText="1"/>
    </xf>
    <xf numFmtId="185" fontId="5" fillId="0" borderId="37" xfId="0" applyNumberFormat="1" applyFont="1" applyBorder="1" applyAlignment="1">
      <alignment horizontal="right" vertical="top" wrapText="1"/>
    </xf>
    <xf numFmtId="185" fontId="5" fillId="0" borderId="37" xfId="0" quotePrefix="1" applyNumberFormat="1" applyFont="1" applyBorder="1" applyAlignment="1">
      <alignment horizontal="right" vertical="top" wrapText="1"/>
    </xf>
    <xf numFmtId="0" fontId="5" fillId="0" borderId="106" xfId="0" applyFont="1" applyBorder="1" applyAlignment="1">
      <alignment horizontal="left" vertical="top" wrapText="1"/>
    </xf>
    <xf numFmtId="0" fontId="5" fillId="0" borderId="80" xfId="0" applyFont="1" applyBorder="1" applyAlignment="1">
      <alignment horizontal="left" vertical="top" wrapText="1"/>
    </xf>
    <xf numFmtId="0" fontId="5" fillId="0" borderId="37" xfId="0" applyFont="1" applyBorder="1" applyAlignment="1">
      <alignment horizontal="center" vertical="center"/>
    </xf>
    <xf numFmtId="185" fontId="5" fillId="4" borderId="38" xfId="0" applyNumberFormat="1" applyFont="1" applyFill="1" applyBorder="1" applyAlignment="1">
      <alignment horizontal="right" vertical="center" wrapText="1"/>
    </xf>
    <xf numFmtId="185" fontId="5" fillId="3" borderId="38" xfId="0" applyNumberFormat="1" applyFont="1" applyFill="1" applyBorder="1" applyAlignment="1">
      <alignment horizontal="right" vertical="center" wrapText="1"/>
    </xf>
    <xf numFmtId="185" fontId="5" fillId="0" borderId="38" xfId="0" applyNumberFormat="1" applyFont="1" applyBorder="1" applyAlignment="1">
      <alignment horizontal="right" vertical="center" wrapText="1"/>
    </xf>
    <xf numFmtId="185" fontId="5" fillId="15" borderId="38" xfId="0" applyNumberFormat="1" applyFont="1" applyFill="1" applyBorder="1" applyAlignment="1">
      <alignment horizontal="right" vertical="center" wrapText="1"/>
    </xf>
    <xf numFmtId="185" fontId="13" fillId="4" borderId="38" xfId="0" applyNumberFormat="1" applyFont="1" applyFill="1" applyBorder="1" applyAlignment="1">
      <alignment horizontal="right" vertical="center" wrapText="1"/>
    </xf>
    <xf numFmtId="0" fontId="5" fillId="19" borderId="0" xfId="0" quotePrefix="1" applyFont="1" applyFill="1" applyAlignment="1">
      <alignment horizontal="center" vertical="center"/>
    </xf>
    <xf numFmtId="0" fontId="5" fillId="19" borderId="0" xfId="0" quotePrefix="1" applyFont="1" applyFill="1" applyAlignment="1">
      <alignment horizontal="right" vertical="center"/>
    </xf>
    <xf numFmtId="0" fontId="5" fillId="19" borderId="38" xfId="0" applyFont="1" applyFill="1" applyBorder="1" applyAlignment="1">
      <alignment horizontal="right" vertical="center" wrapText="1"/>
    </xf>
    <xf numFmtId="0" fontId="5" fillId="19" borderId="79" xfId="0" applyFont="1" applyFill="1" applyBorder="1" applyAlignment="1">
      <alignment horizontal="center" vertical="center"/>
    </xf>
    <xf numFmtId="0" fontId="5" fillId="19" borderId="60" xfId="0" applyFont="1" applyFill="1" applyBorder="1" applyAlignment="1">
      <alignment horizontal="center" vertical="center"/>
    </xf>
    <xf numFmtId="178" fontId="5" fillId="0" borderId="38" xfId="0" applyNumberFormat="1" applyFont="1" applyBorder="1" applyAlignment="1">
      <alignment horizontal="right" vertical="top" wrapText="1"/>
    </xf>
    <xf numFmtId="0" fontId="5" fillId="0" borderId="107" xfId="0" applyFont="1" applyBorder="1" applyAlignment="1">
      <alignment horizontal="left" vertical="top" wrapText="1"/>
    </xf>
    <xf numFmtId="0" fontId="5" fillId="4" borderId="38" xfId="0" quotePrefix="1" applyFont="1" applyFill="1" applyBorder="1">
      <alignment vertical="center"/>
    </xf>
    <xf numFmtId="0" fontId="5" fillId="0" borderId="91" xfId="0" applyFont="1" applyBorder="1">
      <alignment vertical="center"/>
    </xf>
    <xf numFmtId="0" fontId="5" fillId="0" borderId="108" xfId="0" applyFont="1" applyBorder="1" applyAlignment="1">
      <alignment vertical="top"/>
    </xf>
    <xf numFmtId="0" fontId="5" fillId="0" borderId="91" xfId="0" applyFont="1" applyBorder="1" applyAlignment="1">
      <alignment vertical="top"/>
    </xf>
    <xf numFmtId="0" fontId="5" fillId="0" borderId="91" xfId="0" applyFont="1" applyBorder="1" applyAlignment="1">
      <alignment vertical="top" wrapText="1"/>
    </xf>
    <xf numFmtId="0" fontId="5" fillId="3" borderId="57" xfId="0" applyFont="1" applyFill="1" applyBorder="1" applyAlignment="1">
      <alignment horizontal="left" vertical="top" wrapText="1"/>
    </xf>
    <xf numFmtId="0" fontId="15" fillId="12" borderId="92" xfId="0" applyFont="1" applyFill="1" applyBorder="1" applyAlignment="1">
      <alignment horizontal="right" vertical="center"/>
    </xf>
    <xf numFmtId="0" fontId="10" fillId="12" borderId="92" xfId="0" applyFont="1" applyFill="1" applyBorder="1" applyAlignment="1">
      <alignment horizontal="right" vertical="center" wrapText="1"/>
    </xf>
    <xf numFmtId="0" fontId="13" fillId="13" borderId="92" xfId="2" applyFont="1" applyFill="1" applyBorder="1" applyAlignment="1">
      <alignment horizontal="center" vertical="top" wrapText="1"/>
    </xf>
    <xf numFmtId="0" fontId="5" fillId="19" borderId="78" xfId="0" applyFont="1" applyFill="1" applyBorder="1" applyAlignment="1">
      <alignment vertical="top"/>
    </xf>
    <xf numFmtId="0" fontId="5" fillId="19" borderId="37" xfId="0" applyFont="1" applyFill="1" applyBorder="1" applyAlignment="1">
      <alignment horizontal="right" vertical="center"/>
    </xf>
    <xf numFmtId="178" fontId="20" fillId="3" borderId="37" xfId="0" applyNumberFormat="1" applyFont="1" applyFill="1" applyBorder="1" applyAlignment="1">
      <alignment vertical="center" wrapText="1"/>
    </xf>
    <xf numFmtId="178" fontId="20" fillId="0" borderId="37" xfId="0" applyNumberFormat="1" applyFont="1" applyBorder="1" applyAlignment="1">
      <alignment vertical="center" wrapText="1"/>
    </xf>
    <xf numFmtId="178" fontId="20" fillId="3" borderId="38" xfId="0" applyNumberFormat="1" applyFont="1" applyFill="1" applyBorder="1" applyAlignment="1">
      <alignment vertical="center" wrapText="1"/>
    </xf>
    <xf numFmtId="178" fontId="20" fillId="0" borderId="38" xfId="0" applyNumberFormat="1" applyFont="1" applyBorder="1" applyAlignment="1">
      <alignment vertical="center" wrapText="1"/>
    </xf>
    <xf numFmtId="178" fontId="21" fillId="3" borderId="38" xfId="0" applyNumberFormat="1" applyFont="1" applyFill="1" applyBorder="1" applyAlignment="1">
      <alignment vertical="top" wrapText="1"/>
    </xf>
    <xf numFmtId="178" fontId="21" fillId="0" borderId="38" xfId="0" applyNumberFormat="1" applyFont="1" applyBorder="1" applyAlignment="1">
      <alignment vertical="top" wrapText="1"/>
    </xf>
    <xf numFmtId="178" fontId="13" fillId="4" borderId="38" xfId="0" applyNumberFormat="1" applyFont="1" applyFill="1" applyBorder="1" applyAlignment="1">
      <alignment vertical="top" wrapText="1"/>
    </xf>
    <xf numFmtId="0" fontId="5" fillId="3" borderId="43" xfId="0" applyFont="1" applyFill="1" applyBorder="1" applyAlignment="1">
      <alignment vertical="top"/>
    </xf>
    <xf numFmtId="0" fontId="5" fillId="3" borderId="45" xfId="0" applyFont="1" applyFill="1" applyBorder="1" applyAlignment="1">
      <alignment vertical="top"/>
    </xf>
    <xf numFmtId="178" fontId="20" fillId="19" borderId="38" xfId="0" applyNumberFormat="1" applyFont="1" applyFill="1" applyBorder="1" applyAlignment="1">
      <alignment vertical="center" wrapText="1"/>
    </xf>
    <xf numFmtId="178" fontId="11" fillId="19" borderId="38" xfId="0" applyNumberFormat="1" applyFont="1" applyFill="1" applyBorder="1" applyAlignment="1">
      <alignment vertical="center" wrapText="1"/>
    </xf>
    <xf numFmtId="0" fontId="5" fillId="3" borderId="57" xfId="0" applyFont="1" applyFill="1" applyBorder="1" applyAlignment="1">
      <alignment vertical="top"/>
    </xf>
    <xf numFmtId="0" fontId="5" fillId="0" borderId="75" xfId="0" applyFont="1" applyBorder="1" applyAlignment="1">
      <alignment vertical="top"/>
    </xf>
    <xf numFmtId="0" fontId="5" fillId="3" borderId="70" xfId="0" applyFont="1" applyFill="1" applyBorder="1" applyAlignment="1">
      <alignment vertical="top"/>
    </xf>
    <xf numFmtId="0" fontId="5" fillId="3" borderId="74" xfId="0" applyFont="1" applyFill="1" applyBorder="1" applyAlignment="1">
      <alignment vertical="top"/>
    </xf>
    <xf numFmtId="178" fontId="15" fillId="3" borderId="74" xfId="0" applyNumberFormat="1" applyFont="1" applyFill="1" applyBorder="1" applyAlignment="1">
      <alignment vertical="center" wrapText="1"/>
    </xf>
    <xf numFmtId="178" fontId="15" fillId="0" borderId="74" xfId="0" applyNumberFormat="1" applyFont="1" applyBorder="1" applyAlignment="1">
      <alignment vertical="center" wrapText="1"/>
    </xf>
    <xf numFmtId="178" fontId="21" fillId="3" borderId="74" xfId="0" applyNumberFormat="1" applyFont="1" applyFill="1" applyBorder="1" applyAlignment="1">
      <alignment vertical="top" wrapText="1"/>
    </xf>
    <xf numFmtId="178" fontId="21" fillId="0" borderId="74" xfId="0" applyNumberFormat="1" applyFont="1" applyBorder="1" applyAlignment="1">
      <alignment vertical="top" wrapText="1"/>
    </xf>
    <xf numFmtId="178" fontId="13" fillId="4" borderId="74" xfId="0" applyNumberFormat="1" applyFont="1" applyFill="1" applyBorder="1" applyAlignment="1">
      <alignment vertical="top" wrapText="1"/>
    </xf>
    <xf numFmtId="178" fontId="5" fillId="3" borderId="74" xfId="0" applyNumberFormat="1" applyFont="1" applyFill="1" applyBorder="1" applyAlignment="1">
      <alignment vertical="top" wrapText="1"/>
    </xf>
    <xf numFmtId="0" fontId="5" fillId="19" borderId="54" xfId="0" applyFont="1" applyFill="1" applyBorder="1" applyAlignment="1">
      <alignment horizontal="right" vertical="center"/>
    </xf>
    <xf numFmtId="3" fontId="13" fillId="19" borderId="35" xfId="0" applyNumberFormat="1" applyFont="1" applyFill="1" applyBorder="1" applyAlignment="1">
      <alignment horizontal="right" vertical="center" wrapText="1"/>
    </xf>
    <xf numFmtId="0" fontId="5" fillId="19" borderId="35" xfId="0" applyFont="1" applyFill="1" applyBorder="1" applyAlignment="1">
      <alignment horizontal="right" vertical="center" wrapText="1"/>
    </xf>
    <xf numFmtId="3" fontId="13" fillId="19" borderId="35" xfId="0" applyNumberFormat="1" applyFont="1" applyFill="1" applyBorder="1" applyAlignment="1">
      <alignment horizontal="right" vertical="top" wrapText="1"/>
    </xf>
    <xf numFmtId="0" fontId="5" fillId="19" borderId="35" xfId="0" applyFont="1" applyFill="1" applyBorder="1" applyAlignment="1">
      <alignment horizontal="right" vertical="top" wrapText="1"/>
    </xf>
    <xf numFmtId="178" fontId="11" fillId="3" borderId="38" xfId="0" applyNumberFormat="1" applyFont="1" applyFill="1" applyBorder="1" applyAlignment="1">
      <alignment vertical="center" wrapText="1"/>
    </xf>
    <xf numFmtId="0" fontId="5" fillId="19" borderId="38" xfId="0" applyFont="1" applyFill="1" applyBorder="1" applyAlignment="1">
      <alignment horizontal="right" vertical="center"/>
    </xf>
    <xf numFmtId="3" fontId="13" fillId="19" borderId="38" xfId="0" applyNumberFormat="1" applyFont="1" applyFill="1" applyBorder="1" applyAlignment="1">
      <alignment horizontal="right" vertical="top" wrapText="1"/>
    </xf>
    <xf numFmtId="0" fontId="5" fillId="19" borderId="38" xfId="0" applyFont="1" applyFill="1" applyBorder="1" applyAlignment="1">
      <alignment horizontal="right" vertical="top" wrapText="1"/>
    </xf>
    <xf numFmtId="0" fontId="5" fillId="38" borderId="0" xfId="0" applyFont="1" applyFill="1" applyAlignment="1">
      <alignment horizontal="left" vertical="center"/>
    </xf>
    <xf numFmtId="0" fontId="5" fillId="38" borderId="38" xfId="0" applyFont="1" applyFill="1" applyBorder="1" applyAlignment="1">
      <alignment horizontal="left" vertical="top" wrapText="1"/>
    </xf>
    <xf numFmtId="178" fontId="11" fillId="4" borderId="38" xfId="0" applyNumberFormat="1" applyFont="1" applyFill="1" applyBorder="1" applyAlignment="1">
      <alignment vertical="center" wrapText="1"/>
    </xf>
    <xf numFmtId="0" fontId="5" fillId="19" borderId="38" xfId="0" quotePrefix="1" applyFont="1" applyFill="1" applyBorder="1" applyAlignment="1">
      <alignment horizontal="right" vertical="center" wrapText="1"/>
    </xf>
    <xf numFmtId="185" fontId="20" fillId="3" borderId="38" xfId="0" applyNumberFormat="1" applyFont="1" applyFill="1" applyBorder="1" applyAlignment="1">
      <alignment vertical="center" wrapText="1"/>
    </xf>
    <xf numFmtId="185" fontId="11" fillId="3" borderId="38" xfId="0" applyNumberFormat="1" applyFont="1" applyFill="1" applyBorder="1" applyAlignment="1">
      <alignment vertical="center" wrapText="1"/>
    </xf>
    <xf numFmtId="185" fontId="5" fillId="4" borderId="38" xfId="0" applyNumberFormat="1" applyFont="1" applyFill="1" applyBorder="1" applyAlignment="1">
      <alignment vertical="center" wrapText="1"/>
    </xf>
    <xf numFmtId="185" fontId="13" fillId="4" borderId="38" xfId="0" applyNumberFormat="1" applyFont="1" applyFill="1" applyBorder="1" applyAlignment="1">
      <alignment vertical="center" wrapText="1"/>
    </xf>
    <xf numFmtId="185" fontId="13" fillId="4" borderId="38" xfId="0" applyNumberFormat="1" applyFont="1" applyFill="1" applyBorder="1" applyAlignment="1">
      <alignment vertical="top" wrapText="1"/>
    </xf>
    <xf numFmtId="185" fontId="5" fillId="3" borderId="38" xfId="0" applyNumberFormat="1" applyFont="1" applyFill="1" applyBorder="1" applyAlignment="1">
      <alignment vertical="top" wrapText="1"/>
    </xf>
    <xf numFmtId="0" fontId="5" fillId="3" borderId="64" xfId="0" applyFont="1" applyFill="1" applyBorder="1" applyAlignment="1">
      <alignment vertical="top"/>
    </xf>
    <xf numFmtId="0" fontId="5" fillId="3" borderId="80" xfId="0" applyFont="1" applyFill="1" applyBorder="1" applyAlignment="1">
      <alignment vertical="top"/>
    </xf>
    <xf numFmtId="0" fontId="5" fillId="38" borderId="54" xfId="0" applyFont="1" applyFill="1" applyBorder="1" applyAlignment="1">
      <alignment horizontal="left" vertical="top" wrapText="1"/>
    </xf>
    <xf numFmtId="0" fontId="5" fillId="4" borderId="54" xfId="0" applyFont="1" applyFill="1" applyBorder="1">
      <alignment vertical="center"/>
    </xf>
    <xf numFmtId="0" fontId="5" fillId="4" borderId="52" xfId="0" applyFont="1" applyFill="1" applyBorder="1">
      <alignment vertical="center"/>
    </xf>
    <xf numFmtId="0" fontId="5" fillId="17" borderId="109" xfId="0" applyFont="1" applyFill="1" applyBorder="1" applyAlignment="1">
      <alignment horizontal="center" vertical="center"/>
    </xf>
    <xf numFmtId="178" fontId="11" fillId="4" borderId="54" xfId="0" applyNumberFormat="1" applyFont="1" applyFill="1" applyBorder="1" applyAlignment="1">
      <alignment vertical="center" wrapText="1"/>
    </xf>
    <xf numFmtId="178" fontId="11" fillId="3" borderId="54" xfId="0" applyNumberFormat="1" applyFont="1" applyFill="1" applyBorder="1" applyAlignment="1">
      <alignment vertical="center" wrapText="1"/>
    </xf>
    <xf numFmtId="178" fontId="5" fillId="0" borderId="54" xfId="0" applyNumberFormat="1" applyFont="1" applyBorder="1" applyAlignment="1">
      <alignment vertical="center" wrapText="1"/>
    </xf>
    <xf numFmtId="178" fontId="5" fillId="4" borderId="54" xfId="0" applyNumberFormat="1" applyFont="1" applyFill="1" applyBorder="1" applyAlignment="1">
      <alignment vertical="center" wrapText="1"/>
    </xf>
    <xf numFmtId="178" fontId="13" fillId="4" borderId="54" xfId="0" applyNumberFormat="1" applyFont="1" applyFill="1" applyBorder="1" applyAlignment="1">
      <alignment vertical="center" wrapText="1"/>
    </xf>
    <xf numFmtId="178" fontId="5" fillId="3" borderId="54" xfId="0" applyNumberFormat="1" applyFont="1" applyFill="1" applyBorder="1" applyAlignment="1">
      <alignment vertical="center" wrapText="1"/>
    </xf>
    <xf numFmtId="178" fontId="13" fillId="4" borderId="54" xfId="0" applyNumberFormat="1" applyFont="1" applyFill="1" applyBorder="1" applyAlignment="1">
      <alignment vertical="top" wrapText="1"/>
    </xf>
    <xf numFmtId="178" fontId="5" fillId="3" borderId="54" xfId="0" applyNumberFormat="1" applyFont="1" applyFill="1" applyBorder="1" applyAlignment="1">
      <alignment vertical="top" wrapText="1"/>
    </xf>
    <xf numFmtId="178" fontId="5" fillId="3" borderId="54" xfId="0" applyNumberFormat="1" applyFont="1" applyFill="1" applyBorder="1" applyAlignment="1">
      <alignment horizontal="left" vertical="top" wrapText="1"/>
    </xf>
    <xf numFmtId="178" fontId="5" fillId="38" borderId="38" xfId="0" applyNumberFormat="1" applyFont="1" applyFill="1" applyBorder="1" applyAlignment="1">
      <alignment horizontal="center" vertical="center"/>
    </xf>
    <xf numFmtId="178" fontId="5" fillId="0" borderId="38" xfId="0" applyNumberFormat="1" applyFont="1" applyBorder="1" applyAlignment="1">
      <alignment horizontal="center" vertical="center"/>
    </xf>
    <xf numFmtId="178" fontId="5" fillId="4" borderId="43" xfId="0" applyNumberFormat="1" applyFont="1" applyFill="1" applyBorder="1">
      <alignment vertical="center"/>
    </xf>
    <xf numFmtId="0" fontId="5" fillId="17" borderId="110" xfId="0" applyFont="1" applyFill="1" applyBorder="1" applyAlignment="1">
      <alignment horizontal="center" vertical="center"/>
    </xf>
    <xf numFmtId="178" fontId="5" fillId="3" borderId="38" xfId="0" applyNumberFormat="1" applyFont="1" applyFill="1" applyBorder="1" applyAlignment="1">
      <alignment horizontal="left" vertical="top" wrapText="1"/>
    </xf>
    <xf numFmtId="178" fontId="5" fillId="38" borderId="54" xfId="0" applyNumberFormat="1" applyFont="1" applyFill="1" applyBorder="1" applyAlignment="1">
      <alignment horizontal="center" vertical="center"/>
    </xf>
    <xf numFmtId="178" fontId="5" fillId="0" borderId="54" xfId="0" applyNumberFormat="1" applyFont="1" applyBorder="1" applyAlignment="1">
      <alignment horizontal="center" vertical="center"/>
    </xf>
    <xf numFmtId="0" fontId="5" fillId="35" borderId="111" xfId="0" applyFont="1" applyFill="1" applyBorder="1" applyAlignment="1">
      <alignment horizontal="center" vertical="center"/>
    </xf>
    <xf numFmtId="0" fontId="5" fillId="3" borderId="75" xfId="0" quotePrefix="1" applyFont="1" applyFill="1" applyBorder="1" applyAlignment="1">
      <alignment vertical="top"/>
    </xf>
    <xf numFmtId="0" fontId="5" fillId="3" borderId="70" xfId="0" quotePrefix="1" applyFont="1" applyFill="1" applyBorder="1" applyAlignment="1">
      <alignment vertical="top"/>
    </xf>
    <xf numFmtId="0" fontId="5" fillId="3" borderId="67" xfId="0" quotePrefix="1" applyFont="1" applyFill="1" applyBorder="1" applyAlignment="1">
      <alignment vertical="top"/>
    </xf>
    <xf numFmtId="0" fontId="5" fillId="3" borderId="53" xfId="0" quotePrefix="1" applyFont="1" applyFill="1" applyBorder="1" applyAlignment="1">
      <alignment horizontal="left" vertical="top" wrapText="1"/>
    </xf>
    <xf numFmtId="178" fontId="20" fillId="3" borderId="74" xfId="0" applyNumberFormat="1" applyFont="1" applyFill="1" applyBorder="1" applyAlignment="1">
      <alignment vertical="center" wrapText="1"/>
    </xf>
    <xf numFmtId="178" fontId="11" fillId="3" borderId="74" xfId="0" applyNumberFormat="1" applyFont="1" applyFill="1" applyBorder="1" applyAlignment="1">
      <alignment vertical="center" wrapText="1"/>
    </xf>
    <xf numFmtId="178" fontId="5" fillId="0" borderId="74" xfId="0" applyNumberFormat="1" applyFont="1" applyBorder="1" applyAlignment="1">
      <alignment vertical="center" wrapText="1"/>
    </xf>
    <xf numFmtId="178" fontId="5" fillId="38" borderId="74" xfId="0" applyNumberFormat="1" applyFont="1" applyFill="1" applyBorder="1" applyAlignment="1">
      <alignment horizontal="center" vertical="center"/>
    </xf>
    <xf numFmtId="0" fontId="5" fillId="4" borderId="67" xfId="0" applyFont="1" applyFill="1" applyBorder="1">
      <alignment vertical="center"/>
    </xf>
    <xf numFmtId="3" fontId="15" fillId="20" borderId="74" xfId="0" applyNumberFormat="1" applyFont="1" applyFill="1" applyBorder="1" applyAlignment="1">
      <alignment horizontal="center" vertical="center"/>
    </xf>
    <xf numFmtId="0" fontId="5" fillId="17" borderId="112" xfId="0" applyFont="1" applyFill="1" applyBorder="1" applyAlignment="1">
      <alignment horizontal="center" vertical="center"/>
    </xf>
    <xf numFmtId="0" fontId="15" fillId="14" borderId="22" xfId="0" applyFont="1" applyFill="1" applyBorder="1">
      <alignment vertical="center"/>
    </xf>
    <xf numFmtId="0" fontId="15" fillId="14" borderId="22" xfId="0" applyFont="1" applyFill="1" applyBorder="1" applyAlignment="1">
      <alignment horizontal="left" vertical="top"/>
    </xf>
    <xf numFmtId="0" fontId="19" fillId="14" borderId="22" xfId="0" applyFont="1" applyFill="1" applyBorder="1" applyAlignment="1">
      <alignment horizontal="right" vertical="center" wrapText="1"/>
    </xf>
    <xf numFmtId="0" fontId="19" fillId="14" borderId="22" xfId="0" applyFont="1" applyFill="1" applyBorder="1">
      <alignment vertical="center"/>
    </xf>
    <xf numFmtId="0" fontId="9" fillId="14" borderId="22" xfId="0" applyFont="1" applyFill="1" applyBorder="1" applyAlignment="1">
      <alignment horizontal="center" vertical="center"/>
    </xf>
    <xf numFmtId="0" fontId="9" fillId="14" borderId="76" xfId="0" applyFont="1" applyFill="1" applyBorder="1" applyAlignment="1">
      <alignment horizontal="center" vertical="center"/>
    </xf>
    <xf numFmtId="0" fontId="5" fillId="19" borderId="33" xfId="0" quotePrefix="1" applyFont="1" applyFill="1" applyBorder="1" applyAlignment="1">
      <alignment vertical="top" wrapText="1"/>
    </xf>
    <xf numFmtId="0" fontId="5" fillId="19" borderId="78" xfId="0" applyFont="1" applyFill="1" applyBorder="1" applyAlignment="1">
      <alignment horizontal="center" vertical="center"/>
    </xf>
    <xf numFmtId="0" fontId="5" fillId="19" borderId="78" xfId="0" applyFont="1" applyFill="1" applyBorder="1" applyAlignment="1">
      <alignment horizontal="right" vertical="center"/>
    </xf>
    <xf numFmtId="0" fontId="5" fillId="0" borderId="113" xfId="0" applyFont="1" applyBorder="1" applyAlignment="1">
      <alignment horizontal="left" vertical="top" wrapText="1"/>
    </xf>
    <xf numFmtId="0" fontId="5" fillId="0" borderId="34" xfId="0" quotePrefix="1" applyFont="1" applyBorder="1">
      <alignment vertical="center"/>
    </xf>
    <xf numFmtId="0" fontId="5" fillId="0" borderId="34" xfId="0" applyFont="1" applyBorder="1" applyAlignment="1">
      <alignment horizontal="center" vertical="center"/>
    </xf>
    <xf numFmtId="178" fontId="20" fillId="3" borderId="37" xfId="0" applyNumberFormat="1" applyFont="1" applyFill="1" applyBorder="1" applyAlignment="1">
      <alignment horizontal="right" vertical="center" wrapText="1"/>
    </xf>
    <xf numFmtId="178" fontId="11" fillId="3" borderId="37" xfId="0" applyNumberFormat="1" applyFont="1" applyFill="1" applyBorder="1" applyAlignment="1">
      <alignment horizontal="right" vertical="center" wrapText="1"/>
    </xf>
    <xf numFmtId="178" fontId="11" fillId="0" borderId="37" xfId="0" applyNumberFormat="1" applyFont="1" applyBorder="1" applyAlignment="1">
      <alignment horizontal="right" vertical="center" wrapText="1"/>
    </xf>
    <xf numFmtId="178" fontId="5" fillId="4" borderId="37" xfId="0" applyNumberFormat="1" applyFont="1" applyFill="1" applyBorder="1" applyAlignment="1">
      <alignment horizontal="right" vertical="center" wrapText="1"/>
    </xf>
    <xf numFmtId="178" fontId="5" fillId="3" borderId="37" xfId="0" applyNumberFormat="1" applyFont="1" applyFill="1" applyBorder="1" applyAlignment="1">
      <alignment horizontal="right" vertical="center" wrapText="1"/>
    </xf>
    <xf numFmtId="178" fontId="5" fillId="0" borderId="37" xfId="0" applyNumberFormat="1" applyFont="1" applyBorder="1" applyAlignment="1">
      <alignment horizontal="right" vertical="top" wrapText="1"/>
    </xf>
    <xf numFmtId="178" fontId="13" fillId="4" borderId="37" xfId="0" applyNumberFormat="1" applyFont="1" applyFill="1" applyBorder="1" applyAlignment="1">
      <alignment horizontal="right" vertical="center" wrapText="1"/>
    </xf>
    <xf numFmtId="178" fontId="5" fillId="0" borderId="37" xfId="0" applyNumberFormat="1" applyFont="1" applyBorder="1" applyAlignment="1">
      <alignment horizontal="right" vertical="center" wrapText="1"/>
    </xf>
    <xf numFmtId="0" fontId="5" fillId="0" borderId="35" xfId="0" applyFont="1" applyBorder="1" applyAlignment="1">
      <alignment horizontal="left" vertical="top" wrapText="1"/>
    </xf>
    <xf numFmtId="0" fontId="5" fillId="0" borderId="44" xfId="0" applyFont="1" applyBorder="1" applyAlignment="1">
      <alignment horizontal="center" vertical="center"/>
    </xf>
    <xf numFmtId="0" fontId="5" fillId="4" borderId="65" xfId="0" applyFont="1" applyFill="1" applyBorder="1">
      <alignment vertical="center"/>
    </xf>
    <xf numFmtId="0" fontId="5" fillId="4" borderId="44" xfId="0" applyFont="1" applyFill="1" applyBorder="1">
      <alignment vertical="center"/>
    </xf>
    <xf numFmtId="178" fontId="20" fillId="3" borderId="54" xfId="0" applyNumberFormat="1" applyFont="1" applyFill="1" applyBorder="1" applyAlignment="1">
      <alignment horizontal="right" vertical="center" wrapText="1"/>
    </xf>
    <xf numFmtId="178" fontId="11" fillId="3" borderId="54" xfId="0" applyNumberFormat="1" applyFont="1" applyFill="1" applyBorder="1" applyAlignment="1">
      <alignment horizontal="right" vertical="center" wrapText="1"/>
    </xf>
    <xf numFmtId="178" fontId="11" fillId="0" borderId="54" xfId="0" applyNumberFormat="1" applyFont="1" applyBorder="1" applyAlignment="1">
      <alignment horizontal="right" vertical="center" wrapText="1"/>
    </xf>
    <xf numFmtId="178" fontId="5" fillId="4" borderId="54" xfId="0" applyNumberFormat="1" applyFont="1" applyFill="1" applyBorder="1" applyAlignment="1">
      <alignment horizontal="right" vertical="center" wrapText="1"/>
    </xf>
    <xf numFmtId="178" fontId="5" fillId="3" borderId="54" xfId="0" applyNumberFormat="1" applyFont="1" applyFill="1" applyBorder="1" applyAlignment="1">
      <alignment horizontal="right" vertical="center" wrapText="1"/>
    </xf>
    <xf numFmtId="178" fontId="5" fillId="0" borderId="54" xfId="0" applyNumberFormat="1" applyFont="1" applyBorder="1" applyAlignment="1">
      <alignment horizontal="right" vertical="top" wrapText="1"/>
    </xf>
    <xf numFmtId="178" fontId="13" fillId="4" borderId="54" xfId="0" applyNumberFormat="1" applyFont="1" applyFill="1" applyBorder="1" applyAlignment="1">
      <alignment horizontal="right" vertical="center" wrapText="1"/>
    </xf>
    <xf numFmtId="178" fontId="5" fillId="0" borderId="54" xfId="0" applyNumberFormat="1" applyFont="1" applyBorder="1" applyAlignment="1">
      <alignment horizontal="right" vertical="center" wrapText="1"/>
    </xf>
    <xf numFmtId="0" fontId="5" fillId="0" borderId="54" xfId="0" applyFont="1" applyBorder="1" applyAlignment="1">
      <alignment horizontal="left" vertical="top" wrapText="1"/>
    </xf>
    <xf numFmtId="3" fontId="20" fillId="3" borderId="38" xfId="0" applyNumberFormat="1" applyFont="1" applyFill="1" applyBorder="1" applyAlignment="1">
      <alignment horizontal="right" vertical="center" wrapText="1"/>
    </xf>
    <xf numFmtId="3" fontId="11" fillId="3" borderId="38" xfId="0" applyNumberFormat="1" applyFont="1" applyFill="1" applyBorder="1" applyAlignment="1">
      <alignment horizontal="right" vertical="center" wrapText="1"/>
    </xf>
    <xf numFmtId="3" fontId="11" fillId="0" borderId="38" xfId="0" applyNumberFormat="1" applyFont="1" applyBorder="1" applyAlignment="1">
      <alignment horizontal="right" vertical="center" wrapText="1"/>
    </xf>
    <xf numFmtId="0" fontId="5" fillId="3" borderId="87" xfId="0" quotePrefix="1" applyFont="1" applyFill="1" applyBorder="1">
      <alignment vertical="center"/>
    </xf>
    <xf numFmtId="0" fontId="5" fillId="3" borderId="95" xfId="0" quotePrefix="1" applyFont="1" applyFill="1" applyBorder="1">
      <alignment vertical="center"/>
    </xf>
    <xf numFmtId="0" fontId="5" fillId="3" borderId="87" xfId="0" applyFont="1" applyFill="1" applyBorder="1" applyAlignment="1">
      <alignment horizontal="center" vertical="center"/>
    </xf>
    <xf numFmtId="0" fontId="5" fillId="0" borderId="70" xfId="0" applyFont="1" applyBorder="1" applyAlignment="1">
      <alignment vertical="top"/>
    </xf>
    <xf numFmtId="0" fontId="5" fillId="0" borderId="74" xfId="0" applyFont="1" applyBorder="1" applyAlignment="1">
      <alignment horizontal="center" vertical="center"/>
    </xf>
    <xf numFmtId="3" fontId="20" fillId="3" borderId="74" xfId="0" applyNumberFormat="1" applyFont="1" applyFill="1" applyBorder="1" applyAlignment="1">
      <alignment horizontal="right" vertical="center" wrapText="1"/>
    </xf>
    <xf numFmtId="3" fontId="11" fillId="3" borderId="74" xfId="0" applyNumberFormat="1" applyFont="1" applyFill="1" applyBorder="1" applyAlignment="1">
      <alignment horizontal="right" vertical="center" wrapText="1"/>
    </xf>
    <xf numFmtId="3" fontId="11" fillId="0" borderId="74" xfId="0" applyNumberFormat="1" applyFont="1" applyBorder="1" applyAlignment="1">
      <alignment horizontal="right" vertical="center" wrapText="1"/>
    </xf>
    <xf numFmtId="3" fontId="5" fillId="4" borderId="74" xfId="0" applyNumberFormat="1" applyFont="1" applyFill="1" applyBorder="1" applyAlignment="1">
      <alignment horizontal="right" vertical="center" wrapText="1"/>
    </xf>
    <xf numFmtId="3" fontId="13" fillId="4" borderId="74" xfId="0" applyNumberFormat="1" applyFont="1" applyFill="1" applyBorder="1" applyAlignment="1">
      <alignment horizontal="right" vertical="center" wrapText="1"/>
    </xf>
    <xf numFmtId="0" fontId="5" fillId="0" borderId="74" xfId="0" applyFont="1" applyBorder="1" applyAlignment="1">
      <alignment horizontal="right" vertical="center" wrapText="1"/>
    </xf>
    <xf numFmtId="0" fontId="5" fillId="0" borderId="74" xfId="0" applyFont="1" applyBorder="1" applyAlignment="1">
      <alignment horizontal="left" vertical="top" wrapText="1"/>
    </xf>
    <xf numFmtId="0" fontId="5" fillId="0" borderId="73" xfId="0" applyFont="1" applyBorder="1" applyAlignment="1">
      <alignment horizontal="left" vertical="top" wrapText="1"/>
    </xf>
    <xf numFmtId="0" fontId="5" fillId="0" borderId="73" xfId="0" applyFont="1" applyBorder="1" applyAlignment="1">
      <alignment horizontal="center" vertical="center"/>
    </xf>
    <xf numFmtId="0" fontId="5" fillId="4" borderId="22" xfId="0" applyFont="1" applyFill="1" applyBorder="1">
      <alignment vertical="center"/>
    </xf>
    <xf numFmtId="0" fontId="5" fillId="17" borderId="114" xfId="0" applyFont="1" applyFill="1" applyBorder="1" applyAlignment="1">
      <alignment horizontal="center" vertical="center"/>
    </xf>
    <xf numFmtId="0" fontId="5" fillId="17" borderId="115" xfId="0" applyFont="1" applyFill="1" applyBorder="1" applyAlignment="1">
      <alignment horizontal="center" vertical="center"/>
    </xf>
    <xf numFmtId="0" fontId="19" fillId="14" borderId="22" xfId="0" applyFont="1" applyFill="1" applyBorder="1" applyAlignment="1">
      <alignment horizontal="center" vertical="center"/>
    </xf>
    <xf numFmtId="0" fontId="5" fillId="0" borderId="33" xfId="0" quotePrefix="1" applyFont="1" applyBorder="1">
      <alignment vertical="center"/>
    </xf>
    <xf numFmtId="0" fontId="5" fillId="0" borderId="36" xfId="0" applyFont="1" applyBorder="1" applyAlignment="1">
      <alignment horizontal="left" vertical="top"/>
    </xf>
    <xf numFmtId="185" fontId="20" fillId="5" borderId="78" xfId="0" applyNumberFormat="1" applyFont="1" applyFill="1" applyBorder="1" applyAlignment="1">
      <alignment horizontal="right" vertical="center" wrapText="1"/>
    </xf>
    <xf numFmtId="185" fontId="11" fillId="0" borderId="78" xfId="0" applyNumberFormat="1" applyFont="1" applyBorder="1" applyAlignment="1">
      <alignment horizontal="right" vertical="center" wrapText="1"/>
    </xf>
    <xf numFmtId="185" fontId="5" fillId="5" borderId="78" xfId="0" applyNumberFormat="1" applyFont="1" applyFill="1" applyBorder="1" applyAlignment="1">
      <alignment horizontal="right" vertical="center" wrapText="1"/>
    </xf>
    <xf numFmtId="185" fontId="13" fillId="5" borderId="78" xfId="0" applyNumberFormat="1" applyFont="1" applyFill="1" applyBorder="1" applyAlignment="1">
      <alignment horizontal="right" vertical="center" wrapText="1"/>
    </xf>
    <xf numFmtId="185" fontId="21" fillId="0" borderId="78" xfId="0" applyNumberFormat="1" applyFont="1" applyBorder="1" applyAlignment="1">
      <alignment horizontal="right" vertical="center" wrapText="1"/>
    </xf>
    <xf numFmtId="185" fontId="5" fillId="0" borderId="74" xfId="0" applyNumberFormat="1" applyFont="1" applyBorder="1" applyAlignment="1">
      <alignment horizontal="right" vertical="center" wrapText="1"/>
    </xf>
    <xf numFmtId="0" fontId="21" fillId="0" borderId="78" xfId="0" applyFont="1" applyBorder="1" applyAlignment="1">
      <alignment vertical="top" wrapText="1"/>
    </xf>
    <xf numFmtId="0" fontId="5" fillId="17" borderId="47" xfId="0" applyFont="1" applyFill="1" applyBorder="1" applyAlignment="1">
      <alignment horizontal="center" vertical="center"/>
    </xf>
    <xf numFmtId="0" fontId="21" fillId="3" borderId="38" xfId="0" applyFont="1" applyFill="1" applyBorder="1" applyAlignment="1">
      <alignment horizontal="left" vertical="center"/>
    </xf>
    <xf numFmtId="0" fontId="0" fillId="3" borderId="38" xfId="0" applyFill="1" applyBorder="1">
      <alignment vertical="center"/>
    </xf>
    <xf numFmtId="178" fontId="20" fillId="3" borderId="38" xfId="0" applyNumberFormat="1" applyFont="1" applyFill="1" applyBorder="1" applyAlignment="1">
      <alignment horizontal="right" vertical="center" wrapText="1"/>
    </xf>
    <xf numFmtId="178" fontId="11" fillId="3" borderId="38" xfId="0" applyNumberFormat="1" applyFont="1" applyFill="1" applyBorder="1" applyAlignment="1">
      <alignment horizontal="right" vertical="center" wrapText="1"/>
    </xf>
    <xf numFmtId="178" fontId="11" fillId="0" borderId="38" xfId="0" applyNumberFormat="1" applyFont="1" applyBorder="1" applyAlignment="1">
      <alignment horizontal="right" vertical="center" wrapText="1"/>
    </xf>
    <xf numFmtId="178" fontId="34" fillId="3" borderId="38" xfId="0" applyNumberFormat="1" applyFont="1" applyFill="1" applyBorder="1" applyAlignment="1">
      <alignment horizontal="right" vertical="center" wrapText="1"/>
    </xf>
    <xf numFmtId="0" fontId="21" fillId="3" borderId="38" xfId="0" applyFont="1" applyFill="1" applyBorder="1" applyAlignment="1">
      <alignment vertical="top" wrapText="1"/>
    </xf>
    <xf numFmtId="0" fontId="0" fillId="3" borderId="43" xfId="0" applyFill="1" applyBorder="1">
      <alignment vertical="center"/>
    </xf>
    <xf numFmtId="178" fontId="21" fillId="3" borderId="38" xfId="0" applyNumberFormat="1" applyFont="1" applyFill="1" applyBorder="1" applyAlignment="1">
      <alignment horizontal="right" vertical="center" wrapText="1"/>
    </xf>
    <xf numFmtId="185" fontId="21" fillId="5" borderId="38" xfId="0" applyNumberFormat="1" applyFont="1" applyFill="1" applyBorder="1" applyAlignment="1">
      <alignment horizontal="right" vertical="center" wrapText="1"/>
    </xf>
    <xf numFmtId="185" fontId="21" fillId="0" borderId="38" xfId="0" applyNumberFormat="1" applyFont="1" applyBorder="1" applyAlignment="1">
      <alignment horizontal="right" vertical="center" wrapText="1"/>
    </xf>
    <xf numFmtId="185" fontId="29" fillId="5" borderId="38" xfId="0" applyNumberFormat="1" applyFont="1" applyFill="1" applyBorder="1" applyAlignment="1">
      <alignment horizontal="right" vertical="center" wrapText="1"/>
    </xf>
    <xf numFmtId="185" fontId="20" fillId="3" borderId="38" xfId="0" applyNumberFormat="1" applyFont="1" applyFill="1" applyBorder="1" applyAlignment="1">
      <alignment horizontal="right" vertical="center" wrapText="1"/>
    </xf>
    <xf numFmtId="185" fontId="21" fillId="3" borderId="38" xfId="0" applyNumberFormat="1" applyFont="1" applyFill="1" applyBorder="1" applyAlignment="1">
      <alignment horizontal="right" vertical="center" wrapText="1"/>
    </xf>
    <xf numFmtId="0" fontId="5" fillId="3" borderId="45" xfId="0" quotePrefix="1" applyFont="1" applyFill="1" applyBorder="1">
      <alignment vertical="center"/>
    </xf>
    <xf numFmtId="0" fontId="5" fillId="3" borderId="54" xfId="0" quotePrefix="1" applyFont="1" applyFill="1" applyBorder="1" applyAlignment="1">
      <alignment vertical="top"/>
    </xf>
    <xf numFmtId="178" fontId="21" fillId="4" borderId="38" xfId="0" applyNumberFormat="1" applyFont="1" applyFill="1" applyBorder="1" applyAlignment="1">
      <alignment horizontal="right" vertical="center" wrapText="1"/>
    </xf>
    <xf numFmtId="178" fontId="21" fillId="3" borderId="38" xfId="0" applyNumberFormat="1" applyFont="1" applyFill="1" applyBorder="1" applyAlignment="1">
      <alignment horizontal="right" vertical="top" wrapText="1"/>
    </xf>
    <xf numFmtId="178" fontId="21" fillId="0" borderId="38" xfId="0" applyNumberFormat="1" applyFont="1" applyBorder="1" applyAlignment="1">
      <alignment horizontal="right" vertical="top" wrapText="1"/>
    </xf>
    <xf numFmtId="178" fontId="29" fillId="4" borderId="38" xfId="0" applyNumberFormat="1" applyFont="1" applyFill="1" applyBorder="1" applyAlignment="1">
      <alignment horizontal="right" vertical="center" wrapText="1"/>
    </xf>
    <xf numFmtId="0" fontId="21" fillId="3" borderId="43" xfId="0" applyFont="1" applyFill="1" applyBorder="1">
      <alignment vertical="center"/>
    </xf>
    <xf numFmtId="0" fontId="21" fillId="3" borderId="42" xfId="0" applyFont="1" applyFill="1" applyBorder="1">
      <alignment vertical="center"/>
    </xf>
    <xf numFmtId="0" fontId="5" fillId="3" borderId="37" xfId="0" quotePrefix="1" applyFont="1" applyFill="1" applyBorder="1" applyAlignment="1">
      <alignment vertical="top"/>
    </xf>
    <xf numFmtId="0" fontId="21" fillId="3" borderId="43" xfId="0" applyFont="1" applyFill="1" applyBorder="1" applyAlignment="1">
      <alignment vertical="top"/>
    </xf>
    <xf numFmtId="0" fontId="21" fillId="3" borderId="45" xfId="0" applyFont="1" applyFill="1" applyBorder="1" applyAlignment="1">
      <alignment horizontal="left" vertical="top" wrapText="1"/>
    </xf>
    <xf numFmtId="178" fontId="35" fillId="3" borderId="38" xfId="0" applyNumberFormat="1" applyFont="1" applyFill="1" applyBorder="1" applyAlignment="1">
      <alignment horizontal="right" vertical="center" wrapText="1"/>
    </xf>
    <xf numFmtId="0" fontId="5" fillId="3" borderId="34" xfId="0" applyFont="1" applyFill="1" applyBorder="1" applyAlignment="1">
      <alignment horizontal="center" vertical="center"/>
    </xf>
    <xf numFmtId="0" fontId="5" fillId="3" borderId="38" xfId="0" quotePrefix="1" applyFont="1" applyFill="1" applyBorder="1" applyAlignment="1">
      <alignment vertical="top"/>
    </xf>
    <xf numFmtId="0" fontId="5" fillId="3" borderId="80" xfId="0" quotePrefix="1" applyFont="1" applyFill="1" applyBorder="1" applyAlignment="1">
      <alignment horizontal="left" vertical="top" wrapText="1"/>
    </xf>
    <xf numFmtId="185" fontId="21" fillId="5" borderId="37" xfId="0" applyNumberFormat="1" applyFont="1" applyFill="1" applyBorder="1" applyAlignment="1">
      <alignment horizontal="right" vertical="center" wrapText="1"/>
    </xf>
    <xf numFmtId="185" fontId="29" fillId="5" borderId="37" xfId="0" applyNumberFormat="1" applyFont="1" applyFill="1" applyBorder="1" applyAlignment="1">
      <alignment horizontal="right" vertical="center" wrapText="1"/>
    </xf>
    <xf numFmtId="185" fontId="20" fillId="3" borderId="37" xfId="0" applyNumberFormat="1" applyFont="1" applyFill="1" applyBorder="1" applyAlignment="1">
      <alignment horizontal="right" vertical="center" wrapText="1"/>
    </xf>
    <xf numFmtId="185" fontId="21" fillId="3" borderId="37" xfId="0" applyNumberFormat="1" applyFont="1" applyFill="1" applyBorder="1" applyAlignment="1">
      <alignment horizontal="right" vertical="center" wrapText="1"/>
    </xf>
    <xf numFmtId="185" fontId="5" fillId="3" borderId="37" xfId="0" applyNumberFormat="1" applyFont="1" applyFill="1" applyBorder="1" applyAlignment="1">
      <alignment horizontal="right" vertical="center" wrapText="1"/>
    </xf>
    <xf numFmtId="0" fontId="21" fillId="3" borderId="37" xfId="0" applyFont="1" applyFill="1" applyBorder="1" applyAlignment="1">
      <alignment vertical="top" wrapText="1"/>
    </xf>
    <xf numFmtId="0" fontId="5" fillId="17" borderId="62" xfId="0" applyFont="1" applyFill="1" applyBorder="1" applyAlignment="1">
      <alignment horizontal="center" vertical="center"/>
    </xf>
    <xf numFmtId="0" fontId="5" fillId="17" borderId="116" xfId="0" applyFont="1" applyFill="1" applyBorder="1" applyAlignment="1">
      <alignment horizontal="center" vertical="center"/>
    </xf>
    <xf numFmtId="0" fontId="21" fillId="3" borderId="42" xfId="0" applyFont="1" applyFill="1" applyBorder="1" applyAlignment="1">
      <alignment horizontal="left" vertical="center"/>
    </xf>
    <xf numFmtId="0" fontId="5" fillId="3" borderId="42" xfId="0" applyFont="1" applyFill="1" applyBorder="1" applyAlignment="1">
      <alignment horizontal="center" vertical="center"/>
    </xf>
    <xf numFmtId="178" fontId="11" fillId="3" borderId="42" xfId="0" applyNumberFormat="1" applyFont="1" applyFill="1" applyBorder="1" applyAlignment="1">
      <alignment horizontal="right" vertical="center" wrapText="1"/>
    </xf>
    <xf numFmtId="178" fontId="5" fillId="4" borderId="42" xfId="0" applyNumberFormat="1" applyFont="1" applyFill="1" applyBorder="1" applyAlignment="1">
      <alignment horizontal="right" vertical="center" wrapText="1"/>
    </xf>
    <xf numFmtId="178" fontId="13" fillId="4" borderId="42" xfId="0" applyNumberFormat="1" applyFont="1" applyFill="1" applyBorder="1" applyAlignment="1">
      <alignment horizontal="right" vertical="center" wrapText="1"/>
    </xf>
    <xf numFmtId="178" fontId="13" fillId="4" borderId="45" xfId="0" applyNumberFormat="1" applyFont="1" applyFill="1" applyBorder="1" applyAlignment="1">
      <alignment horizontal="right" vertical="center" wrapText="1"/>
    </xf>
    <xf numFmtId="178" fontId="5" fillId="3" borderId="45" xfId="0" applyNumberFormat="1" applyFont="1" applyFill="1" applyBorder="1" applyAlignment="1">
      <alignment horizontal="right" vertical="center" wrapText="1"/>
    </xf>
    <xf numFmtId="178" fontId="5" fillId="3" borderId="43" xfId="0" applyNumberFormat="1" applyFont="1" applyFill="1" applyBorder="1" applyAlignment="1">
      <alignment horizontal="right" vertical="center" wrapText="1"/>
    </xf>
    <xf numFmtId="178" fontId="13" fillId="4" borderId="43" xfId="0" applyNumberFormat="1" applyFont="1" applyFill="1" applyBorder="1" applyAlignment="1">
      <alignment horizontal="right" vertical="center" wrapText="1"/>
    </xf>
    <xf numFmtId="0" fontId="5" fillId="3" borderId="43" xfId="0" applyFont="1" applyFill="1" applyBorder="1" applyAlignment="1">
      <alignment horizontal="left" vertical="top" wrapText="1"/>
    </xf>
    <xf numFmtId="0" fontId="0" fillId="17" borderId="79" xfId="0" applyFill="1" applyBorder="1" applyAlignment="1">
      <alignment horizontal="center" vertical="center"/>
    </xf>
    <xf numFmtId="0" fontId="5" fillId="17" borderId="117" xfId="0" applyFont="1" applyFill="1" applyBorder="1" applyAlignment="1">
      <alignment horizontal="center" vertical="center"/>
    </xf>
    <xf numFmtId="0" fontId="5" fillId="3" borderId="82" xfId="0" quotePrefix="1" applyFont="1" applyFill="1" applyBorder="1" applyAlignment="1">
      <alignment vertical="top"/>
    </xf>
    <xf numFmtId="0" fontId="5" fillId="3" borderId="82" xfId="0" quotePrefix="1" applyFont="1" applyFill="1" applyBorder="1" applyAlignment="1">
      <alignment vertical="top" wrapText="1"/>
    </xf>
    <xf numFmtId="0" fontId="5" fillId="3" borderId="57" xfId="0" quotePrefix="1" applyFont="1" applyFill="1" applyBorder="1" applyAlignment="1">
      <alignment horizontal="left" vertical="top" wrapText="1"/>
    </xf>
    <xf numFmtId="185" fontId="20" fillId="5" borderId="38" xfId="0" applyNumberFormat="1" applyFont="1" applyFill="1" applyBorder="1" applyAlignment="1">
      <alignment horizontal="right" vertical="center" wrapText="1"/>
    </xf>
    <xf numFmtId="0" fontId="5" fillId="3" borderId="118" xfId="0" quotePrefix="1" applyFont="1" applyFill="1" applyBorder="1" applyAlignment="1">
      <alignment vertical="top"/>
    </xf>
    <xf numFmtId="0" fontId="5" fillId="3" borderId="119" xfId="0" quotePrefix="1" applyFont="1" applyFill="1" applyBorder="1" applyAlignment="1">
      <alignment vertical="top"/>
    </xf>
    <xf numFmtId="0" fontId="21" fillId="3" borderId="42" xfId="0" applyFont="1" applyFill="1" applyBorder="1" applyAlignment="1">
      <alignment vertical="top" wrapText="1"/>
    </xf>
    <xf numFmtId="0" fontId="5" fillId="3" borderId="44" xfId="0" quotePrefix="1" applyFont="1" applyFill="1" applyBorder="1" applyAlignment="1">
      <alignment vertical="top"/>
    </xf>
    <xf numFmtId="0" fontId="5" fillId="3" borderId="64" xfId="0" quotePrefix="1" applyFont="1" applyFill="1" applyBorder="1" applyAlignment="1">
      <alignment vertical="top"/>
    </xf>
    <xf numFmtId="0" fontId="21" fillId="3" borderId="120" xfId="0" applyFont="1" applyFill="1" applyBorder="1" applyAlignment="1">
      <alignment vertical="top"/>
    </xf>
    <xf numFmtId="0" fontId="21" fillId="3" borderId="57" xfId="0" applyFont="1" applyFill="1" applyBorder="1" applyAlignment="1">
      <alignment horizontal="left" vertical="top" wrapText="1"/>
    </xf>
    <xf numFmtId="0" fontId="21" fillId="3" borderId="67" xfId="0" applyFont="1" applyFill="1" applyBorder="1" applyAlignment="1">
      <alignment vertical="top"/>
    </xf>
    <xf numFmtId="0" fontId="21" fillId="3" borderId="51" xfId="0" applyFont="1" applyFill="1" applyBorder="1" applyAlignment="1">
      <alignment vertical="top" wrapText="1"/>
    </xf>
    <xf numFmtId="0" fontId="5" fillId="3" borderId="51" xfId="0" applyFont="1" applyFill="1" applyBorder="1" applyAlignment="1">
      <alignment horizontal="center" vertical="center"/>
    </xf>
    <xf numFmtId="0" fontId="5" fillId="3" borderId="69" xfId="0" quotePrefix="1" applyFont="1" applyFill="1" applyBorder="1" applyAlignment="1">
      <alignment vertical="top"/>
    </xf>
    <xf numFmtId="0" fontId="5" fillId="3" borderId="88" xfId="0" quotePrefix="1" applyFont="1" applyFill="1" applyBorder="1" applyAlignment="1">
      <alignment vertical="top"/>
    </xf>
    <xf numFmtId="0" fontId="5" fillId="3" borderId="53" xfId="0" applyFont="1" applyFill="1" applyBorder="1" applyAlignment="1">
      <alignment horizontal="center" vertical="center"/>
    </xf>
    <xf numFmtId="178" fontId="20" fillId="3" borderId="74" xfId="0" applyNumberFormat="1" applyFont="1" applyFill="1" applyBorder="1" applyAlignment="1">
      <alignment horizontal="right" vertical="center" wrapText="1"/>
    </xf>
    <xf numFmtId="178" fontId="11" fillId="3" borderId="74" xfId="0" applyNumberFormat="1" applyFont="1" applyFill="1" applyBorder="1" applyAlignment="1">
      <alignment horizontal="right" vertical="center" wrapText="1"/>
    </xf>
    <xf numFmtId="178" fontId="11" fillId="0" borderId="74" xfId="0" applyNumberFormat="1" applyFont="1" applyBorder="1" applyAlignment="1">
      <alignment horizontal="right" vertical="center" wrapText="1"/>
    </xf>
    <xf numFmtId="178" fontId="5" fillId="4" borderId="74" xfId="0" applyNumberFormat="1" applyFont="1" applyFill="1" applyBorder="1" applyAlignment="1">
      <alignment horizontal="right" vertical="center" wrapText="1"/>
    </xf>
    <xf numFmtId="178" fontId="5" fillId="3" borderId="74" xfId="0" applyNumberFormat="1" applyFont="1" applyFill="1" applyBorder="1" applyAlignment="1">
      <alignment horizontal="right" vertical="center" wrapText="1"/>
    </xf>
    <xf numFmtId="178" fontId="5" fillId="0" borderId="74" xfId="0" applyNumberFormat="1" applyFont="1" applyBorder="1" applyAlignment="1">
      <alignment horizontal="right" vertical="top" wrapText="1"/>
    </xf>
    <xf numFmtId="178" fontId="13" fillId="4" borderId="74" xfId="0" applyNumberFormat="1" applyFont="1" applyFill="1" applyBorder="1" applyAlignment="1">
      <alignment horizontal="right" vertical="center" wrapText="1"/>
    </xf>
    <xf numFmtId="178" fontId="34" fillId="3" borderId="74" xfId="0" applyNumberFormat="1" applyFont="1" applyFill="1" applyBorder="1" applyAlignment="1">
      <alignment horizontal="right" vertical="center" wrapText="1"/>
    </xf>
    <xf numFmtId="178" fontId="35" fillId="3" borderId="74" xfId="0" applyNumberFormat="1" applyFont="1" applyFill="1" applyBorder="1" applyAlignment="1">
      <alignment horizontal="right" vertical="center" wrapText="1"/>
    </xf>
    <xf numFmtId="0" fontId="5" fillId="3" borderId="73" xfId="0" applyFont="1" applyFill="1" applyBorder="1" applyAlignment="1">
      <alignment horizontal="left" vertical="top" wrapText="1"/>
    </xf>
    <xf numFmtId="0" fontId="19" fillId="14" borderId="75" xfId="0" applyFont="1" applyFill="1" applyBorder="1">
      <alignment vertical="center"/>
    </xf>
    <xf numFmtId="0" fontId="15" fillId="14" borderId="121" xfId="0" applyFont="1" applyFill="1" applyBorder="1">
      <alignment vertical="center"/>
    </xf>
    <xf numFmtId="0" fontId="19" fillId="14" borderId="28" xfId="0" applyFont="1" applyFill="1" applyBorder="1" applyAlignment="1">
      <alignment horizontal="center" vertical="center"/>
    </xf>
    <xf numFmtId="0" fontId="5" fillId="0" borderId="78" xfId="0" quotePrefix="1" applyFont="1" applyBorder="1" applyAlignment="1">
      <alignment vertical="top"/>
    </xf>
    <xf numFmtId="0" fontId="5" fillId="0" borderId="33" xfId="0" quotePrefix="1" applyFont="1" applyBorder="1" applyAlignment="1">
      <alignment vertical="top"/>
    </xf>
    <xf numFmtId="0" fontId="5" fillId="0" borderId="33" xfId="0" quotePrefix="1" applyFont="1" applyBorder="1" applyAlignment="1">
      <alignment vertical="top" wrapText="1"/>
    </xf>
    <xf numFmtId="0" fontId="5" fillId="0" borderId="80" xfId="0" quotePrefix="1" applyFont="1" applyBorder="1" applyAlignment="1">
      <alignment horizontal="left" vertical="top" wrapText="1"/>
    </xf>
    <xf numFmtId="178" fontId="5" fillId="5" borderId="78" xfId="0" applyNumberFormat="1" applyFont="1" applyFill="1" applyBorder="1" applyAlignment="1">
      <alignment horizontal="right" vertical="center" wrapText="1"/>
    </xf>
    <xf numFmtId="178" fontId="11" fillId="0" borderId="78" xfId="0" applyNumberFormat="1" applyFont="1" applyBorder="1" applyAlignment="1">
      <alignment horizontal="right" vertical="center" wrapText="1"/>
    </xf>
    <xf numFmtId="178" fontId="13" fillId="5" borderId="78" xfId="0" applyNumberFormat="1" applyFont="1" applyFill="1" applyBorder="1" applyAlignment="1">
      <alignment horizontal="right" vertical="center" wrapText="1"/>
    </xf>
    <xf numFmtId="178" fontId="21" fillId="0" borderId="78" xfId="0" applyNumberFormat="1" applyFont="1" applyBorder="1" applyAlignment="1">
      <alignment horizontal="right" vertical="center" wrapText="1"/>
    </xf>
    <xf numFmtId="178" fontId="5" fillId="0" borderId="78" xfId="0" applyNumberFormat="1" applyFont="1" applyBorder="1" applyAlignment="1">
      <alignment horizontal="right" vertical="center" wrapText="1"/>
    </xf>
    <xf numFmtId="0" fontId="21" fillId="0" borderId="37" xfId="0" applyFont="1" applyBorder="1" applyAlignment="1">
      <alignment vertical="top" wrapText="1"/>
    </xf>
    <xf numFmtId="0" fontId="21" fillId="3" borderId="45" xfId="0" applyFont="1" applyFill="1" applyBorder="1" applyAlignment="1">
      <alignment horizontal="left" vertical="top"/>
    </xf>
    <xf numFmtId="0" fontId="5" fillId="3" borderId="38" xfId="0" quotePrefix="1" applyFont="1" applyFill="1" applyBorder="1" applyAlignment="1">
      <alignment horizontal="left" vertical="top"/>
    </xf>
    <xf numFmtId="0" fontId="5" fillId="3" borderId="0" xfId="0" applyFont="1" applyFill="1" applyAlignment="1">
      <alignment horizontal="left" vertical="center"/>
    </xf>
    <xf numFmtId="178" fontId="20" fillId="5" borderId="38" xfId="0" applyNumberFormat="1" applyFont="1" applyFill="1" applyBorder="1" applyAlignment="1">
      <alignment horizontal="right" vertical="center" wrapText="1"/>
    </xf>
    <xf numFmtId="178" fontId="21" fillId="0" borderId="38" xfId="0" applyNumberFormat="1" applyFont="1" applyBorder="1" applyAlignment="1">
      <alignment horizontal="right" vertical="center" wrapText="1"/>
    </xf>
    <xf numFmtId="178" fontId="5" fillId="5" borderId="38" xfId="0" applyNumberFormat="1" applyFont="1" applyFill="1" applyBorder="1" applyAlignment="1">
      <alignment horizontal="right" vertical="center" wrapText="1"/>
    </xf>
    <xf numFmtId="178" fontId="13" fillId="5" borderId="38" xfId="0" applyNumberFormat="1" applyFont="1" applyFill="1" applyBorder="1" applyAlignment="1">
      <alignment horizontal="right" vertical="center" wrapText="1"/>
    </xf>
    <xf numFmtId="0" fontId="5" fillId="3" borderId="45" xfId="0" quotePrefix="1" applyFont="1" applyFill="1" applyBorder="1" applyAlignment="1">
      <alignment horizontal="left" vertical="top"/>
    </xf>
    <xf numFmtId="0" fontId="5" fillId="3" borderId="45" xfId="0" applyFont="1" applyFill="1" applyBorder="1" applyAlignment="1">
      <alignment horizontal="left" vertical="center"/>
    </xf>
    <xf numFmtId="178" fontId="5" fillId="4" borderId="38" xfId="0" applyNumberFormat="1" applyFont="1" applyFill="1" applyBorder="1" applyAlignment="1">
      <alignment horizontal="right" vertical="top" wrapText="1"/>
    </xf>
    <xf numFmtId="0" fontId="21" fillId="3" borderId="67" xfId="0" applyFont="1" applyFill="1" applyBorder="1">
      <alignment vertical="center"/>
    </xf>
    <xf numFmtId="0" fontId="21" fillId="3" borderId="51" xfId="0" applyFont="1" applyFill="1" applyBorder="1">
      <alignment vertical="center"/>
    </xf>
    <xf numFmtId="0" fontId="21" fillId="3" borderId="54" xfId="0" applyFont="1" applyFill="1" applyBorder="1" applyAlignment="1">
      <alignment horizontal="left" vertical="top"/>
    </xf>
    <xf numFmtId="0" fontId="21" fillId="3" borderId="57" xfId="0" applyFont="1" applyFill="1" applyBorder="1" applyAlignment="1">
      <alignment horizontal="left" vertical="top"/>
    </xf>
    <xf numFmtId="0" fontId="21" fillId="3" borderId="67" xfId="0" applyFont="1" applyFill="1" applyBorder="1" applyAlignment="1">
      <alignment vertical="top" wrapText="1"/>
    </xf>
    <xf numFmtId="178" fontId="34" fillId="3" borderId="54" xfId="0" applyNumberFormat="1" applyFont="1" applyFill="1" applyBorder="1" applyAlignment="1">
      <alignment horizontal="right" vertical="center" wrapText="1"/>
    </xf>
    <xf numFmtId="178" fontId="35" fillId="3" borderId="54" xfId="0" applyNumberFormat="1" applyFont="1" applyFill="1" applyBorder="1" applyAlignment="1">
      <alignment horizontal="right" vertical="center" wrapText="1"/>
    </xf>
    <xf numFmtId="3" fontId="5" fillId="19" borderId="78" xfId="0" applyNumberFormat="1" applyFont="1" applyFill="1" applyBorder="1" applyAlignment="1">
      <alignment horizontal="right" vertical="center" wrapText="1"/>
    </xf>
    <xf numFmtId="3" fontId="5" fillId="14" borderId="78" xfId="0" applyNumberFormat="1" applyFont="1" applyFill="1" applyBorder="1" applyAlignment="1">
      <alignment horizontal="right" vertical="center" wrapText="1"/>
    </xf>
    <xf numFmtId="0" fontId="5" fillId="19" borderId="78" xfId="0" applyFont="1" applyFill="1" applyBorder="1" applyAlignment="1">
      <alignment horizontal="right" vertical="top" wrapText="1"/>
    </xf>
    <xf numFmtId="0" fontId="5" fillId="14" borderId="78" xfId="0" applyFont="1" applyFill="1" applyBorder="1" applyAlignment="1">
      <alignment horizontal="right" vertical="center" wrapText="1"/>
    </xf>
    <xf numFmtId="0" fontId="5" fillId="19" borderId="47" xfId="0" applyFont="1" applyFill="1" applyBorder="1" applyAlignment="1">
      <alignment horizontal="center" vertical="center"/>
    </xf>
    <xf numFmtId="178" fontId="13" fillId="15" borderId="37" xfId="0" applyNumberFormat="1" applyFont="1" applyFill="1" applyBorder="1" applyAlignment="1">
      <alignment horizontal="right" vertical="center" wrapText="1"/>
    </xf>
    <xf numFmtId="178" fontId="13" fillId="15" borderId="38" xfId="0" applyNumberFormat="1" applyFont="1" applyFill="1" applyBorder="1" applyAlignment="1">
      <alignment horizontal="right" vertical="center" wrapText="1"/>
    </xf>
    <xf numFmtId="0" fontId="5" fillId="19" borderId="38" xfId="0" applyFont="1" applyFill="1" applyBorder="1" applyAlignment="1">
      <alignment horizontal="left" vertical="top" wrapText="1"/>
    </xf>
    <xf numFmtId="0" fontId="5" fillId="19" borderId="0" xfId="0" applyFont="1" applyFill="1" applyAlignment="1">
      <alignment horizontal="left" vertical="center"/>
    </xf>
    <xf numFmtId="3" fontId="5" fillId="0" borderId="38" xfId="0" quotePrefix="1" applyNumberFormat="1" applyFont="1" applyBorder="1" applyAlignment="1">
      <alignment horizontal="right" vertical="center" wrapText="1"/>
    </xf>
    <xf numFmtId="178" fontId="5" fillId="15" borderId="37" xfId="0" applyNumberFormat="1" applyFont="1" applyFill="1" applyBorder="1" applyAlignment="1">
      <alignment horizontal="right" vertical="center" wrapText="1"/>
    </xf>
    <xf numFmtId="0" fontId="5" fillId="3" borderId="42" xfId="0" quotePrefix="1" applyFont="1" applyFill="1" applyBorder="1" applyAlignment="1">
      <alignment vertical="center" wrapText="1"/>
    </xf>
    <xf numFmtId="178" fontId="21" fillId="5" borderId="38" xfId="0" applyNumberFormat="1" applyFont="1" applyFill="1" applyBorder="1" applyAlignment="1">
      <alignment horizontal="right" vertical="center" wrapText="1"/>
    </xf>
    <xf numFmtId="178" fontId="5" fillId="15" borderId="38" xfId="0" applyNumberFormat="1" applyFont="1" applyFill="1" applyBorder="1" applyAlignment="1">
      <alignment horizontal="right" vertical="center" wrapText="1"/>
    </xf>
    <xf numFmtId="4" fontId="20" fillId="3" borderId="38" xfId="0" applyNumberFormat="1" applyFont="1" applyFill="1" applyBorder="1" applyAlignment="1">
      <alignment horizontal="right" vertical="center" wrapText="1"/>
    </xf>
    <xf numFmtId="0" fontId="21" fillId="0" borderId="43" xfId="0" quotePrefix="1" applyFont="1" applyBorder="1">
      <alignment vertical="center"/>
    </xf>
    <xf numFmtId="0" fontId="21" fillId="0" borderId="42" xfId="0" quotePrefix="1" applyFont="1" applyBorder="1" applyAlignment="1">
      <alignment vertical="center" wrapText="1"/>
    </xf>
    <xf numFmtId="0" fontId="21" fillId="0" borderId="54" xfId="0" quotePrefix="1" applyFont="1" applyBorder="1" applyAlignment="1">
      <alignment vertical="top"/>
    </xf>
    <xf numFmtId="0" fontId="21" fillId="0" borderId="57" xfId="0" quotePrefix="1" applyFont="1" applyBorder="1" applyAlignment="1">
      <alignment vertical="top"/>
    </xf>
    <xf numFmtId="0" fontId="21" fillId="0" borderId="43" xfId="0" quotePrefix="1" applyFont="1" applyBorder="1" applyAlignment="1">
      <alignment vertical="top"/>
    </xf>
    <xf numFmtId="0" fontId="21" fillId="0" borderId="45" xfId="0" quotePrefix="1" applyFont="1" applyBorder="1" applyAlignment="1">
      <alignment vertical="top" wrapText="1"/>
    </xf>
    <xf numFmtId="0" fontId="21" fillId="3" borderId="38" xfId="0" applyFont="1" applyFill="1" applyBorder="1" applyAlignment="1">
      <alignment horizontal="right" vertical="top" wrapText="1"/>
    </xf>
    <xf numFmtId="3" fontId="29" fillId="4" borderId="38" xfId="0" applyNumberFormat="1" applyFont="1" applyFill="1" applyBorder="1">
      <alignment vertical="center"/>
    </xf>
    <xf numFmtId="0" fontId="5" fillId="35" borderId="60" xfId="0" applyFont="1" applyFill="1" applyBorder="1" applyAlignment="1">
      <alignment horizontal="center" vertical="center"/>
    </xf>
    <xf numFmtId="0" fontId="21" fillId="0" borderId="53" xfId="0" quotePrefix="1" applyFont="1" applyBorder="1" applyAlignment="1">
      <alignment vertical="center" wrapText="1"/>
    </xf>
    <xf numFmtId="0" fontId="21" fillId="0" borderId="67" xfId="0" applyFont="1" applyBorder="1" applyAlignment="1">
      <alignment vertical="top"/>
    </xf>
    <xf numFmtId="0" fontId="21" fillId="0" borderId="51" xfId="0" applyFont="1" applyBorder="1" applyAlignment="1">
      <alignment vertical="top" wrapText="1"/>
    </xf>
    <xf numFmtId="0" fontId="21" fillId="0" borderId="75" xfId="0" quotePrefix="1" applyFont="1" applyBorder="1" applyAlignment="1">
      <alignment vertical="top"/>
    </xf>
    <xf numFmtId="0" fontId="21" fillId="0" borderId="70" xfId="0" quotePrefix="1" applyFont="1" applyBorder="1" applyAlignment="1">
      <alignment vertical="top"/>
    </xf>
    <xf numFmtId="0" fontId="21" fillId="0" borderId="53" xfId="0" applyFont="1" applyBorder="1" applyAlignment="1">
      <alignment vertical="top" wrapText="1"/>
    </xf>
    <xf numFmtId="178" fontId="21" fillId="3" borderId="74" xfId="0" applyNumberFormat="1" applyFont="1" applyFill="1" applyBorder="1" applyAlignment="1">
      <alignment horizontal="right" vertical="center" wrapText="1"/>
    </xf>
    <xf numFmtId="178" fontId="21" fillId="0" borderId="74" xfId="0" applyNumberFormat="1" applyFont="1" applyBorder="1" applyAlignment="1">
      <alignment horizontal="right" vertical="center" wrapText="1"/>
    </xf>
    <xf numFmtId="178" fontId="21" fillId="4" borderId="74" xfId="0" applyNumberFormat="1" applyFont="1" applyFill="1" applyBorder="1" applyAlignment="1">
      <alignment horizontal="right" vertical="center" wrapText="1"/>
    </xf>
    <xf numFmtId="0" fontId="5" fillId="3" borderId="74" xfId="0" applyFont="1" applyFill="1" applyBorder="1" applyAlignment="1">
      <alignment horizontal="right" vertical="top" wrapText="1"/>
    </xf>
    <xf numFmtId="3" fontId="13" fillId="4" borderId="74" xfId="0" applyNumberFormat="1" applyFont="1" applyFill="1" applyBorder="1">
      <alignment vertical="center"/>
    </xf>
    <xf numFmtId="0" fontId="5" fillId="0" borderId="73" xfId="0" applyFont="1" applyBorder="1" applyAlignment="1">
      <alignment horizontal="left" vertical="center"/>
    </xf>
    <xf numFmtId="0" fontId="0" fillId="0" borderId="74" xfId="0" applyBorder="1" applyAlignment="1">
      <alignment horizontal="center" vertical="center"/>
    </xf>
    <xf numFmtId="0" fontId="5" fillId="17" borderId="122" xfId="0" applyFont="1" applyFill="1" applyBorder="1" applyAlignment="1">
      <alignment horizontal="center" vertical="center"/>
    </xf>
    <xf numFmtId="0" fontId="21" fillId="35" borderId="74" xfId="0" applyFont="1" applyFill="1" applyBorder="1" applyAlignment="1">
      <alignment horizontal="left" vertical="top" wrapText="1"/>
    </xf>
    <xf numFmtId="0" fontId="5" fillId="17" borderId="123" xfId="0" applyFont="1" applyFill="1" applyBorder="1" applyAlignment="1">
      <alignment horizontal="center" vertical="center"/>
    </xf>
    <xf numFmtId="0" fontId="21" fillId="0" borderId="0" xfId="0" applyFont="1" applyAlignment="1">
      <alignment vertical="top"/>
    </xf>
    <xf numFmtId="3" fontId="5" fillId="0" borderId="0" xfId="0" applyNumberFormat="1" applyFont="1" applyAlignment="1">
      <alignment horizontal="right" vertical="center"/>
    </xf>
    <xf numFmtId="0" fontId="5" fillId="0" borderId="0" xfId="0" applyFont="1" applyAlignment="1">
      <alignment horizontal="right" vertical="center"/>
    </xf>
    <xf numFmtId="3" fontId="21" fillId="15" borderId="38" xfId="0" applyNumberFormat="1" applyFont="1" applyFill="1" applyBorder="1" applyAlignment="1">
      <alignment horizontal="left" vertical="top" wrapText="1"/>
    </xf>
    <xf numFmtId="3" fontId="21" fillId="3" borderId="38" xfId="0" applyNumberFormat="1" applyFont="1" applyFill="1" applyBorder="1" applyAlignment="1">
      <alignment horizontal="left" vertical="top" wrapText="1"/>
    </xf>
    <xf numFmtId="0" fontId="21" fillId="0" borderId="38" xfId="0" applyFont="1" applyBorder="1" applyAlignment="1">
      <alignment vertical="top" wrapText="1"/>
    </xf>
    <xf numFmtId="0" fontId="21" fillId="3" borderId="54" xfId="0" applyFont="1" applyFill="1" applyBorder="1" applyAlignment="1">
      <alignment vertical="top" wrapText="1"/>
    </xf>
    <xf numFmtId="0" fontId="21" fillId="0" borderId="54" xfId="0" applyFont="1" applyBorder="1" applyAlignment="1">
      <alignment vertical="top" wrapText="1"/>
    </xf>
    <xf numFmtId="0" fontId="16" fillId="7" borderId="125" xfId="0" applyFont="1" applyFill="1" applyBorder="1" applyAlignment="1">
      <alignment horizontal="center" vertical="center" wrapText="1"/>
    </xf>
    <xf numFmtId="0" fontId="5" fillId="3" borderId="31" xfId="0" applyFont="1" applyFill="1" applyBorder="1" applyAlignment="1">
      <alignment horizontal="center" vertical="top"/>
    </xf>
    <xf numFmtId="0" fontId="21" fillId="0" borderId="45" xfId="0" quotePrefix="1" applyFont="1" applyBorder="1" applyAlignment="1">
      <alignment vertical="center" wrapText="1"/>
    </xf>
    <xf numFmtId="177" fontId="5" fillId="3" borderId="31" xfId="0" applyNumberFormat="1" applyFont="1" applyFill="1" applyBorder="1" applyAlignment="1">
      <alignment horizontal="left" vertical="top"/>
    </xf>
    <xf numFmtId="177" fontId="5" fillId="0" borderId="57" xfId="0" quotePrefix="1" applyNumberFormat="1" applyFont="1" applyBorder="1">
      <alignment vertical="center"/>
    </xf>
    <xf numFmtId="177" fontId="5" fillId="0" borderId="80" xfId="0" quotePrefix="1" applyNumberFormat="1" applyFont="1" applyBorder="1">
      <alignment vertical="center"/>
    </xf>
    <xf numFmtId="177" fontId="5" fillId="0" borderId="82" xfId="0" quotePrefix="1" applyNumberFormat="1" applyFont="1" applyBorder="1">
      <alignment vertical="center"/>
    </xf>
    <xf numFmtId="177" fontId="5" fillId="0" borderId="0" xfId="0" quotePrefix="1" applyNumberFormat="1" applyFont="1">
      <alignment vertical="center"/>
    </xf>
    <xf numFmtId="177" fontId="5" fillId="0" borderId="22" xfId="0" quotePrefix="1" applyNumberFormat="1" applyFont="1" applyBorder="1">
      <alignment vertical="center"/>
    </xf>
    <xf numFmtId="0" fontId="5" fillId="3" borderId="126" xfId="0" applyFont="1" applyFill="1" applyBorder="1" applyAlignment="1">
      <alignment horizontal="center" vertical="top"/>
    </xf>
    <xf numFmtId="0" fontId="5" fillId="3" borderId="127" xfId="0" applyFont="1" applyFill="1" applyBorder="1" applyAlignment="1">
      <alignment horizontal="center" vertical="top"/>
    </xf>
    <xf numFmtId="0" fontId="5" fillId="3" borderId="128" xfId="0" applyFont="1" applyFill="1" applyBorder="1" applyAlignment="1">
      <alignment horizontal="center" vertical="top"/>
    </xf>
    <xf numFmtId="177" fontId="5" fillId="15" borderId="45" xfId="0" quotePrefix="1" applyNumberFormat="1" applyFont="1" applyFill="1" applyBorder="1">
      <alignment vertical="center"/>
    </xf>
    <xf numFmtId="177" fontId="5" fillId="15" borderId="57" xfId="0" quotePrefix="1" applyNumberFormat="1" applyFont="1" applyFill="1" applyBorder="1">
      <alignment vertical="center"/>
    </xf>
    <xf numFmtId="177" fontId="5" fillId="15" borderId="64" xfId="0" quotePrefix="1" applyNumberFormat="1" applyFont="1" applyFill="1" applyBorder="1">
      <alignment vertical="center"/>
    </xf>
    <xf numFmtId="177" fontId="5" fillId="15" borderId="80" xfId="0" quotePrefix="1" applyNumberFormat="1" applyFont="1" applyFill="1" applyBorder="1">
      <alignment vertical="center"/>
    </xf>
    <xf numFmtId="177" fontId="5" fillId="15" borderId="22" xfId="0" quotePrefix="1" applyNumberFormat="1" applyFont="1" applyFill="1" applyBorder="1">
      <alignment vertical="center"/>
    </xf>
    <xf numFmtId="177" fontId="5" fillId="0" borderId="64" xfId="0" quotePrefix="1" applyNumberFormat="1" applyFont="1" applyBorder="1">
      <alignment vertical="center"/>
    </xf>
    <xf numFmtId="177" fontId="5" fillId="0" borderId="70" xfId="0" quotePrefix="1" applyNumberFormat="1" applyFont="1" applyBorder="1">
      <alignment vertical="center"/>
    </xf>
    <xf numFmtId="177" fontId="5" fillId="0" borderId="0" xfId="0" quotePrefix="1" applyNumberFormat="1" applyFont="1" applyAlignment="1">
      <alignment vertical="center" wrapText="1"/>
    </xf>
    <xf numFmtId="0" fontId="0" fillId="0" borderId="82" xfId="0" quotePrefix="1" applyBorder="1" applyAlignment="1">
      <alignment vertical="center" wrapText="1"/>
    </xf>
    <xf numFmtId="0" fontId="0" fillId="0" borderId="49" xfId="0" quotePrefix="1" applyBorder="1" applyAlignment="1">
      <alignment vertical="center" wrapText="1"/>
    </xf>
    <xf numFmtId="0" fontId="5" fillId="0" borderId="82" xfId="0" applyFont="1" applyBorder="1" applyAlignment="1">
      <alignment vertical="center" wrapText="1"/>
    </xf>
    <xf numFmtId="0" fontId="5" fillId="0" borderId="49" xfId="0" applyFont="1" applyBorder="1" applyAlignment="1">
      <alignment vertical="center" wrapText="1"/>
    </xf>
    <xf numFmtId="0" fontId="5" fillId="0" borderId="82" xfId="0" applyFont="1" applyBorder="1">
      <alignment vertical="center"/>
    </xf>
    <xf numFmtId="0" fontId="5" fillId="0" borderId="45" xfId="0" applyFont="1" applyBorder="1" applyAlignment="1">
      <alignment horizontal="left" vertical="center" wrapText="1"/>
    </xf>
    <xf numFmtId="0" fontId="5" fillId="0" borderId="82" xfId="0" quotePrefix="1" applyFont="1" applyBorder="1">
      <alignment vertical="center"/>
    </xf>
    <xf numFmtId="0" fontId="5" fillId="3" borderId="0" xfId="0" quotePrefix="1" applyFont="1" applyFill="1">
      <alignment vertical="center"/>
    </xf>
    <xf numFmtId="0" fontId="5" fillId="3" borderId="22" xfId="0" quotePrefix="1" applyFont="1" applyFill="1" applyBorder="1">
      <alignment vertical="center"/>
    </xf>
    <xf numFmtId="0" fontId="5" fillId="0" borderId="45" xfId="0" quotePrefix="1" applyFont="1" applyBorder="1" applyAlignment="1">
      <alignment horizontal="left" vertical="center"/>
    </xf>
    <xf numFmtId="0" fontId="5" fillId="0" borderId="57" xfId="0" quotePrefix="1" applyFont="1" applyBorder="1" applyAlignment="1">
      <alignment horizontal="left" vertical="center"/>
    </xf>
    <xf numFmtId="177" fontId="5" fillId="0" borderId="53" xfId="0" quotePrefix="1" applyNumberFormat="1" applyFont="1" applyBorder="1">
      <alignment vertical="center"/>
    </xf>
    <xf numFmtId="0" fontId="5" fillId="0" borderId="64" xfId="0" quotePrefix="1" applyFont="1" applyBorder="1">
      <alignment vertical="center"/>
    </xf>
    <xf numFmtId="0" fontId="5" fillId="0" borderId="82" xfId="0" quotePrefix="1" applyFont="1" applyBorder="1" applyAlignment="1">
      <alignment vertical="center" wrapText="1"/>
    </xf>
    <xf numFmtId="0" fontId="5" fillId="0" borderId="49" xfId="0" quotePrefix="1" applyFont="1" applyBorder="1" applyAlignment="1">
      <alignment vertical="center" wrapText="1"/>
    </xf>
    <xf numFmtId="0" fontId="5" fillId="3" borderId="45" xfId="0" quotePrefix="1" applyFont="1" applyFill="1" applyBorder="1" applyAlignment="1">
      <alignment horizontal="left" vertical="center"/>
    </xf>
    <xf numFmtId="177" fontId="5" fillId="0" borderId="49" xfId="0" quotePrefix="1" applyNumberFormat="1" applyFont="1" applyBorder="1">
      <alignment vertical="center"/>
    </xf>
    <xf numFmtId="0" fontId="5" fillId="0" borderId="80" xfId="0" applyFont="1" applyBorder="1">
      <alignment vertical="center"/>
    </xf>
    <xf numFmtId="0" fontId="5" fillId="3" borderId="57" xfId="0" quotePrefix="1" applyFont="1" applyFill="1" applyBorder="1">
      <alignment vertical="center"/>
    </xf>
    <xf numFmtId="0" fontId="5" fillId="3" borderId="80" xfId="0" quotePrefix="1" applyFont="1" applyFill="1" applyBorder="1">
      <alignment vertical="center"/>
    </xf>
    <xf numFmtId="0" fontId="5" fillId="0" borderId="57" xfId="0" quotePrefix="1" applyFont="1" applyBorder="1">
      <alignment vertical="center"/>
    </xf>
    <xf numFmtId="0" fontId="5" fillId="3" borderId="0" xfId="0" quotePrefix="1" applyFont="1" applyFill="1" applyAlignment="1">
      <alignment vertical="center" wrapText="1"/>
    </xf>
    <xf numFmtId="0" fontId="5" fillId="0" borderId="0" xfId="0" quotePrefix="1" applyFont="1" applyAlignment="1">
      <alignment vertical="center" wrapText="1"/>
    </xf>
    <xf numFmtId="0" fontId="5" fillId="0" borderId="82" xfId="0" quotePrefix="1" applyFont="1" applyBorder="1" applyAlignment="1">
      <alignment horizontal="left" vertical="center"/>
    </xf>
    <xf numFmtId="0" fontId="5" fillId="0" borderId="22" xfId="0" quotePrefix="1" applyFont="1" applyBorder="1" applyAlignment="1">
      <alignment vertical="center" wrapText="1"/>
    </xf>
    <xf numFmtId="0" fontId="5" fillId="3" borderId="126" xfId="0" applyFont="1" applyFill="1" applyBorder="1" applyAlignment="1">
      <alignment vertical="top" wrapText="1"/>
    </xf>
    <xf numFmtId="0" fontId="5" fillId="3" borderId="127" xfId="0" applyFont="1" applyFill="1" applyBorder="1" applyAlignment="1">
      <alignment vertical="top" wrapText="1"/>
    </xf>
    <xf numFmtId="0" fontId="5" fillId="3" borderId="49" xfId="0" quotePrefix="1" applyFont="1" applyFill="1" applyBorder="1">
      <alignment vertical="center"/>
    </xf>
    <xf numFmtId="0" fontId="5" fillId="0" borderId="129" xfId="0" applyFont="1" applyBorder="1" applyAlignment="1">
      <alignment vertical="top" wrapText="1"/>
    </xf>
    <xf numFmtId="0" fontId="5" fillId="0" borderId="130" xfId="0" applyFont="1" applyBorder="1" applyAlignment="1">
      <alignment vertical="top" wrapText="1"/>
    </xf>
    <xf numFmtId="0" fontId="5" fillId="3" borderId="57" xfId="0" quotePrefix="1" applyFont="1" applyFill="1" applyBorder="1" applyAlignment="1">
      <alignment vertical="center" wrapText="1"/>
    </xf>
    <xf numFmtId="0" fontId="5" fillId="3" borderId="64" xfId="0" quotePrefix="1" applyFont="1" applyFill="1" applyBorder="1" applyAlignment="1">
      <alignment vertical="center" wrapText="1"/>
    </xf>
    <xf numFmtId="0" fontId="5" fillId="3" borderId="70" xfId="0" quotePrefix="1" applyFont="1" applyFill="1" applyBorder="1" applyAlignment="1">
      <alignment vertical="center" wrapText="1"/>
    </xf>
    <xf numFmtId="0" fontId="21" fillId="0" borderId="38" xfId="0" applyFont="1" applyBorder="1" applyAlignment="1">
      <alignment horizontal="right" vertical="top" wrapText="1"/>
    </xf>
    <xf numFmtId="0" fontId="26" fillId="2" borderId="0" xfId="0" applyFont="1" applyFill="1" applyAlignment="1">
      <alignment vertical="top" wrapText="1"/>
    </xf>
    <xf numFmtId="0" fontId="21" fillId="0" borderId="0" xfId="0" applyFont="1" applyAlignment="1">
      <alignment vertical="top" wrapText="1"/>
    </xf>
    <xf numFmtId="0" fontId="21" fillId="3" borderId="0" xfId="0" applyFont="1" applyFill="1" applyAlignment="1">
      <alignment vertical="top" wrapText="1"/>
    </xf>
    <xf numFmtId="3" fontId="21" fillId="3" borderId="0" xfId="0" applyNumberFormat="1" applyFont="1" applyFill="1">
      <alignment vertical="center"/>
    </xf>
    <xf numFmtId="0" fontId="26" fillId="7" borderId="20" xfId="0" applyFont="1" applyFill="1" applyBorder="1" applyAlignment="1">
      <alignment horizontal="center" vertical="center" wrapText="1"/>
    </xf>
    <xf numFmtId="0" fontId="26" fillId="12" borderId="0" xfId="0" applyFont="1" applyFill="1" applyAlignment="1">
      <alignment horizontal="center" vertical="top" wrapText="1"/>
    </xf>
    <xf numFmtId="0" fontId="26" fillId="14" borderId="28" xfId="0" applyFont="1" applyFill="1" applyBorder="1" applyAlignment="1">
      <alignment horizontal="left" vertical="center"/>
    </xf>
    <xf numFmtId="0" fontId="26" fillId="14" borderId="28" xfId="0" applyFont="1" applyFill="1" applyBorder="1" applyAlignment="1">
      <alignment horizontal="left" vertical="top" wrapText="1"/>
    </xf>
    <xf numFmtId="180" fontId="21" fillId="0" borderId="37" xfId="0" quotePrefix="1" applyNumberFormat="1" applyFont="1" applyBorder="1" applyAlignment="1">
      <alignment horizontal="right" vertical="top" wrapText="1"/>
    </xf>
    <xf numFmtId="0" fontId="21" fillId="3" borderId="38" xfId="0" applyFont="1" applyFill="1" applyBorder="1" applyAlignment="1">
      <alignment horizontal="right" vertical="center"/>
    </xf>
    <xf numFmtId="3" fontId="21" fillId="3" borderId="54" xfId="0" applyNumberFormat="1" applyFont="1" applyFill="1" applyBorder="1" applyAlignment="1">
      <alignment vertical="top" wrapText="1"/>
    </xf>
    <xf numFmtId="180" fontId="24" fillId="24" borderId="38" xfId="0" applyNumberFormat="1" applyFont="1" applyFill="1" applyBorder="1" applyAlignment="1">
      <alignment horizontal="right" vertical="top" wrapText="1"/>
    </xf>
    <xf numFmtId="0" fontId="24" fillId="24" borderId="38" xfId="0" applyFont="1" applyFill="1" applyBorder="1" applyAlignment="1">
      <alignment horizontal="right" vertical="top" wrapText="1"/>
    </xf>
    <xf numFmtId="0" fontId="24" fillId="24" borderId="37" xfId="0" applyFont="1" applyFill="1" applyBorder="1" applyAlignment="1">
      <alignment horizontal="right" vertical="top" wrapText="1"/>
    </xf>
    <xf numFmtId="3" fontId="21" fillId="0" borderId="38" xfId="0" applyNumberFormat="1" applyFont="1" applyBorder="1" applyAlignment="1">
      <alignment horizontal="right" vertical="top" wrapText="1"/>
    </xf>
    <xf numFmtId="3" fontId="21" fillId="3" borderId="54" xfId="0" applyNumberFormat="1" applyFont="1" applyFill="1" applyBorder="1" applyAlignment="1">
      <alignment horizontal="right" vertical="top" wrapText="1"/>
    </xf>
    <xf numFmtId="182" fontId="24" fillId="25" borderId="37" xfId="0" quotePrefix="1" applyNumberFormat="1" applyFont="1" applyFill="1" applyBorder="1" applyAlignment="1">
      <alignment horizontal="right" vertical="top" wrapText="1"/>
    </xf>
    <xf numFmtId="177" fontId="21" fillId="0" borderId="38" xfId="0" quotePrefix="1" applyNumberFormat="1" applyFont="1" applyBorder="1" applyAlignment="1">
      <alignment horizontal="right" vertical="center"/>
    </xf>
    <xf numFmtId="0" fontId="21" fillId="15" borderId="38" xfId="0" applyFont="1" applyFill="1" applyBorder="1" applyAlignment="1">
      <alignment horizontal="right" vertical="top" wrapText="1"/>
    </xf>
    <xf numFmtId="0" fontId="42" fillId="14" borderId="28" xfId="0" applyFont="1" applyFill="1" applyBorder="1" applyAlignment="1">
      <alignment vertical="center" wrapText="1"/>
    </xf>
    <xf numFmtId="180" fontId="21" fillId="3" borderId="38" xfId="0" applyNumberFormat="1" applyFont="1" applyFill="1" applyBorder="1" applyAlignment="1">
      <alignment vertical="top" wrapText="1"/>
    </xf>
    <xf numFmtId="0" fontId="21" fillId="0" borderId="38" xfId="0" applyFont="1" applyBorder="1" applyAlignment="1">
      <alignment horizontal="right" vertical="center"/>
    </xf>
    <xf numFmtId="3" fontId="21" fillId="3" borderId="51" xfId="0" applyNumberFormat="1" applyFont="1" applyFill="1" applyBorder="1" applyAlignment="1">
      <alignment vertical="top" wrapText="1"/>
    </xf>
    <xf numFmtId="3" fontId="21" fillId="3" borderId="53" xfId="0" applyNumberFormat="1" applyFont="1" applyFill="1" applyBorder="1" applyAlignment="1">
      <alignment vertical="top" wrapText="1"/>
    </xf>
    <xf numFmtId="0" fontId="26" fillId="14" borderId="22" xfId="0" applyFont="1" applyFill="1" applyBorder="1" applyAlignment="1">
      <alignment horizontal="right" vertical="center"/>
    </xf>
    <xf numFmtId="38" fontId="21" fillId="15" borderId="38" xfId="0" quotePrefix="1" applyNumberFormat="1" applyFont="1" applyFill="1" applyBorder="1" applyAlignment="1">
      <alignment vertical="top" wrapText="1"/>
    </xf>
    <xf numFmtId="3" fontId="21" fillId="15" borderId="38" xfId="0" applyNumberFormat="1" applyFont="1" applyFill="1" applyBorder="1" applyAlignment="1">
      <alignment vertical="top" wrapText="1"/>
    </xf>
    <xf numFmtId="3" fontId="21" fillId="0" borderId="38" xfId="0" applyNumberFormat="1" applyFont="1" applyBorder="1" applyAlignment="1">
      <alignment vertical="top" wrapText="1"/>
    </xf>
    <xf numFmtId="178" fontId="21" fillId="15" borderId="38" xfId="0" applyNumberFormat="1" applyFont="1" applyFill="1" applyBorder="1" applyAlignment="1">
      <alignment vertical="top" wrapText="1"/>
    </xf>
    <xf numFmtId="178" fontId="26" fillId="14" borderId="28" xfId="0" applyNumberFormat="1" applyFont="1" applyFill="1" applyBorder="1" applyAlignment="1">
      <alignment horizontal="left" vertical="center"/>
    </xf>
    <xf numFmtId="178" fontId="21" fillId="15" borderId="38" xfId="0" quotePrefix="1" applyNumberFormat="1" applyFont="1" applyFill="1" applyBorder="1" applyAlignment="1">
      <alignment vertical="top" wrapText="1"/>
    </xf>
    <xf numFmtId="3" fontId="21" fillId="15" borderId="74" xfId="0" applyNumberFormat="1" applyFont="1" applyFill="1" applyBorder="1" applyAlignment="1">
      <alignment vertical="top" wrapText="1"/>
    </xf>
    <xf numFmtId="3" fontId="21" fillId="0" borderId="74" xfId="0" applyNumberFormat="1" applyFont="1" applyBorder="1" applyAlignment="1">
      <alignment vertical="top" wrapText="1"/>
    </xf>
    <xf numFmtId="178" fontId="21" fillId="0" borderId="45" xfId="0" applyNumberFormat="1" applyFont="1" applyBorder="1" applyAlignment="1">
      <alignment horizontal="left" vertical="center"/>
    </xf>
    <xf numFmtId="178" fontId="21" fillId="15" borderId="37" xfId="0" quotePrefix="1" applyNumberFormat="1" applyFont="1" applyFill="1" applyBorder="1" applyAlignment="1">
      <alignment vertical="top" wrapText="1"/>
    </xf>
    <xf numFmtId="3" fontId="21" fillId="15" borderId="37" xfId="0" applyNumberFormat="1" applyFont="1" applyFill="1" applyBorder="1" applyAlignment="1">
      <alignment vertical="top" wrapText="1"/>
    </xf>
    <xf numFmtId="3" fontId="21" fillId="3" borderId="37" xfId="0" applyNumberFormat="1" applyFont="1" applyFill="1" applyBorder="1" applyAlignment="1">
      <alignment vertical="top" wrapText="1"/>
    </xf>
    <xf numFmtId="3" fontId="21" fillId="15" borderId="54" xfId="0" applyNumberFormat="1" applyFont="1" applyFill="1" applyBorder="1" applyAlignment="1">
      <alignment vertical="top" wrapText="1"/>
    </xf>
    <xf numFmtId="0" fontId="21" fillId="15" borderId="37" xfId="0" applyFont="1" applyFill="1" applyBorder="1" applyAlignment="1">
      <alignment vertical="top" wrapText="1"/>
    </xf>
    <xf numFmtId="40" fontId="24" fillId="25" borderId="37" xfId="0" quotePrefix="1" applyNumberFormat="1" applyFont="1" applyFill="1" applyBorder="1" applyAlignment="1">
      <alignment horizontal="right" vertical="top" wrapText="1"/>
    </xf>
    <xf numFmtId="40" fontId="24" fillId="25" borderId="38" xfId="0" quotePrefix="1" applyNumberFormat="1" applyFont="1" applyFill="1" applyBorder="1" applyAlignment="1">
      <alignment horizontal="right" vertical="top" wrapText="1"/>
    </xf>
    <xf numFmtId="3" fontId="21" fillId="15" borderId="54" xfId="0" applyNumberFormat="1" applyFont="1" applyFill="1" applyBorder="1" applyAlignment="1">
      <alignment horizontal="right" vertical="top" wrapText="1"/>
    </xf>
    <xf numFmtId="186" fontId="21" fillId="3" borderId="38" xfId="0" applyNumberFormat="1" applyFont="1" applyFill="1" applyBorder="1" applyAlignment="1">
      <alignment horizontal="right" vertical="top" wrapText="1"/>
    </xf>
    <xf numFmtId="0" fontId="26" fillId="14" borderId="28" xfId="0" applyFont="1" applyFill="1" applyBorder="1" applyAlignment="1">
      <alignment horizontal="right" vertical="center"/>
    </xf>
    <xf numFmtId="185" fontId="21" fillId="3" borderId="78" xfId="0" applyNumberFormat="1" applyFont="1" applyFill="1" applyBorder="1" applyAlignment="1">
      <alignment horizontal="right" vertical="top" wrapText="1"/>
    </xf>
    <xf numFmtId="185" fontId="21" fillId="0" borderId="78" xfId="0" applyNumberFormat="1" applyFont="1" applyBorder="1" applyAlignment="1">
      <alignment horizontal="right" vertical="top" wrapText="1"/>
    </xf>
    <xf numFmtId="0" fontId="21" fillId="3" borderId="37" xfId="0" applyFont="1" applyFill="1" applyBorder="1" applyAlignment="1">
      <alignment horizontal="right" vertical="top" wrapText="1"/>
    </xf>
    <xf numFmtId="0" fontId="21" fillId="0" borderId="37" xfId="0" applyFont="1" applyBorder="1" applyAlignment="1">
      <alignment horizontal="right" vertical="top" wrapText="1"/>
    </xf>
    <xf numFmtId="0" fontId="26" fillId="12" borderId="92" xfId="0" applyFont="1" applyFill="1" applyBorder="1" applyAlignment="1">
      <alignment horizontal="right" vertical="center"/>
    </xf>
    <xf numFmtId="178" fontId="21" fillId="3" borderId="37" xfId="0" applyNumberFormat="1" applyFont="1" applyFill="1" applyBorder="1" applyAlignment="1">
      <alignment horizontal="right" vertical="top" wrapText="1"/>
    </xf>
    <xf numFmtId="178" fontId="21" fillId="0" borderId="37" xfId="0" applyNumberFormat="1" applyFont="1" applyBorder="1" applyAlignment="1">
      <alignment horizontal="right" vertical="top" wrapText="1"/>
    </xf>
    <xf numFmtId="178" fontId="21" fillId="3" borderId="54" xfId="0" applyNumberFormat="1" applyFont="1" applyFill="1" applyBorder="1" applyAlignment="1">
      <alignment horizontal="right" vertical="top" wrapText="1"/>
    </xf>
    <xf numFmtId="178" fontId="21" fillId="0" borderId="54" xfId="0" applyNumberFormat="1" applyFont="1" applyBorder="1" applyAlignment="1">
      <alignment horizontal="right" vertical="top" wrapText="1"/>
    </xf>
    <xf numFmtId="3" fontId="21" fillId="3" borderId="74" xfId="0" applyNumberFormat="1" applyFont="1" applyFill="1" applyBorder="1" applyAlignment="1">
      <alignment horizontal="right" vertical="top" wrapText="1"/>
    </xf>
    <xf numFmtId="3" fontId="21" fillId="0" borderId="74" xfId="0" applyNumberFormat="1" applyFont="1" applyBorder="1" applyAlignment="1">
      <alignment horizontal="right" vertical="top" wrapText="1"/>
    </xf>
    <xf numFmtId="0" fontId="21" fillId="0" borderId="0" xfId="0" applyFont="1" applyAlignment="1">
      <alignment horizontal="right" vertical="top" wrapText="1"/>
    </xf>
    <xf numFmtId="0" fontId="21" fillId="0" borderId="0" xfId="0" applyFont="1" applyAlignment="1">
      <alignment horizontal="left" vertical="top" wrapText="1"/>
    </xf>
    <xf numFmtId="38" fontId="21" fillId="4" borderId="38" xfId="1" applyNumberFormat="1" applyFont="1" applyFill="1" applyBorder="1" applyAlignment="1">
      <alignment horizontal="right" vertical="center" wrapText="1"/>
    </xf>
    <xf numFmtId="38" fontId="21" fillId="5" borderId="38" xfId="1" applyNumberFormat="1" applyFont="1" applyFill="1" applyBorder="1" applyAlignment="1">
      <alignment vertical="center" wrapText="1"/>
    </xf>
    <xf numFmtId="38" fontId="21" fillId="18" borderId="38" xfId="1" applyNumberFormat="1" applyFont="1" applyFill="1" applyBorder="1" applyAlignment="1">
      <alignment vertical="center" wrapText="1"/>
    </xf>
    <xf numFmtId="38" fontId="21" fillId="4" borderId="38" xfId="1" applyNumberFormat="1" applyFont="1" applyFill="1" applyBorder="1" applyAlignment="1">
      <alignment vertical="center" wrapText="1"/>
    </xf>
    <xf numFmtId="38" fontId="24" fillId="22" borderId="38" xfId="1" applyNumberFormat="1" applyFont="1" applyFill="1" applyBorder="1" applyAlignment="1">
      <alignment horizontal="right" vertical="center" wrapText="1"/>
    </xf>
    <xf numFmtId="38" fontId="21" fillId="28" borderId="78" xfId="1" quotePrefix="1" applyNumberFormat="1" applyFont="1" applyFill="1" applyBorder="1" applyAlignment="1">
      <alignment vertical="center" wrapText="1"/>
    </xf>
    <xf numFmtId="38" fontId="21" fillId="4" borderId="74" xfId="1" applyNumberFormat="1" applyFont="1" applyFill="1" applyBorder="1" applyAlignment="1">
      <alignment vertical="center" wrapText="1"/>
    </xf>
    <xf numFmtId="38" fontId="21" fillId="18" borderId="38" xfId="1" quotePrefix="1" applyNumberFormat="1" applyFont="1" applyFill="1" applyBorder="1" applyAlignment="1">
      <alignment vertical="center" wrapText="1"/>
    </xf>
    <xf numFmtId="38" fontId="21" fillId="28" borderId="78" xfId="1" applyNumberFormat="1" applyFont="1" applyFill="1" applyBorder="1" applyAlignment="1">
      <alignment vertical="center" wrapText="1"/>
    </xf>
    <xf numFmtId="38" fontId="21" fillId="18" borderId="74" xfId="1" quotePrefix="1" applyNumberFormat="1" applyFont="1" applyFill="1" applyBorder="1" applyAlignment="1">
      <alignment vertical="center" wrapText="1"/>
    </xf>
    <xf numFmtId="38" fontId="21" fillId="18" borderId="54" xfId="1" applyNumberFormat="1" applyFont="1" applyFill="1" applyBorder="1" applyAlignment="1">
      <alignment horizontal="right" vertical="center" wrapText="1"/>
    </xf>
    <xf numFmtId="38" fontId="21" fillId="18" borderId="38" xfId="1" applyNumberFormat="1" applyFont="1" applyFill="1" applyBorder="1" applyAlignment="1">
      <alignment horizontal="right" vertical="center" wrapText="1"/>
    </xf>
    <xf numFmtId="38" fontId="21" fillId="4" borderId="74" xfId="1" applyNumberFormat="1" applyFont="1" applyFill="1" applyBorder="1" applyAlignment="1">
      <alignment horizontal="right" vertical="center" wrapText="1"/>
    </xf>
    <xf numFmtId="38" fontId="21" fillId="4" borderId="54" xfId="1" applyNumberFormat="1" applyFont="1" applyFill="1" applyBorder="1" applyAlignment="1">
      <alignment horizontal="right" vertical="center" wrapText="1"/>
    </xf>
    <xf numFmtId="38" fontId="21" fillId="4" borderId="37" xfId="1" applyNumberFormat="1" applyFont="1" applyFill="1" applyBorder="1" applyAlignment="1">
      <alignment horizontal="right" vertical="center" wrapText="1"/>
    </xf>
    <xf numFmtId="38" fontId="21" fillId="4" borderId="38" xfId="1" applyNumberFormat="1" applyFont="1" applyFill="1" applyBorder="1" applyAlignment="1">
      <alignment horizontal="center" vertical="center" wrapText="1"/>
    </xf>
    <xf numFmtId="38" fontId="21" fillId="4" borderId="37" xfId="1" applyNumberFormat="1" applyFont="1" applyFill="1" applyBorder="1" applyAlignment="1">
      <alignment vertical="center" wrapText="1"/>
    </xf>
    <xf numFmtId="40" fontId="26" fillId="2" borderId="0" xfId="1" applyNumberFormat="1" applyFont="1" applyFill="1" applyAlignment="1">
      <alignment vertical="center" wrapText="1"/>
    </xf>
    <xf numFmtId="40" fontId="21" fillId="0" borderId="0" xfId="1" applyNumberFormat="1" applyFont="1">
      <alignment vertical="center"/>
    </xf>
    <xf numFmtId="40" fontId="21" fillId="3" borderId="0" xfId="1" applyNumberFormat="1" applyFont="1" applyFill="1">
      <alignment vertical="center"/>
    </xf>
    <xf numFmtId="40" fontId="21" fillId="4" borderId="0" xfId="1" applyNumberFormat="1" applyFont="1" applyFill="1">
      <alignment vertical="center"/>
    </xf>
    <xf numFmtId="40" fontId="21" fillId="5" borderId="0" xfId="1" applyNumberFormat="1" applyFont="1" applyFill="1">
      <alignment vertical="center"/>
    </xf>
    <xf numFmtId="40" fontId="26" fillId="12" borderId="0" xfId="1" applyNumberFormat="1" applyFont="1" applyFill="1" applyAlignment="1">
      <alignment horizontal="center" vertical="center"/>
    </xf>
    <xf numFmtId="40" fontId="26" fillId="14" borderId="28" xfId="1" applyNumberFormat="1" applyFont="1" applyFill="1" applyBorder="1" applyAlignment="1">
      <alignment horizontal="left" vertical="center"/>
    </xf>
    <xf numFmtId="40" fontId="26" fillId="14" borderId="28" xfId="1" applyNumberFormat="1" applyFont="1" applyFill="1" applyBorder="1" applyAlignment="1">
      <alignment horizontal="right" vertical="center"/>
    </xf>
    <xf numFmtId="40" fontId="21" fillId="4" borderId="38" xfId="1" applyNumberFormat="1" applyFont="1" applyFill="1" applyBorder="1" applyAlignment="1">
      <alignment horizontal="right" vertical="center" wrapText="1"/>
    </xf>
    <xf numFmtId="40" fontId="21" fillId="5" borderId="38" xfId="1" applyNumberFormat="1" applyFont="1" applyFill="1" applyBorder="1" applyAlignment="1">
      <alignment vertical="center" wrapText="1"/>
    </xf>
    <xf numFmtId="40" fontId="21" fillId="18" borderId="38" xfId="1" applyNumberFormat="1" applyFont="1" applyFill="1" applyBorder="1" applyAlignment="1">
      <alignment vertical="center" wrapText="1"/>
    </xf>
    <xf numFmtId="40" fontId="26" fillId="5" borderId="78" xfId="1" applyNumberFormat="1" applyFont="1" applyFill="1" applyBorder="1" applyAlignment="1">
      <alignment vertical="center" wrapText="1"/>
    </xf>
    <xf numFmtId="40" fontId="21" fillId="4" borderId="38" xfId="1" applyNumberFormat="1" applyFont="1" applyFill="1" applyBorder="1" applyAlignment="1">
      <alignment vertical="center" wrapText="1"/>
    </xf>
    <xf numFmtId="40" fontId="21" fillId="4" borderId="54" xfId="1" applyNumberFormat="1" applyFont="1" applyFill="1" applyBorder="1" applyAlignment="1">
      <alignment vertical="center" wrapText="1"/>
    </xf>
    <xf numFmtId="40" fontId="26" fillId="5" borderId="38" xfId="1" applyNumberFormat="1" applyFont="1" applyFill="1" applyBorder="1" applyAlignment="1">
      <alignment vertical="center" wrapText="1"/>
    </xf>
    <xf numFmtId="40" fontId="21" fillId="28" borderId="38" xfId="1" quotePrefix="1" applyNumberFormat="1" applyFont="1" applyFill="1" applyBorder="1" applyAlignment="1">
      <alignment vertical="center" wrapText="1"/>
    </xf>
    <xf numFmtId="40" fontId="21" fillId="28" borderId="38" xfId="1" quotePrefix="1" applyNumberFormat="1" applyFont="1" applyFill="1" applyBorder="1" applyAlignment="1">
      <alignment horizontal="right" vertical="center" wrapText="1"/>
    </xf>
    <xf numFmtId="40" fontId="24" fillId="39" borderId="38" xfId="1" applyNumberFormat="1" applyFont="1" applyFill="1" applyBorder="1" applyAlignment="1">
      <alignment horizontal="right" vertical="center" wrapText="1"/>
    </xf>
    <xf numFmtId="40" fontId="24" fillId="22" borderId="38" xfId="1" applyNumberFormat="1" applyFont="1" applyFill="1" applyBorder="1" applyAlignment="1">
      <alignment horizontal="right" vertical="center" wrapText="1"/>
    </xf>
    <xf numFmtId="40" fontId="26" fillId="5" borderId="38" xfId="1" quotePrefix="1" applyNumberFormat="1" applyFont="1" applyFill="1" applyBorder="1" applyAlignment="1">
      <alignment horizontal="right" vertical="center" wrapText="1"/>
    </xf>
    <xf numFmtId="40" fontId="21" fillId="5" borderId="45" xfId="1" applyNumberFormat="1" applyFont="1" applyFill="1" applyBorder="1" applyAlignment="1">
      <alignment vertical="center" wrapText="1"/>
    </xf>
    <xf numFmtId="40" fontId="42" fillId="14" borderId="28" xfId="1" applyNumberFormat="1" applyFont="1" applyFill="1" applyBorder="1" applyAlignment="1">
      <alignment vertical="center" wrapText="1"/>
    </xf>
    <xf numFmtId="40" fontId="21" fillId="28" borderId="78" xfId="1" quotePrefix="1" applyNumberFormat="1" applyFont="1" applyFill="1" applyBorder="1" applyAlignment="1">
      <alignment vertical="center" wrapText="1"/>
    </xf>
    <xf numFmtId="40" fontId="21" fillId="4" borderId="74" xfId="1" applyNumberFormat="1" applyFont="1" applyFill="1" applyBorder="1" applyAlignment="1">
      <alignment vertical="center" wrapText="1"/>
    </xf>
    <xf numFmtId="40" fontId="26" fillId="14" borderId="22" xfId="1" applyNumberFormat="1" applyFont="1" applyFill="1" applyBorder="1" applyAlignment="1">
      <alignment horizontal="right" vertical="center"/>
    </xf>
    <xf numFmtId="40" fontId="21" fillId="28" borderId="78" xfId="1" applyNumberFormat="1" applyFont="1" applyFill="1" applyBorder="1" applyAlignment="1">
      <alignment vertical="center" wrapText="1"/>
    </xf>
    <xf numFmtId="40" fontId="21" fillId="18" borderId="37" xfId="1" applyNumberFormat="1" applyFont="1" applyFill="1" applyBorder="1" applyAlignment="1">
      <alignment vertical="center" wrapText="1"/>
    </xf>
    <xf numFmtId="40" fontId="21" fillId="18" borderId="38" xfId="1" applyNumberFormat="1" applyFont="1" applyFill="1" applyBorder="1" applyAlignment="1">
      <alignment horizontal="right" vertical="center" wrapText="1"/>
    </xf>
    <xf numFmtId="40" fontId="21" fillId="4" borderId="78" xfId="1" applyNumberFormat="1" applyFont="1" applyFill="1" applyBorder="1" applyAlignment="1">
      <alignment horizontal="right" vertical="center" wrapText="1"/>
    </xf>
    <xf numFmtId="40" fontId="26" fillId="12" borderId="92" xfId="1" applyNumberFormat="1" applyFont="1" applyFill="1" applyBorder="1" applyAlignment="1">
      <alignment horizontal="right" vertical="center"/>
    </xf>
    <xf numFmtId="40" fontId="21" fillId="4" borderId="74" xfId="1" applyNumberFormat="1" applyFont="1" applyFill="1" applyBorder="1" applyAlignment="1">
      <alignment horizontal="right" vertical="center" wrapText="1"/>
    </xf>
    <xf numFmtId="40" fontId="21" fillId="5" borderId="78" xfId="1" applyNumberFormat="1" applyFont="1" applyFill="1" applyBorder="1" applyAlignment="1">
      <alignment horizontal="right" vertical="center" wrapText="1"/>
    </xf>
    <xf numFmtId="40" fontId="21" fillId="5" borderId="38" xfId="1" applyNumberFormat="1" applyFont="1" applyFill="1" applyBorder="1" applyAlignment="1">
      <alignment horizontal="right" vertical="center" wrapText="1"/>
    </xf>
    <xf numFmtId="40" fontId="21" fillId="5" borderId="37" xfId="1" applyNumberFormat="1" applyFont="1" applyFill="1" applyBorder="1" applyAlignment="1">
      <alignment horizontal="right" vertical="center" wrapText="1"/>
    </xf>
    <xf numFmtId="40" fontId="21" fillId="4" borderId="54" xfId="1" applyNumberFormat="1" applyFont="1" applyFill="1" applyBorder="1" applyAlignment="1">
      <alignment horizontal="right" vertical="center" wrapText="1"/>
    </xf>
    <xf numFmtId="40" fontId="21" fillId="4" borderId="45" xfId="1" applyNumberFormat="1" applyFont="1" applyFill="1" applyBorder="1" applyAlignment="1">
      <alignment horizontal="right" vertical="center" wrapText="1"/>
    </xf>
    <xf numFmtId="40" fontId="21" fillId="4" borderId="37" xfId="1" applyNumberFormat="1" applyFont="1" applyFill="1" applyBorder="1" applyAlignment="1">
      <alignment horizontal="right" vertical="center" wrapText="1"/>
    </xf>
    <xf numFmtId="40" fontId="21" fillId="0" borderId="0" xfId="1" applyNumberFormat="1" applyFont="1" applyAlignment="1">
      <alignment horizontal="right" vertical="center"/>
    </xf>
    <xf numFmtId="40" fontId="21" fillId="0" borderId="0" xfId="1" applyNumberFormat="1" applyFont="1" applyAlignment="1">
      <alignment horizontal="left" vertical="center"/>
    </xf>
    <xf numFmtId="40" fontId="21" fillId="28" borderId="38" xfId="1" applyNumberFormat="1" applyFont="1" applyFill="1" applyBorder="1" applyAlignment="1">
      <alignment horizontal="right" vertical="center" wrapText="1"/>
    </xf>
    <xf numFmtId="40" fontId="26" fillId="0" borderId="0" xfId="1" applyNumberFormat="1" applyFont="1" applyAlignment="1">
      <alignment horizontal="center" vertical="center"/>
    </xf>
    <xf numFmtId="40" fontId="24" fillId="22" borderId="37" xfId="1" applyNumberFormat="1" applyFont="1" applyFill="1" applyBorder="1" applyAlignment="1">
      <alignment horizontal="right" vertical="center" wrapText="1"/>
    </xf>
    <xf numFmtId="40" fontId="21" fillId="4" borderId="44" xfId="1" applyNumberFormat="1" applyFont="1" applyFill="1" applyBorder="1" applyAlignment="1">
      <alignment horizontal="right" vertical="center" wrapText="1"/>
    </xf>
    <xf numFmtId="40" fontId="21" fillId="4" borderId="37" xfId="1" applyNumberFormat="1" applyFont="1" applyFill="1" applyBorder="1" applyAlignment="1">
      <alignment vertical="center" wrapText="1"/>
    </xf>
    <xf numFmtId="38" fontId="21" fillId="3" borderId="38" xfId="0" applyNumberFormat="1" applyFont="1" applyFill="1" applyBorder="1" applyAlignment="1">
      <alignment horizontal="right" vertical="top" wrapText="1"/>
    </xf>
    <xf numFmtId="38" fontId="21" fillId="15" borderId="38" xfId="0" applyNumberFormat="1" applyFont="1" applyFill="1" applyBorder="1" applyAlignment="1">
      <alignment vertical="top" wrapText="1"/>
    </xf>
    <xf numFmtId="38" fontId="21" fillId="0" borderId="38" xfId="0" applyNumberFormat="1" applyFont="1" applyBorder="1" applyAlignment="1">
      <alignment vertical="top" wrapText="1"/>
    </xf>
    <xf numFmtId="38" fontId="21" fillId="3" borderId="38" xfId="0" quotePrefix="1" applyNumberFormat="1" applyFont="1" applyFill="1" applyBorder="1" applyAlignment="1">
      <alignment vertical="top" wrapText="1"/>
    </xf>
    <xf numFmtId="38" fontId="21" fillId="3" borderId="38" xfId="0" applyNumberFormat="1" applyFont="1" applyFill="1" applyBorder="1" applyAlignment="1">
      <alignment vertical="top" wrapText="1"/>
    </xf>
    <xf numFmtId="38" fontId="21" fillId="15" borderId="78" xfId="0" applyNumberFormat="1" applyFont="1" applyFill="1" applyBorder="1" applyAlignment="1">
      <alignment vertical="top" wrapText="1"/>
    </xf>
    <xf numFmtId="38" fontId="21" fillId="15" borderId="74" xfId="0" quotePrefix="1" applyNumberFormat="1" applyFont="1" applyFill="1" applyBorder="1" applyAlignment="1">
      <alignment vertical="top" wrapText="1"/>
    </xf>
    <xf numFmtId="38" fontId="21" fillId="0" borderId="38" xfId="0" quotePrefix="1" applyNumberFormat="1" applyFont="1" applyBorder="1" applyAlignment="1">
      <alignment vertical="top" wrapText="1"/>
    </xf>
    <xf numFmtId="38" fontId="21" fillId="0" borderId="74" xfId="0" quotePrefix="1" applyNumberFormat="1" applyFont="1" applyBorder="1" applyAlignment="1">
      <alignment vertical="top" wrapText="1"/>
    </xf>
    <xf numFmtId="38" fontId="21" fillId="15" borderId="54" xfId="0" applyNumberFormat="1" applyFont="1" applyFill="1" applyBorder="1" applyAlignment="1">
      <alignment vertical="top" wrapText="1"/>
    </xf>
    <xf numFmtId="38" fontId="21" fillId="3" borderId="54" xfId="0" applyNumberFormat="1" applyFont="1" applyFill="1" applyBorder="1" applyAlignment="1">
      <alignment vertical="top" wrapText="1"/>
    </xf>
    <xf numFmtId="38" fontId="21" fillId="15" borderId="38" xfId="0" applyNumberFormat="1" applyFont="1" applyFill="1" applyBorder="1" applyAlignment="1">
      <alignment horizontal="right" vertical="top" wrapText="1"/>
    </xf>
    <xf numFmtId="38" fontId="24" fillId="25" borderId="38" xfId="0" applyNumberFormat="1" applyFont="1" applyFill="1" applyBorder="1" applyAlignment="1">
      <alignment horizontal="right" vertical="top" wrapText="1"/>
    </xf>
    <xf numFmtId="38" fontId="24" fillId="24" borderId="38" xfId="0" applyNumberFormat="1" applyFont="1" applyFill="1" applyBorder="1" applyAlignment="1">
      <alignment horizontal="right" vertical="top" wrapText="1"/>
    </xf>
    <xf numFmtId="38" fontId="21" fillId="15" borderId="54" xfId="0" applyNumberFormat="1" applyFont="1" applyFill="1" applyBorder="1" applyAlignment="1">
      <alignment horizontal="right" vertical="top" wrapText="1"/>
    </xf>
    <xf numFmtId="38" fontId="21" fillId="3" borderId="54" xfId="0" applyNumberFormat="1" applyFont="1" applyFill="1" applyBorder="1" applyAlignment="1">
      <alignment horizontal="right" vertical="top" wrapText="1"/>
    </xf>
    <xf numFmtId="38" fontId="21" fillId="0" borderId="38" xfId="0" applyNumberFormat="1" applyFont="1" applyBorder="1" applyAlignment="1">
      <alignment horizontal="right" vertical="top" wrapText="1"/>
    </xf>
    <xf numFmtId="38" fontId="21" fillId="3" borderId="37" xfId="0" applyNumberFormat="1" applyFont="1" applyFill="1" applyBorder="1" applyAlignment="1">
      <alignment vertical="top" wrapText="1"/>
    </xf>
    <xf numFmtId="38" fontId="21" fillId="0" borderId="37" xfId="0" applyNumberFormat="1" applyFont="1" applyBorder="1" applyAlignment="1">
      <alignment vertical="top" wrapText="1"/>
    </xf>
    <xf numFmtId="38" fontId="21" fillId="0" borderId="54" xfId="0" applyNumberFormat="1" applyFont="1" applyBorder="1" applyAlignment="1">
      <alignment horizontal="right" vertical="top" wrapText="1"/>
    </xf>
    <xf numFmtId="38" fontId="21" fillId="3" borderId="74" xfId="0" applyNumberFormat="1" applyFont="1" applyFill="1" applyBorder="1" applyAlignment="1">
      <alignment horizontal="right" vertical="top" wrapText="1"/>
    </xf>
    <xf numFmtId="38" fontId="21" fillId="0" borderId="74" xfId="0" applyNumberFormat="1" applyFont="1" applyBorder="1" applyAlignment="1">
      <alignment horizontal="right" vertical="top" wrapText="1"/>
    </xf>
    <xf numFmtId="0" fontId="4" fillId="7" borderId="20" xfId="1" applyNumberFormat="1" applyFont="1" applyFill="1" applyBorder="1" applyAlignment="1">
      <alignment horizontal="center" vertical="center" wrapText="1"/>
    </xf>
    <xf numFmtId="0" fontId="0" fillId="0" borderId="38" xfId="0" applyBorder="1" applyAlignment="1">
      <alignment horizontal="left" vertical="top" wrapText="1"/>
    </xf>
    <xf numFmtId="0" fontId="5" fillId="3" borderId="131" xfId="0" applyFont="1" applyFill="1" applyBorder="1" applyAlignment="1">
      <alignment horizontal="center" vertical="top"/>
    </xf>
    <xf numFmtId="0" fontId="5" fillId="3" borderId="57" xfId="0" quotePrefix="1" applyFont="1" applyFill="1" applyBorder="1" applyAlignment="1">
      <alignment horizontal="left" vertical="center"/>
    </xf>
    <xf numFmtId="0" fontId="5" fillId="3" borderId="52" xfId="0" quotePrefix="1" applyFont="1" applyFill="1" applyBorder="1">
      <alignment vertical="center"/>
    </xf>
    <xf numFmtId="0" fontId="5" fillId="3" borderId="82" xfId="0" quotePrefix="1" applyFont="1" applyFill="1" applyBorder="1">
      <alignment vertical="center"/>
    </xf>
    <xf numFmtId="178" fontId="5" fillId="4" borderId="52" xfId="0" applyNumberFormat="1" applyFont="1" applyFill="1" applyBorder="1">
      <alignment vertical="center"/>
    </xf>
    <xf numFmtId="3" fontId="15" fillId="20" borderId="54" xfId="0" applyNumberFormat="1" applyFont="1" applyFill="1" applyBorder="1" applyAlignment="1">
      <alignment horizontal="center" vertical="center"/>
    </xf>
    <xf numFmtId="0" fontId="5" fillId="35" borderId="132" xfId="0" applyFont="1" applyFill="1" applyBorder="1" applyAlignment="1">
      <alignment horizontal="center" vertical="center"/>
    </xf>
    <xf numFmtId="177" fontId="5" fillId="3" borderId="133" xfId="0" applyNumberFormat="1" applyFont="1" applyFill="1" applyBorder="1" applyAlignment="1">
      <alignment horizontal="left" vertical="top"/>
    </xf>
    <xf numFmtId="0" fontId="5" fillId="4" borderId="135" xfId="0" applyFont="1" applyFill="1" applyBorder="1">
      <alignment vertical="center"/>
    </xf>
    <xf numFmtId="0" fontId="5" fillId="4" borderId="134" xfId="0" applyFont="1" applyFill="1" applyBorder="1">
      <alignment vertical="center"/>
    </xf>
    <xf numFmtId="3" fontId="15" fillId="20" borderId="37" xfId="0" applyNumberFormat="1" applyFont="1" applyFill="1" applyBorder="1" applyAlignment="1">
      <alignment horizontal="center" vertical="center"/>
    </xf>
    <xf numFmtId="0" fontId="5" fillId="19" borderId="136" xfId="0" applyFont="1" applyFill="1" applyBorder="1" applyAlignment="1">
      <alignment horizontal="center" vertical="center"/>
    </xf>
    <xf numFmtId="0" fontId="5" fillId="19" borderId="62" xfId="0" applyFont="1" applyFill="1" applyBorder="1" applyAlignment="1">
      <alignment horizontal="center" vertical="center"/>
    </xf>
    <xf numFmtId="0" fontId="5" fillId="19" borderId="116" xfId="0" applyFont="1" applyFill="1" applyBorder="1" applyAlignment="1">
      <alignment horizontal="center" vertical="center"/>
    </xf>
    <xf numFmtId="0" fontId="5" fillId="19" borderId="45" xfId="0" applyFont="1" applyFill="1" applyBorder="1" applyAlignment="1">
      <alignment horizontal="center" vertical="center"/>
    </xf>
    <xf numFmtId="40" fontId="21" fillId="19" borderId="43" xfId="1" applyNumberFormat="1" applyFont="1" applyFill="1" applyBorder="1" applyAlignment="1">
      <alignment horizontal="right" vertical="center" wrapText="1"/>
    </xf>
    <xf numFmtId="178" fontId="21" fillId="19" borderId="42" xfId="0" applyNumberFormat="1" applyFont="1" applyFill="1" applyBorder="1" applyAlignment="1">
      <alignment horizontal="right" vertical="top" wrapText="1"/>
    </xf>
    <xf numFmtId="40" fontId="21" fillId="19" borderId="42" xfId="1" applyNumberFormat="1" applyFont="1" applyFill="1" applyBorder="1" applyAlignment="1">
      <alignment horizontal="right" vertical="center" wrapText="1"/>
    </xf>
    <xf numFmtId="3" fontId="5" fillId="19" borderId="45" xfId="0" applyNumberFormat="1" applyFont="1" applyFill="1" applyBorder="1" applyAlignment="1">
      <alignment vertical="center" wrapText="1"/>
    </xf>
    <xf numFmtId="40" fontId="21" fillId="19" borderId="43" xfId="1" quotePrefix="1" applyNumberFormat="1" applyFont="1" applyFill="1" applyBorder="1" applyAlignment="1">
      <alignment horizontal="right" vertical="center"/>
    </xf>
    <xf numFmtId="178" fontId="21" fillId="19" borderId="42" xfId="0" quotePrefix="1" applyNumberFormat="1" applyFont="1" applyFill="1" applyBorder="1" applyAlignment="1">
      <alignment horizontal="right" vertical="center"/>
    </xf>
    <xf numFmtId="40" fontId="21" fillId="19" borderId="42" xfId="1" quotePrefix="1" applyNumberFormat="1" applyFont="1" applyFill="1" applyBorder="1" applyAlignment="1">
      <alignment horizontal="right" vertical="center"/>
    </xf>
    <xf numFmtId="0" fontId="5" fillId="19" borderId="45" xfId="0" quotePrefix="1" applyFont="1" applyFill="1" applyBorder="1" applyAlignment="1">
      <alignment horizontal="center" vertical="center"/>
    </xf>
    <xf numFmtId="0" fontId="21" fillId="19" borderId="42" xfId="0" quotePrefix="1" applyFont="1" applyFill="1" applyBorder="1" applyAlignment="1">
      <alignment horizontal="right" vertical="center"/>
    </xf>
    <xf numFmtId="3" fontId="21" fillId="19" borderId="42" xfId="0" applyNumberFormat="1" applyFont="1" applyFill="1" applyBorder="1" applyAlignment="1">
      <alignment horizontal="right" vertical="center" wrapText="1"/>
    </xf>
    <xf numFmtId="3" fontId="21" fillId="19" borderId="42" xfId="0" applyNumberFormat="1" applyFont="1" applyFill="1" applyBorder="1" applyAlignment="1">
      <alignment horizontal="right" vertical="top" wrapText="1"/>
    </xf>
    <xf numFmtId="0" fontId="5" fillId="19" borderId="42" xfId="0" applyFont="1" applyFill="1" applyBorder="1" applyAlignment="1">
      <alignment horizontal="left" vertical="center"/>
    </xf>
    <xf numFmtId="177" fontId="5" fillId="19" borderId="45" xfId="0" quotePrefix="1" applyNumberFormat="1" applyFont="1" applyFill="1" applyBorder="1" applyAlignment="1">
      <alignment horizontal="center" vertical="center"/>
    </xf>
    <xf numFmtId="40" fontId="21" fillId="19" borderId="43" xfId="1" quotePrefix="1" applyNumberFormat="1" applyFont="1" applyFill="1" applyBorder="1" applyAlignment="1">
      <alignment horizontal="left" vertical="center"/>
    </xf>
    <xf numFmtId="178" fontId="21" fillId="19" borderId="42" xfId="0" quotePrefix="1" applyNumberFormat="1" applyFont="1" applyFill="1" applyBorder="1" applyAlignment="1">
      <alignment horizontal="left" vertical="center"/>
    </xf>
    <xf numFmtId="40" fontId="21" fillId="19" borderId="42" xfId="1" quotePrefix="1" applyNumberFormat="1" applyFont="1" applyFill="1" applyBorder="1" applyAlignment="1">
      <alignment horizontal="left" vertical="center"/>
    </xf>
    <xf numFmtId="0" fontId="5" fillId="19" borderId="45" xfId="0" applyFont="1" applyFill="1" applyBorder="1">
      <alignment vertical="center"/>
    </xf>
    <xf numFmtId="40" fontId="21" fillId="14" borderId="43" xfId="1" quotePrefix="1" applyNumberFormat="1" applyFont="1" applyFill="1" applyBorder="1" applyAlignment="1">
      <alignment horizontal="left" vertical="center"/>
    </xf>
    <xf numFmtId="178" fontId="21" fillId="14" borderId="42" xfId="0" quotePrefix="1" applyNumberFormat="1" applyFont="1" applyFill="1" applyBorder="1" applyAlignment="1">
      <alignment horizontal="left" vertical="center"/>
    </xf>
    <xf numFmtId="40" fontId="21" fillId="14" borderId="42" xfId="1" quotePrefix="1" applyNumberFormat="1" applyFont="1" applyFill="1" applyBorder="1" applyAlignment="1">
      <alignment horizontal="left" vertical="center"/>
    </xf>
    <xf numFmtId="177" fontId="21" fillId="14" borderId="42" xfId="0" quotePrefix="1" applyNumberFormat="1" applyFont="1" applyFill="1" applyBorder="1" applyAlignment="1">
      <alignment horizontal="left" vertical="center"/>
    </xf>
    <xf numFmtId="0" fontId="21" fillId="19" borderId="42" xfId="0" quotePrefix="1" applyFont="1" applyFill="1" applyBorder="1" applyAlignment="1">
      <alignment horizontal="left" vertical="center"/>
    </xf>
    <xf numFmtId="40" fontId="21" fillId="19" borderId="43" xfId="1" applyNumberFormat="1" applyFont="1" applyFill="1" applyBorder="1" applyAlignment="1">
      <alignment horizontal="left" vertical="center"/>
    </xf>
    <xf numFmtId="0" fontId="21" fillId="19" borderId="42" xfId="0" applyFont="1" applyFill="1" applyBorder="1" applyAlignment="1">
      <alignment horizontal="left" vertical="center"/>
    </xf>
    <xf numFmtId="40" fontId="21" fillId="19" borderId="42" xfId="1" applyNumberFormat="1" applyFont="1" applyFill="1" applyBorder="1" applyAlignment="1">
      <alignment horizontal="left" vertical="center"/>
    </xf>
    <xf numFmtId="38" fontId="21" fillId="19" borderId="43" xfId="1" applyNumberFormat="1" applyFont="1" applyFill="1" applyBorder="1" applyAlignment="1">
      <alignment horizontal="left" vertical="center"/>
    </xf>
    <xf numFmtId="38" fontId="21" fillId="19" borderId="42" xfId="0" applyNumberFormat="1" applyFont="1" applyFill="1" applyBorder="1" applyAlignment="1">
      <alignment horizontal="left" vertical="center"/>
    </xf>
    <xf numFmtId="38" fontId="21" fillId="19" borderId="42" xfId="1" applyNumberFormat="1" applyFont="1" applyFill="1" applyBorder="1" applyAlignment="1">
      <alignment horizontal="left" vertical="center"/>
    </xf>
    <xf numFmtId="40" fontId="21" fillId="14" borderId="43" xfId="1" quotePrefix="1" applyNumberFormat="1" applyFont="1" applyFill="1" applyBorder="1" applyAlignment="1">
      <alignment horizontal="right" vertical="center"/>
    </xf>
    <xf numFmtId="177" fontId="21" fillId="14" borderId="42" xfId="0" quotePrefix="1" applyNumberFormat="1" applyFont="1" applyFill="1" applyBorder="1" applyAlignment="1">
      <alignment horizontal="right" vertical="center"/>
    </xf>
    <xf numFmtId="40" fontId="21" fillId="14" borderId="42" xfId="1" quotePrefix="1" applyNumberFormat="1" applyFont="1" applyFill="1" applyBorder="1" applyAlignment="1">
      <alignment horizontal="right" vertical="center"/>
    </xf>
    <xf numFmtId="177" fontId="5" fillId="14" borderId="45" xfId="0" quotePrefix="1" applyNumberFormat="1" applyFont="1" applyFill="1" applyBorder="1" applyAlignment="1">
      <alignment horizontal="right" vertical="center"/>
    </xf>
    <xf numFmtId="177" fontId="5" fillId="19" borderId="45" xfId="0" quotePrefix="1" applyNumberFormat="1" applyFont="1" applyFill="1" applyBorder="1" applyAlignment="1">
      <alignment horizontal="center" vertical="top" wrapText="1"/>
    </xf>
    <xf numFmtId="40" fontId="21" fillId="19" borderId="43" xfId="1" applyNumberFormat="1" applyFont="1" applyFill="1" applyBorder="1" applyAlignment="1">
      <alignment horizontal="right" vertical="center"/>
    </xf>
    <xf numFmtId="0" fontId="21" fillId="19" borderId="42" xfId="0" applyFont="1" applyFill="1" applyBorder="1" applyAlignment="1">
      <alignment horizontal="right" vertical="center"/>
    </xf>
    <xf numFmtId="40" fontId="21" fillId="19" borderId="42" xfId="1" applyNumberFormat="1" applyFont="1" applyFill="1" applyBorder="1" applyAlignment="1">
      <alignment horizontal="right" vertical="center"/>
    </xf>
    <xf numFmtId="0" fontId="5" fillId="19" borderId="45" xfId="0" applyFont="1" applyFill="1" applyBorder="1" applyAlignment="1">
      <alignment horizontal="right" vertical="center"/>
    </xf>
    <xf numFmtId="0" fontId="5" fillId="19" borderId="42" xfId="0" quotePrefix="1" applyFont="1" applyFill="1" applyBorder="1" applyAlignment="1">
      <alignment horizontal="left" vertical="center"/>
    </xf>
    <xf numFmtId="0" fontId="5" fillId="19" borderId="42" xfId="0" quotePrefix="1" applyFont="1" applyFill="1" applyBorder="1" applyAlignment="1">
      <alignment vertical="center" wrapText="1"/>
    </xf>
    <xf numFmtId="40" fontId="21" fillId="19" borderId="43" xfId="1" applyNumberFormat="1" applyFont="1" applyFill="1" applyBorder="1" applyAlignment="1">
      <alignment vertical="center" wrapText="1"/>
    </xf>
    <xf numFmtId="178" fontId="21" fillId="19" borderId="42" xfId="0" applyNumberFormat="1" applyFont="1" applyFill="1" applyBorder="1" applyAlignment="1">
      <alignment vertical="top" wrapText="1"/>
    </xf>
    <xf numFmtId="40" fontId="21" fillId="19" borderId="42" xfId="1" applyNumberFormat="1" applyFont="1" applyFill="1" applyBorder="1" applyAlignment="1">
      <alignment vertical="center" wrapText="1"/>
    </xf>
    <xf numFmtId="0" fontId="5" fillId="19" borderId="42" xfId="0" quotePrefix="1" applyFont="1" applyFill="1" applyBorder="1" applyAlignment="1">
      <alignment vertical="top" wrapText="1"/>
    </xf>
    <xf numFmtId="38" fontId="21" fillId="19" borderId="43" xfId="1" applyNumberFormat="1" applyFont="1" applyFill="1" applyBorder="1" applyAlignment="1">
      <alignment horizontal="right" vertical="center"/>
    </xf>
    <xf numFmtId="38" fontId="21" fillId="19" borderId="42" xfId="0" applyNumberFormat="1" applyFont="1" applyFill="1" applyBorder="1" applyAlignment="1">
      <alignment horizontal="right" vertical="center"/>
    </xf>
    <xf numFmtId="38" fontId="21" fillId="19" borderId="42" xfId="1" applyNumberFormat="1" applyFont="1" applyFill="1" applyBorder="1" applyAlignment="1">
      <alignment horizontal="right" vertical="center"/>
    </xf>
    <xf numFmtId="40" fontId="21" fillId="14" borderId="43" xfId="1" applyNumberFormat="1" applyFont="1" applyFill="1" applyBorder="1" applyAlignment="1">
      <alignment horizontal="center" vertical="center" wrapText="1"/>
    </xf>
    <xf numFmtId="3" fontId="21" fillId="14" borderId="42" xfId="0" applyNumberFormat="1" applyFont="1" applyFill="1" applyBorder="1" applyAlignment="1">
      <alignment vertical="top" wrapText="1"/>
    </xf>
    <xf numFmtId="40" fontId="21" fillId="14" borderId="42" xfId="1" applyNumberFormat="1" applyFont="1" applyFill="1" applyBorder="1" applyAlignment="1">
      <alignment horizontal="center" vertical="center" wrapText="1"/>
    </xf>
    <xf numFmtId="3" fontId="21" fillId="19" borderId="42" xfId="0" applyNumberFormat="1" applyFont="1" applyFill="1" applyBorder="1" applyAlignment="1">
      <alignment vertical="top" wrapText="1"/>
    </xf>
    <xf numFmtId="0" fontId="15" fillId="12" borderId="22" xfId="0" applyFont="1" applyFill="1" applyBorder="1" applyAlignment="1">
      <alignment horizontal="left" vertical="center"/>
    </xf>
    <xf numFmtId="40" fontId="26" fillId="12" borderId="22" xfId="1" applyNumberFormat="1" applyFont="1" applyFill="1" applyBorder="1" applyAlignment="1">
      <alignment horizontal="left" vertical="center"/>
    </xf>
    <xf numFmtId="0" fontId="26" fillId="12" borderId="22" xfId="0" applyFont="1" applyFill="1" applyBorder="1" applyAlignment="1">
      <alignment horizontal="left" vertical="center"/>
    </xf>
    <xf numFmtId="0" fontId="13" fillId="13" borderId="22" xfId="2" applyFont="1" applyFill="1" applyBorder="1" applyAlignment="1">
      <alignment horizontal="center" vertical="center" wrapText="1"/>
    </xf>
    <xf numFmtId="177" fontId="5" fillId="0" borderId="137" xfId="0" quotePrefix="1" applyNumberFormat="1" applyFont="1" applyBorder="1">
      <alignment vertical="center"/>
    </xf>
    <xf numFmtId="0" fontId="5" fillId="0" borderId="87" xfId="0" applyFont="1" applyBorder="1" applyAlignment="1">
      <alignment horizontal="center" vertical="center"/>
    </xf>
    <xf numFmtId="0" fontId="21" fillId="0" borderId="69" xfId="0" applyFont="1" applyBorder="1" applyAlignment="1">
      <alignment vertical="top"/>
    </xf>
    <xf numFmtId="0" fontId="21" fillId="0" borderId="139" xfId="0" applyFont="1" applyBorder="1" applyAlignment="1">
      <alignment vertical="top"/>
    </xf>
    <xf numFmtId="0" fontId="21" fillId="0" borderId="140" xfId="0" applyFont="1" applyBorder="1" applyAlignment="1">
      <alignment vertical="top" wrapText="1"/>
    </xf>
    <xf numFmtId="0" fontId="21" fillId="0" borderId="95" xfId="0" applyFont="1" applyBorder="1" applyAlignment="1">
      <alignment horizontal="left" vertical="top" wrapText="1"/>
    </xf>
    <xf numFmtId="3" fontId="0" fillId="4" borderId="73" xfId="0" applyNumberFormat="1" applyFill="1" applyBorder="1" applyAlignment="1">
      <alignment vertical="center" wrapText="1"/>
    </xf>
    <xf numFmtId="3" fontId="5" fillId="0" borderId="73" xfId="0" applyNumberFormat="1" applyFont="1" applyBorder="1" applyAlignment="1">
      <alignment vertical="center" wrapText="1"/>
    </xf>
    <xf numFmtId="3" fontId="5" fillId="18" borderId="73" xfId="0" applyNumberFormat="1" applyFont="1" applyFill="1" applyBorder="1" applyAlignment="1">
      <alignment vertical="center" wrapText="1"/>
    </xf>
    <xf numFmtId="3" fontId="5" fillId="15" borderId="73" xfId="0" applyNumberFormat="1" applyFont="1" applyFill="1" applyBorder="1" applyAlignment="1">
      <alignment vertical="center" wrapText="1"/>
    </xf>
    <xf numFmtId="40" fontId="21" fillId="4" borderId="73" xfId="1" applyNumberFormat="1" applyFont="1" applyFill="1" applyBorder="1" applyAlignment="1">
      <alignment vertical="center" wrapText="1"/>
    </xf>
    <xf numFmtId="3" fontId="21" fillId="15" borderId="73" xfId="0" applyNumberFormat="1" applyFont="1" applyFill="1" applyBorder="1" applyAlignment="1">
      <alignment vertical="top" wrapText="1"/>
    </xf>
    <xf numFmtId="3" fontId="21" fillId="0" borderId="73" xfId="0" applyNumberFormat="1" applyFont="1" applyBorder="1" applyAlignment="1">
      <alignment vertical="top" wrapText="1"/>
    </xf>
    <xf numFmtId="0" fontId="5" fillId="3" borderId="73" xfId="0" applyFont="1" applyFill="1" applyBorder="1" applyAlignment="1">
      <alignment horizontal="left" vertical="top"/>
    </xf>
    <xf numFmtId="3" fontId="5" fillId="3" borderId="73" xfId="0" applyNumberFormat="1" applyFont="1" applyFill="1" applyBorder="1" applyAlignment="1">
      <alignment horizontal="center" vertical="center"/>
    </xf>
    <xf numFmtId="3" fontId="15" fillId="20" borderId="73" xfId="0" applyNumberFormat="1" applyFont="1" applyFill="1" applyBorder="1" applyAlignment="1">
      <alignment horizontal="center" vertical="center"/>
    </xf>
    <xf numFmtId="0" fontId="5" fillId="17" borderId="141" xfId="0" applyFont="1" applyFill="1" applyBorder="1" applyAlignment="1">
      <alignment horizontal="center" vertical="center"/>
    </xf>
    <xf numFmtId="0" fontId="5" fillId="17" borderId="142" xfId="0" applyFont="1" applyFill="1" applyBorder="1" applyAlignment="1">
      <alignment horizontal="center" vertical="center"/>
    </xf>
    <xf numFmtId="0" fontId="5" fillId="17" borderId="143" xfId="0" applyFont="1" applyFill="1" applyBorder="1" applyAlignment="1">
      <alignment horizontal="center" vertical="top" wrapText="1"/>
    </xf>
    <xf numFmtId="40" fontId="24" fillId="39" borderId="37" xfId="1" applyNumberFormat="1" applyFont="1" applyFill="1" applyBorder="1" applyAlignment="1">
      <alignment horizontal="right" vertical="center" wrapText="1"/>
    </xf>
    <xf numFmtId="40" fontId="21" fillId="5" borderId="37" xfId="1" applyNumberFormat="1" applyFont="1" applyFill="1" applyBorder="1" applyAlignment="1">
      <alignment vertical="center" wrapText="1"/>
    </xf>
    <xf numFmtId="3" fontId="21" fillId="0" borderId="37" xfId="0" applyNumberFormat="1" applyFont="1" applyBorder="1" applyAlignment="1">
      <alignment horizontal="right" vertical="center" wrapText="1"/>
    </xf>
    <xf numFmtId="0" fontId="15" fillId="14" borderId="84" xfId="0" applyFont="1" applyFill="1" applyBorder="1">
      <alignment vertical="center"/>
    </xf>
    <xf numFmtId="40" fontId="26" fillId="14" borderId="84" xfId="1" applyNumberFormat="1" applyFont="1" applyFill="1" applyBorder="1" applyAlignment="1">
      <alignment horizontal="right" vertical="center"/>
    </xf>
    <xf numFmtId="0" fontId="26" fillId="14" borderId="84" xfId="0" applyFont="1" applyFill="1" applyBorder="1" applyAlignment="1">
      <alignment horizontal="right" vertical="center"/>
    </xf>
    <xf numFmtId="0" fontId="15" fillId="14" borderId="84" xfId="0" applyFont="1" applyFill="1" applyBorder="1" applyAlignment="1">
      <alignment horizontal="right" vertical="center"/>
    </xf>
    <xf numFmtId="0" fontId="19" fillId="14" borderId="84" xfId="0" applyFont="1" applyFill="1" applyBorder="1">
      <alignment vertical="center"/>
    </xf>
    <xf numFmtId="0" fontId="5" fillId="3" borderId="144" xfId="0" applyFont="1" applyFill="1" applyBorder="1" applyAlignment="1">
      <alignment horizontal="center" vertical="top"/>
    </xf>
    <xf numFmtId="177" fontId="5" fillId="15" borderId="52" xfId="0" quotePrefix="1" applyNumberFormat="1" applyFont="1" applyFill="1" applyBorder="1" applyAlignment="1">
      <alignment vertical="top"/>
    </xf>
    <xf numFmtId="177" fontId="5" fillId="15" borderId="82" xfId="0" quotePrefix="1" applyNumberFormat="1" applyFont="1" applyFill="1" applyBorder="1" applyAlignment="1">
      <alignment vertical="top"/>
    </xf>
    <xf numFmtId="3" fontId="5" fillId="3" borderId="145" xfId="0" applyNumberFormat="1" applyFont="1" applyFill="1" applyBorder="1" applyAlignment="1">
      <alignment horizontal="center" vertical="center"/>
    </xf>
    <xf numFmtId="3" fontId="5" fillId="0" borderId="54" xfId="0" applyNumberFormat="1" applyFont="1" applyBorder="1" applyAlignment="1">
      <alignment vertical="center" wrapText="1"/>
    </xf>
    <xf numFmtId="3" fontId="5" fillId="3" borderId="118" xfId="0" applyNumberFormat="1" applyFont="1" applyFill="1" applyBorder="1" applyAlignment="1">
      <alignment horizontal="center" vertical="center"/>
    </xf>
    <xf numFmtId="3" fontId="5" fillId="4" borderId="118" xfId="0" applyNumberFormat="1" applyFont="1" applyFill="1" applyBorder="1">
      <alignment vertical="center"/>
    </xf>
    <xf numFmtId="0" fontId="5" fillId="17" borderId="146" xfId="0" applyFont="1" applyFill="1" applyBorder="1" applyAlignment="1">
      <alignment horizontal="center" vertical="top"/>
    </xf>
    <xf numFmtId="0" fontId="5" fillId="17" borderId="146" xfId="0" applyFont="1" applyFill="1" applyBorder="1" applyAlignment="1">
      <alignment horizontal="center" vertical="center"/>
    </xf>
    <xf numFmtId="0" fontId="5" fillId="17" borderId="147" xfId="0" applyFont="1" applyFill="1" applyBorder="1" applyAlignment="1">
      <alignment horizontal="center" vertical="top" wrapText="1"/>
    </xf>
    <xf numFmtId="0" fontId="19" fillId="11" borderId="30" xfId="0" applyFont="1" applyFill="1" applyBorder="1" applyAlignment="1">
      <alignment horizontal="left" vertical="center"/>
    </xf>
    <xf numFmtId="0" fontId="15" fillId="11" borderId="28" xfId="0" applyFont="1" applyFill="1" applyBorder="1" applyAlignment="1">
      <alignment horizontal="left" vertical="center"/>
    </xf>
    <xf numFmtId="0" fontId="15" fillId="12" borderId="28" xfId="0" applyFont="1" applyFill="1" applyBorder="1" applyAlignment="1">
      <alignment horizontal="center" vertical="center"/>
    </xf>
    <xf numFmtId="40" fontId="26" fillId="11" borderId="28" xfId="1" applyNumberFormat="1" applyFont="1" applyFill="1" applyBorder="1" applyAlignment="1">
      <alignment horizontal="left" vertical="top"/>
    </xf>
    <xf numFmtId="0" fontId="26" fillId="11" borderId="28" xfId="0" applyFont="1" applyFill="1" applyBorder="1" applyAlignment="1">
      <alignment horizontal="left" vertical="top"/>
    </xf>
    <xf numFmtId="0" fontId="15" fillId="11" borderId="28" xfId="0" applyFont="1" applyFill="1" applyBorder="1" applyAlignment="1">
      <alignment horizontal="left" vertical="top"/>
    </xf>
    <xf numFmtId="0" fontId="15" fillId="12" borderId="28" xfId="0" applyFont="1" applyFill="1" applyBorder="1" applyAlignment="1">
      <alignment horizontal="left" vertical="top" wrapText="1"/>
    </xf>
    <xf numFmtId="0" fontId="13" fillId="13" borderId="28" xfId="2" applyFont="1" applyFill="1" applyBorder="1" applyAlignment="1">
      <alignment horizontal="center" vertical="top" wrapText="1"/>
    </xf>
    <xf numFmtId="0" fontId="13" fillId="13" borderId="29" xfId="2" applyFont="1" applyFill="1" applyBorder="1" applyAlignment="1">
      <alignment horizontal="center" vertical="top" wrapText="1"/>
    </xf>
    <xf numFmtId="0" fontId="5" fillId="3" borderId="127" xfId="0" quotePrefix="1" applyFont="1" applyFill="1" applyBorder="1" applyAlignment="1">
      <alignment horizontal="left" vertical="top"/>
    </xf>
    <xf numFmtId="0" fontId="5" fillId="3" borderId="127" xfId="0" applyFont="1" applyFill="1" applyBorder="1" applyAlignment="1">
      <alignment horizontal="left" vertical="top"/>
    </xf>
    <xf numFmtId="0" fontId="21" fillId="0" borderId="74" xfId="0" applyFont="1" applyBorder="1" applyAlignment="1">
      <alignment vertical="top" wrapText="1"/>
    </xf>
    <xf numFmtId="38" fontId="21" fillId="0" borderId="78" xfId="0" quotePrefix="1" applyNumberFormat="1" applyFont="1" applyBorder="1" applyAlignment="1">
      <alignment vertical="top" wrapText="1"/>
    </xf>
    <xf numFmtId="38" fontId="21" fillId="0" borderId="37" xfId="0" quotePrefix="1" applyNumberFormat="1" applyFont="1" applyBorder="1" applyAlignment="1">
      <alignment vertical="top" wrapText="1"/>
    </xf>
    <xf numFmtId="178" fontId="21" fillId="0" borderId="78" xfId="0" quotePrefix="1" applyNumberFormat="1" applyFont="1" applyBorder="1" applyAlignment="1">
      <alignment vertical="top" wrapText="1"/>
    </xf>
    <xf numFmtId="4" fontId="21" fillId="0" borderId="38" xfId="0" applyNumberFormat="1" applyFont="1" applyBorder="1" applyAlignment="1">
      <alignment vertical="top" wrapText="1"/>
    </xf>
    <xf numFmtId="185" fontId="26" fillId="0" borderId="38" xfId="0" applyNumberFormat="1" applyFont="1" applyBorder="1" applyAlignment="1">
      <alignment horizontal="right" vertical="top" wrapText="1"/>
    </xf>
    <xf numFmtId="185" fontId="26" fillId="0" borderId="37" xfId="0" applyNumberFormat="1" applyFont="1" applyBorder="1" applyAlignment="1">
      <alignment horizontal="right" vertical="top" wrapText="1"/>
    </xf>
    <xf numFmtId="178" fontId="21" fillId="0" borderId="78" xfId="0" applyNumberFormat="1" applyFont="1" applyBorder="1" applyAlignment="1">
      <alignment horizontal="right" vertical="top" wrapText="1"/>
    </xf>
    <xf numFmtId="178" fontId="26" fillId="0" borderId="38" xfId="0" applyNumberFormat="1" applyFont="1" applyBorder="1" applyAlignment="1">
      <alignment horizontal="right" vertical="top" wrapText="1"/>
    </xf>
    <xf numFmtId="185" fontId="21" fillId="0" borderId="38" xfId="0" applyNumberFormat="1" applyFont="1" applyBorder="1" applyAlignment="1">
      <alignment vertical="top" wrapText="1"/>
    </xf>
    <xf numFmtId="183" fontId="21" fillId="0" borderId="38" xfId="0" applyNumberFormat="1" applyFont="1" applyBorder="1" applyAlignment="1">
      <alignment vertical="top" wrapText="1"/>
    </xf>
    <xf numFmtId="180" fontId="21" fillId="0" borderId="78" xfId="0" quotePrefix="1" applyNumberFormat="1" applyFont="1" applyBorder="1" applyAlignment="1">
      <alignment vertical="top" wrapText="1"/>
    </xf>
    <xf numFmtId="3" fontId="21" fillId="0" borderId="78" xfId="0" applyNumberFormat="1" applyFont="1" applyBorder="1" applyAlignment="1">
      <alignment vertical="center" wrapText="1"/>
    </xf>
    <xf numFmtId="3" fontId="21" fillId="0" borderId="45" xfId="0" applyNumberFormat="1" applyFont="1" applyBorder="1" applyAlignment="1">
      <alignment vertical="center" wrapText="1"/>
    </xf>
    <xf numFmtId="182" fontId="21" fillId="0" borderId="38" xfId="0" applyNumberFormat="1" applyFont="1" applyBorder="1" applyAlignment="1">
      <alignment vertical="top" wrapText="1"/>
    </xf>
    <xf numFmtId="3" fontId="24" fillId="0" borderId="37" xfId="0" applyNumberFormat="1" applyFont="1" applyBorder="1" applyAlignment="1">
      <alignment horizontal="right" vertical="top" wrapText="1"/>
    </xf>
    <xf numFmtId="3" fontId="26" fillId="0" borderId="38" xfId="0" quotePrefix="1" applyNumberFormat="1" applyFont="1" applyBorder="1" applyAlignment="1">
      <alignment horizontal="right" vertical="top" wrapText="1"/>
    </xf>
    <xf numFmtId="180" fontId="24" fillId="0" borderId="37" xfId="0" quotePrefix="1" applyNumberFormat="1" applyFont="1" applyBorder="1" applyAlignment="1">
      <alignment horizontal="right" vertical="top" wrapText="1"/>
    </xf>
    <xf numFmtId="3" fontId="26" fillId="0" borderId="38" xfId="0" applyNumberFormat="1" applyFont="1" applyBorder="1" applyAlignment="1">
      <alignment vertical="center" wrapText="1"/>
    </xf>
    <xf numFmtId="180" fontId="24" fillId="0" borderId="38" xfId="0" applyNumberFormat="1" applyFont="1" applyBorder="1" applyAlignment="1">
      <alignment horizontal="right" vertical="top" wrapText="1"/>
    </xf>
    <xf numFmtId="3" fontId="21" fillId="0" borderId="38" xfId="0" quotePrefix="1" applyNumberFormat="1" applyFont="1" applyBorder="1" applyAlignment="1">
      <alignment horizontal="right" vertical="top" wrapText="1"/>
    </xf>
    <xf numFmtId="180" fontId="21" fillId="0" borderId="38" xfId="0" applyNumberFormat="1" applyFont="1" applyBorder="1" applyAlignment="1">
      <alignment horizontal="right" vertical="top" wrapText="1"/>
    </xf>
    <xf numFmtId="4" fontId="24" fillId="0" borderId="38" xfId="0" applyNumberFormat="1" applyFont="1" applyBorder="1" applyAlignment="1">
      <alignment horizontal="right" vertical="center" wrapText="1"/>
    </xf>
    <xf numFmtId="3" fontId="26" fillId="0" borderId="78" xfId="0" applyNumberFormat="1" applyFont="1" applyBorder="1" applyAlignment="1">
      <alignment vertical="top" wrapText="1"/>
    </xf>
    <xf numFmtId="3" fontId="21" fillId="0" borderId="54" xfId="0" applyNumberFormat="1" applyFont="1" applyBorder="1" applyAlignment="1">
      <alignment vertical="top" wrapText="1"/>
    </xf>
    <xf numFmtId="3" fontId="26" fillId="0" borderId="38" xfId="0" applyNumberFormat="1" applyFont="1" applyBorder="1" applyAlignment="1">
      <alignment vertical="top" wrapText="1"/>
    </xf>
    <xf numFmtId="180" fontId="21" fillId="0" borderId="38" xfId="0" applyNumberFormat="1" applyFont="1" applyBorder="1" applyAlignment="1">
      <alignment vertical="top" wrapText="1"/>
    </xf>
    <xf numFmtId="0" fontId="24" fillId="0" borderId="38" xfId="0" applyFont="1" applyBorder="1" applyAlignment="1">
      <alignment horizontal="right" vertical="top" wrapText="1"/>
    </xf>
    <xf numFmtId="3" fontId="24" fillId="0" borderId="38" xfId="0" applyNumberFormat="1" applyFont="1" applyBorder="1" applyAlignment="1">
      <alignment horizontal="right" vertical="top" wrapText="1"/>
    </xf>
    <xf numFmtId="40" fontId="21" fillId="4" borderId="78" xfId="1" quotePrefix="1" applyNumberFormat="1" applyFont="1" applyFill="1" applyBorder="1" applyAlignment="1">
      <alignment horizontal="right" vertical="center" wrapText="1"/>
    </xf>
    <xf numFmtId="0" fontId="5" fillId="4" borderId="80" xfId="0" applyFont="1" applyFill="1" applyBorder="1">
      <alignment vertical="center"/>
    </xf>
    <xf numFmtId="0" fontId="16" fillId="7" borderId="15" xfId="0" applyFont="1" applyFill="1" applyBorder="1" applyAlignment="1">
      <alignment vertical="center" wrapText="1"/>
    </xf>
    <xf numFmtId="0" fontId="16" fillId="7" borderId="148" xfId="0" applyFont="1" applyFill="1" applyBorder="1" applyAlignment="1">
      <alignment vertical="top" wrapText="1"/>
    </xf>
    <xf numFmtId="0" fontId="16" fillId="7" borderId="148" xfId="0" quotePrefix="1" applyFont="1" applyFill="1" applyBorder="1" applyAlignment="1">
      <alignment vertical="top" wrapText="1"/>
    </xf>
    <xf numFmtId="0" fontId="16" fillId="7" borderId="23" xfId="0" applyFont="1" applyFill="1" applyBorder="1" applyAlignment="1">
      <alignment horizontal="center" vertical="center" wrapText="1"/>
    </xf>
    <xf numFmtId="0" fontId="16" fillId="7" borderId="149" xfId="0" applyFont="1" applyFill="1" applyBorder="1" applyAlignment="1">
      <alignment horizontal="center" vertical="top" wrapText="1"/>
    </xf>
    <xf numFmtId="0" fontId="16" fillId="7" borderId="149" xfId="0" quotePrefix="1" applyFont="1" applyFill="1" applyBorder="1" applyAlignment="1">
      <alignment horizontal="center" vertical="top" wrapText="1"/>
    </xf>
    <xf numFmtId="0" fontId="10" fillId="0" borderId="150" xfId="0" quotePrefix="1" applyFont="1" applyBorder="1">
      <alignment vertical="center"/>
    </xf>
    <xf numFmtId="0" fontId="13" fillId="0" borderId="151" xfId="0" quotePrefix="1" applyFont="1" applyBorder="1">
      <alignment vertical="center"/>
    </xf>
    <xf numFmtId="0" fontId="13" fillId="0" borderId="152" xfId="0" quotePrefix="1" applyFont="1" applyBorder="1">
      <alignment vertical="center"/>
    </xf>
    <xf numFmtId="38" fontId="26" fillId="14" borderId="28" xfId="1" applyNumberFormat="1" applyFont="1" applyFill="1" applyBorder="1" applyAlignment="1">
      <alignment horizontal="right" vertical="center" wrapText="1"/>
    </xf>
    <xf numFmtId="38" fontId="26" fillId="14" borderId="28" xfId="0" applyNumberFormat="1" applyFont="1" applyFill="1" applyBorder="1" applyAlignment="1">
      <alignment horizontal="right" vertical="top" wrapText="1"/>
    </xf>
    <xf numFmtId="38" fontId="26" fillId="14" borderId="28" xfId="1" applyNumberFormat="1" applyFont="1" applyFill="1" applyBorder="1" applyAlignment="1">
      <alignment horizontal="left" vertical="center" wrapText="1"/>
    </xf>
    <xf numFmtId="38" fontId="26" fillId="14" borderId="28" xfId="0" applyNumberFormat="1" applyFont="1" applyFill="1" applyBorder="1" applyAlignment="1">
      <alignment horizontal="left" vertical="top" wrapText="1"/>
    </xf>
    <xf numFmtId="38" fontId="26" fillId="14" borderId="28" xfId="1" applyNumberFormat="1" applyFont="1" applyFill="1" applyBorder="1" applyAlignment="1">
      <alignment horizontal="right" vertical="center"/>
    </xf>
    <xf numFmtId="38" fontId="26" fillId="14" borderId="28" xfId="0" applyNumberFormat="1" applyFont="1" applyFill="1" applyBorder="1" applyAlignment="1">
      <alignment horizontal="right" vertical="center"/>
    </xf>
    <xf numFmtId="0" fontId="19" fillId="14" borderId="153" xfId="0" applyFont="1" applyFill="1" applyBorder="1">
      <alignment vertical="center"/>
    </xf>
    <xf numFmtId="0" fontId="19" fillId="14" borderId="27" xfId="0" applyFont="1" applyFill="1" applyBorder="1">
      <alignment vertical="center"/>
    </xf>
    <xf numFmtId="40" fontId="21" fillId="18" borderId="38" xfId="1" applyNumberFormat="1" applyFont="1" applyFill="1" applyBorder="1" applyAlignment="1">
      <alignment horizontal="center" vertical="center" wrapText="1"/>
    </xf>
    <xf numFmtId="40" fontId="21" fillId="33" borderId="38" xfId="1" applyNumberFormat="1" applyFont="1" applyFill="1" applyBorder="1" applyAlignment="1">
      <alignment horizontal="center" vertical="center" wrapText="1"/>
    </xf>
    <xf numFmtId="40" fontId="21" fillId="34" borderId="74" xfId="1" applyNumberFormat="1" applyFont="1" applyFill="1" applyBorder="1" applyAlignment="1">
      <alignment horizontal="center" vertical="center" wrapText="1"/>
    </xf>
    <xf numFmtId="3" fontId="43" fillId="3" borderId="38" xfId="0" applyNumberFormat="1" applyFont="1" applyFill="1" applyBorder="1" applyAlignment="1">
      <alignment horizontal="center" vertical="center"/>
    </xf>
    <xf numFmtId="3" fontId="44" fillId="21" borderId="38" xfId="0" applyNumberFormat="1" applyFont="1" applyFill="1" applyBorder="1" applyAlignment="1">
      <alignment horizontal="center" vertical="center"/>
    </xf>
    <xf numFmtId="3" fontId="45" fillId="21" borderId="38" xfId="0" applyNumberFormat="1" applyFont="1" applyFill="1" applyBorder="1" applyAlignment="1">
      <alignment horizontal="center" vertical="center"/>
    </xf>
    <xf numFmtId="0" fontId="5" fillId="0" borderId="4" xfId="0" applyFont="1" applyBorder="1" applyAlignment="1">
      <alignment horizontal="center" vertical="center"/>
    </xf>
    <xf numFmtId="0" fontId="5" fillId="0" borderId="0" xfId="0" applyFont="1" applyAlignment="1">
      <alignment vertical="top" wrapText="1"/>
    </xf>
    <xf numFmtId="0" fontId="5" fillId="0" borderId="1" xfId="0" applyFont="1" applyBorder="1" applyAlignment="1">
      <alignment vertical="center" wrapText="1"/>
    </xf>
    <xf numFmtId="0" fontId="5" fillId="0" borderId="2" xfId="0" applyFont="1" applyBorder="1" applyAlignment="1">
      <alignment vertical="center" wrapText="1"/>
    </xf>
    <xf numFmtId="0" fontId="5" fillId="0" borderId="64" xfId="0" applyFont="1" applyBorder="1" applyAlignment="1">
      <alignment vertical="center" wrapText="1"/>
    </xf>
    <xf numFmtId="0" fontId="5" fillId="0" borderId="3" xfId="0" applyFont="1" applyBorder="1" applyAlignment="1">
      <alignment vertical="center" wrapText="1"/>
    </xf>
    <xf numFmtId="0" fontId="11" fillId="3" borderId="154" xfId="0" applyFont="1" applyFill="1" applyBorder="1" applyAlignment="1">
      <alignment horizontal="center" vertical="center"/>
    </xf>
    <xf numFmtId="0" fontId="5" fillId="0" borderId="155" xfId="0" applyFont="1" applyBorder="1" applyAlignment="1">
      <alignment vertical="center" wrapText="1"/>
    </xf>
    <xf numFmtId="0" fontId="5" fillId="0" borderId="4" xfId="0" applyFont="1" applyBorder="1" applyAlignment="1">
      <alignment vertical="center" wrapText="1"/>
    </xf>
    <xf numFmtId="0" fontId="20" fillId="0" borderId="0" xfId="0" applyFont="1" applyAlignment="1">
      <alignment horizontal="left" vertical="center"/>
    </xf>
    <xf numFmtId="0" fontId="10" fillId="10" borderId="24" xfId="2" applyFont="1" applyFill="1" applyBorder="1" applyAlignment="1">
      <alignment horizontal="center" vertical="top" wrapText="1"/>
    </xf>
    <xf numFmtId="0" fontId="15" fillId="12" borderId="0" xfId="0" applyFont="1" applyFill="1" applyAlignment="1">
      <alignment horizontal="center" vertical="top" wrapText="1"/>
    </xf>
    <xf numFmtId="0" fontId="15" fillId="14" borderId="28" xfId="0" applyFont="1" applyFill="1" applyBorder="1" applyAlignment="1">
      <alignment horizontal="left" vertical="top" wrapText="1"/>
    </xf>
    <xf numFmtId="3" fontId="5" fillId="16" borderId="38" xfId="0" applyNumberFormat="1" applyFont="1" applyFill="1" applyBorder="1" applyAlignment="1">
      <alignment vertical="top" wrapText="1"/>
    </xf>
    <xf numFmtId="3" fontId="13" fillId="16" borderId="38" xfId="0" applyNumberFormat="1" applyFont="1" applyFill="1" applyBorder="1" applyAlignment="1">
      <alignment vertical="center" wrapText="1"/>
    </xf>
    <xf numFmtId="3" fontId="15" fillId="14" borderId="28" xfId="0" applyNumberFormat="1" applyFont="1" applyFill="1" applyBorder="1" applyAlignment="1">
      <alignment vertical="center" wrapText="1"/>
    </xf>
    <xf numFmtId="0" fontId="15" fillId="14" borderId="28" xfId="0" applyFont="1" applyFill="1" applyBorder="1" applyAlignment="1">
      <alignment vertical="center" wrapText="1"/>
    </xf>
    <xf numFmtId="0" fontId="15" fillId="14" borderId="28" xfId="0" applyFont="1" applyFill="1" applyBorder="1" applyAlignment="1">
      <alignment vertical="top" wrapText="1"/>
    </xf>
    <xf numFmtId="177" fontId="5" fillId="15" borderId="36" xfId="0" quotePrefix="1" applyNumberFormat="1" applyFont="1" applyFill="1" applyBorder="1">
      <alignment vertical="center"/>
    </xf>
    <xf numFmtId="3" fontId="5" fillId="18" borderId="38" xfId="0" quotePrefix="1" applyNumberFormat="1" applyFont="1" applyFill="1" applyBorder="1" applyAlignment="1">
      <alignment horizontal="right" vertical="center" wrapText="1"/>
    </xf>
    <xf numFmtId="0" fontId="5" fillId="3" borderId="45" xfId="0" applyFont="1" applyFill="1" applyBorder="1" applyAlignment="1">
      <alignment horizontal="center" vertical="center"/>
    </xf>
    <xf numFmtId="177" fontId="5" fillId="15" borderId="45" xfId="0" quotePrefix="1" applyNumberFormat="1" applyFont="1" applyFill="1" applyBorder="1" applyAlignment="1">
      <alignment horizontal="center" vertical="center"/>
    </xf>
    <xf numFmtId="0" fontId="5" fillId="3" borderId="57" xfId="0" applyFont="1" applyFill="1" applyBorder="1" applyAlignment="1">
      <alignment horizontal="center" vertical="center"/>
    </xf>
    <xf numFmtId="3" fontId="5" fillId="15" borderId="45" xfId="0" quotePrefix="1" applyNumberFormat="1" applyFont="1" applyFill="1" applyBorder="1" applyAlignment="1">
      <alignment horizontal="center" vertical="center"/>
    </xf>
    <xf numFmtId="3" fontId="5" fillId="0" borderId="38" xfId="0" applyNumberFormat="1" applyFont="1" applyBorder="1">
      <alignment vertical="center"/>
    </xf>
    <xf numFmtId="0" fontId="19" fillId="11" borderId="169" xfId="0" applyFont="1" applyFill="1" applyBorder="1" applyAlignment="1">
      <alignment horizontal="left" vertical="center"/>
    </xf>
    <xf numFmtId="3" fontId="15" fillId="12" borderId="92" xfId="0" applyNumberFormat="1" applyFont="1" applyFill="1" applyBorder="1" applyAlignment="1">
      <alignment vertical="center" wrapText="1"/>
    </xf>
    <xf numFmtId="0" fontId="15" fillId="12" borderId="92" xfId="0" applyFont="1" applyFill="1" applyBorder="1" applyAlignment="1">
      <alignment vertical="center" wrapText="1"/>
    </xf>
    <xf numFmtId="0" fontId="15" fillId="12" borderId="92" xfId="0" applyFont="1" applyFill="1" applyBorder="1" applyAlignment="1">
      <alignment vertical="top" wrapText="1"/>
    </xf>
    <xf numFmtId="0" fontId="10" fillId="12" borderId="92" xfId="0" applyFont="1" applyFill="1" applyBorder="1" applyAlignment="1">
      <alignment horizontal="center" vertical="center"/>
    </xf>
    <xf numFmtId="0" fontId="5" fillId="3" borderId="170" xfId="0" applyFont="1" applyFill="1" applyBorder="1" applyAlignment="1">
      <alignment vertical="top"/>
    </xf>
    <xf numFmtId="3" fontId="5" fillId="3" borderId="78" xfId="0" quotePrefix="1" applyNumberFormat="1" applyFont="1" applyFill="1" applyBorder="1" applyAlignment="1">
      <alignment vertical="center" wrapText="1"/>
    </xf>
    <xf numFmtId="3" fontId="5" fillId="4" borderId="78" xfId="0" quotePrefix="1" applyNumberFormat="1" applyFont="1" applyFill="1" applyBorder="1" applyAlignment="1">
      <alignment vertical="center" wrapText="1"/>
    </xf>
    <xf numFmtId="180" fontId="5" fillId="3" borderId="78" xfId="0" quotePrefix="1" applyNumberFormat="1" applyFont="1" applyFill="1" applyBorder="1" applyAlignment="1">
      <alignment vertical="center" wrapText="1"/>
    </xf>
    <xf numFmtId="180" fontId="5" fillId="0" borderId="37" xfId="0" quotePrefix="1" applyNumberFormat="1" applyFont="1" applyBorder="1" applyAlignment="1">
      <alignment vertical="top" wrapText="1"/>
    </xf>
    <xf numFmtId="3" fontId="5" fillId="3" borderId="38" xfId="0" applyNumberFormat="1" applyFont="1" applyFill="1" applyBorder="1" applyAlignment="1">
      <alignment horizontal="center" vertical="center" wrapText="1"/>
    </xf>
    <xf numFmtId="0" fontId="5" fillId="3" borderId="0" xfId="0" applyFont="1" applyFill="1" applyAlignment="1">
      <alignment horizontal="center" vertical="center" wrapText="1"/>
    </xf>
    <xf numFmtId="0" fontId="5" fillId="3" borderId="170" xfId="0" applyFont="1" applyFill="1" applyBorder="1" applyAlignment="1">
      <alignment vertical="top" wrapText="1"/>
    </xf>
    <xf numFmtId="3" fontId="20" fillId="15" borderId="38" xfId="0" quotePrefix="1" applyNumberFormat="1" applyFont="1" applyFill="1" applyBorder="1" applyAlignment="1">
      <alignment vertical="center" wrapText="1"/>
    </xf>
    <xf numFmtId="0" fontId="5" fillId="4" borderId="38" xfId="0" applyFont="1" applyFill="1" applyBorder="1" applyAlignment="1">
      <alignment vertical="center" wrapText="1"/>
    </xf>
    <xf numFmtId="180" fontId="5" fillId="3" borderId="38" xfId="0" applyNumberFormat="1" applyFont="1" applyFill="1" applyBorder="1" applyAlignment="1">
      <alignment vertical="top" wrapText="1"/>
    </xf>
    <xf numFmtId="177" fontId="5" fillId="15" borderId="172" xfId="0" quotePrefix="1" applyNumberFormat="1" applyFont="1" applyFill="1" applyBorder="1">
      <alignment vertical="center"/>
    </xf>
    <xf numFmtId="3" fontId="5" fillId="5" borderId="38" xfId="0" applyNumberFormat="1" applyFont="1" applyFill="1" applyBorder="1" applyAlignment="1">
      <alignment vertical="top" wrapText="1"/>
    </xf>
    <xf numFmtId="3" fontId="5" fillId="3" borderId="38" xfId="0" applyNumberFormat="1" applyFont="1" applyFill="1" applyBorder="1" applyAlignment="1">
      <alignment horizontal="left" vertical="top" wrapText="1"/>
    </xf>
    <xf numFmtId="0" fontId="5" fillId="3" borderId="172" xfId="0" applyFont="1" applyFill="1" applyBorder="1" applyAlignment="1">
      <alignment vertical="top" wrapText="1"/>
    </xf>
    <xf numFmtId="0" fontId="5" fillId="3" borderId="178" xfId="0" applyFont="1" applyFill="1" applyBorder="1" applyAlignment="1">
      <alignment vertical="top" wrapText="1"/>
    </xf>
    <xf numFmtId="3" fontId="20" fillId="5" borderId="78" xfId="0" applyNumberFormat="1" applyFont="1" applyFill="1" applyBorder="1" applyAlignment="1">
      <alignment vertical="top" wrapText="1"/>
    </xf>
    <xf numFmtId="3" fontId="20" fillId="3" borderId="37" xfId="0" applyNumberFormat="1" applyFont="1" applyFill="1" applyBorder="1" applyAlignment="1">
      <alignment vertical="center" wrapText="1"/>
    </xf>
    <xf numFmtId="3" fontId="21" fillId="3" borderId="37" xfId="0" applyNumberFormat="1" applyFont="1" applyFill="1" applyBorder="1" applyAlignment="1">
      <alignment vertical="center" wrapText="1"/>
    </xf>
    <xf numFmtId="180" fontId="5" fillId="3" borderId="37" xfId="0" quotePrefix="1" applyNumberFormat="1" applyFont="1" applyFill="1" applyBorder="1" applyAlignment="1">
      <alignment vertical="center" wrapText="1"/>
    </xf>
    <xf numFmtId="180" fontId="5" fillId="3" borderId="37" xfId="0" quotePrefix="1" applyNumberFormat="1" applyFont="1" applyFill="1" applyBorder="1" applyAlignment="1">
      <alignment vertical="top" wrapText="1"/>
    </xf>
    <xf numFmtId="180" fontId="5" fillId="15" borderId="37" xfId="0" quotePrefix="1" applyNumberFormat="1" applyFont="1" applyFill="1" applyBorder="1" applyAlignment="1">
      <alignment vertical="top" wrapText="1"/>
    </xf>
    <xf numFmtId="0" fontId="5" fillId="3" borderId="180" xfId="0" applyFont="1" applyFill="1" applyBorder="1" applyAlignment="1">
      <alignment vertical="top" wrapText="1"/>
    </xf>
    <xf numFmtId="0" fontId="5" fillId="3" borderId="181" xfId="0" applyFont="1" applyFill="1" applyBorder="1" applyAlignment="1">
      <alignment vertical="top" wrapText="1"/>
    </xf>
    <xf numFmtId="3" fontId="5" fillId="3" borderId="54" xfId="0" applyNumberFormat="1" applyFont="1" applyFill="1" applyBorder="1" applyAlignment="1">
      <alignment vertical="top" wrapText="1"/>
    </xf>
    <xf numFmtId="180" fontId="5" fillId="3" borderId="54" xfId="0" applyNumberFormat="1" applyFont="1" applyFill="1" applyBorder="1" applyAlignment="1">
      <alignment vertical="center" wrapText="1"/>
    </xf>
    <xf numFmtId="3" fontId="20" fillId="5" borderId="38" xfId="0" applyNumberFormat="1" applyFont="1" applyFill="1" applyBorder="1" applyAlignment="1">
      <alignment vertical="top" wrapText="1"/>
    </xf>
    <xf numFmtId="0" fontId="5" fillId="0" borderId="181" xfId="0" applyFont="1" applyBorder="1" applyAlignment="1">
      <alignment vertical="top"/>
    </xf>
    <xf numFmtId="177" fontId="5" fillId="15" borderId="175" xfId="0" quotePrefix="1" applyNumberFormat="1" applyFont="1" applyFill="1" applyBorder="1" applyAlignment="1">
      <alignment vertical="top"/>
    </xf>
    <xf numFmtId="0" fontId="5" fillId="0" borderId="45" xfId="0" applyFont="1" applyBorder="1">
      <alignment vertical="center"/>
    </xf>
    <xf numFmtId="3" fontId="20" fillId="28" borderId="38" xfId="0" quotePrefix="1" applyNumberFormat="1" applyFont="1" applyFill="1" applyBorder="1" applyAlignment="1">
      <alignment vertical="center" wrapText="1"/>
    </xf>
    <xf numFmtId="3" fontId="21" fillId="0" borderId="38" xfId="0" quotePrefix="1" applyNumberFormat="1" applyFont="1" applyBorder="1" applyAlignment="1">
      <alignment vertical="center" wrapText="1"/>
    </xf>
    <xf numFmtId="3" fontId="21" fillId="28" borderId="38" xfId="0" quotePrefix="1" applyNumberFormat="1" applyFont="1" applyFill="1" applyBorder="1" applyAlignment="1">
      <alignment vertical="center" wrapText="1"/>
    </xf>
    <xf numFmtId="180" fontId="5" fillId="5" borderId="38" xfId="0" applyNumberFormat="1" applyFont="1" applyFill="1" applyBorder="1" applyAlignment="1">
      <alignment vertical="top" wrapText="1"/>
    </xf>
    <xf numFmtId="3" fontId="21" fillId="3" borderId="38" xfId="0" quotePrefix="1" applyNumberFormat="1" applyFont="1" applyFill="1" applyBorder="1" applyAlignment="1">
      <alignment vertical="center" wrapText="1"/>
    </xf>
    <xf numFmtId="3" fontId="26" fillId="15" borderId="38" xfId="0" quotePrefix="1" applyNumberFormat="1" applyFont="1" applyFill="1" applyBorder="1" applyAlignment="1">
      <alignment vertical="center" wrapText="1"/>
    </xf>
    <xf numFmtId="180" fontId="5" fillId="0" borderId="38" xfId="0" applyNumberFormat="1" applyFont="1" applyBorder="1" applyAlignment="1">
      <alignment vertical="top" wrapText="1"/>
    </xf>
    <xf numFmtId="3" fontId="20" fillId="0" borderId="38" xfId="0" quotePrefix="1" applyNumberFormat="1" applyFont="1" applyBorder="1" applyAlignment="1">
      <alignment vertical="center" wrapText="1"/>
    </xf>
    <xf numFmtId="3" fontId="21" fillId="15" borderId="38" xfId="0" quotePrefix="1" applyNumberFormat="1" applyFont="1" applyFill="1" applyBorder="1" applyAlignment="1">
      <alignment vertical="center" wrapText="1"/>
    </xf>
    <xf numFmtId="3" fontId="21" fillId="5" borderId="38" xfId="0" quotePrefix="1" applyNumberFormat="1" applyFont="1" applyFill="1" applyBorder="1" applyAlignment="1">
      <alignment vertical="top" wrapText="1"/>
    </xf>
    <xf numFmtId="0" fontId="5" fillId="3" borderId="181" xfId="0" applyFont="1" applyFill="1" applyBorder="1" applyAlignment="1">
      <alignment vertical="top"/>
    </xf>
    <xf numFmtId="3" fontId="21" fillId="3" borderId="38" xfId="0" quotePrefix="1" applyNumberFormat="1" applyFont="1" applyFill="1" applyBorder="1" applyAlignment="1">
      <alignment vertical="top" wrapText="1"/>
    </xf>
    <xf numFmtId="3" fontId="21" fillId="15" borderId="38" xfId="0" quotePrefix="1" applyNumberFormat="1" applyFont="1" applyFill="1" applyBorder="1" applyAlignment="1">
      <alignment vertical="top" wrapText="1"/>
    </xf>
    <xf numFmtId="4" fontId="20" fillId="5" borderId="38" xfId="0" applyNumberFormat="1" applyFont="1" applyFill="1" applyBorder="1" applyAlignment="1">
      <alignment vertical="center" wrapText="1"/>
    </xf>
    <xf numFmtId="0" fontId="15" fillId="21" borderId="38" xfId="0" quotePrefix="1" applyFont="1" applyFill="1" applyBorder="1" applyAlignment="1">
      <alignment horizontal="center" vertical="center"/>
    </xf>
    <xf numFmtId="3" fontId="20" fillId="3" borderId="37" xfId="0" quotePrefix="1" applyNumberFormat="1" applyFont="1" applyFill="1" applyBorder="1" applyAlignment="1">
      <alignment vertical="center" wrapText="1"/>
    </xf>
    <xf numFmtId="180" fontId="5" fillId="3" borderId="37" xfId="0" applyNumberFormat="1" applyFont="1" applyFill="1" applyBorder="1" applyAlignment="1">
      <alignment vertical="center" wrapText="1"/>
    </xf>
    <xf numFmtId="3" fontId="20" fillId="4" borderId="38" xfId="0" quotePrefix="1" applyNumberFormat="1" applyFont="1" applyFill="1" applyBorder="1" applyAlignment="1">
      <alignment vertical="center" wrapText="1"/>
    </xf>
    <xf numFmtId="3" fontId="26" fillId="0" borderId="38" xfId="0" quotePrefix="1" applyNumberFormat="1" applyFont="1" applyBorder="1" applyAlignment="1">
      <alignment vertical="center" wrapText="1"/>
    </xf>
    <xf numFmtId="3" fontId="26" fillId="5" borderId="38" xfId="0" quotePrefix="1" applyNumberFormat="1" applyFont="1" applyFill="1" applyBorder="1" applyAlignment="1">
      <alignment vertical="top" wrapText="1"/>
    </xf>
    <xf numFmtId="0" fontId="5" fillId="3" borderId="182" xfId="0" applyFont="1" applyFill="1" applyBorder="1" applyAlignment="1">
      <alignment vertical="top"/>
    </xf>
    <xf numFmtId="177" fontId="5" fillId="15" borderId="54" xfId="0" quotePrefix="1" applyNumberFormat="1" applyFont="1" applyFill="1" applyBorder="1" applyAlignment="1">
      <alignment horizontal="left" vertical="center"/>
    </xf>
    <xf numFmtId="3" fontId="20" fillId="3" borderId="54" xfId="0" quotePrefix="1" applyNumberFormat="1" applyFont="1" applyFill="1" applyBorder="1" applyAlignment="1">
      <alignment vertical="center" wrapText="1"/>
    </xf>
    <xf numFmtId="3" fontId="5" fillId="5" borderId="36" xfId="0" applyNumberFormat="1" applyFont="1" applyFill="1" applyBorder="1" applyAlignment="1">
      <alignment vertical="center" wrapText="1"/>
    </xf>
    <xf numFmtId="3" fontId="5" fillId="5" borderId="78" xfId="0" applyNumberFormat="1" applyFont="1" applyFill="1" applyBorder="1" applyAlignment="1">
      <alignment vertical="top" wrapText="1"/>
    </xf>
    <xf numFmtId="182" fontId="5" fillId="3" borderId="38" xfId="0" quotePrefix="1" applyNumberFormat="1" applyFont="1" applyFill="1" applyBorder="1" applyAlignment="1">
      <alignment vertical="center" wrapText="1"/>
    </xf>
    <xf numFmtId="182" fontId="5" fillId="15" borderId="38" xfId="0" quotePrefix="1" applyNumberFormat="1" applyFont="1" applyFill="1" applyBorder="1" applyAlignment="1">
      <alignment vertical="top" wrapText="1"/>
    </xf>
    <xf numFmtId="182" fontId="5" fillId="15" borderId="37" xfId="0" quotePrefix="1" applyNumberFormat="1" applyFont="1" applyFill="1" applyBorder="1" applyAlignment="1">
      <alignment vertical="top" wrapText="1"/>
    </xf>
    <xf numFmtId="182" fontId="5" fillId="5" borderId="38" xfId="0" applyNumberFormat="1" applyFont="1" applyFill="1" applyBorder="1" applyAlignment="1">
      <alignment vertical="top" wrapText="1"/>
    </xf>
    <xf numFmtId="182" fontId="21" fillId="3" borderId="38" xfId="0" quotePrefix="1" applyNumberFormat="1" applyFont="1" applyFill="1" applyBorder="1" applyAlignment="1">
      <alignment vertical="center" wrapText="1"/>
    </xf>
    <xf numFmtId="0" fontId="21" fillId="3" borderId="170" xfId="0" applyFont="1" applyFill="1" applyBorder="1" applyAlignment="1">
      <alignment vertical="top"/>
    </xf>
    <xf numFmtId="3" fontId="20" fillId="3" borderId="54" xfId="0" applyNumberFormat="1" applyFont="1" applyFill="1" applyBorder="1" applyAlignment="1">
      <alignment vertical="center" wrapText="1"/>
    </xf>
    <xf numFmtId="3" fontId="21" fillId="3" borderId="54" xfId="0" applyNumberFormat="1" applyFont="1" applyFill="1" applyBorder="1" applyAlignment="1">
      <alignment vertical="center" wrapText="1"/>
    </xf>
    <xf numFmtId="3" fontId="21" fillId="0" borderId="54" xfId="0" applyNumberFormat="1" applyFont="1" applyBorder="1" applyAlignment="1">
      <alignment vertical="center" wrapText="1"/>
    </xf>
    <xf numFmtId="3" fontId="21" fillId="4" borderId="54" xfId="0" applyNumberFormat="1" applyFont="1" applyFill="1" applyBorder="1" applyAlignment="1">
      <alignment vertical="center" wrapText="1"/>
    </xf>
    <xf numFmtId="182" fontId="21" fillId="3" borderId="54" xfId="0" applyNumberFormat="1" applyFont="1" applyFill="1" applyBorder="1" applyAlignment="1">
      <alignment vertical="center" wrapText="1"/>
    </xf>
    <xf numFmtId="182" fontId="21" fillId="15" borderId="54" xfId="0" quotePrefix="1" applyNumberFormat="1" applyFont="1" applyFill="1" applyBorder="1" applyAlignment="1">
      <alignment vertical="top" wrapText="1"/>
    </xf>
    <xf numFmtId="3" fontId="21" fillId="4" borderId="38" xfId="0" applyNumberFormat="1" applyFont="1" applyFill="1" applyBorder="1" applyAlignment="1">
      <alignment vertical="center" wrapText="1"/>
    </xf>
    <xf numFmtId="0" fontId="21" fillId="3" borderId="0" xfId="0" applyFont="1" applyFill="1" applyAlignment="1">
      <alignment horizontal="center" vertical="center"/>
    </xf>
    <xf numFmtId="0" fontId="5" fillId="0" borderId="184" xfId="0" applyFont="1" applyBorder="1" applyAlignment="1">
      <alignment vertical="top"/>
    </xf>
    <xf numFmtId="182" fontId="11" fillId="4" borderId="38" xfId="0" quotePrefix="1" applyNumberFormat="1" applyFont="1" applyFill="1" applyBorder="1" applyAlignment="1">
      <alignment vertical="center" wrapText="1"/>
    </xf>
    <xf numFmtId="0" fontId="5" fillId="15" borderId="38" xfId="0" applyFont="1" applyFill="1" applyBorder="1" applyAlignment="1">
      <alignment vertical="center" wrapText="1"/>
    </xf>
    <xf numFmtId="0" fontId="5" fillId="15" borderId="38" xfId="0" applyFont="1" applyFill="1" applyBorder="1" applyAlignment="1">
      <alignment vertical="top" wrapText="1"/>
    </xf>
    <xf numFmtId="177" fontId="5" fillId="0" borderId="175" xfId="0" quotePrefix="1" applyNumberFormat="1" applyFont="1" applyBorder="1">
      <alignment vertical="center"/>
    </xf>
    <xf numFmtId="0" fontId="5" fillId="0" borderId="185" xfId="0" applyFont="1" applyBorder="1" applyAlignment="1">
      <alignment vertical="top"/>
    </xf>
    <xf numFmtId="0" fontId="19" fillId="14" borderId="83" xfId="0" applyFont="1" applyFill="1" applyBorder="1">
      <alignment vertical="center"/>
    </xf>
    <xf numFmtId="180" fontId="5" fillId="5" borderId="78" xfId="0" quotePrefix="1" applyNumberFormat="1" applyFont="1" applyFill="1" applyBorder="1" applyAlignment="1">
      <alignment vertical="top" wrapText="1"/>
    </xf>
    <xf numFmtId="3" fontId="5" fillId="3" borderId="78" xfId="0" applyNumberFormat="1" applyFont="1" applyFill="1" applyBorder="1" applyAlignment="1">
      <alignment horizontal="center" vertical="top" wrapText="1"/>
    </xf>
    <xf numFmtId="0" fontId="5" fillId="4" borderId="36" xfId="0" applyFont="1" applyFill="1" applyBorder="1">
      <alignment vertical="center"/>
    </xf>
    <xf numFmtId="3" fontId="5" fillId="3" borderId="36" xfId="0" applyNumberFormat="1" applyFont="1" applyFill="1" applyBorder="1" applyAlignment="1">
      <alignment horizontal="center" vertical="top" wrapText="1"/>
    </xf>
    <xf numFmtId="177" fontId="5" fillId="31" borderId="38" xfId="0" quotePrefix="1" applyNumberFormat="1" applyFont="1" applyFill="1" applyBorder="1" applyAlignment="1">
      <alignment horizontal="center" vertical="center"/>
    </xf>
    <xf numFmtId="4" fontId="5" fillId="3" borderId="38" xfId="0" applyNumberFormat="1" applyFont="1" applyFill="1" applyBorder="1" applyAlignment="1">
      <alignment vertical="top" wrapText="1"/>
    </xf>
    <xf numFmtId="184" fontId="20" fillId="5" borderId="38" xfId="0" applyNumberFormat="1" applyFont="1" applyFill="1" applyBorder="1" applyAlignment="1">
      <alignment vertical="center" wrapText="1"/>
    </xf>
    <xf numFmtId="184" fontId="20" fillId="0" borderId="38" xfId="0" applyNumberFormat="1" applyFont="1" applyBorder="1" applyAlignment="1">
      <alignment vertical="center" wrapText="1"/>
    </xf>
    <xf numFmtId="184" fontId="26" fillId="5" borderId="38" xfId="0" applyNumberFormat="1" applyFont="1" applyFill="1" applyBorder="1" applyAlignment="1">
      <alignment vertical="center" wrapText="1"/>
    </xf>
    <xf numFmtId="184" fontId="5" fillId="5" borderId="38" xfId="0" applyNumberFormat="1" applyFont="1" applyFill="1" applyBorder="1" applyAlignment="1">
      <alignment vertical="top" wrapText="1"/>
    </xf>
    <xf numFmtId="0" fontId="5" fillId="5" borderId="0" xfId="0" applyFont="1" applyFill="1">
      <alignment vertical="center"/>
    </xf>
    <xf numFmtId="0" fontId="5" fillId="0" borderId="31" xfId="0" applyFont="1" applyBorder="1" applyAlignment="1">
      <alignment vertical="top"/>
    </xf>
    <xf numFmtId="3" fontId="5" fillId="18" borderId="74" xfId="0" applyNumberFormat="1" applyFont="1" applyFill="1" applyBorder="1" applyAlignment="1">
      <alignment vertical="center" wrapText="1"/>
    </xf>
    <xf numFmtId="4" fontId="5" fillId="3" borderId="74" xfId="0" applyNumberFormat="1" applyFont="1" applyFill="1" applyBorder="1" applyAlignment="1">
      <alignment vertical="center" wrapText="1"/>
    </xf>
    <xf numFmtId="3" fontId="5" fillId="3" borderId="74" xfId="0" applyNumberFormat="1" applyFont="1" applyFill="1" applyBorder="1" applyAlignment="1">
      <alignment vertical="top" wrapText="1"/>
    </xf>
    <xf numFmtId="3" fontId="5" fillId="3" borderId="44" xfId="0" applyNumberFormat="1" applyFont="1" applyFill="1" applyBorder="1" applyAlignment="1">
      <alignment horizontal="center" vertical="top" wrapText="1"/>
    </xf>
    <xf numFmtId="0" fontId="5" fillId="0" borderId="186" xfId="0" applyFont="1" applyBorder="1" applyAlignment="1">
      <alignment vertical="top"/>
    </xf>
    <xf numFmtId="38" fontId="5" fillId="15" borderId="38" xfId="0" quotePrefix="1" applyNumberFormat="1" applyFont="1" applyFill="1" applyBorder="1" applyAlignment="1">
      <alignment vertical="top" wrapText="1"/>
    </xf>
    <xf numFmtId="38" fontId="5" fillId="15" borderId="38" xfId="0" quotePrefix="1" applyNumberFormat="1" applyFont="1" applyFill="1" applyBorder="1" applyAlignment="1">
      <alignment vertical="center" wrapText="1"/>
    </xf>
    <xf numFmtId="3" fontId="5" fillId="15" borderId="38" xfId="0" applyNumberFormat="1" applyFont="1" applyFill="1" applyBorder="1" applyAlignment="1">
      <alignment vertical="top" wrapText="1"/>
    </xf>
    <xf numFmtId="0" fontId="5" fillId="17" borderId="187" xfId="0" applyFont="1" applyFill="1" applyBorder="1" applyAlignment="1">
      <alignment horizontal="center" vertical="center"/>
    </xf>
    <xf numFmtId="184" fontId="5" fillId="15" borderId="38" xfId="0" applyNumberFormat="1" applyFont="1" applyFill="1" applyBorder="1" applyAlignment="1">
      <alignment vertical="center" wrapText="1"/>
    </xf>
    <xf numFmtId="4" fontId="5" fillId="15" borderId="38" xfId="0" applyNumberFormat="1" applyFont="1" applyFill="1" applyBorder="1" applyAlignment="1">
      <alignment vertical="center" wrapText="1"/>
    </xf>
    <xf numFmtId="0" fontId="5" fillId="0" borderId="188" xfId="0" applyFont="1" applyBorder="1" applyAlignment="1">
      <alignment vertical="top"/>
    </xf>
    <xf numFmtId="0" fontId="5" fillId="0" borderId="170" xfId="0" applyFont="1" applyBorder="1" applyAlignment="1">
      <alignment vertical="top"/>
    </xf>
    <xf numFmtId="0" fontId="5" fillId="0" borderId="170" xfId="0" applyFont="1" applyBorder="1" applyAlignment="1">
      <alignment vertical="top" wrapText="1"/>
    </xf>
    <xf numFmtId="177" fontId="5" fillId="0" borderId="172" xfId="0" quotePrefix="1" applyNumberFormat="1" applyFont="1" applyBorder="1">
      <alignment vertical="center"/>
    </xf>
    <xf numFmtId="0" fontId="13" fillId="13" borderId="92" xfId="2" applyFont="1" applyFill="1" applyBorder="1" applyAlignment="1">
      <alignment horizontal="center" vertical="center" wrapText="1"/>
    </xf>
    <xf numFmtId="3" fontId="5" fillId="0" borderId="38" xfId="0" quotePrefix="1" applyNumberFormat="1" applyFont="1" applyBorder="1" applyAlignment="1">
      <alignment vertical="center" wrapText="1"/>
    </xf>
    <xf numFmtId="3" fontId="5" fillId="5" borderId="38" xfId="0" quotePrefix="1" applyNumberFormat="1" applyFont="1" applyFill="1" applyBorder="1" applyAlignment="1">
      <alignment vertical="top" wrapText="1"/>
    </xf>
    <xf numFmtId="3" fontId="5" fillId="15" borderId="38" xfId="0" quotePrefix="1" applyNumberFormat="1" applyFont="1" applyFill="1" applyBorder="1" applyAlignment="1">
      <alignment vertical="top" wrapText="1"/>
    </xf>
    <xf numFmtId="3" fontId="5" fillId="3" borderId="38" xfId="0" quotePrefix="1" applyNumberFormat="1" applyFont="1" applyFill="1" applyBorder="1" applyAlignment="1">
      <alignment vertical="top" wrapText="1"/>
    </xf>
    <xf numFmtId="0" fontId="0" fillId="3" borderId="170" xfId="0" applyFill="1" applyBorder="1" applyAlignment="1">
      <alignment vertical="top" wrapText="1"/>
    </xf>
    <xf numFmtId="0" fontId="0" fillId="3" borderId="38" xfId="0" applyFill="1" applyBorder="1" applyAlignment="1">
      <alignment horizontal="left" vertical="top" wrapText="1"/>
    </xf>
    <xf numFmtId="3" fontId="5" fillId="3" borderId="0" xfId="0" applyNumberFormat="1" applyFont="1" applyFill="1" applyAlignment="1">
      <alignment horizontal="center" vertical="center"/>
    </xf>
    <xf numFmtId="177" fontId="5" fillId="15" borderId="42" xfId="0" quotePrefix="1" applyNumberFormat="1" applyFont="1" applyFill="1" applyBorder="1" applyAlignment="1">
      <alignment vertical="center" wrapText="1"/>
    </xf>
    <xf numFmtId="177" fontId="5" fillId="15" borderId="82" xfId="0" quotePrefix="1" applyNumberFormat="1" applyFont="1" applyFill="1" applyBorder="1" applyAlignment="1">
      <alignment vertical="center" wrapText="1"/>
    </xf>
    <xf numFmtId="177" fontId="5" fillId="15" borderId="189" xfId="0" quotePrefix="1" applyNumberFormat="1" applyFont="1" applyFill="1" applyBorder="1" applyAlignment="1">
      <alignment vertical="center" wrapText="1"/>
    </xf>
    <xf numFmtId="0" fontId="5" fillId="3" borderId="190" xfId="0" applyFont="1" applyFill="1" applyBorder="1" applyAlignment="1">
      <alignment vertical="top"/>
    </xf>
    <xf numFmtId="0" fontId="5" fillId="3" borderId="191" xfId="0" applyFont="1" applyFill="1" applyBorder="1">
      <alignment vertical="center"/>
    </xf>
    <xf numFmtId="0" fontId="5" fillId="3" borderId="74" xfId="0" applyFont="1" applyFill="1" applyBorder="1">
      <alignment vertical="center"/>
    </xf>
    <xf numFmtId="0" fontId="5" fillId="3" borderId="74" xfId="0" applyFont="1" applyFill="1" applyBorder="1" applyAlignment="1">
      <alignment vertical="top" wrapText="1"/>
    </xf>
    <xf numFmtId="0" fontId="5" fillId="3" borderId="184" xfId="0" applyFont="1" applyFill="1" applyBorder="1" applyAlignment="1">
      <alignment vertical="top" wrapText="1"/>
    </xf>
    <xf numFmtId="3" fontId="5" fillId="5" borderId="78" xfId="0" quotePrefix="1" applyNumberFormat="1" applyFont="1" applyFill="1" applyBorder="1" applyAlignment="1">
      <alignment vertical="top" wrapText="1"/>
    </xf>
    <xf numFmtId="3" fontId="5" fillId="5" borderId="37" xfId="0" quotePrefix="1" applyNumberFormat="1" applyFont="1" applyFill="1" applyBorder="1" applyAlignment="1">
      <alignment vertical="top" wrapText="1"/>
    </xf>
    <xf numFmtId="177" fontId="5" fillId="15" borderId="175" xfId="0" quotePrefix="1" applyNumberFormat="1" applyFont="1" applyFill="1" applyBorder="1">
      <alignment vertical="center"/>
    </xf>
    <xf numFmtId="0" fontId="5" fillId="3" borderId="175" xfId="0" applyFont="1" applyFill="1" applyBorder="1" applyAlignment="1">
      <alignment horizontal="left" vertical="center" wrapText="1"/>
    </xf>
    <xf numFmtId="0" fontId="5" fillId="3" borderId="38" xfId="0" applyFont="1" applyFill="1" applyBorder="1" applyAlignment="1">
      <alignment horizontal="left" vertical="center" wrapText="1"/>
    </xf>
    <xf numFmtId="3" fontId="5" fillId="15" borderId="74" xfId="0" applyNumberFormat="1" applyFont="1" applyFill="1" applyBorder="1" applyAlignment="1">
      <alignment vertical="top" wrapText="1"/>
    </xf>
    <xf numFmtId="0" fontId="5" fillId="0" borderId="78" xfId="0" quotePrefix="1" applyFont="1" applyBorder="1">
      <alignment vertical="center"/>
    </xf>
    <xf numFmtId="3" fontId="5" fillId="15" borderId="78" xfId="0" applyNumberFormat="1" applyFont="1" applyFill="1" applyBorder="1" applyAlignment="1">
      <alignment vertical="top" wrapText="1"/>
    </xf>
    <xf numFmtId="3" fontId="5" fillId="0" borderId="78" xfId="0" applyNumberFormat="1" applyFont="1" applyBorder="1" applyAlignment="1">
      <alignment vertical="top" wrapText="1"/>
    </xf>
    <xf numFmtId="0" fontId="5" fillId="0" borderId="175" xfId="0" quotePrefix="1" applyFont="1" applyBorder="1" applyAlignment="1">
      <alignment horizontal="left" vertical="center"/>
    </xf>
    <xf numFmtId="0" fontId="5" fillId="0" borderId="174" xfId="0" quotePrefix="1" applyFont="1" applyBorder="1" applyAlignment="1">
      <alignment horizontal="left" vertical="center"/>
    </xf>
    <xf numFmtId="0" fontId="5" fillId="3" borderId="31" xfId="0" applyFont="1" applyFill="1" applyBorder="1" applyAlignment="1">
      <alignment vertical="top" wrapText="1"/>
    </xf>
    <xf numFmtId="0" fontId="5" fillId="0" borderId="172" xfId="0" quotePrefix="1" applyFont="1" applyBorder="1">
      <alignment vertical="center"/>
    </xf>
    <xf numFmtId="0" fontId="5" fillId="0" borderId="43" xfId="0" quotePrefix="1" applyFont="1" applyBorder="1" applyAlignment="1">
      <alignment horizontal="left" vertical="center"/>
    </xf>
    <xf numFmtId="3" fontId="5" fillId="3" borderId="37" xfId="0" quotePrefix="1" applyNumberFormat="1" applyFont="1" applyFill="1" applyBorder="1" applyAlignment="1">
      <alignment vertical="center" wrapText="1"/>
    </xf>
    <xf numFmtId="3" fontId="5" fillId="15" borderId="37" xfId="0" quotePrefix="1" applyNumberFormat="1" applyFont="1" applyFill="1" applyBorder="1" applyAlignment="1">
      <alignment vertical="top" wrapText="1"/>
    </xf>
    <xf numFmtId="0" fontId="5" fillId="3" borderId="190" xfId="0" applyFont="1" applyFill="1" applyBorder="1" applyAlignment="1">
      <alignment vertical="top" wrapText="1"/>
    </xf>
    <xf numFmtId="177" fontId="5" fillId="15" borderId="74" xfId="0" quotePrefix="1" applyNumberFormat="1" applyFont="1" applyFill="1" applyBorder="1" applyAlignment="1">
      <alignment horizontal="center" vertical="center"/>
    </xf>
    <xf numFmtId="3" fontId="5" fillId="3" borderId="74" xfId="0" quotePrefix="1" applyNumberFormat="1" applyFont="1" applyFill="1" applyBorder="1" applyAlignment="1">
      <alignment vertical="center" wrapText="1"/>
    </xf>
    <xf numFmtId="3" fontId="5" fillId="4" borderId="74" xfId="0" quotePrefix="1" applyNumberFormat="1" applyFont="1" applyFill="1" applyBorder="1" applyAlignment="1">
      <alignment vertical="center" wrapText="1"/>
    </xf>
    <xf numFmtId="3" fontId="5" fillId="15" borderId="74" xfId="0" quotePrefix="1" applyNumberFormat="1" applyFont="1" applyFill="1" applyBorder="1" applyAlignment="1">
      <alignment vertical="center" wrapText="1"/>
    </xf>
    <xf numFmtId="3" fontId="5" fillId="18" borderId="74" xfId="0" quotePrefix="1" applyNumberFormat="1" applyFont="1" applyFill="1" applyBorder="1" applyAlignment="1">
      <alignment vertical="center" wrapText="1"/>
    </xf>
    <xf numFmtId="3" fontId="5" fillId="15" borderId="74" xfId="0" quotePrefix="1" applyNumberFormat="1" applyFont="1" applyFill="1" applyBorder="1" applyAlignment="1">
      <alignment vertical="top" wrapText="1"/>
    </xf>
    <xf numFmtId="0" fontId="5" fillId="3" borderId="185" xfId="0" applyFont="1" applyFill="1" applyBorder="1" applyAlignment="1">
      <alignment vertical="top" wrapText="1"/>
    </xf>
    <xf numFmtId="180" fontId="5" fillId="28" borderId="78" xfId="0" quotePrefix="1" applyNumberFormat="1" applyFont="1" applyFill="1" applyBorder="1" applyAlignment="1">
      <alignment vertical="center" wrapText="1"/>
    </xf>
    <xf numFmtId="0" fontId="5" fillId="3" borderId="185" xfId="0" applyFont="1" applyFill="1" applyBorder="1" applyAlignment="1">
      <alignment vertical="top"/>
    </xf>
    <xf numFmtId="0" fontId="5" fillId="5" borderId="38" xfId="0" applyFont="1" applyFill="1" applyBorder="1" applyAlignment="1">
      <alignment vertical="top" wrapText="1"/>
    </xf>
    <xf numFmtId="186" fontId="5" fillId="5" borderId="38" xfId="0" applyNumberFormat="1" applyFont="1" applyFill="1" applyBorder="1" applyAlignment="1">
      <alignment vertical="top" wrapText="1"/>
    </xf>
    <xf numFmtId="186" fontId="5" fillId="15" borderId="38" xfId="0" applyNumberFormat="1" applyFont="1" applyFill="1" applyBorder="1" applyAlignment="1">
      <alignment vertical="center" wrapText="1"/>
    </xf>
    <xf numFmtId="186" fontId="5" fillId="3" borderId="38" xfId="0" applyNumberFormat="1" applyFont="1" applyFill="1" applyBorder="1" applyAlignment="1">
      <alignment vertical="top" wrapText="1"/>
    </xf>
    <xf numFmtId="0" fontId="11" fillId="0" borderId="184" xfId="0" applyFont="1" applyBorder="1" applyAlignment="1">
      <alignment vertical="top"/>
    </xf>
    <xf numFmtId="0" fontId="11" fillId="0" borderId="0" xfId="0" applyFont="1" applyAlignment="1">
      <alignment horizontal="center" vertical="center"/>
    </xf>
    <xf numFmtId="3" fontId="5" fillId="0" borderId="38" xfId="0" quotePrefix="1" applyNumberFormat="1" applyFont="1" applyBorder="1" applyAlignment="1">
      <alignment vertical="top" wrapText="1"/>
    </xf>
    <xf numFmtId="177" fontId="5" fillId="0" borderId="191" xfId="0" quotePrefix="1" applyNumberFormat="1" applyFont="1" applyBorder="1">
      <alignment vertical="center"/>
    </xf>
    <xf numFmtId="3" fontId="5" fillId="0" borderId="74" xfId="0" quotePrefix="1" applyNumberFormat="1" applyFont="1" applyBorder="1" applyAlignment="1">
      <alignment vertical="top" wrapText="1"/>
    </xf>
    <xf numFmtId="3" fontId="5" fillId="3" borderId="78" xfId="0" applyNumberFormat="1" applyFont="1" applyFill="1" applyBorder="1" applyAlignment="1">
      <alignment vertical="top" wrapText="1"/>
    </xf>
    <xf numFmtId="0" fontId="5" fillId="3" borderId="192" xfId="0" applyFont="1" applyFill="1" applyBorder="1" applyAlignment="1">
      <alignment vertical="top"/>
    </xf>
    <xf numFmtId="0" fontId="5" fillId="3" borderId="54" xfId="0" applyFont="1" applyFill="1" applyBorder="1">
      <alignment vertical="center"/>
    </xf>
    <xf numFmtId="3" fontId="5" fillId="15" borderId="54" xfId="0" applyNumberFormat="1" applyFont="1" applyFill="1" applyBorder="1" applyAlignment="1">
      <alignment vertical="top" wrapText="1"/>
    </xf>
    <xf numFmtId="0" fontId="5" fillId="3" borderId="193" xfId="0" applyFont="1" applyFill="1" applyBorder="1" applyAlignment="1">
      <alignment vertical="top"/>
    </xf>
    <xf numFmtId="0" fontId="5" fillId="3" borderId="189" xfId="0" quotePrefix="1" applyFont="1" applyFill="1" applyBorder="1">
      <alignment vertical="center"/>
    </xf>
    <xf numFmtId="0" fontId="5" fillId="3" borderId="37" xfId="0" quotePrefix="1" applyFont="1" applyFill="1" applyBorder="1" applyAlignment="1">
      <alignment horizontal="left" vertical="center"/>
    </xf>
    <xf numFmtId="0" fontId="5" fillId="3" borderId="80" xfId="0" quotePrefix="1" applyFont="1" applyFill="1" applyBorder="1" applyAlignment="1">
      <alignment horizontal="left" vertical="center"/>
    </xf>
    <xf numFmtId="3" fontId="5" fillId="15" borderId="37" xfId="0" applyNumberFormat="1" applyFont="1" applyFill="1" applyBorder="1" applyAlignment="1">
      <alignment vertical="top" wrapText="1"/>
    </xf>
    <xf numFmtId="3" fontId="5" fillId="3" borderId="37" xfId="0" applyNumberFormat="1" applyFont="1" applyFill="1" applyBorder="1" applyAlignment="1">
      <alignment vertical="top" wrapText="1"/>
    </xf>
    <xf numFmtId="0" fontId="5" fillId="3" borderId="172" xfId="0" quotePrefix="1" applyFont="1" applyFill="1" applyBorder="1" applyAlignment="1">
      <alignment horizontal="center" vertical="center"/>
    </xf>
    <xf numFmtId="4" fontId="21" fillId="5" borderId="38" xfId="0" applyNumberFormat="1" applyFont="1" applyFill="1" applyBorder="1" applyAlignment="1">
      <alignment vertical="top" wrapText="1"/>
    </xf>
    <xf numFmtId="3" fontId="13" fillId="40" borderId="37" xfId="0" applyNumberFormat="1" applyFont="1" applyFill="1" applyBorder="1" applyAlignment="1">
      <alignment vertical="center" wrapText="1"/>
    </xf>
    <xf numFmtId="0" fontId="5" fillId="3" borderId="175" xfId="0" quotePrefix="1" applyFont="1" applyFill="1" applyBorder="1">
      <alignment vertical="center"/>
    </xf>
    <xf numFmtId="0" fontId="5" fillId="3" borderId="175" xfId="0" quotePrefix="1" applyFont="1" applyFill="1" applyBorder="1" applyAlignment="1">
      <alignment horizontal="left" vertical="center"/>
    </xf>
    <xf numFmtId="0" fontId="5" fillId="3" borderId="194" xfId="0" applyFont="1" applyFill="1" applyBorder="1" applyAlignment="1">
      <alignment vertical="top" wrapText="1"/>
    </xf>
    <xf numFmtId="0" fontId="5" fillId="3" borderId="176" xfId="0" applyFont="1" applyFill="1" applyBorder="1">
      <alignment vertical="center"/>
    </xf>
    <xf numFmtId="0" fontId="5" fillId="3" borderId="37" xfId="0" applyFont="1" applyFill="1" applyBorder="1">
      <alignment vertical="center"/>
    </xf>
    <xf numFmtId="0" fontId="5" fillId="18" borderId="37" xfId="0" applyFont="1" applyFill="1" applyBorder="1" applyAlignment="1">
      <alignment vertical="center" wrapText="1"/>
    </xf>
    <xf numFmtId="0" fontId="5" fillId="15" borderId="37" xfId="0" applyFont="1" applyFill="1" applyBorder="1" applyAlignment="1">
      <alignment vertical="top" wrapText="1"/>
    </xf>
    <xf numFmtId="0" fontId="19" fillId="0" borderId="194" xfId="0" applyFont="1" applyBorder="1">
      <alignment vertical="center"/>
    </xf>
    <xf numFmtId="0" fontId="9" fillId="14" borderId="195" xfId="0" applyFont="1" applyFill="1" applyBorder="1" applyAlignment="1">
      <alignment horizontal="center" vertical="center"/>
    </xf>
    <xf numFmtId="0" fontId="5" fillId="3" borderId="193" xfId="0" applyFont="1" applyFill="1" applyBorder="1" applyAlignment="1">
      <alignment vertical="top" wrapText="1"/>
    </xf>
    <xf numFmtId="177" fontId="5" fillId="15" borderId="78" xfId="0" quotePrefix="1" applyNumberFormat="1" applyFont="1" applyFill="1" applyBorder="1">
      <alignment vertical="center"/>
    </xf>
    <xf numFmtId="40" fontId="5" fillId="15" borderId="78" xfId="0" quotePrefix="1" applyNumberFormat="1" applyFont="1" applyFill="1" applyBorder="1" applyAlignment="1">
      <alignment vertical="center" wrapText="1"/>
    </xf>
    <xf numFmtId="40" fontId="5" fillId="15" borderId="78" xfId="0" quotePrefix="1" applyNumberFormat="1" applyFont="1" applyFill="1" applyBorder="1" applyAlignment="1">
      <alignment vertical="top" wrapText="1"/>
    </xf>
    <xf numFmtId="0" fontId="5" fillId="3" borderId="78" xfId="0" applyFont="1" applyFill="1" applyBorder="1" applyAlignment="1">
      <alignment vertical="center" wrapText="1"/>
    </xf>
    <xf numFmtId="0" fontId="5" fillId="3" borderId="78" xfId="0" applyFont="1" applyFill="1" applyBorder="1" applyAlignment="1">
      <alignment horizontal="center" vertical="center"/>
    </xf>
    <xf numFmtId="40" fontId="5" fillId="15" borderId="38" xfId="0" quotePrefix="1" applyNumberFormat="1" applyFont="1" applyFill="1" applyBorder="1" applyAlignment="1">
      <alignment vertical="top" wrapText="1"/>
    </xf>
    <xf numFmtId="4" fontId="21" fillId="15" borderId="38" xfId="0" applyNumberFormat="1" applyFont="1" applyFill="1" applyBorder="1" applyAlignment="1">
      <alignment vertical="center" wrapText="1"/>
    </xf>
    <xf numFmtId="4" fontId="5" fillId="4" borderId="38" xfId="0" applyNumberFormat="1" applyFont="1" applyFill="1" applyBorder="1" applyAlignment="1">
      <alignment vertical="center" wrapText="1"/>
    </xf>
    <xf numFmtId="4" fontId="13" fillId="4" borderId="38" xfId="0" applyNumberFormat="1" applyFont="1" applyFill="1" applyBorder="1" applyAlignment="1">
      <alignment vertical="center" wrapText="1"/>
    </xf>
    <xf numFmtId="3" fontId="21" fillId="4" borderId="38" xfId="0" applyNumberFormat="1" applyFont="1" applyFill="1" applyBorder="1" applyAlignment="1">
      <alignment horizontal="center" vertical="center" wrapText="1"/>
    </xf>
    <xf numFmtId="3" fontId="5" fillId="15" borderId="38" xfId="0" applyNumberFormat="1" applyFont="1" applyFill="1" applyBorder="1" applyAlignment="1">
      <alignment horizontal="left" vertical="top" wrapText="1"/>
    </xf>
    <xf numFmtId="0" fontId="5" fillId="3" borderId="174" xfId="0" quotePrefix="1" applyFont="1" applyFill="1" applyBorder="1">
      <alignment vertical="center"/>
    </xf>
    <xf numFmtId="0" fontId="5" fillId="3" borderId="173" xfId="0" quotePrefix="1" applyFont="1" applyFill="1" applyBorder="1">
      <alignment vertical="center"/>
    </xf>
    <xf numFmtId="0" fontId="5" fillId="0" borderId="193" xfId="0" applyFont="1" applyBorder="1">
      <alignment vertical="center"/>
    </xf>
    <xf numFmtId="3" fontId="21" fillId="3" borderId="78" xfId="0" quotePrefix="1" applyNumberFormat="1" applyFont="1" applyFill="1" applyBorder="1" applyAlignment="1">
      <alignment vertical="center" wrapText="1"/>
    </xf>
    <xf numFmtId="3" fontId="11" fillId="3" borderId="78" xfId="0" quotePrefix="1" applyNumberFormat="1" applyFont="1" applyFill="1" applyBorder="1" applyAlignment="1">
      <alignment vertical="center" wrapText="1"/>
    </xf>
    <xf numFmtId="3" fontId="11" fillId="15" borderId="78" xfId="0" quotePrefix="1" applyNumberFormat="1" applyFont="1" applyFill="1" applyBorder="1" applyAlignment="1">
      <alignment vertical="center" wrapText="1"/>
    </xf>
    <xf numFmtId="0" fontId="5" fillId="3" borderId="78" xfId="0" applyFont="1" applyFill="1" applyBorder="1" applyAlignment="1">
      <alignment horizontal="right" vertical="center" wrapText="1"/>
    </xf>
    <xf numFmtId="0" fontId="5" fillId="3" borderId="78" xfId="0" applyFont="1" applyFill="1" applyBorder="1" applyAlignment="1">
      <alignment horizontal="right" vertical="top" wrapText="1"/>
    </xf>
    <xf numFmtId="0" fontId="5" fillId="0" borderId="78" xfId="0" applyFont="1" applyBorder="1" applyAlignment="1">
      <alignment horizontal="right" vertical="top" wrapText="1"/>
    </xf>
    <xf numFmtId="0" fontId="5" fillId="0" borderId="178" xfId="0" applyFont="1" applyBorder="1">
      <alignment vertical="center"/>
    </xf>
    <xf numFmtId="177" fontId="5" fillId="15" borderId="176" xfId="0" quotePrefix="1" applyNumberFormat="1" applyFont="1" applyFill="1" applyBorder="1">
      <alignment vertical="center"/>
    </xf>
    <xf numFmtId="177" fontId="5" fillId="15" borderId="34" xfId="0" quotePrefix="1" applyNumberFormat="1" applyFont="1" applyFill="1" applyBorder="1" applyAlignment="1">
      <alignment vertical="center" wrapText="1"/>
    </xf>
    <xf numFmtId="177" fontId="5" fillId="15" borderId="49" xfId="0" quotePrefix="1" applyNumberFormat="1" applyFont="1" applyFill="1" applyBorder="1" applyAlignment="1">
      <alignment vertical="center" wrapText="1"/>
    </xf>
    <xf numFmtId="177" fontId="5" fillId="15" borderId="80" xfId="0" quotePrefix="1" applyNumberFormat="1" applyFont="1" applyFill="1" applyBorder="1" applyAlignment="1">
      <alignment vertical="center" wrapText="1"/>
    </xf>
    <xf numFmtId="0" fontId="5" fillId="3" borderId="37" xfId="0" applyFont="1" applyFill="1" applyBorder="1" applyAlignment="1">
      <alignment horizontal="right" vertical="top" wrapText="1"/>
    </xf>
    <xf numFmtId="0" fontId="5" fillId="0" borderId="37" xfId="0" applyFont="1" applyBorder="1" applyAlignment="1">
      <alignment horizontal="right" vertical="top" wrapText="1"/>
    </xf>
    <xf numFmtId="0" fontId="5" fillId="0" borderId="170" xfId="0" applyFont="1" applyBorder="1">
      <alignment vertical="center"/>
    </xf>
    <xf numFmtId="0" fontId="5" fillId="14" borderId="28" xfId="0" applyFont="1" applyFill="1" applyBorder="1" applyAlignment="1">
      <alignment horizontal="left" vertical="top"/>
    </xf>
    <xf numFmtId="0" fontId="9" fillId="14" borderId="29" xfId="0" applyFont="1" applyFill="1" applyBorder="1" applyAlignment="1">
      <alignment vertical="top"/>
    </xf>
    <xf numFmtId="0" fontId="5" fillId="3" borderId="78" xfId="0" applyFont="1" applyFill="1" applyBorder="1">
      <alignment vertical="center"/>
    </xf>
    <xf numFmtId="0" fontId="21" fillId="3" borderId="78" xfId="0" applyFont="1" applyFill="1" applyBorder="1" applyAlignment="1">
      <alignment vertical="center" wrapText="1"/>
    </xf>
    <xf numFmtId="0" fontId="21" fillId="3" borderId="78" xfId="0" applyFont="1" applyFill="1" applyBorder="1" applyAlignment="1">
      <alignment vertical="top" wrapText="1"/>
    </xf>
    <xf numFmtId="3" fontId="15" fillId="3" borderId="74" xfId="0" applyNumberFormat="1" applyFont="1" applyFill="1" applyBorder="1" applyAlignment="1">
      <alignment vertical="center" wrapText="1"/>
    </xf>
    <xf numFmtId="3" fontId="15" fillId="0" borderId="74" xfId="0" applyNumberFormat="1" applyFont="1" applyBorder="1" applyAlignment="1">
      <alignment vertical="center" wrapText="1"/>
    </xf>
    <xf numFmtId="0" fontId="21" fillId="3" borderId="74" xfId="0" applyFont="1" applyFill="1" applyBorder="1" applyAlignment="1">
      <alignment vertical="center" wrapText="1"/>
    </xf>
    <xf numFmtId="0" fontId="21" fillId="3" borderId="74" xfId="0" applyFont="1" applyFill="1" applyBorder="1" applyAlignment="1">
      <alignment vertical="top" wrapText="1"/>
    </xf>
    <xf numFmtId="0" fontId="5" fillId="0" borderId="178" xfId="0" applyFont="1" applyBorder="1" applyAlignment="1">
      <alignment vertical="top" wrapText="1"/>
    </xf>
    <xf numFmtId="0" fontId="5" fillId="0" borderId="78" xfId="0" applyFont="1" applyBorder="1">
      <alignment vertical="center"/>
    </xf>
    <xf numFmtId="3" fontId="11" fillId="3" borderId="54" xfId="0" applyNumberFormat="1" applyFont="1" applyFill="1" applyBorder="1" applyAlignment="1">
      <alignment vertical="center" wrapText="1"/>
    </xf>
    <xf numFmtId="0" fontId="21" fillId="3" borderId="54" xfId="0" applyFont="1" applyFill="1" applyBorder="1" applyAlignment="1">
      <alignment vertical="center" wrapText="1"/>
    </xf>
    <xf numFmtId="0" fontId="5" fillId="3" borderId="172" xfId="0" applyFont="1" applyFill="1" applyBorder="1" applyAlignment="1">
      <alignment vertical="top"/>
    </xf>
    <xf numFmtId="0" fontId="5" fillId="3" borderId="175" xfId="0" quotePrefix="1" applyFont="1" applyFill="1" applyBorder="1" applyAlignment="1">
      <alignment horizontal="left" vertical="center" wrapText="1"/>
    </xf>
    <xf numFmtId="0" fontId="5" fillId="17" borderId="111" xfId="0" applyFont="1" applyFill="1" applyBorder="1" applyAlignment="1">
      <alignment horizontal="center" vertical="center"/>
    </xf>
    <xf numFmtId="0" fontId="5" fillId="3" borderId="196" xfId="0" applyFont="1" applyFill="1" applyBorder="1" applyAlignment="1">
      <alignment vertical="top"/>
    </xf>
    <xf numFmtId="0" fontId="5" fillId="3" borderId="191" xfId="0" quotePrefix="1" applyFont="1" applyFill="1" applyBorder="1" applyAlignment="1">
      <alignment horizontal="left" vertical="center" wrapText="1"/>
    </xf>
    <xf numFmtId="3" fontId="20" fillId="3" borderId="74" xfId="0" applyNumberFormat="1" applyFont="1" applyFill="1" applyBorder="1" applyAlignment="1">
      <alignment vertical="center" wrapText="1"/>
    </xf>
    <xf numFmtId="3" fontId="11" fillId="3" borderId="74" xfId="0" applyNumberFormat="1" applyFont="1" applyFill="1" applyBorder="1" applyAlignment="1">
      <alignment vertical="center" wrapText="1"/>
    </xf>
    <xf numFmtId="3" fontId="5" fillId="4" borderId="53" xfId="0" applyNumberFormat="1" applyFont="1" applyFill="1" applyBorder="1" applyAlignment="1">
      <alignment vertical="center" wrapText="1"/>
    </xf>
    <xf numFmtId="0" fontId="5" fillId="4" borderId="53" xfId="0" applyFont="1" applyFill="1" applyBorder="1">
      <alignment vertical="center"/>
    </xf>
    <xf numFmtId="0" fontId="5" fillId="17" borderId="197" xfId="0" applyFont="1" applyFill="1" applyBorder="1" applyAlignment="1">
      <alignment horizontal="center" vertical="center"/>
    </xf>
    <xf numFmtId="0" fontId="5" fillId="17" borderId="198" xfId="0" applyFont="1" applyFill="1" applyBorder="1" applyAlignment="1">
      <alignment horizontal="center" vertical="center"/>
    </xf>
    <xf numFmtId="0" fontId="19" fillId="14" borderId="159" xfId="0" applyFont="1" applyFill="1" applyBorder="1">
      <alignment vertical="center"/>
    </xf>
    <xf numFmtId="3" fontId="15" fillId="14" borderId="22" xfId="0" applyNumberFormat="1" applyFont="1" applyFill="1" applyBorder="1" applyAlignment="1">
      <alignment vertical="center" wrapText="1"/>
    </xf>
    <xf numFmtId="0" fontId="15" fillId="14" borderId="22" xfId="0" applyFont="1" applyFill="1" applyBorder="1" applyAlignment="1">
      <alignment vertical="center" wrapText="1"/>
    </xf>
    <xf numFmtId="0" fontId="19" fillId="14" borderId="22" xfId="0" applyFont="1" applyFill="1" applyBorder="1" applyAlignment="1">
      <alignment vertical="center" wrapText="1"/>
    </xf>
    <xf numFmtId="0" fontId="5" fillId="0" borderId="178" xfId="0" applyFont="1" applyBorder="1" applyAlignment="1">
      <alignment vertical="top"/>
    </xf>
    <xf numFmtId="0" fontId="5" fillId="0" borderId="35" xfId="0" applyFont="1" applyBorder="1" applyAlignment="1">
      <alignment horizontal="center" vertical="center"/>
    </xf>
    <xf numFmtId="0" fontId="5" fillId="4" borderId="200" xfId="0" applyFont="1" applyFill="1" applyBorder="1">
      <alignment vertical="center"/>
    </xf>
    <xf numFmtId="0" fontId="5" fillId="4" borderId="35" xfId="0" applyFont="1" applyFill="1" applyBorder="1">
      <alignment vertical="center"/>
    </xf>
    <xf numFmtId="0" fontId="5" fillId="0" borderId="192" xfId="0" applyFont="1" applyBorder="1" applyAlignment="1">
      <alignment vertical="top"/>
    </xf>
    <xf numFmtId="3" fontId="11" fillId="0" borderId="54" xfId="0" applyNumberFormat="1" applyFont="1" applyBorder="1" applyAlignment="1">
      <alignment vertical="center" wrapText="1"/>
    </xf>
    <xf numFmtId="3" fontId="5" fillId="0" borderId="54" xfId="0" applyNumberFormat="1" applyFont="1" applyBorder="1" applyAlignment="1">
      <alignment vertical="top" wrapText="1"/>
    </xf>
    <xf numFmtId="0" fontId="5" fillId="0" borderId="54" xfId="0" applyFont="1" applyBorder="1" applyAlignment="1">
      <alignment vertical="center" wrapText="1"/>
    </xf>
    <xf numFmtId="0" fontId="5" fillId="0" borderId="74" xfId="0" applyFont="1" applyBorder="1">
      <alignment vertical="center"/>
    </xf>
    <xf numFmtId="3" fontId="11" fillId="0" borderId="74" xfId="0" applyNumberFormat="1" applyFont="1" applyBorder="1" applyAlignment="1">
      <alignment vertical="center" wrapText="1"/>
    </xf>
    <xf numFmtId="0" fontId="5" fillId="0" borderId="74" xfId="0" applyFont="1" applyBorder="1" applyAlignment="1">
      <alignment vertical="center" wrapText="1"/>
    </xf>
    <xf numFmtId="0" fontId="5" fillId="17" borderId="201" xfId="0" applyFont="1" applyFill="1" applyBorder="1" applyAlignment="1">
      <alignment horizontal="center" vertical="center"/>
    </xf>
    <xf numFmtId="0" fontId="5" fillId="17" borderId="202" xfId="0" applyFont="1" applyFill="1" applyBorder="1" applyAlignment="1">
      <alignment horizontal="center" vertical="center"/>
    </xf>
    <xf numFmtId="0" fontId="5" fillId="3" borderId="203" xfId="0" applyFont="1" applyFill="1" applyBorder="1">
      <alignment vertical="center"/>
    </xf>
    <xf numFmtId="3" fontId="11" fillId="0" borderId="78" xfId="0" applyNumberFormat="1" applyFont="1" applyBorder="1" applyAlignment="1">
      <alignment horizontal="right" vertical="center" wrapText="1"/>
    </xf>
    <xf numFmtId="3" fontId="11" fillId="5" borderId="78" xfId="0" applyNumberFormat="1" applyFont="1" applyFill="1" applyBorder="1" applyAlignment="1">
      <alignment horizontal="right" vertical="top" wrapText="1"/>
    </xf>
    <xf numFmtId="3" fontId="13" fillId="5" borderId="78" xfId="0" applyNumberFormat="1" applyFont="1" applyFill="1" applyBorder="1" applyAlignment="1">
      <alignment vertical="center" wrapText="1"/>
    </xf>
    <xf numFmtId="3" fontId="21" fillId="0" borderId="78" xfId="0" applyNumberFormat="1" applyFont="1" applyBorder="1" applyAlignment="1">
      <alignment horizontal="right" vertical="center" wrapText="1"/>
    </xf>
    <xf numFmtId="0" fontId="5" fillId="3" borderId="184" xfId="0" applyFont="1" applyFill="1" applyBorder="1">
      <alignment vertical="center"/>
    </xf>
    <xf numFmtId="3" fontId="5" fillId="3" borderId="38" xfId="0" applyNumberFormat="1" applyFont="1" applyFill="1" applyBorder="1" applyAlignment="1">
      <alignment horizontal="right" vertical="top" wrapText="1"/>
    </xf>
    <xf numFmtId="3" fontId="5" fillId="0" borderId="38" xfId="0" applyNumberFormat="1" applyFont="1" applyBorder="1" applyAlignment="1">
      <alignment horizontal="right" vertical="top" wrapText="1"/>
    </xf>
    <xf numFmtId="0" fontId="5" fillId="3" borderId="38" xfId="0" quotePrefix="1" applyFont="1" applyFill="1" applyBorder="1" applyAlignment="1">
      <alignment vertical="center" wrapText="1"/>
    </xf>
    <xf numFmtId="4" fontId="21" fillId="5" borderId="38" xfId="0" applyNumberFormat="1" applyFont="1" applyFill="1" applyBorder="1" applyAlignment="1">
      <alignment vertical="center" wrapText="1"/>
    </xf>
    <xf numFmtId="4" fontId="21" fillId="0" borderId="38" xfId="0" applyNumberFormat="1" applyFont="1" applyBorder="1" applyAlignment="1">
      <alignment horizontal="right" vertical="center" wrapText="1"/>
    </xf>
    <xf numFmtId="4" fontId="20" fillId="5" borderId="38" xfId="0" applyNumberFormat="1" applyFont="1" applyFill="1" applyBorder="1" applyAlignment="1">
      <alignment horizontal="right" vertical="top" wrapText="1"/>
    </xf>
    <xf numFmtId="4" fontId="29" fillId="5" borderId="38" xfId="0" applyNumberFormat="1" applyFont="1" applyFill="1" applyBorder="1" applyAlignment="1">
      <alignment vertical="center" wrapText="1"/>
    </xf>
    <xf numFmtId="0" fontId="5" fillId="3" borderId="45" xfId="0" quotePrefix="1" applyFont="1" applyFill="1" applyBorder="1" applyAlignment="1">
      <alignment vertical="center" wrapText="1"/>
    </xf>
    <xf numFmtId="0" fontId="21" fillId="3" borderId="38" xfId="0" applyFont="1" applyFill="1" applyBorder="1" applyAlignment="1">
      <alignment horizontal="right" vertical="center" wrapText="1"/>
    </xf>
    <xf numFmtId="4" fontId="21" fillId="5" borderId="37" xfId="0" applyNumberFormat="1" applyFont="1" applyFill="1" applyBorder="1" applyAlignment="1">
      <alignment vertical="center" wrapText="1"/>
    </xf>
    <xf numFmtId="4" fontId="21" fillId="0" borderId="37" xfId="0" applyNumberFormat="1" applyFont="1" applyBorder="1" applyAlignment="1">
      <alignment horizontal="right" vertical="center" wrapText="1"/>
    </xf>
    <xf numFmtId="4" fontId="20" fillId="5" borderId="37" xfId="0" applyNumberFormat="1" applyFont="1" applyFill="1" applyBorder="1" applyAlignment="1">
      <alignment horizontal="right" vertical="top" wrapText="1"/>
    </xf>
    <xf numFmtId="4" fontId="29" fillId="5" borderId="37" xfId="0" applyNumberFormat="1" applyFont="1" applyFill="1" applyBorder="1" applyAlignment="1">
      <alignment vertical="center" wrapText="1"/>
    </xf>
    <xf numFmtId="4" fontId="20" fillId="3" borderId="37" xfId="0" applyNumberFormat="1" applyFont="1" applyFill="1" applyBorder="1" applyAlignment="1">
      <alignment horizontal="right" vertical="center" wrapText="1"/>
    </xf>
    <xf numFmtId="0" fontId="21" fillId="4" borderId="38" xfId="0" applyFont="1" applyFill="1" applyBorder="1" applyAlignment="1">
      <alignment horizontal="right" vertical="center" wrapText="1"/>
    </xf>
    <xf numFmtId="0" fontId="5" fillId="3" borderId="175" xfId="0" quotePrefix="1" applyFont="1" applyFill="1" applyBorder="1" applyAlignment="1">
      <alignment vertical="center" wrapText="1"/>
    </xf>
    <xf numFmtId="3" fontId="5" fillId="3" borderId="54" xfId="0" applyNumberFormat="1" applyFont="1" applyFill="1" applyBorder="1" applyAlignment="1">
      <alignment horizontal="right" vertical="top" wrapText="1"/>
    </xf>
    <xf numFmtId="3" fontId="5" fillId="0" borderId="54" xfId="0" applyNumberFormat="1" applyFont="1" applyBorder="1" applyAlignment="1">
      <alignment horizontal="right" vertical="top" wrapText="1"/>
    </xf>
    <xf numFmtId="0" fontId="5" fillId="4" borderId="54" xfId="0" applyFont="1" applyFill="1" applyBorder="1" applyAlignment="1">
      <alignment horizontal="right" vertical="center" wrapText="1"/>
    </xf>
    <xf numFmtId="0" fontId="5" fillId="3" borderId="172" xfId="0" quotePrefix="1" applyFont="1" applyFill="1" applyBorder="1" applyAlignment="1">
      <alignment vertical="center" wrapText="1"/>
    </xf>
    <xf numFmtId="0" fontId="21" fillId="3" borderId="42" xfId="0" applyFont="1" applyFill="1" applyBorder="1" applyAlignment="1">
      <alignment horizontal="left" vertical="center" wrapText="1"/>
    </xf>
    <xf numFmtId="3" fontId="11" fillId="3" borderId="42" xfId="0" applyNumberFormat="1" applyFont="1" applyFill="1" applyBorder="1" applyAlignment="1">
      <alignment horizontal="right" vertical="center" wrapText="1"/>
    </xf>
    <xf numFmtId="3" fontId="11" fillId="0" borderId="42" xfId="0" applyNumberFormat="1" applyFont="1" applyBorder="1" applyAlignment="1">
      <alignment horizontal="right" vertical="center" wrapText="1"/>
    </xf>
    <xf numFmtId="3" fontId="5" fillId="4" borderId="42" xfId="0" applyNumberFormat="1" applyFont="1" applyFill="1" applyBorder="1" applyAlignment="1">
      <alignment vertical="center" wrapText="1"/>
    </xf>
    <xf numFmtId="3" fontId="5" fillId="3" borderId="42" xfId="0" applyNumberFormat="1" applyFont="1" applyFill="1" applyBorder="1" applyAlignment="1">
      <alignment horizontal="right" vertical="center" wrapText="1"/>
    </xf>
    <xf numFmtId="3" fontId="5" fillId="4" borderId="45" xfId="0" applyNumberFormat="1" applyFont="1" applyFill="1" applyBorder="1" applyAlignment="1">
      <alignment vertical="center" wrapText="1"/>
    </xf>
    <xf numFmtId="4" fontId="11" fillId="0" borderId="38" xfId="0" applyNumberFormat="1" applyFont="1" applyBorder="1" applyAlignment="1">
      <alignment horizontal="right" vertical="center" wrapText="1"/>
    </xf>
    <xf numFmtId="0" fontId="5" fillId="3" borderId="204" xfId="0" applyFont="1" applyFill="1" applyBorder="1">
      <alignment vertical="center"/>
    </xf>
    <xf numFmtId="3" fontId="5" fillId="3" borderId="74" xfId="0" applyNumberFormat="1" applyFont="1" applyFill="1" applyBorder="1" applyAlignment="1">
      <alignment horizontal="right" vertical="center" wrapText="1"/>
    </xf>
    <xf numFmtId="3" fontId="5" fillId="3" borderId="74" xfId="0" applyNumberFormat="1" applyFont="1" applyFill="1" applyBorder="1" applyAlignment="1">
      <alignment horizontal="right" vertical="top" wrapText="1"/>
    </xf>
    <xf numFmtId="3" fontId="5" fillId="0" borderId="74" xfId="0" applyNumberFormat="1" applyFont="1" applyBorder="1" applyAlignment="1">
      <alignment horizontal="right" vertical="top" wrapText="1"/>
    </xf>
    <xf numFmtId="0" fontId="5" fillId="3" borderId="74" xfId="0" applyFont="1" applyFill="1" applyBorder="1" applyAlignment="1">
      <alignment horizontal="right" vertical="center" wrapText="1"/>
    </xf>
    <xf numFmtId="0" fontId="5" fillId="3" borderId="31" xfId="0" applyFont="1" applyFill="1" applyBorder="1">
      <alignment vertical="center"/>
    </xf>
    <xf numFmtId="0" fontId="5" fillId="4" borderId="38" xfId="0" applyFont="1" applyFill="1" applyBorder="1" applyAlignment="1">
      <alignment horizontal="right" vertical="top" wrapText="1"/>
    </xf>
    <xf numFmtId="0" fontId="5" fillId="3" borderId="205" xfId="0" applyFont="1" applyFill="1" applyBorder="1">
      <alignment vertical="center"/>
    </xf>
    <xf numFmtId="0" fontId="5" fillId="3" borderId="174" xfId="0" quotePrefix="1" applyFont="1" applyFill="1" applyBorder="1" applyAlignment="1">
      <alignment vertical="center" wrapText="1"/>
    </xf>
    <xf numFmtId="3" fontId="20" fillId="3" borderId="54" xfId="0" applyNumberFormat="1" applyFont="1" applyFill="1" applyBorder="1" applyAlignment="1">
      <alignment horizontal="right" vertical="center" wrapText="1"/>
    </xf>
    <xf numFmtId="3" fontId="11" fillId="3" borderId="54" xfId="0" applyNumberFormat="1" applyFont="1" applyFill="1" applyBorder="1" applyAlignment="1">
      <alignment horizontal="right" vertical="center" wrapText="1"/>
    </xf>
    <xf numFmtId="3" fontId="11" fillId="0" borderId="54" xfId="0" applyNumberFormat="1" applyFont="1" applyBorder="1" applyAlignment="1">
      <alignment horizontal="right" vertical="center" wrapText="1"/>
    </xf>
    <xf numFmtId="0" fontId="5" fillId="3" borderId="171" xfId="0" applyFont="1" applyFill="1" applyBorder="1" applyAlignment="1">
      <alignment vertical="top" wrapText="1"/>
    </xf>
    <xf numFmtId="0" fontId="5" fillId="0" borderId="78" xfId="0" applyFont="1" applyBorder="1" applyAlignment="1">
      <alignment vertical="top" wrapText="1"/>
    </xf>
    <xf numFmtId="3" fontId="13" fillId="4" borderId="78" xfId="0" applyNumberFormat="1" applyFont="1" applyFill="1" applyBorder="1">
      <alignment vertical="center"/>
    </xf>
    <xf numFmtId="0" fontId="5" fillId="3" borderId="172" xfId="0" applyFont="1" applyFill="1" applyBorder="1">
      <alignment vertical="center"/>
    </xf>
    <xf numFmtId="0" fontId="5" fillId="0" borderId="38" xfId="0" quotePrefix="1" applyFont="1" applyBorder="1" applyAlignment="1">
      <alignment vertical="top" wrapText="1"/>
    </xf>
    <xf numFmtId="0" fontId="5" fillId="3" borderId="172" xfId="0" applyFont="1" applyFill="1" applyBorder="1" applyAlignment="1">
      <alignment vertical="center" wrapText="1"/>
    </xf>
    <xf numFmtId="0" fontId="5" fillId="3" borderId="175" xfId="0" applyFont="1" applyFill="1" applyBorder="1">
      <alignment vertical="center"/>
    </xf>
    <xf numFmtId="0" fontId="5" fillId="3" borderId="206" xfId="0" applyFont="1" applyFill="1" applyBorder="1">
      <alignment vertical="center"/>
    </xf>
    <xf numFmtId="0" fontId="5" fillId="3" borderId="53" xfId="0" quotePrefix="1" applyFont="1" applyFill="1" applyBorder="1" applyAlignment="1">
      <alignment vertical="center" wrapText="1"/>
    </xf>
    <xf numFmtId="3" fontId="21" fillId="3" borderId="74" xfId="0" applyNumberFormat="1" applyFont="1" applyFill="1" applyBorder="1" applyAlignment="1">
      <alignment horizontal="right" vertical="center" wrapText="1"/>
    </xf>
    <xf numFmtId="3" fontId="21" fillId="0" borderId="74" xfId="0" applyNumberFormat="1" applyFont="1" applyBorder="1" applyAlignment="1">
      <alignment horizontal="right" vertical="center" wrapText="1"/>
    </xf>
    <xf numFmtId="3" fontId="21" fillId="4" borderId="74" xfId="0" applyNumberFormat="1" applyFont="1" applyFill="1" applyBorder="1" applyAlignment="1">
      <alignment vertical="center" wrapText="1"/>
    </xf>
    <xf numFmtId="0" fontId="5" fillId="17" borderId="207" xfId="0" applyFont="1" applyFill="1" applyBorder="1" applyAlignment="1">
      <alignment horizontal="center" vertical="center"/>
    </xf>
    <xf numFmtId="0" fontId="26" fillId="7" borderId="208" xfId="0" applyFont="1" applyFill="1" applyBorder="1" applyAlignment="1">
      <alignment horizontal="center" vertical="center" wrapText="1"/>
    </xf>
    <xf numFmtId="178" fontId="5" fillId="0" borderId="43" xfId="0" applyNumberFormat="1" applyFont="1" applyBorder="1" applyAlignment="1">
      <alignment horizontal="right" vertical="center" wrapText="1"/>
    </xf>
    <xf numFmtId="3" fontId="5" fillId="0" borderId="43" xfId="0" applyNumberFormat="1" applyFont="1" applyBorder="1" applyAlignment="1">
      <alignment vertical="center" wrapText="1"/>
    </xf>
    <xf numFmtId="3" fontId="5" fillId="19" borderId="42" xfId="0" applyNumberFormat="1" applyFont="1" applyFill="1" applyBorder="1" applyAlignment="1">
      <alignment vertical="center" wrapText="1"/>
    </xf>
    <xf numFmtId="3" fontId="5" fillId="0" borderId="52" xfId="0" applyNumberFormat="1" applyFont="1" applyBorder="1" applyAlignment="1">
      <alignment vertical="center" wrapText="1"/>
    </xf>
    <xf numFmtId="0" fontId="5" fillId="15" borderId="43" xfId="0" applyFont="1" applyFill="1" applyBorder="1" applyAlignment="1">
      <alignment horizontal="right" vertical="center" wrapText="1"/>
    </xf>
    <xf numFmtId="3" fontId="11" fillId="15" borderId="43" xfId="0" quotePrefix="1" applyNumberFormat="1" applyFont="1" applyFill="1" applyBorder="1" applyAlignment="1">
      <alignment horizontal="right" vertical="center" wrapText="1"/>
    </xf>
    <xf numFmtId="3" fontId="11" fillId="15" borderId="43" xfId="0" quotePrefix="1" applyNumberFormat="1" applyFont="1" applyFill="1" applyBorder="1" applyAlignment="1">
      <alignment vertical="center" wrapText="1"/>
    </xf>
    <xf numFmtId="0" fontId="21" fillId="3" borderId="43" xfId="0" applyFont="1" applyFill="1" applyBorder="1" applyAlignment="1">
      <alignment vertical="top" wrapText="1"/>
    </xf>
    <xf numFmtId="3" fontId="5" fillId="15" borderId="43" xfId="0" applyNumberFormat="1" applyFont="1" applyFill="1" applyBorder="1" applyAlignment="1">
      <alignment vertical="center" wrapText="1"/>
    </xf>
    <xf numFmtId="0" fontId="5" fillId="3" borderId="43" xfId="0" applyFont="1" applyFill="1" applyBorder="1" applyAlignment="1">
      <alignment horizontal="right" vertical="center"/>
    </xf>
    <xf numFmtId="0" fontId="5" fillId="19" borderId="42" xfId="0" quotePrefix="1" applyFont="1" applyFill="1" applyBorder="1" applyAlignment="1">
      <alignment horizontal="right" vertical="center"/>
    </xf>
    <xf numFmtId="3" fontId="22" fillId="15" borderId="34" xfId="0" applyNumberFormat="1" applyFont="1" applyFill="1" applyBorder="1" applyAlignment="1">
      <alignment horizontal="right" vertical="center" wrapText="1"/>
    </xf>
    <xf numFmtId="3" fontId="5" fillId="15" borderId="52" xfId="0" applyNumberFormat="1" applyFont="1" applyFill="1" applyBorder="1" applyAlignment="1">
      <alignment vertical="center" wrapText="1"/>
    </xf>
    <xf numFmtId="3" fontId="5" fillId="5" borderId="43" xfId="0" applyNumberFormat="1" applyFont="1" applyFill="1" applyBorder="1" applyAlignment="1">
      <alignment vertical="center" wrapText="1"/>
    </xf>
    <xf numFmtId="3" fontId="22" fillId="15" borderId="43" xfId="0" applyNumberFormat="1" applyFont="1" applyFill="1" applyBorder="1" applyAlignment="1">
      <alignment horizontal="right" vertical="center" wrapText="1"/>
    </xf>
    <xf numFmtId="3" fontId="21" fillId="28" borderId="43" xfId="0" quotePrefix="1" applyNumberFormat="1" applyFont="1" applyFill="1" applyBorder="1" applyAlignment="1">
      <alignment horizontal="right" vertical="center" wrapText="1"/>
    </xf>
    <xf numFmtId="3" fontId="5" fillId="15" borderId="43" xfId="0" applyNumberFormat="1" applyFont="1" applyFill="1" applyBorder="1" applyAlignment="1">
      <alignment horizontal="right" vertical="center" wrapText="1"/>
    </xf>
    <xf numFmtId="4" fontId="22" fillId="39" borderId="43" xfId="0" applyNumberFormat="1" applyFont="1" applyFill="1" applyBorder="1" applyAlignment="1">
      <alignment horizontal="right" vertical="center" wrapText="1"/>
    </xf>
    <xf numFmtId="3" fontId="23" fillId="15" borderId="43" xfId="0" quotePrefix="1" applyNumberFormat="1" applyFont="1" applyFill="1" applyBorder="1" applyAlignment="1">
      <alignment horizontal="right" vertical="center" wrapText="1"/>
    </xf>
    <xf numFmtId="3" fontId="26" fillId="5" borderId="43" xfId="0" quotePrefix="1" applyNumberFormat="1" applyFont="1" applyFill="1" applyBorder="1" applyAlignment="1">
      <alignment horizontal="right" vertical="center" wrapText="1"/>
    </xf>
    <xf numFmtId="3" fontId="5" fillId="15" borderId="43" xfId="0" quotePrefix="1" applyNumberFormat="1" applyFont="1" applyFill="1" applyBorder="1" applyAlignment="1">
      <alignment horizontal="right" vertical="center" wrapText="1"/>
    </xf>
    <xf numFmtId="3" fontId="5" fillId="19" borderId="42" xfId="0" quotePrefix="1" applyNumberFormat="1" applyFont="1" applyFill="1" applyBorder="1" applyAlignment="1">
      <alignment horizontal="right" vertical="center" wrapText="1"/>
    </xf>
    <xf numFmtId="3" fontId="24" fillId="15" borderId="52" xfId="0" applyNumberFormat="1" applyFont="1" applyFill="1" applyBorder="1" applyAlignment="1">
      <alignment horizontal="right" vertical="center" wrapText="1"/>
    </xf>
    <xf numFmtId="177" fontId="5" fillId="0" borderId="43" xfId="0" quotePrefix="1" applyNumberFormat="1" applyFont="1" applyBorder="1" applyAlignment="1">
      <alignment horizontal="right" vertical="center"/>
    </xf>
    <xf numFmtId="182" fontId="11" fillId="15" borderId="43" xfId="0" quotePrefix="1" applyNumberFormat="1" applyFont="1" applyFill="1" applyBorder="1" applyAlignment="1">
      <alignment horizontal="right" vertical="center" wrapText="1"/>
    </xf>
    <xf numFmtId="3" fontId="5" fillId="15" borderId="43" xfId="0" quotePrefix="1" applyNumberFormat="1" applyFont="1" applyFill="1" applyBorder="1" applyAlignment="1">
      <alignment vertical="center" wrapText="1"/>
    </xf>
    <xf numFmtId="178" fontId="5" fillId="15" borderId="43" xfId="0" applyNumberFormat="1" applyFont="1" applyFill="1" applyBorder="1" applyAlignment="1">
      <alignment vertical="center" wrapText="1"/>
    </xf>
    <xf numFmtId="178" fontId="5" fillId="0" borderId="43" xfId="0" applyNumberFormat="1" applyFont="1" applyBorder="1" applyAlignment="1">
      <alignment vertical="center" wrapText="1"/>
    </xf>
    <xf numFmtId="178" fontId="5" fillId="19" borderId="42" xfId="0" quotePrefix="1" applyNumberFormat="1" applyFont="1" applyFill="1" applyBorder="1" applyAlignment="1">
      <alignment horizontal="left" vertical="center"/>
    </xf>
    <xf numFmtId="3" fontId="5" fillId="0" borderId="43" xfId="0" applyNumberFormat="1" applyFont="1" applyBorder="1" applyAlignment="1">
      <alignment vertical="top" wrapText="1"/>
    </xf>
    <xf numFmtId="178" fontId="5" fillId="14" borderId="42" xfId="0" quotePrefix="1" applyNumberFormat="1" applyFont="1" applyFill="1" applyBorder="1" applyAlignment="1">
      <alignment horizontal="left" vertical="center"/>
    </xf>
    <xf numFmtId="177" fontId="5" fillId="14" borderId="42" xfId="0" quotePrefix="1" applyNumberFormat="1" applyFont="1" applyFill="1" applyBorder="1" applyAlignment="1">
      <alignment horizontal="left" vertical="center"/>
    </xf>
    <xf numFmtId="3" fontId="5" fillId="15" borderId="77" xfId="0" applyNumberFormat="1" applyFont="1" applyFill="1" applyBorder="1" applyAlignment="1">
      <alignment vertical="center" wrapText="1"/>
    </xf>
    <xf numFmtId="178" fontId="5" fillId="15" borderId="34" xfId="0" applyNumberFormat="1" applyFont="1" applyFill="1" applyBorder="1" applyAlignment="1">
      <alignment vertical="center" wrapText="1"/>
    </xf>
    <xf numFmtId="178" fontId="5" fillId="15" borderId="67" xfId="0" applyNumberFormat="1" applyFont="1" applyFill="1" applyBorder="1" applyAlignment="1">
      <alignment vertical="center" wrapText="1"/>
    </xf>
    <xf numFmtId="178" fontId="5" fillId="28" borderId="77" xfId="0" applyNumberFormat="1" applyFont="1" applyFill="1" applyBorder="1" applyAlignment="1">
      <alignment vertical="center" wrapText="1"/>
    </xf>
    <xf numFmtId="178" fontId="5" fillId="5" borderId="43" xfId="0" applyNumberFormat="1" applyFont="1" applyFill="1" applyBorder="1" applyAlignment="1">
      <alignment vertical="center" wrapText="1"/>
    </xf>
    <xf numFmtId="3" fontId="5" fillId="15" borderId="34" xfId="0" applyNumberFormat="1" applyFont="1" applyFill="1" applyBorder="1" applyAlignment="1">
      <alignment vertical="center" wrapText="1"/>
    </xf>
    <xf numFmtId="4" fontId="5" fillId="5" borderId="43" xfId="0" applyNumberFormat="1" applyFont="1" applyFill="1" applyBorder="1" applyAlignment="1">
      <alignment vertical="center" wrapText="1"/>
    </xf>
    <xf numFmtId="3" fontId="21" fillId="15" borderId="43" xfId="0" applyNumberFormat="1" applyFont="1" applyFill="1" applyBorder="1" applyAlignment="1">
      <alignment horizontal="right" vertical="center" wrapText="1"/>
    </xf>
    <xf numFmtId="177" fontId="5" fillId="14" borderId="42" xfId="0" quotePrefix="1" applyNumberFormat="1" applyFont="1" applyFill="1" applyBorder="1" applyAlignment="1">
      <alignment horizontal="right" vertical="center"/>
    </xf>
    <xf numFmtId="4" fontId="22" fillId="15" borderId="43" xfId="0" applyNumberFormat="1" applyFont="1" applyFill="1" applyBorder="1" applyAlignment="1">
      <alignment horizontal="right" vertical="center" wrapText="1"/>
    </xf>
    <xf numFmtId="3" fontId="5" fillId="15" borderId="52" xfId="0" applyNumberFormat="1" applyFont="1" applyFill="1" applyBorder="1" applyAlignment="1">
      <alignment horizontal="right" vertical="center" wrapText="1"/>
    </xf>
    <xf numFmtId="185" fontId="5" fillId="15" borderId="77" xfId="0" applyNumberFormat="1" applyFont="1" applyFill="1" applyBorder="1" applyAlignment="1">
      <alignment horizontal="right" vertical="center" wrapText="1"/>
    </xf>
    <xf numFmtId="185" fontId="5" fillId="15" borderId="43" xfId="0" applyNumberFormat="1" applyFont="1" applyFill="1" applyBorder="1" applyAlignment="1">
      <alignment horizontal="right" vertical="center" wrapText="1"/>
    </xf>
    <xf numFmtId="178" fontId="5" fillId="0" borderId="43" xfId="0" applyNumberFormat="1" applyFont="1" applyBorder="1" applyAlignment="1">
      <alignment horizontal="right" vertical="top" wrapText="1"/>
    </xf>
    <xf numFmtId="0" fontId="5" fillId="19" borderId="42" xfId="0" applyFont="1" applyFill="1" applyBorder="1" applyAlignment="1">
      <alignment horizontal="right" vertical="center"/>
    </xf>
    <xf numFmtId="178" fontId="5" fillId="19" borderId="42" xfId="0" applyNumberFormat="1" applyFont="1" applyFill="1" applyBorder="1" applyAlignment="1">
      <alignment vertical="center" wrapText="1"/>
    </xf>
    <xf numFmtId="178" fontId="5" fillId="0" borderId="52" xfId="0" applyNumberFormat="1" applyFont="1" applyBorder="1" applyAlignment="1">
      <alignment horizontal="right" vertical="top" wrapText="1"/>
    </xf>
    <xf numFmtId="178" fontId="5" fillId="15" borderId="34" xfId="0" applyNumberFormat="1" applyFont="1" applyFill="1" applyBorder="1" applyAlignment="1">
      <alignment horizontal="right" vertical="center" wrapText="1"/>
    </xf>
    <xf numFmtId="178" fontId="5" fillId="15" borderId="43" xfId="0" applyNumberFormat="1" applyFont="1" applyFill="1" applyBorder="1" applyAlignment="1">
      <alignment horizontal="right" vertical="center" wrapText="1"/>
    </xf>
    <xf numFmtId="178" fontId="5" fillId="0" borderId="67" xfId="0" applyNumberFormat="1" applyFont="1" applyBorder="1" applyAlignment="1">
      <alignment horizontal="right" vertical="top" wrapText="1"/>
    </xf>
    <xf numFmtId="0" fontId="16" fillId="7" borderId="209" xfId="0" applyFont="1" applyFill="1" applyBorder="1" applyAlignment="1">
      <alignment horizontal="center" vertical="center" wrapText="1"/>
    </xf>
    <xf numFmtId="178" fontId="13" fillId="16" borderId="45" xfId="0" applyNumberFormat="1" applyFont="1" applyFill="1" applyBorder="1" applyAlignment="1">
      <alignment horizontal="right" vertical="center" wrapText="1"/>
    </xf>
    <xf numFmtId="178" fontId="13" fillId="19" borderId="45" xfId="0" applyNumberFormat="1" applyFont="1" applyFill="1" applyBorder="1" applyAlignment="1">
      <alignment horizontal="right" vertical="center" wrapText="1"/>
    </xf>
    <xf numFmtId="178" fontId="5" fillId="4" borderId="45" xfId="0" applyNumberFormat="1" applyFont="1" applyFill="1" applyBorder="1" applyAlignment="1">
      <alignment horizontal="right" vertical="center" wrapText="1"/>
    </xf>
    <xf numFmtId="178" fontId="13" fillId="4" borderId="95" xfId="0" applyNumberFormat="1" applyFont="1" applyFill="1" applyBorder="1" applyAlignment="1">
      <alignment horizontal="right" vertical="center" wrapText="1"/>
    </xf>
    <xf numFmtId="3" fontId="13" fillId="4" borderId="45" xfId="0" applyNumberFormat="1" applyFont="1" applyFill="1" applyBorder="1" applyAlignment="1">
      <alignment horizontal="right" vertical="center" wrapText="1"/>
    </xf>
    <xf numFmtId="2" fontId="5" fillId="5" borderId="45" xfId="0" applyNumberFormat="1" applyFont="1" applyFill="1" applyBorder="1" applyAlignment="1">
      <alignment vertical="center" wrapText="1"/>
    </xf>
    <xf numFmtId="3" fontId="13" fillId="4" borderId="45" xfId="0" applyNumberFormat="1" applyFont="1" applyFill="1" applyBorder="1" applyAlignment="1">
      <alignment vertical="center" wrapText="1"/>
    </xf>
    <xf numFmtId="3" fontId="20" fillId="5" borderId="36" xfId="0" applyNumberFormat="1" applyFont="1" applyFill="1" applyBorder="1" applyAlignment="1">
      <alignment vertical="center" wrapText="1"/>
    </xf>
    <xf numFmtId="3" fontId="13" fillId="4" borderId="80" xfId="0" applyNumberFormat="1" applyFont="1" applyFill="1" applyBorder="1" applyAlignment="1">
      <alignment vertical="center" wrapText="1"/>
    </xf>
    <xf numFmtId="3" fontId="20" fillId="5" borderId="45" xfId="0" applyNumberFormat="1" applyFont="1" applyFill="1" applyBorder="1" applyAlignment="1">
      <alignment vertical="center" wrapText="1"/>
    </xf>
    <xf numFmtId="3" fontId="21" fillId="28" borderId="45" xfId="0" applyNumberFormat="1" applyFont="1" applyFill="1" applyBorder="1" applyAlignment="1">
      <alignment vertical="center" wrapText="1"/>
    </xf>
    <xf numFmtId="3" fontId="13" fillId="5" borderId="45" xfId="0" applyNumberFormat="1" applyFont="1" applyFill="1" applyBorder="1" applyAlignment="1">
      <alignment vertical="center" wrapText="1"/>
    </xf>
    <xf numFmtId="4" fontId="5" fillId="5" borderId="45" xfId="0" applyNumberFormat="1" applyFont="1" applyFill="1" applyBorder="1" applyAlignment="1">
      <alignment vertical="center" wrapText="1"/>
    </xf>
    <xf numFmtId="3" fontId="26" fillId="5" borderId="45" xfId="0" quotePrefix="1" applyNumberFormat="1" applyFont="1" applyFill="1" applyBorder="1" applyAlignment="1">
      <alignment vertical="center" wrapText="1"/>
    </xf>
    <xf numFmtId="3" fontId="13" fillId="19" borderId="45" xfId="0" applyNumberFormat="1" applyFont="1" applyFill="1" applyBorder="1" applyAlignment="1">
      <alignment vertical="center" wrapText="1"/>
    </xf>
    <xf numFmtId="3" fontId="29" fillId="4" borderId="45" xfId="0" applyNumberFormat="1" applyFont="1" applyFill="1" applyBorder="1" applyAlignment="1">
      <alignment vertical="center" wrapText="1"/>
    </xf>
    <xf numFmtId="3" fontId="13" fillId="4" borderId="64" xfId="0" applyNumberFormat="1" applyFont="1" applyFill="1" applyBorder="1" applyAlignment="1">
      <alignment vertical="center" wrapText="1"/>
    </xf>
    <xf numFmtId="3" fontId="13" fillId="4" borderId="57" xfId="0" applyNumberFormat="1" applyFont="1" applyFill="1" applyBorder="1" applyAlignment="1">
      <alignment vertical="center" wrapText="1"/>
    </xf>
    <xf numFmtId="3" fontId="13" fillId="4" borderId="57" xfId="0" applyNumberFormat="1" applyFont="1" applyFill="1" applyBorder="1" applyAlignment="1">
      <alignment horizontal="right" vertical="center" wrapText="1"/>
    </xf>
    <xf numFmtId="3" fontId="13" fillId="4" borderId="64" xfId="0" applyNumberFormat="1" applyFont="1" applyFill="1" applyBorder="1" applyAlignment="1">
      <alignment horizontal="right" vertical="center" wrapText="1"/>
    </xf>
    <xf numFmtId="3" fontId="29" fillId="4" borderId="45" xfId="0" applyNumberFormat="1" applyFont="1" applyFill="1" applyBorder="1" applyAlignment="1">
      <alignment horizontal="right" vertical="center" wrapText="1"/>
    </xf>
    <xf numFmtId="178" fontId="5" fillId="28" borderId="36" xfId="0" applyNumberFormat="1" applyFont="1" applyFill="1" applyBorder="1" applyAlignment="1">
      <alignment vertical="center" wrapText="1"/>
    </xf>
    <xf numFmtId="178" fontId="13" fillId="4" borderId="45" xfId="0" applyNumberFormat="1" applyFont="1" applyFill="1" applyBorder="1" applyAlignment="1">
      <alignment vertical="center" wrapText="1"/>
    </xf>
    <xf numFmtId="184" fontId="21" fillId="5" borderId="45" xfId="0" applyNumberFormat="1" applyFont="1" applyFill="1" applyBorder="1" applyAlignment="1">
      <alignment vertical="center" wrapText="1"/>
    </xf>
    <xf numFmtId="185" fontId="5" fillId="5" borderId="45" xfId="0" applyNumberFormat="1" applyFont="1" applyFill="1" applyBorder="1" applyAlignment="1">
      <alignment vertical="center" wrapText="1"/>
    </xf>
    <xf numFmtId="3" fontId="13" fillId="4" borderId="53" xfId="0" applyNumberFormat="1" applyFont="1" applyFill="1" applyBorder="1" applyAlignment="1">
      <alignment vertical="center" wrapText="1"/>
    </xf>
    <xf numFmtId="3" fontId="13" fillId="0" borderId="45" xfId="0" applyNumberFormat="1" applyFont="1" applyBorder="1" applyAlignment="1">
      <alignment vertical="center" wrapText="1"/>
    </xf>
    <xf numFmtId="178" fontId="13" fillId="0" borderId="45" xfId="0" applyNumberFormat="1" applyFont="1" applyBorder="1" applyAlignment="1">
      <alignment vertical="center" wrapText="1"/>
    </xf>
    <xf numFmtId="178" fontId="13" fillId="19" borderId="45" xfId="0" applyNumberFormat="1" applyFont="1" applyFill="1" applyBorder="1" applyAlignment="1">
      <alignment vertical="center" wrapText="1"/>
    </xf>
    <xf numFmtId="178" fontId="13" fillId="4" borderId="53" xfId="0" applyNumberFormat="1" applyFont="1" applyFill="1" applyBorder="1" applyAlignment="1">
      <alignment vertical="center" wrapText="1"/>
    </xf>
    <xf numFmtId="178" fontId="5" fillId="28" borderId="36" xfId="0" quotePrefix="1" applyNumberFormat="1" applyFont="1" applyFill="1" applyBorder="1" applyAlignment="1">
      <alignment vertical="center" wrapText="1"/>
    </xf>
    <xf numFmtId="178" fontId="5" fillId="5" borderId="45" xfId="0" applyNumberFormat="1" applyFont="1" applyFill="1" applyBorder="1" applyAlignment="1">
      <alignment vertical="center" wrapText="1"/>
    </xf>
    <xf numFmtId="178" fontId="21" fillId="5" borderId="45" xfId="0" applyNumberFormat="1" applyFont="1" applyFill="1" applyBorder="1" applyAlignment="1">
      <alignment vertical="center" wrapText="1"/>
    </xf>
    <xf numFmtId="3" fontId="21" fillId="5" borderId="45" xfId="0" applyNumberFormat="1" applyFont="1" applyFill="1" applyBorder="1" applyAlignment="1">
      <alignment vertical="center" wrapText="1"/>
    </xf>
    <xf numFmtId="178" fontId="13" fillId="4" borderId="53" xfId="0" quotePrefix="1" applyNumberFormat="1" applyFont="1" applyFill="1" applyBorder="1" applyAlignment="1">
      <alignment vertical="center" wrapText="1"/>
    </xf>
    <xf numFmtId="3" fontId="13" fillId="19" borderId="36" xfId="0" applyNumberFormat="1" applyFont="1" applyFill="1" applyBorder="1" applyAlignment="1">
      <alignment horizontal="right" vertical="center" wrapText="1"/>
    </xf>
    <xf numFmtId="3" fontId="13" fillId="4" borderId="80" xfId="0" applyNumberFormat="1" applyFont="1" applyFill="1" applyBorder="1" applyAlignment="1">
      <alignment horizontal="right" vertical="center" wrapText="1"/>
    </xf>
    <xf numFmtId="185" fontId="13" fillId="4" borderId="36" xfId="0" applyNumberFormat="1" applyFont="1" applyFill="1" applyBorder="1" applyAlignment="1">
      <alignment horizontal="right" vertical="center" wrapText="1"/>
    </xf>
    <xf numFmtId="185" fontId="13" fillId="4" borderId="80" xfId="0" applyNumberFormat="1" applyFont="1" applyFill="1" applyBorder="1" applyAlignment="1">
      <alignment horizontal="right" vertical="center" wrapText="1"/>
    </xf>
    <xf numFmtId="185" fontId="13" fillId="4" borderId="45" xfId="0" applyNumberFormat="1" applyFont="1" applyFill="1" applyBorder="1" applyAlignment="1">
      <alignment horizontal="right" vertical="center" wrapText="1"/>
    </xf>
    <xf numFmtId="178" fontId="13" fillId="4" borderId="80" xfId="0" applyNumberFormat="1" applyFont="1" applyFill="1" applyBorder="1" applyAlignment="1">
      <alignment vertical="center" wrapText="1"/>
    </xf>
    <xf numFmtId="185" fontId="13" fillId="4" borderId="45" xfId="0" applyNumberFormat="1" applyFont="1" applyFill="1" applyBorder="1" applyAlignment="1">
      <alignment vertical="center" wrapText="1"/>
    </xf>
    <xf numFmtId="178" fontId="13" fillId="4" borderId="57" xfId="0" applyNumberFormat="1" applyFont="1" applyFill="1" applyBorder="1" applyAlignment="1">
      <alignment vertical="center" wrapText="1"/>
    </xf>
    <xf numFmtId="178" fontId="5" fillId="4" borderId="53" xfId="0" applyNumberFormat="1" applyFont="1" applyFill="1" applyBorder="1" applyAlignment="1">
      <alignment vertical="center" wrapText="1"/>
    </xf>
    <xf numFmtId="178" fontId="13" fillId="4" borderId="80" xfId="0" applyNumberFormat="1" applyFont="1" applyFill="1" applyBorder="1" applyAlignment="1">
      <alignment horizontal="right" vertical="center" wrapText="1"/>
    </xf>
    <xf numFmtId="178" fontId="13" fillId="4" borderId="57" xfId="0" applyNumberFormat="1" applyFont="1" applyFill="1" applyBorder="1" applyAlignment="1">
      <alignment horizontal="right" vertical="center" wrapText="1"/>
    </xf>
    <xf numFmtId="3" fontId="13" fillId="4" borderId="53" xfId="0" applyNumberFormat="1" applyFont="1" applyFill="1" applyBorder="1" applyAlignment="1">
      <alignment horizontal="right" vertical="center" wrapText="1"/>
    </xf>
    <xf numFmtId="185" fontId="13" fillId="5" borderId="36" xfId="0" applyNumberFormat="1" applyFont="1" applyFill="1" applyBorder="1" applyAlignment="1">
      <alignment horizontal="right" vertical="center" wrapText="1"/>
    </xf>
    <xf numFmtId="185" fontId="29" fillId="5" borderId="45" xfId="0" applyNumberFormat="1" applyFont="1" applyFill="1" applyBorder="1" applyAlignment="1">
      <alignment horizontal="right" vertical="center" wrapText="1"/>
    </xf>
    <xf numFmtId="178" fontId="29" fillId="4" borderId="45" xfId="0" applyNumberFormat="1" applyFont="1" applyFill="1" applyBorder="1" applyAlignment="1">
      <alignment horizontal="right" vertical="center" wrapText="1"/>
    </xf>
    <xf numFmtId="185" fontId="29" fillId="5" borderId="80" xfId="0" applyNumberFormat="1" applyFont="1" applyFill="1" applyBorder="1" applyAlignment="1">
      <alignment horizontal="right" vertical="center" wrapText="1"/>
    </xf>
    <xf numFmtId="178" fontId="13" fillId="4" borderId="53" xfId="0" applyNumberFormat="1" applyFont="1" applyFill="1" applyBorder="1" applyAlignment="1">
      <alignment horizontal="right" vertical="center" wrapText="1"/>
    </xf>
    <xf numFmtId="178" fontId="13" fillId="5" borderId="36" xfId="0" applyNumberFormat="1" applyFont="1" applyFill="1" applyBorder="1" applyAlignment="1">
      <alignment horizontal="right" vertical="center" wrapText="1"/>
    </xf>
    <xf numFmtId="178" fontId="13" fillId="5" borderId="45" xfId="0" applyNumberFormat="1" applyFont="1" applyFill="1" applyBorder="1" applyAlignment="1">
      <alignment horizontal="right" vertical="center" wrapText="1"/>
    </xf>
    <xf numFmtId="178" fontId="13" fillId="15" borderId="80" xfId="0" applyNumberFormat="1" applyFont="1" applyFill="1" applyBorder="1" applyAlignment="1">
      <alignment horizontal="right" vertical="center" wrapText="1"/>
    </xf>
    <xf numFmtId="178" fontId="13" fillId="15" borderId="45" xfId="0" applyNumberFormat="1" applyFont="1" applyFill="1" applyBorder="1" applyAlignment="1">
      <alignment horizontal="right" vertical="center" wrapText="1"/>
    </xf>
    <xf numFmtId="3" fontId="5" fillId="0" borderId="45" xfId="0" applyNumberFormat="1" applyFont="1" applyBorder="1" applyAlignment="1">
      <alignment horizontal="right" vertical="center" wrapText="1"/>
    </xf>
    <xf numFmtId="3" fontId="5" fillId="4" borderId="45" xfId="0" applyNumberFormat="1" applyFont="1" applyFill="1" applyBorder="1" applyAlignment="1">
      <alignment horizontal="right" vertical="center" wrapText="1"/>
    </xf>
    <xf numFmtId="3" fontId="5" fillId="19" borderId="45" xfId="0" applyNumberFormat="1" applyFont="1" applyFill="1" applyBorder="1" applyAlignment="1">
      <alignment horizontal="right" vertical="center" wrapText="1"/>
    </xf>
    <xf numFmtId="178" fontId="21" fillId="5" borderId="45" xfId="0" applyNumberFormat="1" applyFont="1" applyFill="1" applyBorder="1" applyAlignment="1">
      <alignment horizontal="right" vertical="center" wrapText="1"/>
    </xf>
    <xf numFmtId="0" fontId="16" fillId="7" borderId="213" xfId="0" applyFont="1" applyFill="1" applyBorder="1" applyAlignment="1">
      <alignment horizontal="center" vertical="center" wrapText="1"/>
    </xf>
    <xf numFmtId="0" fontId="16" fillId="7" borderId="214" xfId="0" applyFont="1" applyFill="1" applyBorder="1" applyAlignment="1">
      <alignment horizontal="center" vertical="center" wrapText="1"/>
    </xf>
    <xf numFmtId="0" fontId="10" fillId="12" borderId="215" xfId="0" applyFont="1" applyFill="1" applyBorder="1" applyAlignment="1">
      <alignment horizontal="center" vertical="center" wrapText="1"/>
    </xf>
    <xf numFmtId="0" fontId="10" fillId="12" borderId="216" xfId="0" applyFont="1" applyFill="1" applyBorder="1" applyAlignment="1">
      <alignment horizontal="center" vertical="center" wrapText="1"/>
    </xf>
    <xf numFmtId="0" fontId="19" fillId="14" borderId="217" xfId="0" applyFont="1" applyFill="1" applyBorder="1" applyAlignment="1">
      <alignment horizontal="left" vertical="center"/>
    </xf>
    <xf numFmtId="0" fontId="19" fillId="14" borderId="218" xfId="0" applyFont="1" applyFill="1" applyBorder="1" applyAlignment="1">
      <alignment horizontal="left" vertical="center"/>
    </xf>
    <xf numFmtId="178" fontId="5" fillId="16" borderId="219" xfId="0" applyNumberFormat="1" applyFont="1" applyFill="1" applyBorder="1" applyAlignment="1">
      <alignment horizontal="right" vertical="center" wrapText="1"/>
    </xf>
    <xf numFmtId="178" fontId="13" fillId="16" borderId="220" xfId="0" applyNumberFormat="1" applyFont="1" applyFill="1" applyBorder="1" applyAlignment="1">
      <alignment horizontal="right" vertical="center" wrapText="1"/>
    </xf>
    <xf numFmtId="178" fontId="19" fillId="14" borderId="217" xfId="0" applyNumberFormat="1" applyFont="1" applyFill="1" applyBorder="1" applyAlignment="1">
      <alignment horizontal="right" vertical="center" wrapText="1"/>
    </xf>
    <xf numFmtId="178" fontId="19" fillId="14" borderId="218" xfId="0" applyNumberFormat="1" applyFont="1" applyFill="1" applyBorder="1" applyAlignment="1">
      <alignment horizontal="right" vertical="center" wrapText="1"/>
    </xf>
    <xf numFmtId="0" fontId="19" fillId="14" borderId="217" xfId="0" applyFont="1" applyFill="1" applyBorder="1" applyAlignment="1">
      <alignment vertical="center" wrapText="1"/>
    </xf>
    <xf numFmtId="0" fontId="19" fillId="14" borderId="218" xfId="0" applyFont="1" applyFill="1" applyBorder="1" applyAlignment="1">
      <alignment vertical="center" wrapText="1"/>
    </xf>
    <xf numFmtId="178" fontId="5" fillId="16" borderId="220" xfId="0" applyNumberFormat="1" applyFont="1" applyFill="1" applyBorder="1" applyAlignment="1">
      <alignment horizontal="right" vertical="center" wrapText="1"/>
    </xf>
    <xf numFmtId="178" fontId="15" fillId="14" borderId="217" xfId="0" applyNumberFormat="1" applyFont="1" applyFill="1" applyBorder="1" applyAlignment="1">
      <alignment horizontal="right" vertical="center"/>
    </xf>
    <xf numFmtId="178" fontId="15" fillId="14" borderId="218" xfId="0" applyNumberFormat="1" applyFont="1" applyFill="1" applyBorder="1" applyAlignment="1">
      <alignment horizontal="right" vertical="center"/>
    </xf>
    <xf numFmtId="178" fontId="5" fillId="19" borderId="219" xfId="0" applyNumberFormat="1" applyFont="1" applyFill="1" applyBorder="1" applyAlignment="1">
      <alignment horizontal="right" vertical="center" wrapText="1"/>
    </xf>
    <xf numFmtId="178" fontId="13" fillId="19" borderId="220" xfId="0" applyNumberFormat="1" applyFont="1" applyFill="1" applyBorder="1" applyAlignment="1">
      <alignment horizontal="right" vertical="center" wrapText="1"/>
    </xf>
    <xf numFmtId="178" fontId="13" fillId="4" borderId="219" xfId="0" applyNumberFormat="1" applyFont="1" applyFill="1" applyBorder="1" applyAlignment="1">
      <alignment horizontal="right" vertical="center" wrapText="1"/>
    </xf>
    <xf numFmtId="178" fontId="13" fillId="4" borderId="220" xfId="0" applyNumberFormat="1" applyFont="1" applyFill="1" applyBorder="1" applyAlignment="1">
      <alignment horizontal="right" vertical="center" wrapText="1"/>
    </xf>
    <xf numFmtId="178" fontId="5" fillId="19" borderId="221" xfId="0" quotePrefix="1" applyNumberFormat="1" applyFont="1" applyFill="1" applyBorder="1" applyAlignment="1">
      <alignment horizontal="right" vertical="center"/>
    </xf>
    <xf numFmtId="178" fontId="5" fillId="19" borderId="222" xfId="0" quotePrefix="1" applyNumberFormat="1" applyFont="1" applyFill="1" applyBorder="1" applyAlignment="1">
      <alignment horizontal="right" vertical="center"/>
    </xf>
    <xf numFmtId="3" fontId="13" fillId="4" borderId="219" xfId="0" applyNumberFormat="1" applyFont="1" applyFill="1" applyBorder="1" applyAlignment="1">
      <alignment vertical="center" wrapText="1"/>
    </xf>
    <xf numFmtId="3" fontId="13" fillId="4" borderId="220" xfId="0" applyNumberFormat="1" applyFont="1" applyFill="1" applyBorder="1" applyAlignment="1">
      <alignment vertical="center" wrapText="1"/>
    </xf>
    <xf numFmtId="178" fontId="5" fillId="4" borderId="219" xfId="0" applyNumberFormat="1" applyFont="1" applyFill="1" applyBorder="1" applyAlignment="1">
      <alignment horizontal="right" vertical="center" wrapText="1"/>
    </xf>
    <xf numFmtId="3" fontId="5" fillId="4" borderId="220" xfId="0" applyNumberFormat="1" applyFont="1" applyFill="1" applyBorder="1" applyAlignment="1">
      <alignment vertical="center" wrapText="1"/>
    </xf>
    <xf numFmtId="178" fontId="13" fillId="4" borderId="223" xfId="0" applyNumberFormat="1" applyFont="1" applyFill="1" applyBorder="1" applyAlignment="1">
      <alignment horizontal="right" vertical="center" wrapText="1"/>
    </xf>
    <xf numFmtId="3" fontId="13" fillId="4" borderId="224" xfId="0" applyNumberFormat="1" applyFont="1" applyFill="1" applyBorder="1" applyAlignment="1">
      <alignment vertical="center" wrapText="1"/>
    </xf>
    <xf numFmtId="0" fontId="15" fillId="11" borderId="225" xfId="0" applyFont="1" applyFill="1" applyBorder="1" applyAlignment="1">
      <alignment horizontal="left" vertical="top"/>
    </xf>
    <xf numFmtId="0" fontId="15" fillId="11" borderId="226" xfId="0" applyFont="1" applyFill="1" applyBorder="1" applyAlignment="1">
      <alignment horizontal="left" vertical="top"/>
    </xf>
    <xf numFmtId="0" fontId="15" fillId="14" borderId="217" xfId="0" applyFont="1" applyFill="1" applyBorder="1" applyAlignment="1">
      <alignment horizontal="center" vertical="center"/>
    </xf>
    <xf numFmtId="0" fontId="15" fillId="14" borderId="218" xfId="0" applyFont="1" applyFill="1" applyBorder="1" applyAlignment="1">
      <alignment horizontal="center" vertical="center"/>
    </xf>
    <xf numFmtId="2" fontId="5" fillId="5" borderId="219" xfId="0" applyNumberFormat="1" applyFont="1" applyFill="1" applyBorder="1" applyAlignment="1">
      <alignment vertical="center" wrapText="1"/>
    </xf>
    <xf numFmtId="2" fontId="5" fillId="5" borderId="220" xfId="0" applyNumberFormat="1" applyFont="1" applyFill="1" applyBorder="1" applyAlignment="1">
      <alignment vertical="center" wrapText="1"/>
    </xf>
    <xf numFmtId="3" fontId="5" fillId="4" borderId="219" xfId="0" applyNumberFormat="1" applyFont="1" applyFill="1" applyBorder="1" applyAlignment="1">
      <alignment vertical="center" wrapText="1"/>
    </xf>
    <xf numFmtId="0" fontId="5" fillId="19" borderId="219" xfId="0" quotePrefix="1" applyFont="1" applyFill="1" applyBorder="1" applyAlignment="1">
      <alignment horizontal="right" vertical="center"/>
    </xf>
    <xf numFmtId="0" fontId="5" fillId="19" borderId="220" xfId="0" quotePrefix="1" applyFont="1" applyFill="1" applyBorder="1" applyAlignment="1">
      <alignment horizontal="right" vertical="center"/>
    </xf>
    <xf numFmtId="3" fontId="20" fillId="5" borderId="227" xfId="0" applyNumberFormat="1" applyFont="1" applyFill="1" applyBorder="1" applyAlignment="1">
      <alignment vertical="center" wrapText="1"/>
    </xf>
    <xf numFmtId="3" fontId="20" fillId="5" borderId="228" xfId="0" applyNumberFormat="1" applyFont="1" applyFill="1" applyBorder="1" applyAlignment="1">
      <alignment vertical="center" wrapText="1"/>
    </xf>
    <xf numFmtId="3" fontId="22" fillId="22" borderId="229" xfId="0" applyNumberFormat="1" applyFont="1" applyFill="1" applyBorder="1" applyAlignment="1">
      <alignment horizontal="right" vertical="center" wrapText="1"/>
    </xf>
    <xf numFmtId="3" fontId="22" fillId="22" borderId="230" xfId="0" applyNumberFormat="1" applyFont="1" applyFill="1" applyBorder="1" applyAlignment="1">
      <alignment horizontal="right" vertical="center" wrapText="1"/>
    </xf>
    <xf numFmtId="3" fontId="20" fillId="5" borderId="219" xfId="0" applyNumberFormat="1" applyFont="1" applyFill="1" applyBorder="1" applyAlignment="1">
      <alignment vertical="center" wrapText="1"/>
    </xf>
    <xf numFmtId="3" fontId="20" fillId="5" borderId="220" xfId="0" applyNumberFormat="1" applyFont="1" applyFill="1" applyBorder="1" applyAlignment="1">
      <alignment vertical="center" wrapText="1"/>
    </xf>
    <xf numFmtId="3" fontId="24" fillId="26" borderId="219" xfId="0" applyNumberFormat="1" applyFont="1" applyFill="1" applyBorder="1" applyAlignment="1">
      <alignment horizontal="right" vertical="center" wrapText="1"/>
    </xf>
    <xf numFmtId="3" fontId="24" fillId="26" borderId="220" xfId="0" applyNumberFormat="1" applyFont="1" applyFill="1" applyBorder="1" applyAlignment="1">
      <alignment horizontal="right" vertical="center" wrapText="1"/>
    </xf>
    <xf numFmtId="3" fontId="22" fillId="22" borderId="219" xfId="0" applyNumberFormat="1" applyFont="1" applyFill="1" applyBorder="1" applyAlignment="1">
      <alignment horizontal="right" vertical="center" wrapText="1"/>
    </xf>
    <xf numFmtId="3" fontId="22" fillId="22" borderId="220" xfId="0" applyNumberFormat="1" applyFont="1" applyFill="1" applyBorder="1" applyAlignment="1">
      <alignment horizontal="right" vertical="center" wrapText="1"/>
    </xf>
    <xf numFmtId="3" fontId="5" fillId="5" borderId="219" xfId="0" applyNumberFormat="1" applyFont="1" applyFill="1" applyBorder="1" applyAlignment="1">
      <alignment horizontal="right" vertical="center" wrapText="1"/>
    </xf>
    <xf numFmtId="3" fontId="5" fillId="5" borderId="220" xfId="0" applyNumberFormat="1" applyFont="1" applyFill="1" applyBorder="1" applyAlignment="1">
      <alignment horizontal="right" vertical="center" wrapText="1"/>
    </xf>
    <xf numFmtId="3" fontId="5" fillId="4" borderId="219" xfId="0" applyNumberFormat="1" applyFont="1" applyFill="1" applyBorder="1" applyAlignment="1">
      <alignment horizontal="right" vertical="center" wrapText="1"/>
    </xf>
    <xf numFmtId="3" fontId="5" fillId="4" borderId="220" xfId="0" applyNumberFormat="1" applyFont="1" applyFill="1" applyBorder="1" applyAlignment="1">
      <alignment horizontal="right" vertical="center" wrapText="1"/>
    </xf>
    <xf numFmtId="4" fontId="22" fillId="27" borderId="219" xfId="0" applyNumberFormat="1" applyFont="1" applyFill="1" applyBorder="1" applyAlignment="1">
      <alignment horizontal="right" vertical="center" wrapText="1"/>
    </xf>
    <xf numFmtId="4" fontId="5" fillId="5" borderId="220" xfId="0" applyNumberFormat="1" applyFont="1" applyFill="1" applyBorder="1" applyAlignment="1">
      <alignment vertical="center" wrapText="1"/>
    </xf>
    <xf numFmtId="0" fontId="5" fillId="3" borderId="219" xfId="0" applyFont="1" applyFill="1" applyBorder="1" applyAlignment="1">
      <alignment horizontal="right" vertical="center"/>
    </xf>
    <xf numFmtId="3" fontId="26" fillId="5" borderId="219" xfId="0" quotePrefix="1" applyNumberFormat="1" applyFont="1" applyFill="1" applyBorder="1" applyAlignment="1">
      <alignment horizontal="right" vertical="center" wrapText="1"/>
    </xf>
    <xf numFmtId="3" fontId="26" fillId="5" borderId="220" xfId="0" quotePrefix="1" applyNumberFormat="1" applyFont="1" applyFill="1" applyBorder="1" applyAlignment="1">
      <alignment horizontal="right" vertical="center" wrapText="1"/>
    </xf>
    <xf numFmtId="3" fontId="5" fillId="19" borderId="219" xfId="0" applyNumberFormat="1" applyFont="1" applyFill="1" applyBorder="1" applyAlignment="1">
      <alignment horizontal="right" vertical="center" wrapText="1"/>
    </xf>
    <xf numFmtId="3" fontId="5" fillId="19" borderId="220" xfId="0" applyNumberFormat="1" applyFont="1" applyFill="1" applyBorder="1" applyAlignment="1">
      <alignment horizontal="right" vertical="center" wrapText="1"/>
    </xf>
    <xf numFmtId="0" fontId="15" fillId="14" borderId="231" xfId="0" applyFont="1" applyFill="1" applyBorder="1" applyAlignment="1">
      <alignment horizontal="center" vertical="center"/>
    </xf>
    <xf numFmtId="0" fontId="15" fillId="14" borderId="232" xfId="0" applyFont="1" applyFill="1" applyBorder="1" applyAlignment="1">
      <alignment horizontal="center" vertical="center"/>
    </xf>
    <xf numFmtId="3" fontId="5" fillId="5" borderId="227" xfId="0" applyNumberFormat="1" applyFont="1" applyFill="1" applyBorder="1" applyAlignment="1">
      <alignment vertical="center" wrapText="1"/>
    </xf>
    <xf numFmtId="3" fontId="5" fillId="5" borderId="228" xfId="0" applyNumberFormat="1" applyFont="1" applyFill="1" applyBorder="1" applyAlignment="1">
      <alignment vertical="center" wrapText="1"/>
    </xf>
    <xf numFmtId="3" fontId="5" fillId="5" borderId="219" xfId="0" applyNumberFormat="1" applyFont="1" applyFill="1" applyBorder="1" applyAlignment="1">
      <alignment vertical="center" wrapText="1"/>
    </xf>
    <xf numFmtId="3" fontId="5" fillId="5" borderId="233" xfId="0" applyNumberFormat="1" applyFont="1" applyFill="1" applyBorder="1" applyAlignment="1">
      <alignment vertical="center" wrapText="1"/>
    </xf>
    <xf numFmtId="3" fontId="13" fillId="4" borderId="219" xfId="0" applyNumberFormat="1" applyFont="1" applyFill="1" applyBorder="1" applyAlignment="1">
      <alignment horizontal="right" vertical="center" wrapText="1"/>
    </xf>
    <xf numFmtId="3" fontId="13" fillId="4" borderId="234" xfId="0" applyNumberFormat="1" applyFont="1" applyFill="1" applyBorder="1" applyAlignment="1">
      <alignment horizontal="right" vertical="center" wrapText="1"/>
    </xf>
    <xf numFmtId="3" fontId="13" fillId="4" borderId="221" xfId="0" applyNumberFormat="1" applyFont="1" applyFill="1" applyBorder="1" applyAlignment="1">
      <alignment horizontal="right" vertical="center" wrapText="1"/>
    </xf>
    <xf numFmtId="3" fontId="13" fillId="4" borderId="222" xfId="0" applyNumberFormat="1" applyFont="1" applyFill="1" applyBorder="1" applyAlignment="1">
      <alignment horizontal="right" vertical="center" wrapText="1"/>
    </xf>
    <xf numFmtId="3" fontId="29" fillId="4" borderId="219" xfId="0" applyNumberFormat="1" applyFont="1" applyFill="1" applyBorder="1" applyAlignment="1">
      <alignment horizontal="right" vertical="center" wrapText="1"/>
    </xf>
    <xf numFmtId="3" fontId="29" fillId="4" borderId="220" xfId="0" applyNumberFormat="1" applyFont="1" applyFill="1" applyBorder="1" applyAlignment="1">
      <alignment horizontal="right" vertical="center" wrapText="1"/>
    </xf>
    <xf numFmtId="3" fontId="5" fillId="28" borderId="227" xfId="0" applyNumberFormat="1" applyFont="1" applyFill="1" applyBorder="1" applyAlignment="1">
      <alignment vertical="center" wrapText="1"/>
    </xf>
    <xf numFmtId="0" fontId="5" fillId="28" borderId="228" xfId="0" applyFont="1" applyFill="1" applyBorder="1" applyAlignment="1">
      <alignment vertical="center" wrapText="1"/>
    </xf>
    <xf numFmtId="4" fontId="13" fillId="4" borderId="220" xfId="0" applyNumberFormat="1" applyFont="1" applyFill="1" applyBorder="1" applyAlignment="1">
      <alignment horizontal="center" vertical="center" wrapText="1"/>
    </xf>
    <xf numFmtId="184" fontId="21" fillId="5" borderId="219" xfId="0" applyNumberFormat="1" applyFont="1" applyFill="1" applyBorder="1" applyAlignment="1">
      <alignment vertical="center" wrapText="1"/>
    </xf>
    <xf numFmtId="184" fontId="21" fillId="5" borderId="220" xfId="0" applyNumberFormat="1" applyFont="1" applyFill="1" applyBorder="1" applyAlignment="1">
      <alignment vertical="center" wrapText="1"/>
    </xf>
    <xf numFmtId="0" fontId="5" fillId="0" borderId="219" xfId="0" applyFont="1" applyBorder="1" applyAlignment="1">
      <alignment horizontal="center" vertical="center"/>
    </xf>
    <xf numFmtId="0" fontId="5" fillId="0" borderId="220" xfId="0" applyFont="1" applyBorder="1" applyAlignment="1">
      <alignment horizontal="center" vertical="center"/>
    </xf>
    <xf numFmtId="3" fontId="5" fillId="5" borderId="220" xfId="0" applyNumberFormat="1" applyFont="1" applyFill="1" applyBorder="1" applyAlignment="1">
      <alignment vertical="center" wrapText="1"/>
    </xf>
    <xf numFmtId="185" fontId="5" fillId="5" borderId="219" xfId="0" applyNumberFormat="1" applyFont="1" applyFill="1" applyBorder="1" applyAlignment="1">
      <alignment vertical="center" wrapText="1"/>
    </xf>
    <xf numFmtId="185" fontId="5" fillId="5" borderId="220" xfId="0" applyNumberFormat="1" applyFont="1" applyFill="1" applyBorder="1" applyAlignment="1">
      <alignment vertical="center" wrapText="1"/>
    </xf>
    <xf numFmtId="3" fontId="13" fillId="4" borderId="235" xfId="0" applyNumberFormat="1" applyFont="1" applyFill="1" applyBorder="1" applyAlignment="1">
      <alignment vertical="center" wrapText="1"/>
    </xf>
    <xf numFmtId="3" fontId="13" fillId="4" borderId="236" xfId="0" applyNumberFormat="1" applyFont="1" applyFill="1" applyBorder="1" applyAlignment="1">
      <alignment vertical="center" wrapText="1"/>
    </xf>
    <xf numFmtId="0" fontId="15" fillId="14" borderId="225" xfId="0" applyFont="1" applyFill="1" applyBorder="1" applyAlignment="1">
      <alignment horizontal="center" vertical="center"/>
    </xf>
    <xf numFmtId="0" fontId="15" fillId="14" borderId="226" xfId="0" applyFont="1" applyFill="1" applyBorder="1" applyAlignment="1">
      <alignment horizontal="center" vertical="center"/>
    </xf>
    <xf numFmtId="3" fontId="13" fillId="4" borderId="223" xfId="0" applyNumberFormat="1" applyFont="1" applyFill="1" applyBorder="1" applyAlignment="1">
      <alignment vertical="center" wrapText="1"/>
    </xf>
    <xf numFmtId="3" fontId="5" fillId="28" borderId="228" xfId="0" applyNumberFormat="1" applyFont="1" applyFill="1" applyBorder="1" applyAlignment="1">
      <alignment vertical="center" wrapText="1"/>
    </xf>
    <xf numFmtId="3" fontId="13" fillId="0" borderId="219" xfId="0" applyNumberFormat="1" applyFont="1" applyBorder="1" applyAlignment="1">
      <alignment vertical="center" wrapText="1"/>
    </xf>
    <xf numFmtId="178" fontId="5" fillId="19" borderId="234" xfId="0" quotePrefix="1" applyNumberFormat="1" applyFont="1" applyFill="1" applyBorder="1" applyAlignment="1">
      <alignment horizontal="center" vertical="center"/>
    </xf>
    <xf numFmtId="178" fontId="5" fillId="19" borderId="237" xfId="0" quotePrefix="1" applyNumberFormat="1" applyFont="1" applyFill="1" applyBorder="1" applyAlignment="1">
      <alignment horizontal="center" vertical="center"/>
    </xf>
    <xf numFmtId="3" fontId="13" fillId="18" borderId="219" xfId="0" applyNumberFormat="1" applyFont="1" applyFill="1" applyBorder="1" applyAlignment="1">
      <alignment vertical="center" wrapText="1"/>
    </xf>
    <xf numFmtId="178" fontId="15" fillId="14" borderId="217" xfId="0" applyNumberFormat="1" applyFont="1" applyFill="1" applyBorder="1" applyAlignment="1">
      <alignment horizontal="center" vertical="center"/>
    </xf>
    <xf numFmtId="178" fontId="15" fillId="14" borderId="218" xfId="0" applyNumberFormat="1" applyFont="1" applyFill="1" applyBorder="1" applyAlignment="1">
      <alignment horizontal="center" vertical="center"/>
    </xf>
    <xf numFmtId="3" fontId="5" fillId="28" borderId="227" xfId="0" quotePrefix="1" applyNumberFormat="1" applyFont="1" applyFill="1" applyBorder="1" applyAlignment="1">
      <alignment vertical="center" wrapText="1"/>
    </xf>
    <xf numFmtId="3" fontId="5" fillId="28" borderId="228" xfId="0" quotePrefix="1" applyNumberFormat="1" applyFont="1" applyFill="1" applyBorder="1" applyAlignment="1">
      <alignment vertical="center" wrapText="1"/>
    </xf>
    <xf numFmtId="178" fontId="5" fillId="14" borderId="219" xfId="0" quotePrefix="1" applyNumberFormat="1" applyFont="1" applyFill="1" applyBorder="1" applyAlignment="1">
      <alignment horizontal="center" vertical="center"/>
    </xf>
    <xf numFmtId="178" fontId="5" fillId="14" borderId="220" xfId="0" quotePrefix="1" applyNumberFormat="1" applyFont="1" applyFill="1" applyBorder="1" applyAlignment="1">
      <alignment horizontal="center" vertical="center"/>
    </xf>
    <xf numFmtId="178" fontId="13" fillId="0" borderId="219" xfId="0" applyNumberFormat="1" applyFont="1" applyBorder="1" applyAlignment="1">
      <alignment vertical="center" wrapText="1"/>
    </xf>
    <xf numFmtId="178" fontId="13" fillId="18" borderId="220" xfId="0" applyNumberFormat="1" applyFont="1" applyFill="1" applyBorder="1" applyAlignment="1">
      <alignment vertical="center" wrapText="1"/>
    </xf>
    <xf numFmtId="177" fontId="5" fillId="14" borderId="219" xfId="0" quotePrefix="1" applyNumberFormat="1" applyFont="1" applyFill="1" applyBorder="1" applyAlignment="1">
      <alignment horizontal="center" vertical="center"/>
    </xf>
    <xf numFmtId="177" fontId="5" fillId="14" borderId="220" xfId="0" quotePrefix="1" applyNumberFormat="1" applyFont="1" applyFill="1" applyBorder="1" applyAlignment="1">
      <alignment horizontal="center" vertical="center"/>
    </xf>
    <xf numFmtId="3" fontId="13" fillId="0" borderId="227" xfId="0" applyNumberFormat="1" applyFont="1" applyBorder="1" applyAlignment="1">
      <alignment vertical="center" wrapText="1"/>
    </xf>
    <xf numFmtId="3" fontId="21" fillId="5" borderId="219" xfId="0" applyNumberFormat="1" applyFont="1" applyFill="1" applyBorder="1" applyAlignment="1">
      <alignment vertical="center" wrapText="1"/>
    </xf>
    <xf numFmtId="3" fontId="21" fillId="5" borderId="220" xfId="0" applyNumberFormat="1" applyFont="1" applyFill="1" applyBorder="1" applyAlignment="1">
      <alignment vertical="center" wrapText="1"/>
    </xf>
    <xf numFmtId="3" fontId="13" fillId="4" borderId="229" xfId="0" applyNumberFormat="1" applyFont="1" applyFill="1" applyBorder="1" applyAlignment="1">
      <alignment vertical="center" wrapText="1"/>
    </xf>
    <xf numFmtId="3" fontId="13" fillId="4" borderId="230" xfId="0" applyNumberFormat="1" applyFont="1" applyFill="1" applyBorder="1" applyAlignment="1">
      <alignment vertical="center" wrapText="1"/>
    </xf>
    <xf numFmtId="3" fontId="13" fillId="4" borderId="235" xfId="0" quotePrefix="1" applyNumberFormat="1" applyFont="1" applyFill="1" applyBorder="1" applyAlignment="1">
      <alignment vertical="center" wrapText="1"/>
    </xf>
    <xf numFmtId="4" fontId="5" fillId="5" borderId="219" xfId="0" applyNumberFormat="1" applyFont="1" applyFill="1" applyBorder="1" applyAlignment="1">
      <alignment vertical="center" wrapText="1"/>
    </xf>
    <xf numFmtId="0" fontId="15" fillId="14" borderId="225" xfId="0" applyFont="1" applyFill="1" applyBorder="1" applyAlignment="1">
      <alignment horizontal="right" vertical="center"/>
    </xf>
    <xf numFmtId="0" fontId="15" fillId="14" borderId="226" xfId="0" applyFont="1" applyFill="1" applyBorder="1" applyAlignment="1">
      <alignment horizontal="right" vertical="center"/>
    </xf>
    <xf numFmtId="0" fontId="5" fillId="19" borderId="227" xfId="0" quotePrefix="1" applyFont="1" applyFill="1" applyBorder="1" applyAlignment="1">
      <alignment horizontal="center" vertical="center"/>
    </xf>
    <xf numFmtId="0" fontId="5" fillId="19" borderId="228" xfId="0" quotePrefix="1" applyFont="1" applyFill="1" applyBorder="1" applyAlignment="1">
      <alignment horizontal="center" vertical="center"/>
    </xf>
    <xf numFmtId="3" fontId="13" fillId="19" borderId="219" xfId="0" applyNumberFormat="1" applyFont="1" applyFill="1" applyBorder="1" applyAlignment="1">
      <alignment vertical="center" wrapText="1"/>
    </xf>
    <xf numFmtId="3" fontId="13" fillId="19" borderId="220" xfId="0" applyNumberFormat="1" applyFont="1" applyFill="1" applyBorder="1" applyAlignment="1">
      <alignment vertical="center" wrapText="1"/>
    </xf>
    <xf numFmtId="0" fontId="5" fillId="19" borderId="219" xfId="0" applyFont="1" applyFill="1" applyBorder="1" applyAlignment="1">
      <alignment horizontal="center" vertical="center"/>
    </xf>
    <xf numFmtId="0" fontId="5" fillId="19" borderId="220" xfId="0" applyFont="1" applyFill="1" applyBorder="1" applyAlignment="1">
      <alignment horizontal="center" vertical="center"/>
    </xf>
    <xf numFmtId="3" fontId="13" fillId="0" borderId="219" xfId="0" applyNumberFormat="1" applyFont="1" applyBorder="1" applyAlignment="1">
      <alignment vertical="top" wrapText="1"/>
    </xf>
    <xf numFmtId="3" fontId="13" fillId="0" borderId="221" xfId="0" applyNumberFormat="1" applyFont="1" applyBorder="1" applyAlignment="1">
      <alignment vertical="center" wrapText="1"/>
    </xf>
    <xf numFmtId="3" fontId="13" fillId="0" borderId="229" xfId="0" applyNumberFormat="1" applyFont="1" applyBorder="1" applyAlignment="1">
      <alignment vertical="center" wrapText="1"/>
    </xf>
    <xf numFmtId="3" fontId="21" fillId="0" borderId="219" xfId="0" applyNumberFormat="1" applyFont="1" applyBorder="1" applyAlignment="1">
      <alignment horizontal="right" vertical="center" wrapText="1"/>
    </xf>
    <xf numFmtId="3" fontId="21" fillId="15" borderId="220" xfId="0" applyNumberFormat="1" applyFont="1" applyFill="1" applyBorder="1" applyAlignment="1">
      <alignment horizontal="right" vertical="center" wrapText="1"/>
    </xf>
    <xf numFmtId="177" fontId="5" fillId="14" borderId="219" xfId="0" quotePrefix="1" applyNumberFormat="1" applyFont="1" applyFill="1" applyBorder="1" applyAlignment="1">
      <alignment horizontal="right" vertical="center"/>
    </xf>
    <xf numFmtId="177" fontId="5" fillId="14" borderId="220" xfId="0" quotePrefix="1" applyNumberFormat="1" applyFont="1" applyFill="1" applyBorder="1" applyAlignment="1">
      <alignment horizontal="right" vertical="center"/>
    </xf>
    <xf numFmtId="3" fontId="13" fillId="4" borderId="229" xfId="0" applyNumberFormat="1" applyFont="1" applyFill="1" applyBorder="1" applyAlignment="1">
      <alignment horizontal="right" vertical="center" wrapText="1"/>
    </xf>
    <xf numFmtId="3" fontId="13" fillId="4" borderId="220" xfId="0" applyNumberFormat="1" applyFont="1" applyFill="1" applyBorder="1" applyAlignment="1">
      <alignment horizontal="right" vertical="center" wrapText="1"/>
    </xf>
    <xf numFmtId="3" fontId="13" fillId="4" borderId="221" xfId="0" applyNumberFormat="1" applyFont="1" applyFill="1" applyBorder="1" applyAlignment="1">
      <alignment vertical="center" wrapText="1"/>
    </xf>
    <xf numFmtId="3" fontId="13" fillId="4" borderId="222" xfId="0" applyNumberFormat="1" applyFont="1" applyFill="1" applyBorder="1" applyAlignment="1">
      <alignment vertical="center" wrapText="1"/>
    </xf>
    <xf numFmtId="0" fontId="15" fillId="14" borderId="217" xfId="0" applyFont="1" applyFill="1" applyBorder="1" applyAlignment="1">
      <alignment horizontal="right" vertical="center"/>
    </xf>
    <xf numFmtId="0" fontId="15" fillId="14" borderId="218" xfId="0" applyFont="1" applyFill="1" applyBorder="1" applyAlignment="1">
      <alignment horizontal="right" vertical="center"/>
    </xf>
    <xf numFmtId="185" fontId="13" fillId="4" borderId="227" xfId="0" applyNumberFormat="1" applyFont="1" applyFill="1" applyBorder="1" applyAlignment="1">
      <alignment horizontal="right" vertical="center" wrapText="1"/>
    </xf>
    <xf numFmtId="185" fontId="13" fillId="4" borderId="228" xfId="0" applyNumberFormat="1" applyFont="1" applyFill="1" applyBorder="1" applyAlignment="1">
      <alignment horizontal="right" vertical="center" wrapText="1"/>
    </xf>
    <xf numFmtId="0" fontId="5" fillId="19" borderId="215" xfId="0" quotePrefix="1" applyFont="1" applyFill="1" applyBorder="1" applyAlignment="1">
      <alignment horizontal="right" vertical="center"/>
    </xf>
    <xf numFmtId="0" fontId="5" fillId="19" borderId="216" xfId="0" quotePrefix="1" applyFont="1" applyFill="1" applyBorder="1" applyAlignment="1">
      <alignment horizontal="right" vertical="center"/>
    </xf>
    <xf numFmtId="0" fontId="15" fillId="12" borderId="238" xfId="0" applyFont="1" applyFill="1" applyBorder="1" applyAlignment="1">
      <alignment horizontal="right" vertical="center"/>
    </xf>
    <xf numFmtId="0" fontId="15" fillId="12" borderId="239" xfId="0" applyFont="1" applyFill="1" applyBorder="1" applyAlignment="1">
      <alignment horizontal="right" vertical="center"/>
    </xf>
    <xf numFmtId="0" fontId="5" fillId="19" borderId="229" xfId="0" applyFont="1" applyFill="1" applyBorder="1" applyAlignment="1">
      <alignment horizontal="right" vertical="center"/>
    </xf>
    <xf numFmtId="0" fontId="5" fillId="19" borderId="230" xfId="0" applyFont="1" applyFill="1" applyBorder="1" applyAlignment="1">
      <alignment horizontal="right" vertical="center"/>
    </xf>
    <xf numFmtId="178" fontId="13" fillId="4" borderId="229" xfId="0" applyNumberFormat="1" applyFont="1" applyFill="1" applyBorder="1" applyAlignment="1">
      <alignment vertical="center" wrapText="1"/>
    </xf>
    <xf numFmtId="178" fontId="13" fillId="4" borderId="230" xfId="0" applyNumberFormat="1" applyFont="1" applyFill="1" applyBorder="1" applyAlignment="1">
      <alignment vertical="center" wrapText="1"/>
    </xf>
    <xf numFmtId="178" fontId="13" fillId="4" borderId="219" xfId="0" applyNumberFormat="1" applyFont="1" applyFill="1" applyBorder="1" applyAlignment="1">
      <alignment vertical="center" wrapText="1"/>
    </xf>
    <xf numFmtId="178" fontId="13" fillId="4" borderId="220" xfId="0" applyNumberFormat="1" applyFont="1" applyFill="1" applyBorder="1" applyAlignment="1">
      <alignment vertical="center" wrapText="1"/>
    </xf>
    <xf numFmtId="178" fontId="13" fillId="19" borderId="219" xfId="0" applyNumberFormat="1" applyFont="1" applyFill="1" applyBorder="1" applyAlignment="1">
      <alignment vertical="center" wrapText="1"/>
    </xf>
    <xf numFmtId="178" fontId="13" fillId="19" borderId="220" xfId="0" applyNumberFormat="1" applyFont="1" applyFill="1" applyBorder="1" applyAlignment="1">
      <alignment vertical="center" wrapText="1"/>
    </xf>
    <xf numFmtId="178" fontId="13" fillId="4" borderId="235" xfId="0" applyNumberFormat="1" applyFont="1" applyFill="1" applyBorder="1" applyAlignment="1">
      <alignment vertical="center" wrapText="1"/>
    </xf>
    <xf numFmtId="178" fontId="13" fillId="4" borderId="236" xfId="0" applyNumberFormat="1" applyFont="1" applyFill="1" applyBorder="1" applyAlignment="1">
      <alignment vertical="center" wrapText="1"/>
    </xf>
    <xf numFmtId="0" fontId="5" fillId="19" borderId="221" xfId="0" applyFont="1" applyFill="1" applyBorder="1" applyAlignment="1">
      <alignment horizontal="right" vertical="center"/>
    </xf>
    <xf numFmtId="0" fontId="5" fillId="19" borderId="222" xfId="0" applyFont="1" applyFill="1" applyBorder="1" applyAlignment="1">
      <alignment horizontal="right" vertical="center"/>
    </xf>
    <xf numFmtId="0" fontId="5" fillId="19" borderId="219" xfId="0" applyFont="1" applyFill="1" applyBorder="1" applyAlignment="1">
      <alignment horizontal="right" vertical="center"/>
    </xf>
    <xf numFmtId="0" fontId="5" fillId="19" borderId="220" xfId="0" applyFont="1" applyFill="1" applyBorder="1" applyAlignment="1">
      <alignment horizontal="right" vertical="center"/>
    </xf>
    <xf numFmtId="185" fontId="13" fillId="4" borderId="219" xfId="0" applyNumberFormat="1" applyFont="1" applyFill="1" applyBorder="1" applyAlignment="1">
      <alignment vertical="center" wrapText="1"/>
    </xf>
    <xf numFmtId="185" fontId="13" fillId="4" borderId="220" xfId="0" applyNumberFormat="1" applyFont="1" applyFill="1" applyBorder="1" applyAlignment="1">
      <alignment vertical="center" wrapText="1"/>
    </xf>
    <xf numFmtId="178" fontId="13" fillId="4" borderId="221" xfId="0" applyNumberFormat="1" applyFont="1" applyFill="1" applyBorder="1" applyAlignment="1">
      <alignment vertical="center" wrapText="1"/>
    </xf>
    <xf numFmtId="178" fontId="13" fillId="4" borderId="222" xfId="0" applyNumberFormat="1" applyFont="1" applyFill="1" applyBorder="1" applyAlignment="1">
      <alignment vertical="center" wrapText="1"/>
    </xf>
    <xf numFmtId="178" fontId="5" fillId="4" borderId="235" xfId="0" applyNumberFormat="1" applyFont="1" applyFill="1" applyBorder="1" applyAlignment="1">
      <alignment vertical="center" wrapText="1"/>
    </xf>
    <xf numFmtId="0" fontId="5" fillId="19" borderId="227" xfId="0" applyFont="1" applyFill="1" applyBorder="1" applyAlignment="1">
      <alignment horizontal="right" vertical="center"/>
    </xf>
    <xf numFmtId="0" fontId="5" fillId="19" borderId="228" xfId="0" applyFont="1" applyFill="1" applyBorder="1" applyAlignment="1">
      <alignment horizontal="right" vertical="center"/>
    </xf>
    <xf numFmtId="178" fontId="13" fillId="4" borderId="229" xfId="0" applyNumberFormat="1" applyFont="1" applyFill="1" applyBorder="1" applyAlignment="1">
      <alignment horizontal="right" vertical="center" wrapText="1"/>
    </xf>
    <xf numFmtId="178" fontId="13" fillId="4" borderId="230" xfId="0" applyNumberFormat="1" applyFont="1" applyFill="1" applyBorder="1" applyAlignment="1">
      <alignment horizontal="right" vertical="center" wrapText="1"/>
    </xf>
    <xf numFmtId="178" fontId="13" fillId="4" borderId="221" xfId="0" applyNumberFormat="1" applyFont="1" applyFill="1" applyBorder="1" applyAlignment="1">
      <alignment horizontal="right" vertical="center" wrapText="1"/>
    </xf>
    <xf numFmtId="178" fontId="13" fillId="4" borderId="222" xfId="0" applyNumberFormat="1" applyFont="1" applyFill="1" applyBorder="1" applyAlignment="1">
      <alignment horizontal="right" vertical="center" wrapText="1"/>
    </xf>
    <xf numFmtId="3" fontId="13" fillId="4" borderId="235" xfId="0" applyNumberFormat="1" applyFont="1" applyFill="1" applyBorder="1" applyAlignment="1">
      <alignment horizontal="right" vertical="center" wrapText="1"/>
    </xf>
    <xf numFmtId="3" fontId="13" fillId="4" borderId="236" xfId="0" applyNumberFormat="1" applyFont="1" applyFill="1" applyBorder="1" applyAlignment="1">
      <alignment horizontal="right" vertical="center" wrapText="1"/>
    </xf>
    <xf numFmtId="185" fontId="13" fillId="5" borderId="227" xfId="0" applyNumberFormat="1" applyFont="1" applyFill="1" applyBorder="1" applyAlignment="1">
      <alignment horizontal="right" vertical="center" wrapText="1"/>
    </xf>
    <xf numFmtId="185" fontId="13" fillId="5" borderId="228" xfId="0" applyNumberFormat="1" applyFont="1" applyFill="1" applyBorder="1" applyAlignment="1">
      <alignment horizontal="right" vertical="center" wrapText="1"/>
    </xf>
    <xf numFmtId="185" fontId="29" fillId="5" borderId="219" xfId="0" applyNumberFormat="1" applyFont="1" applyFill="1" applyBorder="1" applyAlignment="1">
      <alignment horizontal="right" vertical="center" wrapText="1"/>
    </xf>
    <xf numFmtId="185" fontId="29" fillId="5" borderId="220" xfId="0" applyNumberFormat="1" applyFont="1" applyFill="1" applyBorder="1" applyAlignment="1">
      <alignment horizontal="right" vertical="center" wrapText="1"/>
    </xf>
    <xf numFmtId="178" fontId="29" fillId="4" borderId="219" xfId="0" applyNumberFormat="1" applyFont="1" applyFill="1" applyBorder="1" applyAlignment="1">
      <alignment horizontal="right" vertical="center" wrapText="1"/>
    </xf>
    <xf numFmtId="178" fontId="29" fillId="4" borderId="220" xfId="0" applyNumberFormat="1" applyFont="1" applyFill="1" applyBorder="1" applyAlignment="1">
      <alignment horizontal="right" vertical="center" wrapText="1"/>
    </xf>
    <xf numFmtId="185" fontId="29" fillId="5" borderId="229" xfId="0" applyNumberFormat="1" applyFont="1" applyFill="1" applyBorder="1" applyAlignment="1">
      <alignment horizontal="right" vertical="center" wrapText="1"/>
    </xf>
    <xf numFmtId="185" fontId="29" fillId="5" borderId="230" xfId="0" applyNumberFormat="1" applyFont="1" applyFill="1" applyBorder="1" applyAlignment="1">
      <alignment horizontal="right" vertical="center" wrapText="1"/>
    </xf>
    <xf numFmtId="178" fontId="13" fillId="4" borderId="235" xfId="0" applyNumberFormat="1" applyFont="1" applyFill="1" applyBorder="1" applyAlignment="1">
      <alignment horizontal="right" vertical="center" wrapText="1"/>
    </xf>
    <xf numFmtId="178" fontId="13" fillId="4" borderId="236" xfId="0" applyNumberFormat="1" applyFont="1" applyFill="1" applyBorder="1" applyAlignment="1">
      <alignment horizontal="right" vertical="center" wrapText="1"/>
    </xf>
    <xf numFmtId="178" fontId="13" fillId="5" borderId="227" xfId="0" applyNumberFormat="1" applyFont="1" applyFill="1" applyBorder="1" applyAlignment="1">
      <alignment horizontal="right" vertical="center" wrapText="1"/>
    </xf>
    <xf numFmtId="178" fontId="13" fillId="5" borderId="228" xfId="0" applyNumberFormat="1" applyFont="1" applyFill="1" applyBorder="1" applyAlignment="1">
      <alignment horizontal="right" vertical="center" wrapText="1"/>
    </xf>
    <xf numFmtId="178" fontId="13" fillId="5" borderId="219" xfId="0" applyNumberFormat="1" applyFont="1" applyFill="1" applyBorder="1" applyAlignment="1">
      <alignment horizontal="right" vertical="center" wrapText="1"/>
    </xf>
    <xf numFmtId="178" fontId="13" fillId="5" borderId="220" xfId="0" applyNumberFormat="1" applyFont="1" applyFill="1" applyBorder="1" applyAlignment="1">
      <alignment horizontal="right" vertical="center" wrapText="1"/>
    </xf>
    <xf numFmtId="3" fontId="29" fillId="4" borderId="219" xfId="0" applyNumberFormat="1" applyFont="1" applyFill="1" applyBorder="1" applyAlignment="1">
      <alignment vertical="center" wrapText="1"/>
    </xf>
    <xf numFmtId="3" fontId="29" fillId="4" borderId="220" xfId="0" applyNumberFormat="1" applyFont="1" applyFill="1" applyBorder="1" applyAlignment="1">
      <alignment vertical="center" wrapText="1"/>
    </xf>
    <xf numFmtId="178" fontId="13" fillId="16" borderId="219" xfId="0" applyNumberFormat="1" applyFont="1" applyFill="1" applyBorder="1" applyAlignment="1">
      <alignment horizontal="right" vertical="center" wrapText="1"/>
    </xf>
    <xf numFmtId="3" fontId="13" fillId="5" borderId="219" xfId="0" applyNumberFormat="1" applyFont="1" applyFill="1" applyBorder="1" applyAlignment="1">
      <alignment vertical="center" wrapText="1"/>
    </xf>
    <xf numFmtId="3" fontId="13" fillId="5" borderId="220" xfId="0" applyNumberFormat="1" applyFont="1" applyFill="1" applyBorder="1" applyAlignment="1">
      <alignment vertical="center" wrapText="1"/>
    </xf>
    <xf numFmtId="0" fontId="16" fillId="7" borderId="208" xfId="0" applyFont="1" applyFill="1" applyBorder="1" applyAlignment="1">
      <alignment horizontal="center" vertical="center" wrapText="1"/>
    </xf>
    <xf numFmtId="178" fontId="13" fillId="16" borderId="43" xfId="0" applyNumberFormat="1" applyFont="1" applyFill="1" applyBorder="1" applyAlignment="1">
      <alignment horizontal="right" vertical="center" wrapText="1"/>
    </xf>
    <xf numFmtId="178" fontId="5" fillId="16" borderId="43" xfId="0" applyNumberFormat="1" applyFont="1" applyFill="1" applyBorder="1" applyAlignment="1">
      <alignment horizontal="right" vertical="center" wrapText="1"/>
    </xf>
    <xf numFmtId="178" fontId="13" fillId="19" borderId="43" xfId="0" applyNumberFormat="1" applyFont="1" applyFill="1" applyBorder="1" applyAlignment="1">
      <alignment horizontal="right" vertical="center" wrapText="1"/>
    </xf>
    <xf numFmtId="178" fontId="5" fillId="19" borderId="52" xfId="0" quotePrefix="1" applyNumberFormat="1" applyFont="1" applyFill="1" applyBorder="1" applyAlignment="1">
      <alignment horizontal="right" vertical="center"/>
    </xf>
    <xf numFmtId="3" fontId="13" fillId="4" borderId="43" xfId="0" applyNumberFormat="1" applyFont="1" applyFill="1" applyBorder="1" applyAlignment="1">
      <alignment vertical="center" wrapText="1"/>
    </xf>
    <xf numFmtId="3" fontId="5" fillId="4" borderId="43" xfId="0" applyNumberFormat="1" applyFont="1" applyFill="1" applyBorder="1" applyAlignment="1">
      <alignment vertical="center" wrapText="1"/>
    </xf>
    <xf numFmtId="3" fontId="13" fillId="4" borderId="87" xfId="0" applyNumberFormat="1" applyFont="1" applyFill="1" applyBorder="1" applyAlignment="1">
      <alignment vertical="center" wrapText="1"/>
    </xf>
    <xf numFmtId="3" fontId="13" fillId="5" borderId="43" xfId="0" applyNumberFormat="1" applyFont="1" applyFill="1" applyBorder="1" applyAlignment="1">
      <alignment vertical="center" wrapText="1"/>
    </xf>
    <xf numFmtId="2" fontId="5" fillId="5" borderId="43" xfId="0" applyNumberFormat="1" applyFont="1" applyFill="1" applyBorder="1" applyAlignment="1">
      <alignment vertical="center" wrapText="1"/>
    </xf>
    <xf numFmtId="0" fontId="5" fillId="19" borderId="43" xfId="0" quotePrefix="1" applyFont="1" applyFill="1" applyBorder="1" applyAlignment="1">
      <alignment horizontal="right" vertical="center"/>
    </xf>
    <xf numFmtId="3" fontId="20" fillId="5" borderId="77" xfId="0" applyNumberFormat="1" applyFont="1" applyFill="1" applyBorder="1" applyAlignment="1">
      <alignment vertical="center" wrapText="1"/>
    </xf>
    <xf numFmtId="3" fontId="20" fillId="5" borderId="43" xfId="0" applyNumberFormat="1" applyFont="1" applyFill="1" applyBorder="1" applyAlignment="1">
      <alignment vertical="center" wrapText="1"/>
    </xf>
    <xf numFmtId="3" fontId="5" fillId="4" borderId="43" xfId="0" applyNumberFormat="1" applyFont="1" applyFill="1" applyBorder="1" applyAlignment="1">
      <alignment horizontal="right" vertical="center" wrapText="1"/>
    </xf>
    <xf numFmtId="3" fontId="5" fillId="19" borderId="43" xfId="0" applyNumberFormat="1" applyFont="1" applyFill="1" applyBorder="1" applyAlignment="1">
      <alignment horizontal="right" vertical="center" wrapText="1"/>
    </xf>
    <xf numFmtId="3" fontId="5" fillId="5" borderId="42" xfId="0" applyNumberFormat="1" applyFont="1" applyFill="1" applyBorder="1" applyAlignment="1">
      <alignment vertical="center" wrapText="1"/>
    </xf>
    <xf numFmtId="3" fontId="13" fillId="4" borderId="52" xfId="0" applyNumberFormat="1" applyFont="1" applyFill="1" applyBorder="1" applyAlignment="1">
      <alignment horizontal="right" vertical="center" wrapText="1"/>
    </xf>
    <xf numFmtId="3" fontId="29" fillId="4" borderId="43" xfId="0" applyNumberFormat="1" applyFont="1" applyFill="1" applyBorder="1" applyAlignment="1">
      <alignment horizontal="right" vertical="center" wrapText="1"/>
    </xf>
    <xf numFmtId="184" fontId="21" fillId="5" borderId="43" xfId="0" applyNumberFormat="1" applyFont="1" applyFill="1" applyBorder="1" applyAlignment="1">
      <alignment vertical="center" wrapText="1"/>
    </xf>
    <xf numFmtId="185" fontId="5" fillId="5" borderId="43" xfId="0" applyNumberFormat="1" applyFont="1" applyFill="1" applyBorder="1" applyAlignment="1">
      <alignment vertical="center" wrapText="1"/>
    </xf>
    <xf numFmtId="3" fontId="13" fillId="4" borderId="67" xfId="0" applyNumberFormat="1" applyFont="1" applyFill="1" applyBorder="1" applyAlignment="1">
      <alignment vertical="center" wrapText="1"/>
    </xf>
    <xf numFmtId="3" fontId="5" fillId="28" borderId="77" xfId="0" applyNumberFormat="1" applyFont="1" applyFill="1" applyBorder="1" applyAlignment="1">
      <alignment vertical="center" wrapText="1"/>
    </xf>
    <xf numFmtId="3" fontId="5" fillId="28" borderId="77" xfId="0" quotePrefix="1" applyNumberFormat="1" applyFont="1" applyFill="1" applyBorder="1" applyAlignment="1">
      <alignment vertical="center" wrapText="1"/>
    </xf>
    <xf numFmtId="178" fontId="13" fillId="18" borderId="43" xfId="0" applyNumberFormat="1" applyFont="1" applyFill="1" applyBorder="1" applyAlignment="1">
      <alignment vertical="center" wrapText="1"/>
    </xf>
    <xf numFmtId="3" fontId="21" fillId="5" borderId="43" xfId="0" applyNumberFormat="1" applyFont="1" applyFill="1" applyBorder="1" applyAlignment="1">
      <alignment vertical="center" wrapText="1"/>
    </xf>
    <xf numFmtId="3" fontId="13" fillId="4" borderId="34" xfId="0" applyNumberFormat="1" applyFont="1" applyFill="1" applyBorder="1" applyAlignment="1">
      <alignment vertical="center" wrapText="1"/>
    </xf>
    <xf numFmtId="3" fontId="13" fillId="19" borderId="43" xfId="0" applyNumberFormat="1" applyFont="1" applyFill="1" applyBorder="1" applyAlignment="1">
      <alignment vertical="center" wrapText="1"/>
    </xf>
    <xf numFmtId="0" fontId="5" fillId="19" borderId="43" xfId="0" applyFont="1" applyFill="1" applyBorder="1" applyAlignment="1">
      <alignment horizontal="center" vertical="center"/>
    </xf>
    <xf numFmtId="3" fontId="13" fillId="4" borderId="43" xfId="0" applyNumberFormat="1" applyFont="1" applyFill="1" applyBorder="1" applyAlignment="1">
      <alignment horizontal="right" vertical="center" wrapText="1"/>
    </xf>
    <xf numFmtId="3" fontId="13" fillId="4" borderId="52" xfId="0" applyNumberFormat="1" applyFont="1" applyFill="1" applyBorder="1" applyAlignment="1">
      <alignment vertical="center" wrapText="1"/>
    </xf>
    <xf numFmtId="0" fontId="5" fillId="19" borderId="77" xfId="0" applyFont="1" applyFill="1" applyBorder="1" applyAlignment="1">
      <alignment horizontal="right" vertical="center"/>
    </xf>
    <xf numFmtId="0" fontId="5" fillId="19" borderId="43" xfId="0" applyFont="1" applyFill="1" applyBorder="1" applyAlignment="1">
      <alignment horizontal="right" vertical="center"/>
    </xf>
    <xf numFmtId="3" fontId="29" fillId="4" borderId="43" xfId="0" applyNumberFormat="1" applyFont="1" applyFill="1" applyBorder="1" applyAlignment="1">
      <alignment vertical="center" wrapText="1"/>
    </xf>
    <xf numFmtId="178" fontId="13" fillId="19" borderId="219" xfId="0" applyNumberFormat="1" applyFont="1" applyFill="1" applyBorder="1" applyAlignment="1">
      <alignment horizontal="right" vertical="center" wrapText="1"/>
    </xf>
    <xf numFmtId="178" fontId="13" fillId="19" borderId="221" xfId="0" applyNumberFormat="1" applyFont="1" applyFill="1" applyBorder="1" applyAlignment="1">
      <alignment horizontal="right" vertical="center" wrapText="1"/>
    </xf>
    <xf numFmtId="178" fontId="13" fillId="19" borderId="222" xfId="0" applyNumberFormat="1" applyFont="1" applyFill="1" applyBorder="1" applyAlignment="1">
      <alignment horizontal="right" vertical="center" wrapText="1"/>
    </xf>
    <xf numFmtId="178" fontId="5" fillId="4" borderId="220" xfId="0" applyNumberFormat="1" applyFont="1" applyFill="1" applyBorder="1" applyAlignment="1">
      <alignment horizontal="right" vertical="center" wrapText="1"/>
    </xf>
    <xf numFmtId="178" fontId="13" fillId="4" borderId="224" xfId="0" applyNumberFormat="1" applyFont="1" applyFill="1" applyBorder="1" applyAlignment="1">
      <alignment horizontal="right" vertical="center" wrapText="1"/>
    </xf>
    <xf numFmtId="0" fontId="10" fillId="12" borderId="225" xfId="0" applyFont="1" applyFill="1" applyBorder="1" applyAlignment="1">
      <alignment vertical="center" wrapText="1"/>
    </xf>
    <xf numFmtId="0" fontId="10" fillId="12" borderId="226" xfId="0" applyFont="1" applyFill="1" applyBorder="1" applyAlignment="1">
      <alignment vertical="center" wrapText="1"/>
    </xf>
    <xf numFmtId="3" fontId="13" fillId="19" borderId="219" xfId="0" applyNumberFormat="1" applyFont="1" applyFill="1" applyBorder="1" applyAlignment="1">
      <alignment horizontal="right" vertical="center" wrapText="1"/>
    </xf>
    <xf numFmtId="3" fontId="21" fillId="28" borderId="219" xfId="0" applyNumberFormat="1" applyFont="1" applyFill="1" applyBorder="1" applyAlignment="1">
      <alignment vertical="center" wrapText="1"/>
    </xf>
    <xf numFmtId="3" fontId="21" fillId="28" borderId="220" xfId="0" applyNumberFormat="1" applyFont="1" applyFill="1" applyBorder="1" applyAlignment="1">
      <alignment vertical="center" wrapText="1"/>
    </xf>
    <xf numFmtId="3" fontId="26" fillId="5" borderId="219" xfId="0" quotePrefix="1" applyNumberFormat="1" applyFont="1" applyFill="1" applyBorder="1" applyAlignment="1">
      <alignment vertical="center" wrapText="1"/>
    </xf>
    <xf numFmtId="3" fontId="26" fillId="5" borderId="220" xfId="0" quotePrefix="1" applyNumberFormat="1" applyFont="1" applyFill="1" applyBorder="1" applyAlignment="1">
      <alignment vertical="center" wrapText="1"/>
    </xf>
    <xf numFmtId="3" fontId="13" fillId="4" borderId="234" xfId="0" applyNumberFormat="1" applyFont="1" applyFill="1" applyBorder="1" applyAlignment="1">
      <alignment vertical="center" wrapText="1"/>
    </xf>
    <xf numFmtId="3" fontId="13" fillId="4" borderId="237" xfId="0" applyNumberFormat="1" applyFont="1" applyFill="1" applyBorder="1" applyAlignment="1">
      <alignment vertical="center" wrapText="1"/>
    </xf>
    <xf numFmtId="3" fontId="13" fillId="4" borderId="237" xfId="0" applyNumberFormat="1" applyFont="1" applyFill="1" applyBorder="1" applyAlignment="1">
      <alignment horizontal="right" vertical="center" wrapText="1"/>
    </xf>
    <xf numFmtId="178" fontId="5" fillId="28" borderId="227" xfId="0" applyNumberFormat="1" applyFont="1" applyFill="1" applyBorder="1" applyAlignment="1">
      <alignment vertical="center" wrapText="1"/>
    </xf>
    <xf numFmtId="178" fontId="5" fillId="28" borderId="228" xfId="0" applyNumberFormat="1" applyFont="1" applyFill="1" applyBorder="1" applyAlignment="1">
      <alignment vertical="center" wrapText="1"/>
    </xf>
    <xf numFmtId="178" fontId="19" fillId="14" borderId="217" xfId="0" applyNumberFormat="1" applyFont="1" applyFill="1" applyBorder="1" applyAlignment="1">
      <alignment vertical="center" wrapText="1"/>
    </xf>
    <xf numFmtId="178" fontId="19" fillId="14" borderId="218" xfId="0" applyNumberFormat="1" applyFont="1" applyFill="1" applyBorder="1" applyAlignment="1">
      <alignment vertical="center" wrapText="1"/>
    </xf>
    <xf numFmtId="178" fontId="5" fillId="28" borderId="227" xfId="0" quotePrefix="1" applyNumberFormat="1" applyFont="1" applyFill="1" applyBorder="1" applyAlignment="1">
      <alignment vertical="center" wrapText="1"/>
    </xf>
    <xf numFmtId="178" fontId="5" fillId="28" borderId="228" xfId="0" quotePrefix="1" applyNumberFormat="1" applyFont="1" applyFill="1" applyBorder="1" applyAlignment="1">
      <alignment vertical="center" wrapText="1"/>
    </xf>
    <xf numFmtId="178" fontId="13" fillId="15" borderId="219" xfId="0" applyNumberFormat="1" applyFont="1" applyFill="1" applyBorder="1" applyAlignment="1">
      <alignment vertical="center" wrapText="1"/>
    </xf>
    <xf numFmtId="178" fontId="13" fillId="14" borderId="219" xfId="0" applyNumberFormat="1" applyFont="1" applyFill="1" applyBorder="1" applyAlignment="1">
      <alignment vertical="center" wrapText="1"/>
    </xf>
    <xf numFmtId="178" fontId="5" fillId="5" borderId="219" xfId="0" applyNumberFormat="1" applyFont="1" applyFill="1" applyBorder="1" applyAlignment="1">
      <alignment vertical="center" wrapText="1"/>
    </xf>
    <xf numFmtId="178" fontId="5" fillId="5" borderId="220" xfId="0" applyNumberFormat="1" applyFont="1" applyFill="1" applyBorder="1" applyAlignment="1">
      <alignment vertical="center" wrapText="1"/>
    </xf>
    <xf numFmtId="3" fontId="13" fillId="15" borderId="227" xfId="0" applyNumberFormat="1" applyFont="1" applyFill="1" applyBorder="1" applyAlignment="1">
      <alignment vertical="center" wrapText="1"/>
    </xf>
    <xf numFmtId="3" fontId="13" fillId="4" borderId="228" xfId="0" applyNumberFormat="1" applyFont="1" applyFill="1" applyBorder="1" applyAlignment="1">
      <alignment vertical="center" wrapText="1"/>
    </xf>
    <xf numFmtId="3" fontId="13" fillId="15" borderId="219" xfId="0" applyNumberFormat="1" applyFont="1" applyFill="1" applyBorder="1" applyAlignment="1">
      <alignment vertical="center" wrapText="1"/>
    </xf>
    <xf numFmtId="178" fontId="21" fillId="5" borderId="219" xfId="0" applyNumberFormat="1" applyFont="1" applyFill="1" applyBorder="1" applyAlignment="1">
      <alignment vertical="center" wrapText="1"/>
    </xf>
    <xf numFmtId="178" fontId="21" fillId="5" borderId="220" xfId="0" applyNumberFormat="1" applyFont="1" applyFill="1" applyBorder="1" applyAlignment="1">
      <alignment vertical="center" wrapText="1"/>
    </xf>
    <xf numFmtId="178" fontId="13" fillId="4" borderId="229" xfId="0" quotePrefix="1" applyNumberFormat="1" applyFont="1" applyFill="1" applyBorder="1" applyAlignment="1">
      <alignment vertical="center" wrapText="1"/>
    </xf>
    <xf numFmtId="178" fontId="13" fillId="4" borderId="235" xfId="0" quotePrefix="1" applyNumberFormat="1" applyFont="1" applyFill="1" applyBorder="1" applyAlignment="1">
      <alignment vertical="center" wrapText="1"/>
    </xf>
    <xf numFmtId="178" fontId="13" fillId="15" borderId="235" xfId="0" applyNumberFormat="1" applyFont="1" applyFill="1" applyBorder="1" applyAlignment="1">
      <alignment vertical="center" wrapText="1"/>
    </xf>
    <xf numFmtId="0" fontId="19" fillId="14" borderId="225" xfId="0" applyFont="1" applyFill="1" applyBorder="1" applyAlignment="1">
      <alignment horizontal="right" vertical="center" wrapText="1"/>
    </xf>
    <xf numFmtId="0" fontId="19" fillId="14" borderId="226" xfId="0" applyFont="1" applyFill="1" applyBorder="1" applyAlignment="1">
      <alignment horizontal="right" vertical="center" wrapText="1"/>
    </xf>
    <xf numFmtId="3" fontId="13" fillId="14" borderId="227" xfId="0" applyNumberFormat="1" applyFont="1" applyFill="1" applyBorder="1" applyAlignment="1">
      <alignment vertical="center" wrapText="1"/>
    </xf>
    <xf numFmtId="3" fontId="13" fillId="19" borderId="228" xfId="0" applyNumberFormat="1" applyFont="1" applyFill="1" applyBorder="1" applyAlignment="1">
      <alignment vertical="center" wrapText="1"/>
    </xf>
    <xf numFmtId="3" fontId="13" fillId="15" borderId="229" xfId="0" applyNumberFormat="1" applyFont="1" applyFill="1" applyBorder="1" applyAlignment="1">
      <alignment vertical="center" wrapText="1"/>
    </xf>
    <xf numFmtId="3" fontId="13" fillId="14" borderId="219" xfId="0" applyNumberFormat="1" applyFont="1" applyFill="1" applyBorder="1" applyAlignment="1">
      <alignment vertical="center" wrapText="1"/>
    </xf>
    <xf numFmtId="3" fontId="13" fillId="15" borderId="219" xfId="0" applyNumberFormat="1" applyFont="1" applyFill="1" applyBorder="1" applyAlignment="1">
      <alignment vertical="top" wrapText="1"/>
    </xf>
    <xf numFmtId="3" fontId="13" fillId="15" borderId="220" xfId="0" applyNumberFormat="1" applyFont="1" applyFill="1" applyBorder="1" applyAlignment="1">
      <alignment vertical="center" wrapText="1"/>
    </xf>
    <xf numFmtId="3" fontId="13" fillId="15" borderId="221" xfId="0" applyNumberFormat="1" applyFont="1" applyFill="1" applyBorder="1" applyAlignment="1">
      <alignment vertical="center" wrapText="1"/>
    </xf>
    <xf numFmtId="3" fontId="13" fillId="15" borderId="222" xfId="0" applyNumberFormat="1" applyFont="1" applyFill="1" applyBorder="1" applyAlignment="1">
      <alignment vertical="center" wrapText="1"/>
    </xf>
    <xf numFmtId="3" fontId="13" fillId="14" borderId="221" xfId="0" applyNumberFormat="1" applyFont="1" applyFill="1" applyBorder="1" applyAlignment="1">
      <alignment vertical="center" wrapText="1"/>
    </xf>
    <xf numFmtId="3" fontId="13" fillId="14" borderId="222" xfId="0" applyNumberFormat="1" applyFont="1" applyFill="1" applyBorder="1" applyAlignment="1">
      <alignment vertical="center" wrapText="1"/>
    </xf>
    <xf numFmtId="3" fontId="21" fillId="15" borderId="219" xfId="0" applyNumberFormat="1" applyFont="1" applyFill="1" applyBorder="1" applyAlignment="1">
      <alignment horizontal="right" vertical="center" wrapText="1"/>
    </xf>
    <xf numFmtId="3" fontId="13" fillId="19" borderId="227" xfId="0" applyNumberFormat="1" applyFont="1" applyFill="1" applyBorder="1" applyAlignment="1">
      <alignment horizontal="right" vertical="center" wrapText="1"/>
    </xf>
    <xf numFmtId="3" fontId="13" fillId="19" borderId="228" xfId="0" applyNumberFormat="1" applyFont="1" applyFill="1" applyBorder="1" applyAlignment="1">
      <alignment horizontal="right" vertical="center" wrapText="1"/>
    </xf>
    <xf numFmtId="3" fontId="13" fillId="4" borderId="230" xfId="0" applyNumberFormat="1" applyFont="1" applyFill="1" applyBorder="1" applyAlignment="1">
      <alignment horizontal="right" vertical="center" wrapText="1"/>
    </xf>
    <xf numFmtId="4" fontId="13" fillId="4" borderId="219" xfId="0" applyNumberFormat="1" applyFont="1" applyFill="1" applyBorder="1" applyAlignment="1">
      <alignment horizontal="right" vertical="center" wrapText="1"/>
    </xf>
    <xf numFmtId="4" fontId="13" fillId="4" borderId="220" xfId="0" applyNumberFormat="1" applyFont="1" applyFill="1" applyBorder="1" applyAlignment="1">
      <alignment horizontal="right" vertical="center" wrapText="1"/>
    </xf>
    <xf numFmtId="3" fontId="13" fillId="15" borderId="219" xfId="0" applyNumberFormat="1" applyFont="1" applyFill="1" applyBorder="1" applyAlignment="1">
      <alignment horizontal="right" vertical="center" wrapText="1"/>
    </xf>
    <xf numFmtId="3" fontId="21" fillId="4" borderId="219" xfId="0" applyNumberFormat="1" applyFont="1" applyFill="1" applyBorder="1" applyAlignment="1">
      <alignment horizontal="right" vertical="center" wrapText="1"/>
    </xf>
    <xf numFmtId="3" fontId="21" fillId="4" borderId="220" xfId="0" applyNumberFormat="1" applyFont="1" applyFill="1" applyBorder="1" applyAlignment="1">
      <alignment horizontal="right" vertical="center" wrapText="1"/>
    </xf>
    <xf numFmtId="0" fontId="19" fillId="14" borderId="217" xfId="0" applyFont="1" applyFill="1" applyBorder="1" applyAlignment="1">
      <alignment horizontal="right" vertical="center" wrapText="1"/>
    </xf>
    <xf numFmtId="0" fontId="19" fillId="14" borderId="218" xfId="0" applyFont="1" applyFill="1" applyBorder="1" applyAlignment="1">
      <alignment horizontal="right" vertical="center" wrapText="1"/>
    </xf>
    <xf numFmtId="185" fontId="13" fillId="4" borderId="229" xfId="0" applyNumberFormat="1" applyFont="1" applyFill="1" applyBorder="1" applyAlignment="1">
      <alignment horizontal="right" vertical="center" wrapText="1"/>
    </xf>
    <xf numFmtId="185" fontId="13" fillId="4" borderId="230" xfId="0" applyNumberFormat="1" applyFont="1" applyFill="1" applyBorder="1" applyAlignment="1">
      <alignment horizontal="right" vertical="center" wrapText="1"/>
    </xf>
    <xf numFmtId="185" fontId="13" fillId="4" borderId="219" xfId="0" applyNumberFormat="1" applyFont="1" applyFill="1" applyBorder="1" applyAlignment="1">
      <alignment horizontal="right" vertical="center" wrapText="1"/>
    </xf>
    <xf numFmtId="185" fontId="13" fillId="4" borderId="220" xfId="0" applyNumberFormat="1" applyFont="1" applyFill="1" applyBorder="1" applyAlignment="1">
      <alignment horizontal="right" vertical="center" wrapText="1"/>
    </xf>
    <xf numFmtId="3" fontId="13" fillId="19" borderId="220" xfId="0" applyNumberFormat="1" applyFont="1" applyFill="1" applyBorder="1" applyAlignment="1">
      <alignment horizontal="right" vertical="center" wrapText="1"/>
    </xf>
    <xf numFmtId="0" fontId="10" fillId="12" borderId="238" xfId="0" applyFont="1" applyFill="1" applyBorder="1" applyAlignment="1">
      <alignment horizontal="right" vertical="center" wrapText="1"/>
    </xf>
    <xf numFmtId="0" fontId="10" fillId="12" borderId="239" xfId="0" applyFont="1" applyFill="1" applyBorder="1" applyAlignment="1">
      <alignment horizontal="right" vertical="center" wrapText="1"/>
    </xf>
    <xf numFmtId="3" fontId="13" fillId="19" borderId="241" xfId="0" applyNumberFormat="1" applyFont="1" applyFill="1" applyBorder="1" applyAlignment="1">
      <alignment horizontal="right" vertical="center" wrapText="1"/>
    </xf>
    <xf numFmtId="3" fontId="13" fillId="19" borderId="242" xfId="0" applyNumberFormat="1" applyFont="1" applyFill="1" applyBorder="1" applyAlignment="1">
      <alignment horizontal="right" vertical="center" wrapText="1"/>
    </xf>
    <xf numFmtId="3" fontId="5" fillId="14" borderId="227" xfId="0" applyNumberFormat="1" applyFont="1" applyFill="1" applyBorder="1" applyAlignment="1">
      <alignment horizontal="right" vertical="center" wrapText="1"/>
    </xf>
    <xf numFmtId="3" fontId="5" fillId="19" borderId="228" xfId="0" applyNumberFormat="1" applyFont="1" applyFill="1" applyBorder="1" applyAlignment="1">
      <alignment horizontal="right" vertical="center" wrapText="1"/>
    </xf>
    <xf numFmtId="178" fontId="13" fillId="15" borderId="229" xfId="0" applyNumberFormat="1" applyFont="1" applyFill="1" applyBorder="1" applyAlignment="1">
      <alignment horizontal="right" vertical="center" wrapText="1"/>
    </xf>
    <xf numFmtId="178" fontId="13" fillId="15" borderId="219" xfId="0" applyNumberFormat="1" applyFont="1" applyFill="1" applyBorder="1" applyAlignment="1">
      <alignment horizontal="right" vertical="center" wrapText="1"/>
    </xf>
    <xf numFmtId="3" fontId="5" fillId="0" borderId="219" xfId="0" applyNumberFormat="1" applyFont="1" applyBorder="1" applyAlignment="1">
      <alignment horizontal="right" vertical="center" wrapText="1"/>
    </xf>
    <xf numFmtId="178" fontId="21" fillId="5" borderId="219" xfId="0" applyNumberFormat="1" applyFont="1" applyFill="1" applyBorder="1" applyAlignment="1">
      <alignment horizontal="right" vertical="center" wrapText="1"/>
    </xf>
    <xf numFmtId="178" fontId="21" fillId="5" borderId="220" xfId="0" applyNumberFormat="1" applyFont="1" applyFill="1" applyBorder="1" applyAlignment="1">
      <alignment horizontal="right" vertical="center" wrapText="1"/>
    </xf>
    <xf numFmtId="178" fontId="13" fillId="4" borderId="45" xfId="0" applyNumberFormat="1" applyFont="1" applyFill="1" applyBorder="1" applyAlignment="1">
      <alignment vertical="top" wrapText="1"/>
    </xf>
    <xf numFmtId="178" fontId="13" fillId="4" borderId="53" xfId="0" applyNumberFormat="1" applyFont="1" applyFill="1" applyBorder="1" applyAlignment="1">
      <alignment vertical="top" wrapText="1"/>
    </xf>
    <xf numFmtId="3" fontId="13" fillId="19" borderId="199" xfId="0" applyNumberFormat="1" applyFont="1" applyFill="1" applyBorder="1" applyAlignment="1">
      <alignment horizontal="right" vertical="top" wrapText="1"/>
    </xf>
    <xf numFmtId="3" fontId="13" fillId="19" borderId="45" xfId="0" applyNumberFormat="1" applyFont="1" applyFill="1" applyBorder="1" applyAlignment="1">
      <alignment horizontal="right" vertical="top" wrapText="1"/>
    </xf>
    <xf numFmtId="185" fontId="13" fillId="4" borderId="45" xfId="0" applyNumberFormat="1" applyFont="1" applyFill="1" applyBorder="1" applyAlignment="1">
      <alignment vertical="top" wrapText="1"/>
    </xf>
    <xf numFmtId="178" fontId="13" fillId="4" borderId="57" xfId="0" applyNumberFormat="1" applyFont="1" applyFill="1" applyBorder="1" applyAlignment="1">
      <alignment vertical="top" wrapText="1"/>
    </xf>
    <xf numFmtId="0" fontId="5" fillId="14" borderId="36" xfId="0" applyFont="1" applyFill="1" applyBorder="1" applyAlignment="1">
      <alignment horizontal="right" vertical="center" wrapText="1"/>
    </xf>
    <xf numFmtId="178" fontId="13" fillId="15" borderId="220" xfId="0" applyNumberFormat="1" applyFont="1" applyFill="1" applyBorder="1" applyAlignment="1">
      <alignment vertical="center" wrapText="1"/>
    </xf>
    <xf numFmtId="178" fontId="13" fillId="15" borderId="229" xfId="0" applyNumberFormat="1" applyFont="1" applyFill="1" applyBorder="1" applyAlignment="1">
      <alignment vertical="center" wrapText="1"/>
    </xf>
    <xf numFmtId="178" fontId="13" fillId="18" borderId="45" xfId="0" applyNumberFormat="1" applyFont="1" applyFill="1" applyBorder="1" applyAlignment="1">
      <alignment vertical="center" wrapText="1"/>
    </xf>
    <xf numFmtId="3" fontId="13" fillId="4" borderId="36" xfId="0" applyNumberFormat="1" applyFont="1" applyFill="1" applyBorder="1" applyAlignment="1">
      <alignment vertical="center" wrapText="1"/>
    </xf>
    <xf numFmtId="178" fontId="13" fillId="4" borderId="228" xfId="0" applyNumberFormat="1" applyFont="1" applyFill="1" applyBorder="1" applyAlignment="1">
      <alignment vertical="center" wrapText="1"/>
    </xf>
    <xf numFmtId="178" fontId="11" fillId="5" borderId="220" xfId="0" applyNumberFormat="1" applyFont="1" applyFill="1" applyBorder="1" applyAlignment="1">
      <alignment vertical="center" wrapText="1"/>
    </xf>
    <xf numFmtId="178" fontId="12" fillId="4" borderId="220" xfId="0" applyNumberFormat="1" applyFont="1" applyFill="1" applyBorder="1" applyAlignment="1">
      <alignment vertical="center" wrapText="1"/>
    </xf>
    <xf numFmtId="178" fontId="12" fillId="4" borderId="236" xfId="0" applyNumberFormat="1" applyFont="1" applyFill="1" applyBorder="1" applyAlignment="1">
      <alignment vertical="center" wrapText="1"/>
    </xf>
    <xf numFmtId="3" fontId="13" fillId="19" borderId="222" xfId="0" applyNumberFormat="1" applyFont="1" applyFill="1" applyBorder="1" applyAlignment="1">
      <alignment vertical="center" wrapText="1"/>
    </xf>
    <xf numFmtId="3" fontId="5" fillId="3" borderId="45" xfId="0" applyNumberFormat="1" applyFont="1" applyFill="1" applyBorder="1" applyAlignment="1">
      <alignment vertical="top"/>
    </xf>
    <xf numFmtId="3" fontId="5" fillId="0" borderId="57" xfId="0" applyNumberFormat="1" applyFont="1" applyBorder="1">
      <alignment vertical="center"/>
    </xf>
    <xf numFmtId="3" fontId="5" fillId="3" borderId="119" xfId="0" applyNumberFormat="1" applyFont="1" applyFill="1" applyBorder="1" applyAlignment="1">
      <alignment vertical="top"/>
    </xf>
    <xf numFmtId="0" fontId="5" fillId="3" borderId="45" xfId="0" applyFont="1" applyFill="1" applyBorder="1" applyAlignment="1">
      <alignment horizontal="left" vertical="top" wrapText="1"/>
    </xf>
    <xf numFmtId="0" fontId="5" fillId="21" borderId="45" xfId="0" applyFont="1" applyFill="1" applyBorder="1" applyAlignment="1">
      <alignment horizontal="left" vertical="top" wrapText="1"/>
    </xf>
    <xf numFmtId="0" fontId="0" fillId="0" borderId="45" xfId="0" applyBorder="1" applyAlignment="1">
      <alignment horizontal="left" vertical="top" wrapText="1"/>
    </xf>
    <xf numFmtId="0" fontId="5" fillId="3" borderId="80" xfId="0" applyFont="1" applyFill="1" applyBorder="1" applyAlignment="1">
      <alignment horizontal="left" vertical="top"/>
    </xf>
    <xf numFmtId="0" fontId="5" fillId="3" borderId="45" xfId="0" applyFont="1" applyFill="1" applyBorder="1" applyAlignment="1">
      <alignment horizontal="left" vertical="top"/>
    </xf>
    <xf numFmtId="0" fontId="31" fillId="0" borderId="45" xfId="0" applyFont="1" applyBorder="1" applyAlignment="1">
      <alignment horizontal="center" vertical="top" wrapText="1"/>
    </xf>
    <xf numFmtId="0" fontId="5" fillId="0" borderId="45" xfId="0" applyFont="1" applyBorder="1" applyAlignment="1">
      <alignment horizontal="center" vertical="top" wrapText="1"/>
    </xf>
    <xf numFmtId="0" fontId="0" fillId="0" borderId="45" xfId="0" applyBorder="1" applyAlignment="1">
      <alignment horizontal="center" vertical="center"/>
    </xf>
    <xf numFmtId="0" fontId="5" fillId="3" borderId="36" xfId="0" applyFont="1" applyFill="1" applyBorder="1" applyAlignment="1">
      <alignment horizontal="left" vertical="top" wrapText="1"/>
    </xf>
    <xf numFmtId="0" fontId="5" fillId="3" borderId="53" xfId="0" applyFont="1" applyFill="1" applyBorder="1" applyAlignment="1">
      <alignment horizontal="left" vertical="top" wrapText="1"/>
    </xf>
    <xf numFmtId="0" fontId="5" fillId="3" borderId="95" xfId="0" applyFont="1" applyFill="1" applyBorder="1" applyAlignment="1">
      <alignment horizontal="left" vertical="top"/>
    </xf>
    <xf numFmtId="0" fontId="32" fillId="34" borderId="57" xfId="0" applyFont="1" applyFill="1" applyBorder="1" applyAlignment="1">
      <alignment vertical="center" wrapText="1"/>
    </xf>
    <xf numFmtId="0" fontId="32" fillId="3" borderId="45" xfId="0" applyFont="1" applyFill="1" applyBorder="1" applyAlignment="1">
      <alignment horizontal="left" vertical="top" wrapText="1"/>
    </xf>
    <xf numFmtId="0" fontId="32" fillId="34" borderId="53" xfId="0" applyFont="1" applyFill="1" applyBorder="1" applyAlignment="1">
      <alignment horizontal="left" vertical="top" wrapText="1"/>
    </xf>
    <xf numFmtId="0" fontId="5" fillId="3" borderId="36" xfId="0" applyFont="1" applyFill="1" applyBorder="1" applyAlignment="1">
      <alignment horizontal="left" vertical="top"/>
    </xf>
    <xf numFmtId="0" fontId="5" fillId="3" borderId="80" xfId="0" applyFont="1" applyFill="1" applyBorder="1" applyAlignment="1">
      <alignment horizontal="left" vertical="top" wrapText="1"/>
    </xf>
    <xf numFmtId="0" fontId="21" fillId="0" borderId="45" xfId="0" applyFont="1" applyBorder="1" applyAlignment="1">
      <alignment horizontal="left" vertical="top"/>
    </xf>
    <xf numFmtId="0" fontId="21" fillId="0" borderId="53" xfId="0" applyFont="1" applyBorder="1" applyAlignment="1">
      <alignment horizontal="left" vertical="top"/>
    </xf>
    <xf numFmtId="0" fontId="5" fillId="19" borderId="45" xfId="0" applyFont="1" applyFill="1" applyBorder="1" applyAlignment="1">
      <alignment horizontal="left" vertical="top" wrapText="1"/>
    </xf>
    <xf numFmtId="0" fontId="5" fillId="0" borderId="57" xfId="0" applyFont="1" applyBorder="1" applyAlignment="1">
      <alignment horizontal="left" vertical="top" wrapText="1"/>
    </xf>
    <xf numFmtId="178" fontId="5" fillId="3" borderId="57" xfId="0" applyNumberFormat="1" applyFont="1" applyFill="1" applyBorder="1" applyAlignment="1">
      <alignment horizontal="left" vertical="top" wrapText="1"/>
    </xf>
    <xf numFmtId="178" fontId="5" fillId="3" borderId="45" xfId="0" applyNumberFormat="1" applyFont="1" applyFill="1" applyBorder="1" applyAlignment="1">
      <alignment horizontal="left" vertical="top" wrapText="1"/>
    </xf>
    <xf numFmtId="0" fontId="5" fillId="0" borderId="53" xfId="0" applyFont="1" applyBorder="1" applyAlignment="1">
      <alignment horizontal="left" vertical="top" wrapText="1"/>
    </xf>
    <xf numFmtId="0" fontId="21" fillId="0" borderId="36" xfId="0" applyFont="1" applyBorder="1" applyAlignment="1">
      <alignment vertical="top" wrapText="1"/>
    </xf>
    <xf numFmtId="0" fontId="21" fillId="3" borderId="45" xfId="0" applyFont="1" applyFill="1" applyBorder="1" applyAlignment="1">
      <alignment vertical="top" wrapText="1"/>
    </xf>
    <xf numFmtId="0" fontId="21" fillId="3" borderId="80" xfId="0" applyFont="1" applyFill="1" applyBorder="1" applyAlignment="1">
      <alignment vertical="top" wrapText="1"/>
    </xf>
    <xf numFmtId="0" fontId="16" fillId="7" borderId="243" xfId="0" applyFont="1" applyFill="1" applyBorder="1" applyAlignment="1">
      <alignment horizontal="center" vertical="center" wrapText="1"/>
    </xf>
    <xf numFmtId="0" fontId="10" fillId="12" borderId="218" xfId="0" applyFont="1" applyFill="1" applyBorder="1" applyAlignment="1">
      <alignment horizontal="center" vertical="center" wrapText="1"/>
    </xf>
    <xf numFmtId="3" fontId="26" fillId="5" borderId="219" xfId="0" applyNumberFormat="1" applyFont="1" applyFill="1" applyBorder="1" applyAlignment="1">
      <alignment vertical="center" wrapText="1"/>
    </xf>
    <xf numFmtId="178" fontId="13" fillId="18" borderId="219" xfId="0" applyNumberFormat="1" applyFont="1" applyFill="1" applyBorder="1" applyAlignment="1">
      <alignment vertical="center" wrapText="1"/>
    </xf>
    <xf numFmtId="3" fontId="13" fillId="4" borderId="227" xfId="0" applyNumberFormat="1" applyFont="1" applyFill="1" applyBorder="1" applyAlignment="1">
      <alignment vertical="center" wrapText="1"/>
    </xf>
    <xf numFmtId="178" fontId="13" fillId="4" borderId="227" xfId="0" applyNumberFormat="1" applyFont="1" applyFill="1" applyBorder="1" applyAlignment="1">
      <alignment vertical="center" wrapText="1"/>
    </xf>
    <xf numFmtId="178" fontId="11" fillId="5" borderId="219" xfId="0" applyNumberFormat="1" applyFont="1" applyFill="1" applyBorder="1" applyAlignment="1">
      <alignment vertical="center" wrapText="1"/>
    </xf>
    <xf numFmtId="178" fontId="12" fillId="4" borderId="219" xfId="0" applyNumberFormat="1" applyFont="1" applyFill="1" applyBorder="1" applyAlignment="1">
      <alignment vertical="center" wrapText="1"/>
    </xf>
    <xf numFmtId="178" fontId="12" fillId="4" borderId="235" xfId="0" applyNumberFormat="1" applyFont="1" applyFill="1" applyBorder="1" applyAlignment="1">
      <alignment vertical="center" wrapText="1"/>
    </xf>
    <xf numFmtId="3" fontId="13" fillId="19" borderId="227" xfId="0" applyNumberFormat="1" applyFont="1" applyFill="1" applyBorder="1" applyAlignment="1">
      <alignment vertical="center" wrapText="1"/>
    </xf>
    <xf numFmtId="3" fontId="13" fillId="19" borderId="221" xfId="0" applyNumberFormat="1" applyFont="1" applyFill="1" applyBorder="1" applyAlignment="1">
      <alignment vertical="center" wrapText="1"/>
    </xf>
    <xf numFmtId="3" fontId="5" fillId="19" borderId="80" xfId="0" applyNumberFormat="1" applyFont="1" applyFill="1" applyBorder="1" applyAlignment="1">
      <alignment vertical="center" wrapText="1"/>
    </xf>
    <xf numFmtId="0" fontId="15" fillId="14" borderId="244" xfId="0" applyFont="1" applyFill="1" applyBorder="1" applyAlignment="1">
      <alignment horizontal="left" vertical="top"/>
    </xf>
    <xf numFmtId="0" fontId="15" fillId="14" borderId="245" xfId="0" applyFont="1" applyFill="1" applyBorder="1" applyAlignment="1">
      <alignment horizontal="left" vertical="top"/>
    </xf>
    <xf numFmtId="0" fontId="19" fillId="14" borderId="245" xfId="0" applyFont="1" applyFill="1" applyBorder="1" applyAlignment="1">
      <alignment horizontal="center" vertical="center"/>
    </xf>
    <xf numFmtId="0" fontId="19" fillId="14" borderId="245" xfId="0" applyFont="1" applyFill="1" applyBorder="1">
      <alignment vertical="center"/>
    </xf>
    <xf numFmtId="0" fontId="9" fillId="14" borderId="245" xfId="0" applyFont="1" applyFill="1" applyBorder="1" applyAlignment="1">
      <alignment horizontal="center" vertical="center"/>
    </xf>
    <xf numFmtId="0" fontId="9" fillId="14" borderId="246" xfId="0" applyFont="1" applyFill="1" applyBorder="1" applyAlignment="1">
      <alignment horizontal="center" vertical="center"/>
    </xf>
    <xf numFmtId="3" fontId="13" fillId="4" borderId="219" xfId="0" applyNumberFormat="1" applyFont="1" applyFill="1" applyBorder="1" applyAlignment="1">
      <alignment vertical="top" wrapText="1"/>
    </xf>
    <xf numFmtId="3" fontId="13" fillId="4" borderId="38" xfId="0" applyNumberFormat="1" applyFont="1" applyFill="1" applyBorder="1" applyAlignment="1">
      <alignment vertical="top" wrapText="1"/>
    </xf>
    <xf numFmtId="3" fontId="21" fillId="4" borderId="43" xfId="0" applyNumberFormat="1" applyFont="1" applyFill="1" applyBorder="1" applyAlignment="1">
      <alignment horizontal="right" vertical="center" wrapText="1"/>
    </xf>
    <xf numFmtId="178" fontId="5" fillId="4" borderId="43" xfId="0" applyNumberFormat="1" applyFont="1" applyFill="1" applyBorder="1" applyAlignment="1">
      <alignment horizontal="right" vertical="center" wrapText="1"/>
    </xf>
    <xf numFmtId="178" fontId="13" fillId="4" borderId="87" xfId="0" applyNumberFormat="1" applyFont="1" applyFill="1" applyBorder="1" applyAlignment="1">
      <alignment horizontal="right" vertical="center" wrapText="1"/>
    </xf>
    <xf numFmtId="3" fontId="13" fillId="4" borderId="34" xfId="0" applyNumberFormat="1" applyFont="1" applyFill="1" applyBorder="1" applyAlignment="1">
      <alignment horizontal="right" vertical="center" wrapText="1"/>
    </xf>
    <xf numFmtId="3" fontId="13" fillId="4" borderId="65" xfId="0" applyNumberFormat="1" applyFont="1" applyFill="1" applyBorder="1" applyAlignment="1">
      <alignment horizontal="right" vertical="center" wrapText="1"/>
    </xf>
    <xf numFmtId="178" fontId="5" fillId="19" borderId="57" xfId="0" quotePrefix="1" applyNumberFormat="1" applyFont="1" applyFill="1" applyBorder="1" applyAlignment="1">
      <alignment horizontal="right" vertical="center"/>
    </xf>
    <xf numFmtId="3" fontId="22" fillId="22" borderId="80" xfId="0" applyNumberFormat="1" applyFont="1" applyFill="1" applyBorder="1" applyAlignment="1">
      <alignment horizontal="right" vertical="center" wrapText="1"/>
    </xf>
    <xf numFmtId="3" fontId="22" fillId="22" borderId="45" xfId="0" applyNumberFormat="1" applyFont="1" applyFill="1" applyBorder="1" applyAlignment="1">
      <alignment horizontal="right" vertical="center" wrapText="1"/>
    </xf>
    <xf numFmtId="3" fontId="5" fillId="5" borderId="45" xfId="0" applyNumberFormat="1" applyFont="1" applyFill="1" applyBorder="1" applyAlignment="1">
      <alignment horizontal="right" vertical="center" wrapText="1"/>
    </xf>
    <xf numFmtId="3" fontId="26" fillId="5" borderId="45" xfId="0" quotePrefix="1" applyNumberFormat="1" applyFont="1" applyFill="1" applyBorder="1" applyAlignment="1">
      <alignment horizontal="right" vertical="center" wrapText="1"/>
    </xf>
    <xf numFmtId="3" fontId="5" fillId="28" borderId="36" xfId="0" applyNumberFormat="1" applyFont="1" applyFill="1" applyBorder="1" applyAlignment="1">
      <alignment vertical="center" wrapText="1"/>
    </xf>
    <xf numFmtId="178" fontId="5" fillId="19" borderId="64" xfId="0" quotePrefix="1" applyNumberFormat="1" applyFont="1" applyFill="1" applyBorder="1" applyAlignment="1">
      <alignment horizontal="center" vertical="center"/>
    </xf>
    <xf numFmtId="3" fontId="13" fillId="18" borderId="45" xfId="0" applyNumberFormat="1" applyFont="1" applyFill="1" applyBorder="1" applyAlignment="1">
      <alignment vertical="center" wrapText="1"/>
    </xf>
    <xf numFmtId="3" fontId="5" fillId="28" borderId="36" xfId="0" quotePrefix="1" applyNumberFormat="1" applyFont="1" applyFill="1" applyBorder="1" applyAlignment="1">
      <alignment vertical="center" wrapText="1"/>
    </xf>
    <xf numFmtId="178" fontId="5" fillId="14" borderId="45" xfId="0" quotePrefix="1" applyNumberFormat="1" applyFont="1" applyFill="1" applyBorder="1" applyAlignment="1">
      <alignment horizontal="center" vertical="center"/>
    </xf>
    <xf numFmtId="177" fontId="5" fillId="14" borderId="45" xfId="0" quotePrefix="1" applyNumberFormat="1" applyFont="1" applyFill="1" applyBorder="1" applyAlignment="1">
      <alignment horizontal="center" vertical="center"/>
    </xf>
    <xf numFmtId="3" fontId="13" fillId="4" borderId="53" xfId="0" quotePrefix="1" applyNumberFormat="1" applyFont="1" applyFill="1" applyBorder="1" applyAlignment="1">
      <alignment vertical="center" wrapText="1"/>
    </xf>
    <xf numFmtId="0" fontId="5" fillId="19" borderId="36" xfId="0" quotePrefix="1" applyFont="1" applyFill="1" applyBorder="1" applyAlignment="1">
      <alignment horizontal="center" vertical="center"/>
    </xf>
    <xf numFmtId="0" fontId="5" fillId="19" borderId="36" xfId="0" applyFont="1" applyFill="1" applyBorder="1" applyAlignment="1">
      <alignment horizontal="right" vertical="center"/>
    </xf>
    <xf numFmtId="3" fontId="13" fillId="18" borderId="220" xfId="0" applyNumberFormat="1" applyFont="1" applyFill="1" applyBorder="1" applyAlignment="1">
      <alignment vertical="center" wrapText="1"/>
    </xf>
    <xf numFmtId="178" fontId="5" fillId="18" borderId="38" xfId="0" applyNumberFormat="1" applyFont="1" applyFill="1" applyBorder="1" applyAlignment="1">
      <alignment vertical="center" wrapText="1"/>
    </xf>
    <xf numFmtId="178" fontId="5" fillId="18" borderId="38" xfId="0" quotePrefix="1" applyNumberFormat="1" applyFont="1" applyFill="1" applyBorder="1" applyAlignment="1">
      <alignment vertical="center" wrapText="1"/>
    </xf>
    <xf numFmtId="178" fontId="29" fillId="4" borderId="219" xfId="0" applyNumberFormat="1" applyFont="1" applyFill="1" applyBorder="1" applyAlignment="1">
      <alignment vertical="center" wrapText="1"/>
    </xf>
    <xf numFmtId="178" fontId="29" fillId="4" borderId="38" xfId="0" applyNumberFormat="1" applyFont="1" applyFill="1" applyBorder="1" applyAlignment="1">
      <alignment vertical="center" wrapText="1"/>
    </xf>
    <xf numFmtId="178" fontId="29" fillId="4" borderId="220" xfId="0" applyNumberFormat="1" applyFont="1" applyFill="1" applyBorder="1" applyAlignment="1">
      <alignment vertical="center" wrapText="1"/>
    </xf>
    <xf numFmtId="178" fontId="13" fillId="4" borderId="52" xfId="0" applyNumberFormat="1" applyFont="1" applyFill="1" applyBorder="1" applyAlignment="1">
      <alignment horizontal="right" vertical="center" wrapText="1"/>
    </xf>
    <xf numFmtId="178" fontId="29" fillId="4" borderId="43" xfId="0" applyNumberFormat="1" applyFont="1" applyFill="1" applyBorder="1" applyAlignment="1">
      <alignment horizontal="right" vertical="center" wrapText="1"/>
    </xf>
    <xf numFmtId="178" fontId="21" fillId="5" borderId="43" xfId="0" applyNumberFormat="1" applyFont="1" applyFill="1" applyBorder="1" applyAlignment="1">
      <alignment vertical="center" wrapText="1"/>
    </xf>
    <xf numFmtId="178" fontId="13" fillId="4" borderId="67" xfId="0" applyNumberFormat="1" applyFont="1" applyFill="1" applyBorder="1" applyAlignment="1">
      <alignment vertical="center" wrapText="1"/>
    </xf>
    <xf numFmtId="178" fontId="5" fillId="28" borderId="77" xfId="0" quotePrefix="1" applyNumberFormat="1" applyFont="1" applyFill="1" applyBorder="1" applyAlignment="1">
      <alignment vertical="center" wrapText="1"/>
    </xf>
    <xf numFmtId="178" fontId="13" fillId="4" borderId="34" xfId="0" applyNumberFormat="1" applyFont="1" applyFill="1" applyBorder="1" applyAlignment="1">
      <alignment vertical="center" wrapText="1"/>
    </xf>
    <xf numFmtId="178" fontId="13" fillId="4" borderId="52" xfId="0" applyNumberFormat="1" applyFont="1" applyFill="1" applyBorder="1" applyAlignment="1">
      <alignment vertical="center" wrapText="1"/>
    </xf>
    <xf numFmtId="178" fontId="13" fillId="19" borderId="43" xfId="0" applyNumberFormat="1" applyFont="1" applyFill="1" applyBorder="1" applyAlignment="1">
      <alignment vertical="center" wrapText="1"/>
    </xf>
    <xf numFmtId="178" fontId="13" fillId="4" borderId="34" xfId="0" applyNumberFormat="1" applyFont="1" applyFill="1" applyBorder="1" applyAlignment="1">
      <alignment horizontal="right" vertical="center" wrapText="1"/>
    </xf>
    <xf numFmtId="178" fontId="5" fillId="16" borderId="38" xfId="0" applyNumberFormat="1" applyFont="1" applyFill="1" applyBorder="1" applyAlignment="1">
      <alignment horizontal="right" vertical="top" wrapText="1"/>
    </xf>
    <xf numFmtId="178" fontId="5" fillId="19" borderId="38" xfId="0" applyNumberFormat="1" applyFont="1" applyFill="1" applyBorder="1" applyAlignment="1">
      <alignment horizontal="right" vertical="top" wrapText="1"/>
    </xf>
    <xf numFmtId="187" fontId="13" fillId="5" borderId="219" xfId="0" applyNumberFormat="1" applyFont="1" applyFill="1" applyBorder="1" applyAlignment="1">
      <alignment vertical="center" wrapText="1"/>
    </xf>
    <xf numFmtId="187" fontId="13" fillId="5" borderId="38" xfId="0" applyNumberFormat="1" applyFont="1" applyFill="1" applyBorder="1" applyAlignment="1">
      <alignment vertical="center" wrapText="1"/>
    </xf>
    <xf numFmtId="187" fontId="13" fillId="5" borderId="43" xfId="0" applyNumberFormat="1" applyFont="1" applyFill="1" applyBorder="1" applyAlignment="1">
      <alignment vertical="center" wrapText="1"/>
    </xf>
    <xf numFmtId="187" fontId="13" fillId="4" borderId="219" xfId="0" applyNumberFormat="1" applyFont="1" applyFill="1" applyBorder="1" applyAlignment="1">
      <alignment horizontal="right" vertical="center" wrapText="1"/>
    </xf>
    <xf numFmtId="187" fontId="13" fillId="4" borderId="38" xfId="0" applyNumberFormat="1" applyFont="1" applyFill="1" applyBorder="1" applyAlignment="1">
      <alignment horizontal="right" vertical="center" wrapText="1"/>
    </xf>
    <xf numFmtId="187" fontId="5" fillId="3" borderId="78" xfId="0" applyNumberFormat="1" applyFont="1" applyFill="1" applyBorder="1" applyAlignment="1">
      <alignment vertical="center" wrapText="1"/>
    </xf>
    <xf numFmtId="187" fontId="13" fillId="4" borderId="220" xfId="0" applyNumberFormat="1" applyFont="1" applyFill="1" applyBorder="1" applyAlignment="1">
      <alignment vertical="center" wrapText="1"/>
    </xf>
    <xf numFmtId="187" fontId="13" fillId="4" borderId="219" xfId="0" applyNumberFormat="1" applyFont="1" applyFill="1" applyBorder="1" applyAlignment="1">
      <alignment vertical="center" wrapText="1"/>
    </xf>
    <xf numFmtId="187" fontId="13" fillId="4" borderId="38" xfId="0" applyNumberFormat="1" applyFont="1" applyFill="1" applyBorder="1" applyAlignment="1">
      <alignment vertical="center" wrapText="1"/>
    </xf>
    <xf numFmtId="187" fontId="13" fillId="4" borderId="43" xfId="0" applyNumberFormat="1" applyFont="1" applyFill="1" applyBorder="1" applyAlignment="1">
      <alignment vertical="center" wrapText="1"/>
    </xf>
    <xf numFmtId="187" fontId="5" fillId="3" borderId="38" xfId="0" applyNumberFormat="1" applyFont="1" applyFill="1" applyBorder="1" applyAlignment="1">
      <alignment horizontal="right" vertical="center" wrapText="1"/>
    </xf>
    <xf numFmtId="187" fontId="5" fillId="3" borderId="38" xfId="0" applyNumberFormat="1" applyFont="1" applyFill="1" applyBorder="1" applyAlignment="1">
      <alignment vertical="center" wrapText="1"/>
    </xf>
    <xf numFmtId="187" fontId="5" fillId="5" borderId="219" xfId="0" applyNumberFormat="1" applyFont="1" applyFill="1" applyBorder="1" applyAlignment="1">
      <alignment vertical="center" wrapText="1"/>
    </xf>
    <xf numFmtId="187" fontId="5" fillId="5" borderId="45" xfId="0" applyNumberFormat="1" applyFont="1" applyFill="1" applyBorder="1" applyAlignment="1">
      <alignment vertical="center" wrapText="1"/>
    </xf>
    <xf numFmtId="187" fontId="5" fillId="5" borderId="38" xfId="0" applyNumberFormat="1" applyFont="1" applyFill="1" applyBorder="1" applyAlignment="1">
      <alignment vertical="center" wrapText="1"/>
    </xf>
    <xf numFmtId="187" fontId="5" fillId="5" borderId="43" xfId="0" applyNumberFormat="1" applyFont="1" applyFill="1" applyBorder="1" applyAlignment="1">
      <alignment vertical="center" wrapText="1"/>
    </xf>
    <xf numFmtId="187" fontId="5" fillId="5" borderId="220" xfId="0" applyNumberFormat="1" applyFont="1" applyFill="1" applyBorder="1" applyAlignment="1">
      <alignment vertical="center" wrapText="1"/>
    </xf>
    <xf numFmtId="187" fontId="5" fillId="4" borderId="38" xfId="0" applyNumberFormat="1" applyFont="1" applyFill="1" applyBorder="1" applyAlignment="1">
      <alignment vertical="center" wrapText="1"/>
    </xf>
    <xf numFmtId="187" fontId="5" fillId="19" borderId="219" xfId="0" quotePrefix="1" applyNumberFormat="1" applyFont="1" applyFill="1" applyBorder="1" applyAlignment="1">
      <alignment horizontal="right" vertical="center"/>
    </xf>
    <xf numFmtId="187" fontId="5" fillId="19" borderId="38" xfId="0" quotePrefix="1" applyNumberFormat="1" applyFont="1" applyFill="1" applyBorder="1" applyAlignment="1">
      <alignment horizontal="right" vertical="center"/>
    </xf>
    <xf numFmtId="187" fontId="5" fillId="19" borderId="43" xfId="0" quotePrefix="1" applyNumberFormat="1" applyFont="1" applyFill="1" applyBorder="1" applyAlignment="1">
      <alignment horizontal="right" vertical="center"/>
    </xf>
    <xf numFmtId="187" fontId="13" fillId="19" borderId="219" xfId="0" applyNumberFormat="1" applyFont="1" applyFill="1" applyBorder="1" applyAlignment="1">
      <alignment horizontal="right" vertical="center" wrapText="1"/>
    </xf>
    <xf numFmtId="187" fontId="5" fillId="19" borderId="38" xfId="0" applyNumberFormat="1" applyFont="1" applyFill="1" applyBorder="1" applyAlignment="1">
      <alignment horizontal="right" vertical="center" wrapText="1"/>
    </xf>
    <xf numFmtId="187" fontId="13" fillId="19" borderId="38" xfId="0" applyNumberFormat="1" applyFont="1" applyFill="1" applyBorder="1" applyAlignment="1">
      <alignment horizontal="right" vertical="center" wrapText="1"/>
    </xf>
    <xf numFmtId="187" fontId="5" fillId="19" borderId="38" xfId="0" applyNumberFormat="1" applyFont="1" applyFill="1" applyBorder="1" applyAlignment="1">
      <alignment vertical="center" wrapText="1"/>
    </xf>
    <xf numFmtId="187" fontId="13" fillId="19" borderId="220" xfId="0" applyNumberFormat="1" applyFont="1" applyFill="1" applyBorder="1" applyAlignment="1">
      <alignment vertical="center" wrapText="1"/>
    </xf>
    <xf numFmtId="187" fontId="13" fillId="19" borderId="219" xfId="0" applyNumberFormat="1" applyFont="1" applyFill="1" applyBorder="1" applyAlignment="1">
      <alignment vertical="center" wrapText="1"/>
    </xf>
    <xf numFmtId="187" fontId="13" fillId="19" borderId="38" xfId="0" applyNumberFormat="1" applyFont="1" applyFill="1" applyBorder="1" applyAlignment="1">
      <alignment vertical="center" wrapText="1"/>
    </xf>
    <xf numFmtId="187" fontId="15" fillId="14" borderId="217" xfId="0" applyNumberFormat="1" applyFont="1" applyFill="1" applyBorder="1" applyAlignment="1">
      <alignment horizontal="center" vertical="center"/>
    </xf>
    <xf numFmtId="187" fontId="15" fillId="14" borderId="28" xfId="0" applyNumberFormat="1" applyFont="1" applyFill="1" applyBorder="1" applyAlignment="1">
      <alignment horizontal="center" vertical="center"/>
    </xf>
    <xf numFmtId="187" fontId="19" fillId="14" borderId="217" xfId="0" applyNumberFormat="1" applyFont="1" applyFill="1" applyBorder="1" applyAlignment="1">
      <alignment vertical="center" wrapText="1"/>
    </xf>
    <xf numFmtId="187" fontId="19" fillId="14" borderId="28" xfId="0" applyNumberFormat="1" applyFont="1" applyFill="1" applyBorder="1" applyAlignment="1">
      <alignment vertical="center" wrapText="1"/>
    </xf>
    <xf numFmtId="187" fontId="19" fillId="14" borderId="218" xfId="0" applyNumberFormat="1" applyFont="1" applyFill="1" applyBorder="1" applyAlignment="1">
      <alignment vertical="center" wrapText="1"/>
    </xf>
    <xf numFmtId="187" fontId="20" fillId="5" borderId="227" xfId="0" applyNumberFormat="1" applyFont="1" applyFill="1" applyBorder="1" applyAlignment="1">
      <alignment vertical="center" wrapText="1"/>
    </xf>
    <xf numFmtId="187" fontId="20" fillId="5" borderId="78" xfId="0" applyNumberFormat="1" applyFont="1" applyFill="1" applyBorder="1" applyAlignment="1">
      <alignment vertical="center" wrapText="1"/>
    </xf>
    <xf numFmtId="187" fontId="20" fillId="5" borderId="77" xfId="0" applyNumberFormat="1" applyFont="1" applyFill="1" applyBorder="1" applyAlignment="1">
      <alignment vertical="center" wrapText="1"/>
    </xf>
    <xf numFmtId="187" fontId="20" fillId="5" borderId="228" xfId="0" applyNumberFormat="1" applyFont="1" applyFill="1" applyBorder="1" applyAlignment="1">
      <alignment vertical="center" wrapText="1"/>
    </xf>
    <xf numFmtId="187" fontId="13" fillId="4" borderId="230" xfId="0" applyNumberFormat="1" applyFont="1" applyFill="1" applyBorder="1" applyAlignment="1">
      <alignment vertical="center" wrapText="1"/>
    </xf>
    <xf numFmtId="187" fontId="22" fillId="22" borderId="229" xfId="0" applyNumberFormat="1" applyFont="1" applyFill="1" applyBorder="1" applyAlignment="1">
      <alignment horizontal="right" vertical="center" wrapText="1"/>
    </xf>
    <xf numFmtId="187" fontId="22" fillId="22" borderId="37" xfId="0" applyNumberFormat="1" applyFont="1" applyFill="1" applyBorder="1" applyAlignment="1">
      <alignment horizontal="right" vertical="center" wrapText="1"/>
    </xf>
    <xf numFmtId="187" fontId="22" fillId="22" borderId="34" xfId="0" applyNumberFormat="1" applyFont="1" applyFill="1" applyBorder="1" applyAlignment="1">
      <alignment horizontal="right" vertical="center" wrapText="1"/>
    </xf>
    <xf numFmtId="187" fontId="13" fillId="4" borderId="229" xfId="0" applyNumberFormat="1" applyFont="1" applyFill="1" applyBorder="1" applyAlignment="1">
      <alignment vertical="center" wrapText="1"/>
    </xf>
    <xf numFmtId="187" fontId="5" fillId="0" borderId="37" xfId="0" applyNumberFormat="1" applyFont="1" applyBorder="1" applyAlignment="1">
      <alignment vertical="center" wrapText="1"/>
    </xf>
    <xf numFmtId="187" fontId="13" fillId="4" borderId="37" xfId="0" applyNumberFormat="1" applyFont="1" applyFill="1" applyBorder="1" applyAlignment="1">
      <alignment vertical="center" wrapText="1"/>
    </xf>
    <xf numFmtId="187" fontId="20" fillId="5" borderId="219" xfId="0" applyNumberFormat="1" applyFont="1" applyFill="1" applyBorder="1" applyAlignment="1">
      <alignment vertical="center" wrapText="1"/>
    </xf>
    <xf numFmtId="187" fontId="20" fillId="5" borderId="38" xfId="0" applyNumberFormat="1" applyFont="1" applyFill="1" applyBorder="1" applyAlignment="1">
      <alignment vertical="center" wrapText="1"/>
    </xf>
    <xf numFmtId="187" fontId="20" fillId="5" borderId="43" xfId="0" applyNumberFormat="1" applyFont="1" applyFill="1" applyBorder="1" applyAlignment="1">
      <alignment vertical="center" wrapText="1"/>
    </xf>
    <xf numFmtId="187" fontId="20" fillId="5" borderId="220" xfId="0" applyNumberFormat="1" applyFont="1" applyFill="1" applyBorder="1" applyAlignment="1">
      <alignment vertical="center" wrapText="1"/>
    </xf>
    <xf numFmtId="187" fontId="24" fillId="5" borderId="219" xfId="0" applyNumberFormat="1" applyFont="1" applyFill="1" applyBorder="1" applyAlignment="1">
      <alignment horizontal="right" vertical="center" wrapText="1"/>
    </xf>
    <xf numFmtId="187" fontId="24" fillId="5" borderId="38" xfId="0" applyNumberFormat="1" applyFont="1" applyFill="1" applyBorder="1" applyAlignment="1">
      <alignment horizontal="right" vertical="center" wrapText="1"/>
    </xf>
    <xf numFmtId="187" fontId="24" fillId="5" borderId="43" xfId="0" applyNumberFormat="1" applyFont="1" applyFill="1" applyBorder="1" applyAlignment="1">
      <alignment horizontal="right" vertical="center" wrapText="1"/>
    </xf>
    <xf numFmtId="187" fontId="21" fillId="28" borderId="219" xfId="0" applyNumberFormat="1" applyFont="1" applyFill="1" applyBorder="1" applyAlignment="1">
      <alignment vertical="center" wrapText="1"/>
    </xf>
    <xf numFmtId="187" fontId="21" fillId="28" borderId="38" xfId="0" applyNumberFormat="1" applyFont="1" applyFill="1" applyBorder="1" applyAlignment="1">
      <alignment vertical="center" wrapText="1"/>
    </xf>
    <xf numFmtId="187" fontId="21" fillId="28" borderId="220" xfId="0" applyNumberFormat="1" applyFont="1" applyFill="1" applyBorder="1" applyAlignment="1">
      <alignment vertical="center" wrapText="1"/>
    </xf>
    <xf numFmtId="187" fontId="22" fillId="22" borderId="219" xfId="0" applyNumberFormat="1" applyFont="1" applyFill="1" applyBorder="1" applyAlignment="1">
      <alignment horizontal="right" vertical="center" wrapText="1"/>
    </xf>
    <xf numFmtId="187" fontId="22" fillId="22" borderId="38" xfId="0" applyNumberFormat="1" applyFont="1" applyFill="1" applyBorder="1" applyAlignment="1">
      <alignment horizontal="right" vertical="center" wrapText="1"/>
    </xf>
    <xf numFmtId="187" fontId="22" fillId="22" borderId="43" xfId="0" applyNumberFormat="1" applyFont="1" applyFill="1" applyBorder="1" applyAlignment="1">
      <alignment horizontal="right" vertical="center" wrapText="1"/>
    </xf>
    <xf numFmtId="187" fontId="5" fillId="5" borderId="219" xfId="0" applyNumberFormat="1" applyFont="1" applyFill="1" applyBorder="1" applyAlignment="1">
      <alignment horizontal="right" vertical="center" wrapText="1"/>
    </xf>
    <xf numFmtId="187" fontId="5" fillId="5" borderId="38" xfId="0" applyNumberFormat="1" applyFont="1" applyFill="1" applyBorder="1" applyAlignment="1">
      <alignment horizontal="right" vertical="center" wrapText="1"/>
    </xf>
    <xf numFmtId="187" fontId="5" fillId="5" borderId="43" xfId="0" applyNumberFormat="1" applyFont="1" applyFill="1" applyBorder="1" applyAlignment="1">
      <alignment horizontal="right" vertical="center" wrapText="1"/>
    </xf>
    <xf numFmtId="187" fontId="13" fillId="5" borderId="220" xfId="0" applyNumberFormat="1" applyFont="1" applyFill="1" applyBorder="1" applyAlignment="1">
      <alignment vertical="center" wrapText="1"/>
    </xf>
    <xf numFmtId="187" fontId="5" fillId="4" borderId="219" xfId="0" applyNumberFormat="1" applyFont="1" applyFill="1" applyBorder="1" applyAlignment="1">
      <alignment horizontal="right" vertical="center" wrapText="1"/>
    </xf>
    <xf numFmtId="187" fontId="5" fillId="4" borderId="38" xfId="0" applyNumberFormat="1" applyFont="1" applyFill="1" applyBorder="1" applyAlignment="1">
      <alignment horizontal="right" vertical="center" wrapText="1"/>
    </xf>
    <xf numFmtId="187" fontId="5" fillId="4" borderId="43" xfId="0" applyNumberFormat="1" applyFont="1" applyFill="1" applyBorder="1" applyAlignment="1">
      <alignment horizontal="right" vertical="center" wrapText="1"/>
    </xf>
    <xf numFmtId="187" fontId="22" fillId="5" borderId="219" xfId="0" applyNumberFormat="1" applyFont="1" applyFill="1" applyBorder="1" applyAlignment="1">
      <alignment horizontal="right" vertical="center" wrapText="1"/>
    </xf>
    <xf numFmtId="187" fontId="26" fillId="5" borderId="219" xfId="0" quotePrefix="1" applyNumberFormat="1" applyFont="1" applyFill="1" applyBorder="1" applyAlignment="1">
      <alignment horizontal="right" vertical="center" wrapText="1"/>
    </xf>
    <xf numFmtId="187" fontId="26" fillId="5" borderId="38" xfId="0" quotePrefix="1" applyNumberFormat="1" applyFont="1" applyFill="1" applyBorder="1" applyAlignment="1">
      <alignment horizontal="right" vertical="center" wrapText="1"/>
    </xf>
    <xf numFmtId="187" fontId="26" fillId="5" borderId="43" xfId="0" quotePrefix="1" applyNumberFormat="1" applyFont="1" applyFill="1" applyBorder="1" applyAlignment="1">
      <alignment horizontal="right" vertical="center" wrapText="1"/>
    </xf>
    <xf numFmtId="187" fontId="26" fillId="5" borderId="219" xfId="0" quotePrefix="1" applyNumberFormat="1" applyFont="1" applyFill="1" applyBorder="1" applyAlignment="1">
      <alignment vertical="center" wrapText="1"/>
    </xf>
    <xf numFmtId="187" fontId="26" fillId="3" borderId="38" xfId="0" quotePrefix="1" applyNumberFormat="1" applyFont="1" applyFill="1" applyBorder="1" applyAlignment="1">
      <alignment vertical="center" wrapText="1"/>
    </xf>
    <xf numFmtId="187" fontId="26" fillId="5" borderId="38" xfId="0" quotePrefix="1" applyNumberFormat="1" applyFont="1" applyFill="1" applyBorder="1" applyAlignment="1">
      <alignment vertical="center" wrapText="1"/>
    </xf>
    <xf numFmtId="187" fontId="26" fillId="5" borderId="220" xfId="0" quotePrefix="1" applyNumberFormat="1" applyFont="1" applyFill="1" applyBorder="1" applyAlignment="1">
      <alignment vertical="center" wrapText="1"/>
    </xf>
    <xf numFmtId="187" fontId="26" fillId="5" borderId="219" xfId="0" applyNumberFormat="1" applyFont="1" applyFill="1" applyBorder="1" applyAlignment="1">
      <alignment vertical="center" wrapText="1"/>
    </xf>
    <xf numFmtId="187" fontId="26" fillId="5" borderId="38" xfId="0" applyNumberFormat="1" applyFont="1" applyFill="1" applyBorder="1" applyAlignment="1">
      <alignment vertical="center" wrapText="1"/>
    </xf>
    <xf numFmtId="187" fontId="5" fillId="19" borderId="219" xfId="0" applyNumberFormat="1" applyFont="1" applyFill="1" applyBorder="1" applyAlignment="1">
      <alignment horizontal="right" vertical="center" wrapText="1"/>
    </xf>
    <xf numFmtId="187" fontId="5" fillId="19" borderId="43" xfId="0" applyNumberFormat="1" applyFont="1" applyFill="1" applyBorder="1" applyAlignment="1">
      <alignment horizontal="right" vertical="center" wrapText="1"/>
    </xf>
    <xf numFmtId="187" fontId="5" fillId="3" borderId="54" xfId="0" applyNumberFormat="1" applyFont="1" applyFill="1" applyBorder="1" applyAlignment="1">
      <alignment vertical="center" wrapText="1"/>
    </xf>
    <xf numFmtId="187" fontId="15" fillId="14" borderId="231" xfId="0" applyNumberFormat="1" applyFont="1" applyFill="1" applyBorder="1" applyAlignment="1">
      <alignment horizontal="center" vertical="center"/>
    </xf>
    <xf numFmtId="187" fontId="15" fillId="14" borderId="83" xfId="0" applyNumberFormat="1" applyFont="1" applyFill="1" applyBorder="1" applyAlignment="1">
      <alignment horizontal="center" vertical="center"/>
    </xf>
    <xf numFmtId="187" fontId="5" fillId="5" borderId="227" xfId="0" applyNumberFormat="1" applyFont="1" applyFill="1" applyBorder="1" applyAlignment="1">
      <alignment vertical="center" wrapText="1"/>
    </xf>
    <xf numFmtId="187" fontId="5" fillId="5" borderId="78" xfId="0" applyNumberFormat="1" applyFont="1" applyFill="1" applyBorder="1" applyAlignment="1">
      <alignment vertical="center" wrapText="1"/>
    </xf>
    <xf numFmtId="187" fontId="5" fillId="5" borderId="77" xfId="0" applyNumberFormat="1" applyFont="1" applyFill="1" applyBorder="1" applyAlignment="1">
      <alignment vertical="center" wrapText="1"/>
    </xf>
    <xf numFmtId="187" fontId="5" fillId="0" borderId="78" xfId="0" applyNumberFormat="1" applyFont="1" applyBorder="1" applyAlignment="1">
      <alignment vertical="center" wrapText="1"/>
    </xf>
    <xf numFmtId="187" fontId="5" fillId="5" borderId="228" xfId="0" applyNumberFormat="1" applyFont="1" applyFill="1" applyBorder="1" applyAlignment="1">
      <alignment vertical="center" wrapText="1"/>
    </xf>
    <xf numFmtId="187" fontId="5" fillId="15" borderId="37" xfId="0" quotePrefix="1" applyNumberFormat="1" applyFont="1" applyFill="1" applyBorder="1" applyAlignment="1">
      <alignment vertical="center" wrapText="1"/>
    </xf>
    <xf numFmtId="187" fontId="5" fillId="5" borderId="42" xfId="0" applyNumberFormat="1" applyFont="1" applyFill="1" applyBorder="1" applyAlignment="1">
      <alignment vertical="center" wrapText="1"/>
    </xf>
    <xf numFmtId="187" fontId="5" fillId="5" borderId="233" xfId="0" applyNumberFormat="1" applyFont="1" applyFill="1" applyBorder="1" applyAlignment="1">
      <alignment vertical="center" wrapText="1"/>
    </xf>
    <xf numFmtId="187" fontId="29" fillId="4" borderId="219" xfId="0" applyNumberFormat="1" applyFont="1" applyFill="1" applyBorder="1" applyAlignment="1">
      <alignment vertical="center" wrapText="1"/>
    </xf>
    <xf numFmtId="187" fontId="21" fillId="3" borderId="38" xfId="0" applyNumberFormat="1" applyFont="1" applyFill="1" applyBorder="1" applyAlignment="1">
      <alignment vertical="center" wrapText="1"/>
    </xf>
    <xf numFmtId="187" fontId="29" fillId="4" borderId="38" xfId="0" applyNumberFormat="1" applyFont="1" applyFill="1" applyBorder="1" applyAlignment="1">
      <alignment vertical="center" wrapText="1"/>
    </xf>
    <xf numFmtId="187" fontId="29" fillId="4" borderId="220" xfId="0" applyNumberFormat="1" applyFont="1" applyFill="1" applyBorder="1" applyAlignment="1">
      <alignment vertical="center" wrapText="1"/>
    </xf>
    <xf numFmtId="187" fontId="5" fillId="0" borderId="38" xfId="0" applyNumberFormat="1" applyFont="1" applyBorder="1" applyAlignment="1">
      <alignment vertical="center" wrapText="1"/>
    </xf>
    <xf numFmtId="187" fontId="9" fillId="3" borderId="38" xfId="0" applyNumberFormat="1" applyFont="1" applyFill="1" applyBorder="1" applyAlignment="1">
      <alignment horizontal="center" vertical="center" wrapText="1"/>
    </xf>
    <xf numFmtId="187" fontId="5" fillId="0" borderId="38" xfId="0" applyNumberFormat="1" applyFont="1" applyBorder="1" applyAlignment="1">
      <alignment horizontal="center" vertical="center" wrapText="1"/>
    </xf>
    <xf numFmtId="187" fontId="13" fillId="4" borderId="234" xfId="0" applyNumberFormat="1" applyFont="1" applyFill="1" applyBorder="1" applyAlignment="1">
      <alignment vertical="center" wrapText="1"/>
    </xf>
    <xf numFmtId="187" fontId="13" fillId="4" borderId="44" xfId="0" applyNumberFormat="1" applyFont="1" applyFill="1" applyBorder="1" applyAlignment="1">
      <alignment vertical="center" wrapText="1"/>
    </xf>
    <xf numFmtId="187" fontId="13" fillId="4" borderId="237" xfId="0" applyNumberFormat="1" applyFont="1" applyFill="1" applyBorder="1" applyAlignment="1">
      <alignment vertical="center" wrapText="1"/>
    </xf>
    <xf numFmtId="187" fontId="13" fillId="4" borderId="221" xfId="0" applyNumberFormat="1" applyFont="1" applyFill="1" applyBorder="1" applyAlignment="1">
      <alignment vertical="center" wrapText="1"/>
    </xf>
    <xf numFmtId="187" fontId="13" fillId="4" borderId="54" xfId="0" applyNumberFormat="1" applyFont="1" applyFill="1" applyBorder="1" applyAlignment="1">
      <alignment vertical="center" wrapText="1"/>
    </xf>
    <xf numFmtId="187" fontId="13" fillId="4" borderId="222" xfId="0" applyNumberFormat="1" applyFont="1" applyFill="1" applyBorder="1" applyAlignment="1">
      <alignment vertical="center" wrapText="1"/>
    </xf>
    <xf numFmtId="187" fontId="13" fillId="4" borderId="221" xfId="0" applyNumberFormat="1" applyFont="1" applyFill="1" applyBorder="1" applyAlignment="1">
      <alignment horizontal="right" vertical="center" wrapText="1"/>
    </xf>
    <xf numFmtId="187" fontId="5" fillId="0" borderId="38" xfId="0" applyNumberFormat="1" applyFont="1" applyBorder="1" applyAlignment="1">
      <alignment horizontal="right" vertical="center" wrapText="1"/>
    </xf>
    <xf numFmtId="187" fontId="13" fillId="4" borderId="54" xfId="0" applyNumberFormat="1" applyFont="1" applyFill="1" applyBorder="1" applyAlignment="1">
      <alignment horizontal="right" vertical="center" wrapText="1"/>
    </xf>
    <xf numFmtId="187" fontId="13" fillId="4" borderId="222" xfId="0" applyNumberFormat="1" applyFont="1" applyFill="1" applyBorder="1" applyAlignment="1">
      <alignment horizontal="right" vertical="center" wrapText="1"/>
    </xf>
    <xf numFmtId="187" fontId="9" fillId="3" borderId="38" xfId="0" applyNumberFormat="1" applyFont="1" applyFill="1" applyBorder="1" applyAlignment="1">
      <alignment horizontal="right" vertical="center" wrapText="1"/>
    </xf>
    <xf numFmtId="187" fontId="13" fillId="4" borderId="220" xfId="0" applyNumberFormat="1" applyFont="1" applyFill="1" applyBorder="1" applyAlignment="1">
      <alignment horizontal="right" vertical="center" wrapText="1"/>
    </xf>
    <xf numFmtId="187" fontId="13" fillId="4" borderId="234" xfId="0" applyNumberFormat="1" applyFont="1" applyFill="1" applyBorder="1" applyAlignment="1">
      <alignment horizontal="right" vertical="center" wrapText="1"/>
    </xf>
    <xf numFmtId="187" fontId="13" fillId="4" borderId="44" xfId="0" applyNumberFormat="1" applyFont="1" applyFill="1" applyBorder="1" applyAlignment="1">
      <alignment horizontal="right" vertical="center" wrapText="1"/>
    </xf>
    <xf numFmtId="187" fontId="13" fillId="4" borderId="237" xfId="0" applyNumberFormat="1" applyFont="1" applyFill="1" applyBorder="1" applyAlignment="1">
      <alignment horizontal="right" vertical="center" wrapText="1"/>
    </xf>
    <xf numFmtId="187" fontId="13" fillId="4" borderId="52" xfId="0" applyNumberFormat="1" applyFont="1" applyFill="1" applyBorder="1" applyAlignment="1">
      <alignment horizontal="right" vertical="center" wrapText="1"/>
    </xf>
    <xf numFmtId="187" fontId="29" fillId="4" borderId="219" xfId="0" applyNumberFormat="1" applyFont="1" applyFill="1" applyBorder="1" applyAlignment="1">
      <alignment horizontal="right" vertical="center" wrapText="1"/>
    </xf>
    <xf numFmtId="187" fontId="29" fillId="4" borderId="38" xfId="0" applyNumberFormat="1" applyFont="1" applyFill="1" applyBorder="1" applyAlignment="1">
      <alignment horizontal="right" vertical="center" wrapText="1"/>
    </xf>
    <xf numFmtId="187" fontId="29" fillId="4" borderId="43" xfId="0" applyNumberFormat="1" applyFont="1" applyFill="1" applyBorder="1" applyAlignment="1">
      <alignment horizontal="right" vertical="center" wrapText="1"/>
    </xf>
    <xf numFmtId="187" fontId="29" fillId="4" borderId="220" xfId="0" applyNumberFormat="1" applyFont="1" applyFill="1" applyBorder="1" applyAlignment="1">
      <alignment horizontal="right" vertical="center" wrapText="1"/>
    </xf>
    <xf numFmtId="187" fontId="5" fillId="28" borderId="227" xfId="0" applyNumberFormat="1" applyFont="1" applyFill="1" applyBorder="1" applyAlignment="1">
      <alignment vertical="center" wrapText="1"/>
    </xf>
    <xf numFmtId="187" fontId="5" fillId="28" borderId="78" xfId="0" applyNumberFormat="1" applyFont="1" applyFill="1" applyBorder="1" applyAlignment="1">
      <alignment vertical="center" wrapText="1"/>
    </xf>
    <xf numFmtId="187" fontId="5" fillId="28" borderId="77" xfId="0" applyNumberFormat="1" applyFont="1" applyFill="1" applyBorder="1" applyAlignment="1">
      <alignment vertical="center" wrapText="1"/>
    </xf>
    <xf numFmtId="187" fontId="5" fillId="28" borderId="228" xfId="0" applyNumberFormat="1" applyFont="1" applyFill="1" applyBorder="1" applyAlignment="1">
      <alignment vertical="center" wrapText="1"/>
    </xf>
    <xf numFmtId="187" fontId="13" fillId="4" borderId="43" xfId="0" applyNumberFormat="1" applyFont="1" applyFill="1" applyBorder="1" applyAlignment="1">
      <alignment horizontal="center" vertical="center" wrapText="1"/>
    </xf>
    <xf numFmtId="187" fontId="21" fillId="5" borderId="219" xfId="0" applyNumberFormat="1" applyFont="1" applyFill="1" applyBorder="1" applyAlignment="1">
      <alignment vertical="center" wrapText="1"/>
    </xf>
    <xf numFmtId="187" fontId="21" fillId="5" borderId="38" xfId="0" applyNumberFormat="1" applyFont="1" applyFill="1" applyBorder="1" applyAlignment="1">
      <alignment vertical="center" wrapText="1"/>
    </xf>
    <xf numFmtId="187" fontId="21" fillId="5" borderId="43" xfId="0" applyNumberFormat="1" applyFont="1" applyFill="1" applyBorder="1" applyAlignment="1">
      <alignment vertical="center" wrapText="1"/>
    </xf>
    <xf numFmtId="187" fontId="21" fillId="5" borderId="220" xfId="0" applyNumberFormat="1" applyFont="1" applyFill="1" applyBorder="1" applyAlignment="1">
      <alignment vertical="center" wrapText="1"/>
    </xf>
    <xf numFmtId="187" fontId="5" fillId="4" borderId="219" xfId="0" applyNumberFormat="1" applyFont="1" applyFill="1" applyBorder="1" applyAlignment="1">
      <alignment horizontal="center" vertical="center"/>
    </xf>
    <xf numFmtId="187" fontId="5" fillId="4" borderId="38" xfId="0" applyNumberFormat="1" applyFont="1" applyFill="1" applyBorder="1" applyAlignment="1">
      <alignment horizontal="center" vertical="center"/>
    </xf>
    <xf numFmtId="187" fontId="5" fillId="4" borderId="43" xfId="0" applyNumberFormat="1" applyFont="1" applyFill="1" applyBorder="1" applyAlignment="1">
      <alignment horizontal="center" vertical="center"/>
    </xf>
    <xf numFmtId="187" fontId="13" fillId="4" borderId="235" xfId="0" applyNumberFormat="1" applyFont="1" applyFill="1" applyBorder="1" applyAlignment="1">
      <alignment vertical="center" wrapText="1"/>
    </xf>
    <xf numFmtId="187" fontId="13" fillId="4" borderId="74" xfId="0" applyNumberFormat="1" applyFont="1" applyFill="1" applyBorder="1" applyAlignment="1">
      <alignment vertical="center" wrapText="1"/>
    </xf>
    <xf numFmtId="187" fontId="13" fillId="4" borderId="67" xfId="0" applyNumberFormat="1" applyFont="1" applyFill="1" applyBorder="1" applyAlignment="1">
      <alignment vertical="center" wrapText="1"/>
    </xf>
    <xf numFmtId="187" fontId="5" fillId="3" borderId="74" xfId="0" applyNumberFormat="1" applyFont="1" applyFill="1" applyBorder="1" applyAlignment="1">
      <alignment vertical="center" wrapText="1"/>
    </xf>
    <xf numFmtId="187" fontId="13" fillId="4" borderId="236" xfId="0" applyNumberFormat="1" applyFont="1" applyFill="1" applyBorder="1" applyAlignment="1">
      <alignment vertical="center" wrapText="1"/>
    </xf>
    <xf numFmtId="187" fontId="15" fillId="14" borderId="225" xfId="0" applyNumberFormat="1" applyFont="1" applyFill="1" applyBorder="1" applyAlignment="1">
      <alignment horizontal="center" vertical="center"/>
    </xf>
    <xf numFmtId="187" fontId="15" fillId="14" borderId="22" xfId="0" applyNumberFormat="1" applyFont="1" applyFill="1" applyBorder="1" applyAlignment="1">
      <alignment horizontal="center" vertical="center"/>
    </xf>
    <xf numFmtId="187" fontId="0" fillId="0" borderId="38" xfId="0" applyNumberFormat="1" applyBorder="1" applyAlignment="1">
      <alignment vertical="center" wrapText="1"/>
    </xf>
    <xf numFmtId="187" fontId="13" fillId="18" borderId="219" xfId="0" applyNumberFormat="1" applyFont="1" applyFill="1" applyBorder="1" applyAlignment="1">
      <alignment vertical="center" wrapText="1"/>
    </xf>
    <xf numFmtId="187" fontId="5" fillId="18" borderId="38" xfId="0" applyNumberFormat="1" applyFont="1" applyFill="1" applyBorder="1" applyAlignment="1">
      <alignment vertical="center" wrapText="1"/>
    </xf>
    <xf numFmtId="187" fontId="13" fillId="18" borderId="38" xfId="0" applyNumberFormat="1" applyFont="1" applyFill="1" applyBorder="1" applyAlignment="1">
      <alignment vertical="center" wrapText="1"/>
    </xf>
    <xf numFmtId="187" fontId="13" fillId="18" borderId="220" xfId="0" applyNumberFormat="1" applyFont="1" applyFill="1" applyBorder="1" applyAlignment="1">
      <alignment vertical="center" wrapText="1"/>
    </xf>
    <xf numFmtId="187" fontId="5" fillId="18" borderId="38" xfId="0" applyNumberFormat="1" applyFont="1" applyFill="1" applyBorder="1" applyAlignment="1">
      <alignment vertical="top" wrapText="1"/>
    </xf>
    <xf numFmtId="187" fontId="5" fillId="0" borderId="38" xfId="0" applyNumberFormat="1" applyFont="1" applyBorder="1" applyAlignment="1">
      <alignment vertical="top" wrapText="1"/>
    </xf>
    <xf numFmtId="187" fontId="13" fillId="4" borderId="223" xfId="0" applyNumberFormat="1" applyFont="1" applyFill="1" applyBorder="1" applyAlignment="1">
      <alignment vertical="center" wrapText="1"/>
    </xf>
    <xf numFmtId="187" fontId="13" fillId="4" borderId="73" xfId="0" applyNumberFormat="1" applyFont="1" applyFill="1" applyBorder="1" applyAlignment="1">
      <alignment vertical="center" wrapText="1"/>
    </xf>
    <xf numFmtId="187" fontId="13" fillId="4" borderId="87" xfId="0" applyNumberFormat="1" applyFont="1" applyFill="1" applyBorder="1" applyAlignment="1">
      <alignment vertical="center" wrapText="1"/>
    </xf>
    <xf numFmtId="187" fontId="5" fillId="0" borderId="73" xfId="0" applyNumberFormat="1" applyFont="1" applyBorder="1" applyAlignment="1">
      <alignment vertical="center" wrapText="1"/>
    </xf>
    <xf numFmtId="187" fontId="13" fillId="4" borderId="224" xfId="0" applyNumberFormat="1" applyFont="1" applyFill="1" applyBorder="1" applyAlignment="1">
      <alignment vertical="center" wrapText="1"/>
    </xf>
    <xf numFmtId="187" fontId="15" fillId="12" borderId="225" xfId="0" applyNumberFormat="1" applyFont="1" applyFill="1" applyBorder="1" applyAlignment="1">
      <alignment horizontal="center" vertical="center"/>
    </xf>
    <xf numFmtId="187" fontId="15" fillId="12" borderId="22" xfId="0" applyNumberFormat="1" applyFont="1" applyFill="1" applyBorder="1" applyAlignment="1">
      <alignment horizontal="center" vertical="center"/>
    </xf>
    <xf numFmtId="187" fontId="10" fillId="12" borderId="225" xfId="0" applyNumberFormat="1" applyFont="1" applyFill="1" applyBorder="1" applyAlignment="1">
      <alignment vertical="center" wrapText="1"/>
    </xf>
    <xf numFmtId="187" fontId="10" fillId="12" borderId="22" xfId="0" applyNumberFormat="1" applyFont="1" applyFill="1" applyBorder="1" applyAlignment="1">
      <alignment vertical="center" wrapText="1"/>
    </xf>
    <xf numFmtId="187" fontId="10" fillId="12" borderId="226" xfId="0" applyNumberFormat="1" applyFont="1" applyFill="1" applyBorder="1" applyAlignment="1">
      <alignment vertical="center" wrapText="1"/>
    </xf>
    <xf numFmtId="187" fontId="5" fillId="3" borderId="38" xfId="0" quotePrefix="1" applyNumberFormat="1" applyFont="1" applyFill="1" applyBorder="1" applyAlignment="1">
      <alignment vertical="center" wrapText="1"/>
    </xf>
    <xf numFmtId="187" fontId="5" fillId="18" borderId="38" xfId="0" quotePrefix="1" applyNumberFormat="1" applyFont="1" applyFill="1" applyBorder="1" applyAlignment="1">
      <alignment vertical="top" wrapText="1"/>
    </xf>
    <xf numFmtId="187" fontId="5" fillId="18" borderId="0" xfId="0" applyNumberFormat="1" applyFont="1" applyFill="1" applyAlignment="1">
      <alignment vertical="top" wrapText="1"/>
    </xf>
    <xf numFmtId="187" fontId="5" fillId="18" borderId="38" xfId="0" quotePrefix="1" applyNumberFormat="1" applyFont="1" applyFill="1" applyBorder="1" applyAlignment="1">
      <alignment vertical="center" wrapText="1"/>
    </xf>
    <xf numFmtId="187" fontId="5" fillId="19" borderId="234" xfId="0" quotePrefix="1" applyNumberFormat="1" applyFont="1" applyFill="1" applyBorder="1" applyAlignment="1">
      <alignment horizontal="center" vertical="center"/>
    </xf>
    <xf numFmtId="187" fontId="5" fillId="19" borderId="44" xfId="0" quotePrefix="1" applyNumberFormat="1" applyFont="1" applyFill="1" applyBorder="1" applyAlignment="1">
      <alignment horizontal="center" vertical="center"/>
    </xf>
    <xf numFmtId="187" fontId="5" fillId="19" borderId="65" xfId="0" quotePrefix="1" applyNumberFormat="1" applyFont="1" applyFill="1" applyBorder="1" applyAlignment="1">
      <alignment horizontal="center" vertical="center"/>
    </xf>
    <xf numFmtId="187" fontId="5" fillId="19" borderId="38" xfId="0" quotePrefix="1" applyNumberFormat="1" applyFont="1" applyFill="1" applyBorder="1" applyAlignment="1">
      <alignment vertical="center" wrapText="1"/>
    </xf>
    <xf numFmtId="187" fontId="5" fillId="3" borderId="38" xfId="0" applyNumberFormat="1" applyFont="1" applyFill="1" applyBorder="1" applyAlignment="1">
      <alignment vertical="top" wrapText="1"/>
    </xf>
    <xf numFmtId="187" fontId="5" fillId="19" borderId="38" xfId="0" applyNumberFormat="1" applyFont="1" applyFill="1" applyBorder="1" applyAlignment="1">
      <alignment vertical="top" wrapText="1"/>
    </xf>
    <xf numFmtId="187" fontId="13" fillId="18" borderId="43" xfId="0" applyNumberFormat="1" applyFont="1" applyFill="1" applyBorder="1" applyAlignment="1">
      <alignment vertical="center" wrapText="1"/>
    </xf>
    <xf numFmtId="187" fontId="0" fillId="3" borderId="38" xfId="0" applyNumberFormat="1" applyFill="1" applyBorder="1" applyAlignment="1">
      <alignment vertical="center" wrapText="1"/>
    </xf>
    <xf numFmtId="187" fontId="0" fillId="3" borderId="38" xfId="0" applyNumberFormat="1" applyFill="1" applyBorder="1" applyAlignment="1">
      <alignment vertical="top" wrapText="1"/>
    </xf>
    <xf numFmtId="187" fontId="0" fillId="19" borderId="38" xfId="0" applyNumberFormat="1" applyFill="1" applyBorder="1" applyAlignment="1">
      <alignment vertical="center" wrapText="1"/>
    </xf>
    <xf numFmtId="187" fontId="0" fillId="19" borderId="38" xfId="0" applyNumberFormat="1" applyFill="1" applyBorder="1" applyAlignment="1">
      <alignment vertical="top" wrapText="1"/>
    </xf>
    <xf numFmtId="187" fontId="5" fillId="28" borderId="227" xfId="0" quotePrefix="1" applyNumberFormat="1" applyFont="1" applyFill="1" applyBorder="1" applyAlignment="1">
      <alignment vertical="center" wrapText="1"/>
    </xf>
    <xf numFmtId="187" fontId="5" fillId="28" borderId="78" xfId="0" quotePrefix="1" applyNumberFormat="1" applyFont="1" applyFill="1" applyBorder="1" applyAlignment="1">
      <alignment vertical="center" wrapText="1"/>
    </xf>
    <xf numFmtId="187" fontId="5" fillId="28" borderId="77" xfId="0" quotePrefix="1" applyNumberFormat="1" applyFont="1" applyFill="1" applyBorder="1" applyAlignment="1">
      <alignment vertical="center" wrapText="1"/>
    </xf>
    <xf numFmtId="187" fontId="5" fillId="15" borderId="78" xfId="0" quotePrefix="1" applyNumberFormat="1" applyFont="1" applyFill="1" applyBorder="1" applyAlignment="1">
      <alignment vertical="center" wrapText="1"/>
    </xf>
    <xf numFmtId="187" fontId="5" fillId="28" borderId="228" xfId="0" quotePrefix="1" applyNumberFormat="1" applyFont="1" applyFill="1" applyBorder="1" applyAlignment="1">
      <alignment vertical="center" wrapText="1"/>
    </xf>
    <xf numFmtId="187" fontId="5" fillId="4" borderId="38" xfId="0" applyNumberFormat="1" applyFont="1" applyFill="1" applyBorder="1" applyAlignment="1">
      <alignment vertical="top" wrapText="1"/>
    </xf>
    <xf numFmtId="187" fontId="5" fillId="14" borderId="219" xfId="0" quotePrefix="1" applyNumberFormat="1" applyFont="1" applyFill="1" applyBorder="1" applyAlignment="1">
      <alignment horizontal="center" vertical="center"/>
    </xf>
    <xf numFmtId="187" fontId="5" fillId="14" borderId="38" xfId="0" quotePrefix="1" applyNumberFormat="1" applyFont="1" applyFill="1" applyBorder="1" applyAlignment="1">
      <alignment horizontal="center" vertical="center"/>
    </xf>
    <xf numFmtId="187" fontId="5" fillId="14" borderId="43" xfId="0" quotePrefix="1" applyNumberFormat="1" applyFont="1" applyFill="1" applyBorder="1" applyAlignment="1">
      <alignment horizontal="center" vertical="center"/>
    </xf>
    <xf numFmtId="187" fontId="13" fillId="14" borderId="219" xfId="0" applyNumberFormat="1" applyFont="1" applyFill="1" applyBorder="1" applyAlignment="1">
      <alignment vertical="center" wrapText="1"/>
    </xf>
    <xf numFmtId="187" fontId="13" fillId="14" borderId="38" xfId="0" applyNumberFormat="1" applyFont="1" applyFill="1" applyBorder="1" applyAlignment="1">
      <alignment vertical="center" wrapText="1"/>
    </xf>
    <xf numFmtId="187" fontId="13" fillId="4" borderId="227" xfId="0" applyNumberFormat="1" applyFont="1" applyFill="1" applyBorder="1" applyAlignment="1">
      <alignment vertical="center" wrapText="1"/>
    </xf>
    <xf numFmtId="187" fontId="13" fillId="4" borderId="78" xfId="0" applyNumberFormat="1" applyFont="1" applyFill="1" applyBorder="1" applyAlignment="1">
      <alignment vertical="center" wrapText="1"/>
    </xf>
    <xf numFmtId="187" fontId="13" fillId="4" borderId="34" xfId="0" applyNumberFormat="1" applyFont="1" applyFill="1" applyBorder="1" applyAlignment="1">
      <alignment vertical="center" wrapText="1"/>
    </xf>
    <xf numFmtId="187" fontId="13" fillId="18" borderId="227" xfId="0" applyNumberFormat="1" applyFont="1" applyFill="1" applyBorder="1" applyAlignment="1">
      <alignment vertical="center" wrapText="1"/>
    </xf>
    <xf numFmtId="187" fontId="5" fillId="18" borderId="78" xfId="0" applyNumberFormat="1" applyFont="1" applyFill="1" applyBorder="1" applyAlignment="1">
      <alignment vertical="center" wrapText="1"/>
    </xf>
    <xf numFmtId="187" fontId="13" fillId="18" borderId="78" xfId="0" applyNumberFormat="1" applyFont="1" applyFill="1" applyBorder="1" applyAlignment="1">
      <alignment vertical="center" wrapText="1"/>
    </xf>
    <xf numFmtId="187" fontId="13" fillId="18" borderId="228" xfId="0" applyNumberFormat="1" applyFont="1" applyFill="1" applyBorder="1" applyAlignment="1">
      <alignment vertical="center" wrapText="1"/>
    </xf>
    <xf numFmtId="187" fontId="13" fillId="4" borderId="228" xfId="0" applyNumberFormat="1" applyFont="1" applyFill="1" applyBorder="1" applyAlignment="1">
      <alignment vertical="center" wrapText="1"/>
    </xf>
    <xf numFmtId="187" fontId="5" fillId="18" borderId="38" xfId="0" applyNumberFormat="1" applyFont="1" applyFill="1" applyBorder="1" applyAlignment="1">
      <alignment horizontal="center" vertical="top" wrapText="1"/>
    </xf>
    <xf numFmtId="187" fontId="13" fillId="18" borderId="229" xfId="0" quotePrefix="1" applyNumberFormat="1" applyFont="1" applyFill="1" applyBorder="1" applyAlignment="1">
      <alignment vertical="center" wrapText="1"/>
    </xf>
    <xf numFmtId="187" fontId="13" fillId="18" borderId="37" xfId="0" quotePrefix="1" applyNumberFormat="1" applyFont="1" applyFill="1" applyBorder="1" applyAlignment="1">
      <alignment vertical="center" wrapText="1"/>
    </xf>
    <xf numFmtId="187" fontId="13" fillId="18" borderId="230" xfId="0" applyNumberFormat="1" applyFont="1" applyFill="1" applyBorder="1" applyAlignment="1">
      <alignment vertical="center" wrapText="1"/>
    </xf>
    <xf numFmtId="187" fontId="13" fillId="18" borderId="229" xfId="0" applyNumberFormat="1" applyFont="1" applyFill="1" applyBorder="1" applyAlignment="1">
      <alignment vertical="center" wrapText="1"/>
    </xf>
    <xf numFmtId="187" fontId="13" fillId="18" borderId="37" xfId="0" applyNumberFormat="1" applyFont="1" applyFill="1" applyBorder="1" applyAlignment="1">
      <alignment vertical="center" wrapText="1"/>
    </xf>
    <xf numFmtId="187" fontId="13" fillId="15" borderId="37" xfId="0" quotePrefix="1" applyNumberFormat="1" applyFont="1" applyFill="1" applyBorder="1" applyAlignment="1">
      <alignment vertical="center" wrapText="1"/>
    </xf>
    <xf numFmtId="187" fontId="5" fillId="3" borderId="37" xfId="0" applyNumberFormat="1" applyFont="1" applyFill="1" applyBorder="1" applyAlignment="1">
      <alignment vertical="center" wrapText="1"/>
    </xf>
    <xf numFmtId="187" fontId="13" fillId="4" borderId="235" xfId="0" quotePrefix="1" applyNumberFormat="1" applyFont="1" applyFill="1" applyBorder="1" applyAlignment="1">
      <alignment vertical="center" wrapText="1"/>
    </xf>
    <xf numFmtId="187" fontId="13" fillId="4" borderId="52" xfId="0" applyNumberFormat="1" applyFont="1" applyFill="1" applyBorder="1" applyAlignment="1">
      <alignment vertical="center" wrapText="1"/>
    </xf>
    <xf numFmtId="187" fontId="13" fillId="15" borderId="74" xfId="0" quotePrefix="1" applyNumberFormat="1" applyFont="1" applyFill="1" applyBorder="1" applyAlignment="1">
      <alignment vertical="center" wrapText="1"/>
    </xf>
    <xf numFmtId="187" fontId="13" fillId="4" borderId="74" xfId="0" quotePrefix="1" applyNumberFormat="1" applyFont="1" applyFill="1" applyBorder="1" applyAlignment="1">
      <alignment vertical="center" wrapText="1"/>
    </xf>
    <xf numFmtId="187" fontId="11" fillId="5" borderId="220" xfId="0" applyNumberFormat="1" applyFont="1" applyFill="1" applyBorder="1" applyAlignment="1">
      <alignment vertical="center" wrapText="1"/>
    </xf>
    <xf numFmtId="187" fontId="11" fillId="5" borderId="219" xfId="0" applyNumberFormat="1" applyFont="1" applyFill="1" applyBorder="1" applyAlignment="1">
      <alignment vertical="center" wrapText="1"/>
    </xf>
    <xf numFmtId="187" fontId="11" fillId="0" borderId="38" xfId="0" applyNumberFormat="1" applyFont="1" applyBorder="1" applyAlignment="1">
      <alignment vertical="center" wrapText="1"/>
    </xf>
    <xf numFmtId="187" fontId="11" fillId="5" borderId="38" xfId="0" applyNumberFormat="1" applyFont="1" applyFill="1" applyBorder="1" applyAlignment="1">
      <alignment vertical="center" wrapText="1"/>
    </xf>
    <xf numFmtId="187" fontId="12" fillId="4" borderId="220" xfId="0" applyNumberFormat="1" applyFont="1" applyFill="1" applyBorder="1" applyAlignment="1">
      <alignment vertical="center" wrapText="1"/>
    </xf>
    <xf numFmtId="187" fontId="12" fillId="4" borderId="219" xfId="0" applyNumberFormat="1" applyFont="1" applyFill="1" applyBorder="1" applyAlignment="1">
      <alignment vertical="center" wrapText="1"/>
    </xf>
    <xf numFmtId="187" fontId="12" fillId="4" borderId="38" xfId="0" applyNumberFormat="1" applyFont="1" applyFill="1" applyBorder="1" applyAlignment="1">
      <alignment vertical="center" wrapText="1"/>
    </xf>
    <xf numFmtId="187" fontId="13" fillId="18" borderId="235" xfId="0" applyNumberFormat="1" applyFont="1" applyFill="1" applyBorder="1" applyAlignment="1">
      <alignment vertical="center" wrapText="1"/>
    </xf>
    <xf numFmtId="187" fontId="5" fillId="18" borderId="74" xfId="0" applyNumberFormat="1" applyFont="1" applyFill="1" applyBorder="1" applyAlignment="1">
      <alignment vertical="top" wrapText="1"/>
    </xf>
    <xf numFmtId="187" fontId="13" fillId="18" borderId="74" xfId="0" applyNumberFormat="1" applyFont="1" applyFill="1" applyBorder="1" applyAlignment="1">
      <alignment vertical="center" wrapText="1"/>
    </xf>
    <xf numFmtId="187" fontId="13" fillId="18" borderId="236" xfId="0" applyNumberFormat="1" applyFont="1" applyFill="1" applyBorder="1" applyAlignment="1">
      <alignment vertical="center" wrapText="1"/>
    </xf>
    <xf numFmtId="187" fontId="5" fillId="0" borderId="74" xfId="0" applyNumberFormat="1" applyFont="1" applyBorder="1" applyAlignment="1">
      <alignment vertical="top" wrapText="1"/>
    </xf>
    <xf numFmtId="187" fontId="12" fillId="4" borderId="236" xfId="0" applyNumberFormat="1" applyFont="1" applyFill="1" applyBorder="1" applyAlignment="1">
      <alignment vertical="center" wrapText="1"/>
    </xf>
    <xf numFmtId="187" fontId="12" fillId="4" borderId="235" xfId="0" applyNumberFormat="1" applyFont="1" applyFill="1" applyBorder="1" applyAlignment="1">
      <alignment vertical="center" wrapText="1"/>
    </xf>
    <xf numFmtId="187" fontId="11" fillId="0" borderId="74" xfId="0" applyNumberFormat="1" applyFont="1" applyBorder="1" applyAlignment="1">
      <alignment vertical="center" wrapText="1"/>
    </xf>
    <xf numFmtId="187" fontId="12" fillId="4" borderId="74" xfId="0" applyNumberFormat="1" applyFont="1" applyFill="1" applyBorder="1" applyAlignment="1">
      <alignment vertical="center" wrapText="1"/>
    </xf>
    <xf numFmtId="187" fontId="15" fillId="14" borderId="225" xfId="0" applyNumberFormat="1" applyFont="1" applyFill="1" applyBorder="1" applyAlignment="1">
      <alignment horizontal="right" vertical="center"/>
    </xf>
    <xf numFmtId="187" fontId="15" fillId="14" borderId="22" xfId="0" applyNumberFormat="1" applyFont="1" applyFill="1" applyBorder="1" applyAlignment="1">
      <alignment horizontal="right" vertical="center"/>
    </xf>
    <xf numFmtId="187" fontId="19" fillId="14" borderId="225" xfId="0" applyNumberFormat="1" applyFont="1" applyFill="1" applyBorder="1" applyAlignment="1">
      <alignment horizontal="right" vertical="center" wrapText="1"/>
    </xf>
    <xf numFmtId="187" fontId="19" fillId="14" borderId="22" xfId="0" applyNumberFormat="1" applyFont="1" applyFill="1" applyBorder="1" applyAlignment="1">
      <alignment horizontal="right" vertical="center" wrapText="1"/>
    </xf>
    <xf numFmtId="187" fontId="19" fillId="14" borderId="226" xfId="0" applyNumberFormat="1" applyFont="1" applyFill="1" applyBorder="1" applyAlignment="1">
      <alignment horizontal="right" vertical="center" wrapText="1"/>
    </xf>
    <xf numFmtId="187" fontId="5" fillId="19" borderId="227" xfId="0" quotePrefix="1" applyNumberFormat="1" applyFont="1" applyFill="1" applyBorder="1" applyAlignment="1">
      <alignment horizontal="center" vertical="center"/>
    </xf>
    <xf numFmtId="187" fontId="5" fillId="19" borderId="78" xfId="0" quotePrefix="1" applyNumberFormat="1" applyFont="1" applyFill="1" applyBorder="1" applyAlignment="1">
      <alignment horizontal="center" vertical="center"/>
    </xf>
    <xf numFmtId="187" fontId="5" fillId="19" borderId="77" xfId="0" quotePrefix="1" applyNumberFormat="1" applyFont="1" applyFill="1" applyBorder="1" applyAlignment="1">
      <alignment horizontal="center" vertical="center"/>
    </xf>
    <xf numFmtId="187" fontId="13" fillId="14" borderId="227" xfId="0" applyNumberFormat="1" applyFont="1" applyFill="1" applyBorder="1" applyAlignment="1">
      <alignment vertical="center" wrapText="1"/>
    </xf>
    <xf numFmtId="187" fontId="5" fillId="19" borderId="78" xfId="0" applyNumberFormat="1" applyFont="1" applyFill="1" applyBorder="1" applyAlignment="1">
      <alignment vertical="center" wrapText="1"/>
    </xf>
    <xf numFmtId="187" fontId="13" fillId="14" borderId="78" xfId="0" applyNumberFormat="1" applyFont="1" applyFill="1" applyBorder="1" applyAlignment="1">
      <alignment vertical="center" wrapText="1"/>
    </xf>
    <xf numFmtId="187" fontId="13" fillId="19" borderId="228" xfId="0" applyNumberFormat="1" applyFont="1" applyFill="1" applyBorder="1" applyAlignment="1">
      <alignment vertical="center" wrapText="1"/>
    </xf>
    <xf numFmtId="187" fontId="13" fillId="19" borderId="227" xfId="0" applyNumberFormat="1" applyFont="1" applyFill="1" applyBorder="1" applyAlignment="1">
      <alignment vertical="center" wrapText="1"/>
    </xf>
    <xf numFmtId="187" fontId="13" fillId="19" borderId="78" xfId="0" applyNumberFormat="1" applyFont="1" applyFill="1" applyBorder="1" applyAlignment="1">
      <alignment vertical="center" wrapText="1"/>
    </xf>
    <xf numFmtId="187" fontId="5" fillId="18" borderId="37" xfId="0" applyNumberFormat="1" applyFont="1" applyFill="1" applyBorder="1" applyAlignment="1">
      <alignment vertical="center" wrapText="1"/>
    </xf>
    <xf numFmtId="187" fontId="13" fillId="19" borderId="43" xfId="0" applyNumberFormat="1" applyFont="1" applyFill="1" applyBorder="1" applyAlignment="1">
      <alignment vertical="center" wrapText="1"/>
    </xf>
    <xf numFmtId="187" fontId="5" fillId="19" borderId="219" xfId="0" applyNumberFormat="1" applyFont="1" applyFill="1" applyBorder="1" applyAlignment="1">
      <alignment horizontal="center" vertical="center"/>
    </xf>
    <xf numFmtId="187" fontId="5" fillId="19" borderId="38" xfId="0" applyNumberFormat="1" applyFont="1" applyFill="1" applyBorder="1" applyAlignment="1">
      <alignment horizontal="center" vertical="center"/>
    </xf>
    <xf numFmtId="187" fontId="5" fillId="19" borderId="43" xfId="0" applyNumberFormat="1" applyFont="1" applyFill="1" applyBorder="1" applyAlignment="1">
      <alignment horizontal="center" vertical="center"/>
    </xf>
    <xf numFmtId="187" fontId="13" fillId="4" borderId="219" xfId="0" applyNumberFormat="1" applyFont="1" applyFill="1" applyBorder="1" applyAlignment="1">
      <alignment vertical="top" wrapText="1"/>
    </xf>
    <xf numFmtId="187" fontId="13" fillId="4" borderId="38" xfId="0" applyNumberFormat="1" applyFont="1" applyFill="1" applyBorder="1" applyAlignment="1">
      <alignment vertical="top" wrapText="1"/>
    </xf>
    <xf numFmtId="187" fontId="13" fillId="18" borderId="219" xfId="0" applyNumberFormat="1" applyFont="1" applyFill="1" applyBorder="1" applyAlignment="1">
      <alignment vertical="top" wrapText="1"/>
    </xf>
    <xf numFmtId="187" fontId="13" fillId="18" borderId="38" xfId="0" applyNumberFormat="1" applyFont="1" applyFill="1" applyBorder="1" applyAlignment="1">
      <alignment vertical="top" wrapText="1"/>
    </xf>
    <xf numFmtId="187" fontId="13" fillId="18" borderId="221" xfId="0" applyNumberFormat="1" applyFont="1" applyFill="1" applyBorder="1" applyAlignment="1">
      <alignment vertical="center" wrapText="1"/>
    </xf>
    <xf numFmtId="187" fontId="5" fillId="18" borderId="54" xfId="0" applyNumberFormat="1" applyFont="1" applyFill="1" applyBorder="1" applyAlignment="1">
      <alignment vertical="center" wrapText="1"/>
    </xf>
    <xf numFmtId="187" fontId="13" fillId="18" borderId="54" xfId="0" applyNumberFormat="1" applyFont="1" applyFill="1" applyBorder="1" applyAlignment="1">
      <alignment vertical="center" wrapText="1"/>
    </xf>
    <xf numFmtId="187" fontId="13" fillId="18" borderId="222" xfId="0" applyNumberFormat="1" applyFont="1" applyFill="1" applyBorder="1" applyAlignment="1">
      <alignment vertical="center" wrapText="1"/>
    </xf>
    <xf numFmtId="187" fontId="13" fillId="14" borderId="221" xfId="0" applyNumberFormat="1" applyFont="1" applyFill="1" applyBorder="1" applyAlignment="1">
      <alignment vertical="center" wrapText="1"/>
    </xf>
    <xf numFmtId="187" fontId="5" fillId="19" borderId="54" xfId="0" applyNumberFormat="1" applyFont="1" applyFill="1" applyBorder="1" applyAlignment="1">
      <alignment vertical="center" wrapText="1"/>
    </xf>
    <xf numFmtId="187" fontId="13" fillId="14" borderId="54" xfId="0" applyNumberFormat="1" applyFont="1" applyFill="1" applyBorder="1" applyAlignment="1">
      <alignment vertical="center" wrapText="1"/>
    </xf>
    <xf numFmtId="187" fontId="13" fillId="14" borderId="222" xfId="0" applyNumberFormat="1" applyFont="1" applyFill="1" applyBorder="1" applyAlignment="1">
      <alignment vertical="center" wrapText="1"/>
    </xf>
    <xf numFmtId="187" fontId="13" fillId="19" borderId="222" xfId="0" applyNumberFormat="1" applyFont="1" applyFill="1" applyBorder="1" applyAlignment="1">
      <alignment vertical="center" wrapText="1"/>
    </xf>
    <xf numFmtId="187" fontId="13" fillId="19" borderId="221" xfId="0" applyNumberFormat="1" applyFont="1" applyFill="1" applyBorder="1" applyAlignment="1">
      <alignment vertical="center" wrapText="1"/>
    </xf>
    <xf numFmtId="187" fontId="13" fillId="19" borderId="54" xfId="0" applyNumberFormat="1" applyFont="1" applyFill="1" applyBorder="1" applyAlignment="1">
      <alignment vertical="center" wrapText="1"/>
    </xf>
    <xf numFmtId="187" fontId="5" fillId="18" borderId="37" xfId="0" applyNumberFormat="1" applyFont="1" applyFill="1" applyBorder="1" applyAlignment="1">
      <alignment vertical="top" wrapText="1"/>
    </xf>
    <xf numFmtId="187" fontId="21" fillId="3" borderId="38" xfId="0" applyNumberFormat="1" applyFont="1" applyFill="1" applyBorder="1" applyAlignment="1">
      <alignment vertical="top" wrapText="1"/>
    </xf>
    <xf numFmtId="187" fontId="21" fillId="4" borderId="219" xfId="0" applyNumberFormat="1" applyFont="1" applyFill="1" applyBorder="1" applyAlignment="1">
      <alignment horizontal="right" vertical="center" wrapText="1"/>
    </xf>
    <xf numFmtId="187" fontId="21" fillId="4" borderId="38" xfId="0" applyNumberFormat="1" applyFont="1" applyFill="1" applyBorder="1" applyAlignment="1">
      <alignment horizontal="right" vertical="center" wrapText="1"/>
    </xf>
    <xf numFmtId="187" fontId="21" fillId="4" borderId="43" xfId="0" applyNumberFormat="1" applyFont="1" applyFill="1" applyBorder="1" applyAlignment="1">
      <alignment horizontal="right" vertical="center" wrapText="1"/>
    </xf>
    <xf numFmtId="187" fontId="21" fillId="18" borderId="219" xfId="0" applyNumberFormat="1" applyFont="1" applyFill="1" applyBorder="1" applyAlignment="1">
      <alignment horizontal="right" vertical="center" wrapText="1"/>
    </xf>
    <xf numFmtId="187" fontId="21" fillId="18" borderId="38" xfId="0" applyNumberFormat="1" applyFont="1" applyFill="1" applyBorder="1" applyAlignment="1">
      <alignment horizontal="center" vertical="top" wrapText="1"/>
    </xf>
    <xf numFmtId="187" fontId="21" fillId="18" borderId="38" xfId="0" applyNumberFormat="1" applyFont="1" applyFill="1" applyBorder="1" applyAlignment="1">
      <alignment horizontal="right" vertical="center" wrapText="1"/>
    </xf>
    <xf numFmtId="187" fontId="21" fillId="18" borderId="220" xfId="0" applyNumberFormat="1" applyFont="1" applyFill="1" applyBorder="1" applyAlignment="1">
      <alignment horizontal="right" vertical="center" wrapText="1"/>
    </xf>
    <xf numFmtId="187" fontId="21" fillId="18" borderId="38" xfId="0" applyNumberFormat="1" applyFont="1" applyFill="1" applyBorder="1" applyAlignment="1">
      <alignment horizontal="center" vertical="center" wrapText="1"/>
    </xf>
    <xf numFmtId="187" fontId="5" fillId="14" borderId="219" xfId="0" quotePrefix="1" applyNumberFormat="1" applyFont="1" applyFill="1" applyBorder="1" applyAlignment="1">
      <alignment horizontal="right" vertical="center"/>
    </xf>
    <xf numFmtId="187" fontId="5" fillId="14" borderId="38" xfId="0" quotePrefix="1" applyNumberFormat="1" applyFont="1" applyFill="1" applyBorder="1" applyAlignment="1">
      <alignment horizontal="right" vertical="center"/>
    </xf>
    <xf numFmtId="187" fontId="5" fillId="14" borderId="43" xfId="0" quotePrefix="1" applyNumberFormat="1" applyFont="1" applyFill="1" applyBorder="1" applyAlignment="1">
      <alignment horizontal="right" vertical="center"/>
    </xf>
    <xf numFmtId="187" fontId="13" fillId="19" borderId="227" xfId="0" applyNumberFormat="1" applyFont="1" applyFill="1" applyBorder="1" applyAlignment="1">
      <alignment horizontal="right" vertical="center" wrapText="1"/>
    </xf>
    <xf numFmtId="187" fontId="5" fillId="19" borderId="78" xfId="0" applyNumberFormat="1" applyFont="1" applyFill="1" applyBorder="1" applyAlignment="1">
      <alignment horizontal="right" vertical="center" wrapText="1"/>
    </xf>
    <xf numFmtId="187" fontId="13" fillId="19" borderId="78" xfId="0" applyNumberFormat="1" applyFont="1" applyFill="1" applyBorder="1" applyAlignment="1">
      <alignment horizontal="right" vertical="center" wrapText="1"/>
    </xf>
    <xf numFmtId="187" fontId="13" fillId="19" borderId="228" xfId="0" applyNumberFormat="1" applyFont="1" applyFill="1" applyBorder="1" applyAlignment="1">
      <alignment horizontal="right" vertical="center" wrapText="1"/>
    </xf>
    <xf numFmtId="187" fontId="13" fillId="4" borderId="229" xfId="0" applyNumberFormat="1" applyFont="1" applyFill="1" applyBorder="1" applyAlignment="1">
      <alignment horizontal="right" vertical="center" wrapText="1"/>
    </xf>
    <xf numFmtId="187" fontId="13" fillId="4" borderId="37" xfId="0" applyNumberFormat="1" applyFont="1" applyFill="1" applyBorder="1" applyAlignment="1">
      <alignment horizontal="right" vertical="center" wrapText="1"/>
    </xf>
    <xf numFmtId="187" fontId="13" fillId="4" borderId="43" xfId="0" applyNumberFormat="1" applyFont="1" applyFill="1" applyBorder="1" applyAlignment="1">
      <alignment horizontal="right" vertical="center" wrapText="1"/>
    </xf>
    <xf numFmtId="187" fontId="5" fillId="3" borderId="37" xfId="0" applyNumberFormat="1" applyFont="1" applyFill="1" applyBorder="1" applyAlignment="1">
      <alignment horizontal="right" vertical="center" wrapText="1"/>
    </xf>
    <xf numFmtId="187" fontId="13" fillId="4" borderId="230" xfId="0" applyNumberFormat="1" applyFont="1" applyFill="1" applyBorder="1" applyAlignment="1">
      <alignment horizontal="right" vertical="center" wrapText="1"/>
    </xf>
    <xf numFmtId="187" fontId="5" fillId="3" borderId="38" xfId="0" applyNumberFormat="1" applyFont="1" applyFill="1" applyBorder="1" applyAlignment="1">
      <alignment horizontal="right" vertical="top" wrapText="1"/>
    </xf>
    <xf numFmtId="187" fontId="21" fillId="3" borderId="38" xfId="0" applyNumberFormat="1" applyFont="1" applyFill="1" applyBorder="1" applyAlignment="1">
      <alignment horizontal="right" vertical="center" wrapText="1"/>
    </xf>
    <xf numFmtId="187" fontId="13" fillId="18" borderId="219" xfId="0" applyNumberFormat="1" applyFont="1" applyFill="1" applyBorder="1" applyAlignment="1">
      <alignment horizontal="right" vertical="center" wrapText="1"/>
    </xf>
    <xf numFmtId="187" fontId="21" fillId="18" borderId="38" xfId="0" applyNumberFormat="1" applyFont="1" applyFill="1" applyBorder="1" applyAlignment="1">
      <alignment horizontal="right" vertical="top" wrapText="1"/>
    </xf>
    <xf numFmtId="187" fontId="13" fillId="18" borderId="38" xfId="0" applyNumberFormat="1" applyFont="1" applyFill="1" applyBorder="1" applyAlignment="1">
      <alignment horizontal="right" vertical="center" wrapText="1"/>
    </xf>
    <xf numFmtId="187" fontId="13" fillId="18" borderId="220" xfId="0" applyNumberFormat="1" applyFont="1" applyFill="1" applyBorder="1" applyAlignment="1">
      <alignment horizontal="right" vertical="center" wrapText="1"/>
    </xf>
    <xf numFmtId="187" fontId="21" fillId="3" borderId="38" xfId="0" applyNumberFormat="1" applyFont="1" applyFill="1" applyBorder="1" applyAlignment="1">
      <alignment horizontal="right" vertical="top" wrapText="1"/>
    </xf>
    <xf numFmtId="187" fontId="21" fillId="4" borderId="220" xfId="0" applyNumberFormat="1" applyFont="1" applyFill="1" applyBorder="1" applyAlignment="1">
      <alignment horizontal="right" vertical="center" wrapText="1"/>
    </xf>
    <xf numFmtId="187" fontId="5" fillId="3" borderId="54" xfId="0" applyNumberFormat="1" applyFont="1" applyFill="1" applyBorder="1" applyAlignment="1">
      <alignment horizontal="right" vertical="center" wrapText="1"/>
    </xf>
    <xf numFmtId="187" fontId="15" fillId="14" borderId="217" xfId="0" applyNumberFormat="1" applyFont="1" applyFill="1" applyBorder="1" applyAlignment="1">
      <alignment horizontal="right" vertical="center"/>
    </xf>
    <xf numFmtId="187" fontId="15" fillId="14" borderId="28" xfId="0" applyNumberFormat="1" applyFont="1" applyFill="1" applyBorder="1" applyAlignment="1">
      <alignment horizontal="right" vertical="center"/>
    </xf>
    <xf numFmtId="187" fontId="19" fillId="14" borderId="217" xfId="0" applyNumberFormat="1" applyFont="1" applyFill="1" applyBorder="1" applyAlignment="1">
      <alignment horizontal="right" vertical="center" wrapText="1"/>
    </xf>
    <xf numFmtId="187" fontId="19" fillId="14" borderId="28" xfId="0" applyNumberFormat="1" applyFont="1" applyFill="1" applyBorder="1" applyAlignment="1">
      <alignment horizontal="right" vertical="center" wrapText="1"/>
    </xf>
    <xf numFmtId="187" fontId="19" fillId="14" borderId="218" xfId="0" applyNumberFormat="1" applyFont="1" applyFill="1" applyBorder="1" applyAlignment="1">
      <alignment horizontal="right" vertical="center" wrapText="1"/>
    </xf>
    <xf numFmtId="187" fontId="13" fillId="4" borderId="227" xfId="0" applyNumberFormat="1" applyFont="1" applyFill="1" applyBorder="1" applyAlignment="1">
      <alignment horizontal="right" vertical="center" wrapText="1"/>
    </xf>
    <xf numFmtId="187" fontId="13" fillId="4" borderId="78" xfId="0" applyNumberFormat="1" applyFont="1" applyFill="1" applyBorder="1" applyAlignment="1">
      <alignment horizontal="right" vertical="center" wrapText="1"/>
    </xf>
    <xf numFmtId="187" fontId="13" fillId="4" borderId="77" xfId="0" applyNumberFormat="1" applyFont="1" applyFill="1" applyBorder="1" applyAlignment="1">
      <alignment horizontal="right" vertical="center" wrapText="1"/>
    </xf>
    <xf numFmtId="187" fontId="5" fillId="0" borderId="78" xfId="0" applyNumberFormat="1" applyFont="1" applyBorder="1" applyAlignment="1">
      <alignment horizontal="right" vertical="center" wrapText="1"/>
    </xf>
    <xf numFmtId="187" fontId="13" fillId="4" borderId="228" xfId="0" applyNumberFormat="1" applyFont="1" applyFill="1" applyBorder="1" applyAlignment="1">
      <alignment horizontal="right" vertical="center" wrapText="1"/>
    </xf>
    <xf numFmtId="187" fontId="5" fillId="0" borderId="78" xfId="0" applyNumberFormat="1" applyFont="1" applyBorder="1" applyAlignment="1">
      <alignment horizontal="right" vertical="top" wrapText="1"/>
    </xf>
    <xf numFmtId="187" fontId="5" fillId="0" borderId="78" xfId="0" quotePrefix="1" applyNumberFormat="1" applyFont="1" applyBorder="1" applyAlignment="1">
      <alignment horizontal="right" vertical="top" wrapText="1"/>
    </xf>
    <xf numFmtId="187" fontId="5" fillId="0" borderId="37" xfId="0" applyNumberFormat="1" applyFont="1" applyBorder="1" applyAlignment="1">
      <alignment horizontal="right" vertical="center" wrapText="1"/>
    </xf>
    <xf numFmtId="187" fontId="5" fillId="0" borderId="37" xfId="0" applyNumberFormat="1" applyFont="1" applyBorder="1" applyAlignment="1">
      <alignment horizontal="right" vertical="top" wrapText="1"/>
    </xf>
    <xf numFmtId="187" fontId="5" fillId="0" borderId="37" xfId="0" quotePrefix="1" applyNumberFormat="1" applyFont="1" applyBorder="1" applyAlignment="1">
      <alignment horizontal="right" vertical="top" wrapText="1"/>
    </xf>
    <xf numFmtId="187" fontId="5" fillId="19" borderId="215" xfId="0" quotePrefix="1" applyNumberFormat="1" applyFont="1" applyFill="1" applyBorder="1" applyAlignment="1">
      <alignment horizontal="right" vertical="center"/>
    </xf>
    <xf numFmtId="187" fontId="5" fillId="19" borderId="0" xfId="0" quotePrefix="1" applyNumberFormat="1" applyFont="1" applyFill="1" applyAlignment="1">
      <alignment horizontal="right" vertical="center"/>
    </xf>
    <xf numFmtId="187" fontId="13" fillId="19" borderId="220" xfId="0" applyNumberFormat="1" applyFont="1" applyFill="1" applyBorder="1" applyAlignment="1">
      <alignment horizontal="right" vertical="center" wrapText="1"/>
    </xf>
    <xf numFmtId="187" fontId="5" fillId="0" borderId="38" xfId="0" applyNumberFormat="1" applyFont="1" applyBorder="1" applyAlignment="1">
      <alignment horizontal="right" vertical="top" wrapText="1"/>
    </xf>
    <xf numFmtId="187" fontId="15" fillId="12" borderId="238" xfId="0" applyNumberFormat="1" applyFont="1" applyFill="1" applyBorder="1" applyAlignment="1">
      <alignment horizontal="right" vertical="center"/>
    </xf>
    <xf numFmtId="187" fontId="15" fillId="12" borderId="92" xfId="0" applyNumberFormat="1" applyFont="1" applyFill="1" applyBorder="1" applyAlignment="1">
      <alignment horizontal="right" vertical="center"/>
    </xf>
    <xf numFmtId="187" fontId="10" fillId="12" borderId="238" xfId="0" applyNumberFormat="1" applyFont="1" applyFill="1" applyBorder="1" applyAlignment="1">
      <alignment horizontal="right" vertical="center" wrapText="1"/>
    </xf>
    <xf numFmtId="187" fontId="10" fillId="12" borderId="92" xfId="0" applyNumberFormat="1" applyFont="1" applyFill="1" applyBorder="1" applyAlignment="1">
      <alignment horizontal="right" vertical="center" wrapText="1"/>
    </xf>
    <xf numFmtId="187" fontId="10" fillId="12" borderId="239" xfId="0" applyNumberFormat="1" applyFont="1" applyFill="1" applyBorder="1" applyAlignment="1">
      <alignment horizontal="right" vertical="center" wrapText="1"/>
    </xf>
    <xf numFmtId="187" fontId="15" fillId="16" borderId="225" xfId="0" applyNumberFormat="1" applyFont="1" applyFill="1" applyBorder="1" applyAlignment="1">
      <alignment horizontal="right" vertical="center"/>
    </xf>
    <xf numFmtId="187" fontId="15" fillId="16" borderId="22" xfId="0" applyNumberFormat="1" applyFont="1" applyFill="1" applyBorder="1" applyAlignment="1">
      <alignment horizontal="right" vertical="center"/>
    </xf>
    <xf numFmtId="187" fontId="19" fillId="41" borderId="225" xfId="0" applyNumberFormat="1" applyFont="1" applyFill="1" applyBorder="1" applyAlignment="1">
      <alignment horizontal="right" vertical="center" wrapText="1"/>
    </xf>
    <xf numFmtId="187" fontId="19" fillId="41" borderId="22" xfId="0" applyNumberFormat="1" applyFont="1" applyFill="1" applyBorder="1" applyAlignment="1">
      <alignment horizontal="right" vertical="center" wrapText="1"/>
    </xf>
    <xf numFmtId="187" fontId="19" fillId="41" borderId="226" xfId="0" applyNumberFormat="1" applyFont="1" applyFill="1" applyBorder="1" applyAlignment="1">
      <alignment horizontal="right" vertical="center" wrapText="1"/>
    </xf>
    <xf numFmtId="187" fontId="5" fillId="16" borderId="229" xfId="0" applyNumberFormat="1" applyFont="1" applyFill="1" applyBorder="1" applyAlignment="1">
      <alignment horizontal="right" vertical="center"/>
    </xf>
    <xf numFmtId="187" fontId="5" fillId="16" borderId="37" xfId="0" applyNumberFormat="1" applyFont="1" applyFill="1" applyBorder="1" applyAlignment="1">
      <alignment horizontal="right" vertical="center"/>
    </xf>
    <xf numFmtId="187" fontId="5" fillId="16" borderId="34" xfId="0" applyNumberFormat="1" applyFont="1" applyFill="1" applyBorder="1" applyAlignment="1">
      <alignment horizontal="right" vertical="center"/>
    </xf>
    <xf numFmtId="187" fontId="13" fillId="16" borderId="227" xfId="0" applyNumberFormat="1" applyFont="1" applyFill="1" applyBorder="1" applyAlignment="1">
      <alignment horizontal="right" vertical="center" wrapText="1"/>
    </xf>
    <xf numFmtId="187" fontId="5" fillId="16" borderId="78" xfId="0" applyNumberFormat="1" applyFont="1" applyFill="1" applyBorder="1" applyAlignment="1">
      <alignment horizontal="right" vertical="center" wrapText="1"/>
    </xf>
    <xf numFmtId="187" fontId="13" fillId="16" borderId="78" xfId="0" applyNumberFormat="1" applyFont="1" applyFill="1" applyBorder="1" applyAlignment="1">
      <alignment horizontal="right" vertical="center" wrapText="1"/>
    </xf>
    <xf numFmtId="187" fontId="13" fillId="16" borderId="228" xfId="0" applyNumberFormat="1" applyFont="1" applyFill="1" applyBorder="1" applyAlignment="1">
      <alignment horizontal="right" vertical="center" wrapText="1"/>
    </xf>
    <xf numFmtId="187" fontId="13" fillId="16" borderId="229" xfId="0" applyNumberFormat="1" applyFont="1" applyFill="1" applyBorder="1" applyAlignment="1">
      <alignment vertical="center" wrapText="1"/>
    </xf>
    <xf numFmtId="187" fontId="13" fillId="16" borderId="37" xfId="0" applyNumberFormat="1" applyFont="1" applyFill="1" applyBorder="1" applyAlignment="1">
      <alignment vertical="center" wrapText="1"/>
    </xf>
    <xf numFmtId="187" fontId="13" fillId="16" borderId="34" xfId="0" applyNumberFormat="1" applyFont="1" applyFill="1" applyBorder="1" applyAlignment="1">
      <alignment vertical="center" wrapText="1"/>
    </xf>
    <xf numFmtId="187" fontId="5" fillId="16" borderId="37" xfId="0" applyNumberFormat="1" applyFont="1" applyFill="1" applyBorder="1" applyAlignment="1">
      <alignment vertical="center" wrapText="1"/>
    </xf>
    <xf numFmtId="187" fontId="13" fillId="16" borderId="230" xfId="0" applyNumberFormat="1" applyFont="1" applyFill="1" applyBorder="1" applyAlignment="1">
      <alignment vertical="center" wrapText="1"/>
    </xf>
    <xf numFmtId="187" fontId="13" fillId="16" borderId="219" xfId="0" applyNumberFormat="1" applyFont="1" applyFill="1" applyBorder="1" applyAlignment="1">
      <alignment vertical="center" wrapText="1"/>
    </xf>
    <xf numFmtId="187" fontId="13" fillId="16" borderId="38" xfId="0" applyNumberFormat="1" applyFont="1" applyFill="1" applyBorder="1" applyAlignment="1">
      <alignment vertical="center" wrapText="1"/>
    </xf>
    <xf numFmtId="187" fontId="13" fillId="16" borderId="43" xfId="0" applyNumberFormat="1" applyFont="1" applyFill="1" applyBorder="1" applyAlignment="1">
      <alignment vertical="center" wrapText="1"/>
    </xf>
    <xf numFmtId="187" fontId="5" fillId="16" borderId="38" xfId="0" applyNumberFormat="1" applyFont="1" applyFill="1" applyBorder="1" applyAlignment="1">
      <alignment vertical="center" wrapText="1"/>
    </xf>
    <xf numFmtId="187" fontId="13" fillId="16" borderId="220" xfId="0" applyNumberFormat="1" applyFont="1" applyFill="1" applyBorder="1" applyAlignment="1">
      <alignment vertical="center" wrapText="1"/>
    </xf>
    <xf numFmtId="187" fontId="13" fillId="16" borderId="219" xfId="0" applyNumberFormat="1" applyFont="1" applyFill="1" applyBorder="1" applyAlignment="1">
      <alignment vertical="top" wrapText="1"/>
    </xf>
    <xf numFmtId="187" fontId="5" fillId="16" borderId="38" xfId="0" applyNumberFormat="1" applyFont="1" applyFill="1" applyBorder="1" applyAlignment="1">
      <alignment vertical="top" wrapText="1"/>
    </xf>
    <xf numFmtId="187" fontId="13" fillId="16" borderId="38" xfId="0" applyNumberFormat="1" applyFont="1" applyFill="1" applyBorder="1" applyAlignment="1">
      <alignment vertical="top" wrapText="1"/>
    </xf>
    <xf numFmtId="187" fontId="13" fillId="16" borderId="235" xfId="0" applyNumberFormat="1" applyFont="1" applyFill="1" applyBorder="1" applyAlignment="1">
      <alignment vertical="center" wrapText="1"/>
    </xf>
    <xf numFmtId="187" fontId="13" fillId="16" borderId="74" xfId="0" applyNumberFormat="1" applyFont="1" applyFill="1" applyBorder="1" applyAlignment="1">
      <alignment vertical="center" wrapText="1"/>
    </xf>
    <xf numFmtId="187" fontId="13" fillId="16" borderId="67" xfId="0" applyNumberFormat="1" applyFont="1" applyFill="1" applyBorder="1" applyAlignment="1">
      <alignment vertical="center" wrapText="1"/>
    </xf>
    <xf numFmtId="187" fontId="5" fillId="16" borderId="74" xfId="0" applyNumberFormat="1" applyFont="1" applyFill="1" applyBorder="1" applyAlignment="1">
      <alignment vertical="center" wrapText="1"/>
    </xf>
    <xf numFmtId="187" fontId="13" fillId="16" borderId="236" xfId="0" applyNumberFormat="1" applyFont="1" applyFill="1" applyBorder="1" applyAlignment="1">
      <alignment vertical="center" wrapText="1"/>
    </xf>
    <xf numFmtId="187" fontId="13" fillId="16" borderId="235" xfId="0" applyNumberFormat="1" applyFont="1" applyFill="1" applyBorder="1" applyAlignment="1">
      <alignment vertical="top" wrapText="1"/>
    </xf>
    <xf numFmtId="187" fontId="5" fillId="16" borderId="74" xfId="0" applyNumberFormat="1" applyFont="1" applyFill="1" applyBorder="1" applyAlignment="1">
      <alignment vertical="top" wrapText="1"/>
    </xf>
    <xf numFmtId="187" fontId="13" fillId="16" borderId="74" xfId="0" applyNumberFormat="1" applyFont="1" applyFill="1" applyBorder="1" applyAlignment="1">
      <alignment vertical="top" wrapText="1"/>
    </xf>
    <xf numFmtId="187" fontId="5" fillId="16" borderId="221" xfId="0" applyNumberFormat="1" applyFont="1" applyFill="1" applyBorder="1" applyAlignment="1">
      <alignment horizontal="right" vertical="center"/>
    </xf>
    <xf numFmtId="187" fontId="5" fillId="16" borderId="54" xfId="0" applyNumberFormat="1" applyFont="1" applyFill="1" applyBorder="1" applyAlignment="1">
      <alignment horizontal="right" vertical="center"/>
    </xf>
    <xf numFmtId="187" fontId="5" fillId="16" borderId="52" xfId="0" applyNumberFormat="1" applyFont="1" applyFill="1" applyBorder="1" applyAlignment="1">
      <alignment horizontal="right" vertical="center"/>
    </xf>
    <xf numFmtId="187" fontId="13" fillId="16" borderId="241" xfId="0" applyNumberFormat="1" applyFont="1" applyFill="1" applyBorder="1" applyAlignment="1">
      <alignment horizontal="right" vertical="center" wrapText="1"/>
    </xf>
    <xf numFmtId="187" fontId="5" fillId="16" borderId="35" xfId="0" applyNumberFormat="1" applyFont="1" applyFill="1" applyBorder="1" applyAlignment="1">
      <alignment horizontal="right" vertical="center" wrapText="1"/>
    </xf>
    <xf numFmtId="187" fontId="13" fillId="16" borderId="35" xfId="0" applyNumberFormat="1" applyFont="1" applyFill="1" applyBorder="1" applyAlignment="1">
      <alignment horizontal="right" vertical="center" wrapText="1"/>
    </xf>
    <xf numFmtId="187" fontId="13" fillId="16" borderId="242" xfId="0" applyNumberFormat="1" applyFont="1" applyFill="1" applyBorder="1" applyAlignment="1">
      <alignment horizontal="right" vertical="center" wrapText="1"/>
    </xf>
    <xf numFmtId="187" fontId="13" fillId="16" borderId="241" xfId="0" applyNumberFormat="1" applyFont="1" applyFill="1" applyBorder="1" applyAlignment="1">
      <alignment horizontal="right" vertical="top" wrapText="1"/>
    </xf>
    <xf numFmtId="187" fontId="5" fillId="16" borderId="35" xfId="0" applyNumberFormat="1" applyFont="1" applyFill="1" applyBorder="1" applyAlignment="1">
      <alignment horizontal="right" vertical="top" wrapText="1"/>
    </xf>
    <xf numFmtId="187" fontId="13" fillId="16" borderId="35" xfId="0" applyNumberFormat="1" applyFont="1" applyFill="1" applyBorder="1" applyAlignment="1">
      <alignment horizontal="right" vertical="top" wrapText="1"/>
    </xf>
    <xf numFmtId="187" fontId="5" fillId="16" borderId="219" xfId="0" applyNumberFormat="1" applyFont="1" applyFill="1" applyBorder="1" applyAlignment="1">
      <alignment horizontal="right" vertical="center"/>
    </xf>
    <xf numFmtId="187" fontId="5" fillId="16" borderId="38" xfId="0" applyNumberFormat="1" applyFont="1" applyFill="1" applyBorder="1" applyAlignment="1">
      <alignment horizontal="right" vertical="center"/>
    </xf>
    <xf numFmtId="187" fontId="5" fillId="16" borderId="43" xfId="0" applyNumberFormat="1" applyFont="1" applyFill="1" applyBorder="1" applyAlignment="1">
      <alignment horizontal="right" vertical="center"/>
    </xf>
    <xf numFmtId="187" fontId="13" fillId="16" borderId="219" xfId="0" applyNumberFormat="1" applyFont="1" applyFill="1" applyBorder="1" applyAlignment="1">
      <alignment horizontal="right" vertical="center" wrapText="1"/>
    </xf>
    <xf numFmtId="187" fontId="5" fillId="16" borderId="38" xfId="0" applyNumberFormat="1" applyFont="1" applyFill="1" applyBorder="1" applyAlignment="1">
      <alignment horizontal="right" vertical="center" wrapText="1"/>
    </xf>
    <xf numFmtId="187" fontId="13" fillId="16" borderId="38" xfId="0" applyNumberFormat="1" applyFont="1" applyFill="1" applyBorder="1" applyAlignment="1">
      <alignment horizontal="right" vertical="center" wrapText="1"/>
    </xf>
    <xf numFmtId="187" fontId="13" fillId="16" borderId="220" xfId="0" applyNumberFormat="1" applyFont="1" applyFill="1" applyBorder="1" applyAlignment="1">
      <alignment horizontal="right" vertical="center" wrapText="1"/>
    </xf>
    <xf numFmtId="187" fontId="13" fillId="16" borderId="219" xfId="0" applyNumberFormat="1" applyFont="1" applyFill="1" applyBorder="1" applyAlignment="1">
      <alignment horizontal="right" vertical="top" wrapText="1"/>
    </xf>
    <xf numFmtId="187" fontId="5" fillId="16" borderId="38" xfId="0" applyNumberFormat="1" applyFont="1" applyFill="1" applyBorder="1" applyAlignment="1">
      <alignment horizontal="right" vertical="top" wrapText="1"/>
    </xf>
    <xf numFmtId="187" fontId="13" fillId="16" borderId="38" xfId="0" applyNumberFormat="1" applyFont="1" applyFill="1" applyBorder="1" applyAlignment="1">
      <alignment horizontal="right" vertical="top" wrapText="1"/>
    </xf>
    <xf numFmtId="187" fontId="5" fillId="16" borderId="38" xfId="0" quotePrefix="1" applyNumberFormat="1" applyFont="1" applyFill="1" applyBorder="1" applyAlignment="1">
      <alignment vertical="center" wrapText="1"/>
    </xf>
    <xf numFmtId="187" fontId="5" fillId="16" borderId="38" xfId="0" quotePrefix="1" applyNumberFormat="1" applyFont="1" applyFill="1" applyBorder="1" applyAlignment="1">
      <alignment horizontal="right" vertical="center" wrapText="1"/>
    </xf>
    <xf numFmtId="187" fontId="13" fillId="16" borderId="221" xfId="0" applyNumberFormat="1" applyFont="1" applyFill="1" applyBorder="1" applyAlignment="1">
      <alignment vertical="center" wrapText="1"/>
    </xf>
    <xf numFmtId="187" fontId="13" fillId="16" borderId="54" xfId="0" applyNumberFormat="1" applyFont="1" applyFill="1" applyBorder="1" applyAlignment="1">
      <alignment vertical="center" wrapText="1"/>
    </xf>
    <xf numFmtId="187" fontId="13" fillId="16" borderId="52" xfId="0" applyNumberFormat="1" applyFont="1" applyFill="1" applyBorder="1" applyAlignment="1">
      <alignment vertical="center" wrapText="1"/>
    </xf>
    <xf numFmtId="187" fontId="5" fillId="16" borderId="54" xfId="0" applyNumberFormat="1" applyFont="1" applyFill="1" applyBorder="1" applyAlignment="1">
      <alignment vertical="center" wrapText="1"/>
    </xf>
    <xf numFmtId="187" fontId="13" fillId="16" borderId="222" xfId="0" applyNumberFormat="1" applyFont="1" applyFill="1" applyBorder="1" applyAlignment="1">
      <alignment vertical="center" wrapText="1"/>
    </xf>
    <xf numFmtId="187" fontId="13" fillId="16" borderId="221" xfId="0" applyNumberFormat="1" applyFont="1" applyFill="1" applyBorder="1" applyAlignment="1">
      <alignment vertical="top" wrapText="1"/>
    </xf>
    <xf numFmtId="187" fontId="5" fillId="16" borderId="54" xfId="0" applyNumberFormat="1" applyFont="1" applyFill="1" applyBorder="1" applyAlignment="1">
      <alignment vertical="top" wrapText="1"/>
    </xf>
    <xf numFmtId="187" fontId="13" fillId="16" borderId="54" xfId="0" applyNumberFormat="1" applyFont="1" applyFill="1" applyBorder="1" applyAlignment="1">
      <alignment vertical="top" wrapText="1"/>
    </xf>
    <xf numFmtId="187" fontId="5" fillId="16" borderId="235" xfId="0" applyNumberFormat="1" applyFont="1" applyFill="1" applyBorder="1" applyAlignment="1">
      <alignment vertical="center" wrapText="1"/>
    </xf>
    <xf numFmtId="187" fontId="5" fillId="16" borderId="227" xfId="0" applyNumberFormat="1" applyFont="1" applyFill="1" applyBorder="1" applyAlignment="1">
      <alignment horizontal="right" vertical="center"/>
    </xf>
    <xf numFmtId="187" fontId="5" fillId="16" borderId="78" xfId="0" applyNumberFormat="1" applyFont="1" applyFill="1" applyBorder="1" applyAlignment="1">
      <alignment horizontal="right" vertical="center"/>
    </xf>
    <xf numFmtId="187" fontId="5" fillId="16" borderId="77" xfId="0" applyNumberFormat="1" applyFont="1" applyFill="1" applyBorder="1" applyAlignment="1">
      <alignment horizontal="right" vertical="center"/>
    </xf>
    <xf numFmtId="187" fontId="13" fillId="16" borderId="229" xfId="0" applyNumberFormat="1" applyFont="1" applyFill="1" applyBorder="1" applyAlignment="1">
      <alignment horizontal="right" vertical="center" wrapText="1"/>
    </xf>
    <xf numFmtId="187" fontId="13" fillId="16" borderId="37" xfId="0" applyNumberFormat="1" applyFont="1" applyFill="1" applyBorder="1" applyAlignment="1">
      <alignment horizontal="right" vertical="center" wrapText="1"/>
    </xf>
    <xf numFmtId="187" fontId="13" fillId="16" borderId="34" xfId="0" applyNumberFormat="1" applyFont="1" applyFill="1" applyBorder="1" applyAlignment="1">
      <alignment horizontal="right" vertical="center" wrapText="1"/>
    </xf>
    <xf numFmtId="187" fontId="5" fillId="16" borderId="37" xfId="0" applyNumberFormat="1" applyFont="1" applyFill="1" applyBorder="1" applyAlignment="1">
      <alignment horizontal="right" vertical="center" wrapText="1"/>
    </xf>
    <xf numFmtId="187" fontId="13" fillId="16" borderId="230" xfId="0" applyNumberFormat="1" applyFont="1" applyFill="1" applyBorder="1" applyAlignment="1">
      <alignment horizontal="right" vertical="center" wrapText="1"/>
    </xf>
    <xf numFmtId="187" fontId="13" fillId="16" borderId="221" xfId="0" applyNumberFormat="1" applyFont="1" applyFill="1" applyBorder="1" applyAlignment="1">
      <alignment horizontal="right" vertical="center" wrapText="1"/>
    </xf>
    <xf numFmtId="187" fontId="13" fillId="16" borderId="54" xfId="0" applyNumberFormat="1" applyFont="1" applyFill="1" applyBorder="1" applyAlignment="1">
      <alignment horizontal="right" vertical="center" wrapText="1"/>
    </xf>
    <xf numFmtId="187" fontId="13" fillId="16" borderId="52" xfId="0" applyNumberFormat="1" applyFont="1" applyFill="1" applyBorder="1" applyAlignment="1">
      <alignment horizontal="right" vertical="center" wrapText="1"/>
    </xf>
    <xf numFmtId="187" fontId="5" fillId="16" borderId="54" xfId="0" applyNumberFormat="1" applyFont="1" applyFill="1" applyBorder="1" applyAlignment="1">
      <alignment horizontal="right" vertical="center" wrapText="1"/>
    </xf>
    <xf numFmtId="187" fontId="13" fillId="16" borderId="222" xfId="0" applyNumberFormat="1" applyFont="1" applyFill="1" applyBorder="1" applyAlignment="1">
      <alignment horizontal="right" vertical="center" wrapText="1"/>
    </xf>
    <xf numFmtId="187" fontId="13" fillId="16" borderId="43" xfId="0" applyNumberFormat="1" applyFont="1" applyFill="1" applyBorder="1" applyAlignment="1">
      <alignment horizontal="right" vertical="center" wrapText="1"/>
    </xf>
    <xf numFmtId="187" fontId="13" fillId="16" borderId="235" xfId="0" applyNumberFormat="1" applyFont="1" applyFill="1" applyBorder="1" applyAlignment="1">
      <alignment horizontal="right" vertical="center" wrapText="1"/>
    </xf>
    <xf numFmtId="187" fontId="13" fillId="16" borderId="74" xfId="0" applyNumberFormat="1" applyFont="1" applyFill="1" applyBorder="1" applyAlignment="1">
      <alignment horizontal="right" vertical="center" wrapText="1"/>
    </xf>
    <xf numFmtId="187" fontId="13" fillId="16" borderId="67" xfId="0" applyNumberFormat="1" applyFont="1" applyFill="1" applyBorder="1" applyAlignment="1">
      <alignment horizontal="right" vertical="center" wrapText="1"/>
    </xf>
    <xf numFmtId="187" fontId="5" fillId="16" borderId="74" xfId="0" applyNumberFormat="1" applyFont="1" applyFill="1" applyBorder="1" applyAlignment="1">
      <alignment horizontal="right" vertical="center" wrapText="1"/>
    </xf>
    <xf numFmtId="187" fontId="13" fillId="16" borderId="236" xfId="0" applyNumberFormat="1" applyFont="1" applyFill="1" applyBorder="1" applyAlignment="1">
      <alignment horizontal="right" vertical="center" wrapText="1"/>
    </xf>
    <xf numFmtId="187" fontId="13" fillId="16" borderId="77" xfId="0" applyNumberFormat="1" applyFont="1" applyFill="1" applyBorder="1" applyAlignment="1">
      <alignment horizontal="right" vertical="center" wrapText="1"/>
    </xf>
    <xf numFmtId="187" fontId="21" fillId="16" borderId="78" xfId="0" applyNumberFormat="1" applyFont="1" applyFill="1" applyBorder="1" applyAlignment="1">
      <alignment horizontal="right" vertical="center" wrapText="1"/>
    </xf>
    <xf numFmtId="187" fontId="11" fillId="16" borderId="78" xfId="0" applyNumberFormat="1" applyFont="1" applyFill="1" applyBorder="1" applyAlignment="1">
      <alignment horizontal="right" vertical="center" wrapText="1"/>
    </xf>
    <xf numFmtId="187" fontId="34" fillId="16" borderId="38" xfId="0" applyNumberFormat="1" applyFont="1" applyFill="1" applyBorder="1" applyAlignment="1">
      <alignment horizontal="right" vertical="center" wrapText="1"/>
    </xf>
    <xf numFmtId="187" fontId="29" fillId="16" borderId="219" xfId="0" applyNumberFormat="1" applyFont="1" applyFill="1" applyBorder="1" applyAlignment="1">
      <alignment horizontal="right" vertical="center" wrapText="1"/>
    </xf>
    <xf numFmtId="187" fontId="29" fillId="16" borderId="38" xfId="0" applyNumberFormat="1" applyFont="1" applyFill="1" applyBorder="1" applyAlignment="1">
      <alignment horizontal="right" vertical="center" wrapText="1"/>
    </xf>
    <xf numFmtId="187" fontId="29" fillId="16" borderId="43" xfId="0" applyNumberFormat="1" applyFont="1" applyFill="1" applyBorder="1" applyAlignment="1">
      <alignment horizontal="right" vertical="center" wrapText="1"/>
    </xf>
    <xf numFmtId="187" fontId="20" fillId="16" borderId="38" xfId="0" applyNumberFormat="1" applyFont="1" applyFill="1" applyBorder="1" applyAlignment="1">
      <alignment horizontal="right" vertical="center" wrapText="1"/>
    </xf>
    <xf numFmtId="187" fontId="29" fillId="16" borderId="220" xfId="0" applyNumberFormat="1" applyFont="1" applyFill="1" applyBorder="1" applyAlignment="1">
      <alignment horizontal="right" vertical="center" wrapText="1"/>
    </xf>
    <xf numFmtId="187" fontId="21" fillId="16" borderId="38" xfId="0" applyNumberFormat="1" applyFont="1" applyFill="1" applyBorder="1" applyAlignment="1">
      <alignment horizontal="right" vertical="center" wrapText="1"/>
    </xf>
    <xf numFmtId="187" fontId="35" fillId="16" borderId="38" xfId="0" applyNumberFormat="1" applyFont="1" applyFill="1" applyBorder="1" applyAlignment="1">
      <alignment horizontal="right" vertical="center" wrapText="1"/>
    </xf>
    <xf numFmtId="187" fontId="29" fillId="16" borderId="229" xfId="0" applyNumberFormat="1" applyFont="1" applyFill="1" applyBorder="1" applyAlignment="1">
      <alignment horizontal="right" vertical="center" wrapText="1"/>
    </xf>
    <xf numFmtId="187" fontId="29" fillId="16" borderId="37" xfId="0" applyNumberFormat="1" applyFont="1" applyFill="1" applyBorder="1" applyAlignment="1">
      <alignment horizontal="right" vertical="center" wrapText="1"/>
    </xf>
    <xf numFmtId="187" fontId="29" fillId="16" borderId="34" xfId="0" applyNumberFormat="1" applyFont="1" applyFill="1" applyBorder="1" applyAlignment="1">
      <alignment horizontal="right" vertical="center" wrapText="1"/>
    </xf>
    <xf numFmtId="187" fontId="20" fillId="16" borderId="37" xfId="0" applyNumberFormat="1" applyFont="1" applyFill="1" applyBorder="1" applyAlignment="1">
      <alignment horizontal="right" vertical="center" wrapText="1"/>
    </xf>
    <xf numFmtId="187" fontId="29" fillId="16" borderId="230" xfId="0" applyNumberFormat="1" applyFont="1" applyFill="1" applyBorder="1" applyAlignment="1">
      <alignment horizontal="right" vertical="center" wrapText="1"/>
    </xf>
    <xf numFmtId="187" fontId="21" fillId="16" borderId="37" xfId="0" applyNumberFormat="1" applyFont="1" applyFill="1" applyBorder="1" applyAlignment="1">
      <alignment horizontal="right" vertical="center" wrapText="1"/>
    </xf>
    <xf numFmtId="187" fontId="13" fillId="16" borderId="233" xfId="0" applyNumberFormat="1" applyFont="1" applyFill="1" applyBorder="1" applyAlignment="1">
      <alignment horizontal="right" vertical="center" wrapText="1"/>
    </xf>
    <xf numFmtId="187" fontId="5" fillId="16" borderId="45" xfId="0" applyNumberFormat="1" applyFont="1" applyFill="1" applyBorder="1" applyAlignment="1">
      <alignment horizontal="right" vertical="center" wrapText="1"/>
    </xf>
    <xf numFmtId="187" fontId="13" fillId="16" borderId="42" xfId="0" applyNumberFormat="1" applyFont="1" applyFill="1" applyBorder="1" applyAlignment="1">
      <alignment horizontal="right" vertical="center" wrapText="1"/>
    </xf>
    <xf numFmtId="187" fontId="5" fillId="16" borderId="43" xfId="0" applyNumberFormat="1" applyFont="1" applyFill="1" applyBorder="1" applyAlignment="1">
      <alignment horizontal="right" vertical="center" wrapText="1"/>
    </xf>
    <xf numFmtId="187" fontId="34" fillId="16" borderId="74" xfId="0" applyNumberFormat="1" applyFont="1" applyFill="1" applyBorder="1" applyAlignment="1">
      <alignment horizontal="right" vertical="center" wrapText="1"/>
    </xf>
    <xf numFmtId="187" fontId="35" fillId="16" borderId="74" xfId="0" applyNumberFormat="1" applyFont="1" applyFill="1" applyBorder="1" applyAlignment="1">
      <alignment horizontal="right" vertical="center" wrapText="1"/>
    </xf>
    <xf numFmtId="187" fontId="21" fillId="16" borderId="38" xfId="0" applyNumberFormat="1" applyFont="1" applyFill="1" applyBorder="1" applyAlignment="1">
      <alignment horizontal="right" vertical="top" wrapText="1"/>
    </xf>
    <xf numFmtId="187" fontId="34" fillId="16" borderId="54" xfId="0" applyNumberFormat="1" applyFont="1" applyFill="1" applyBorder="1" applyAlignment="1">
      <alignment horizontal="right" vertical="center" wrapText="1"/>
    </xf>
    <xf numFmtId="187" fontId="35" fillId="16" borderId="54" xfId="0" applyNumberFormat="1" applyFont="1" applyFill="1" applyBorder="1" applyAlignment="1">
      <alignment horizontal="right" vertical="center" wrapText="1"/>
    </xf>
    <xf numFmtId="187" fontId="26" fillId="14" borderId="240" xfId="0" applyNumberFormat="1" applyFont="1" applyFill="1" applyBorder="1" applyAlignment="1">
      <alignment horizontal="right" vertical="center"/>
    </xf>
    <xf numFmtId="187" fontId="26" fillId="14" borderId="28" xfId="1" applyNumberFormat="1" applyFont="1" applyFill="1" applyBorder="1" applyAlignment="1">
      <alignment horizontal="right" vertical="center"/>
    </xf>
    <xf numFmtId="187" fontId="19" fillId="14" borderId="244" xfId="0" applyNumberFormat="1" applyFont="1" applyFill="1" applyBorder="1" applyAlignment="1">
      <alignment horizontal="right" vertical="center" wrapText="1"/>
    </xf>
    <xf numFmtId="187" fontId="19" fillId="14" borderId="245" xfId="0" applyNumberFormat="1" applyFont="1" applyFill="1" applyBorder="1" applyAlignment="1">
      <alignment horizontal="right" vertical="center" wrapText="1"/>
    </xf>
    <xf numFmtId="187" fontId="19" fillId="14" borderId="246" xfId="0" applyNumberFormat="1" applyFont="1" applyFill="1" applyBorder="1" applyAlignment="1">
      <alignment horizontal="right" vertical="center" wrapText="1"/>
    </xf>
    <xf numFmtId="187" fontId="5" fillId="19" borderId="227" xfId="0" applyNumberFormat="1" applyFont="1" applyFill="1" applyBorder="1" applyAlignment="1">
      <alignment horizontal="right" vertical="center"/>
    </xf>
    <xf numFmtId="187" fontId="5" fillId="19" borderId="78" xfId="0" applyNumberFormat="1" applyFont="1" applyFill="1" applyBorder="1" applyAlignment="1">
      <alignment horizontal="right" vertical="center"/>
    </xf>
    <xf numFmtId="187" fontId="5" fillId="19" borderId="77" xfId="0" applyNumberFormat="1" applyFont="1" applyFill="1" applyBorder="1" applyAlignment="1">
      <alignment horizontal="right" vertical="center"/>
    </xf>
    <xf numFmtId="187" fontId="5" fillId="14" borderId="229" xfId="0" applyNumberFormat="1" applyFont="1" applyFill="1" applyBorder="1" applyAlignment="1">
      <alignment horizontal="right" vertical="center" wrapText="1"/>
    </xf>
    <xf numFmtId="187" fontId="5" fillId="19" borderId="37" xfId="0" applyNumberFormat="1" applyFont="1" applyFill="1" applyBorder="1" applyAlignment="1">
      <alignment horizontal="right" vertical="top" wrapText="1"/>
    </xf>
    <xf numFmtId="187" fontId="5" fillId="14" borderId="37" xfId="0" applyNumberFormat="1" applyFont="1" applyFill="1" applyBorder="1" applyAlignment="1">
      <alignment horizontal="right" vertical="center" wrapText="1"/>
    </xf>
    <xf numFmtId="187" fontId="5" fillId="19" borderId="230" xfId="0" applyNumberFormat="1" applyFont="1" applyFill="1" applyBorder="1" applyAlignment="1">
      <alignment horizontal="right" vertical="center" wrapText="1"/>
    </xf>
    <xf numFmtId="187" fontId="5" fillId="19" borderId="229" xfId="0" applyNumberFormat="1" applyFont="1" applyFill="1" applyBorder="1" applyAlignment="1">
      <alignment horizontal="right" vertical="center" wrapText="1"/>
    </xf>
    <xf numFmtId="187" fontId="5" fillId="19" borderId="37" xfId="0" applyNumberFormat="1" applyFont="1" applyFill="1" applyBorder="1" applyAlignment="1">
      <alignment horizontal="right" vertical="center" wrapText="1"/>
    </xf>
    <xf numFmtId="187" fontId="13" fillId="18" borderId="229" xfId="0" applyNumberFormat="1" applyFont="1" applyFill="1" applyBorder="1" applyAlignment="1">
      <alignment horizontal="right" vertical="center" wrapText="1"/>
    </xf>
    <xf numFmtId="187" fontId="5" fillId="4" borderId="37" xfId="0" applyNumberFormat="1" applyFont="1" applyFill="1" applyBorder="1" applyAlignment="1">
      <alignment horizontal="right" vertical="top" wrapText="1"/>
    </xf>
    <xf numFmtId="187" fontId="13" fillId="18" borderId="37" xfId="0" applyNumberFormat="1" applyFont="1" applyFill="1" applyBorder="1" applyAlignment="1">
      <alignment horizontal="right" vertical="center" wrapText="1"/>
    </xf>
    <xf numFmtId="187" fontId="5" fillId="4" borderId="38" xfId="0" applyNumberFormat="1" applyFont="1" applyFill="1" applyBorder="1" applyAlignment="1">
      <alignment horizontal="right" vertical="top" wrapText="1"/>
    </xf>
    <xf numFmtId="187" fontId="5" fillId="19" borderId="219" xfId="0" applyNumberFormat="1" applyFont="1" applyFill="1" applyBorder="1" applyAlignment="1">
      <alignment horizontal="right" vertical="center"/>
    </xf>
    <xf numFmtId="187" fontId="5" fillId="19" borderId="38" xfId="0" applyNumberFormat="1" applyFont="1" applyFill="1" applyBorder="1" applyAlignment="1">
      <alignment horizontal="right" vertical="center"/>
    </xf>
    <xf numFmtId="187" fontId="5" fillId="19" borderId="43" xfId="0" applyNumberFormat="1" applyFont="1" applyFill="1" applyBorder="1" applyAlignment="1">
      <alignment horizontal="right" vertical="center"/>
    </xf>
    <xf numFmtId="187" fontId="5" fillId="19" borderId="220" xfId="0" applyNumberFormat="1" applyFont="1" applyFill="1" applyBorder="1" applyAlignment="1">
      <alignment horizontal="right" vertical="center"/>
    </xf>
    <xf numFmtId="187" fontId="5" fillId="18" borderId="219" xfId="0" applyNumberFormat="1" applyFont="1" applyFill="1" applyBorder="1" applyAlignment="1">
      <alignment horizontal="right" vertical="center" wrapText="1"/>
    </xf>
    <xf numFmtId="187" fontId="5" fillId="18" borderId="38" xfId="0" applyNumberFormat="1" applyFont="1" applyFill="1" applyBorder="1" applyAlignment="1">
      <alignment horizontal="right" vertical="center" wrapText="1"/>
    </xf>
    <xf numFmtId="187" fontId="5" fillId="18" borderId="220" xfId="0" applyNumberFormat="1" applyFont="1" applyFill="1" applyBorder="1" applyAlignment="1">
      <alignment horizontal="right" vertical="center" wrapText="1"/>
    </xf>
    <xf numFmtId="187" fontId="5" fillId="18" borderId="38" xfId="0" applyNumberFormat="1" applyFont="1" applyFill="1" applyBorder="1" applyAlignment="1">
      <alignment horizontal="right" vertical="top" wrapText="1"/>
    </xf>
    <xf numFmtId="187" fontId="5" fillId="4" borderId="220" xfId="0" applyNumberFormat="1" applyFont="1" applyFill="1" applyBorder="1" applyAlignment="1">
      <alignment horizontal="right" vertical="center" wrapText="1"/>
    </xf>
    <xf numFmtId="187" fontId="5" fillId="19" borderId="220" xfId="0" applyNumberFormat="1" applyFont="1" applyFill="1" applyBorder="1" applyAlignment="1">
      <alignment horizontal="right" vertical="center" wrapText="1"/>
    </xf>
    <xf numFmtId="187" fontId="5" fillId="19" borderId="38" xfId="0" applyNumberFormat="1" applyFont="1" applyFill="1" applyBorder="1" applyAlignment="1">
      <alignment horizontal="right" vertical="top" wrapText="1"/>
    </xf>
    <xf numFmtId="187" fontId="21" fillId="5" borderId="219" xfId="0" applyNumberFormat="1" applyFont="1" applyFill="1" applyBorder="1" applyAlignment="1">
      <alignment horizontal="right" vertical="center" wrapText="1"/>
    </xf>
    <xf numFmtId="187" fontId="20" fillId="3" borderId="38" xfId="0" applyNumberFormat="1" applyFont="1" applyFill="1" applyBorder="1" applyAlignment="1">
      <alignment horizontal="right" vertical="center" wrapText="1"/>
    </xf>
    <xf numFmtId="187" fontId="21" fillId="5" borderId="38" xfId="0" applyNumberFormat="1" applyFont="1" applyFill="1" applyBorder="1" applyAlignment="1">
      <alignment horizontal="right" vertical="center" wrapText="1"/>
    </xf>
    <xf numFmtId="187" fontId="21" fillId="5" borderId="220" xfId="0" applyNumberFormat="1" applyFont="1" applyFill="1" applyBorder="1" applyAlignment="1">
      <alignment horizontal="right" vertical="center" wrapText="1"/>
    </xf>
    <xf numFmtId="187" fontId="29" fillId="4" borderId="43" xfId="0" applyNumberFormat="1" applyFont="1" applyFill="1" applyBorder="1" applyAlignment="1">
      <alignment vertical="center" wrapText="1"/>
    </xf>
    <xf numFmtId="187" fontId="13" fillId="4" borderId="223" xfId="0" applyNumberFormat="1" applyFont="1" applyFill="1" applyBorder="1" applyAlignment="1">
      <alignment horizontal="right" vertical="center" wrapText="1"/>
    </xf>
    <xf numFmtId="187" fontId="5" fillId="3" borderId="73" xfId="0" applyNumberFormat="1" applyFont="1" applyFill="1" applyBorder="1" applyAlignment="1">
      <alignment horizontal="right" vertical="center" wrapText="1"/>
    </xf>
    <xf numFmtId="187" fontId="13" fillId="4" borderId="73" xfId="0" applyNumberFormat="1" applyFont="1" applyFill="1" applyBorder="1" applyAlignment="1">
      <alignment horizontal="right" vertical="center" wrapText="1"/>
    </xf>
    <xf numFmtId="187" fontId="13" fillId="4" borderId="224" xfId="0" applyNumberFormat="1" applyFont="1" applyFill="1" applyBorder="1" applyAlignment="1">
      <alignment horizontal="right" vertical="center" wrapText="1"/>
    </xf>
    <xf numFmtId="187" fontId="34" fillId="3" borderId="73" xfId="0" applyNumberFormat="1" applyFont="1" applyFill="1" applyBorder="1" applyAlignment="1">
      <alignment horizontal="right" vertical="center" wrapText="1"/>
    </xf>
    <xf numFmtId="187" fontId="35" fillId="3" borderId="73" xfId="0" applyNumberFormat="1" applyFont="1" applyFill="1" applyBorder="1" applyAlignment="1">
      <alignment horizontal="right" vertical="center" wrapText="1"/>
    </xf>
    <xf numFmtId="0" fontId="2" fillId="0" borderId="0" xfId="3" applyFont="1" applyAlignment="1">
      <alignment horizontal="center" vertical="center" wrapText="1"/>
    </xf>
    <xf numFmtId="0" fontId="2" fillId="2" borderId="0" xfId="3" applyFont="1" applyFill="1" applyAlignment="1">
      <alignment horizontal="center" vertical="center" wrapText="1"/>
    </xf>
    <xf numFmtId="0" fontId="4" fillId="2" borderId="0" xfId="3" applyFont="1" applyFill="1" applyAlignment="1">
      <alignment horizontal="center" vertical="center" wrapText="1"/>
    </xf>
    <xf numFmtId="0" fontId="4" fillId="2" borderId="0" xfId="3" applyFont="1" applyFill="1" applyAlignment="1">
      <alignment vertical="top"/>
    </xf>
    <xf numFmtId="0" fontId="4" fillId="2" borderId="0" xfId="3" applyFont="1" applyFill="1" applyAlignment="1">
      <alignment vertical="top" wrapText="1"/>
    </xf>
    <xf numFmtId="0" fontId="4" fillId="2" borderId="0" xfId="3" applyFont="1" applyFill="1" applyAlignment="1">
      <alignment vertical="center" wrapText="1"/>
    </xf>
    <xf numFmtId="0" fontId="2" fillId="2" borderId="0" xfId="3" applyFont="1" applyFill="1">
      <alignment vertical="center"/>
    </xf>
    <xf numFmtId="0" fontId="5" fillId="3" borderId="0" xfId="3" applyFont="1" applyFill="1" applyAlignment="1">
      <alignment horizontal="center" vertical="center"/>
    </xf>
    <xf numFmtId="0" fontId="5" fillId="0" borderId="0" xfId="3" applyFont="1">
      <alignment vertical="center"/>
    </xf>
    <xf numFmtId="0" fontId="6" fillId="0" borderId="0" xfId="3" applyFont="1" applyAlignment="1">
      <alignment horizontal="center" vertical="center" wrapText="1"/>
    </xf>
    <xf numFmtId="0" fontId="7" fillId="2" borderId="0" xfId="3" applyFont="1" applyFill="1" applyAlignment="1">
      <alignment horizontal="left" vertical="center"/>
    </xf>
    <xf numFmtId="0" fontId="4" fillId="2" borderId="0" xfId="3" applyFont="1" applyFill="1" applyAlignment="1">
      <alignment horizontal="left" vertical="center"/>
    </xf>
    <xf numFmtId="0" fontId="8" fillId="2" borderId="0" xfId="3" applyFont="1" applyFill="1" applyAlignment="1">
      <alignment vertical="center" wrapText="1"/>
    </xf>
    <xf numFmtId="0" fontId="8" fillId="2" borderId="0" xfId="3" applyFont="1" applyFill="1" applyAlignment="1">
      <alignment horizontal="center" vertical="center" wrapText="1"/>
    </xf>
    <xf numFmtId="0" fontId="8" fillId="2" borderId="0" xfId="3" applyFont="1" applyFill="1">
      <alignment vertical="center"/>
    </xf>
    <xf numFmtId="0" fontId="9" fillId="3" borderId="0" xfId="3" applyFont="1" applyFill="1" applyAlignment="1">
      <alignment horizontal="center" vertical="center"/>
    </xf>
    <xf numFmtId="0" fontId="9" fillId="0" borderId="0" xfId="3" applyFont="1">
      <alignment vertical="center"/>
    </xf>
    <xf numFmtId="0" fontId="5" fillId="2" borderId="0" xfId="3" applyFont="1" applyFill="1">
      <alignment vertical="center"/>
    </xf>
    <xf numFmtId="0" fontId="5" fillId="0" borderId="0" xfId="3" applyFont="1" applyAlignment="1">
      <alignment vertical="top"/>
    </xf>
    <xf numFmtId="0" fontId="5" fillId="0" borderId="0" xfId="3" applyFont="1" applyAlignment="1">
      <alignment horizontal="center" vertical="center"/>
    </xf>
    <xf numFmtId="0" fontId="10" fillId="0" borderId="150" xfId="3" quotePrefix="1" applyFont="1" applyBorder="1">
      <alignment vertical="center"/>
    </xf>
    <xf numFmtId="0" fontId="5" fillId="0" borderId="1" xfId="3" applyFont="1" applyBorder="1" applyAlignment="1">
      <alignment vertical="top"/>
    </xf>
    <xf numFmtId="3" fontId="11" fillId="3" borderId="1" xfId="3" applyNumberFormat="1" applyFont="1" applyFill="1" applyBorder="1">
      <alignment vertical="center"/>
    </xf>
    <xf numFmtId="0" fontId="11" fillId="3" borderId="2" xfId="3" applyFont="1" applyFill="1" applyBorder="1" applyAlignment="1">
      <alignment vertical="top" wrapText="1"/>
    </xf>
    <xf numFmtId="0" fontId="12" fillId="3" borderId="0" xfId="3" applyFont="1" applyFill="1">
      <alignment vertical="center"/>
    </xf>
    <xf numFmtId="0" fontId="5" fillId="0" borderId="0" xfId="3" applyFont="1" applyAlignment="1">
      <alignment horizontal="left" vertical="center"/>
    </xf>
    <xf numFmtId="0" fontId="14" fillId="0" borderId="151" xfId="3" quotePrefix="1" applyFont="1" applyBorder="1">
      <alignment vertical="center"/>
    </xf>
    <xf numFmtId="3" fontId="5" fillId="3" borderId="0" xfId="3" applyNumberFormat="1" applyFont="1" applyFill="1">
      <alignment vertical="center"/>
    </xf>
    <xf numFmtId="0" fontId="11" fillId="3" borderId="3" xfId="3" applyFont="1" applyFill="1" applyBorder="1" applyAlignment="1">
      <alignment vertical="top" wrapText="1"/>
    </xf>
    <xf numFmtId="0" fontId="13" fillId="0" borderId="151" xfId="3" quotePrefix="1" applyFont="1" applyBorder="1">
      <alignment vertical="center"/>
    </xf>
    <xf numFmtId="0" fontId="11" fillId="3" borderId="0" xfId="3" applyFont="1" applyFill="1" applyAlignment="1">
      <alignment vertical="top" wrapText="1"/>
    </xf>
    <xf numFmtId="3" fontId="5" fillId="0" borderId="0" xfId="3" applyNumberFormat="1" applyFont="1" applyAlignment="1">
      <alignment horizontal="left" vertical="center"/>
    </xf>
    <xf numFmtId="0" fontId="13" fillId="0" borderId="152" xfId="3" quotePrefix="1" applyFont="1" applyBorder="1">
      <alignment vertical="center"/>
    </xf>
    <xf numFmtId="0" fontId="5" fillId="0" borderId="4" xfId="3" applyFont="1" applyBorder="1" applyAlignment="1">
      <alignment vertical="top"/>
    </xf>
    <xf numFmtId="3" fontId="5" fillId="0" borderId="4" xfId="3" applyNumberFormat="1" applyFont="1" applyBorder="1" applyAlignment="1">
      <alignment horizontal="left" vertical="center"/>
    </xf>
    <xf numFmtId="0" fontId="11" fillId="3" borderId="5" xfId="3" applyFont="1" applyFill="1" applyBorder="1" applyAlignment="1">
      <alignment vertical="top" wrapText="1"/>
    </xf>
    <xf numFmtId="3" fontId="11" fillId="4" borderId="0" xfId="3" applyNumberFormat="1" applyFont="1" applyFill="1">
      <alignment vertical="center"/>
    </xf>
    <xf numFmtId="0" fontId="5" fillId="0" borderId="0" xfId="3" applyFont="1" applyAlignment="1">
      <alignment horizontal="left" vertical="center" wrapText="1"/>
    </xf>
    <xf numFmtId="0" fontId="5" fillId="0" borderId="0" xfId="3" applyFont="1" applyAlignment="1">
      <alignment horizontal="center" vertical="center" wrapText="1"/>
    </xf>
    <xf numFmtId="0" fontId="5" fillId="0" borderId="0" xfId="3" applyFont="1" applyAlignment="1">
      <alignment horizontal="left" vertical="top"/>
    </xf>
    <xf numFmtId="0" fontId="5" fillId="0" borderId="0" xfId="3" applyFont="1" applyAlignment="1">
      <alignment horizontal="left" vertical="top" wrapText="1"/>
    </xf>
    <xf numFmtId="0" fontId="15" fillId="0" borderId="0" xfId="3" applyFont="1" applyAlignment="1">
      <alignment horizontal="center" vertical="center"/>
    </xf>
    <xf numFmtId="0" fontId="13" fillId="0" borderId="0" xfId="3" applyFont="1">
      <alignment vertical="center"/>
    </xf>
    <xf numFmtId="0" fontId="4" fillId="7" borderId="9" xfId="3" applyFont="1" applyFill="1" applyBorder="1">
      <alignment vertical="center"/>
    </xf>
    <xf numFmtId="0" fontId="13" fillId="0" borderId="0" xfId="3" applyFont="1" applyAlignment="1">
      <alignment horizontal="left" vertical="center"/>
    </xf>
    <xf numFmtId="0" fontId="16" fillId="7" borderId="249" xfId="3" applyFont="1" applyFill="1" applyBorder="1" applyAlignment="1">
      <alignment horizontal="center" vertical="center" wrapText="1"/>
    </xf>
    <xf numFmtId="0" fontId="4" fillId="6" borderId="250" xfId="3" applyFont="1" applyFill="1" applyBorder="1" applyAlignment="1">
      <alignment horizontal="center" vertical="center"/>
    </xf>
    <xf numFmtId="0" fontId="4" fillId="6" borderId="251" xfId="3" applyFont="1" applyFill="1" applyBorder="1" applyAlignment="1">
      <alignment horizontal="center" vertical="center"/>
    </xf>
    <xf numFmtId="0" fontId="4" fillId="7" borderId="252" xfId="3" applyFont="1" applyFill="1" applyBorder="1" applyAlignment="1">
      <alignment horizontal="center" vertical="center"/>
    </xf>
    <xf numFmtId="0" fontId="16" fillId="7" borderId="213" xfId="3" applyFont="1" applyFill="1" applyBorder="1" applyAlignment="1">
      <alignment horizontal="center" vertical="center" wrapText="1"/>
    </xf>
    <xf numFmtId="0" fontId="15" fillId="7" borderId="20" xfId="3" applyFont="1" applyFill="1" applyBorder="1" applyAlignment="1">
      <alignment horizontal="center" vertical="center" wrapText="1"/>
    </xf>
    <xf numFmtId="0" fontId="16" fillId="7" borderId="20" xfId="3" applyFont="1" applyFill="1" applyBorder="1" applyAlignment="1">
      <alignment horizontal="center" vertical="center" wrapText="1"/>
    </xf>
    <xf numFmtId="0" fontId="16" fillId="7" borderId="214" xfId="3" applyFont="1" applyFill="1" applyBorder="1" applyAlignment="1">
      <alignment horizontal="center" vertical="center" wrapText="1"/>
    </xf>
    <xf numFmtId="0" fontId="16" fillId="7" borderId="243" xfId="3" applyFont="1" applyFill="1" applyBorder="1" applyAlignment="1">
      <alignment horizontal="center" vertical="center" wrapText="1"/>
    </xf>
    <xf numFmtId="0" fontId="19" fillId="11" borderId="27" xfId="3" applyFont="1" applyFill="1" applyBorder="1" applyAlignment="1">
      <alignment horizontal="left" vertical="center"/>
    </xf>
    <xf numFmtId="0" fontId="15" fillId="11" borderId="0" xfId="3" applyFont="1" applyFill="1" applyAlignment="1">
      <alignment horizontal="left" vertical="center"/>
    </xf>
    <xf numFmtId="0" fontId="15" fillId="12" borderId="0" xfId="3" applyFont="1" applyFill="1" applyAlignment="1">
      <alignment horizontal="center" vertical="center"/>
    </xf>
    <xf numFmtId="0" fontId="19" fillId="11" borderId="0" xfId="3" applyFont="1" applyFill="1" applyAlignment="1">
      <alignment horizontal="left" vertical="center"/>
    </xf>
    <xf numFmtId="0" fontId="15" fillId="11" borderId="0" xfId="3" applyFont="1" applyFill="1" applyAlignment="1">
      <alignment horizontal="left" vertical="top"/>
    </xf>
    <xf numFmtId="0" fontId="10" fillId="12" borderId="215" xfId="3" applyFont="1" applyFill="1" applyBorder="1" applyAlignment="1">
      <alignment horizontal="center" vertical="center" wrapText="1"/>
    </xf>
    <xf numFmtId="0" fontId="10" fillId="12" borderId="0" xfId="3" applyFont="1" applyFill="1" applyAlignment="1">
      <alignment horizontal="center" vertical="center" wrapText="1"/>
    </xf>
    <xf numFmtId="0" fontId="10" fillId="12" borderId="216" xfId="3" applyFont="1" applyFill="1" applyBorder="1" applyAlignment="1">
      <alignment horizontal="center" vertical="center" wrapText="1"/>
    </xf>
    <xf numFmtId="0" fontId="10" fillId="12" borderId="218" xfId="3" applyFont="1" applyFill="1" applyBorder="1" applyAlignment="1">
      <alignment horizontal="center" vertical="center" wrapText="1"/>
    </xf>
    <xf numFmtId="0" fontId="10" fillId="12" borderId="217" xfId="3" applyFont="1" applyFill="1" applyBorder="1" applyAlignment="1">
      <alignment horizontal="center" vertical="center"/>
    </xf>
    <xf numFmtId="0" fontId="10" fillId="12" borderId="28" xfId="3" applyFont="1" applyFill="1" applyBorder="1" applyAlignment="1">
      <alignment horizontal="center" vertical="center"/>
    </xf>
    <xf numFmtId="0" fontId="19" fillId="14" borderId="30" xfId="3" applyFont="1" applyFill="1" applyBorder="1" applyAlignment="1">
      <alignment horizontal="left" vertical="center"/>
    </xf>
    <xf numFmtId="0" fontId="15" fillId="14" borderId="28" xfId="3" applyFont="1" applyFill="1" applyBorder="1" applyAlignment="1">
      <alignment horizontal="left" vertical="center"/>
    </xf>
    <xf numFmtId="0" fontId="15" fillId="14" borderId="28" xfId="3" applyFont="1" applyFill="1" applyBorder="1" applyAlignment="1">
      <alignment horizontal="center" vertical="center"/>
    </xf>
    <xf numFmtId="0" fontId="19" fillId="14" borderId="28" xfId="3" applyFont="1" applyFill="1" applyBorder="1" applyAlignment="1">
      <alignment horizontal="left" vertical="top"/>
    </xf>
    <xf numFmtId="0" fontId="15" fillId="14" borderId="28" xfId="3" applyFont="1" applyFill="1" applyBorder="1" applyAlignment="1">
      <alignment horizontal="left" vertical="top"/>
    </xf>
    <xf numFmtId="0" fontId="19" fillId="14" borderId="217" xfId="3" applyFont="1" applyFill="1" applyBorder="1" applyAlignment="1">
      <alignment horizontal="left" vertical="center"/>
    </xf>
    <xf numFmtId="0" fontId="19" fillId="14" borderId="28" xfId="3" applyFont="1" applyFill="1" applyBorder="1" applyAlignment="1">
      <alignment horizontal="left" vertical="center"/>
    </xf>
    <xf numFmtId="0" fontId="19" fillId="14" borderId="218" xfId="3" applyFont="1" applyFill="1" applyBorder="1" applyAlignment="1">
      <alignment horizontal="left" vertical="center"/>
    </xf>
    <xf numFmtId="0" fontId="19" fillId="14" borderId="29" xfId="3" applyFont="1" applyFill="1" applyBorder="1" applyAlignment="1">
      <alignment horizontal="left" vertical="center"/>
    </xf>
    <xf numFmtId="0" fontId="5" fillId="3" borderId="31" xfId="3" applyFont="1" applyFill="1" applyBorder="1" applyAlignment="1">
      <alignment vertical="top"/>
    </xf>
    <xf numFmtId="177" fontId="5" fillId="15" borderId="32" xfId="3" quotePrefix="1" applyNumberFormat="1" applyFont="1" applyFill="1" applyBorder="1">
      <alignment vertical="center"/>
    </xf>
    <xf numFmtId="177" fontId="5" fillId="15" borderId="33" xfId="3" quotePrefix="1" applyNumberFormat="1" applyFont="1" applyFill="1" applyBorder="1">
      <alignment vertical="center"/>
    </xf>
    <xf numFmtId="177" fontId="5" fillId="15" borderId="34" xfId="3" quotePrefix="1" applyNumberFormat="1" applyFont="1" applyFill="1" applyBorder="1" applyAlignment="1">
      <alignment horizontal="center" vertical="center"/>
    </xf>
    <xf numFmtId="0" fontId="5" fillId="0" borderId="35" xfId="3" applyFont="1" applyBorder="1" applyAlignment="1">
      <alignment vertical="top"/>
    </xf>
    <xf numFmtId="177" fontId="5" fillId="15" borderId="33" xfId="3" quotePrefix="1" applyNumberFormat="1" applyFont="1" applyFill="1" applyBorder="1" applyAlignment="1">
      <alignment vertical="top" wrapText="1"/>
    </xf>
    <xf numFmtId="177" fontId="5" fillId="15" borderId="36" xfId="3" quotePrefix="1" applyNumberFormat="1" applyFont="1" applyFill="1" applyBorder="1" applyAlignment="1">
      <alignment vertical="top" wrapText="1"/>
    </xf>
    <xf numFmtId="177" fontId="5" fillId="15" borderId="37" xfId="3" quotePrefix="1" applyNumberFormat="1" applyFont="1" applyFill="1" applyBorder="1" applyAlignment="1">
      <alignment horizontal="center" vertical="center"/>
    </xf>
    <xf numFmtId="178" fontId="13" fillId="16" borderId="219" xfId="3" applyNumberFormat="1" applyFont="1" applyFill="1" applyBorder="1" applyAlignment="1">
      <alignment horizontal="right" vertical="center" wrapText="1"/>
    </xf>
    <xf numFmtId="178" fontId="13" fillId="16" borderId="38" xfId="3" applyNumberFormat="1" applyFont="1" applyFill="1" applyBorder="1" applyAlignment="1">
      <alignment horizontal="right" vertical="center" wrapText="1"/>
    </xf>
    <xf numFmtId="178" fontId="13" fillId="16" borderId="220" xfId="3" applyNumberFormat="1" applyFont="1" applyFill="1" applyBorder="1" applyAlignment="1">
      <alignment horizontal="right" vertical="center" wrapText="1"/>
    </xf>
    <xf numFmtId="3" fontId="5" fillId="3" borderId="219" xfId="3" applyNumberFormat="1" applyFont="1" applyFill="1" applyBorder="1" applyAlignment="1">
      <alignment horizontal="center" vertical="center"/>
    </xf>
    <xf numFmtId="3" fontId="13" fillId="4" borderId="38" xfId="3" applyNumberFormat="1" applyFont="1" applyFill="1" applyBorder="1" applyAlignment="1">
      <alignment vertical="center" wrapText="1"/>
    </xf>
    <xf numFmtId="0" fontId="5" fillId="17" borderId="40" xfId="3" applyFont="1" applyFill="1" applyBorder="1" applyAlignment="1">
      <alignment vertical="top"/>
    </xf>
    <xf numFmtId="177" fontId="5" fillId="15" borderId="41" xfId="3" quotePrefix="1" applyNumberFormat="1" applyFont="1" applyFill="1" applyBorder="1">
      <alignment vertical="center"/>
    </xf>
    <xf numFmtId="177" fontId="5" fillId="15" borderId="42" xfId="3" quotePrefix="1" applyNumberFormat="1" applyFont="1" applyFill="1" applyBorder="1">
      <alignment vertical="center"/>
    </xf>
    <xf numFmtId="0" fontId="5" fillId="3" borderId="43" xfId="3" applyFont="1" applyFill="1" applyBorder="1" applyAlignment="1">
      <alignment horizontal="center" vertical="center"/>
    </xf>
    <xf numFmtId="0" fontId="5" fillId="0" borderId="44" xfId="3" applyFont="1" applyBorder="1" applyAlignment="1">
      <alignment vertical="top"/>
    </xf>
    <xf numFmtId="177" fontId="5" fillId="15" borderId="42" xfId="3" quotePrefix="1" applyNumberFormat="1" applyFont="1" applyFill="1" applyBorder="1" applyAlignment="1">
      <alignment vertical="top" wrapText="1"/>
    </xf>
    <xf numFmtId="177" fontId="5" fillId="15" borderId="45" xfId="3" quotePrefix="1" applyNumberFormat="1" applyFont="1" applyFill="1" applyBorder="1" applyAlignment="1">
      <alignment vertical="top" wrapText="1"/>
    </xf>
    <xf numFmtId="0" fontId="5" fillId="3" borderId="38" xfId="3" applyFont="1" applyFill="1" applyBorder="1" applyAlignment="1">
      <alignment horizontal="center" vertical="center"/>
    </xf>
    <xf numFmtId="0" fontId="5" fillId="17" borderId="47" xfId="3" applyFont="1" applyFill="1" applyBorder="1" applyAlignment="1">
      <alignment vertical="top"/>
    </xf>
    <xf numFmtId="0" fontId="5" fillId="3" borderId="31" xfId="3" quotePrefix="1" applyFont="1" applyFill="1" applyBorder="1">
      <alignment vertical="center"/>
    </xf>
    <xf numFmtId="177" fontId="5" fillId="15" borderId="48" xfId="3" quotePrefix="1" applyNumberFormat="1" applyFont="1" applyFill="1" applyBorder="1" applyAlignment="1">
      <alignment vertical="top" wrapText="1"/>
    </xf>
    <xf numFmtId="177" fontId="5" fillId="15" borderId="49" xfId="3" quotePrefix="1" applyNumberFormat="1" applyFont="1" applyFill="1" applyBorder="1" applyAlignment="1">
      <alignment vertical="top" wrapText="1"/>
    </xf>
    <xf numFmtId="177" fontId="5" fillId="15" borderId="50" xfId="3" quotePrefix="1" applyNumberFormat="1" applyFont="1" applyFill="1" applyBorder="1">
      <alignment vertical="center"/>
    </xf>
    <xf numFmtId="177" fontId="5" fillId="15" borderId="51" xfId="3" quotePrefix="1" applyNumberFormat="1" applyFont="1" applyFill="1" applyBorder="1">
      <alignment vertical="center"/>
    </xf>
    <xf numFmtId="0" fontId="5" fillId="3" borderId="52" xfId="3" applyFont="1" applyFill="1" applyBorder="1" applyAlignment="1">
      <alignment horizontal="center" vertical="center"/>
    </xf>
    <xf numFmtId="177" fontId="5" fillId="15" borderId="51" xfId="3" quotePrefix="1" applyNumberFormat="1" applyFont="1" applyFill="1" applyBorder="1" applyAlignment="1">
      <alignment vertical="top" wrapText="1"/>
    </xf>
    <xf numFmtId="177" fontId="5" fillId="15" borderId="53" xfId="3" quotePrefix="1" applyNumberFormat="1" applyFont="1" applyFill="1" applyBorder="1" applyAlignment="1">
      <alignment vertical="top" wrapText="1"/>
    </xf>
    <xf numFmtId="0" fontId="5" fillId="3" borderId="54" xfId="3" applyFont="1" applyFill="1" applyBorder="1" applyAlignment="1">
      <alignment horizontal="center" vertical="center"/>
    </xf>
    <xf numFmtId="0" fontId="19" fillId="14" borderId="30" xfId="3" applyFont="1" applyFill="1" applyBorder="1">
      <alignment vertical="center"/>
    </xf>
    <xf numFmtId="0" fontId="15" fillId="14" borderId="28" xfId="3" applyFont="1" applyFill="1" applyBorder="1">
      <alignment vertical="center"/>
    </xf>
    <xf numFmtId="0" fontId="19" fillId="14" borderId="55" xfId="3" applyFont="1" applyFill="1" applyBorder="1" applyAlignment="1">
      <alignment vertical="top"/>
    </xf>
    <xf numFmtId="0" fontId="15" fillId="14" borderId="28" xfId="3" applyFont="1" applyFill="1" applyBorder="1" applyAlignment="1">
      <alignment vertical="top"/>
    </xf>
    <xf numFmtId="178" fontId="19" fillId="14" borderId="217" xfId="3" applyNumberFormat="1" applyFont="1" applyFill="1" applyBorder="1" applyAlignment="1">
      <alignment horizontal="right" vertical="center" wrapText="1"/>
    </xf>
    <xf numFmtId="178" fontId="19" fillId="14" borderId="28" xfId="3" applyNumberFormat="1" applyFont="1" applyFill="1" applyBorder="1" applyAlignment="1">
      <alignment horizontal="right" vertical="center" wrapText="1"/>
    </xf>
    <xf numFmtId="178" fontId="19" fillId="14" borderId="218" xfId="3" applyNumberFormat="1" applyFont="1" applyFill="1" applyBorder="1" applyAlignment="1">
      <alignment horizontal="right" vertical="center" wrapText="1"/>
    </xf>
    <xf numFmtId="0" fontId="19" fillId="14" borderId="217" xfId="3" applyFont="1" applyFill="1" applyBorder="1">
      <alignment vertical="center"/>
    </xf>
    <xf numFmtId="0" fontId="19" fillId="14" borderId="28" xfId="3" applyFont="1" applyFill="1" applyBorder="1">
      <alignment vertical="center"/>
    </xf>
    <xf numFmtId="0" fontId="9" fillId="14" borderId="29" xfId="3" applyFont="1" applyFill="1" applyBorder="1" applyAlignment="1">
      <alignment vertical="top"/>
    </xf>
    <xf numFmtId="177" fontId="5" fillId="15" borderId="43" xfId="3" quotePrefix="1" applyNumberFormat="1" applyFont="1" applyFill="1" applyBorder="1" applyAlignment="1">
      <alignment horizontal="center" vertical="center"/>
    </xf>
    <xf numFmtId="0" fontId="9" fillId="3" borderId="44" xfId="3" applyFont="1" applyFill="1" applyBorder="1">
      <alignment vertical="center"/>
    </xf>
    <xf numFmtId="177" fontId="5" fillId="15" borderId="33" xfId="3" quotePrefix="1" applyNumberFormat="1" applyFont="1" applyFill="1" applyBorder="1" applyAlignment="1">
      <alignment vertical="top"/>
    </xf>
    <xf numFmtId="177" fontId="5" fillId="15" borderId="36" xfId="3" quotePrefix="1" applyNumberFormat="1" applyFont="1" applyFill="1" applyBorder="1" applyAlignment="1">
      <alignment vertical="top"/>
    </xf>
    <xf numFmtId="177" fontId="5" fillId="15" borderId="38" xfId="3" quotePrefix="1" applyNumberFormat="1" applyFont="1" applyFill="1" applyBorder="1" applyAlignment="1">
      <alignment horizontal="center" vertical="center"/>
    </xf>
    <xf numFmtId="3" fontId="5" fillId="4" borderId="38" xfId="3" applyNumberFormat="1" applyFont="1" applyFill="1" applyBorder="1">
      <alignment vertical="center"/>
    </xf>
    <xf numFmtId="0" fontId="5" fillId="3" borderId="0" xfId="3" applyFont="1" applyFill="1">
      <alignment vertical="center"/>
    </xf>
    <xf numFmtId="177" fontId="5" fillId="0" borderId="42" xfId="3" quotePrefix="1" applyNumberFormat="1" applyFont="1" applyBorder="1" applyAlignment="1">
      <alignment vertical="top"/>
    </xf>
    <xf numFmtId="177" fontId="5" fillId="0" borderId="45" xfId="3" quotePrefix="1" applyNumberFormat="1" applyFont="1" applyBorder="1" applyAlignment="1">
      <alignment vertical="top"/>
    </xf>
    <xf numFmtId="0" fontId="9" fillId="0" borderId="44" xfId="3" applyFont="1" applyBorder="1" applyAlignment="1">
      <alignment vertical="top"/>
    </xf>
    <xf numFmtId="177" fontId="5" fillId="15" borderId="42" xfId="3" quotePrefix="1" applyNumberFormat="1" applyFont="1" applyFill="1" applyBorder="1" applyAlignment="1">
      <alignment vertical="top"/>
    </xf>
    <xf numFmtId="177" fontId="5" fillId="15" borderId="45" xfId="3" quotePrefix="1" applyNumberFormat="1" applyFont="1" applyFill="1" applyBorder="1" applyAlignment="1">
      <alignment vertical="top"/>
    </xf>
    <xf numFmtId="177" fontId="5" fillId="15" borderId="51" xfId="3" quotePrefix="1" applyNumberFormat="1" applyFont="1" applyFill="1" applyBorder="1" applyAlignment="1">
      <alignment vertical="top"/>
    </xf>
    <xf numFmtId="177" fontId="5" fillId="15" borderId="53" xfId="3" quotePrefix="1" applyNumberFormat="1" applyFont="1" applyFill="1" applyBorder="1" applyAlignment="1">
      <alignment vertical="top"/>
    </xf>
    <xf numFmtId="0" fontId="19" fillId="14" borderId="217" xfId="3" applyFont="1" applyFill="1" applyBorder="1" applyAlignment="1">
      <alignment vertical="center" wrapText="1"/>
    </xf>
    <xf numFmtId="0" fontId="19" fillId="14" borderId="28" xfId="3" applyFont="1" applyFill="1" applyBorder="1" applyAlignment="1">
      <alignment vertical="center" wrapText="1"/>
    </xf>
    <xf numFmtId="0" fontId="19" fillId="14" borderId="218" xfId="3" applyFont="1" applyFill="1" applyBorder="1" applyAlignment="1">
      <alignment vertical="center" wrapText="1"/>
    </xf>
    <xf numFmtId="178" fontId="13" fillId="4" borderId="219" xfId="3" applyNumberFormat="1" applyFont="1" applyFill="1" applyBorder="1" applyAlignment="1">
      <alignment horizontal="right" vertical="center" wrapText="1"/>
    </xf>
    <xf numFmtId="178" fontId="5" fillId="3" borderId="38" xfId="3" applyNumberFormat="1" applyFont="1" applyFill="1" applyBorder="1" applyAlignment="1">
      <alignment horizontal="right" vertical="center" wrapText="1"/>
    </xf>
    <xf numFmtId="178" fontId="13" fillId="4" borderId="38" xfId="3" applyNumberFormat="1" applyFont="1" applyFill="1" applyBorder="1" applyAlignment="1">
      <alignment horizontal="right" vertical="center" wrapText="1"/>
    </xf>
    <xf numFmtId="178" fontId="13" fillId="4" borderId="220" xfId="3" applyNumberFormat="1" applyFont="1" applyFill="1" applyBorder="1" applyAlignment="1">
      <alignment horizontal="right" vertical="center" wrapText="1"/>
    </xf>
    <xf numFmtId="0" fontId="15" fillId="14" borderId="55" xfId="3" applyFont="1" applyFill="1" applyBorder="1" applyAlignment="1">
      <alignment vertical="top"/>
    </xf>
    <xf numFmtId="0" fontId="5" fillId="17" borderId="47" xfId="3" applyFont="1" applyFill="1" applyBorder="1" applyAlignment="1">
      <alignment horizontal="center" vertical="top"/>
    </xf>
    <xf numFmtId="177" fontId="5" fillId="0" borderId="41" xfId="3" quotePrefix="1" applyNumberFormat="1" applyFont="1" applyBorder="1">
      <alignment vertical="center"/>
    </xf>
    <xf numFmtId="177" fontId="5" fillId="0" borderId="42" xfId="3" quotePrefix="1" applyNumberFormat="1" applyFont="1" applyBorder="1">
      <alignment vertical="center"/>
    </xf>
    <xf numFmtId="0" fontId="5" fillId="0" borderId="38" xfId="3" applyFont="1" applyBorder="1" applyAlignment="1">
      <alignment horizontal="center" vertical="center"/>
    </xf>
    <xf numFmtId="177" fontId="5" fillId="0" borderId="38" xfId="3" quotePrefix="1" applyNumberFormat="1" applyFont="1" applyBorder="1" applyAlignment="1">
      <alignment horizontal="center" vertical="center"/>
    </xf>
    <xf numFmtId="0" fontId="5" fillId="0" borderId="54" xfId="3" applyFont="1" applyBorder="1" applyAlignment="1">
      <alignment horizontal="center" vertical="center"/>
    </xf>
    <xf numFmtId="177" fontId="5" fillId="14" borderId="41" xfId="3" quotePrefix="1" applyNumberFormat="1" applyFont="1" applyFill="1" applyBorder="1">
      <alignment vertical="center"/>
    </xf>
    <xf numFmtId="177" fontId="5" fillId="14" borderId="42" xfId="3" quotePrefix="1" applyNumberFormat="1" applyFont="1" applyFill="1" applyBorder="1">
      <alignment vertical="center"/>
    </xf>
    <xf numFmtId="0" fontId="5" fillId="19" borderId="43" xfId="3" applyFont="1" applyFill="1" applyBorder="1" applyAlignment="1">
      <alignment horizontal="center" vertical="center"/>
    </xf>
    <xf numFmtId="0" fontId="5" fillId="19" borderId="44" xfId="3" applyFont="1" applyFill="1" applyBorder="1" applyAlignment="1">
      <alignment vertical="top"/>
    </xf>
    <xf numFmtId="0" fontId="5" fillId="19" borderId="54" xfId="3" quotePrefix="1" applyFont="1" applyFill="1" applyBorder="1" applyAlignment="1">
      <alignment horizontal="center" vertical="center"/>
    </xf>
    <xf numFmtId="178" fontId="13" fillId="19" borderId="219" xfId="3" applyNumberFormat="1" applyFont="1" applyFill="1" applyBorder="1" applyAlignment="1">
      <alignment horizontal="right" vertical="center" wrapText="1"/>
    </xf>
    <xf numFmtId="178" fontId="5" fillId="19" borderId="38" xfId="3" applyNumberFormat="1" applyFont="1" applyFill="1" applyBorder="1" applyAlignment="1">
      <alignment horizontal="right" vertical="center" wrapText="1"/>
    </xf>
    <xf numFmtId="178" fontId="13" fillId="19" borderId="38" xfId="3" applyNumberFormat="1" applyFont="1" applyFill="1" applyBorder="1" applyAlignment="1">
      <alignment horizontal="right" vertical="center" wrapText="1"/>
    </xf>
    <xf numFmtId="178" fontId="13" fillId="19" borderId="220" xfId="3" applyNumberFormat="1" applyFont="1" applyFill="1" applyBorder="1" applyAlignment="1">
      <alignment horizontal="right" vertical="center" wrapText="1"/>
    </xf>
    <xf numFmtId="178" fontId="13" fillId="19" borderId="38" xfId="3" applyNumberFormat="1" applyFont="1" applyFill="1" applyBorder="1" applyAlignment="1">
      <alignment horizontal="right" vertical="top" wrapText="1"/>
    </xf>
    <xf numFmtId="177" fontId="5" fillId="0" borderId="56" xfId="3" quotePrefix="1" applyNumberFormat="1" applyFont="1" applyBorder="1" applyAlignment="1">
      <alignment vertical="top" wrapText="1"/>
    </xf>
    <xf numFmtId="177" fontId="5" fillId="0" borderId="57" xfId="3" quotePrefix="1" applyNumberFormat="1" applyFont="1" applyBorder="1" applyAlignment="1">
      <alignment vertical="top" wrapText="1"/>
    </xf>
    <xf numFmtId="177" fontId="5" fillId="0" borderId="45" xfId="3" quotePrefix="1" applyNumberFormat="1" applyFont="1" applyBorder="1" applyAlignment="1">
      <alignment horizontal="left" vertical="top"/>
    </xf>
    <xf numFmtId="177" fontId="5" fillId="0" borderId="42" xfId="3" quotePrefix="1" applyNumberFormat="1" applyFont="1" applyBorder="1" applyAlignment="1">
      <alignment horizontal="left" vertical="top"/>
    </xf>
    <xf numFmtId="178" fontId="13" fillId="4" borderId="38" xfId="3" applyNumberFormat="1" applyFont="1" applyFill="1" applyBorder="1" applyAlignment="1">
      <alignment horizontal="right" vertical="top" wrapText="1"/>
    </xf>
    <xf numFmtId="177" fontId="5" fillId="0" borderId="58" xfId="3" quotePrefix="1" applyNumberFormat="1" applyFont="1" applyBorder="1" applyAlignment="1">
      <alignment vertical="top" wrapText="1"/>
    </xf>
    <xf numFmtId="177" fontId="5" fillId="0" borderId="0" xfId="3" quotePrefix="1" applyNumberFormat="1" applyFont="1" applyAlignment="1">
      <alignment vertical="top" wrapText="1"/>
    </xf>
    <xf numFmtId="177" fontId="5" fillId="0" borderId="43" xfId="3" quotePrefix="1" applyNumberFormat="1" applyFont="1" applyBorder="1" applyAlignment="1">
      <alignment vertical="top"/>
    </xf>
    <xf numFmtId="0" fontId="5" fillId="17" borderId="60" xfId="3" applyFont="1" applyFill="1" applyBorder="1" applyAlignment="1">
      <alignment horizontal="center" vertical="top"/>
    </xf>
    <xf numFmtId="177" fontId="5" fillId="0" borderId="61" xfId="3" quotePrefix="1" applyNumberFormat="1" applyFont="1" applyBorder="1" applyAlignment="1">
      <alignment vertical="top" wrapText="1"/>
    </xf>
    <xf numFmtId="177" fontId="5" fillId="0" borderId="49" xfId="3" quotePrefix="1" applyNumberFormat="1" applyFont="1" applyBorder="1" applyAlignment="1">
      <alignment vertical="top" wrapText="1"/>
    </xf>
    <xf numFmtId="3" fontId="5" fillId="0" borderId="38" xfId="3" applyNumberFormat="1" applyFont="1" applyBorder="1" applyAlignment="1">
      <alignment horizontal="center" vertical="center"/>
    </xf>
    <xf numFmtId="0" fontId="5" fillId="0" borderId="58" xfId="3" applyFont="1" applyBorder="1">
      <alignment vertical="center"/>
    </xf>
    <xf numFmtId="177" fontId="5" fillId="0" borderId="34" xfId="3" quotePrefix="1" applyNumberFormat="1" applyFont="1" applyBorder="1" applyAlignment="1">
      <alignment horizontal="left" vertical="center"/>
    </xf>
    <xf numFmtId="177" fontId="5" fillId="0" borderId="42" xfId="3" quotePrefix="1" applyNumberFormat="1" applyFont="1" applyBorder="1" applyAlignment="1">
      <alignment horizontal="left" vertical="center"/>
    </xf>
    <xf numFmtId="177" fontId="5" fillId="0" borderId="38" xfId="3" quotePrefix="1" applyNumberFormat="1" applyFont="1" applyBorder="1" applyAlignment="1">
      <alignment horizontal="left" vertical="center"/>
    </xf>
    <xf numFmtId="177" fontId="5" fillId="0" borderId="43" xfId="3" quotePrefix="1" applyNumberFormat="1" applyFont="1" applyBorder="1" applyAlignment="1">
      <alignment horizontal="left" vertical="center"/>
    </xf>
    <xf numFmtId="177" fontId="5" fillId="0" borderId="38" xfId="3" quotePrefix="1" applyNumberFormat="1" applyFont="1" applyBorder="1" applyAlignment="1">
      <alignment horizontal="left" vertical="top"/>
    </xf>
    <xf numFmtId="177" fontId="5" fillId="15" borderId="37" xfId="3" quotePrefix="1" applyNumberFormat="1" applyFont="1" applyFill="1" applyBorder="1" applyAlignment="1">
      <alignment horizontal="left" vertical="center"/>
    </xf>
    <xf numFmtId="177" fontId="5" fillId="15" borderId="34" xfId="3" quotePrefix="1" applyNumberFormat="1" applyFont="1" applyFill="1" applyBorder="1" applyAlignment="1">
      <alignment horizontal="left" vertical="center"/>
    </xf>
    <xf numFmtId="177" fontId="5" fillId="15" borderId="38" xfId="3" quotePrefix="1" applyNumberFormat="1" applyFont="1" applyFill="1" applyBorder="1" applyAlignment="1">
      <alignment horizontal="left" vertical="top"/>
    </xf>
    <xf numFmtId="177" fontId="5" fillId="15" borderId="42" xfId="3" quotePrefix="1" applyNumberFormat="1" applyFont="1" applyFill="1" applyBorder="1" applyAlignment="1">
      <alignment horizontal="left" vertical="top"/>
    </xf>
    <xf numFmtId="177" fontId="5" fillId="15" borderId="58" xfId="3" quotePrefix="1" applyNumberFormat="1" applyFont="1" applyFill="1" applyBorder="1" applyAlignment="1">
      <alignment vertical="top" wrapText="1"/>
    </xf>
    <xf numFmtId="177" fontId="5" fillId="15" borderId="38" xfId="3" quotePrefix="1" applyNumberFormat="1" applyFont="1" applyFill="1" applyBorder="1" applyAlignment="1">
      <alignment horizontal="left" vertical="center"/>
    </xf>
    <xf numFmtId="177" fontId="5" fillId="15" borderId="43" xfId="3" quotePrefix="1" applyNumberFormat="1" applyFont="1" applyFill="1" applyBorder="1" applyAlignment="1">
      <alignment horizontal="left" vertical="center"/>
    </xf>
    <xf numFmtId="177" fontId="5" fillId="15" borderId="0" xfId="3" quotePrefix="1" applyNumberFormat="1" applyFont="1" applyFill="1" applyAlignment="1">
      <alignment vertical="top" wrapText="1"/>
    </xf>
    <xf numFmtId="0" fontId="5" fillId="15" borderId="43" xfId="3" quotePrefix="1" applyFont="1" applyFill="1" applyBorder="1" applyAlignment="1">
      <alignment vertical="top"/>
    </xf>
    <xf numFmtId="0" fontId="5" fillId="15" borderId="42" xfId="3" quotePrefix="1" applyFont="1" applyFill="1" applyBorder="1" applyAlignment="1">
      <alignment vertical="top"/>
    </xf>
    <xf numFmtId="0" fontId="5" fillId="15" borderId="43" xfId="3" quotePrefix="1" applyFont="1" applyFill="1" applyBorder="1" applyAlignment="1">
      <alignment horizontal="left" vertical="top"/>
    </xf>
    <xf numFmtId="0" fontId="5" fillId="15" borderId="42" xfId="3" quotePrefix="1" applyFont="1" applyFill="1" applyBorder="1" applyAlignment="1">
      <alignment horizontal="left" vertical="top"/>
    </xf>
    <xf numFmtId="177" fontId="5" fillId="15" borderId="61" xfId="3" quotePrefix="1" applyNumberFormat="1" applyFont="1" applyFill="1" applyBorder="1" applyAlignment="1">
      <alignment vertical="top" wrapText="1"/>
    </xf>
    <xf numFmtId="0" fontId="5" fillId="15" borderId="38" xfId="3" quotePrefix="1" applyFont="1" applyFill="1" applyBorder="1" applyAlignment="1">
      <alignment horizontal="left" vertical="top"/>
    </xf>
    <xf numFmtId="3" fontId="5" fillId="3" borderId="38" xfId="3" applyNumberFormat="1" applyFont="1" applyFill="1" applyBorder="1" applyAlignment="1">
      <alignment horizontal="center" vertical="center"/>
    </xf>
    <xf numFmtId="178" fontId="13" fillId="19" borderId="221" xfId="3" applyNumberFormat="1" applyFont="1" applyFill="1" applyBorder="1" applyAlignment="1">
      <alignment horizontal="right" vertical="center" wrapText="1"/>
    </xf>
    <xf numFmtId="178" fontId="5" fillId="19" borderId="54" xfId="3" applyNumberFormat="1" applyFont="1" applyFill="1" applyBorder="1" applyAlignment="1">
      <alignment horizontal="right" vertical="center" wrapText="1"/>
    </xf>
    <xf numFmtId="178" fontId="13" fillId="19" borderId="54" xfId="3" applyNumberFormat="1" applyFont="1" applyFill="1" applyBorder="1" applyAlignment="1">
      <alignment horizontal="right" vertical="center" wrapText="1"/>
    </xf>
    <xf numFmtId="178" fontId="13" fillId="19" borderId="222" xfId="3" applyNumberFormat="1" applyFont="1" applyFill="1" applyBorder="1" applyAlignment="1">
      <alignment horizontal="right" vertical="center" wrapText="1"/>
    </xf>
    <xf numFmtId="3" fontId="5" fillId="4" borderId="54" xfId="3" applyNumberFormat="1" applyFont="1" applyFill="1" applyBorder="1">
      <alignment vertical="center"/>
    </xf>
    <xf numFmtId="0" fontId="5" fillId="17" borderId="116" xfId="3" applyFont="1" applyFill="1" applyBorder="1" applyAlignment="1">
      <alignment horizontal="center" vertical="top"/>
    </xf>
    <xf numFmtId="177" fontId="5" fillId="15" borderId="34" xfId="3" quotePrefix="1" applyNumberFormat="1" applyFont="1" applyFill="1" applyBorder="1">
      <alignment vertical="center"/>
    </xf>
    <xf numFmtId="177" fontId="5" fillId="15" borderId="49" xfId="3" quotePrefix="1" applyNumberFormat="1" applyFont="1" applyFill="1" applyBorder="1">
      <alignment vertical="center"/>
    </xf>
    <xf numFmtId="0" fontId="5" fillId="0" borderId="64" xfId="3" applyFont="1" applyBorder="1">
      <alignment vertical="center"/>
    </xf>
    <xf numFmtId="177" fontId="5" fillId="15" borderId="65" xfId="3" quotePrefix="1" applyNumberFormat="1" applyFont="1" applyFill="1" applyBorder="1">
      <alignment vertical="center"/>
    </xf>
    <xf numFmtId="177" fontId="5" fillId="15" borderId="0" xfId="3" quotePrefix="1" applyNumberFormat="1" applyFont="1" applyFill="1">
      <alignment vertical="center"/>
    </xf>
    <xf numFmtId="3" fontId="5" fillId="3" borderId="54" xfId="3" applyNumberFormat="1" applyFont="1" applyFill="1" applyBorder="1" applyAlignment="1">
      <alignment horizontal="center" vertical="center"/>
    </xf>
    <xf numFmtId="178" fontId="5" fillId="4" borderId="219" xfId="3" applyNumberFormat="1" applyFont="1" applyFill="1" applyBorder="1" applyAlignment="1">
      <alignment horizontal="right" vertical="center" wrapText="1"/>
    </xf>
    <xf numFmtId="178" fontId="5" fillId="0" borderId="38" xfId="3" applyNumberFormat="1" applyFont="1" applyBorder="1" applyAlignment="1">
      <alignment horizontal="right" vertical="center" wrapText="1"/>
    </xf>
    <xf numFmtId="178" fontId="5" fillId="4" borderId="38" xfId="3" applyNumberFormat="1" applyFont="1" applyFill="1" applyBorder="1" applyAlignment="1">
      <alignment horizontal="right" vertical="center" wrapText="1"/>
    </xf>
    <xf numFmtId="178" fontId="5" fillId="4" borderId="220" xfId="3" applyNumberFormat="1" applyFont="1" applyFill="1" applyBorder="1" applyAlignment="1">
      <alignment horizontal="right" vertical="center" wrapText="1"/>
    </xf>
    <xf numFmtId="3" fontId="5" fillId="3" borderId="221" xfId="3" applyNumberFormat="1" applyFont="1" applyFill="1" applyBorder="1" applyAlignment="1">
      <alignment horizontal="center" vertical="center"/>
    </xf>
    <xf numFmtId="0" fontId="5" fillId="17" borderId="63" xfId="3" applyFont="1" applyFill="1" applyBorder="1" applyAlignment="1">
      <alignment horizontal="center" vertical="top"/>
    </xf>
    <xf numFmtId="177" fontId="5" fillId="15" borderId="254" xfId="3" quotePrefix="1" applyNumberFormat="1" applyFont="1" applyFill="1" applyBorder="1" applyAlignment="1">
      <alignment vertical="top" wrapText="1"/>
    </xf>
    <xf numFmtId="177" fontId="5" fillId="15" borderId="67" xfId="3" quotePrefix="1" applyNumberFormat="1" applyFont="1" applyFill="1" applyBorder="1" applyAlignment="1">
      <alignment vertical="top"/>
    </xf>
    <xf numFmtId="3" fontId="5" fillId="3" borderId="68" xfId="3" applyNumberFormat="1" applyFont="1" applyFill="1" applyBorder="1" applyAlignment="1">
      <alignment horizontal="center" vertical="center"/>
    </xf>
    <xf numFmtId="0" fontId="5" fillId="0" borderId="69" xfId="3" applyFont="1" applyBorder="1" applyAlignment="1">
      <alignment vertical="top"/>
    </xf>
    <xf numFmtId="177" fontId="5" fillId="15" borderId="70" xfId="3" quotePrefix="1" applyNumberFormat="1" applyFont="1" applyFill="1" applyBorder="1" applyAlignment="1">
      <alignment vertical="top" wrapText="1"/>
    </xf>
    <xf numFmtId="177" fontId="5" fillId="0" borderId="68" xfId="3" quotePrefix="1" applyNumberFormat="1" applyFont="1" applyBorder="1" applyAlignment="1">
      <alignment vertical="top"/>
    </xf>
    <xf numFmtId="177" fontId="5" fillId="0" borderId="71" xfId="3" quotePrefix="1" applyNumberFormat="1" applyFont="1" applyBorder="1" applyAlignment="1">
      <alignment vertical="top"/>
    </xf>
    <xf numFmtId="3" fontId="5" fillId="3" borderId="72" xfId="3" applyNumberFormat="1" applyFont="1" applyFill="1" applyBorder="1" applyAlignment="1">
      <alignment horizontal="center" vertical="center"/>
    </xf>
    <xf numFmtId="178" fontId="13" fillId="4" borderId="223" xfId="3" applyNumberFormat="1" applyFont="1" applyFill="1" applyBorder="1" applyAlignment="1">
      <alignment horizontal="right" vertical="center" wrapText="1"/>
    </xf>
    <xf numFmtId="178" fontId="5" fillId="3" borderId="73" xfId="3" applyNumberFormat="1" applyFont="1" applyFill="1" applyBorder="1" applyAlignment="1">
      <alignment horizontal="right" vertical="center" wrapText="1"/>
    </xf>
    <xf numFmtId="178" fontId="13" fillId="4" borderId="73" xfId="3" applyNumberFormat="1" applyFont="1" applyFill="1" applyBorder="1" applyAlignment="1">
      <alignment horizontal="right" vertical="center" wrapText="1"/>
    </xf>
    <xf numFmtId="178" fontId="13" fillId="4" borderId="224" xfId="3" applyNumberFormat="1" applyFont="1" applyFill="1" applyBorder="1" applyAlignment="1">
      <alignment horizontal="right" vertical="center" wrapText="1"/>
    </xf>
    <xf numFmtId="3" fontId="5" fillId="3" borderId="255" xfId="3" applyNumberFormat="1" applyFont="1" applyFill="1" applyBorder="1" applyAlignment="1">
      <alignment horizontal="center" vertical="center"/>
    </xf>
    <xf numFmtId="3" fontId="5" fillId="4" borderId="72" xfId="3" applyNumberFormat="1" applyFont="1" applyFill="1" applyBorder="1">
      <alignment vertical="center"/>
    </xf>
    <xf numFmtId="0" fontId="5" fillId="17" borderId="256" xfId="3" applyFont="1" applyFill="1" applyBorder="1" applyAlignment="1">
      <alignment horizontal="center" vertical="top"/>
    </xf>
    <xf numFmtId="0" fontId="5" fillId="3" borderId="170" xfId="3" applyFont="1" applyFill="1" applyBorder="1" applyAlignment="1">
      <alignment horizontal="center" vertical="top" wrapText="1"/>
    </xf>
    <xf numFmtId="0" fontId="19" fillId="11" borderId="169" xfId="3" applyFont="1" applyFill="1" applyBorder="1" applyAlignment="1">
      <alignment horizontal="left" vertical="center"/>
    </xf>
    <xf numFmtId="0" fontId="15" fillId="11" borderId="22" xfId="3" applyFont="1" applyFill="1" applyBorder="1" applyAlignment="1">
      <alignment horizontal="left" vertical="center"/>
    </xf>
    <xf numFmtId="0" fontId="15" fillId="12" borderId="22" xfId="3" applyFont="1" applyFill="1" applyBorder="1" applyAlignment="1">
      <alignment horizontal="center" vertical="center"/>
    </xf>
    <xf numFmtId="0" fontId="19" fillId="11" borderId="75" xfId="3" applyFont="1" applyFill="1" applyBorder="1" applyAlignment="1">
      <alignment horizontal="left" vertical="top"/>
    </xf>
    <xf numFmtId="0" fontId="15" fillId="11" borderId="22" xfId="3" applyFont="1" applyFill="1" applyBorder="1" applyAlignment="1">
      <alignment horizontal="left" vertical="top"/>
    </xf>
    <xf numFmtId="0" fontId="10" fillId="12" borderId="225" xfId="3" applyFont="1" applyFill="1" applyBorder="1" applyAlignment="1">
      <alignment vertical="center" wrapText="1"/>
    </xf>
    <xf numFmtId="0" fontId="10" fillId="12" borderId="22" xfId="3" applyFont="1" applyFill="1" applyBorder="1" applyAlignment="1">
      <alignment vertical="center" wrapText="1"/>
    </xf>
    <xf numFmtId="0" fontId="10" fillId="12" borderId="226" xfId="3" applyFont="1" applyFill="1" applyBorder="1" applyAlignment="1">
      <alignment vertical="center" wrapText="1"/>
    </xf>
    <xf numFmtId="0" fontId="10" fillId="12" borderId="225" xfId="3" applyFont="1" applyFill="1" applyBorder="1" applyAlignment="1">
      <alignment horizontal="center" vertical="center"/>
    </xf>
    <xf numFmtId="0" fontId="10" fillId="12" borderId="22" xfId="3" applyFont="1" applyFill="1" applyBorder="1" applyAlignment="1">
      <alignment horizontal="center" vertical="center"/>
    </xf>
    <xf numFmtId="177" fontId="5" fillId="0" borderId="77" xfId="3" quotePrefix="1" applyNumberFormat="1" applyFont="1" applyBorder="1" applyAlignment="1">
      <alignment horizontal="center" vertical="center"/>
    </xf>
    <xf numFmtId="0" fontId="5" fillId="3" borderId="35" xfId="3" applyFont="1" applyFill="1" applyBorder="1">
      <alignment vertical="center"/>
    </xf>
    <xf numFmtId="177" fontId="5" fillId="0" borderId="33" xfId="3" quotePrefix="1" applyNumberFormat="1" applyFont="1" applyBorder="1" applyAlignment="1">
      <alignment vertical="top"/>
    </xf>
    <xf numFmtId="177" fontId="5" fillId="0" borderId="78" xfId="3" quotePrefix="1" applyNumberFormat="1" applyFont="1" applyBorder="1" applyAlignment="1">
      <alignment horizontal="center" vertical="center"/>
    </xf>
    <xf numFmtId="3" fontId="13" fillId="4" borderId="219" xfId="3" applyNumberFormat="1" applyFont="1" applyFill="1" applyBorder="1" applyAlignment="1">
      <alignment horizontal="right" vertical="center" wrapText="1"/>
    </xf>
    <xf numFmtId="181" fontId="5" fillId="3" borderId="78" xfId="3" applyNumberFormat="1" applyFont="1" applyFill="1" applyBorder="1" applyAlignment="1">
      <alignment horizontal="right" vertical="center" wrapText="1"/>
    </xf>
    <xf numFmtId="3" fontId="13" fillId="4" borderId="38" xfId="3" applyNumberFormat="1" applyFont="1" applyFill="1" applyBorder="1" applyAlignment="1">
      <alignment horizontal="right" vertical="center" wrapText="1"/>
    </xf>
    <xf numFmtId="181" fontId="5" fillId="3" borderId="78" xfId="3" applyNumberFormat="1" applyFont="1" applyFill="1" applyBorder="1" applyAlignment="1">
      <alignment vertical="center" wrapText="1"/>
    </xf>
    <xf numFmtId="3" fontId="13" fillId="4" borderId="220" xfId="3" applyNumberFormat="1" applyFont="1" applyFill="1" applyBorder="1" applyAlignment="1">
      <alignment vertical="center" wrapText="1"/>
    </xf>
    <xf numFmtId="3" fontId="13" fillId="4" borderId="219" xfId="3" applyNumberFormat="1" applyFont="1" applyFill="1" applyBorder="1" applyAlignment="1">
      <alignment vertical="center" wrapText="1"/>
    </xf>
    <xf numFmtId="0" fontId="5" fillId="17" borderId="117" xfId="3" applyFont="1" applyFill="1" applyBorder="1" applyAlignment="1">
      <alignment horizontal="center" vertical="center" wrapText="1"/>
    </xf>
    <xf numFmtId="0" fontId="5" fillId="42" borderId="170" xfId="3" applyFont="1" applyFill="1" applyBorder="1" applyAlignment="1">
      <alignment horizontal="center" vertical="top" wrapText="1"/>
    </xf>
    <xf numFmtId="177" fontId="5" fillId="15" borderId="38" xfId="3" quotePrefix="1" applyNumberFormat="1" applyFont="1" applyFill="1" applyBorder="1">
      <alignment vertical="center"/>
    </xf>
    <xf numFmtId="0" fontId="5" fillId="3" borderId="44" xfId="3" applyFont="1" applyFill="1" applyBorder="1">
      <alignment vertical="center"/>
    </xf>
    <xf numFmtId="0" fontId="5" fillId="3" borderId="43" xfId="3" applyFont="1" applyFill="1" applyBorder="1" applyAlignment="1">
      <alignment vertical="top"/>
    </xf>
    <xf numFmtId="0" fontId="5" fillId="3" borderId="45" xfId="3" applyFont="1" applyFill="1" applyBorder="1" applyAlignment="1">
      <alignment vertical="top"/>
    </xf>
    <xf numFmtId="180" fontId="5" fillId="3" borderId="38" xfId="3" applyNumberFormat="1" applyFont="1" applyFill="1" applyBorder="1" applyAlignment="1">
      <alignment horizontal="right" vertical="center" wrapText="1"/>
    </xf>
    <xf numFmtId="180" fontId="5" fillId="3" borderId="38" xfId="3" applyNumberFormat="1" applyFont="1" applyFill="1" applyBorder="1" applyAlignment="1">
      <alignment vertical="center" wrapText="1"/>
    </xf>
    <xf numFmtId="0" fontId="5" fillId="17" borderId="117" xfId="3" applyFont="1" applyFill="1" applyBorder="1" applyAlignment="1">
      <alignment horizontal="center" vertical="center"/>
    </xf>
    <xf numFmtId="177" fontId="5" fillId="15" borderId="172" xfId="3" quotePrefix="1" applyNumberFormat="1" applyFont="1" applyFill="1" applyBorder="1">
      <alignment vertical="center"/>
    </xf>
    <xf numFmtId="0" fontId="5" fillId="3" borderId="43" xfId="3" quotePrefix="1" applyFont="1" applyFill="1" applyBorder="1" applyAlignment="1">
      <alignment horizontal="center" vertical="center"/>
    </xf>
    <xf numFmtId="0" fontId="5" fillId="3" borderId="38" xfId="3" quotePrefix="1" applyFont="1" applyFill="1" applyBorder="1" applyAlignment="1">
      <alignment horizontal="center" vertical="center"/>
    </xf>
    <xf numFmtId="2" fontId="5" fillId="5" borderId="219" xfId="3" applyNumberFormat="1" applyFont="1" applyFill="1" applyBorder="1" applyAlignment="1">
      <alignment vertical="center" wrapText="1"/>
    </xf>
    <xf numFmtId="2" fontId="5" fillId="5" borderId="38" xfId="3" applyNumberFormat="1" applyFont="1" applyFill="1" applyBorder="1" applyAlignment="1">
      <alignment vertical="center" wrapText="1"/>
    </xf>
    <xf numFmtId="2" fontId="5" fillId="5" borderId="220" xfId="3" applyNumberFormat="1" applyFont="1" applyFill="1" applyBorder="1" applyAlignment="1">
      <alignment vertical="center" wrapText="1"/>
    </xf>
    <xf numFmtId="0" fontId="5" fillId="0" borderId="43" xfId="3" applyFont="1" applyBorder="1" applyAlignment="1">
      <alignment horizontal="center" vertical="center"/>
    </xf>
    <xf numFmtId="0" fontId="5" fillId="0" borderId="44" xfId="3" applyFont="1" applyBorder="1">
      <alignment vertical="center"/>
    </xf>
    <xf numFmtId="177" fontId="5" fillId="0" borderId="57" xfId="3" quotePrefix="1" applyNumberFormat="1" applyFont="1" applyBorder="1" applyAlignment="1">
      <alignment vertical="top"/>
    </xf>
    <xf numFmtId="0" fontId="5" fillId="3" borderId="38" xfId="3" applyFont="1" applyFill="1" applyBorder="1" applyAlignment="1">
      <alignment vertical="center" wrapText="1"/>
    </xf>
    <xf numFmtId="0" fontId="5" fillId="0" borderId="43" xfId="3" quotePrefix="1" applyFont="1" applyBorder="1" applyAlignment="1">
      <alignment horizontal="center" vertical="center"/>
    </xf>
    <xf numFmtId="0" fontId="5" fillId="0" borderId="37" xfId="3" applyFont="1" applyBorder="1">
      <alignment vertical="center"/>
    </xf>
    <xf numFmtId="177" fontId="5" fillId="0" borderId="80" xfId="3" quotePrefix="1" applyNumberFormat="1" applyFont="1" applyBorder="1" applyAlignment="1">
      <alignment vertical="top"/>
    </xf>
    <xf numFmtId="0" fontId="5" fillId="3" borderId="170" xfId="3" applyFont="1" applyFill="1" applyBorder="1" applyAlignment="1">
      <alignment vertical="top" wrapText="1"/>
    </xf>
    <xf numFmtId="177" fontId="5" fillId="0" borderId="172" xfId="3" quotePrefix="1" applyNumberFormat="1" applyFont="1" applyBorder="1">
      <alignment vertical="center"/>
    </xf>
    <xf numFmtId="0" fontId="5" fillId="0" borderId="38" xfId="3" applyFont="1" applyBorder="1">
      <alignment vertical="center"/>
    </xf>
    <xf numFmtId="3" fontId="5" fillId="3" borderId="38" xfId="3" applyNumberFormat="1" applyFont="1" applyFill="1" applyBorder="1" applyAlignment="1">
      <alignment vertical="center" wrapText="1"/>
    </xf>
    <xf numFmtId="0" fontId="5" fillId="0" borderId="172" xfId="3" applyFont="1" applyBorder="1" applyAlignment="1">
      <alignment vertical="top" wrapText="1"/>
    </xf>
    <xf numFmtId="177" fontId="5" fillId="0" borderId="81" xfId="3" quotePrefix="1" applyNumberFormat="1" applyFont="1" applyBorder="1" applyAlignment="1">
      <alignment vertical="top"/>
    </xf>
    <xf numFmtId="3" fontId="5" fillId="3" borderId="38" xfId="3" applyNumberFormat="1" applyFont="1" applyFill="1" applyBorder="1" applyAlignment="1">
      <alignment horizontal="right" vertical="center" wrapText="1"/>
    </xf>
    <xf numFmtId="177" fontId="5" fillId="0" borderId="174" xfId="3" quotePrefix="1" applyNumberFormat="1" applyFont="1" applyBorder="1">
      <alignment vertical="center"/>
    </xf>
    <xf numFmtId="177" fontId="5" fillId="0" borderId="43" xfId="3" quotePrefix="1" applyNumberFormat="1" applyFont="1" applyBorder="1">
      <alignment vertical="center"/>
    </xf>
    <xf numFmtId="177" fontId="5" fillId="0" borderId="82" xfId="3" quotePrefix="1" applyNumberFormat="1" applyFont="1" applyBorder="1" applyAlignment="1">
      <alignment vertical="top"/>
    </xf>
    <xf numFmtId="3" fontId="5" fillId="3" borderId="219" xfId="3" applyNumberFormat="1" applyFont="1" applyFill="1" applyBorder="1" applyAlignment="1">
      <alignment horizontal="center" vertical="top" wrapText="1"/>
    </xf>
    <xf numFmtId="177" fontId="5" fillId="0" borderId="176" xfId="3" quotePrefix="1" applyNumberFormat="1" applyFont="1" applyBorder="1">
      <alignment vertical="center"/>
    </xf>
    <xf numFmtId="177" fontId="5" fillId="0" borderId="49" xfId="3" quotePrefix="1" applyNumberFormat="1" applyFont="1" applyBorder="1" applyAlignment="1">
      <alignment vertical="top"/>
    </xf>
    <xf numFmtId="3" fontId="5" fillId="4" borderId="219" xfId="3" applyNumberFormat="1" applyFont="1" applyFill="1" applyBorder="1" applyAlignment="1">
      <alignment vertical="center" wrapText="1"/>
    </xf>
    <xf numFmtId="3" fontId="5" fillId="4" borderId="38" xfId="3" applyNumberFormat="1" applyFont="1" applyFill="1" applyBorder="1" applyAlignment="1">
      <alignment vertical="center" wrapText="1"/>
    </xf>
    <xf numFmtId="3" fontId="5" fillId="4" borderId="220" xfId="3" applyNumberFormat="1" applyFont="1" applyFill="1" applyBorder="1" applyAlignment="1">
      <alignment vertical="center" wrapText="1"/>
    </xf>
    <xf numFmtId="177" fontId="5" fillId="19" borderId="173" xfId="3" quotePrefix="1" applyNumberFormat="1" applyFont="1" applyFill="1" applyBorder="1">
      <alignment vertical="center"/>
    </xf>
    <xf numFmtId="177" fontId="5" fillId="19" borderId="82" xfId="3" quotePrefix="1" applyNumberFormat="1" applyFont="1" applyFill="1" applyBorder="1">
      <alignment vertical="center"/>
    </xf>
    <xf numFmtId="0" fontId="5" fillId="19" borderId="65" xfId="3" quotePrefix="1" applyFont="1" applyFill="1" applyBorder="1" applyAlignment="1">
      <alignment horizontal="center" vertical="center"/>
    </xf>
    <xf numFmtId="0" fontId="5" fillId="19" borderId="38" xfId="3" applyFont="1" applyFill="1" applyBorder="1">
      <alignment vertical="center"/>
    </xf>
    <xf numFmtId="177" fontId="5" fillId="19" borderId="57" xfId="3" quotePrefix="1" applyNumberFormat="1" applyFont="1" applyFill="1" applyBorder="1" applyAlignment="1">
      <alignment vertical="top"/>
    </xf>
    <xf numFmtId="177" fontId="5" fillId="19" borderId="42" xfId="3" quotePrefix="1" applyNumberFormat="1" applyFont="1" applyFill="1" applyBorder="1" applyAlignment="1">
      <alignment vertical="top"/>
    </xf>
    <xf numFmtId="177" fontId="5" fillId="19" borderId="45" xfId="3" quotePrefix="1" applyNumberFormat="1" applyFont="1" applyFill="1" applyBorder="1" applyAlignment="1">
      <alignment vertical="top"/>
    </xf>
    <xf numFmtId="0" fontId="5" fillId="19" borderId="38" xfId="3" quotePrefix="1" applyFont="1" applyFill="1" applyBorder="1" applyAlignment="1">
      <alignment horizontal="center" vertical="center"/>
    </xf>
    <xf numFmtId="3" fontId="13" fillId="19" borderId="219" xfId="3" applyNumberFormat="1" applyFont="1" applyFill="1" applyBorder="1" applyAlignment="1">
      <alignment horizontal="right" vertical="center" wrapText="1"/>
    </xf>
    <xf numFmtId="3" fontId="5" fillId="19" borderId="38" xfId="3" applyNumberFormat="1" applyFont="1" applyFill="1" applyBorder="1" applyAlignment="1">
      <alignment horizontal="right" vertical="center" wrapText="1"/>
    </xf>
    <xf numFmtId="3" fontId="13" fillId="19" borderId="38" xfId="3" applyNumberFormat="1" applyFont="1" applyFill="1" applyBorder="1" applyAlignment="1">
      <alignment horizontal="right" vertical="center" wrapText="1"/>
    </xf>
    <xf numFmtId="3" fontId="5" fillId="19" borderId="38" xfId="3" applyNumberFormat="1" applyFont="1" applyFill="1" applyBorder="1" applyAlignment="1">
      <alignment vertical="center" wrapText="1"/>
    </xf>
    <xf numFmtId="3" fontId="13" fillId="19" borderId="220" xfId="3" applyNumberFormat="1" applyFont="1" applyFill="1" applyBorder="1" applyAlignment="1">
      <alignment vertical="center" wrapText="1"/>
    </xf>
    <xf numFmtId="3" fontId="13" fillId="19" borderId="219" xfId="3" applyNumberFormat="1" applyFont="1" applyFill="1" applyBorder="1" applyAlignment="1">
      <alignment vertical="center" wrapText="1"/>
    </xf>
    <xf numFmtId="3" fontId="13" fillId="19" borderId="38" xfId="3" applyNumberFormat="1" applyFont="1" applyFill="1" applyBorder="1" applyAlignment="1">
      <alignment vertical="center" wrapText="1"/>
    </xf>
    <xf numFmtId="177" fontId="5" fillId="0" borderId="173" xfId="3" quotePrefix="1" applyNumberFormat="1" applyFont="1" applyBorder="1">
      <alignment vertical="center"/>
    </xf>
    <xf numFmtId="177" fontId="5" fillId="0" borderId="159" xfId="3" quotePrefix="1" applyNumberFormat="1" applyFont="1" applyBorder="1">
      <alignment vertical="center"/>
    </xf>
    <xf numFmtId="177" fontId="5" fillId="0" borderId="64" xfId="3" quotePrefix="1" applyNumberFormat="1" applyFont="1" applyBorder="1" applyAlignment="1">
      <alignment vertical="top"/>
    </xf>
    <xf numFmtId="177" fontId="5" fillId="0" borderId="27" xfId="3" quotePrefix="1" applyNumberFormat="1" applyFont="1" applyBorder="1">
      <alignment vertical="center"/>
    </xf>
    <xf numFmtId="177" fontId="5" fillId="0" borderId="67" xfId="3" quotePrefix="1" applyNumberFormat="1" applyFont="1" applyBorder="1">
      <alignment vertical="center"/>
    </xf>
    <xf numFmtId="177" fontId="5" fillId="0" borderId="51" xfId="3" quotePrefix="1" applyNumberFormat="1" applyFont="1" applyBorder="1">
      <alignment vertical="center"/>
    </xf>
    <xf numFmtId="177" fontId="5" fillId="0" borderId="75" xfId="3" quotePrefix="1" applyNumberFormat="1" applyFont="1" applyBorder="1" applyAlignment="1">
      <alignment vertical="top"/>
    </xf>
    <xf numFmtId="177" fontId="5" fillId="0" borderId="70" xfId="3" quotePrefix="1" applyNumberFormat="1" applyFont="1" applyBorder="1" applyAlignment="1">
      <alignment vertical="top"/>
    </xf>
    <xf numFmtId="177" fontId="5" fillId="0" borderId="67" xfId="3" quotePrefix="1" applyNumberFormat="1" applyFont="1" applyBorder="1" applyAlignment="1">
      <alignment vertical="top"/>
    </xf>
    <xf numFmtId="0" fontId="9" fillId="14" borderId="29" xfId="3" applyFont="1" applyFill="1" applyBorder="1" applyAlignment="1">
      <alignment horizontal="center" vertical="center"/>
    </xf>
    <xf numFmtId="177" fontId="5" fillId="0" borderId="35" xfId="3" quotePrefix="1" applyNumberFormat="1" applyFont="1" applyBorder="1" applyAlignment="1">
      <alignment vertical="top"/>
    </xf>
    <xf numFmtId="3" fontId="20" fillId="5" borderId="227" xfId="3" applyNumberFormat="1" applyFont="1" applyFill="1" applyBorder="1" applyAlignment="1">
      <alignment vertical="center" wrapText="1"/>
    </xf>
    <xf numFmtId="3" fontId="20" fillId="0" borderId="78" xfId="3" applyNumberFormat="1" applyFont="1" applyBorder="1" applyAlignment="1">
      <alignment vertical="center" wrapText="1"/>
    </xf>
    <xf numFmtId="3" fontId="20" fillId="5" borderId="78" xfId="3" applyNumberFormat="1" applyFont="1" applyFill="1" applyBorder="1" applyAlignment="1">
      <alignment vertical="center" wrapText="1"/>
    </xf>
    <xf numFmtId="3" fontId="20" fillId="5" borderId="228" xfId="3" applyNumberFormat="1" applyFont="1" applyFill="1" applyBorder="1" applyAlignment="1">
      <alignment vertical="center" wrapText="1"/>
    </xf>
    <xf numFmtId="3" fontId="20" fillId="3" borderId="78" xfId="3" applyNumberFormat="1" applyFont="1" applyFill="1" applyBorder="1" applyAlignment="1">
      <alignment vertical="center" wrapText="1"/>
    </xf>
    <xf numFmtId="3" fontId="13" fillId="4" borderId="230" xfId="3" applyNumberFormat="1" applyFont="1" applyFill="1" applyBorder="1" applyAlignment="1">
      <alignment vertical="top" wrapText="1"/>
    </xf>
    <xf numFmtId="0" fontId="5" fillId="17" borderId="117" xfId="3" applyFont="1" applyFill="1" applyBorder="1" applyAlignment="1">
      <alignment horizontal="center" vertical="top" wrapText="1"/>
    </xf>
    <xf numFmtId="177" fontId="5" fillId="15" borderId="174" xfId="3" quotePrefix="1" applyNumberFormat="1" applyFont="1" applyFill="1" applyBorder="1">
      <alignment vertical="center"/>
    </xf>
    <xf numFmtId="177" fontId="5" fillId="0" borderId="44" xfId="3" quotePrefix="1" applyNumberFormat="1" applyFont="1" applyBorder="1" applyAlignment="1">
      <alignment vertical="top"/>
    </xf>
    <xf numFmtId="3" fontId="13" fillId="4" borderId="229" xfId="3" applyNumberFormat="1" applyFont="1" applyFill="1" applyBorder="1" applyAlignment="1">
      <alignment vertical="center" wrapText="1"/>
    </xf>
    <xf numFmtId="0" fontId="5" fillId="0" borderId="37" xfId="3" applyFont="1" applyBorder="1" applyAlignment="1">
      <alignment vertical="center" wrapText="1"/>
    </xf>
    <xf numFmtId="3" fontId="13" fillId="4" borderId="37" xfId="3" applyNumberFormat="1" applyFont="1" applyFill="1" applyBorder="1" applyAlignment="1">
      <alignment vertical="center" wrapText="1"/>
    </xf>
    <xf numFmtId="3" fontId="13" fillId="4" borderId="230" xfId="3" applyNumberFormat="1" applyFont="1" applyFill="1" applyBorder="1" applyAlignment="1">
      <alignment vertical="center" wrapText="1"/>
    </xf>
    <xf numFmtId="177" fontId="5" fillId="15" borderId="176" xfId="3" quotePrefix="1" applyNumberFormat="1" applyFont="1" applyFill="1" applyBorder="1">
      <alignment vertical="center"/>
    </xf>
    <xf numFmtId="177" fontId="5" fillId="0" borderId="34" xfId="3" quotePrefix="1" applyNumberFormat="1" applyFont="1" applyBorder="1" applyAlignment="1">
      <alignment vertical="top"/>
    </xf>
    <xf numFmtId="177" fontId="5" fillId="15" borderId="44" xfId="3" quotePrefix="1" applyNumberFormat="1" applyFont="1" applyFill="1" applyBorder="1" applyAlignment="1">
      <alignment vertical="top"/>
    </xf>
    <xf numFmtId="0" fontId="5" fillId="17" borderId="60" xfId="3" applyFont="1" applyFill="1" applyBorder="1" applyAlignment="1">
      <alignment horizontal="center" vertical="top" wrapText="1"/>
    </xf>
    <xf numFmtId="0" fontId="5" fillId="0" borderId="57" xfId="3" applyFont="1" applyBorder="1" applyAlignment="1">
      <alignment vertical="top"/>
    </xf>
    <xf numFmtId="177" fontId="5" fillId="15" borderId="43" xfId="3" quotePrefix="1" applyNumberFormat="1" applyFont="1" applyFill="1" applyBorder="1" applyAlignment="1">
      <alignment vertical="top"/>
    </xf>
    <xf numFmtId="0" fontId="5" fillId="0" borderId="64" xfId="3" applyFont="1" applyBorder="1" applyAlignment="1">
      <alignment vertical="top"/>
    </xf>
    <xf numFmtId="3" fontId="20" fillId="5" borderId="219" xfId="3" applyNumberFormat="1" applyFont="1" applyFill="1" applyBorder="1" applyAlignment="1">
      <alignment vertical="center" wrapText="1"/>
    </xf>
    <xf numFmtId="3" fontId="20" fillId="5" borderId="38" xfId="3" applyNumberFormat="1" applyFont="1" applyFill="1" applyBorder="1" applyAlignment="1">
      <alignment vertical="center" wrapText="1"/>
    </xf>
    <xf numFmtId="3" fontId="20" fillId="5" borderId="220" xfId="3" applyNumberFormat="1" applyFont="1" applyFill="1" applyBorder="1" applyAlignment="1">
      <alignment vertical="center" wrapText="1"/>
    </xf>
    <xf numFmtId="177" fontId="5" fillId="15" borderId="175" xfId="3" quotePrefix="1" applyNumberFormat="1" applyFont="1" applyFill="1" applyBorder="1" applyAlignment="1">
      <alignment vertical="top"/>
    </xf>
    <xf numFmtId="177" fontId="5" fillId="15" borderId="43" xfId="3" quotePrefix="1" applyNumberFormat="1" applyFont="1" applyFill="1" applyBorder="1">
      <alignment vertical="center"/>
    </xf>
    <xf numFmtId="0" fontId="5" fillId="0" borderId="42" xfId="3" applyFont="1" applyBorder="1" applyAlignment="1">
      <alignment vertical="top"/>
    </xf>
    <xf numFmtId="0" fontId="5" fillId="0" borderId="45" xfId="3" applyFont="1" applyBorder="1" applyAlignment="1">
      <alignment vertical="top"/>
    </xf>
    <xf numFmtId="3" fontId="21" fillId="28" borderId="219" xfId="3" applyNumberFormat="1" applyFont="1" applyFill="1" applyBorder="1" applyAlignment="1">
      <alignment vertical="center" wrapText="1"/>
    </xf>
    <xf numFmtId="3" fontId="21" fillId="28" borderId="38" xfId="3" applyNumberFormat="1" applyFont="1" applyFill="1" applyBorder="1" applyAlignment="1">
      <alignment vertical="center" wrapText="1"/>
    </xf>
    <xf numFmtId="3" fontId="21" fillId="28" borderId="220" xfId="3" applyNumberFormat="1" applyFont="1" applyFill="1" applyBorder="1" applyAlignment="1">
      <alignment vertical="center" wrapText="1"/>
    </xf>
    <xf numFmtId="177" fontId="5" fillId="15" borderId="174" xfId="3" quotePrefix="1" applyNumberFormat="1" applyFont="1" applyFill="1" applyBorder="1" applyAlignment="1">
      <alignment vertical="top"/>
    </xf>
    <xf numFmtId="177" fontId="5" fillId="15" borderId="176" xfId="3" quotePrefix="1" applyNumberFormat="1" applyFont="1" applyFill="1" applyBorder="1" applyAlignment="1">
      <alignment vertical="top"/>
    </xf>
    <xf numFmtId="0" fontId="5" fillId="0" borderId="38" xfId="3" quotePrefix="1" applyFont="1" applyBorder="1" applyAlignment="1">
      <alignment horizontal="center" vertical="center"/>
    </xf>
    <xf numFmtId="3" fontId="13" fillId="5" borderId="219" xfId="3" applyNumberFormat="1" applyFont="1" applyFill="1" applyBorder="1" applyAlignment="1">
      <alignment vertical="center" wrapText="1"/>
    </xf>
    <xf numFmtId="3" fontId="13" fillId="5" borderId="38" xfId="3" applyNumberFormat="1" applyFont="1" applyFill="1" applyBorder="1" applyAlignment="1">
      <alignment vertical="center" wrapText="1"/>
    </xf>
    <xf numFmtId="3" fontId="13" fillId="5" borderId="220" xfId="3" applyNumberFormat="1" applyFont="1" applyFill="1" applyBorder="1" applyAlignment="1">
      <alignment vertical="center" wrapText="1"/>
    </xf>
    <xf numFmtId="177" fontId="5" fillId="15" borderId="183" xfId="3" quotePrefix="1" applyNumberFormat="1" applyFont="1" applyFill="1" applyBorder="1">
      <alignment vertical="center"/>
    </xf>
    <xf numFmtId="0" fontId="5" fillId="0" borderId="80" xfId="3" applyFont="1" applyBorder="1" applyAlignment="1">
      <alignment vertical="top"/>
    </xf>
    <xf numFmtId="4" fontId="5" fillId="5" borderId="219" xfId="3" applyNumberFormat="1" applyFont="1" applyFill="1" applyBorder="1" applyAlignment="1">
      <alignment vertical="center" wrapText="1"/>
    </xf>
    <xf numFmtId="4" fontId="5" fillId="5" borderId="38" xfId="3" applyNumberFormat="1" applyFont="1" applyFill="1" applyBorder="1" applyAlignment="1">
      <alignment vertical="center" wrapText="1"/>
    </xf>
    <xf numFmtId="4" fontId="5" fillId="5" borderId="220" xfId="3" applyNumberFormat="1" applyFont="1" applyFill="1" applyBorder="1" applyAlignment="1">
      <alignment vertical="center" wrapText="1"/>
    </xf>
    <xf numFmtId="180" fontId="13" fillId="4" borderId="229" xfId="3" applyNumberFormat="1" applyFont="1" applyFill="1" applyBorder="1" applyAlignment="1">
      <alignment vertical="center" wrapText="1"/>
    </xf>
    <xf numFmtId="180" fontId="5" fillId="0" borderId="37" xfId="3" applyNumberFormat="1" applyFont="1" applyBorder="1" applyAlignment="1">
      <alignment vertical="center" wrapText="1"/>
    </xf>
    <xf numFmtId="180" fontId="13" fillId="4" borderId="37" xfId="3" applyNumberFormat="1" applyFont="1" applyFill="1" applyBorder="1" applyAlignment="1">
      <alignment vertical="center" wrapText="1"/>
    </xf>
    <xf numFmtId="180" fontId="13" fillId="4" borderId="230" xfId="3" applyNumberFormat="1" applyFont="1" applyFill="1" applyBorder="1" applyAlignment="1">
      <alignment vertical="center" wrapText="1"/>
    </xf>
    <xf numFmtId="180" fontId="13" fillId="4" borderId="219" xfId="3" applyNumberFormat="1" applyFont="1" applyFill="1" applyBorder="1" applyAlignment="1">
      <alignment vertical="center" wrapText="1"/>
    </xf>
    <xf numFmtId="180" fontId="13" fillId="4" borderId="38" xfId="3" applyNumberFormat="1" applyFont="1" applyFill="1" applyBorder="1" applyAlignment="1">
      <alignment vertical="center" wrapText="1"/>
    </xf>
    <xf numFmtId="180" fontId="13" fillId="4" borderId="220" xfId="3" applyNumberFormat="1" applyFont="1" applyFill="1" applyBorder="1" applyAlignment="1">
      <alignment vertical="center" wrapText="1"/>
    </xf>
    <xf numFmtId="3" fontId="26" fillId="5" borderId="219" xfId="3" quotePrefix="1" applyNumberFormat="1" applyFont="1" applyFill="1" applyBorder="1" applyAlignment="1">
      <alignment vertical="center" wrapText="1"/>
    </xf>
    <xf numFmtId="3" fontId="26" fillId="3" borderId="38" xfId="3" quotePrefix="1" applyNumberFormat="1" applyFont="1" applyFill="1" applyBorder="1" applyAlignment="1">
      <alignment vertical="center" wrapText="1"/>
    </xf>
    <xf numFmtId="3" fontId="26" fillId="5" borderId="38" xfId="3" quotePrefix="1" applyNumberFormat="1" applyFont="1" applyFill="1" applyBorder="1" applyAlignment="1">
      <alignment vertical="center" wrapText="1"/>
    </xf>
    <xf numFmtId="3" fontId="26" fillId="5" borderId="220" xfId="3" quotePrefix="1" applyNumberFormat="1" applyFont="1" applyFill="1" applyBorder="1" applyAlignment="1">
      <alignment vertical="center" wrapText="1"/>
    </xf>
    <xf numFmtId="3" fontId="26" fillId="5" borderId="219" xfId="3" applyNumberFormat="1" applyFont="1" applyFill="1" applyBorder="1" applyAlignment="1">
      <alignment vertical="center" wrapText="1"/>
    </xf>
    <xf numFmtId="3" fontId="26" fillId="5" borderId="38" xfId="3" applyNumberFormat="1" applyFont="1" applyFill="1" applyBorder="1" applyAlignment="1">
      <alignment vertical="center" wrapText="1"/>
    </xf>
    <xf numFmtId="177" fontId="5" fillId="0" borderId="38" xfId="3" quotePrefix="1" applyNumberFormat="1" applyFont="1" applyBorder="1" applyAlignment="1">
      <alignment vertical="top"/>
    </xf>
    <xf numFmtId="0" fontId="1" fillId="17" borderId="60" xfId="3" applyFill="1" applyBorder="1" applyAlignment="1">
      <alignment horizontal="center" vertical="top" wrapText="1"/>
    </xf>
    <xf numFmtId="0" fontId="5" fillId="0" borderId="37" xfId="3" applyFont="1" applyBorder="1" applyAlignment="1">
      <alignment vertical="top"/>
    </xf>
    <xf numFmtId="177" fontId="5" fillId="19" borderId="42" xfId="3" quotePrefix="1" applyNumberFormat="1" applyFont="1" applyFill="1" applyBorder="1" applyAlignment="1">
      <alignment horizontal="left" vertical="center"/>
    </xf>
    <xf numFmtId="177" fontId="5" fillId="19" borderId="54" xfId="3" quotePrefix="1" applyNumberFormat="1" applyFont="1" applyFill="1" applyBorder="1" applyAlignment="1">
      <alignment vertical="top"/>
    </xf>
    <xf numFmtId="177" fontId="5" fillId="19" borderId="43" xfId="3" quotePrefix="1" applyNumberFormat="1" applyFont="1" applyFill="1" applyBorder="1" applyAlignment="1">
      <alignment vertical="top"/>
    </xf>
    <xf numFmtId="177" fontId="5" fillId="19" borderId="45" xfId="3" quotePrefix="1" applyNumberFormat="1" applyFont="1" applyFill="1" applyBorder="1" applyAlignment="1">
      <alignment horizontal="left" vertical="top"/>
    </xf>
    <xf numFmtId="0" fontId="5" fillId="19" borderId="38" xfId="3" applyFont="1" applyFill="1" applyBorder="1" applyAlignment="1">
      <alignment vertical="center" wrapText="1"/>
    </xf>
    <xf numFmtId="177" fontId="5" fillId="0" borderId="54" xfId="3" quotePrefix="1" applyNumberFormat="1" applyFont="1" applyBorder="1" applyAlignment="1">
      <alignment vertical="top"/>
    </xf>
    <xf numFmtId="177" fontId="5" fillId="15" borderId="159" xfId="3" quotePrefix="1" applyNumberFormat="1" applyFont="1" applyFill="1" applyBorder="1">
      <alignment vertical="center"/>
    </xf>
    <xf numFmtId="177" fontId="5" fillId="15" borderId="42" xfId="3" quotePrefix="1" applyNumberFormat="1" applyFont="1" applyFill="1" applyBorder="1" applyAlignment="1">
      <alignment horizontal="left" vertical="center"/>
    </xf>
    <xf numFmtId="177" fontId="5" fillId="15" borderId="64" xfId="3" quotePrefix="1" applyNumberFormat="1" applyFont="1" applyFill="1" applyBorder="1" applyAlignment="1">
      <alignment vertical="top"/>
    </xf>
    <xf numFmtId="177" fontId="5" fillId="15" borderId="27" xfId="3" quotePrefix="1" applyNumberFormat="1" applyFont="1" applyFill="1" applyBorder="1">
      <alignment vertical="center"/>
    </xf>
    <xf numFmtId="177" fontId="5" fillId="0" borderId="67" xfId="3" quotePrefix="1" applyNumberFormat="1" applyFont="1" applyBorder="1" applyAlignment="1">
      <alignment horizontal="left" vertical="center"/>
    </xf>
    <xf numFmtId="0" fontId="5" fillId="3" borderId="52" xfId="3" quotePrefix="1" applyFont="1" applyFill="1" applyBorder="1" applyAlignment="1">
      <alignment horizontal="center" vertical="center"/>
    </xf>
    <xf numFmtId="177" fontId="5" fillId="15" borderId="75" xfId="3" quotePrefix="1" applyNumberFormat="1" applyFont="1" applyFill="1" applyBorder="1" applyAlignment="1">
      <alignment vertical="top"/>
    </xf>
    <xf numFmtId="177" fontId="5" fillId="15" borderId="70" xfId="3" quotePrefix="1" applyNumberFormat="1" applyFont="1" applyFill="1" applyBorder="1" applyAlignment="1">
      <alignment vertical="top"/>
    </xf>
    <xf numFmtId="177" fontId="5" fillId="0" borderId="53" xfId="3" quotePrefix="1" applyNumberFormat="1" applyFont="1" applyBorder="1" applyAlignment="1">
      <alignment horizontal="left" vertical="top"/>
    </xf>
    <xf numFmtId="0" fontId="5" fillId="3" borderId="54" xfId="3" quotePrefix="1" applyFont="1" applyFill="1" applyBorder="1" applyAlignment="1">
      <alignment horizontal="center" vertical="center"/>
    </xf>
    <xf numFmtId="0" fontId="5" fillId="3" borderId="54" xfId="3" applyFont="1" applyFill="1" applyBorder="1" applyAlignment="1">
      <alignment vertical="center" wrapText="1"/>
    </xf>
    <xf numFmtId="0" fontId="19" fillId="14" borderId="35" xfId="3" applyFont="1" applyFill="1" applyBorder="1" applyAlignment="1">
      <alignment vertical="top"/>
    </xf>
    <xf numFmtId="0" fontId="15" fillId="14" borderId="83" xfId="3" applyFont="1" applyFill="1" applyBorder="1" applyAlignment="1">
      <alignment vertical="top"/>
    </xf>
    <xf numFmtId="0" fontId="15" fillId="14" borderId="83" xfId="3" applyFont="1" applyFill="1" applyBorder="1" applyAlignment="1">
      <alignment horizontal="center" vertical="center"/>
    </xf>
    <xf numFmtId="0" fontId="5" fillId="3" borderId="35" xfId="3" applyFont="1" applyFill="1" applyBorder="1" applyAlignment="1">
      <alignment vertical="top"/>
    </xf>
    <xf numFmtId="0" fontId="5" fillId="3" borderId="33" xfId="3" applyFont="1" applyFill="1" applyBorder="1" applyAlignment="1">
      <alignment vertical="top"/>
    </xf>
    <xf numFmtId="177" fontId="5" fillId="15" borderId="78" xfId="3" quotePrefix="1" applyNumberFormat="1" applyFont="1" applyFill="1" applyBorder="1" applyAlignment="1">
      <alignment horizontal="center" vertical="center"/>
    </xf>
    <xf numFmtId="3" fontId="5" fillId="5" borderId="227" xfId="3" applyNumberFormat="1" applyFont="1" applyFill="1" applyBorder="1" applyAlignment="1">
      <alignment vertical="center" wrapText="1"/>
    </xf>
    <xf numFmtId="3" fontId="5" fillId="0" borderId="78" xfId="3" applyNumberFormat="1" applyFont="1" applyBorder="1" applyAlignment="1">
      <alignment vertical="center" wrapText="1"/>
    </xf>
    <xf numFmtId="3" fontId="5" fillId="5" borderId="78" xfId="3" applyNumberFormat="1" applyFont="1" applyFill="1" applyBorder="1" applyAlignment="1">
      <alignment vertical="center" wrapText="1"/>
    </xf>
    <xf numFmtId="3" fontId="5" fillId="5" borderId="228" xfId="3" applyNumberFormat="1" applyFont="1" applyFill="1" applyBorder="1" applyAlignment="1">
      <alignment vertical="center" wrapText="1"/>
    </xf>
    <xf numFmtId="0" fontId="5" fillId="3" borderId="174" xfId="3" applyFont="1" applyFill="1" applyBorder="1">
      <alignment vertical="center"/>
    </xf>
    <xf numFmtId="0" fontId="5" fillId="3" borderId="43" xfId="3" applyFont="1" applyFill="1" applyBorder="1" applyAlignment="1">
      <alignment vertical="top" wrapText="1"/>
    </xf>
    <xf numFmtId="0" fontId="5" fillId="3" borderId="80" xfId="3" applyFont="1" applyFill="1" applyBorder="1" applyAlignment="1">
      <alignment vertical="top" wrapText="1"/>
    </xf>
    <xf numFmtId="0" fontId="5" fillId="0" borderId="82" xfId="3" applyFont="1" applyBorder="1" applyAlignment="1">
      <alignment vertical="top"/>
    </xf>
    <xf numFmtId="0" fontId="5" fillId="3" borderId="80" xfId="3" applyFont="1" applyFill="1" applyBorder="1" applyAlignment="1">
      <alignment vertical="top"/>
    </xf>
    <xf numFmtId="0" fontId="5" fillId="3" borderId="183" xfId="3" applyFont="1" applyFill="1" applyBorder="1">
      <alignment vertical="center"/>
    </xf>
    <xf numFmtId="182" fontId="5" fillId="15" borderId="37" xfId="3" quotePrefix="1" applyNumberFormat="1" applyFont="1" applyFill="1" applyBorder="1" applyAlignment="1">
      <alignment vertical="center" wrapText="1"/>
    </xf>
    <xf numFmtId="0" fontId="5" fillId="3" borderId="176" xfId="3" applyFont="1" applyFill="1" applyBorder="1">
      <alignment vertical="center"/>
    </xf>
    <xf numFmtId="177" fontId="5" fillId="0" borderId="37" xfId="3" quotePrefix="1" applyNumberFormat="1" applyFont="1" applyBorder="1" applyAlignment="1">
      <alignment vertical="top"/>
    </xf>
    <xf numFmtId="0" fontId="5" fillId="3" borderId="170" xfId="3" applyFont="1" applyFill="1" applyBorder="1" applyAlignment="1">
      <alignment vertical="top"/>
    </xf>
    <xf numFmtId="177" fontId="5" fillId="29" borderId="43" xfId="3" quotePrefix="1" applyNumberFormat="1" applyFont="1" applyFill="1" applyBorder="1" applyAlignment="1">
      <alignment horizontal="center" vertical="center"/>
    </xf>
    <xf numFmtId="177" fontId="5" fillId="30" borderId="54" xfId="3" quotePrefix="1" applyNumberFormat="1" applyFont="1" applyFill="1" applyBorder="1" applyAlignment="1">
      <alignment vertical="top"/>
    </xf>
    <xf numFmtId="177" fontId="5" fillId="29" borderId="42" xfId="3" applyNumberFormat="1" applyFont="1" applyFill="1" applyBorder="1" applyAlignment="1">
      <alignment vertical="top"/>
    </xf>
    <xf numFmtId="177" fontId="5" fillId="29" borderId="45" xfId="3" applyNumberFormat="1" applyFont="1" applyFill="1" applyBorder="1" applyAlignment="1">
      <alignment horizontal="left" vertical="top"/>
    </xf>
    <xf numFmtId="3" fontId="5" fillId="5" borderId="219" xfId="3" applyNumberFormat="1" applyFont="1" applyFill="1" applyBorder="1" applyAlignment="1">
      <alignment vertical="center" wrapText="1"/>
    </xf>
    <xf numFmtId="3" fontId="5" fillId="5" borderId="45" xfId="3" applyNumberFormat="1" applyFont="1" applyFill="1" applyBorder="1" applyAlignment="1">
      <alignment vertical="center" wrapText="1"/>
    </xf>
    <xf numFmtId="3" fontId="5" fillId="5" borderId="233" xfId="3" applyNumberFormat="1" applyFont="1" applyFill="1" applyBorder="1" applyAlignment="1">
      <alignment vertical="center" wrapText="1"/>
    </xf>
    <xf numFmtId="0" fontId="5" fillId="17" borderId="60" xfId="3" applyFont="1" applyFill="1" applyBorder="1" applyAlignment="1">
      <alignment horizontal="center" vertical="center"/>
    </xf>
    <xf numFmtId="177" fontId="5" fillId="29" borderId="57" xfId="3" quotePrefix="1" applyNumberFormat="1" applyFont="1" applyFill="1" applyBorder="1" applyAlignment="1">
      <alignment vertical="top"/>
    </xf>
    <xf numFmtId="177" fontId="5" fillId="29" borderId="43" xfId="3" quotePrefix="1" applyNumberFormat="1" applyFont="1" applyFill="1" applyBorder="1" applyAlignment="1">
      <alignment vertical="top"/>
    </xf>
    <xf numFmtId="177" fontId="5" fillId="29" borderId="45" xfId="3" quotePrefix="1" applyNumberFormat="1" applyFont="1" applyFill="1" applyBorder="1" applyAlignment="1">
      <alignment vertical="top"/>
    </xf>
    <xf numFmtId="177" fontId="5" fillId="29" borderId="80" xfId="3" quotePrefix="1" applyNumberFormat="1" applyFont="1" applyFill="1" applyBorder="1" applyAlignment="1">
      <alignment vertical="top"/>
    </xf>
    <xf numFmtId="0" fontId="21" fillId="3" borderId="170" xfId="3" applyFont="1" applyFill="1" applyBorder="1" applyAlignment="1">
      <alignment vertical="top"/>
    </xf>
    <xf numFmtId="177" fontId="21" fillId="15" borderId="42" xfId="3" applyNumberFormat="1" applyFont="1" applyFill="1" applyBorder="1" applyAlignment="1">
      <alignment vertical="top"/>
    </xf>
    <xf numFmtId="177" fontId="21" fillId="15" borderId="45" xfId="3" applyNumberFormat="1" applyFont="1" applyFill="1" applyBorder="1" applyAlignment="1">
      <alignment vertical="top"/>
    </xf>
    <xf numFmtId="177" fontId="21" fillId="15" borderId="38" xfId="3" quotePrefix="1" applyNumberFormat="1" applyFont="1" applyFill="1" applyBorder="1" applyAlignment="1">
      <alignment horizontal="center" vertical="center"/>
    </xf>
    <xf numFmtId="3" fontId="29" fillId="4" borderId="219" xfId="3" applyNumberFormat="1" applyFont="1" applyFill="1" applyBorder="1" applyAlignment="1">
      <alignment vertical="center" wrapText="1"/>
    </xf>
    <xf numFmtId="0" fontId="21" fillId="3" borderId="38" xfId="3" applyFont="1" applyFill="1" applyBorder="1" applyAlignment="1">
      <alignment vertical="center" wrapText="1"/>
    </xf>
    <xf numFmtId="3" fontId="29" fillId="4" borderId="38" xfId="3" applyNumberFormat="1" applyFont="1" applyFill="1" applyBorder="1" applyAlignment="1">
      <alignment vertical="center" wrapText="1"/>
    </xf>
    <xf numFmtId="3" fontId="29" fillId="4" borderId="220" xfId="3" applyNumberFormat="1" applyFont="1" applyFill="1" applyBorder="1" applyAlignment="1">
      <alignment vertical="center" wrapText="1"/>
    </xf>
    <xf numFmtId="3" fontId="21" fillId="3" borderId="219" xfId="3" applyNumberFormat="1" applyFont="1" applyFill="1" applyBorder="1" applyAlignment="1">
      <alignment horizontal="center" vertical="center"/>
    </xf>
    <xf numFmtId="3" fontId="21" fillId="4" borderId="38" xfId="3" applyNumberFormat="1" applyFont="1" applyFill="1" applyBorder="1">
      <alignment vertical="center"/>
    </xf>
    <xf numFmtId="0" fontId="21" fillId="17" borderId="60" xfId="3" applyFont="1" applyFill="1" applyBorder="1" applyAlignment="1">
      <alignment horizontal="center" vertical="center"/>
    </xf>
    <xf numFmtId="0" fontId="30" fillId="3" borderId="0" xfId="3" applyFont="1" applyFill="1" applyAlignment="1">
      <alignment horizontal="center" vertical="center"/>
    </xf>
    <xf numFmtId="0" fontId="21" fillId="0" borderId="0" xfId="3" applyFont="1">
      <alignment vertical="center"/>
    </xf>
    <xf numFmtId="0" fontId="5" fillId="0" borderId="184" xfId="3" applyFont="1" applyBorder="1" applyAlignment="1">
      <alignment vertical="top"/>
    </xf>
    <xf numFmtId="0" fontId="5" fillId="0" borderId="38" xfId="3" applyFont="1" applyBorder="1" applyAlignment="1">
      <alignment vertical="center" wrapText="1"/>
    </xf>
    <xf numFmtId="0" fontId="9" fillId="3" borderId="38" xfId="3" applyFont="1" applyFill="1" applyBorder="1" applyAlignment="1">
      <alignment horizontal="center" vertical="center" wrapText="1"/>
    </xf>
    <xf numFmtId="0" fontId="5" fillId="0" borderId="38" xfId="3" applyFont="1" applyBorder="1" applyAlignment="1">
      <alignment horizontal="center" vertical="center" wrapText="1"/>
    </xf>
    <xf numFmtId="3" fontId="13" fillId="4" borderId="234" xfId="3" applyNumberFormat="1" applyFont="1" applyFill="1" applyBorder="1" applyAlignment="1">
      <alignment vertical="center" wrapText="1"/>
    </xf>
    <xf numFmtId="3" fontId="13" fillId="4" borderId="44" xfId="3" applyNumberFormat="1" applyFont="1" applyFill="1" applyBorder="1" applyAlignment="1">
      <alignment vertical="center" wrapText="1"/>
    </xf>
    <xf numFmtId="3" fontId="13" fillId="4" borderId="237" xfId="3" applyNumberFormat="1" applyFont="1" applyFill="1" applyBorder="1" applyAlignment="1">
      <alignment vertical="center" wrapText="1"/>
    </xf>
    <xf numFmtId="0" fontId="5" fillId="0" borderId="43" xfId="3" applyFont="1" applyBorder="1">
      <alignment vertical="center"/>
    </xf>
    <xf numFmtId="0" fontId="5" fillId="0" borderId="42" xfId="3" applyFont="1" applyBorder="1">
      <alignment vertical="center"/>
    </xf>
    <xf numFmtId="177" fontId="5" fillId="0" borderId="43" xfId="3" quotePrefix="1" applyNumberFormat="1" applyFont="1" applyBorder="1" applyAlignment="1">
      <alignment horizontal="center" vertical="center"/>
    </xf>
    <xf numFmtId="0" fontId="5" fillId="0" borderId="43" xfId="3" applyFont="1" applyBorder="1" applyAlignment="1">
      <alignment vertical="top"/>
    </xf>
    <xf numFmtId="3" fontId="13" fillId="4" borderId="221" xfId="3" applyNumberFormat="1" applyFont="1" applyFill="1" applyBorder="1" applyAlignment="1">
      <alignment vertical="center" wrapText="1"/>
    </xf>
    <xf numFmtId="3" fontId="13" fillId="4" borderId="54" xfId="3" applyNumberFormat="1" applyFont="1" applyFill="1" applyBorder="1" applyAlignment="1">
      <alignment vertical="center" wrapText="1"/>
    </xf>
    <xf numFmtId="3" fontId="13" fillId="4" borderId="222" xfId="3" applyNumberFormat="1" applyFont="1" applyFill="1" applyBorder="1" applyAlignment="1">
      <alignment vertical="center" wrapText="1"/>
    </xf>
    <xf numFmtId="177" fontId="5" fillId="0" borderId="175" xfId="3" quotePrefix="1" applyNumberFormat="1" applyFont="1" applyBorder="1">
      <alignment vertical="center"/>
    </xf>
    <xf numFmtId="0" fontId="5" fillId="0" borderId="185" xfId="3" applyFont="1" applyBorder="1" applyAlignment="1">
      <alignment vertical="top"/>
    </xf>
    <xf numFmtId="0" fontId="5" fillId="0" borderId="43" xfId="3" applyFont="1" applyBorder="1" applyAlignment="1">
      <alignment horizontal="left" vertical="center"/>
    </xf>
    <xf numFmtId="0" fontId="5" fillId="0" borderId="45" xfId="3" applyFont="1" applyBorder="1" applyAlignment="1">
      <alignment horizontal="left" vertical="top"/>
    </xf>
    <xf numFmtId="3" fontId="13" fillId="4" borderId="221" xfId="3" applyNumberFormat="1" applyFont="1" applyFill="1" applyBorder="1" applyAlignment="1">
      <alignment horizontal="right" vertical="center" wrapText="1"/>
    </xf>
    <xf numFmtId="0" fontId="5" fillId="0" borderId="38" xfId="3" applyFont="1" applyBorder="1" applyAlignment="1">
      <alignment horizontal="right" vertical="center" wrapText="1"/>
    </xf>
    <xf numFmtId="3" fontId="13" fillId="4" borderId="54" xfId="3" applyNumberFormat="1" applyFont="1" applyFill="1" applyBorder="1" applyAlignment="1">
      <alignment horizontal="right" vertical="center" wrapText="1"/>
    </xf>
    <xf numFmtId="3" fontId="13" fillId="4" borderId="222" xfId="3" applyNumberFormat="1" applyFont="1" applyFill="1" applyBorder="1" applyAlignment="1">
      <alignment horizontal="right" vertical="center" wrapText="1"/>
    </xf>
    <xf numFmtId="0" fontId="9" fillId="3" borderId="38" xfId="3" applyFont="1" applyFill="1" applyBorder="1" applyAlignment="1">
      <alignment horizontal="right" vertical="center" wrapText="1"/>
    </xf>
    <xf numFmtId="0" fontId="5" fillId="0" borderId="38" xfId="3" applyFont="1" applyBorder="1" applyAlignment="1">
      <alignment horizontal="left" vertical="center"/>
    </xf>
    <xf numFmtId="3" fontId="13" fillId="4" borderId="220" xfId="3" applyNumberFormat="1" applyFont="1" applyFill="1" applyBorder="1" applyAlignment="1">
      <alignment horizontal="right" vertical="center" wrapText="1"/>
    </xf>
    <xf numFmtId="3" fontId="13" fillId="4" borderId="234" xfId="3" applyNumberFormat="1" applyFont="1" applyFill="1" applyBorder="1" applyAlignment="1">
      <alignment horizontal="right" vertical="center" wrapText="1"/>
    </xf>
    <xf numFmtId="3" fontId="13" fillId="4" borderId="44" xfId="3" applyNumberFormat="1" applyFont="1" applyFill="1" applyBorder="1" applyAlignment="1">
      <alignment horizontal="right" vertical="center" wrapText="1"/>
    </xf>
    <xf numFmtId="3" fontId="13" fillId="4" borderId="237" xfId="3" applyNumberFormat="1" applyFont="1" applyFill="1" applyBorder="1" applyAlignment="1">
      <alignment horizontal="right" vertical="center" wrapText="1"/>
    </xf>
    <xf numFmtId="177" fontId="5" fillId="0" borderId="87" xfId="3" quotePrefix="1" applyNumberFormat="1" applyFont="1" applyBorder="1" applyAlignment="1">
      <alignment horizontal="center" vertical="center"/>
    </xf>
    <xf numFmtId="0" fontId="5" fillId="0" borderId="65" xfId="3" applyFont="1" applyBorder="1" applyAlignment="1">
      <alignment vertical="top"/>
    </xf>
    <xf numFmtId="177" fontId="5" fillId="0" borderId="54" xfId="3" quotePrefix="1" applyNumberFormat="1" applyFont="1" applyBorder="1" applyAlignment="1">
      <alignment horizontal="center" vertical="center"/>
    </xf>
    <xf numFmtId="3" fontId="29" fillId="4" borderId="219" xfId="3" applyNumberFormat="1" applyFont="1" applyFill="1" applyBorder="1" applyAlignment="1">
      <alignment horizontal="right" vertical="center" wrapText="1"/>
    </xf>
    <xf numFmtId="3" fontId="29" fillId="4" borderId="38" xfId="3" applyNumberFormat="1" applyFont="1" applyFill="1" applyBorder="1" applyAlignment="1">
      <alignment horizontal="right" vertical="center" wrapText="1"/>
    </xf>
    <xf numFmtId="3" fontId="29" fillId="4" borderId="220" xfId="3" applyNumberFormat="1" applyFont="1" applyFill="1" applyBorder="1" applyAlignment="1">
      <alignment horizontal="right" vertical="center" wrapText="1"/>
    </xf>
    <xf numFmtId="0" fontId="15" fillId="14" borderId="22" xfId="3" applyFont="1" applyFill="1" applyBorder="1" applyAlignment="1">
      <alignment horizontal="center" vertical="center"/>
    </xf>
    <xf numFmtId="0" fontId="19" fillId="14" borderId="28" xfId="3" applyFont="1" applyFill="1" applyBorder="1" applyAlignment="1">
      <alignment vertical="top"/>
    </xf>
    <xf numFmtId="0" fontId="19" fillId="14" borderId="231" xfId="3" applyFont="1" applyFill="1" applyBorder="1">
      <alignment vertical="center"/>
    </xf>
    <xf numFmtId="177" fontId="5" fillId="15" borderId="35" xfId="3" quotePrefix="1" applyNumberFormat="1" applyFont="1" applyFill="1" applyBorder="1" applyAlignment="1">
      <alignment vertical="top"/>
    </xf>
    <xf numFmtId="177" fontId="5" fillId="15" borderId="80" xfId="3" quotePrefix="1" applyNumberFormat="1" applyFont="1" applyFill="1" applyBorder="1" applyAlignment="1">
      <alignment horizontal="left" vertical="top"/>
    </xf>
    <xf numFmtId="178" fontId="5" fillId="28" borderId="227" xfId="3" applyNumberFormat="1" applyFont="1" applyFill="1" applyBorder="1" applyAlignment="1">
      <alignment vertical="center" wrapText="1"/>
    </xf>
    <xf numFmtId="178" fontId="5" fillId="0" borderId="78" xfId="3" applyNumberFormat="1" applyFont="1" applyBorder="1" applyAlignment="1">
      <alignment vertical="center" wrapText="1"/>
    </xf>
    <xf numFmtId="178" fontId="5" fillId="28" borderId="78" xfId="3" applyNumberFormat="1" applyFont="1" applyFill="1" applyBorder="1" applyAlignment="1">
      <alignment vertical="center" wrapText="1"/>
    </xf>
    <xf numFmtId="178" fontId="5" fillId="28" borderId="228" xfId="3" applyNumberFormat="1" applyFont="1" applyFill="1" applyBorder="1" applyAlignment="1">
      <alignment vertical="center" wrapText="1"/>
    </xf>
    <xf numFmtId="3" fontId="5" fillId="3" borderId="227" xfId="3" applyNumberFormat="1" applyFont="1" applyFill="1" applyBorder="1" applyAlignment="1">
      <alignment horizontal="center" vertical="top" wrapText="1"/>
    </xf>
    <xf numFmtId="0" fontId="5" fillId="4" borderId="36" xfId="3" applyFont="1" applyFill="1" applyBorder="1">
      <alignment vertical="center"/>
    </xf>
    <xf numFmtId="0" fontId="5" fillId="4" borderId="78" xfId="3" applyFont="1" applyFill="1" applyBorder="1">
      <alignment vertical="center"/>
    </xf>
    <xf numFmtId="0" fontId="5" fillId="0" borderId="44" xfId="3" applyFont="1" applyBorder="1" applyAlignment="1">
      <alignment horizontal="left" vertical="top"/>
    </xf>
    <xf numFmtId="177" fontId="5" fillId="15" borderId="43" xfId="3" quotePrefix="1" applyNumberFormat="1" applyFont="1" applyFill="1" applyBorder="1" applyAlignment="1">
      <alignment horizontal="left" vertical="top"/>
    </xf>
    <xf numFmtId="177" fontId="5" fillId="15" borderId="45" xfId="3" quotePrefix="1" applyNumberFormat="1" applyFont="1" applyFill="1" applyBorder="1" applyAlignment="1">
      <alignment horizontal="left" vertical="top"/>
    </xf>
    <xf numFmtId="178" fontId="13" fillId="4" borderId="219" xfId="3" applyNumberFormat="1" applyFont="1" applyFill="1" applyBorder="1" applyAlignment="1">
      <alignment vertical="center" wrapText="1"/>
    </xf>
    <xf numFmtId="178" fontId="5" fillId="3" borderId="38" xfId="3" applyNumberFormat="1" applyFont="1" applyFill="1" applyBorder="1" applyAlignment="1">
      <alignment vertical="center" wrapText="1"/>
    </xf>
    <xf numFmtId="178" fontId="13" fillId="4" borderId="38" xfId="3" applyNumberFormat="1" applyFont="1" applyFill="1" applyBorder="1" applyAlignment="1">
      <alignment vertical="center" wrapText="1"/>
    </xf>
    <xf numFmtId="178" fontId="13" fillId="4" borderId="220" xfId="3" applyNumberFormat="1" applyFont="1" applyFill="1" applyBorder="1" applyAlignment="1">
      <alignment vertical="center" wrapText="1"/>
    </xf>
    <xf numFmtId="3" fontId="5" fillId="3" borderId="229" xfId="3" applyNumberFormat="1" applyFont="1" applyFill="1" applyBorder="1" applyAlignment="1">
      <alignment horizontal="center" vertical="top" wrapText="1"/>
    </xf>
    <xf numFmtId="0" fontId="5" fillId="4" borderId="45" xfId="3" applyFont="1" applyFill="1" applyBorder="1">
      <alignment vertical="center"/>
    </xf>
    <xf numFmtId="0" fontId="5" fillId="4" borderId="38" xfId="3" applyFont="1" applyFill="1" applyBorder="1">
      <alignment vertical="center"/>
    </xf>
    <xf numFmtId="177" fontId="5" fillId="0" borderId="54" xfId="3" quotePrefix="1" applyNumberFormat="1" applyFont="1" applyBorder="1">
      <alignment vertical="center"/>
    </xf>
    <xf numFmtId="0" fontId="5" fillId="0" borderId="65" xfId="3" applyFont="1" applyBorder="1" applyAlignment="1">
      <alignment horizontal="left" vertical="top"/>
    </xf>
    <xf numFmtId="177" fontId="5" fillId="0" borderId="37" xfId="3" quotePrefix="1" applyNumberFormat="1" applyFont="1" applyBorder="1">
      <alignment vertical="center"/>
    </xf>
    <xf numFmtId="177" fontId="5" fillId="0" borderId="43" xfId="3" quotePrefix="1" applyNumberFormat="1" applyFont="1" applyBorder="1" applyAlignment="1">
      <alignment horizontal="left" vertical="top"/>
    </xf>
    <xf numFmtId="177" fontId="5" fillId="15" borderId="54" xfId="3" quotePrefix="1" applyNumberFormat="1" applyFont="1" applyFill="1" applyBorder="1">
      <alignment vertical="center"/>
    </xf>
    <xf numFmtId="177" fontId="5" fillId="15" borderId="37" xfId="3" quotePrefix="1" applyNumberFormat="1" applyFont="1" applyFill="1" applyBorder="1">
      <alignment vertical="center"/>
    </xf>
    <xf numFmtId="0" fontId="5" fillId="0" borderId="34" xfId="3" applyFont="1" applyBorder="1" applyAlignment="1">
      <alignment horizontal="left" vertical="top"/>
    </xf>
    <xf numFmtId="177" fontId="5" fillId="0" borderId="44" xfId="3" quotePrefix="1" applyNumberFormat="1" applyFont="1" applyBorder="1" applyAlignment="1">
      <alignment horizontal="left" vertical="top"/>
    </xf>
    <xf numFmtId="183" fontId="21" fillId="5" borderId="219" xfId="3" applyNumberFormat="1" applyFont="1" applyFill="1" applyBorder="1" applyAlignment="1">
      <alignment vertical="center" wrapText="1"/>
    </xf>
    <xf numFmtId="183" fontId="5" fillId="3" borderId="38" xfId="3" applyNumberFormat="1" applyFont="1" applyFill="1" applyBorder="1" applyAlignment="1">
      <alignment vertical="center" wrapText="1"/>
    </xf>
    <xf numFmtId="183" fontId="21" fillId="5" borderId="38" xfId="3" applyNumberFormat="1" applyFont="1" applyFill="1" applyBorder="1" applyAlignment="1">
      <alignment vertical="center" wrapText="1"/>
    </xf>
    <xf numFmtId="183" fontId="21" fillId="5" borderId="220" xfId="3" applyNumberFormat="1" applyFont="1" applyFill="1" applyBorder="1" applyAlignment="1">
      <alignment vertical="center" wrapText="1"/>
    </xf>
    <xf numFmtId="184" fontId="21" fillId="5" borderId="38" xfId="3" applyNumberFormat="1" applyFont="1" applyFill="1" applyBorder="1" applyAlignment="1">
      <alignment vertical="center" wrapText="1"/>
    </xf>
    <xf numFmtId="184" fontId="21" fillId="5" borderId="220" xfId="3" applyNumberFormat="1" applyFont="1" applyFill="1" applyBorder="1" applyAlignment="1">
      <alignment vertical="center" wrapText="1"/>
    </xf>
    <xf numFmtId="184" fontId="21" fillId="5" borderId="219" xfId="3" applyNumberFormat="1" applyFont="1" applyFill="1" applyBorder="1" applyAlignment="1">
      <alignment vertical="center" wrapText="1"/>
    </xf>
    <xf numFmtId="3" fontId="5" fillId="5" borderId="38" xfId="3" applyNumberFormat="1" applyFont="1" applyFill="1" applyBorder="1" applyAlignment="1">
      <alignment vertical="center" wrapText="1"/>
    </xf>
    <xf numFmtId="3" fontId="5" fillId="5" borderId="220" xfId="3" applyNumberFormat="1" applyFont="1" applyFill="1" applyBorder="1" applyAlignment="1">
      <alignment vertical="center" wrapText="1"/>
    </xf>
    <xf numFmtId="177" fontId="5" fillId="15" borderId="45" xfId="3" quotePrefix="1" applyNumberFormat="1" applyFont="1" applyFill="1" applyBorder="1" applyAlignment="1">
      <alignment horizontal="left" vertical="center"/>
    </xf>
    <xf numFmtId="177" fontId="5" fillId="15" borderId="57" xfId="3" quotePrefix="1" applyNumberFormat="1" applyFont="1" applyFill="1" applyBorder="1" applyAlignment="1">
      <alignment vertical="top"/>
    </xf>
    <xf numFmtId="177" fontId="5" fillId="15" borderId="80" xfId="3" quotePrefix="1" applyNumberFormat="1" applyFont="1" applyFill="1" applyBorder="1" applyAlignment="1">
      <alignment vertical="top"/>
    </xf>
    <xf numFmtId="185" fontId="5" fillId="5" borderId="219" xfId="3" applyNumberFormat="1" applyFont="1" applyFill="1" applyBorder="1" applyAlignment="1">
      <alignment vertical="center" wrapText="1"/>
    </xf>
    <xf numFmtId="185" fontId="5" fillId="3" borderId="38" xfId="3" applyNumberFormat="1" applyFont="1" applyFill="1" applyBorder="1" applyAlignment="1">
      <alignment vertical="center" wrapText="1"/>
    </xf>
    <xf numFmtId="185" fontId="5" fillId="5" borderId="38" xfId="3" applyNumberFormat="1" applyFont="1" applyFill="1" applyBorder="1" applyAlignment="1">
      <alignment vertical="center" wrapText="1"/>
    </xf>
    <xf numFmtId="185" fontId="5" fillId="5" borderId="220" xfId="3" applyNumberFormat="1" applyFont="1" applyFill="1" applyBorder="1" applyAlignment="1">
      <alignment vertical="center" wrapText="1"/>
    </xf>
    <xf numFmtId="177" fontId="5" fillId="15" borderId="37" xfId="3" quotePrefix="1" applyNumberFormat="1" applyFont="1" applyFill="1" applyBorder="1" applyAlignment="1">
      <alignment vertical="top"/>
    </xf>
    <xf numFmtId="0" fontId="5" fillId="0" borderId="42" xfId="3" applyFont="1" applyBorder="1" applyAlignment="1">
      <alignment vertical="center" wrapText="1"/>
    </xf>
    <xf numFmtId="0" fontId="5" fillId="0" borderId="54" xfId="3" applyFont="1" applyBorder="1" applyAlignment="1">
      <alignment vertical="top"/>
    </xf>
    <xf numFmtId="177" fontId="5" fillId="0" borderId="183" xfId="3" quotePrefix="1" applyNumberFormat="1" applyFont="1" applyBorder="1">
      <alignment vertical="center"/>
    </xf>
    <xf numFmtId="0" fontId="5" fillId="0" borderId="31" xfId="3" applyFont="1" applyBorder="1" applyAlignment="1">
      <alignment vertical="top"/>
    </xf>
    <xf numFmtId="177" fontId="5" fillId="0" borderId="177" xfId="3" quotePrefix="1" applyNumberFormat="1" applyFont="1" applyBorder="1">
      <alignment vertical="center"/>
    </xf>
    <xf numFmtId="0" fontId="5" fillId="0" borderId="67" xfId="3" applyFont="1" applyBorder="1">
      <alignment vertical="center"/>
    </xf>
    <xf numFmtId="0" fontId="5" fillId="0" borderId="51" xfId="3" applyFont="1" applyBorder="1" applyAlignment="1">
      <alignment vertical="center" wrapText="1"/>
    </xf>
    <xf numFmtId="0" fontId="5" fillId="0" borderId="52" xfId="3" applyFont="1" applyBorder="1">
      <alignment vertical="center"/>
    </xf>
    <xf numFmtId="0" fontId="5" fillId="0" borderId="82" xfId="3" applyFont="1" applyBorder="1">
      <alignment vertical="center"/>
    </xf>
    <xf numFmtId="177" fontId="5" fillId="0" borderId="52" xfId="3" quotePrefix="1" applyNumberFormat="1" applyFont="1" applyBorder="1" applyAlignment="1">
      <alignment horizontal="center" vertical="center"/>
    </xf>
    <xf numFmtId="3" fontId="13" fillId="4" borderId="235" xfId="3" applyNumberFormat="1" applyFont="1" applyFill="1" applyBorder="1" applyAlignment="1">
      <alignment vertical="center" wrapText="1"/>
    </xf>
    <xf numFmtId="0" fontId="5" fillId="3" borderId="74" xfId="3" applyFont="1" applyFill="1" applyBorder="1" applyAlignment="1">
      <alignment vertical="center" wrapText="1"/>
    </xf>
    <xf numFmtId="3" fontId="13" fillId="4" borderId="74" xfId="3" applyNumberFormat="1" applyFont="1" applyFill="1" applyBorder="1" applyAlignment="1">
      <alignment vertical="center" wrapText="1"/>
    </xf>
    <xf numFmtId="3" fontId="13" fillId="4" borderId="236" xfId="3" applyNumberFormat="1" applyFont="1" applyFill="1" applyBorder="1" applyAlignment="1">
      <alignment vertical="center" wrapText="1"/>
    </xf>
    <xf numFmtId="0" fontId="5" fillId="4" borderId="74" xfId="3" applyFont="1" applyFill="1" applyBorder="1">
      <alignment vertical="center"/>
    </xf>
    <xf numFmtId="0" fontId="19" fillId="14" borderId="55" xfId="3" applyFont="1" applyFill="1" applyBorder="1">
      <alignment vertical="center"/>
    </xf>
    <xf numFmtId="0" fontId="15" fillId="14" borderId="257" xfId="3" applyFont="1" applyFill="1" applyBorder="1">
      <alignment vertical="center"/>
    </xf>
    <xf numFmtId="0" fontId="15" fillId="14" borderId="218" xfId="3" applyFont="1" applyFill="1" applyBorder="1" applyAlignment="1">
      <alignment horizontal="center" vertical="center"/>
    </xf>
    <xf numFmtId="177" fontId="5" fillId="0" borderId="171" xfId="3" quotePrefix="1" applyNumberFormat="1" applyFont="1" applyBorder="1">
      <alignment vertical="center"/>
    </xf>
    <xf numFmtId="177" fontId="5" fillId="0" borderId="33" xfId="3" quotePrefix="1" applyNumberFormat="1" applyFont="1" applyBorder="1">
      <alignment vertical="center"/>
    </xf>
    <xf numFmtId="0" fontId="5" fillId="17" borderId="47" xfId="3" applyFont="1" applyFill="1" applyBorder="1" applyAlignment="1">
      <alignment horizontal="center" vertical="center"/>
    </xf>
    <xf numFmtId="0" fontId="5" fillId="17" borderId="47" xfId="3" applyFont="1" applyFill="1" applyBorder="1" applyAlignment="1">
      <alignment horizontal="left" vertical="center"/>
    </xf>
    <xf numFmtId="177" fontId="1" fillId="0" borderId="172" xfId="3" quotePrefix="1" applyNumberFormat="1" applyBorder="1">
      <alignment vertical="center"/>
    </xf>
    <xf numFmtId="177" fontId="1" fillId="0" borderId="42" xfId="3" quotePrefix="1" applyNumberFormat="1" applyBorder="1">
      <alignment vertical="center"/>
    </xf>
    <xf numFmtId="0" fontId="1" fillId="0" borderId="38" xfId="3" applyBorder="1" applyAlignment="1">
      <alignment vertical="center" wrapText="1"/>
    </xf>
    <xf numFmtId="0" fontId="13" fillId="3" borderId="0" xfId="3" applyFont="1" applyFill="1" applyAlignment="1">
      <alignment horizontal="center" vertical="center"/>
    </xf>
    <xf numFmtId="0" fontId="5" fillId="0" borderId="188" xfId="3" applyFont="1" applyBorder="1" applyAlignment="1">
      <alignment vertical="top"/>
    </xf>
    <xf numFmtId="3" fontId="13" fillId="0" borderId="219" xfId="3" applyNumberFormat="1" applyFont="1" applyBorder="1" applyAlignment="1">
      <alignment vertical="center" wrapText="1"/>
    </xf>
    <xf numFmtId="3" fontId="13" fillId="0" borderId="38" xfId="3" applyNumberFormat="1" applyFont="1" applyBorder="1" applyAlignment="1">
      <alignment vertical="center" wrapText="1"/>
    </xf>
    <xf numFmtId="0" fontId="5" fillId="0" borderId="38" xfId="3" applyFont="1" applyBorder="1" applyAlignment="1">
      <alignment vertical="top" wrapText="1"/>
    </xf>
    <xf numFmtId="0" fontId="5" fillId="0" borderId="170" xfId="3" applyFont="1" applyBorder="1" applyAlignment="1">
      <alignment vertical="top"/>
    </xf>
    <xf numFmtId="177" fontId="5" fillId="0" borderId="45" xfId="3" quotePrefix="1" applyNumberFormat="1" applyFont="1" applyBorder="1">
      <alignment vertical="center"/>
    </xf>
    <xf numFmtId="0" fontId="21" fillId="0" borderId="43" xfId="3" applyFont="1" applyBorder="1">
      <alignment vertical="center"/>
    </xf>
    <xf numFmtId="0" fontId="21" fillId="0" borderId="42" xfId="3" applyFont="1" applyBorder="1">
      <alignment vertical="center"/>
    </xf>
    <xf numFmtId="0" fontId="21" fillId="0" borderId="43" xfId="3" applyFont="1" applyBorder="1" applyAlignment="1">
      <alignment vertical="top"/>
    </xf>
    <xf numFmtId="0" fontId="21" fillId="0" borderId="45" xfId="3" applyFont="1" applyBorder="1" applyAlignment="1">
      <alignment horizontal="left" vertical="top"/>
    </xf>
    <xf numFmtId="177" fontId="5" fillId="0" borderId="38" xfId="3" quotePrefix="1" applyNumberFormat="1" applyFont="1" applyBorder="1">
      <alignment vertical="center"/>
    </xf>
    <xf numFmtId="0" fontId="5" fillId="17" borderId="258" xfId="3" applyFont="1" applyFill="1" applyBorder="1" applyAlignment="1">
      <alignment horizontal="center" vertical="center"/>
    </xf>
    <xf numFmtId="0" fontId="5" fillId="0" borderId="170" xfId="3" applyFont="1" applyBorder="1" applyAlignment="1">
      <alignment vertical="top" wrapText="1"/>
    </xf>
    <xf numFmtId="0" fontId="21" fillId="0" borderId="38" xfId="3" applyFont="1" applyBorder="1" applyAlignment="1">
      <alignment vertical="top"/>
    </xf>
    <xf numFmtId="0" fontId="21" fillId="0" borderId="42" xfId="3" applyFont="1" applyBorder="1" applyAlignment="1">
      <alignment vertical="top"/>
    </xf>
    <xf numFmtId="0" fontId="21" fillId="0" borderId="54" xfId="3" applyFont="1" applyBorder="1" applyAlignment="1">
      <alignment vertical="top"/>
    </xf>
    <xf numFmtId="0" fontId="21" fillId="0" borderId="81" xfId="3" applyFont="1" applyBorder="1" applyAlignment="1">
      <alignment vertical="top"/>
    </xf>
    <xf numFmtId="0" fontId="21" fillId="0" borderId="41" xfId="3" applyFont="1" applyBorder="1" applyAlignment="1">
      <alignment vertical="top"/>
    </xf>
    <xf numFmtId="0" fontId="21" fillId="0" borderId="44" xfId="3" applyFont="1" applyBorder="1" applyAlignment="1">
      <alignment vertical="top"/>
    </xf>
    <xf numFmtId="0" fontId="21" fillId="0" borderId="3" xfId="3" applyFont="1" applyBorder="1" applyAlignment="1">
      <alignment vertical="top"/>
    </xf>
    <xf numFmtId="0" fontId="21" fillId="0" borderId="260" xfId="3" applyFont="1" applyBorder="1" applyAlignment="1">
      <alignment vertical="top"/>
    </xf>
    <xf numFmtId="0" fontId="21" fillId="0" borderId="261" xfId="3" applyFont="1" applyBorder="1" applyAlignment="1">
      <alignment vertical="top"/>
    </xf>
    <xf numFmtId="0" fontId="21" fillId="0" borderId="262" xfId="3" applyFont="1" applyBorder="1" applyAlignment="1">
      <alignment vertical="top"/>
    </xf>
    <xf numFmtId="0" fontId="21" fillId="0" borderId="57" xfId="3" applyFont="1" applyBorder="1" applyAlignment="1">
      <alignment horizontal="left" vertical="top"/>
    </xf>
    <xf numFmtId="0" fontId="15" fillId="11" borderId="92" xfId="3" applyFont="1" applyFill="1" applyBorder="1" applyAlignment="1">
      <alignment horizontal="left" vertical="center"/>
    </xf>
    <xf numFmtId="0" fontId="15" fillId="12" borderId="92" xfId="3" applyFont="1" applyFill="1" applyBorder="1" applyAlignment="1">
      <alignment horizontal="center" vertical="center"/>
    </xf>
    <xf numFmtId="0" fontId="19" fillId="11" borderId="93" xfId="3" applyFont="1" applyFill="1" applyBorder="1" applyAlignment="1">
      <alignment horizontal="left" vertical="top"/>
    </xf>
    <xf numFmtId="0" fontId="15" fillId="11" borderId="92" xfId="3" applyFont="1" applyFill="1" applyBorder="1" applyAlignment="1">
      <alignment horizontal="left" vertical="top"/>
    </xf>
    <xf numFmtId="0" fontId="10" fillId="12" borderId="238" xfId="3" applyFont="1" applyFill="1" applyBorder="1" applyAlignment="1">
      <alignment vertical="center" wrapText="1"/>
    </xf>
    <xf numFmtId="0" fontId="10" fillId="12" borderId="92" xfId="3" applyFont="1" applyFill="1" applyBorder="1" applyAlignment="1">
      <alignment vertical="center" wrapText="1"/>
    </xf>
    <xf numFmtId="0" fontId="10" fillId="12" borderId="239" xfId="3" applyFont="1" applyFill="1" applyBorder="1" applyAlignment="1">
      <alignment vertical="center" wrapText="1"/>
    </xf>
    <xf numFmtId="0" fontId="10" fillId="12" borderId="238" xfId="3" applyFont="1" applyFill="1" applyBorder="1" applyAlignment="1">
      <alignment horizontal="center" vertical="center"/>
    </xf>
    <xf numFmtId="0" fontId="10" fillId="12" borderId="92" xfId="3" applyFont="1" applyFill="1" applyBorder="1" applyAlignment="1">
      <alignment horizontal="center" vertical="center"/>
    </xf>
    <xf numFmtId="0" fontId="13" fillId="13" borderId="94" xfId="2" applyFont="1" applyFill="1" applyBorder="1" applyAlignment="1">
      <alignment horizontal="center" vertical="center" wrapText="1"/>
    </xf>
    <xf numFmtId="177" fontId="5" fillId="15" borderId="77" xfId="3" quotePrefix="1" applyNumberFormat="1" applyFont="1" applyFill="1" applyBorder="1" applyAlignment="1">
      <alignment horizontal="center" vertical="center"/>
    </xf>
    <xf numFmtId="177" fontId="5" fillId="0" borderId="36" xfId="3" quotePrefix="1" applyNumberFormat="1" applyFont="1" applyBorder="1" applyAlignment="1">
      <alignment vertical="top"/>
    </xf>
    <xf numFmtId="178" fontId="5" fillId="15" borderId="38" xfId="3" quotePrefix="1" applyNumberFormat="1" applyFont="1" applyFill="1" applyBorder="1" applyAlignment="1">
      <alignment vertical="center" wrapText="1"/>
    </xf>
    <xf numFmtId="178" fontId="5" fillId="3" borderId="38" xfId="3" quotePrefix="1" applyNumberFormat="1" applyFont="1" applyFill="1" applyBorder="1" applyAlignment="1">
      <alignment vertical="center" wrapText="1"/>
    </xf>
    <xf numFmtId="3" fontId="5" fillId="3" borderId="227" xfId="3" applyNumberFormat="1" applyFont="1" applyFill="1" applyBorder="1" applyAlignment="1">
      <alignment horizontal="center" vertical="center"/>
    </xf>
    <xf numFmtId="0" fontId="5" fillId="0" borderId="174" xfId="3" applyFont="1" applyBorder="1">
      <alignment vertical="center"/>
    </xf>
    <xf numFmtId="0" fontId="11" fillId="0" borderId="43" xfId="3" applyFont="1" applyBorder="1" applyAlignment="1">
      <alignment vertical="top"/>
    </xf>
    <xf numFmtId="178" fontId="13" fillId="0" borderId="219" xfId="3" applyNumberFormat="1" applyFont="1" applyBorder="1" applyAlignment="1">
      <alignment vertical="center" wrapText="1"/>
    </xf>
    <xf numFmtId="178" fontId="5" fillId="15" borderId="38" xfId="3" quotePrefix="1" applyNumberFormat="1" applyFont="1" applyFill="1" applyBorder="1" applyAlignment="1">
      <alignment vertical="top" wrapText="1"/>
    </xf>
    <xf numFmtId="178" fontId="13" fillId="0" borderId="38" xfId="3" applyNumberFormat="1" applyFont="1" applyBorder="1" applyAlignment="1">
      <alignment vertical="center" wrapText="1"/>
    </xf>
    <xf numFmtId="178" fontId="13" fillId="43" borderId="219" xfId="3" applyNumberFormat="1" applyFont="1" applyFill="1" applyBorder="1" applyAlignment="1">
      <alignment vertical="center" wrapText="1"/>
    </xf>
    <xf numFmtId="178" fontId="5" fillId="3" borderId="38" xfId="3" applyNumberFormat="1" applyFont="1" applyFill="1" applyBorder="1" applyAlignment="1">
      <alignment vertical="top" wrapText="1"/>
    </xf>
    <xf numFmtId="178" fontId="13" fillId="43" borderId="38" xfId="3" applyNumberFormat="1" applyFont="1" applyFill="1" applyBorder="1" applyAlignment="1">
      <alignment vertical="center" wrapText="1"/>
    </xf>
    <xf numFmtId="178" fontId="13" fillId="43" borderId="220" xfId="3" applyNumberFormat="1" applyFont="1" applyFill="1" applyBorder="1" applyAlignment="1">
      <alignment vertical="center" wrapText="1"/>
    </xf>
    <xf numFmtId="178" fontId="13" fillId="15" borderId="219" xfId="3" applyNumberFormat="1" applyFont="1" applyFill="1" applyBorder="1" applyAlignment="1">
      <alignment vertical="center" wrapText="1"/>
    </xf>
    <xf numFmtId="178" fontId="5" fillId="0" borderId="0" xfId="3" applyNumberFormat="1" applyFont="1" applyAlignment="1">
      <alignment vertical="top" wrapText="1"/>
    </xf>
    <xf numFmtId="178" fontId="13" fillId="15" borderId="38" xfId="3" applyNumberFormat="1" applyFont="1" applyFill="1" applyBorder="1" applyAlignment="1">
      <alignment vertical="center" wrapText="1"/>
    </xf>
    <xf numFmtId="178" fontId="13" fillId="15" borderId="220" xfId="3" applyNumberFormat="1" applyFont="1" applyFill="1" applyBorder="1" applyAlignment="1">
      <alignment vertical="center" wrapText="1"/>
    </xf>
    <xf numFmtId="0" fontId="5" fillId="0" borderId="183" xfId="3" applyFont="1" applyBorder="1">
      <alignment vertical="center"/>
    </xf>
    <xf numFmtId="177" fontId="5" fillId="3" borderId="38" xfId="3" quotePrefix="1" applyNumberFormat="1" applyFont="1" applyFill="1" applyBorder="1">
      <alignment vertical="center"/>
    </xf>
    <xf numFmtId="0" fontId="5" fillId="3" borderId="64" xfId="3" applyFont="1" applyFill="1" applyBorder="1" applyAlignment="1">
      <alignment vertical="top"/>
    </xf>
    <xf numFmtId="178" fontId="13" fillId="3" borderId="219" xfId="3" applyNumberFormat="1" applyFont="1" applyFill="1" applyBorder="1" applyAlignment="1">
      <alignment vertical="center" wrapText="1"/>
    </xf>
    <xf numFmtId="178" fontId="13" fillId="3" borderId="38" xfId="3" applyNumberFormat="1" applyFont="1" applyFill="1" applyBorder="1" applyAlignment="1">
      <alignment vertical="center" wrapText="1"/>
    </xf>
    <xf numFmtId="178" fontId="13" fillId="3" borderId="220" xfId="3" applyNumberFormat="1" applyFont="1" applyFill="1" applyBorder="1" applyAlignment="1">
      <alignment vertical="center" wrapText="1"/>
    </xf>
    <xf numFmtId="0" fontId="5" fillId="3" borderId="38" xfId="3" applyFont="1" applyFill="1" applyBorder="1">
      <alignment vertical="center"/>
    </xf>
    <xf numFmtId="0" fontId="5" fillId="3" borderId="258" xfId="3" applyFont="1" applyFill="1" applyBorder="1" applyAlignment="1">
      <alignment horizontal="center" vertical="center"/>
    </xf>
    <xf numFmtId="0" fontId="5" fillId="0" borderId="176" xfId="3" applyFont="1" applyBorder="1">
      <alignment vertical="center"/>
    </xf>
    <xf numFmtId="178" fontId="13" fillId="44" borderId="219" xfId="3" applyNumberFormat="1" applyFont="1" applyFill="1" applyBorder="1" applyAlignment="1">
      <alignment vertical="center" wrapText="1"/>
    </xf>
    <xf numFmtId="0" fontId="5" fillId="4" borderId="54" xfId="3" applyFont="1" applyFill="1" applyBorder="1">
      <alignment vertical="center"/>
    </xf>
    <xf numFmtId="0" fontId="5" fillId="17" borderId="263" xfId="3" applyFont="1" applyFill="1" applyBorder="1" applyAlignment="1">
      <alignment horizontal="center" vertical="center"/>
    </xf>
    <xf numFmtId="0" fontId="5" fillId="19" borderId="159" xfId="3" applyFont="1" applyFill="1" applyBorder="1" applyAlignment="1">
      <alignment horizontal="left" vertical="center"/>
    </xf>
    <xf numFmtId="177" fontId="5" fillId="19" borderId="65" xfId="3" quotePrefix="1" applyNumberFormat="1" applyFont="1" applyFill="1" applyBorder="1" applyAlignment="1">
      <alignment horizontal="center" vertical="center"/>
    </xf>
    <xf numFmtId="0" fontId="5" fillId="19" borderId="43" xfId="3" applyFont="1" applyFill="1" applyBorder="1" applyAlignment="1">
      <alignment vertical="top"/>
    </xf>
    <xf numFmtId="0" fontId="5" fillId="19" borderId="45" xfId="3" applyFont="1" applyFill="1" applyBorder="1" applyAlignment="1">
      <alignment vertical="top"/>
    </xf>
    <xf numFmtId="177" fontId="5" fillId="19" borderId="44" xfId="3" quotePrefix="1" applyNumberFormat="1" applyFont="1" applyFill="1" applyBorder="1" applyAlignment="1">
      <alignment horizontal="center" vertical="center"/>
    </xf>
    <xf numFmtId="178" fontId="13" fillId="19" borderId="219" xfId="3" applyNumberFormat="1" applyFont="1" applyFill="1" applyBorder="1" applyAlignment="1">
      <alignment vertical="center" wrapText="1"/>
    </xf>
    <xf numFmtId="178" fontId="5" fillId="19" borderId="38" xfId="3" quotePrefix="1" applyNumberFormat="1" applyFont="1" applyFill="1" applyBorder="1" applyAlignment="1">
      <alignment vertical="center" wrapText="1"/>
    </xf>
    <xf numFmtId="178" fontId="13" fillId="19" borderId="38" xfId="3" applyNumberFormat="1" applyFont="1" applyFill="1" applyBorder="1" applyAlignment="1">
      <alignment vertical="center" wrapText="1"/>
    </xf>
    <xf numFmtId="178" fontId="13" fillId="19" borderId="220" xfId="3" applyNumberFormat="1" applyFont="1" applyFill="1" applyBorder="1" applyAlignment="1">
      <alignment vertical="center" wrapText="1"/>
    </xf>
    <xf numFmtId="178" fontId="5" fillId="19" borderId="38" xfId="3" applyNumberFormat="1" applyFont="1" applyFill="1" applyBorder="1" applyAlignment="1">
      <alignment vertical="center" wrapText="1"/>
    </xf>
    <xf numFmtId="3" fontId="13" fillId="19" borderId="264" xfId="3" applyNumberFormat="1" applyFont="1" applyFill="1" applyBorder="1" applyAlignment="1">
      <alignment vertical="center" wrapText="1"/>
    </xf>
    <xf numFmtId="3" fontId="13" fillId="19" borderId="265" xfId="3" applyNumberFormat="1" applyFont="1" applyFill="1" applyBorder="1" applyAlignment="1">
      <alignment vertical="center" wrapText="1"/>
    </xf>
    <xf numFmtId="3" fontId="13" fillId="19" borderId="266" xfId="3" applyNumberFormat="1" applyFont="1" applyFill="1" applyBorder="1" applyAlignment="1">
      <alignment vertical="center" wrapText="1"/>
    </xf>
    <xf numFmtId="177" fontId="5" fillId="0" borderId="173" xfId="3" quotePrefix="1" applyNumberFormat="1" applyFont="1" applyBorder="1" applyAlignment="1">
      <alignment vertical="center" wrapText="1"/>
    </xf>
    <xf numFmtId="177" fontId="5" fillId="0" borderId="43" xfId="3" quotePrefix="1" applyNumberFormat="1" applyFont="1" applyBorder="1" applyAlignment="1">
      <alignment vertical="top" wrapText="1"/>
    </xf>
    <xf numFmtId="3" fontId="5" fillId="3" borderId="229" xfId="3" applyNumberFormat="1" applyFont="1" applyFill="1" applyBorder="1" applyAlignment="1">
      <alignment horizontal="center" vertical="center"/>
    </xf>
    <xf numFmtId="0" fontId="5" fillId="4" borderId="37" xfId="3" applyFont="1" applyFill="1" applyBorder="1">
      <alignment vertical="center"/>
    </xf>
    <xf numFmtId="177" fontId="5" fillId="0" borderId="159" xfId="3" quotePrefix="1" applyNumberFormat="1" applyFont="1" applyBorder="1" applyAlignment="1">
      <alignment vertical="center" wrapText="1"/>
    </xf>
    <xf numFmtId="177" fontId="5" fillId="0" borderId="189" xfId="3" quotePrefix="1" applyNumberFormat="1" applyFont="1" applyBorder="1" applyAlignment="1">
      <alignment vertical="center" wrapText="1"/>
    </xf>
    <xf numFmtId="177" fontId="5" fillId="19" borderId="159" xfId="3" quotePrefix="1" applyNumberFormat="1" applyFont="1" applyFill="1" applyBorder="1" applyAlignment="1">
      <alignment horizontal="left" vertical="center"/>
    </xf>
    <xf numFmtId="0" fontId="5" fillId="19" borderId="82" xfId="3" applyFont="1" applyFill="1" applyBorder="1">
      <alignment vertical="center"/>
    </xf>
    <xf numFmtId="177" fontId="5" fillId="19" borderId="82" xfId="3" quotePrefix="1" applyNumberFormat="1" applyFont="1" applyFill="1" applyBorder="1" applyAlignment="1">
      <alignment vertical="center" wrapText="1"/>
    </xf>
    <xf numFmtId="0" fontId="5" fillId="19" borderId="0" xfId="3" applyFont="1" applyFill="1">
      <alignment vertical="center"/>
    </xf>
    <xf numFmtId="0" fontId="5" fillId="0" borderId="38" xfId="3" applyFont="1" applyBorder="1" applyAlignment="1">
      <alignment horizontal="left" vertical="top"/>
    </xf>
    <xf numFmtId="177" fontId="5" fillId="19" borderId="0" xfId="3" quotePrefix="1" applyNumberFormat="1" applyFont="1" applyFill="1" applyAlignment="1">
      <alignment vertical="center" wrapText="1"/>
    </xf>
    <xf numFmtId="0" fontId="1" fillId="19" borderId="57" xfId="3" applyFill="1" applyBorder="1" applyAlignment="1">
      <alignment vertical="top"/>
    </xf>
    <xf numFmtId="0" fontId="5" fillId="19" borderId="43" xfId="3" applyFont="1" applyFill="1" applyBorder="1" applyAlignment="1">
      <alignment horizontal="left" vertical="top"/>
    </xf>
    <xf numFmtId="0" fontId="5" fillId="19" borderId="45" xfId="3" applyFont="1" applyFill="1" applyBorder="1" applyAlignment="1">
      <alignment horizontal="left" vertical="top"/>
    </xf>
    <xf numFmtId="178" fontId="5" fillId="19" borderId="38" xfId="3" applyNumberFormat="1" applyFont="1" applyFill="1" applyBorder="1" applyAlignment="1">
      <alignment vertical="top" wrapText="1"/>
    </xf>
    <xf numFmtId="0" fontId="1" fillId="0" borderId="0" xfId="3">
      <alignment vertical="center"/>
    </xf>
    <xf numFmtId="0" fontId="1" fillId="0" borderId="173" xfId="3" quotePrefix="1" applyBorder="1" applyAlignment="1">
      <alignment vertical="center" wrapText="1"/>
    </xf>
    <xf numFmtId="0" fontId="1" fillId="0" borderId="43" xfId="3" applyBorder="1" applyAlignment="1">
      <alignment horizontal="center" vertical="center"/>
    </xf>
    <xf numFmtId="0" fontId="1" fillId="0" borderId="57" xfId="3" applyBorder="1" applyAlignment="1">
      <alignment vertical="top"/>
    </xf>
    <xf numFmtId="0" fontId="1" fillId="0" borderId="38" xfId="3" applyBorder="1" applyAlignment="1">
      <alignment horizontal="center" vertical="center"/>
    </xf>
    <xf numFmtId="178" fontId="1" fillId="3" borderId="38" xfId="3" applyNumberFormat="1" applyFill="1" applyBorder="1" applyAlignment="1">
      <alignment vertical="center" wrapText="1"/>
    </xf>
    <xf numFmtId="178" fontId="1" fillId="3" borderId="38" xfId="3" applyNumberFormat="1" applyFill="1" applyBorder="1" applyAlignment="1">
      <alignment vertical="top" wrapText="1"/>
    </xf>
    <xf numFmtId="9" fontId="13" fillId="43" borderId="219" xfId="8" applyFont="1" applyFill="1" applyBorder="1" applyAlignment="1">
      <alignment vertical="center" wrapText="1"/>
    </xf>
    <xf numFmtId="9" fontId="13" fillId="43" borderId="38" xfId="8" applyFont="1" applyFill="1" applyBorder="1" applyAlignment="1">
      <alignment vertical="center" wrapText="1"/>
    </xf>
    <xf numFmtId="9" fontId="13" fillId="43" borderId="220" xfId="8" applyFont="1" applyFill="1" applyBorder="1" applyAlignment="1">
      <alignment vertical="center" wrapText="1"/>
    </xf>
    <xf numFmtId="0" fontId="1" fillId="4" borderId="38" xfId="3" applyFill="1" applyBorder="1">
      <alignment vertical="center"/>
    </xf>
    <xf numFmtId="0" fontId="1" fillId="0" borderId="189" xfId="3" quotePrefix="1" applyBorder="1" applyAlignment="1">
      <alignment vertical="center" wrapText="1"/>
    </xf>
    <xf numFmtId="0" fontId="1" fillId="0" borderId="80" xfId="3" applyBorder="1" applyAlignment="1">
      <alignment vertical="top"/>
    </xf>
    <xf numFmtId="0" fontId="1" fillId="0" borderId="170" xfId="3" applyBorder="1" applyAlignment="1">
      <alignment vertical="top" wrapText="1"/>
    </xf>
    <xf numFmtId="0" fontId="5" fillId="19" borderId="173" xfId="3" applyFont="1" applyFill="1" applyBorder="1">
      <alignment vertical="center"/>
    </xf>
    <xf numFmtId="0" fontId="5" fillId="19" borderId="57" xfId="3" applyFont="1" applyFill="1" applyBorder="1" applyAlignment="1">
      <alignment vertical="top"/>
    </xf>
    <xf numFmtId="178" fontId="1" fillId="19" borderId="38" xfId="3" applyNumberFormat="1" applyFill="1" applyBorder="1" applyAlignment="1">
      <alignment vertical="center" wrapText="1"/>
    </xf>
    <xf numFmtId="178" fontId="1" fillId="19" borderId="38" xfId="3" applyNumberFormat="1" applyFill="1" applyBorder="1" applyAlignment="1">
      <alignment vertical="top" wrapText="1"/>
    </xf>
    <xf numFmtId="0" fontId="1" fillId="19" borderId="38" xfId="3" applyFill="1" applyBorder="1" applyAlignment="1">
      <alignment vertical="center" wrapText="1"/>
    </xf>
    <xf numFmtId="0" fontId="5" fillId="19" borderId="258" xfId="3" applyFont="1" applyFill="1" applyBorder="1" applyAlignment="1">
      <alignment horizontal="center" vertical="center"/>
    </xf>
    <xf numFmtId="0" fontId="5" fillId="0" borderId="173" xfId="3" applyFont="1" applyBorder="1" applyAlignment="1">
      <alignment vertical="center" wrapText="1"/>
    </xf>
    <xf numFmtId="0" fontId="5" fillId="0" borderId="189" xfId="3" applyFont="1" applyBorder="1" applyAlignment="1">
      <alignment vertical="center" wrapText="1"/>
    </xf>
    <xf numFmtId="0" fontId="5" fillId="19" borderId="42" xfId="3" applyFont="1" applyFill="1" applyBorder="1" applyAlignment="1">
      <alignment vertical="center" wrapText="1"/>
    </xf>
    <xf numFmtId="0" fontId="5" fillId="4" borderId="0" xfId="3" applyFont="1" applyFill="1">
      <alignment vertical="center"/>
    </xf>
    <xf numFmtId="0" fontId="5" fillId="0" borderId="159" xfId="3" applyFont="1" applyBorder="1" applyAlignment="1">
      <alignment vertical="center" wrapText="1"/>
    </xf>
    <xf numFmtId="0" fontId="5" fillId="0" borderId="172" xfId="3" applyFont="1" applyBorder="1">
      <alignment vertical="center"/>
    </xf>
    <xf numFmtId="0" fontId="5" fillId="19" borderId="82" xfId="3" applyFont="1" applyFill="1" applyBorder="1" applyAlignment="1">
      <alignment vertical="center" wrapText="1"/>
    </xf>
    <xf numFmtId="0" fontId="5" fillId="19" borderId="42" xfId="3" applyFont="1" applyFill="1" applyBorder="1" applyAlignment="1">
      <alignment vertical="top"/>
    </xf>
    <xf numFmtId="0" fontId="5" fillId="0" borderId="173" xfId="3" applyFont="1" applyBorder="1">
      <alignment vertical="center"/>
    </xf>
    <xf numFmtId="177" fontId="5" fillId="0" borderId="42" xfId="3" quotePrefix="1" applyNumberFormat="1" applyFont="1" applyBorder="1" applyAlignment="1">
      <alignment vertical="center" wrapText="1"/>
    </xf>
    <xf numFmtId="178" fontId="13" fillId="44" borderId="38" xfId="3" applyNumberFormat="1" applyFont="1" applyFill="1" applyBorder="1" applyAlignment="1">
      <alignment vertical="center" wrapText="1"/>
    </xf>
    <xf numFmtId="177" fontId="5" fillId="0" borderId="82" xfId="3" quotePrefix="1" applyNumberFormat="1" applyFont="1" applyBorder="1" applyAlignment="1">
      <alignment vertical="center" wrapText="1"/>
    </xf>
    <xf numFmtId="9" fontId="13" fillId="44" borderId="38" xfId="8" applyFont="1" applyFill="1" applyBorder="1" applyAlignment="1">
      <alignment vertical="center" wrapText="1"/>
    </xf>
    <xf numFmtId="0" fontId="5" fillId="0" borderId="41" xfId="3" applyFont="1" applyBorder="1" applyAlignment="1">
      <alignment vertical="top"/>
    </xf>
    <xf numFmtId="0" fontId="5" fillId="0" borderId="42" xfId="3" applyFont="1" applyBorder="1" applyAlignment="1">
      <alignment vertical="top" wrapText="1"/>
    </xf>
    <xf numFmtId="0" fontId="5" fillId="0" borderId="45" xfId="3" applyFont="1" applyBorder="1" applyAlignment="1">
      <alignment vertical="top" wrapText="1"/>
    </xf>
    <xf numFmtId="0" fontId="5" fillId="3" borderId="67" xfId="3" applyFont="1" applyFill="1" applyBorder="1" applyAlignment="1">
      <alignment horizontal="center" vertical="center"/>
    </xf>
    <xf numFmtId="0" fontId="5" fillId="0" borderId="51" xfId="3" applyFont="1" applyBorder="1" applyAlignment="1">
      <alignment vertical="top"/>
    </xf>
    <xf numFmtId="0" fontId="5" fillId="0" borderId="53" xfId="3" applyFont="1" applyBorder="1" applyAlignment="1">
      <alignment vertical="top"/>
    </xf>
    <xf numFmtId="0" fontId="5" fillId="3" borderId="74" xfId="3" applyFont="1" applyFill="1" applyBorder="1" applyAlignment="1">
      <alignment horizontal="center" vertical="center"/>
    </xf>
    <xf numFmtId="178" fontId="13" fillId="4" borderId="235" xfId="3" applyNumberFormat="1" applyFont="1" applyFill="1" applyBorder="1" applyAlignment="1">
      <alignment vertical="center" wrapText="1"/>
    </xf>
    <xf numFmtId="178" fontId="5" fillId="3" borderId="74" xfId="3" applyNumberFormat="1" applyFont="1" applyFill="1" applyBorder="1" applyAlignment="1">
      <alignment vertical="center" wrapText="1"/>
    </xf>
    <xf numFmtId="178" fontId="13" fillId="4" borderId="74" xfId="3" applyNumberFormat="1" applyFont="1" applyFill="1" applyBorder="1" applyAlignment="1">
      <alignment vertical="center" wrapText="1"/>
    </xf>
    <xf numFmtId="178" fontId="13" fillId="4" borderId="236" xfId="3" applyNumberFormat="1" applyFont="1" applyFill="1" applyBorder="1" applyAlignment="1">
      <alignment vertical="center" wrapText="1"/>
    </xf>
    <xf numFmtId="0" fontId="5" fillId="4" borderId="73" xfId="3" applyFont="1" applyFill="1" applyBorder="1">
      <alignment vertical="center"/>
    </xf>
    <xf numFmtId="178" fontId="19" fillId="14" borderId="217" xfId="3" applyNumberFormat="1" applyFont="1" applyFill="1" applyBorder="1" applyAlignment="1">
      <alignment vertical="center" wrapText="1"/>
    </xf>
    <xf numFmtId="178" fontId="19" fillId="14" borderId="28" xfId="3" applyNumberFormat="1" applyFont="1" applyFill="1" applyBorder="1" applyAlignment="1">
      <alignment vertical="center" wrapText="1"/>
    </xf>
    <xf numFmtId="178" fontId="19" fillId="14" borderId="218" xfId="3" applyNumberFormat="1" applyFont="1" applyFill="1" applyBorder="1" applyAlignment="1">
      <alignment vertical="center" wrapText="1"/>
    </xf>
    <xf numFmtId="3" fontId="15" fillId="14" borderId="28" xfId="3" applyNumberFormat="1" applyFont="1" applyFill="1" applyBorder="1">
      <alignment vertical="center"/>
    </xf>
    <xf numFmtId="3" fontId="5" fillId="14" borderId="29" xfId="3" applyNumberFormat="1" applyFont="1" applyFill="1" applyBorder="1" applyAlignment="1">
      <alignment horizontal="center" vertical="center"/>
    </xf>
    <xf numFmtId="177" fontId="5" fillId="15" borderId="171" xfId="3" quotePrefix="1" applyNumberFormat="1" applyFont="1" applyFill="1" applyBorder="1">
      <alignment vertical="center"/>
    </xf>
    <xf numFmtId="0" fontId="5" fillId="3" borderId="42" xfId="3" applyFont="1" applyFill="1" applyBorder="1">
      <alignment vertical="center"/>
    </xf>
    <xf numFmtId="178" fontId="5" fillId="28" borderId="227" xfId="3" quotePrefix="1" applyNumberFormat="1" applyFont="1" applyFill="1" applyBorder="1" applyAlignment="1">
      <alignment vertical="center" wrapText="1"/>
    </xf>
    <xf numFmtId="178" fontId="5" fillId="15" borderId="78" xfId="3" quotePrefix="1" applyNumberFormat="1" applyFont="1" applyFill="1" applyBorder="1" applyAlignment="1">
      <alignment vertical="center" wrapText="1"/>
    </xf>
    <xf numFmtId="178" fontId="5" fillId="28" borderId="78" xfId="3" quotePrefix="1" applyNumberFormat="1" applyFont="1" applyFill="1" applyBorder="1" applyAlignment="1">
      <alignment vertical="center" wrapText="1"/>
    </xf>
    <xf numFmtId="178" fontId="5" fillId="15" borderId="37" xfId="3" quotePrefix="1" applyNumberFormat="1" applyFont="1" applyFill="1" applyBorder="1" applyAlignment="1">
      <alignment vertical="center" wrapText="1"/>
    </xf>
    <xf numFmtId="178" fontId="5" fillId="28" borderId="228" xfId="3" quotePrefix="1" applyNumberFormat="1" applyFont="1" applyFill="1" applyBorder="1" applyAlignment="1">
      <alignment vertical="center" wrapText="1"/>
    </xf>
    <xf numFmtId="178" fontId="5" fillId="44" borderId="228" xfId="3" quotePrefix="1" applyNumberFormat="1" applyFont="1" applyFill="1" applyBorder="1" applyAlignment="1">
      <alignment vertical="center" wrapText="1"/>
    </xf>
    <xf numFmtId="0" fontId="5" fillId="3" borderId="54" xfId="3" applyFont="1" applyFill="1" applyBorder="1">
      <alignment vertical="center"/>
    </xf>
    <xf numFmtId="0" fontId="5" fillId="3" borderId="43" xfId="3" applyFont="1" applyFill="1" applyBorder="1">
      <alignment vertical="center"/>
    </xf>
    <xf numFmtId="0" fontId="5" fillId="3" borderId="37" xfId="3" applyFont="1" applyFill="1" applyBorder="1">
      <alignment vertical="center"/>
    </xf>
    <xf numFmtId="177" fontId="5" fillId="19" borderId="43" xfId="3" quotePrefix="1" applyNumberFormat="1" applyFont="1" applyFill="1" applyBorder="1">
      <alignment vertical="center"/>
    </xf>
    <xf numFmtId="177" fontId="5" fillId="19" borderId="42" xfId="3" quotePrefix="1" applyNumberFormat="1" applyFont="1" applyFill="1" applyBorder="1" applyAlignment="1">
      <alignment vertical="center" wrapText="1"/>
    </xf>
    <xf numFmtId="177" fontId="5" fillId="19" borderId="43" xfId="3" quotePrefix="1" applyNumberFormat="1" applyFont="1" applyFill="1" applyBorder="1" applyAlignment="1">
      <alignment horizontal="center" vertical="center"/>
    </xf>
    <xf numFmtId="0" fontId="5" fillId="19" borderId="42" xfId="3" applyFont="1" applyFill="1" applyBorder="1">
      <alignment vertical="center"/>
    </xf>
    <xf numFmtId="177" fontId="5" fillId="14" borderId="38" xfId="3" quotePrefix="1" applyNumberFormat="1" applyFont="1" applyFill="1" applyBorder="1" applyAlignment="1">
      <alignment horizontal="center" vertical="center"/>
    </xf>
    <xf numFmtId="178" fontId="13" fillId="14" borderId="219" xfId="3" applyNumberFormat="1" applyFont="1" applyFill="1" applyBorder="1" applyAlignment="1">
      <alignment vertical="center" wrapText="1"/>
    </xf>
    <xf numFmtId="178" fontId="13" fillId="14" borderId="38" xfId="3" applyNumberFormat="1" applyFont="1" applyFill="1" applyBorder="1" applyAlignment="1">
      <alignment vertical="center" wrapText="1"/>
    </xf>
    <xf numFmtId="0" fontId="5" fillId="0" borderId="54" xfId="3" applyFont="1" applyBorder="1">
      <alignment vertical="center"/>
    </xf>
    <xf numFmtId="0" fontId="5" fillId="0" borderId="38" xfId="3" applyFont="1" applyBorder="1" applyAlignment="1">
      <alignment vertical="top"/>
    </xf>
    <xf numFmtId="0" fontId="5" fillId="3" borderId="38" xfId="3" applyFont="1" applyFill="1" applyBorder="1" applyAlignment="1">
      <alignment vertical="top"/>
    </xf>
    <xf numFmtId="177" fontId="5" fillId="19" borderId="42" xfId="3" quotePrefix="1" applyNumberFormat="1" applyFont="1" applyFill="1" applyBorder="1">
      <alignment vertical="center"/>
    </xf>
    <xf numFmtId="0" fontId="5" fillId="3" borderId="184" xfId="3" applyFont="1" applyFill="1" applyBorder="1" applyAlignment="1">
      <alignment vertical="top" wrapText="1"/>
    </xf>
    <xf numFmtId="178" fontId="5" fillId="0" borderId="38" xfId="3" applyNumberFormat="1" applyFont="1" applyBorder="1" applyAlignment="1">
      <alignment vertical="center" wrapText="1"/>
    </xf>
    <xf numFmtId="178" fontId="13" fillId="18" borderId="220" xfId="3" applyNumberFormat="1" applyFont="1" applyFill="1" applyBorder="1" applyAlignment="1">
      <alignment vertical="center" wrapText="1"/>
    </xf>
    <xf numFmtId="178" fontId="13" fillId="18" borderId="219" xfId="3" applyNumberFormat="1" applyFont="1" applyFill="1" applyBorder="1" applyAlignment="1">
      <alignment vertical="center" wrapText="1"/>
    </xf>
    <xf numFmtId="178" fontId="13" fillId="18" borderId="38" xfId="3" applyNumberFormat="1" applyFont="1" applyFill="1" applyBorder="1" applyAlignment="1">
      <alignment vertical="center" wrapText="1"/>
    </xf>
    <xf numFmtId="0" fontId="5" fillId="0" borderId="172" xfId="3" applyFont="1" applyBorder="1" applyAlignment="1">
      <alignment vertical="center" wrapText="1"/>
    </xf>
    <xf numFmtId="178" fontId="5" fillId="5" borderId="219" xfId="3" applyNumberFormat="1" applyFont="1" applyFill="1" applyBorder="1" applyAlignment="1">
      <alignment vertical="center" wrapText="1"/>
    </xf>
    <xf numFmtId="178" fontId="5" fillId="5" borderId="38" xfId="3" applyNumberFormat="1" applyFont="1" applyFill="1" applyBorder="1" applyAlignment="1">
      <alignment vertical="center" wrapText="1"/>
    </xf>
    <xf numFmtId="178" fontId="5" fillId="5" borderId="220" xfId="3" applyNumberFormat="1" applyFont="1" applyFill="1" applyBorder="1" applyAlignment="1">
      <alignment vertical="center" wrapText="1"/>
    </xf>
    <xf numFmtId="0" fontId="5" fillId="0" borderId="174" xfId="3" applyFont="1" applyBorder="1" applyAlignment="1">
      <alignment vertical="center" wrapText="1"/>
    </xf>
    <xf numFmtId="0" fontId="5" fillId="0" borderId="176" xfId="3" applyFont="1" applyBorder="1" applyAlignment="1">
      <alignment vertical="center" wrapText="1"/>
    </xf>
    <xf numFmtId="0" fontId="5" fillId="19" borderId="173" xfId="3" quotePrefix="1" applyFont="1" applyFill="1" applyBorder="1">
      <alignment vertical="center"/>
    </xf>
    <xf numFmtId="0" fontId="5" fillId="19" borderId="38" xfId="3" applyFont="1" applyFill="1" applyBorder="1" applyAlignment="1">
      <alignment vertical="top"/>
    </xf>
    <xf numFmtId="0" fontId="5" fillId="0" borderId="173" xfId="3" quotePrefix="1" applyFont="1" applyBorder="1">
      <alignment vertical="center"/>
    </xf>
    <xf numFmtId="0" fontId="5" fillId="3" borderId="45" xfId="3" applyFont="1" applyFill="1" applyBorder="1">
      <alignment vertical="center"/>
    </xf>
    <xf numFmtId="0" fontId="5" fillId="0" borderId="159" xfId="3" quotePrefix="1" applyFont="1" applyBorder="1">
      <alignment vertical="center"/>
    </xf>
    <xf numFmtId="0" fontId="5" fillId="0" borderId="189" xfId="3" quotePrefix="1" applyFont="1" applyBorder="1">
      <alignment vertical="center"/>
    </xf>
    <xf numFmtId="9" fontId="13" fillId="4" borderId="219" xfId="8" applyFont="1" applyFill="1" applyBorder="1" applyAlignment="1">
      <alignment vertical="center" wrapText="1"/>
    </xf>
    <xf numFmtId="0" fontId="5" fillId="19" borderId="43" xfId="3" applyFont="1" applyFill="1" applyBorder="1">
      <alignment vertical="center"/>
    </xf>
    <xf numFmtId="10" fontId="13" fillId="43" borderId="219" xfId="8" applyNumberFormat="1" applyFont="1" applyFill="1" applyBorder="1" applyAlignment="1">
      <alignment vertical="center" wrapText="1"/>
    </xf>
    <xf numFmtId="10" fontId="13" fillId="43" borderId="38" xfId="8" applyNumberFormat="1" applyFont="1" applyFill="1" applyBorder="1" applyAlignment="1">
      <alignment vertical="center" wrapText="1"/>
    </xf>
    <xf numFmtId="10" fontId="13" fillId="43" borderId="220" xfId="8" applyNumberFormat="1" applyFont="1" applyFill="1" applyBorder="1" applyAlignment="1">
      <alignment vertical="center" wrapText="1"/>
    </xf>
    <xf numFmtId="0" fontId="5" fillId="3" borderId="159" xfId="3" quotePrefix="1" applyFont="1" applyFill="1" applyBorder="1">
      <alignment vertical="center"/>
    </xf>
    <xf numFmtId="0" fontId="5" fillId="3" borderId="27" xfId="3" quotePrefix="1" applyFont="1" applyFill="1" applyBorder="1">
      <alignment vertical="center"/>
    </xf>
    <xf numFmtId="0" fontId="5" fillId="0" borderId="75" xfId="3" applyFont="1" applyBorder="1">
      <alignment vertical="center"/>
    </xf>
    <xf numFmtId="0" fontId="5" fillId="3" borderId="87" xfId="3" applyFont="1" applyFill="1" applyBorder="1">
      <alignment vertical="center"/>
    </xf>
    <xf numFmtId="0" fontId="5" fillId="3" borderId="95" xfId="3" applyFont="1" applyFill="1" applyBorder="1">
      <alignment vertical="center"/>
    </xf>
    <xf numFmtId="9" fontId="13" fillId="4" borderId="235" xfId="8" applyFont="1" applyFill="1" applyBorder="1" applyAlignment="1">
      <alignment vertical="center" wrapText="1"/>
    </xf>
    <xf numFmtId="10" fontId="13" fillId="43" borderId="74" xfId="8" applyNumberFormat="1" applyFont="1" applyFill="1" applyBorder="1" applyAlignment="1">
      <alignment vertical="center" wrapText="1"/>
    </xf>
    <xf numFmtId="3" fontId="5" fillId="3" borderId="235" xfId="3" applyNumberFormat="1" applyFont="1" applyFill="1" applyBorder="1" applyAlignment="1">
      <alignment horizontal="center" vertical="center"/>
    </xf>
    <xf numFmtId="0" fontId="15" fillId="14" borderId="22" xfId="3" applyFont="1" applyFill="1" applyBorder="1" applyAlignment="1">
      <alignment vertical="top"/>
    </xf>
    <xf numFmtId="0" fontId="5" fillId="14" borderId="29" xfId="3" applyFont="1" applyFill="1" applyBorder="1" applyAlignment="1">
      <alignment horizontal="center" vertical="center"/>
    </xf>
    <xf numFmtId="0" fontId="5" fillId="0" borderId="41" xfId="3" quotePrefix="1" applyFont="1" applyBorder="1" applyAlignment="1">
      <alignment vertical="top"/>
    </xf>
    <xf numFmtId="0" fontId="5" fillId="0" borderId="42" xfId="3" quotePrefix="1" applyFont="1" applyBorder="1" applyAlignment="1">
      <alignment vertical="top" wrapText="1"/>
    </xf>
    <xf numFmtId="0" fontId="5" fillId="0" borderId="45" xfId="3" quotePrefix="1" applyFont="1" applyBorder="1" applyAlignment="1">
      <alignment horizontal="left" vertical="top" wrapText="1"/>
    </xf>
    <xf numFmtId="0" fontId="5" fillId="0" borderId="77" xfId="3" applyFont="1" applyBorder="1" applyAlignment="1">
      <alignment horizontal="center" vertical="center"/>
    </xf>
    <xf numFmtId="0" fontId="5" fillId="0" borderId="78" xfId="3" quotePrefix="1" applyFont="1" applyBorder="1" applyAlignment="1">
      <alignment horizontal="left" vertical="top"/>
    </xf>
    <xf numFmtId="0" fontId="5" fillId="0" borderId="42" xfId="3" quotePrefix="1" applyFont="1" applyBorder="1" applyAlignment="1">
      <alignment vertical="top"/>
    </xf>
    <xf numFmtId="0" fontId="5" fillId="0" borderId="45" xfId="3" quotePrefix="1" applyFont="1" applyBorder="1" applyAlignment="1">
      <alignment horizontal="left" vertical="top"/>
    </xf>
    <xf numFmtId="0" fontId="5" fillId="0" borderId="78" xfId="3" applyFont="1" applyBorder="1" applyAlignment="1">
      <alignment horizontal="center" vertical="center"/>
    </xf>
    <xf numFmtId="3" fontId="13" fillId="15" borderId="227" xfId="3" applyNumberFormat="1" applyFont="1" applyFill="1" applyBorder="1" applyAlignment="1">
      <alignment vertical="center" wrapText="1"/>
    </xf>
    <xf numFmtId="0" fontId="5" fillId="0" borderId="78" xfId="3" applyFont="1" applyBorder="1" applyAlignment="1">
      <alignment vertical="center" wrapText="1"/>
    </xf>
    <xf numFmtId="3" fontId="13" fillId="15" borderId="78" xfId="3" applyNumberFormat="1" applyFont="1" applyFill="1" applyBorder="1" applyAlignment="1">
      <alignment vertical="center" wrapText="1"/>
    </xf>
    <xf numFmtId="3" fontId="13" fillId="4" borderId="228" xfId="3" applyNumberFormat="1" applyFont="1" applyFill="1" applyBorder="1" applyAlignment="1">
      <alignment vertical="center" wrapText="1"/>
    </xf>
    <xf numFmtId="3" fontId="13" fillId="4" borderId="227" xfId="3" applyNumberFormat="1" applyFont="1" applyFill="1" applyBorder="1" applyAlignment="1">
      <alignment vertical="center" wrapText="1"/>
    </xf>
    <xf numFmtId="3" fontId="13" fillId="4" borderId="78" xfId="3" applyNumberFormat="1" applyFont="1" applyFill="1" applyBorder="1" applyAlignment="1">
      <alignment vertical="center" wrapText="1"/>
    </xf>
    <xf numFmtId="0" fontId="5" fillId="4" borderId="77" xfId="3" applyFont="1" applyFill="1" applyBorder="1">
      <alignment vertical="center"/>
    </xf>
    <xf numFmtId="0" fontId="5" fillId="17" borderId="267" xfId="3" applyFont="1" applyFill="1" applyBorder="1" applyAlignment="1">
      <alignment horizontal="center" vertical="center"/>
    </xf>
    <xf numFmtId="0" fontId="5" fillId="0" borderId="38" xfId="3" quotePrefix="1" applyFont="1" applyBorder="1" applyAlignment="1">
      <alignment horizontal="left" vertical="top"/>
    </xf>
    <xf numFmtId="3" fontId="13" fillId="15" borderId="219" xfId="3" applyNumberFormat="1" applyFont="1" applyFill="1" applyBorder="1" applyAlignment="1">
      <alignment vertical="center" wrapText="1"/>
    </xf>
    <xf numFmtId="3" fontId="13" fillId="15" borderId="38" xfId="3" applyNumberFormat="1" applyFont="1" applyFill="1" applyBorder="1" applyAlignment="1">
      <alignment vertical="center" wrapText="1"/>
    </xf>
    <xf numFmtId="0" fontId="5" fillId="4" borderId="43" xfId="3" applyFont="1" applyFill="1" applyBorder="1">
      <alignment vertical="center"/>
    </xf>
    <xf numFmtId="0" fontId="5" fillId="17" borderId="268" xfId="3" applyFont="1" applyFill="1" applyBorder="1" applyAlignment="1">
      <alignment horizontal="center" vertical="center"/>
    </xf>
    <xf numFmtId="0" fontId="5" fillId="0" borderId="38" xfId="3" quotePrefix="1" applyFont="1" applyBorder="1" applyAlignment="1">
      <alignment vertical="top"/>
    </xf>
    <xf numFmtId="0" fontId="5" fillId="0" borderId="45" xfId="3" quotePrefix="1" applyFont="1" applyBorder="1" applyAlignment="1">
      <alignment horizontal="center" vertical="center"/>
    </xf>
    <xf numFmtId="0" fontId="5" fillId="17" borderId="269" xfId="3" applyFont="1" applyFill="1" applyBorder="1" applyAlignment="1">
      <alignment horizontal="center" vertical="center"/>
    </xf>
    <xf numFmtId="0" fontId="5" fillId="0" borderId="172" xfId="3" quotePrefix="1" applyFont="1" applyBorder="1">
      <alignment vertical="center"/>
    </xf>
    <xf numFmtId="0" fontId="5" fillId="0" borderId="42" xfId="3" quotePrefix="1" applyFont="1" applyBorder="1">
      <alignment vertical="center"/>
    </xf>
    <xf numFmtId="0" fontId="5" fillId="0" borderId="45" xfId="3" applyFont="1" applyBorder="1" applyAlignment="1">
      <alignment horizontal="center" vertical="center"/>
    </xf>
    <xf numFmtId="178" fontId="21" fillId="5" borderId="219" xfId="3" applyNumberFormat="1" applyFont="1" applyFill="1" applyBorder="1" applyAlignment="1">
      <alignment vertical="center" wrapText="1"/>
    </xf>
    <xf numFmtId="178" fontId="21" fillId="5" borderId="38" xfId="3" applyNumberFormat="1" applyFont="1" applyFill="1" applyBorder="1" applyAlignment="1">
      <alignment vertical="center" wrapText="1"/>
    </xf>
    <xf numFmtId="178" fontId="21" fillId="5" borderId="220" xfId="3" applyNumberFormat="1" applyFont="1" applyFill="1" applyBorder="1" applyAlignment="1">
      <alignment vertical="center" wrapText="1"/>
    </xf>
    <xf numFmtId="0" fontId="5" fillId="17" borderId="270" xfId="3" applyFont="1" applyFill="1" applyBorder="1" applyAlignment="1">
      <alignment horizontal="center" vertical="center"/>
    </xf>
    <xf numFmtId="0" fontId="5" fillId="0" borderId="174" xfId="3" quotePrefix="1" applyFont="1" applyBorder="1">
      <alignment vertical="center"/>
    </xf>
    <xf numFmtId="0" fontId="5" fillId="0" borderId="43" xfId="3" quotePrefix="1" applyFont="1" applyBorder="1">
      <alignment vertical="center"/>
    </xf>
    <xf numFmtId="0" fontId="5" fillId="0" borderId="54" xfId="3" quotePrefix="1" applyFont="1" applyBorder="1" applyAlignment="1">
      <alignment vertical="top"/>
    </xf>
    <xf numFmtId="178" fontId="5" fillId="0" borderId="38" xfId="3" applyNumberFormat="1" applyFont="1" applyBorder="1" applyAlignment="1">
      <alignment vertical="top" wrapText="1"/>
    </xf>
    <xf numFmtId="178" fontId="5" fillId="0" borderId="38" xfId="3" applyNumberFormat="1" applyFont="1" applyBorder="1" applyAlignment="1">
      <alignment horizontal="center" vertical="top" wrapText="1"/>
    </xf>
    <xf numFmtId="0" fontId="5" fillId="17" borderId="101" xfId="3" applyFont="1" applyFill="1" applyBorder="1" applyAlignment="1">
      <alignment horizontal="center" vertical="center"/>
    </xf>
    <xf numFmtId="0" fontId="5" fillId="0" borderId="176" xfId="3" quotePrefix="1" applyFont="1" applyBorder="1">
      <alignment vertical="center"/>
    </xf>
    <xf numFmtId="0" fontId="5" fillId="0" borderId="37" xfId="3" quotePrefix="1" applyFont="1" applyBorder="1" applyAlignment="1">
      <alignment vertical="top"/>
    </xf>
    <xf numFmtId="3" fontId="21" fillId="5" borderId="219" xfId="3" applyNumberFormat="1" applyFont="1" applyFill="1" applyBorder="1" applyAlignment="1">
      <alignment vertical="center" wrapText="1"/>
    </xf>
    <xf numFmtId="3" fontId="21" fillId="5" borderId="38" xfId="3" applyNumberFormat="1" applyFont="1" applyFill="1" applyBorder="1" applyAlignment="1">
      <alignment vertical="center" wrapText="1"/>
    </xf>
    <xf numFmtId="3" fontId="21" fillId="5" borderId="220" xfId="3" applyNumberFormat="1" applyFont="1" applyFill="1" applyBorder="1" applyAlignment="1">
      <alignment vertical="center" wrapText="1"/>
    </xf>
    <xf numFmtId="177" fontId="5" fillId="15" borderId="54" xfId="3" quotePrefix="1" applyNumberFormat="1" applyFont="1" applyFill="1" applyBorder="1" applyAlignment="1">
      <alignment vertical="top"/>
    </xf>
    <xf numFmtId="0" fontId="5" fillId="4" borderId="52" xfId="3" applyFont="1" applyFill="1" applyBorder="1">
      <alignment vertical="center"/>
    </xf>
    <xf numFmtId="0" fontId="5" fillId="0" borderId="45" xfId="3" quotePrefix="1" applyFont="1" applyBorder="1">
      <alignment vertical="center"/>
    </xf>
    <xf numFmtId="0" fontId="5" fillId="4" borderId="42" xfId="3" applyFont="1" applyFill="1" applyBorder="1">
      <alignment vertical="center"/>
    </xf>
    <xf numFmtId="0" fontId="5" fillId="21" borderId="170" xfId="3" applyFont="1" applyFill="1" applyBorder="1" applyAlignment="1">
      <alignment horizontal="center" vertical="top" wrapText="1"/>
    </xf>
    <xf numFmtId="177" fontId="5" fillId="15" borderId="172" xfId="3" quotePrefix="1" applyNumberFormat="1" applyFont="1" applyFill="1" applyBorder="1" applyAlignment="1">
      <alignment vertical="top"/>
    </xf>
    <xf numFmtId="178" fontId="13" fillId="46" borderId="229" xfId="3" applyNumberFormat="1" applyFont="1" applyFill="1" applyBorder="1" applyAlignment="1">
      <alignment vertical="center" wrapText="1"/>
    </xf>
    <xf numFmtId="178" fontId="5" fillId="46" borderId="37" xfId="3" applyNumberFormat="1" applyFont="1" applyFill="1" applyBorder="1" applyAlignment="1">
      <alignment vertical="center" wrapText="1"/>
    </xf>
    <xf numFmtId="178" fontId="13" fillId="46" borderId="37" xfId="3" applyNumberFormat="1" applyFont="1" applyFill="1" applyBorder="1" applyAlignment="1">
      <alignment vertical="center" wrapText="1"/>
    </xf>
    <xf numFmtId="178" fontId="13" fillId="46" borderId="230" xfId="3" applyNumberFormat="1" applyFont="1" applyFill="1" applyBorder="1" applyAlignment="1">
      <alignment vertical="center" wrapText="1"/>
    </xf>
    <xf numFmtId="9" fontId="13" fillId="44" borderId="37" xfId="8" applyFont="1" applyFill="1" applyBorder="1" applyAlignment="1">
      <alignment vertical="center" wrapText="1"/>
    </xf>
    <xf numFmtId="178" fontId="13" fillId="15" borderId="37" xfId="3" quotePrefix="1" applyNumberFormat="1" applyFont="1" applyFill="1" applyBorder="1" applyAlignment="1">
      <alignment vertical="center" wrapText="1"/>
    </xf>
    <xf numFmtId="0" fontId="1" fillId="4" borderId="34" xfId="3" applyFill="1" applyBorder="1">
      <alignment vertical="center"/>
    </xf>
    <xf numFmtId="3" fontId="5" fillId="15" borderId="43" xfId="3" quotePrefix="1" applyNumberFormat="1" applyFont="1" applyFill="1" applyBorder="1" applyAlignment="1">
      <alignment horizontal="center" vertical="center"/>
    </xf>
    <xf numFmtId="3" fontId="5" fillId="15" borderId="38" xfId="3" quotePrefix="1" applyNumberFormat="1" applyFont="1" applyFill="1" applyBorder="1" applyAlignment="1">
      <alignment horizontal="center" vertical="center"/>
    </xf>
    <xf numFmtId="178" fontId="13" fillId="46" borderId="219" xfId="3" applyNumberFormat="1" applyFont="1" applyFill="1" applyBorder="1" applyAlignment="1">
      <alignment vertical="center" wrapText="1"/>
    </xf>
    <xf numFmtId="178" fontId="5" fillId="46" borderId="38" xfId="3" applyNumberFormat="1" applyFont="1" applyFill="1" applyBorder="1" applyAlignment="1">
      <alignment vertical="center" wrapText="1"/>
    </xf>
    <xf numFmtId="178" fontId="13" fillId="46" borderId="38" xfId="3" applyNumberFormat="1" applyFont="1" applyFill="1" applyBorder="1" applyAlignment="1">
      <alignment vertical="center" wrapText="1"/>
    </xf>
    <xf numFmtId="178" fontId="13" fillId="46" borderId="220" xfId="3" applyNumberFormat="1" applyFont="1" applyFill="1" applyBorder="1" applyAlignment="1">
      <alignment vertical="center" wrapText="1"/>
    </xf>
    <xf numFmtId="0" fontId="1" fillId="4" borderId="43" xfId="3" applyFill="1" applyBorder="1">
      <alignment vertical="center"/>
    </xf>
    <xf numFmtId="177" fontId="5" fillId="15" borderId="196" xfId="3" quotePrefix="1" applyNumberFormat="1" applyFont="1" applyFill="1" applyBorder="1" applyAlignment="1">
      <alignment vertical="top"/>
    </xf>
    <xf numFmtId="177" fontId="5" fillId="15" borderId="67" xfId="3" quotePrefix="1" applyNumberFormat="1" applyFont="1" applyFill="1" applyBorder="1" applyAlignment="1">
      <alignment horizontal="center" vertical="center"/>
    </xf>
    <xf numFmtId="177" fontId="5" fillId="0" borderId="74" xfId="3" quotePrefix="1" applyNumberFormat="1" applyFont="1" applyBorder="1" applyAlignment="1">
      <alignment vertical="top"/>
    </xf>
    <xf numFmtId="177" fontId="5" fillId="0" borderId="51" xfId="3" quotePrefix="1" applyNumberFormat="1" applyFont="1" applyBorder="1" applyAlignment="1">
      <alignment vertical="top"/>
    </xf>
    <xf numFmtId="177" fontId="5" fillId="0" borderId="74" xfId="3" quotePrefix="1" applyNumberFormat="1" applyFont="1" applyBorder="1" applyAlignment="1">
      <alignment horizontal="center" vertical="center"/>
    </xf>
    <xf numFmtId="178" fontId="13" fillId="4" borderId="235" xfId="3" quotePrefix="1" applyNumberFormat="1" applyFont="1" applyFill="1" applyBorder="1" applyAlignment="1">
      <alignment vertical="center" wrapText="1"/>
    </xf>
    <xf numFmtId="178" fontId="13" fillId="15" borderId="74" xfId="3" quotePrefix="1" applyNumberFormat="1" applyFont="1" applyFill="1" applyBorder="1" applyAlignment="1">
      <alignment vertical="center" wrapText="1"/>
    </xf>
    <xf numFmtId="178" fontId="13" fillId="4" borderId="74" xfId="3" quotePrefix="1" applyNumberFormat="1" applyFont="1" applyFill="1" applyBorder="1" applyAlignment="1">
      <alignment vertical="center" wrapText="1"/>
    </xf>
    <xf numFmtId="0" fontId="57" fillId="3" borderId="170" xfId="3" applyFont="1" applyFill="1" applyBorder="1" applyAlignment="1">
      <alignment horizontal="center" vertical="top" wrapText="1"/>
    </xf>
    <xf numFmtId="0" fontId="56" fillId="14" borderId="30" xfId="3" applyFont="1" applyFill="1" applyBorder="1">
      <alignment vertical="center"/>
    </xf>
    <xf numFmtId="0" fontId="58" fillId="14" borderId="28" xfId="3" applyFont="1" applyFill="1" applyBorder="1">
      <alignment vertical="center"/>
    </xf>
    <xf numFmtId="0" fontId="58" fillId="14" borderId="28" xfId="3" applyFont="1" applyFill="1" applyBorder="1" applyAlignment="1">
      <alignment horizontal="center" vertical="center"/>
    </xf>
    <xf numFmtId="0" fontId="56" fillId="14" borderId="55" xfId="3" applyFont="1" applyFill="1" applyBorder="1" applyAlignment="1">
      <alignment vertical="top"/>
    </xf>
    <xf numFmtId="0" fontId="58" fillId="14" borderId="28" xfId="3" applyFont="1" applyFill="1" applyBorder="1" applyAlignment="1">
      <alignment vertical="top"/>
    </xf>
    <xf numFmtId="0" fontId="56" fillId="14" borderId="217" xfId="3" applyFont="1" applyFill="1" applyBorder="1" applyAlignment="1">
      <alignment vertical="center" wrapText="1"/>
    </xf>
    <xf numFmtId="0" fontId="56" fillId="14" borderId="28" xfId="3" applyFont="1" applyFill="1" applyBorder="1" applyAlignment="1">
      <alignment vertical="center" wrapText="1"/>
    </xf>
    <xf numFmtId="0" fontId="56" fillId="14" borderId="218" xfId="3" applyFont="1" applyFill="1" applyBorder="1" applyAlignment="1">
      <alignment vertical="center" wrapText="1"/>
    </xf>
    <xf numFmtId="0" fontId="56" fillId="14" borderId="217" xfId="3" applyFont="1" applyFill="1" applyBorder="1">
      <alignment vertical="center"/>
    </xf>
    <xf numFmtId="0" fontId="56" fillId="14" borderId="28" xfId="3" applyFont="1" applyFill="1" applyBorder="1">
      <alignment vertical="center"/>
    </xf>
    <xf numFmtId="0" fontId="59" fillId="14" borderId="29" xfId="3" applyFont="1" applyFill="1" applyBorder="1" applyAlignment="1">
      <alignment horizontal="center" vertical="center"/>
    </xf>
    <xf numFmtId="0" fontId="59" fillId="3" borderId="0" xfId="3" applyFont="1" applyFill="1" applyAlignment="1">
      <alignment horizontal="center" vertical="center"/>
    </xf>
    <xf numFmtId="0" fontId="57" fillId="0" borderId="0" xfId="3" applyFont="1">
      <alignment vertical="center"/>
    </xf>
    <xf numFmtId="177" fontId="57" fillId="15" borderId="171" xfId="3" quotePrefix="1" applyNumberFormat="1" applyFont="1" applyFill="1" applyBorder="1">
      <alignment vertical="center"/>
    </xf>
    <xf numFmtId="177" fontId="57" fillId="15" borderId="33" xfId="3" quotePrefix="1" applyNumberFormat="1" applyFont="1" applyFill="1" applyBorder="1">
      <alignment vertical="center"/>
    </xf>
    <xf numFmtId="3" fontId="57" fillId="15" borderId="77" xfId="3" quotePrefix="1" applyNumberFormat="1" applyFont="1" applyFill="1" applyBorder="1" applyAlignment="1">
      <alignment horizontal="center" vertical="center"/>
    </xf>
    <xf numFmtId="177" fontId="57" fillId="15" borderId="35" xfId="3" quotePrefix="1" applyNumberFormat="1" applyFont="1" applyFill="1" applyBorder="1" applyAlignment="1">
      <alignment vertical="top"/>
    </xf>
    <xf numFmtId="177" fontId="57" fillId="15" borderId="33" xfId="3" quotePrefix="1" applyNumberFormat="1" applyFont="1" applyFill="1" applyBorder="1" applyAlignment="1">
      <alignment vertical="top"/>
    </xf>
    <xf numFmtId="177" fontId="57" fillId="15" borderId="36" xfId="3" quotePrefix="1" applyNumberFormat="1" applyFont="1" applyFill="1" applyBorder="1" applyAlignment="1">
      <alignment vertical="top"/>
    </xf>
    <xf numFmtId="3" fontId="57" fillId="15" borderId="78" xfId="3" quotePrefix="1" applyNumberFormat="1" applyFont="1" applyFill="1" applyBorder="1" applyAlignment="1">
      <alignment horizontal="center" vertical="center"/>
    </xf>
    <xf numFmtId="178" fontId="57" fillId="28" borderId="227" xfId="3" quotePrefix="1" applyNumberFormat="1" applyFont="1" applyFill="1" applyBorder="1" applyAlignment="1">
      <alignment vertical="center" wrapText="1"/>
    </xf>
    <xf numFmtId="178" fontId="57" fillId="3" borderId="78" xfId="3" applyNumberFormat="1" applyFont="1" applyFill="1" applyBorder="1" applyAlignment="1">
      <alignment vertical="center" wrapText="1"/>
    </xf>
    <xf numFmtId="178" fontId="57" fillId="28" borderId="78" xfId="3" quotePrefix="1" applyNumberFormat="1" applyFont="1" applyFill="1" applyBorder="1" applyAlignment="1">
      <alignment vertical="center" wrapText="1"/>
    </xf>
    <xf numFmtId="178" fontId="57" fillId="28" borderId="228" xfId="3" applyNumberFormat="1" applyFont="1" applyFill="1" applyBorder="1" applyAlignment="1">
      <alignment vertical="center" wrapText="1"/>
    </xf>
    <xf numFmtId="178" fontId="60" fillId="4" borderId="228" xfId="3" applyNumberFormat="1" applyFont="1" applyFill="1" applyBorder="1" applyAlignment="1">
      <alignment vertical="center" wrapText="1"/>
    </xf>
    <xf numFmtId="178" fontId="60" fillId="4" borderId="227" xfId="3" applyNumberFormat="1" applyFont="1" applyFill="1" applyBorder="1" applyAlignment="1">
      <alignment vertical="center" wrapText="1"/>
    </xf>
    <xf numFmtId="178" fontId="60" fillId="4" borderId="78" xfId="3" applyNumberFormat="1" applyFont="1" applyFill="1" applyBorder="1" applyAlignment="1">
      <alignment vertical="center" wrapText="1"/>
    </xf>
    <xf numFmtId="3" fontId="57" fillId="3" borderId="227" xfId="3" applyNumberFormat="1" applyFont="1" applyFill="1" applyBorder="1" applyAlignment="1">
      <alignment horizontal="center" vertical="center"/>
    </xf>
    <xf numFmtId="0" fontId="57" fillId="4" borderId="78" xfId="3" applyFont="1" applyFill="1" applyBorder="1">
      <alignment vertical="center"/>
    </xf>
    <xf numFmtId="0" fontId="57" fillId="17" borderId="258" xfId="3" applyFont="1" applyFill="1" applyBorder="1" applyAlignment="1">
      <alignment horizontal="center" vertical="center"/>
    </xf>
    <xf numFmtId="177" fontId="57" fillId="15" borderId="174" xfId="3" quotePrefix="1" applyNumberFormat="1" applyFont="1" applyFill="1" applyBorder="1">
      <alignment vertical="center"/>
    </xf>
    <xf numFmtId="3" fontId="57" fillId="15" borderId="43" xfId="3" quotePrefix="1" applyNumberFormat="1" applyFont="1" applyFill="1" applyBorder="1" applyAlignment="1">
      <alignment horizontal="center" vertical="center"/>
    </xf>
    <xf numFmtId="177" fontId="57" fillId="15" borderId="44" xfId="3" quotePrefix="1" applyNumberFormat="1" applyFont="1" applyFill="1" applyBorder="1" applyAlignment="1">
      <alignment vertical="top"/>
    </xf>
    <xf numFmtId="177" fontId="57" fillId="15" borderId="54" xfId="3" quotePrefix="1" applyNumberFormat="1" applyFont="1" applyFill="1" applyBorder="1" applyAlignment="1">
      <alignment vertical="top"/>
    </xf>
    <xf numFmtId="177" fontId="57" fillId="15" borderId="43" xfId="3" quotePrefix="1" applyNumberFormat="1" applyFont="1" applyFill="1" applyBorder="1" applyAlignment="1">
      <alignment vertical="top"/>
    </xf>
    <xf numFmtId="177" fontId="57" fillId="15" borderId="45" xfId="3" quotePrefix="1" applyNumberFormat="1" applyFont="1" applyFill="1" applyBorder="1" applyAlignment="1">
      <alignment vertical="top"/>
    </xf>
    <xf numFmtId="3" fontId="57" fillId="15" borderId="38" xfId="3" quotePrefix="1" applyNumberFormat="1" applyFont="1" applyFill="1" applyBorder="1" applyAlignment="1">
      <alignment horizontal="center" vertical="center"/>
    </xf>
    <xf numFmtId="178" fontId="60" fillId="15" borderId="219" xfId="3" applyNumberFormat="1" applyFont="1" applyFill="1" applyBorder="1" applyAlignment="1">
      <alignment vertical="center" wrapText="1"/>
    </xf>
    <xf numFmtId="178" fontId="57" fillId="3" borderId="38" xfId="3" applyNumberFormat="1" applyFont="1" applyFill="1" applyBorder="1" applyAlignment="1">
      <alignment vertical="top" wrapText="1"/>
    </xf>
    <xf numFmtId="178" fontId="60" fillId="15" borderId="38" xfId="3" applyNumberFormat="1" applyFont="1" applyFill="1" applyBorder="1" applyAlignment="1">
      <alignment vertical="center" wrapText="1"/>
    </xf>
    <xf numFmtId="178" fontId="60" fillId="4" borderId="220" xfId="3" applyNumberFormat="1" applyFont="1" applyFill="1" applyBorder="1" applyAlignment="1">
      <alignment vertical="center" wrapText="1"/>
    </xf>
    <xf numFmtId="178" fontId="57" fillId="3" borderId="38" xfId="3" applyNumberFormat="1" applyFont="1" applyFill="1" applyBorder="1" applyAlignment="1">
      <alignment vertical="center" wrapText="1"/>
    </xf>
    <xf numFmtId="178" fontId="60" fillId="4" borderId="219" xfId="3" applyNumberFormat="1" applyFont="1" applyFill="1" applyBorder="1" applyAlignment="1">
      <alignment vertical="center" wrapText="1"/>
    </xf>
    <xf numFmtId="178" fontId="60" fillId="4" borderId="38" xfId="3" applyNumberFormat="1" applyFont="1" applyFill="1" applyBorder="1" applyAlignment="1">
      <alignment vertical="center" wrapText="1"/>
    </xf>
    <xf numFmtId="3" fontId="57" fillId="3" borderId="219" xfId="3" applyNumberFormat="1" applyFont="1" applyFill="1" applyBorder="1" applyAlignment="1">
      <alignment horizontal="center" vertical="center"/>
    </xf>
    <xf numFmtId="0" fontId="57" fillId="4" borderId="38" xfId="3" applyFont="1" applyFill="1" applyBorder="1">
      <alignment vertical="center"/>
    </xf>
    <xf numFmtId="177" fontId="57" fillId="15" borderId="176" xfId="3" quotePrefix="1" applyNumberFormat="1" applyFont="1" applyFill="1" applyBorder="1">
      <alignment vertical="center"/>
    </xf>
    <xf numFmtId="177" fontId="57" fillId="15" borderId="37" xfId="3" quotePrefix="1" applyNumberFormat="1" applyFont="1" applyFill="1" applyBorder="1" applyAlignment="1">
      <alignment vertical="top"/>
    </xf>
    <xf numFmtId="178" fontId="60" fillId="44" borderId="219" xfId="3" applyNumberFormat="1" applyFont="1" applyFill="1" applyBorder="1" applyAlignment="1">
      <alignment vertical="center" wrapText="1"/>
    </xf>
    <xf numFmtId="178" fontId="60" fillId="44" borderId="38" xfId="3" applyNumberFormat="1" applyFont="1" applyFill="1" applyBorder="1" applyAlignment="1">
      <alignment vertical="center" wrapText="1"/>
    </xf>
    <xf numFmtId="178" fontId="60" fillId="43" borderId="220" xfId="3" applyNumberFormat="1" applyFont="1" applyFill="1" applyBorder="1" applyAlignment="1">
      <alignment vertical="center" wrapText="1"/>
    </xf>
    <xf numFmtId="177" fontId="57" fillId="15" borderId="172" xfId="3" quotePrefix="1" applyNumberFormat="1" applyFont="1" applyFill="1" applyBorder="1">
      <alignment vertical="center"/>
    </xf>
    <xf numFmtId="177" fontId="57" fillId="15" borderId="42" xfId="3" quotePrefix="1" applyNumberFormat="1" applyFont="1" applyFill="1" applyBorder="1">
      <alignment vertical="center"/>
    </xf>
    <xf numFmtId="0" fontId="57" fillId="3" borderId="43" xfId="3" applyFont="1" applyFill="1" applyBorder="1" applyAlignment="1">
      <alignment horizontal="center" vertical="center"/>
    </xf>
    <xf numFmtId="177" fontId="57" fillId="15" borderId="42" xfId="3" quotePrefix="1" applyNumberFormat="1" applyFont="1" applyFill="1" applyBorder="1" applyAlignment="1">
      <alignment vertical="top"/>
    </xf>
    <xf numFmtId="0" fontId="57" fillId="3" borderId="38" xfId="3" applyFont="1" applyFill="1" applyBorder="1" applyAlignment="1">
      <alignment horizontal="center" vertical="center"/>
    </xf>
    <xf numFmtId="178" fontId="57" fillId="5" borderId="219" xfId="3" applyNumberFormat="1" applyFont="1" applyFill="1" applyBorder="1" applyAlignment="1">
      <alignment vertical="center" wrapText="1"/>
    </xf>
    <xf numFmtId="178" fontId="57" fillId="5" borderId="38" xfId="3" applyNumberFormat="1" applyFont="1" applyFill="1" applyBorder="1" applyAlignment="1">
      <alignment vertical="center" wrapText="1"/>
    </xf>
    <xf numFmtId="178" fontId="57" fillId="5" borderId="220" xfId="3" applyNumberFormat="1" applyFont="1" applyFill="1" applyBorder="1" applyAlignment="1">
      <alignment vertical="center" wrapText="1"/>
    </xf>
    <xf numFmtId="188" fontId="57" fillId="5" borderId="220" xfId="4" applyNumberFormat="1" applyFont="1" applyFill="1" applyBorder="1" applyAlignment="1">
      <alignment vertical="center" wrapText="1"/>
    </xf>
    <xf numFmtId="177" fontId="57" fillId="15" borderId="175" xfId="3" quotePrefix="1" applyNumberFormat="1" applyFont="1" applyFill="1" applyBorder="1">
      <alignment vertical="center"/>
    </xf>
    <xf numFmtId="0" fontId="57" fillId="0" borderId="37" xfId="3" applyFont="1" applyBorder="1" applyAlignment="1">
      <alignment vertical="top"/>
    </xf>
    <xf numFmtId="0" fontId="57" fillId="0" borderId="0" xfId="3" applyFont="1" applyAlignment="1">
      <alignment vertical="top"/>
    </xf>
    <xf numFmtId="177" fontId="57" fillId="0" borderId="43" xfId="3" quotePrefix="1" applyNumberFormat="1" applyFont="1" applyBorder="1" applyAlignment="1">
      <alignment vertical="top"/>
    </xf>
    <xf numFmtId="177" fontId="57" fillId="0" borderId="45" xfId="3" quotePrefix="1" applyNumberFormat="1" applyFont="1" applyBorder="1" applyAlignment="1">
      <alignment vertical="top"/>
    </xf>
    <xf numFmtId="188" fontId="60" fillId="15" borderId="38" xfId="4" applyNumberFormat="1" applyFont="1" applyFill="1" applyBorder="1" applyAlignment="1">
      <alignment vertical="center" wrapText="1"/>
    </xf>
    <xf numFmtId="0" fontId="57" fillId="21" borderId="170" xfId="3" applyFont="1" applyFill="1" applyBorder="1" applyAlignment="1">
      <alignment horizontal="center" vertical="top" wrapText="1"/>
    </xf>
    <xf numFmtId="177" fontId="57" fillId="0" borderId="172" xfId="3" quotePrefix="1" applyNumberFormat="1" applyFont="1" applyBorder="1">
      <alignment vertical="center"/>
    </xf>
    <xf numFmtId="177" fontId="57" fillId="0" borderId="42" xfId="3" quotePrefix="1" applyNumberFormat="1" applyFont="1" applyBorder="1">
      <alignment vertical="center"/>
    </xf>
    <xf numFmtId="0" fontId="57" fillId="0" borderId="43" xfId="3" applyFont="1" applyBorder="1" applyAlignment="1">
      <alignment horizontal="center" vertical="center"/>
    </xf>
    <xf numFmtId="177" fontId="57" fillId="0" borderId="42" xfId="3" quotePrefix="1" applyNumberFormat="1" applyFont="1" applyBorder="1" applyAlignment="1">
      <alignment vertical="top"/>
    </xf>
    <xf numFmtId="0" fontId="57" fillId="0" borderId="38" xfId="3" applyFont="1" applyBorder="1" applyAlignment="1">
      <alignment horizontal="center" vertical="center"/>
    </xf>
    <xf numFmtId="178" fontId="57" fillId="0" borderId="38" xfId="3" applyNumberFormat="1" applyFont="1" applyBorder="1" applyAlignment="1">
      <alignment vertical="center" wrapText="1"/>
    </xf>
    <xf numFmtId="3" fontId="57" fillId="0" borderId="219" xfId="3" applyNumberFormat="1" applyFont="1" applyBorder="1" applyAlignment="1">
      <alignment horizontal="center" vertical="center"/>
    </xf>
    <xf numFmtId="0" fontId="59" fillId="0" borderId="0" xfId="3" applyFont="1" applyAlignment="1">
      <alignment horizontal="center" vertical="center"/>
    </xf>
    <xf numFmtId="177" fontId="57" fillId="0" borderId="174" xfId="3" quotePrefix="1" applyNumberFormat="1" applyFont="1" applyBorder="1">
      <alignment vertical="center"/>
    </xf>
    <xf numFmtId="3" fontId="57" fillId="0" borderId="43" xfId="3" quotePrefix="1" applyNumberFormat="1" applyFont="1" applyBorder="1" applyAlignment="1">
      <alignment horizontal="center" vertical="center"/>
    </xf>
    <xf numFmtId="177" fontId="57" fillId="0" borderId="54" xfId="3" quotePrefix="1" applyNumberFormat="1" applyFont="1" applyBorder="1" applyAlignment="1">
      <alignment vertical="top"/>
    </xf>
    <xf numFmtId="3" fontId="57" fillId="0" borderId="38" xfId="3" quotePrefix="1" applyNumberFormat="1" applyFont="1" applyBorder="1" applyAlignment="1">
      <alignment horizontal="center" vertical="center"/>
    </xf>
    <xf numFmtId="178" fontId="57" fillId="0" borderId="38" xfId="3" applyNumberFormat="1" applyFont="1" applyBorder="1" applyAlignment="1">
      <alignment vertical="top" wrapText="1"/>
    </xf>
    <xf numFmtId="177" fontId="57" fillId="0" borderId="177" xfId="3" quotePrefix="1" applyNumberFormat="1" applyFont="1" applyBorder="1">
      <alignment vertical="center"/>
    </xf>
    <xf numFmtId="177" fontId="57" fillId="0" borderId="74" xfId="3" quotePrefix="1" applyNumberFormat="1" applyFont="1" applyBorder="1">
      <alignment vertical="center"/>
    </xf>
    <xf numFmtId="177" fontId="57" fillId="0" borderId="67" xfId="3" quotePrefix="1" applyNumberFormat="1" applyFont="1" applyBorder="1">
      <alignment vertical="center"/>
    </xf>
    <xf numFmtId="3" fontId="57" fillId="0" borderId="67" xfId="3" quotePrefix="1" applyNumberFormat="1" applyFont="1" applyBorder="1" applyAlignment="1">
      <alignment horizontal="center" vertical="center"/>
    </xf>
    <xf numFmtId="177" fontId="57" fillId="0" borderId="75" xfId="3" quotePrefix="1" applyNumberFormat="1" applyFont="1" applyBorder="1" applyAlignment="1">
      <alignment vertical="top"/>
    </xf>
    <xf numFmtId="177" fontId="57" fillId="0" borderId="67" xfId="3" quotePrefix="1" applyNumberFormat="1" applyFont="1" applyBorder="1" applyAlignment="1">
      <alignment vertical="top"/>
    </xf>
    <xf numFmtId="177" fontId="57" fillId="0" borderId="53" xfId="3" quotePrefix="1" applyNumberFormat="1" applyFont="1" applyBorder="1" applyAlignment="1">
      <alignment horizontal="left" vertical="top"/>
    </xf>
    <xf numFmtId="3" fontId="57" fillId="0" borderId="74" xfId="3" quotePrefix="1" applyNumberFormat="1" applyFont="1" applyBorder="1" applyAlignment="1">
      <alignment horizontal="center" vertical="center"/>
    </xf>
    <xf numFmtId="178" fontId="60" fillId="15" borderId="235" xfId="3" applyNumberFormat="1" applyFont="1" applyFill="1" applyBorder="1" applyAlignment="1">
      <alignment vertical="center" wrapText="1"/>
    </xf>
    <xf numFmtId="178" fontId="57" fillId="0" borderId="74" xfId="3" applyNumberFormat="1" applyFont="1" applyBorder="1" applyAlignment="1">
      <alignment vertical="top" wrapText="1"/>
    </xf>
    <xf numFmtId="178" fontId="60" fillId="15" borderId="74" xfId="3" applyNumberFormat="1" applyFont="1" applyFill="1" applyBorder="1" applyAlignment="1">
      <alignment vertical="center" wrapText="1"/>
    </xf>
    <xf numFmtId="178" fontId="60" fillId="4" borderId="236" xfId="3" applyNumberFormat="1" applyFont="1" applyFill="1" applyBorder="1" applyAlignment="1">
      <alignment vertical="center" wrapText="1"/>
    </xf>
    <xf numFmtId="178" fontId="60" fillId="4" borderId="235" xfId="3" applyNumberFormat="1" applyFont="1" applyFill="1" applyBorder="1" applyAlignment="1">
      <alignment vertical="center" wrapText="1"/>
    </xf>
    <xf numFmtId="178" fontId="57" fillId="0" borderId="74" xfId="3" applyNumberFormat="1" applyFont="1" applyBorder="1" applyAlignment="1">
      <alignment vertical="center" wrapText="1"/>
    </xf>
    <xf numFmtId="178" fontId="60" fillId="4" borderId="74" xfId="3" applyNumberFormat="1" applyFont="1" applyFill="1" applyBorder="1" applyAlignment="1">
      <alignment vertical="center" wrapText="1"/>
    </xf>
    <xf numFmtId="3" fontId="57" fillId="0" borderId="235" xfId="3" applyNumberFormat="1" applyFont="1" applyBorder="1" applyAlignment="1">
      <alignment horizontal="center" vertical="center"/>
    </xf>
    <xf numFmtId="0" fontId="57" fillId="4" borderId="74" xfId="3" applyFont="1" applyFill="1" applyBorder="1">
      <alignment vertical="center"/>
    </xf>
    <xf numFmtId="0" fontId="19" fillId="14" borderId="75" xfId="3" applyFont="1" applyFill="1" applyBorder="1" applyAlignment="1">
      <alignment vertical="top"/>
    </xf>
    <xf numFmtId="177" fontId="5" fillId="19" borderId="171" xfId="3" quotePrefix="1" applyNumberFormat="1" applyFont="1" applyFill="1" applyBorder="1">
      <alignment vertical="center"/>
    </xf>
    <xf numFmtId="177" fontId="5" fillId="19" borderId="33" xfId="3" quotePrefix="1" applyNumberFormat="1" applyFont="1" applyFill="1" applyBorder="1">
      <alignment vertical="center"/>
    </xf>
    <xf numFmtId="0" fontId="5" fillId="19" borderId="43" xfId="3" quotePrefix="1" applyFont="1" applyFill="1" applyBorder="1" applyAlignment="1">
      <alignment horizontal="center" vertical="center"/>
    </xf>
    <xf numFmtId="177" fontId="5" fillId="19" borderId="35" xfId="3" quotePrefix="1" applyNumberFormat="1" applyFont="1" applyFill="1" applyBorder="1">
      <alignment vertical="center"/>
    </xf>
    <xf numFmtId="0" fontId="5" fillId="19" borderId="78" xfId="3" quotePrefix="1" applyFont="1" applyFill="1" applyBorder="1" applyAlignment="1">
      <alignment horizontal="center" vertical="center"/>
    </xf>
    <xf numFmtId="3" fontId="13" fillId="14" borderId="227" xfId="3" applyNumberFormat="1" applyFont="1" applyFill="1" applyBorder="1" applyAlignment="1">
      <alignment vertical="center" wrapText="1"/>
    </xf>
    <xf numFmtId="3" fontId="5" fillId="19" borderId="78" xfId="3" applyNumberFormat="1" applyFont="1" applyFill="1" applyBorder="1" applyAlignment="1">
      <alignment vertical="center" wrapText="1"/>
    </xf>
    <xf numFmtId="3" fontId="13" fillId="14" borderId="78" xfId="3" applyNumberFormat="1" applyFont="1" applyFill="1" applyBorder="1" applyAlignment="1">
      <alignment vertical="center" wrapText="1"/>
    </xf>
    <xf numFmtId="3" fontId="13" fillId="19" borderId="228" xfId="3" applyNumberFormat="1" applyFont="1" applyFill="1" applyBorder="1" applyAlignment="1">
      <alignment vertical="center" wrapText="1"/>
    </xf>
    <xf numFmtId="3" fontId="13" fillId="19" borderId="227" xfId="3" applyNumberFormat="1" applyFont="1" applyFill="1" applyBorder="1" applyAlignment="1">
      <alignment vertical="center" wrapText="1"/>
    </xf>
    <xf numFmtId="0" fontId="5" fillId="19" borderId="78" xfId="3" applyFont="1" applyFill="1" applyBorder="1" applyAlignment="1">
      <alignment vertical="center" wrapText="1"/>
    </xf>
    <xf numFmtId="3" fontId="13" fillId="19" borderId="78" xfId="3" applyNumberFormat="1" applyFont="1" applyFill="1" applyBorder="1" applyAlignment="1">
      <alignment vertical="center" wrapText="1"/>
    </xf>
    <xf numFmtId="0" fontId="5" fillId="0" borderId="183" xfId="3" quotePrefix="1" applyFont="1" applyBorder="1">
      <alignment vertical="center"/>
    </xf>
    <xf numFmtId="0" fontId="5" fillId="0" borderId="34" xfId="3" applyFont="1" applyBorder="1">
      <alignment vertical="center"/>
    </xf>
    <xf numFmtId="0" fontId="5" fillId="0" borderId="49" xfId="3" applyFont="1" applyBorder="1">
      <alignment vertical="center"/>
    </xf>
    <xf numFmtId="0" fontId="5" fillId="0" borderId="34" xfId="3" applyFont="1" applyBorder="1" applyAlignment="1">
      <alignment vertical="top"/>
    </xf>
    <xf numFmtId="0" fontId="5" fillId="3" borderId="37" xfId="3" applyFont="1" applyFill="1" applyBorder="1" applyAlignment="1">
      <alignment horizontal="center" vertical="center"/>
    </xf>
    <xf numFmtId="3" fontId="13" fillId="15" borderId="229" xfId="3" applyNumberFormat="1" applyFont="1" applyFill="1" applyBorder="1" applyAlignment="1">
      <alignment vertical="center" wrapText="1"/>
    </xf>
    <xf numFmtId="3" fontId="5" fillId="3" borderId="37" xfId="3" applyNumberFormat="1" applyFont="1" applyFill="1" applyBorder="1" applyAlignment="1">
      <alignment vertical="center" wrapText="1"/>
    </xf>
    <xf numFmtId="3" fontId="13" fillId="15" borderId="37" xfId="3" applyNumberFormat="1" applyFont="1" applyFill="1" applyBorder="1" applyAlignment="1">
      <alignment vertical="center" wrapText="1"/>
    </xf>
    <xf numFmtId="0" fontId="5" fillId="3" borderId="37" xfId="3" applyFont="1" applyFill="1" applyBorder="1" applyAlignment="1">
      <alignment vertical="center" wrapText="1"/>
    </xf>
    <xf numFmtId="0" fontId="5" fillId="19" borderId="38" xfId="3" applyFont="1" applyFill="1" applyBorder="1" applyAlignment="1">
      <alignment horizontal="center" vertical="center"/>
    </xf>
    <xf numFmtId="0" fontId="5" fillId="0" borderId="44" xfId="3" quotePrefix="1" applyFont="1" applyBorder="1" applyAlignment="1">
      <alignment vertical="center" wrapText="1"/>
    </xf>
    <xf numFmtId="0" fontId="5" fillId="0" borderId="44" xfId="3" quotePrefix="1" applyFont="1" applyBorder="1">
      <alignment vertical="center"/>
    </xf>
    <xf numFmtId="0" fontId="5" fillId="0" borderId="37" xfId="3" quotePrefix="1" applyFont="1" applyBorder="1" applyAlignment="1">
      <alignment vertical="center" wrapText="1"/>
    </xf>
    <xf numFmtId="0" fontId="5" fillId="0" borderId="37" xfId="3" quotePrefix="1" applyFont="1" applyBorder="1">
      <alignment vertical="center"/>
    </xf>
    <xf numFmtId="9" fontId="13" fillId="44" borderId="219" xfId="8" applyFont="1" applyFill="1" applyBorder="1" applyAlignment="1">
      <alignment vertical="center" wrapText="1"/>
    </xf>
    <xf numFmtId="177" fontId="5" fillId="19" borderId="172" xfId="3" quotePrefix="1" applyNumberFormat="1" applyFont="1" applyFill="1" applyBorder="1">
      <alignment vertical="center"/>
    </xf>
    <xf numFmtId="177" fontId="5" fillId="19" borderId="44" xfId="3" quotePrefix="1" applyNumberFormat="1" applyFont="1" applyFill="1" applyBorder="1">
      <alignment vertical="center"/>
    </xf>
    <xf numFmtId="3" fontId="13" fillId="14" borderId="219" xfId="3" applyNumberFormat="1" applyFont="1" applyFill="1" applyBorder="1" applyAlignment="1">
      <alignment vertical="center" wrapText="1"/>
    </xf>
    <xf numFmtId="3" fontId="13" fillId="14" borderId="38" xfId="3" applyNumberFormat="1" applyFont="1" applyFill="1" applyBorder="1" applyAlignment="1">
      <alignment vertical="center" wrapText="1"/>
    </xf>
    <xf numFmtId="0" fontId="5" fillId="19" borderId="37" xfId="3" applyFont="1" applyFill="1" applyBorder="1" applyAlignment="1">
      <alignment vertical="top"/>
    </xf>
    <xf numFmtId="0" fontId="5" fillId="19" borderId="38" xfId="3" quotePrefix="1" applyFont="1" applyFill="1" applyBorder="1">
      <alignment vertical="center"/>
    </xf>
    <xf numFmtId="0" fontId="5" fillId="19" borderId="54" xfId="3" applyFont="1" applyFill="1" applyBorder="1" applyAlignment="1">
      <alignment vertical="top"/>
    </xf>
    <xf numFmtId="0" fontId="5" fillId="0" borderId="54" xfId="3" applyFont="1" applyBorder="1" applyAlignment="1">
      <alignment vertical="top" wrapText="1"/>
    </xf>
    <xf numFmtId="0" fontId="5" fillId="0" borderId="38" xfId="3" quotePrefix="1" applyFont="1" applyBorder="1">
      <alignment vertical="center"/>
    </xf>
    <xf numFmtId="0" fontId="5" fillId="0" borderId="37" xfId="3" applyFont="1" applyBorder="1" applyAlignment="1">
      <alignment vertical="top" wrapText="1"/>
    </xf>
    <xf numFmtId="0" fontId="5" fillId="19" borderId="38" xfId="3" quotePrefix="1" applyFont="1" applyFill="1" applyBorder="1" applyAlignment="1">
      <alignment vertical="top"/>
    </xf>
    <xf numFmtId="0" fontId="5" fillId="35" borderId="117" xfId="3" applyFont="1" applyFill="1" applyBorder="1" applyAlignment="1">
      <alignment horizontal="center" vertical="center"/>
    </xf>
    <xf numFmtId="0" fontId="5" fillId="0" borderId="173" xfId="3" quotePrefix="1" applyFont="1" applyBorder="1" applyAlignment="1">
      <alignment vertical="center" wrapText="1"/>
    </xf>
    <xf numFmtId="3" fontId="13" fillId="43" borderId="219" xfId="3" applyNumberFormat="1" applyFont="1" applyFill="1" applyBorder="1" applyAlignment="1">
      <alignment vertical="center" wrapText="1"/>
    </xf>
    <xf numFmtId="3" fontId="13" fillId="43" borderId="38" xfId="3" applyNumberFormat="1" applyFont="1" applyFill="1" applyBorder="1" applyAlignment="1">
      <alignment vertical="center" wrapText="1"/>
    </xf>
    <xf numFmtId="3" fontId="13" fillId="43" borderId="220" xfId="3" applyNumberFormat="1" applyFont="1" applyFill="1" applyBorder="1" applyAlignment="1">
      <alignment vertical="center" wrapText="1"/>
    </xf>
    <xf numFmtId="0" fontId="5" fillId="0" borderId="189" xfId="3" quotePrefix="1" applyFont="1" applyBorder="1" applyAlignment="1">
      <alignment vertical="center" wrapText="1"/>
    </xf>
    <xf numFmtId="0" fontId="5" fillId="0" borderId="80" xfId="3" quotePrefix="1" applyFont="1" applyBorder="1" applyAlignment="1">
      <alignment vertical="center" wrapText="1"/>
    </xf>
    <xf numFmtId="3" fontId="13" fillId="15" borderId="219" xfId="3" applyNumberFormat="1" applyFont="1" applyFill="1" applyBorder="1" applyAlignment="1">
      <alignment vertical="top" wrapText="1"/>
    </xf>
    <xf numFmtId="3" fontId="13" fillId="15" borderId="38" xfId="3" applyNumberFormat="1" applyFont="1" applyFill="1" applyBorder="1" applyAlignment="1">
      <alignment vertical="top" wrapText="1"/>
    </xf>
    <xf numFmtId="3" fontId="13" fillId="15" borderId="220" xfId="3" applyNumberFormat="1" applyFont="1" applyFill="1" applyBorder="1" applyAlignment="1">
      <alignment vertical="center" wrapText="1"/>
    </xf>
    <xf numFmtId="3" fontId="13" fillId="15" borderId="221" xfId="3" applyNumberFormat="1" applyFont="1" applyFill="1" applyBorder="1" applyAlignment="1">
      <alignment vertical="center" wrapText="1"/>
    </xf>
    <xf numFmtId="3" fontId="13" fillId="15" borderId="54" xfId="3" applyNumberFormat="1" applyFont="1" applyFill="1" applyBorder="1" applyAlignment="1">
      <alignment vertical="center" wrapText="1"/>
    </xf>
    <xf numFmtId="3" fontId="13" fillId="15" borderId="222" xfId="3" applyNumberFormat="1" applyFont="1" applyFill="1" applyBorder="1" applyAlignment="1">
      <alignment vertical="center" wrapText="1"/>
    </xf>
    <xf numFmtId="0" fontId="5" fillId="19" borderId="64" xfId="3" quotePrefix="1" applyFont="1" applyFill="1" applyBorder="1">
      <alignment vertical="center"/>
    </xf>
    <xf numFmtId="3" fontId="13" fillId="14" borderId="221" xfId="3" applyNumberFormat="1" applyFont="1" applyFill="1" applyBorder="1" applyAlignment="1">
      <alignment vertical="center" wrapText="1"/>
    </xf>
    <xf numFmtId="0" fontId="5" fillId="19" borderId="54" xfId="3" applyFont="1" applyFill="1" applyBorder="1" applyAlignment="1">
      <alignment vertical="center" wrapText="1"/>
    </xf>
    <xf numFmtId="3" fontId="13" fillId="14" borderId="54" xfId="3" applyNumberFormat="1" applyFont="1" applyFill="1" applyBorder="1" applyAlignment="1">
      <alignment vertical="center" wrapText="1"/>
    </xf>
    <xf numFmtId="3" fontId="13" fillId="14" borderId="222" xfId="3" applyNumberFormat="1" applyFont="1" applyFill="1" applyBorder="1" applyAlignment="1">
      <alignment vertical="center" wrapText="1"/>
    </xf>
    <xf numFmtId="3" fontId="13" fillId="19" borderId="222" xfId="3" applyNumberFormat="1" applyFont="1" applyFill="1" applyBorder="1" applyAlignment="1">
      <alignment vertical="center" wrapText="1"/>
    </xf>
    <xf numFmtId="3" fontId="13" fillId="19" borderId="221" xfId="3" applyNumberFormat="1" applyFont="1" applyFill="1" applyBorder="1" applyAlignment="1">
      <alignment vertical="center" wrapText="1"/>
    </xf>
    <xf numFmtId="3" fontId="13" fillId="19" borderId="54" xfId="3" applyNumberFormat="1" applyFont="1" applyFill="1" applyBorder="1" applyAlignment="1">
      <alignment vertical="center" wrapText="1"/>
    </xf>
    <xf numFmtId="0" fontId="5" fillId="0" borderId="44" xfId="3" quotePrefix="1" applyFont="1" applyBorder="1" applyAlignment="1">
      <alignment vertical="top"/>
    </xf>
    <xf numFmtId="0" fontId="5" fillId="0" borderId="57" xfId="3" quotePrefix="1" applyFont="1" applyBorder="1" applyAlignment="1">
      <alignment vertical="top"/>
    </xf>
    <xf numFmtId="0" fontId="5" fillId="0" borderId="43" xfId="3" quotePrefix="1" applyFont="1" applyBorder="1" applyAlignment="1">
      <alignment vertical="top"/>
    </xf>
    <xf numFmtId="0" fontId="5" fillId="0" borderId="45" xfId="3" quotePrefix="1" applyFont="1" applyBorder="1" applyAlignment="1">
      <alignment vertical="top"/>
    </xf>
    <xf numFmtId="3" fontId="13" fillId="44" borderId="219" xfId="3" applyNumberFormat="1" applyFont="1" applyFill="1" applyBorder="1" applyAlignment="1">
      <alignment vertical="center" wrapText="1"/>
    </xf>
    <xf numFmtId="3" fontId="13" fillId="44" borderId="38" xfId="3" applyNumberFormat="1" applyFont="1" applyFill="1" applyBorder="1" applyAlignment="1">
      <alignment vertical="center" wrapText="1"/>
    </xf>
    <xf numFmtId="0" fontId="5" fillId="0" borderId="64" xfId="3" quotePrefix="1" applyFont="1" applyBorder="1" applyAlignment="1">
      <alignment vertical="top"/>
    </xf>
    <xf numFmtId="0" fontId="5" fillId="0" borderId="80" xfId="3" quotePrefix="1" applyFont="1" applyBorder="1">
      <alignment vertical="center"/>
    </xf>
    <xf numFmtId="0" fontId="5" fillId="0" borderId="80" xfId="3" quotePrefix="1" applyFont="1" applyBorder="1" applyAlignment="1">
      <alignment vertical="top"/>
    </xf>
    <xf numFmtId="0" fontId="5" fillId="3" borderId="229" xfId="3" applyFont="1" applyFill="1" applyBorder="1" applyAlignment="1">
      <alignment horizontal="center" vertical="center"/>
    </xf>
    <xf numFmtId="0" fontId="5" fillId="0" borderId="37" xfId="3" quotePrefix="1" applyFont="1" applyBorder="1" applyAlignment="1">
      <alignment horizontal="left" vertical="center"/>
    </xf>
    <xf numFmtId="0" fontId="5" fillId="0" borderId="49" xfId="3" quotePrefix="1" applyFont="1" applyBorder="1">
      <alignment vertical="center"/>
    </xf>
    <xf numFmtId="0" fontId="5" fillId="3" borderId="37" xfId="3" applyFont="1" applyFill="1" applyBorder="1" applyAlignment="1">
      <alignment vertical="top" wrapText="1"/>
    </xf>
    <xf numFmtId="3" fontId="13" fillId="44" borderId="229" xfId="3" applyNumberFormat="1" applyFont="1" applyFill="1" applyBorder="1" applyAlignment="1">
      <alignment vertical="center" wrapText="1"/>
    </xf>
    <xf numFmtId="3" fontId="13" fillId="44" borderId="37" xfId="3" applyNumberFormat="1" applyFont="1" applyFill="1" applyBorder="1" applyAlignment="1">
      <alignment vertical="center" wrapText="1"/>
    </xf>
    <xf numFmtId="188" fontId="13" fillId="43" borderId="220" xfId="4" applyNumberFormat="1" applyFont="1" applyFill="1" applyBorder="1" applyAlignment="1">
      <alignment vertical="center" wrapText="1"/>
    </xf>
    <xf numFmtId="0" fontId="5" fillId="3" borderId="219" xfId="3" applyFont="1" applyFill="1" applyBorder="1" applyAlignment="1">
      <alignment horizontal="center" vertical="center"/>
    </xf>
    <xf numFmtId="0" fontId="5" fillId="3" borderId="38" xfId="3" quotePrefix="1" applyFont="1" applyFill="1" applyBorder="1" applyAlignment="1">
      <alignment horizontal="left" vertical="center"/>
    </xf>
    <xf numFmtId="0" fontId="5" fillId="3" borderId="42" xfId="3" quotePrefix="1" applyFont="1" applyFill="1" applyBorder="1" applyAlignment="1">
      <alignment horizontal="center" vertical="center"/>
    </xf>
    <xf numFmtId="0" fontId="5" fillId="3" borderId="45" xfId="3" quotePrefix="1" applyFont="1" applyFill="1" applyBorder="1" applyAlignment="1">
      <alignment vertical="top"/>
    </xf>
    <xf numFmtId="0" fontId="5" fillId="3" borderId="38" xfId="3" applyFont="1" applyFill="1" applyBorder="1" applyAlignment="1">
      <alignment vertical="top" wrapText="1"/>
    </xf>
    <xf numFmtId="0" fontId="5" fillId="3" borderId="172" xfId="3" quotePrefix="1" applyFont="1" applyFill="1" applyBorder="1">
      <alignment vertical="center"/>
    </xf>
    <xf numFmtId="0" fontId="5" fillId="3" borderId="42" xfId="3" quotePrefix="1" applyFont="1" applyFill="1" applyBorder="1">
      <alignment vertical="center"/>
    </xf>
    <xf numFmtId="0" fontId="5" fillId="3" borderId="42" xfId="3" quotePrefix="1" applyFont="1" applyFill="1" applyBorder="1" applyAlignment="1">
      <alignment vertical="top"/>
    </xf>
    <xf numFmtId="4" fontId="21" fillId="3" borderId="38" xfId="3" applyNumberFormat="1" applyFont="1" applyFill="1" applyBorder="1" applyAlignment="1">
      <alignment vertical="center" wrapText="1"/>
    </xf>
    <xf numFmtId="4" fontId="21" fillId="3" borderId="38" xfId="3" applyNumberFormat="1" applyFont="1" applyFill="1" applyBorder="1" applyAlignment="1">
      <alignment vertical="top" wrapText="1"/>
    </xf>
    <xf numFmtId="4" fontId="5" fillId="43" borderId="220" xfId="3" applyNumberFormat="1" applyFont="1" applyFill="1" applyBorder="1" applyAlignment="1">
      <alignment vertical="center" wrapText="1"/>
    </xf>
    <xf numFmtId="0" fontId="5" fillId="3" borderId="175" xfId="3" quotePrefix="1" applyFont="1" applyFill="1" applyBorder="1">
      <alignment vertical="center"/>
    </xf>
    <xf numFmtId="0" fontId="5" fillId="3" borderId="38" xfId="3" quotePrefix="1" applyFont="1" applyFill="1" applyBorder="1">
      <alignment vertical="center"/>
    </xf>
    <xf numFmtId="0" fontId="5" fillId="3" borderId="43" xfId="3" quotePrefix="1" applyFont="1" applyFill="1" applyBorder="1" applyAlignment="1">
      <alignment vertical="top"/>
    </xf>
    <xf numFmtId="3" fontId="21" fillId="3" borderId="38" xfId="3" applyNumberFormat="1" applyFont="1" applyFill="1" applyBorder="1" applyAlignment="1">
      <alignment vertical="top" wrapText="1"/>
    </xf>
    <xf numFmtId="3" fontId="21" fillId="3" borderId="38" xfId="3" applyNumberFormat="1" applyFont="1" applyFill="1" applyBorder="1" applyAlignment="1">
      <alignment vertical="center" wrapText="1"/>
    </xf>
    <xf numFmtId="0" fontId="5" fillId="3" borderId="175" xfId="3" quotePrefix="1" applyFont="1" applyFill="1" applyBorder="1" applyAlignment="1">
      <alignment horizontal="left" vertical="center"/>
    </xf>
    <xf numFmtId="0" fontId="5" fillId="3" borderId="43" xfId="3" quotePrefix="1" applyFont="1" applyFill="1" applyBorder="1">
      <alignment vertical="center"/>
    </xf>
    <xf numFmtId="3" fontId="21" fillId="15" borderId="219" xfId="3" applyNumberFormat="1" applyFont="1" applyFill="1" applyBorder="1" applyAlignment="1">
      <alignment horizontal="right" vertical="center" wrapText="1"/>
    </xf>
    <xf numFmtId="3" fontId="21" fillId="3" borderId="38" xfId="3" applyNumberFormat="1" applyFont="1" applyFill="1" applyBorder="1" applyAlignment="1">
      <alignment horizontal="center" vertical="top" wrapText="1"/>
    </xf>
    <xf numFmtId="3" fontId="21" fillId="15" borderId="38" xfId="3" applyNumberFormat="1" applyFont="1" applyFill="1" applyBorder="1" applyAlignment="1">
      <alignment horizontal="right" vertical="center" wrapText="1"/>
    </xf>
    <xf numFmtId="3" fontId="21" fillId="15" borderId="220" xfId="3" applyNumberFormat="1" applyFont="1" applyFill="1" applyBorder="1" applyAlignment="1">
      <alignment horizontal="right" vertical="center" wrapText="1"/>
    </xf>
    <xf numFmtId="3" fontId="21" fillId="44" borderId="220" xfId="3" applyNumberFormat="1" applyFont="1" applyFill="1" applyBorder="1" applyAlignment="1">
      <alignment horizontal="right" vertical="center" wrapText="1"/>
    </xf>
    <xf numFmtId="3" fontId="21" fillId="3" borderId="38" xfId="3" applyNumberFormat="1" applyFont="1" applyFill="1" applyBorder="1" applyAlignment="1">
      <alignment horizontal="center" vertical="center" wrapText="1"/>
    </xf>
    <xf numFmtId="0" fontId="5" fillId="3" borderId="104" xfId="3" applyFont="1" applyFill="1" applyBorder="1" applyAlignment="1">
      <alignment horizontal="center" vertical="center"/>
    </xf>
    <xf numFmtId="0" fontId="5" fillId="3" borderId="51" xfId="3" applyFont="1" applyFill="1" applyBorder="1" applyAlignment="1">
      <alignment vertical="top"/>
    </xf>
    <xf numFmtId="0" fontId="5" fillId="3" borderId="53" xfId="3" applyFont="1" applyFill="1" applyBorder="1" applyAlignment="1">
      <alignment vertical="top"/>
    </xf>
    <xf numFmtId="0" fontId="5" fillId="3" borderId="37" xfId="3" applyFont="1" applyFill="1" applyBorder="1" applyAlignment="1">
      <alignment vertical="top"/>
    </xf>
    <xf numFmtId="9" fontId="13" fillId="4" borderId="229" xfId="8" applyFont="1" applyFill="1" applyBorder="1" applyAlignment="1">
      <alignment vertical="center" wrapText="1"/>
    </xf>
    <xf numFmtId="9" fontId="5" fillId="3" borderId="37" xfId="8" applyFont="1" applyFill="1" applyBorder="1" applyAlignment="1">
      <alignment vertical="center" wrapText="1"/>
    </xf>
    <xf numFmtId="9" fontId="13" fillId="4" borderId="37" xfId="8" applyFont="1" applyFill="1" applyBorder="1" applyAlignment="1">
      <alignment vertical="center" wrapText="1"/>
    </xf>
    <xf numFmtId="9" fontId="13" fillId="43" borderId="230" xfId="8" applyFont="1" applyFill="1" applyBorder="1" applyAlignment="1">
      <alignment vertical="center" wrapText="1"/>
    </xf>
    <xf numFmtId="0" fontId="15" fillId="14" borderId="29" xfId="3" applyFont="1" applyFill="1" applyBorder="1" applyAlignment="1">
      <alignment horizontal="left" vertical="top"/>
    </xf>
    <xf numFmtId="0" fontId="5" fillId="19" borderId="172" xfId="3" quotePrefix="1" applyFont="1" applyFill="1" applyBorder="1">
      <alignment vertical="center"/>
    </xf>
    <xf numFmtId="0" fontId="5" fillId="19" borderId="42" xfId="3" quotePrefix="1" applyFont="1" applyFill="1" applyBorder="1">
      <alignment vertical="center"/>
    </xf>
    <xf numFmtId="0" fontId="5" fillId="19" borderId="35" xfId="3" quotePrefix="1" applyFont="1" applyFill="1" applyBorder="1">
      <alignment vertical="center"/>
    </xf>
    <xf numFmtId="0" fontId="5" fillId="19" borderId="33" xfId="3" quotePrefix="1" applyFont="1" applyFill="1" applyBorder="1">
      <alignment vertical="center"/>
    </xf>
    <xf numFmtId="177" fontId="5" fillId="19" borderId="36" xfId="3" quotePrefix="1" applyNumberFormat="1" applyFont="1" applyFill="1" applyBorder="1" applyAlignment="1">
      <alignment vertical="top"/>
    </xf>
    <xf numFmtId="3" fontId="13" fillId="19" borderId="227" xfId="3" applyNumberFormat="1" applyFont="1" applyFill="1" applyBorder="1" applyAlignment="1">
      <alignment horizontal="right" vertical="center" wrapText="1"/>
    </xf>
    <xf numFmtId="0" fontId="5" fillId="19" borderId="78" xfId="3" applyFont="1" applyFill="1" applyBorder="1" applyAlignment="1">
      <alignment horizontal="right" vertical="center" wrapText="1"/>
    </xf>
    <xf numFmtId="3" fontId="13" fillId="19" borderId="78" xfId="3" applyNumberFormat="1" applyFont="1" applyFill="1" applyBorder="1" applyAlignment="1">
      <alignment horizontal="right" vertical="center" wrapText="1"/>
    </xf>
    <xf numFmtId="3" fontId="13" fillId="19" borderId="228" xfId="3" applyNumberFormat="1" applyFont="1" applyFill="1" applyBorder="1" applyAlignment="1">
      <alignment horizontal="right" vertical="center" wrapText="1"/>
    </xf>
    <xf numFmtId="0" fontId="5" fillId="19" borderId="229" xfId="3" applyFont="1" applyFill="1" applyBorder="1" applyAlignment="1">
      <alignment horizontal="center" vertical="center"/>
    </xf>
    <xf numFmtId="0" fontId="5" fillId="19" borderId="37" xfId="3" applyFont="1" applyFill="1" applyBorder="1" applyAlignment="1">
      <alignment horizontal="center" vertical="center"/>
    </xf>
    <xf numFmtId="0" fontId="5" fillId="19" borderId="271" xfId="3" applyFont="1" applyFill="1" applyBorder="1" applyAlignment="1">
      <alignment horizontal="center" vertical="center"/>
    </xf>
    <xf numFmtId="3" fontId="13" fillId="4" borderId="229" xfId="3" applyNumberFormat="1" applyFont="1" applyFill="1" applyBorder="1" applyAlignment="1">
      <alignment horizontal="right" vertical="center" wrapText="1"/>
    </xf>
    <xf numFmtId="0" fontId="5" fillId="3" borderId="37" xfId="3" applyFont="1" applyFill="1" applyBorder="1" applyAlignment="1">
      <alignment horizontal="right" vertical="center" wrapText="1"/>
    </xf>
    <xf numFmtId="3" fontId="13" fillId="4" borderId="37" xfId="3" applyNumberFormat="1" applyFont="1" applyFill="1" applyBorder="1" applyAlignment="1">
      <alignment horizontal="right" vertical="center" wrapText="1"/>
    </xf>
    <xf numFmtId="3" fontId="13" fillId="4" borderId="230" xfId="3" applyNumberFormat="1" applyFont="1" applyFill="1" applyBorder="1" applyAlignment="1">
      <alignment horizontal="right" vertical="center" wrapText="1"/>
    </xf>
    <xf numFmtId="0" fontId="5" fillId="3" borderId="38" xfId="3" applyFont="1" applyFill="1" applyBorder="1" applyAlignment="1">
      <alignment horizontal="right" vertical="center" wrapText="1"/>
    </xf>
    <xf numFmtId="177" fontId="5" fillId="0" borderId="189" xfId="3" quotePrefix="1" applyNumberFormat="1" applyFont="1" applyBorder="1">
      <alignment vertical="center"/>
    </xf>
    <xf numFmtId="0" fontId="5" fillId="3" borderId="38" xfId="3" applyFont="1" applyFill="1" applyBorder="1" applyAlignment="1">
      <alignment horizontal="right" vertical="top" wrapText="1"/>
    </xf>
    <xf numFmtId="0" fontId="5" fillId="3" borderId="57" xfId="3" quotePrefix="1" applyFont="1" applyFill="1" applyBorder="1" applyAlignment="1">
      <alignment vertical="top"/>
    </xf>
    <xf numFmtId="0" fontId="5" fillId="3" borderId="80" xfId="3" quotePrefix="1" applyFont="1" applyFill="1" applyBorder="1" applyAlignment="1">
      <alignment vertical="top"/>
    </xf>
    <xf numFmtId="0" fontId="5" fillId="35" borderId="272" xfId="3" applyFont="1" applyFill="1" applyBorder="1" applyAlignment="1">
      <alignment horizontal="center" vertical="center"/>
    </xf>
    <xf numFmtId="4" fontId="13" fillId="4" borderId="219" xfId="3" applyNumberFormat="1" applyFont="1" applyFill="1" applyBorder="1" applyAlignment="1">
      <alignment horizontal="right" vertical="center" wrapText="1"/>
    </xf>
    <xf numFmtId="4" fontId="21" fillId="3" borderId="38" xfId="3" applyNumberFormat="1" applyFont="1" applyFill="1" applyBorder="1" applyAlignment="1">
      <alignment horizontal="right" vertical="center" wrapText="1"/>
    </xf>
    <xf numFmtId="4" fontId="13" fillId="4" borderId="38" xfId="3" applyNumberFormat="1" applyFont="1" applyFill="1" applyBorder="1" applyAlignment="1">
      <alignment horizontal="right" vertical="center" wrapText="1"/>
    </xf>
    <xf numFmtId="4" fontId="13" fillId="4" borderId="220" xfId="3" applyNumberFormat="1" applyFont="1" applyFill="1" applyBorder="1" applyAlignment="1">
      <alignment horizontal="right" vertical="center" wrapText="1"/>
    </xf>
    <xf numFmtId="0" fontId="5" fillId="3" borderId="174" xfId="3" quotePrefix="1" applyFont="1" applyFill="1" applyBorder="1">
      <alignment vertical="center"/>
    </xf>
    <xf numFmtId="3" fontId="21" fillId="3" borderId="38" xfId="3" applyNumberFormat="1" applyFont="1" applyFill="1" applyBorder="1" applyAlignment="1">
      <alignment horizontal="right" vertical="top" wrapText="1"/>
    </xf>
    <xf numFmtId="3" fontId="21" fillId="3" borderId="38" xfId="3" applyNumberFormat="1" applyFont="1" applyFill="1" applyBorder="1" applyAlignment="1">
      <alignment horizontal="right" vertical="center" wrapText="1"/>
    </xf>
    <xf numFmtId="0" fontId="5" fillId="17" borderId="272" xfId="3" applyFont="1" applyFill="1" applyBorder="1" applyAlignment="1">
      <alignment horizontal="center" vertical="center"/>
    </xf>
    <xf numFmtId="0" fontId="5" fillId="3" borderId="176" xfId="3" quotePrefix="1" applyFont="1" applyFill="1" applyBorder="1">
      <alignment vertical="center"/>
    </xf>
    <xf numFmtId="3" fontId="13" fillId="15" borderId="219" xfId="3" applyNumberFormat="1" applyFont="1" applyFill="1" applyBorder="1" applyAlignment="1">
      <alignment horizontal="right" vertical="center" wrapText="1"/>
    </xf>
    <xf numFmtId="3" fontId="13" fillId="15" borderId="38" xfId="3" applyNumberFormat="1" applyFont="1" applyFill="1" applyBorder="1" applyAlignment="1">
      <alignment horizontal="right" vertical="center" wrapText="1"/>
    </xf>
    <xf numFmtId="3" fontId="21" fillId="4" borderId="219" xfId="3" applyNumberFormat="1" applyFont="1" applyFill="1" applyBorder="1" applyAlignment="1">
      <alignment horizontal="right" vertical="center" wrapText="1"/>
    </xf>
    <xf numFmtId="3" fontId="21" fillId="4" borderId="38" xfId="3" applyNumberFormat="1" applyFont="1" applyFill="1" applyBorder="1" applyAlignment="1">
      <alignment horizontal="right" vertical="center" wrapText="1"/>
    </xf>
    <xf numFmtId="3" fontId="21" fillId="4" borderId="220" xfId="3" applyNumberFormat="1" applyFont="1" applyFill="1" applyBorder="1" applyAlignment="1">
      <alignment horizontal="right" vertical="center" wrapText="1"/>
    </xf>
    <xf numFmtId="0" fontId="1" fillId="17" borderId="60" xfId="3" applyFill="1" applyBorder="1" applyAlignment="1">
      <alignment horizontal="center" vertical="center"/>
    </xf>
    <xf numFmtId="0" fontId="5" fillId="3" borderId="54" xfId="3" applyFont="1" applyFill="1" applyBorder="1" applyAlignment="1">
      <alignment horizontal="right" vertical="center" wrapText="1"/>
    </xf>
    <xf numFmtId="0" fontId="5" fillId="0" borderId="44" xfId="3" quotePrefix="1" applyFont="1" applyBorder="1" applyAlignment="1">
      <alignment horizontal="left" vertical="top"/>
    </xf>
    <xf numFmtId="0" fontId="5" fillId="3" borderId="42" xfId="3" quotePrefix="1" applyFont="1" applyFill="1" applyBorder="1" applyAlignment="1">
      <alignment horizontal="left" vertical="top"/>
    </xf>
    <xf numFmtId="0" fontId="5" fillId="3" borderId="45" xfId="3" quotePrefix="1" applyFont="1" applyFill="1" applyBorder="1" applyAlignment="1">
      <alignment horizontal="left" vertical="top"/>
    </xf>
    <xf numFmtId="0" fontId="5" fillId="3" borderId="57" xfId="3" quotePrefix="1" applyFont="1" applyFill="1" applyBorder="1" applyAlignment="1">
      <alignment horizontal="left" vertical="top"/>
    </xf>
    <xf numFmtId="0" fontId="5" fillId="3" borderId="43" xfId="3" quotePrefix="1" applyFont="1" applyFill="1" applyBorder="1" applyAlignment="1">
      <alignment vertical="top" wrapText="1"/>
    </xf>
    <xf numFmtId="0" fontId="5" fillId="3" borderId="42" xfId="3" quotePrefix="1" applyFont="1" applyFill="1" applyBorder="1" applyAlignment="1">
      <alignment vertical="top" wrapText="1"/>
    </xf>
    <xf numFmtId="0" fontId="5" fillId="0" borderId="172" xfId="3" applyFont="1" applyBorder="1" applyAlignment="1">
      <alignment vertical="top"/>
    </xf>
    <xf numFmtId="0" fontId="5" fillId="0" borderId="52" xfId="3" applyFont="1" applyBorder="1" applyAlignment="1">
      <alignment horizontal="center" vertical="center"/>
    </xf>
    <xf numFmtId="0" fontId="5" fillId="3" borderId="42" xfId="3" applyFont="1" applyFill="1" applyBorder="1" applyAlignment="1">
      <alignment vertical="top"/>
    </xf>
    <xf numFmtId="0" fontId="5" fillId="3" borderId="57" xfId="3" applyFont="1" applyFill="1" applyBorder="1" applyAlignment="1">
      <alignment vertical="top"/>
    </xf>
    <xf numFmtId="0" fontId="5" fillId="0" borderId="56" xfId="3" quotePrefix="1" applyFont="1" applyBorder="1" applyAlignment="1">
      <alignment vertical="top"/>
    </xf>
    <xf numFmtId="0" fontId="5" fillId="35" borderId="60" xfId="3" applyFont="1" applyFill="1" applyBorder="1" applyAlignment="1">
      <alignment horizontal="center" vertical="center"/>
    </xf>
    <xf numFmtId="0" fontId="19" fillId="14" borderId="153" xfId="3" applyFont="1" applyFill="1" applyBorder="1">
      <alignment vertical="center"/>
    </xf>
    <xf numFmtId="0" fontId="19" fillId="14" borderId="217" xfId="3" applyFont="1" applyFill="1" applyBorder="1" applyAlignment="1">
      <alignment horizontal="right" vertical="center" wrapText="1"/>
    </xf>
    <xf numFmtId="0" fontId="19" fillId="14" borderId="28" xfId="3" applyFont="1" applyFill="1" applyBorder="1" applyAlignment="1">
      <alignment horizontal="right" vertical="center" wrapText="1"/>
    </xf>
    <xf numFmtId="0" fontId="19" fillId="14" borderId="218" xfId="3" applyFont="1" applyFill="1" applyBorder="1" applyAlignment="1">
      <alignment horizontal="right" vertical="center" wrapText="1"/>
    </xf>
    <xf numFmtId="0" fontId="1" fillId="3" borderId="178" xfId="3" applyFill="1" applyBorder="1" applyAlignment="1">
      <alignment vertical="top" wrapText="1"/>
    </xf>
    <xf numFmtId="177" fontId="5" fillId="0" borderId="34" xfId="3" quotePrefix="1" applyNumberFormat="1" applyFont="1" applyBorder="1" applyAlignment="1">
      <alignment horizontal="center" vertical="top" wrapText="1"/>
    </xf>
    <xf numFmtId="0" fontId="5" fillId="0" borderId="78" xfId="3" applyFont="1" applyBorder="1" applyAlignment="1">
      <alignment vertical="top"/>
    </xf>
    <xf numFmtId="0" fontId="5" fillId="0" borderId="33" xfId="3" applyFont="1" applyBorder="1" applyAlignment="1">
      <alignment vertical="top"/>
    </xf>
    <xf numFmtId="0" fontId="5" fillId="0" borderId="36" xfId="3" applyFont="1" applyBorder="1" applyAlignment="1">
      <alignment vertical="top"/>
    </xf>
    <xf numFmtId="177" fontId="5" fillId="15" borderId="78" xfId="3" quotePrefix="1" applyNumberFormat="1" applyFont="1" applyFill="1" applyBorder="1" applyAlignment="1">
      <alignment horizontal="center" vertical="top" wrapText="1"/>
    </xf>
    <xf numFmtId="185" fontId="13" fillId="4" borderId="227" xfId="3" applyNumberFormat="1" applyFont="1" applyFill="1" applyBorder="1" applyAlignment="1">
      <alignment horizontal="right" vertical="center" wrapText="1"/>
    </xf>
    <xf numFmtId="185" fontId="5" fillId="0" borderId="78" xfId="3" applyNumberFormat="1" applyFont="1" applyBorder="1" applyAlignment="1">
      <alignment horizontal="right" vertical="center" wrapText="1"/>
    </xf>
    <xf numFmtId="185" fontId="13" fillId="4" borderId="78" xfId="3" applyNumberFormat="1" applyFont="1" applyFill="1" applyBorder="1" applyAlignment="1">
      <alignment horizontal="right" vertical="center" wrapText="1"/>
    </xf>
    <xf numFmtId="185" fontId="13" fillId="4" borderId="228" xfId="3" applyNumberFormat="1" applyFont="1" applyFill="1" applyBorder="1" applyAlignment="1">
      <alignment horizontal="right" vertical="center" wrapText="1"/>
    </xf>
    <xf numFmtId="185" fontId="5" fillId="0" borderId="78" xfId="3" applyNumberFormat="1" applyFont="1" applyBorder="1" applyAlignment="1">
      <alignment horizontal="right" vertical="top" wrapText="1"/>
    </xf>
    <xf numFmtId="185" fontId="5" fillId="0" borderId="78" xfId="3" quotePrefix="1" applyNumberFormat="1" applyFont="1" applyBorder="1" applyAlignment="1">
      <alignment horizontal="right" vertical="top" wrapText="1"/>
    </xf>
    <xf numFmtId="0" fontId="5" fillId="0" borderId="227" xfId="3" applyFont="1" applyBorder="1" applyAlignment="1">
      <alignment horizontal="center" vertical="center"/>
    </xf>
    <xf numFmtId="177" fontId="5" fillId="0" borderId="34" xfId="3" quotePrefix="1" applyNumberFormat="1" applyFont="1" applyBorder="1" applyAlignment="1">
      <alignment vertical="center" wrapText="1"/>
    </xf>
    <xf numFmtId="177" fontId="5" fillId="0" borderId="49" xfId="3" quotePrefix="1" applyNumberFormat="1" applyFont="1" applyBorder="1" applyAlignment="1">
      <alignment vertical="center" wrapText="1"/>
    </xf>
    <xf numFmtId="177" fontId="5" fillId="15" borderId="37" xfId="3" quotePrefix="1" applyNumberFormat="1" applyFont="1" applyFill="1" applyBorder="1" applyAlignment="1">
      <alignment horizontal="center" vertical="top" wrapText="1"/>
    </xf>
    <xf numFmtId="185" fontId="13" fillId="4" borderId="229" xfId="3" applyNumberFormat="1" applyFont="1" applyFill="1" applyBorder="1" applyAlignment="1">
      <alignment horizontal="right" vertical="center" wrapText="1"/>
    </xf>
    <xf numFmtId="185" fontId="5" fillId="0" borderId="37" xfId="3" applyNumberFormat="1" applyFont="1" applyBorder="1" applyAlignment="1">
      <alignment horizontal="right" vertical="center" wrapText="1"/>
    </xf>
    <xf numFmtId="185" fontId="13" fillId="4" borderId="37" xfId="3" applyNumberFormat="1" applyFont="1" applyFill="1" applyBorder="1" applyAlignment="1">
      <alignment horizontal="right" vertical="center" wrapText="1"/>
    </xf>
    <xf numFmtId="185" fontId="13" fillId="4" borderId="230" xfId="3" applyNumberFormat="1" applyFont="1" applyFill="1" applyBorder="1" applyAlignment="1">
      <alignment horizontal="right" vertical="center" wrapText="1"/>
    </xf>
    <xf numFmtId="185" fontId="5" fillId="0" borderId="37" xfId="3" applyNumberFormat="1" applyFont="1" applyBorder="1" applyAlignment="1">
      <alignment horizontal="right" vertical="top" wrapText="1"/>
    </xf>
    <xf numFmtId="185" fontId="5" fillId="0" borderId="37" xfId="3" quotePrefix="1" applyNumberFormat="1" applyFont="1" applyBorder="1" applyAlignment="1">
      <alignment horizontal="right" vertical="top" wrapText="1"/>
    </xf>
    <xf numFmtId="0" fontId="5" fillId="0" borderId="229" xfId="3" applyFont="1" applyBorder="1" applyAlignment="1">
      <alignment horizontal="center" vertical="center"/>
    </xf>
    <xf numFmtId="0" fontId="5" fillId="3" borderId="172" xfId="3" applyFont="1" applyFill="1" applyBorder="1">
      <alignment vertical="center"/>
    </xf>
    <xf numFmtId="185" fontId="13" fillId="4" borderId="219" xfId="3" applyNumberFormat="1" applyFont="1" applyFill="1" applyBorder="1" applyAlignment="1">
      <alignment horizontal="right" vertical="center" wrapText="1"/>
    </xf>
    <xf numFmtId="185" fontId="5" fillId="3" borderId="38" xfId="3" applyNumberFormat="1" applyFont="1" applyFill="1" applyBorder="1" applyAlignment="1">
      <alignment horizontal="right" vertical="center" wrapText="1"/>
    </xf>
    <xf numFmtId="185" fontId="13" fillId="4" borderId="38" xfId="3" applyNumberFormat="1" applyFont="1" applyFill="1" applyBorder="1" applyAlignment="1">
      <alignment horizontal="right" vertical="center" wrapText="1"/>
    </xf>
    <xf numFmtId="185" fontId="13" fillId="4" borderId="220" xfId="3" applyNumberFormat="1" applyFont="1" applyFill="1" applyBorder="1" applyAlignment="1">
      <alignment horizontal="right" vertical="center" wrapText="1"/>
    </xf>
    <xf numFmtId="177" fontId="5" fillId="19" borderId="34" xfId="3" quotePrefix="1" applyNumberFormat="1" applyFont="1" applyFill="1" applyBorder="1" applyAlignment="1">
      <alignment horizontal="center" vertical="top" wrapText="1"/>
    </xf>
    <xf numFmtId="0" fontId="5" fillId="19" borderId="44" xfId="3" applyFont="1" applyFill="1" applyBorder="1">
      <alignment vertical="center"/>
    </xf>
    <xf numFmtId="0" fontId="5" fillId="19" borderId="0" xfId="3" quotePrefix="1" applyFont="1" applyFill="1" applyAlignment="1">
      <alignment horizontal="center" vertical="center"/>
    </xf>
    <xf numFmtId="0" fontId="5" fillId="19" borderId="38" xfId="3" applyFont="1" applyFill="1" applyBorder="1" applyAlignment="1">
      <alignment horizontal="right" vertical="center" wrapText="1"/>
    </xf>
    <xf numFmtId="3" fontId="13" fillId="19" borderId="220" xfId="3" applyNumberFormat="1" applyFont="1" applyFill="1" applyBorder="1" applyAlignment="1">
      <alignment horizontal="right" vertical="center" wrapText="1"/>
    </xf>
    <xf numFmtId="0" fontId="5" fillId="0" borderId="38" xfId="3" applyFont="1" applyBorder="1" applyAlignment="1">
      <alignment horizontal="right" vertical="top" wrapText="1"/>
    </xf>
    <xf numFmtId="0" fontId="5" fillId="0" borderId="219" xfId="3" applyFont="1" applyBorder="1" applyAlignment="1">
      <alignment horizontal="center" vertical="center"/>
    </xf>
    <xf numFmtId="0" fontId="5" fillId="4" borderId="38" xfId="3" quotePrefix="1" applyFont="1" applyFill="1" applyBorder="1">
      <alignment vertical="center"/>
    </xf>
    <xf numFmtId="0" fontId="5" fillId="3" borderId="190" xfId="3" applyFont="1" applyFill="1" applyBorder="1" applyAlignment="1">
      <alignment horizontal="center" vertical="top" wrapText="1"/>
    </xf>
    <xf numFmtId="0" fontId="5" fillId="0" borderId="27" xfId="3" applyFont="1" applyBorder="1">
      <alignment vertical="center"/>
    </xf>
    <xf numFmtId="0" fontId="5" fillId="0" borderId="67" xfId="3" quotePrefix="1" applyFont="1" applyBorder="1">
      <alignment vertical="center"/>
    </xf>
    <xf numFmtId="0" fontId="5" fillId="0" borderId="51" xfId="3" quotePrefix="1" applyFont="1" applyBorder="1">
      <alignment vertical="center"/>
    </xf>
    <xf numFmtId="177" fontId="5" fillId="0" borderId="104" xfId="3" quotePrefix="1" applyNumberFormat="1" applyFont="1" applyBorder="1" applyAlignment="1">
      <alignment horizontal="center" vertical="top" wrapText="1"/>
    </xf>
    <xf numFmtId="0" fontId="5" fillId="0" borderId="70" xfId="3" applyFont="1" applyBorder="1" applyAlignment="1">
      <alignment vertical="top"/>
    </xf>
    <xf numFmtId="0" fontId="5" fillId="0" borderId="67" xfId="3" applyFont="1" applyBorder="1" applyAlignment="1">
      <alignment vertical="top"/>
    </xf>
    <xf numFmtId="0" fontId="5" fillId="0" borderId="53" xfId="3" applyFont="1" applyBorder="1" applyAlignment="1">
      <alignment horizontal="left" vertical="top"/>
    </xf>
    <xf numFmtId="0" fontId="5" fillId="0" borderId="74" xfId="3" applyFont="1" applyBorder="1" applyAlignment="1">
      <alignment horizontal="center" vertical="center"/>
    </xf>
    <xf numFmtId="3" fontId="13" fillId="4" borderId="235" xfId="3" applyNumberFormat="1" applyFont="1" applyFill="1" applyBorder="1" applyAlignment="1">
      <alignment horizontal="right" vertical="center" wrapText="1"/>
    </xf>
    <xf numFmtId="0" fontId="5" fillId="0" borderId="74" xfId="3" applyFont="1" applyBorder="1" applyAlignment="1">
      <alignment horizontal="right" vertical="center" wrapText="1"/>
    </xf>
    <xf numFmtId="3" fontId="13" fillId="4" borderId="74" xfId="3" applyNumberFormat="1" applyFont="1" applyFill="1" applyBorder="1" applyAlignment="1">
      <alignment horizontal="right" vertical="center" wrapText="1"/>
    </xf>
    <xf numFmtId="3" fontId="13" fillId="4" borderId="236" xfId="3" applyNumberFormat="1" applyFont="1" applyFill="1" applyBorder="1" applyAlignment="1">
      <alignment horizontal="right" vertical="center" wrapText="1"/>
    </xf>
    <xf numFmtId="0" fontId="5" fillId="0" borderId="74" xfId="3" applyFont="1" applyBorder="1" applyAlignment="1">
      <alignment horizontal="right" vertical="top" wrapText="1"/>
    </xf>
    <xf numFmtId="0" fontId="5" fillId="0" borderId="235" xfId="3" applyFont="1" applyBorder="1" applyAlignment="1">
      <alignment horizontal="center" vertical="center"/>
    </xf>
    <xf numFmtId="0" fontId="5" fillId="4" borderId="74" xfId="3" quotePrefix="1" applyFont="1" applyFill="1" applyBorder="1">
      <alignment vertical="center"/>
    </xf>
    <xf numFmtId="0" fontId="5" fillId="17" borderId="273" xfId="3" applyFont="1" applyFill="1" applyBorder="1" applyAlignment="1">
      <alignment horizontal="center" vertical="center"/>
    </xf>
    <xf numFmtId="0" fontId="5" fillId="19" borderId="193" xfId="3" applyFont="1" applyFill="1" applyBorder="1">
      <alignment vertical="center"/>
    </xf>
    <xf numFmtId="0" fontId="5" fillId="0" borderId="274" xfId="3" applyFont="1" applyBorder="1">
      <alignment vertical="center"/>
    </xf>
    <xf numFmtId="0" fontId="5" fillId="0" borderId="275" xfId="3" applyFont="1" applyBorder="1">
      <alignment vertical="center"/>
    </xf>
    <xf numFmtId="0" fontId="5" fillId="0" borderId="34" xfId="3" applyFont="1" applyBorder="1" applyAlignment="1">
      <alignment horizontal="center" vertical="center"/>
    </xf>
    <xf numFmtId="0" fontId="5" fillId="0" borderId="260" xfId="3" applyFont="1" applyBorder="1" applyAlignment="1">
      <alignment vertical="top"/>
    </xf>
    <xf numFmtId="0" fontId="5" fillId="0" borderId="275" xfId="3" applyFont="1" applyBorder="1" applyAlignment="1">
      <alignment vertical="top"/>
    </xf>
    <xf numFmtId="0" fontId="5" fillId="0" borderId="275" xfId="3" applyFont="1" applyBorder="1" applyAlignment="1">
      <alignment vertical="top" wrapText="1"/>
    </xf>
    <xf numFmtId="0" fontId="5" fillId="3" borderId="64" xfId="3" applyFont="1" applyFill="1" applyBorder="1" applyAlignment="1">
      <alignment horizontal="left" vertical="top" wrapText="1"/>
    </xf>
    <xf numFmtId="3" fontId="13" fillId="4" borderId="34" xfId="3" applyNumberFormat="1" applyFont="1" applyFill="1" applyBorder="1" applyAlignment="1">
      <alignment horizontal="right" vertical="center" wrapText="1"/>
    </xf>
    <xf numFmtId="3" fontId="13" fillId="4" borderId="80" xfId="3" applyNumberFormat="1" applyFont="1" applyFill="1" applyBorder="1" applyAlignment="1">
      <alignment horizontal="right" vertical="center" wrapText="1"/>
    </xf>
    <xf numFmtId="0" fontId="5" fillId="17" borderId="90" xfId="3" applyFont="1" applyFill="1" applyBorder="1" applyAlignment="1">
      <alignment horizontal="center" vertical="center"/>
    </xf>
    <xf numFmtId="0" fontId="10" fillId="12" borderId="238" xfId="3" applyFont="1" applyFill="1" applyBorder="1" applyAlignment="1">
      <alignment horizontal="right" vertical="center" wrapText="1"/>
    </xf>
    <xf numFmtId="0" fontId="10" fillId="12" borderId="92" xfId="3" applyFont="1" applyFill="1" applyBorder="1" applyAlignment="1">
      <alignment horizontal="right" vertical="center" wrapText="1"/>
    </xf>
    <xf numFmtId="0" fontId="10" fillId="12" borderId="239" xfId="3" applyFont="1" applyFill="1" applyBorder="1" applyAlignment="1">
      <alignment horizontal="right" vertical="center" wrapText="1"/>
    </xf>
    <xf numFmtId="0" fontId="5" fillId="14" borderId="28" xfId="3" applyFont="1" applyFill="1" applyBorder="1" applyAlignment="1">
      <alignment horizontal="left" vertical="top"/>
    </xf>
    <xf numFmtId="177" fontId="5" fillId="14" borderId="171" xfId="3" quotePrefix="1" applyNumberFormat="1" applyFont="1" applyFill="1" applyBorder="1">
      <alignment vertical="center"/>
    </xf>
    <xf numFmtId="177" fontId="5" fillId="14" borderId="33" xfId="3" quotePrefix="1" applyNumberFormat="1" applyFont="1" applyFill="1" applyBorder="1">
      <alignment vertical="center"/>
    </xf>
    <xf numFmtId="0" fontId="5" fillId="19" borderId="78" xfId="3" applyFont="1" applyFill="1" applyBorder="1" applyAlignment="1">
      <alignment vertical="top"/>
    </xf>
    <xf numFmtId="3" fontId="13" fillId="19" borderId="77" xfId="3" applyNumberFormat="1" applyFont="1" applyFill="1" applyBorder="1" applyAlignment="1">
      <alignment horizontal="right" vertical="center" wrapText="1"/>
    </xf>
    <xf numFmtId="3" fontId="13" fillId="19" borderId="36" xfId="3" applyNumberFormat="1" applyFont="1" applyFill="1" applyBorder="1" applyAlignment="1">
      <alignment horizontal="right" vertical="center" wrapText="1"/>
    </xf>
    <xf numFmtId="0" fontId="5" fillId="19" borderId="79" xfId="3" applyFont="1" applyFill="1" applyBorder="1" applyAlignment="1">
      <alignment horizontal="center" vertical="center"/>
    </xf>
    <xf numFmtId="0" fontId="5" fillId="3" borderId="159" xfId="3" quotePrefix="1" applyFont="1" applyFill="1" applyBorder="1" applyAlignment="1">
      <alignment vertical="center" wrapText="1"/>
    </xf>
    <xf numFmtId="178" fontId="13" fillId="4" borderId="229" xfId="3" applyNumberFormat="1" applyFont="1" applyFill="1" applyBorder="1" applyAlignment="1">
      <alignment vertical="center" wrapText="1"/>
    </xf>
    <xf numFmtId="178" fontId="5" fillId="3" borderId="37" xfId="3" applyNumberFormat="1" applyFont="1" applyFill="1" applyBorder="1" applyAlignment="1">
      <alignment vertical="center" wrapText="1"/>
    </xf>
    <xf numFmtId="178" fontId="13" fillId="4" borderId="37" xfId="3" applyNumberFormat="1" applyFont="1" applyFill="1" applyBorder="1" applyAlignment="1">
      <alignment vertical="center" wrapText="1"/>
    </xf>
    <xf numFmtId="178" fontId="13" fillId="4" borderId="34" xfId="3" applyNumberFormat="1" applyFont="1" applyFill="1" applyBorder="1" applyAlignment="1">
      <alignment vertical="center" wrapText="1"/>
    </xf>
    <xf numFmtId="178" fontId="13" fillId="4" borderId="230" xfId="3" applyNumberFormat="1" applyFont="1" applyFill="1" applyBorder="1" applyAlignment="1">
      <alignment vertical="center" wrapText="1"/>
    </xf>
    <xf numFmtId="178" fontId="13" fillId="4" borderId="80" xfId="3" applyNumberFormat="1" applyFont="1" applyFill="1" applyBorder="1" applyAlignment="1">
      <alignment vertical="center" wrapText="1"/>
    </xf>
    <xf numFmtId="0" fontId="5" fillId="17" borderId="79" xfId="3" applyFont="1" applyFill="1" applyBorder="1" applyAlignment="1">
      <alignment horizontal="center" vertical="center"/>
    </xf>
    <xf numFmtId="0" fontId="5" fillId="0" borderId="159" xfId="3" quotePrefix="1" applyFont="1" applyBorder="1" applyAlignment="1">
      <alignment vertical="center" wrapText="1"/>
    </xf>
    <xf numFmtId="178" fontId="13" fillId="4" borderId="43" xfId="3" applyNumberFormat="1" applyFont="1" applyFill="1" applyBorder="1" applyAlignment="1">
      <alignment vertical="center" wrapText="1"/>
    </xf>
    <xf numFmtId="178" fontId="13" fillId="4" borderId="45" xfId="3" applyNumberFormat="1" applyFont="1" applyFill="1" applyBorder="1" applyAlignment="1">
      <alignment vertical="top" wrapText="1"/>
    </xf>
    <xf numFmtId="178" fontId="13" fillId="4" borderId="38" xfId="3" applyNumberFormat="1" applyFont="1" applyFill="1" applyBorder="1" applyAlignment="1">
      <alignment vertical="top" wrapText="1"/>
    </xf>
    <xf numFmtId="0" fontId="5" fillId="19" borderId="173" xfId="3" quotePrefix="1" applyFont="1" applyFill="1" applyBorder="1" applyAlignment="1">
      <alignment horizontal="left" vertical="center"/>
    </xf>
    <xf numFmtId="0" fontId="5" fillId="19" borderId="0" xfId="3" quotePrefix="1" applyFont="1" applyFill="1" applyAlignment="1">
      <alignment vertical="center" wrapText="1"/>
    </xf>
    <xf numFmtId="0" fontId="5" fillId="19" borderId="64" xfId="3" quotePrefix="1" applyFont="1" applyFill="1" applyBorder="1" applyAlignment="1">
      <alignment vertical="center" wrapText="1"/>
    </xf>
    <xf numFmtId="178" fontId="13" fillId="19" borderId="43" xfId="3" applyNumberFormat="1" applyFont="1" applyFill="1" applyBorder="1" applyAlignment="1">
      <alignment vertical="center" wrapText="1"/>
    </xf>
    <xf numFmtId="178" fontId="13" fillId="19" borderId="45" xfId="3" applyNumberFormat="1" applyFont="1" applyFill="1" applyBorder="1" applyAlignment="1">
      <alignment vertical="center" wrapText="1"/>
    </xf>
    <xf numFmtId="0" fontId="5" fillId="0" borderId="173" xfId="3" quotePrefix="1" applyFont="1" applyBorder="1" applyAlignment="1">
      <alignment horizontal="left" vertical="center"/>
    </xf>
    <xf numFmtId="0" fontId="5" fillId="0" borderId="27" xfId="3" quotePrefix="1" applyFont="1" applyBorder="1" applyAlignment="1">
      <alignment vertical="center" wrapText="1"/>
    </xf>
    <xf numFmtId="0" fontId="5" fillId="0" borderId="75" xfId="3" applyFont="1" applyBorder="1" applyAlignment="1">
      <alignment vertical="top"/>
    </xf>
    <xf numFmtId="0" fontId="5" fillId="3" borderId="70" xfId="3" applyFont="1" applyFill="1" applyBorder="1" applyAlignment="1">
      <alignment vertical="top"/>
    </xf>
    <xf numFmtId="0" fontId="5" fillId="3" borderId="74" xfId="3" applyFont="1" applyFill="1" applyBorder="1" applyAlignment="1">
      <alignment vertical="top"/>
    </xf>
    <xf numFmtId="178" fontId="13" fillId="4" borderId="67" xfId="3" applyNumberFormat="1" applyFont="1" applyFill="1" applyBorder="1" applyAlignment="1">
      <alignment vertical="center" wrapText="1"/>
    </xf>
    <xf numFmtId="178" fontId="13" fillId="4" borderId="53" xfId="3" applyNumberFormat="1" applyFont="1" applyFill="1" applyBorder="1" applyAlignment="1">
      <alignment vertical="top" wrapText="1"/>
    </xf>
    <xf numFmtId="178" fontId="5" fillId="3" borderId="74" xfId="3" applyNumberFormat="1" applyFont="1" applyFill="1" applyBorder="1" applyAlignment="1">
      <alignment vertical="top" wrapText="1"/>
    </xf>
    <xf numFmtId="178" fontId="13" fillId="4" borderId="74" xfId="3" applyNumberFormat="1" applyFont="1" applyFill="1" applyBorder="1" applyAlignment="1">
      <alignment vertical="top" wrapText="1"/>
    </xf>
    <xf numFmtId="0" fontId="19" fillId="14" borderId="28" xfId="3" applyFont="1" applyFill="1" applyBorder="1" applyAlignment="1">
      <alignment horizontal="right" vertical="top" wrapText="1"/>
    </xf>
    <xf numFmtId="0" fontId="5" fillId="0" borderId="178" xfId="3" applyFont="1" applyBorder="1" applyAlignment="1">
      <alignment vertical="top" wrapText="1"/>
    </xf>
    <xf numFmtId="0" fontId="5" fillId="19" borderId="171" xfId="3" applyFont="1" applyFill="1" applyBorder="1">
      <alignment vertical="center"/>
    </xf>
    <xf numFmtId="0" fontId="5" fillId="19" borderId="33" xfId="3" applyFont="1" applyFill="1" applyBorder="1">
      <alignment vertical="center"/>
    </xf>
    <xf numFmtId="3" fontId="13" fillId="19" borderId="241" xfId="3" applyNumberFormat="1" applyFont="1" applyFill="1" applyBorder="1" applyAlignment="1">
      <alignment horizontal="right" vertical="center" wrapText="1"/>
    </xf>
    <xf numFmtId="0" fontId="5" fillId="19" borderId="35" xfId="3" applyFont="1" applyFill="1" applyBorder="1" applyAlignment="1">
      <alignment horizontal="right" vertical="center" wrapText="1"/>
    </xf>
    <xf numFmtId="3" fontId="13" fillId="19" borderId="35" xfId="3" applyNumberFormat="1" applyFont="1" applyFill="1" applyBorder="1" applyAlignment="1">
      <alignment horizontal="right" vertical="center" wrapText="1"/>
    </xf>
    <xf numFmtId="3" fontId="13" fillId="19" borderId="200" xfId="3" applyNumberFormat="1" applyFont="1" applyFill="1" applyBorder="1" applyAlignment="1">
      <alignment horizontal="right" vertical="center" wrapText="1"/>
    </xf>
    <xf numFmtId="3" fontId="13" fillId="19" borderId="242" xfId="3" applyNumberFormat="1" applyFont="1" applyFill="1" applyBorder="1" applyAlignment="1">
      <alignment horizontal="right" vertical="center" wrapText="1"/>
    </xf>
    <xf numFmtId="3" fontId="13" fillId="19" borderId="199" xfId="3" applyNumberFormat="1" applyFont="1" applyFill="1" applyBorder="1" applyAlignment="1">
      <alignment horizontal="right" vertical="top" wrapText="1"/>
    </xf>
    <xf numFmtId="0" fontId="5" fillId="19" borderId="35" xfId="3" applyFont="1" applyFill="1" applyBorder="1" applyAlignment="1">
      <alignment horizontal="right" vertical="top" wrapText="1"/>
    </xf>
    <xf numFmtId="3" fontId="13" fillId="19" borderId="35" xfId="3" applyNumberFormat="1" applyFont="1" applyFill="1" applyBorder="1" applyAlignment="1">
      <alignment horizontal="right" vertical="top" wrapText="1"/>
    </xf>
    <xf numFmtId="0" fontId="5" fillId="0" borderId="193" xfId="3" applyFont="1" applyBorder="1" applyAlignment="1">
      <alignment vertical="top" wrapText="1"/>
    </xf>
    <xf numFmtId="0" fontId="5" fillId="0" borderId="37" xfId="3" applyFont="1" applyBorder="1" applyAlignment="1">
      <alignment horizontal="center" vertical="center"/>
    </xf>
    <xf numFmtId="3" fontId="13" fillId="19" borderId="43" xfId="3" applyNumberFormat="1" applyFont="1" applyFill="1" applyBorder="1" applyAlignment="1">
      <alignment horizontal="right" vertical="center" wrapText="1"/>
    </xf>
    <xf numFmtId="3" fontId="13" fillId="19" borderId="45" xfId="3" applyNumberFormat="1" applyFont="1" applyFill="1" applyBorder="1" applyAlignment="1">
      <alignment horizontal="right" vertical="top" wrapText="1"/>
    </xf>
    <xf numFmtId="0" fontId="5" fillId="19" borderId="38" xfId="3" applyFont="1" applyFill="1" applyBorder="1" applyAlignment="1">
      <alignment horizontal="right" vertical="top" wrapText="1"/>
    </xf>
    <xf numFmtId="3" fontId="13" fillId="19" borderId="38" xfId="3" applyNumberFormat="1" applyFont="1" applyFill="1" applyBorder="1" applyAlignment="1">
      <alignment horizontal="right" vertical="top" wrapText="1"/>
    </xf>
    <xf numFmtId="178" fontId="5" fillId="0" borderId="38" xfId="3" quotePrefix="1" applyNumberFormat="1" applyFont="1" applyBorder="1" applyAlignment="1">
      <alignment vertical="center" wrapText="1"/>
    </xf>
    <xf numFmtId="0" fontId="5" fillId="19" borderId="41" xfId="3" applyFont="1" applyFill="1" applyBorder="1" applyAlignment="1">
      <alignment vertical="top"/>
    </xf>
    <xf numFmtId="0" fontId="5" fillId="19" borderId="38" xfId="3" quotePrefix="1" applyFont="1" applyFill="1" applyBorder="1" applyAlignment="1">
      <alignment horizontal="right" vertical="center" wrapText="1"/>
    </xf>
    <xf numFmtId="185" fontId="13" fillId="4" borderId="219" xfId="3" applyNumberFormat="1" applyFont="1" applyFill="1" applyBorder="1" applyAlignment="1">
      <alignment vertical="center" wrapText="1"/>
    </xf>
    <xf numFmtId="185" fontId="13" fillId="4" borderId="38" xfId="3" applyNumberFormat="1" applyFont="1" applyFill="1" applyBorder="1" applyAlignment="1">
      <alignment vertical="center" wrapText="1"/>
    </xf>
    <xf numFmtId="185" fontId="13" fillId="4" borderId="43" xfId="3" applyNumberFormat="1" applyFont="1" applyFill="1" applyBorder="1" applyAlignment="1">
      <alignment vertical="center" wrapText="1"/>
    </xf>
    <xf numFmtId="185" fontId="13" fillId="4" borderId="220" xfId="3" applyNumberFormat="1" applyFont="1" applyFill="1" applyBorder="1" applyAlignment="1">
      <alignment vertical="center" wrapText="1"/>
    </xf>
    <xf numFmtId="185" fontId="13" fillId="4" borderId="45" xfId="3" applyNumberFormat="1" applyFont="1" applyFill="1" applyBorder="1" applyAlignment="1">
      <alignment vertical="top" wrapText="1"/>
    </xf>
    <xf numFmtId="185" fontId="5" fillId="3" borderId="38" xfId="3" applyNumberFormat="1" applyFont="1" applyFill="1" applyBorder="1" applyAlignment="1">
      <alignment vertical="top" wrapText="1"/>
    </xf>
    <xf numFmtId="185" fontId="13" fillId="4" borderId="38" xfId="3" applyNumberFormat="1" applyFont="1" applyFill="1" applyBorder="1" applyAlignment="1">
      <alignment vertical="top" wrapText="1"/>
    </xf>
    <xf numFmtId="0" fontId="5" fillId="3" borderId="189" xfId="3" quotePrefix="1" applyFont="1" applyFill="1" applyBorder="1">
      <alignment vertical="center"/>
    </xf>
    <xf numFmtId="0" fontId="5" fillId="17" borderId="105" xfId="3" applyFont="1" applyFill="1" applyBorder="1" applyAlignment="1">
      <alignment horizontal="center" vertical="center"/>
    </xf>
    <xf numFmtId="0" fontId="5" fillId="3" borderId="192" xfId="3" applyFont="1" applyFill="1" applyBorder="1" applyAlignment="1">
      <alignment vertical="top"/>
    </xf>
    <xf numFmtId="0" fontId="5" fillId="17" borderId="109" xfId="3" applyFont="1" applyFill="1" applyBorder="1" applyAlignment="1">
      <alignment horizontal="center" vertical="center"/>
    </xf>
    <xf numFmtId="178" fontId="13" fillId="4" borderId="221" xfId="3" applyNumberFormat="1" applyFont="1" applyFill="1" applyBorder="1" applyAlignment="1">
      <alignment vertical="center" wrapText="1"/>
    </xf>
    <xf numFmtId="178" fontId="5" fillId="3" borderId="54" xfId="3" applyNumberFormat="1" applyFont="1" applyFill="1" applyBorder="1" applyAlignment="1">
      <alignment vertical="center" wrapText="1"/>
    </xf>
    <xf numFmtId="178" fontId="13" fillId="4" borderId="54" xfId="3" applyNumberFormat="1" applyFont="1" applyFill="1" applyBorder="1" applyAlignment="1">
      <alignment vertical="center" wrapText="1"/>
    </xf>
    <xf numFmtId="178" fontId="13" fillId="4" borderId="52" xfId="3" applyNumberFormat="1" applyFont="1" applyFill="1" applyBorder="1" applyAlignment="1">
      <alignment vertical="center" wrapText="1"/>
    </xf>
    <xf numFmtId="178" fontId="13" fillId="4" borderId="222" xfId="3" applyNumberFormat="1" applyFont="1" applyFill="1" applyBorder="1" applyAlignment="1">
      <alignment vertical="center" wrapText="1"/>
    </xf>
    <xf numFmtId="178" fontId="13" fillId="4" borderId="57" xfId="3" applyNumberFormat="1" applyFont="1" applyFill="1" applyBorder="1" applyAlignment="1">
      <alignment vertical="top" wrapText="1"/>
    </xf>
    <xf numFmtId="178" fontId="5" fillId="3" borderId="54" xfId="3" applyNumberFormat="1" applyFont="1" applyFill="1" applyBorder="1" applyAlignment="1">
      <alignment vertical="top" wrapText="1"/>
    </xf>
    <xf numFmtId="178" fontId="13" fillId="4" borderId="54" xfId="3" applyNumberFormat="1" applyFont="1" applyFill="1" applyBorder="1" applyAlignment="1">
      <alignment vertical="top" wrapText="1"/>
    </xf>
    <xf numFmtId="178" fontId="5" fillId="0" borderId="38" xfId="3" applyNumberFormat="1" applyFont="1" applyBorder="1" applyAlignment="1">
      <alignment horizontal="center" vertical="center"/>
    </xf>
    <xf numFmtId="178" fontId="5" fillId="4" borderId="43" xfId="3" applyNumberFormat="1" applyFont="1" applyFill="1" applyBorder="1">
      <alignment vertical="center"/>
    </xf>
    <xf numFmtId="0" fontId="5" fillId="17" borderId="110" xfId="3" applyFont="1" applyFill="1" applyBorder="1" applyAlignment="1">
      <alignment horizontal="center" vertical="center"/>
    </xf>
    <xf numFmtId="0" fontId="5" fillId="3" borderId="172" xfId="3" applyFont="1" applyFill="1" applyBorder="1" applyAlignment="1">
      <alignment vertical="top"/>
    </xf>
    <xf numFmtId="0" fontId="5" fillId="3" borderId="45" xfId="3" quotePrefix="1" applyFont="1" applyFill="1" applyBorder="1" applyAlignment="1">
      <alignment horizontal="left" vertical="top" wrapText="1"/>
    </xf>
    <xf numFmtId="178" fontId="5" fillId="0" borderId="54" xfId="3" applyNumberFormat="1" applyFont="1" applyBorder="1" applyAlignment="1">
      <alignment horizontal="center" vertical="center"/>
    </xf>
    <xf numFmtId="0" fontId="5" fillId="35" borderId="111" xfId="3" applyFont="1" applyFill="1" applyBorder="1" applyAlignment="1">
      <alignment horizontal="center" vertical="center"/>
    </xf>
    <xf numFmtId="0" fontId="5" fillId="3" borderId="196" xfId="3" applyFont="1" applyFill="1" applyBorder="1" applyAlignment="1">
      <alignment vertical="top"/>
    </xf>
    <xf numFmtId="0" fontId="5" fillId="3" borderId="191" xfId="3" quotePrefix="1" applyFont="1" applyFill="1" applyBorder="1" applyAlignment="1">
      <alignment horizontal="left" vertical="center"/>
    </xf>
    <xf numFmtId="0" fontId="5" fillId="3" borderId="67" xfId="3" quotePrefix="1" applyFont="1" applyFill="1" applyBorder="1">
      <alignment vertical="center"/>
    </xf>
    <xf numFmtId="0" fontId="5" fillId="3" borderId="51" xfId="3" quotePrefix="1" applyFont="1" applyFill="1" applyBorder="1">
      <alignment vertical="center"/>
    </xf>
    <xf numFmtId="0" fontId="5" fillId="3" borderId="75" xfId="3" quotePrefix="1" applyFont="1" applyFill="1" applyBorder="1" applyAlignment="1">
      <alignment vertical="top"/>
    </xf>
    <xf numFmtId="0" fontId="5" fillId="3" borderId="70" xfId="3" quotePrefix="1" applyFont="1" applyFill="1" applyBorder="1" applyAlignment="1">
      <alignment vertical="top"/>
    </xf>
    <xf numFmtId="0" fontId="5" fillId="3" borderId="67" xfId="3" quotePrefix="1" applyFont="1" applyFill="1" applyBorder="1" applyAlignment="1">
      <alignment vertical="top"/>
    </xf>
    <xf numFmtId="0" fontId="5" fillId="3" borderId="53" xfId="3" quotePrefix="1" applyFont="1" applyFill="1" applyBorder="1" applyAlignment="1">
      <alignment horizontal="left" vertical="top" wrapText="1"/>
    </xf>
    <xf numFmtId="178" fontId="5" fillId="4" borderId="235" xfId="3" applyNumberFormat="1" applyFont="1" applyFill="1" applyBorder="1" applyAlignment="1">
      <alignment vertical="center" wrapText="1"/>
    </xf>
    <xf numFmtId="178" fontId="5" fillId="4" borderId="74" xfId="3" applyNumberFormat="1" applyFont="1" applyFill="1" applyBorder="1" applyAlignment="1">
      <alignment vertical="center" wrapText="1"/>
    </xf>
    <xf numFmtId="178" fontId="13" fillId="4" borderId="53" xfId="3" applyNumberFormat="1" applyFont="1" applyFill="1" applyBorder="1" applyAlignment="1">
      <alignment vertical="center" wrapText="1"/>
    </xf>
    <xf numFmtId="178" fontId="5" fillId="0" borderId="74" xfId="3" applyNumberFormat="1" applyFont="1" applyBorder="1" applyAlignment="1">
      <alignment horizontal="center" vertical="center"/>
    </xf>
    <xf numFmtId="178" fontId="5" fillId="4" borderId="67" xfId="3" applyNumberFormat="1" applyFont="1" applyFill="1" applyBorder="1">
      <alignment vertical="center"/>
    </xf>
    <xf numFmtId="0" fontId="5" fillId="4" borderId="67" xfId="3" applyFont="1" applyFill="1" applyBorder="1">
      <alignment vertical="center"/>
    </xf>
    <xf numFmtId="0" fontId="5" fillId="35" borderId="197" xfId="3" applyFont="1" applyFill="1" applyBorder="1" applyAlignment="1">
      <alignment horizontal="center" vertical="center"/>
    </xf>
    <xf numFmtId="0" fontId="19" fillId="14" borderId="159" xfId="3" applyFont="1" applyFill="1" applyBorder="1">
      <alignment vertical="center"/>
    </xf>
    <xf numFmtId="0" fontId="15" fillId="14" borderId="22" xfId="3" applyFont="1" applyFill="1" applyBorder="1">
      <alignment vertical="center"/>
    </xf>
    <xf numFmtId="0" fontId="15" fillId="14" borderId="22" xfId="3" applyFont="1" applyFill="1" applyBorder="1" applyAlignment="1">
      <alignment horizontal="left" vertical="top"/>
    </xf>
    <xf numFmtId="0" fontId="19" fillId="14" borderId="225" xfId="3" applyFont="1" applyFill="1" applyBorder="1" applyAlignment="1">
      <alignment horizontal="right" vertical="center" wrapText="1"/>
    </xf>
    <xf numFmtId="0" fontId="19" fillId="14" borderId="22" xfId="3" applyFont="1" applyFill="1" applyBorder="1" applyAlignment="1">
      <alignment horizontal="right" vertical="center" wrapText="1"/>
    </xf>
    <xf numFmtId="0" fontId="19" fillId="14" borderId="226" xfId="3" applyFont="1" applyFill="1" applyBorder="1" applyAlignment="1">
      <alignment horizontal="right" vertical="center" wrapText="1"/>
    </xf>
    <xf numFmtId="0" fontId="19" fillId="14" borderId="22" xfId="3" applyFont="1" applyFill="1" applyBorder="1">
      <alignment vertical="center"/>
    </xf>
    <xf numFmtId="0" fontId="19" fillId="14" borderId="0" xfId="3" applyFont="1" applyFill="1">
      <alignment vertical="center"/>
    </xf>
    <xf numFmtId="0" fontId="9" fillId="14" borderId="22" xfId="3" applyFont="1" applyFill="1" applyBorder="1" applyAlignment="1">
      <alignment horizontal="center" vertical="center"/>
    </xf>
    <xf numFmtId="0" fontId="5" fillId="0" borderId="178" xfId="3" applyFont="1" applyBorder="1" applyAlignment="1">
      <alignment vertical="top"/>
    </xf>
    <xf numFmtId="0" fontId="5" fillId="19" borderId="171" xfId="3" quotePrefix="1" applyFont="1" applyFill="1" applyBorder="1" applyAlignment="1">
      <alignment vertical="top" wrapText="1"/>
    </xf>
    <xf numFmtId="0" fontId="5" fillId="19" borderId="33" xfId="3" quotePrefix="1" applyFont="1" applyFill="1" applyBorder="1" applyAlignment="1">
      <alignment vertical="top" wrapText="1"/>
    </xf>
    <xf numFmtId="0" fontId="5" fillId="19" borderId="77" xfId="3" applyFont="1" applyFill="1" applyBorder="1" applyAlignment="1">
      <alignment horizontal="center" vertical="center"/>
    </xf>
    <xf numFmtId="0" fontId="5" fillId="19" borderId="78" xfId="3" applyFont="1" applyFill="1" applyBorder="1" applyAlignment="1">
      <alignment horizontal="center" vertical="center"/>
    </xf>
    <xf numFmtId="0" fontId="5" fillId="4" borderId="276" xfId="3" applyFont="1" applyFill="1" applyBorder="1">
      <alignment vertical="center"/>
    </xf>
    <xf numFmtId="0" fontId="5" fillId="4" borderId="113" xfId="3" applyFont="1" applyFill="1" applyBorder="1">
      <alignment vertical="center"/>
    </xf>
    <xf numFmtId="0" fontId="5" fillId="19" borderId="105" xfId="3" applyFont="1" applyFill="1" applyBorder="1" applyAlignment="1">
      <alignment horizontal="center" vertical="center"/>
    </xf>
    <xf numFmtId="0" fontId="5" fillId="0" borderId="194" xfId="3" applyFont="1" applyBorder="1" applyAlignment="1">
      <alignment vertical="top"/>
    </xf>
    <xf numFmtId="0" fontId="5" fillId="0" borderId="34" xfId="3" quotePrefix="1" applyFont="1" applyBorder="1">
      <alignment vertical="center"/>
    </xf>
    <xf numFmtId="178" fontId="13" fillId="4" borderId="229" xfId="3" applyNumberFormat="1" applyFont="1" applyFill="1" applyBorder="1" applyAlignment="1">
      <alignment horizontal="right" vertical="center" wrapText="1"/>
    </xf>
    <xf numFmtId="178" fontId="5" fillId="0" borderId="37" xfId="3" applyNumberFormat="1" applyFont="1" applyBorder="1" applyAlignment="1">
      <alignment horizontal="right" vertical="center" wrapText="1"/>
    </xf>
    <xf numFmtId="178" fontId="13" fillId="4" borderId="37" xfId="3" applyNumberFormat="1" applyFont="1" applyFill="1" applyBorder="1" applyAlignment="1">
      <alignment horizontal="right" vertical="center" wrapText="1"/>
    </xf>
    <xf numFmtId="178" fontId="13" fillId="4" borderId="34" xfId="3" applyNumberFormat="1" applyFont="1" applyFill="1" applyBorder="1" applyAlignment="1">
      <alignment horizontal="right" vertical="center" wrapText="1"/>
    </xf>
    <xf numFmtId="178" fontId="13" fillId="4" borderId="230" xfId="3" applyNumberFormat="1" applyFont="1" applyFill="1" applyBorder="1" applyAlignment="1">
      <alignment horizontal="right" vertical="center" wrapText="1"/>
    </xf>
    <xf numFmtId="178" fontId="13" fillId="4" borderId="80" xfId="3" applyNumberFormat="1" applyFont="1" applyFill="1" applyBorder="1" applyAlignment="1">
      <alignment horizontal="right" vertical="center" wrapText="1"/>
    </xf>
    <xf numFmtId="0" fontId="5" fillId="0" borderId="44" xfId="3" applyFont="1" applyBorder="1" applyAlignment="1">
      <alignment horizontal="center" vertical="center"/>
    </xf>
    <xf numFmtId="0" fontId="5" fillId="4" borderId="65" xfId="3" applyFont="1" applyFill="1" applyBorder="1">
      <alignment vertical="center"/>
    </xf>
    <xf numFmtId="0" fontId="5" fillId="4" borderId="44" xfId="3" applyFont="1" applyFill="1" applyBorder="1">
      <alignment vertical="center"/>
    </xf>
    <xf numFmtId="0" fontId="5" fillId="0" borderId="192" xfId="3" applyFont="1" applyBorder="1" applyAlignment="1">
      <alignment vertical="top"/>
    </xf>
    <xf numFmtId="178" fontId="13" fillId="4" borderId="221" xfId="3" applyNumberFormat="1" applyFont="1" applyFill="1" applyBorder="1" applyAlignment="1">
      <alignment horizontal="right" vertical="center" wrapText="1"/>
    </xf>
    <xf numFmtId="178" fontId="5" fillId="0" borderId="54" xfId="3" applyNumberFormat="1" applyFont="1" applyBorder="1" applyAlignment="1">
      <alignment horizontal="right" vertical="center" wrapText="1"/>
    </xf>
    <xf numFmtId="178" fontId="13" fillId="4" borderId="54" xfId="3" applyNumberFormat="1" applyFont="1" applyFill="1" applyBorder="1" applyAlignment="1">
      <alignment horizontal="right" vertical="center" wrapText="1"/>
    </xf>
    <xf numFmtId="178" fontId="13" fillId="4" borderId="52" xfId="3" applyNumberFormat="1" applyFont="1" applyFill="1" applyBorder="1" applyAlignment="1">
      <alignment horizontal="right" vertical="center" wrapText="1"/>
    </xf>
    <xf numFmtId="178" fontId="13" fillId="4" borderId="222" xfId="3" applyNumberFormat="1" applyFont="1" applyFill="1" applyBorder="1" applyAlignment="1">
      <alignment horizontal="right" vertical="center" wrapText="1"/>
    </xf>
    <xf numFmtId="178" fontId="13" fillId="4" borderId="57" xfId="3" applyNumberFormat="1" applyFont="1" applyFill="1" applyBorder="1" applyAlignment="1">
      <alignment horizontal="right" vertical="center" wrapText="1"/>
    </xf>
    <xf numFmtId="0" fontId="5" fillId="0" borderId="172" xfId="3" quotePrefix="1" applyFont="1" applyBorder="1" applyAlignment="1">
      <alignment vertical="top" wrapText="1"/>
    </xf>
    <xf numFmtId="3" fontId="13" fillId="4" borderId="43" xfId="3" applyNumberFormat="1" applyFont="1" applyFill="1" applyBorder="1" applyAlignment="1">
      <alignment horizontal="right" vertical="center" wrapText="1"/>
    </xf>
    <xf numFmtId="3" fontId="13" fillId="4" borderId="45" xfId="3" applyNumberFormat="1" applyFont="1" applyFill="1" applyBorder="1" applyAlignment="1">
      <alignment horizontal="right" vertical="center" wrapText="1"/>
    </xf>
    <xf numFmtId="0" fontId="5" fillId="17" borderId="66" xfId="3" applyFont="1" applyFill="1" applyBorder="1" applyAlignment="1">
      <alignment horizontal="center" vertical="center"/>
    </xf>
    <xf numFmtId="0" fontId="5" fillId="3" borderId="87" xfId="3" quotePrefix="1" applyFont="1" applyFill="1" applyBorder="1">
      <alignment vertical="center"/>
    </xf>
    <xf numFmtId="0" fontId="5" fillId="3" borderId="95" xfId="3" quotePrefix="1" applyFont="1" applyFill="1" applyBorder="1">
      <alignment vertical="center"/>
    </xf>
    <xf numFmtId="0" fontId="5" fillId="3" borderId="87" xfId="3" applyFont="1" applyFill="1" applyBorder="1" applyAlignment="1">
      <alignment horizontal="center" vertical="center"/>
    </xf>
    <xf numFmtId="0" fontId="5" fillId="0" borderId="74" xfId="3" applyFont="1" applyBorder="1" applyAlignment="1">
      <alignment vertical="top"/>
    </xf>
    <xf numFmtId="3" fontId="13" fillId="4" borderId="67" xfId="3" applyNumberFormat="1" applyFont="1" applyFill="1" applyBorder="1" applyAlignment="1">
      <alignment horizontal="right" vertical="center" wrapText="1"/>
    </xf>
    <xf numFmtId="3" fontId="13" fillId="4" borderId="53" xfId="3" applyNumberFormat="1" applyFont="1" applyFill="1" applyBorder="1" applyAlignment="1">
      <alignment horizontal="right" vertical="center" wrapText="1"/>
    </xf>
    <xf numFmtId="0" fontId="5" fillId="0" borderId="73" xfId="3" applyFont="1" applyBorder="1" applyAlignment="1">
      <alignment horizontal="center" vertical="center"/>
    </xf>
    <xf numFmtId="0" fontId="5" fillId="4" borderId="22" xfId="3" applyFont="1" applyFill="1" applyBorder="1">
      <alignment vertical="center"/>
    </xf>
    <xf numFmtId="0" fontId="5" fillId="17" borderId="114" xfId="3" applyFont="1" applyFill="1" applyBorder="1" applyAlignment="1">
      <alignment horizontal="center" vertical="center"/>
    </xf>
    <xf numFmtId="0" fontId="19" fillId="14" borderId="22" xfId="3" applyFont="1" applyFill="1" applyBorder="1" applyAlignment="1">
      <alignment horizontal="center" vertical="center"/>
    </xf>
    <xf numFmtId="0" fontId="5" fillId="3" borderId="203" xfId="3" applyFont="1" applyFill="1" applyBorder="1">
      <alignment vertical="center"/>
    </xf>
    <xf numFmtId="0" fontId="5" fillId="0" borderId="171" xfId="3" quotePrefix="1" applyFont="1" applyBorder="1">
      <alignment vertical="center"/>
    </xf>
    <xf numFmtId="0" fontId="5" fillId="0" borderId="33" xfId="3" quotePrefix="1" applyFont="1" applyBorder="1">
      <alignment vertical="center"/>
    </xf>
    <xf numFmtId="0" fontId="5" fillId="0" borderId="36" xfId="3" applyFont="1" applyBorder="1" applyAlignment="1">
      <alignment horizontal="left" vertical="top"/>
    </xf>
    <xf numFmtId="185" fontId="13" fillId="5" borderId="227" xfId="3" applyNumberFormat="1" applyFont="1" applyFill="1" applyBorder="1" applyAlignment="1">
      <alignment horizontal="right" vertical="center" wrapText="1"/>
    </xf>
    <xf numFmtId="185" fontId="21" fillId="0" borderId="78" xfId="3" applyNumberFormat="1" applyFont="1" applyBorder="1" applyAlignment="1">
      <alignment horizontal="right" vertical="center" wrapText="1"/>
    </xf>
    <xf numFmtId="185" fontId="13" fillId="5" borderId="78" xfId="3" applyNumberFormat="1" applyFont="1" applyFill="1" applyBorder="1" applyAlignment="1">
      <alignment horizontal="right" vertical="center" wrapText="1"/>
    </xf>
    <xf numFmtId="185" fontId="5" fillId="0" borderId="74" xfId="3" applyNumberFormat="1" applyFont="1" applyBorder="1" applyAlignment="1">
      <alignment horizontal="right" vertical="center" wrapText="1"/>
    </xf>
    <xf numFmtId="185" fontId="13" fillId="5" borderId="77" xfId="3" applyNumberFormat="1" applyFont="1" applyFill="1" applyBorder="1" applyAlignment="1">
      <alignment horizontal="right" vertical="center" wrapText="1"/>
    </xf>
    <xf numFmtId="185" fontId="13" fillId="5" borderId="228" xfId="3" applyNumberFormat="1" applyFont="1" applyFill="1" applyBorder="1" applyAlignment="1">
      <alignment horizontal="right" vertical="center" wrapText="1"/>
    </xf>
    <xf numFmtId="185" fontId="13" fillId="5" borderId="36" xfId="3" applyNumberFormat="1" applyFont="1" applyFill="1" applyBorder="1" applyAlignment="1">
      <alignment horizontal="right" vertical="center" wrapText="1"/>
    </xf>
    <xf numFmtId="185" fontId="11" fillId="0" borderId="78" xfId="3" applyNumberFormat="1" applyFont="1" applyBorder="1" applyAlignment="1">
      <alignment horizontal="right" vertical="center" wrapText="1"/>
    </xf>
    <xf numFmtId="0" fontId="5" fillId="3" borderId="184" xfId="3" applyFont="1" applyFill="1" applyBorder="1">
      <alignment vertical="center"/>
    </xf>
    <xf numFmtId="0" fontId="21" fillId="3" borderId="38" xfId="3" applyFont="1" applyFill="1" applyBorder="1" applyAlignment="1">
      <alignment horizontal="left" vertical="center"/>
    </xf>
    <xf numFmtId="0" fontId="1" fillId="3" borderId="38" xfId="3" applyFill="1" applyBorder="1">
      <alignment vertical="center"/>
    </xf>
    <xf numFmtId="0" fontId="5" fillId="3" borderId="54" xfId="3" applyFont="1" applyFill="1" applyBorder="1" applyAlignment="1">
      <alignment vertical="top"/>
    </xf>
    <xf numFmtId="0" fontId="5" fillId="3" borderId="38" xfId="3" applyFont="1" applyFill="1" applyBorder="1" applyAlignment="1">
      <alignment horizontal="left" vertical="top"/>
    </xf>
    <xf numFmtId="178" fontId="13" fillId="4" borderId="43" xfId="3" applyNumberFormat="1" applyFont="1" applyFill="1" applyBorder="1" applyAlignment="1">
      <alignment horizontal="right" vertical="center" wrapText="1"/>
    </xf>
    <xf numFmtId="178" fontId="13" fillId="4" borderId="45" xfId="3" applyNumberFormat="1" applyFont="1" applyFill="1" applyBorder="1" applyAlignment="1">
      <alignment horizontal="right" vertical="center" wrapText="1"/>
    </xf>
    <xf numFmtId="178" fontId="34" fillId="3" borderId="38" xfId="3" applyNumberFormat="1" applyFont="1" applyFill="1" applyBorder="1" applyAlignment="1">
      <alignment horizontal="right" vertical="center" wrapText="1"/>
    </xf>
    <xf numFmtId="0" fontId="1" fillId="3" borderId="43" xfId="3" applyFill="1" applyBorder="1">
      <alignment vertical="center"/>
    </xf>
    <xf numFmtId="185" fontId="29" fillId="5" borderId="219" xfId="3" applyNumberFormat="1" applyFont="1" applyFill="1" applyBorder="1" applyAlignment="1">
      <alignment horizontal="right" vertical="center" wrapText="1"/>
    </xf>
    <xf numFmtId="185" fontId="20" fillId="3" borderId="38" xfId="3" applyNumberFormat="1" applyFont="1" applyFill="1" applyBorder="1" applyAlignment="1">
      <alignment horizontal="right" vertical="center" wrapText="1"/>
    </xf>
    <xf numFmtId="185" fontId="29" fillId="5" borderId="38" xfId="3" applyNumberFormat="1" applyFont="1" applyFill="1" applyBorder="1" applyAlignment="1">
      <alignment horizontal="right" vertical="center" wrapText="1"/>
    </xf>
    <xf numFmtId="185" fontId="29" fillId="5" borderId="43" xfId="3" applyNumberFormat="1" applyFont="1" applyFill="1" applyBorder="1" applyAlignment="1">
      <alignment horizontal="right" vertical="center" wrapText="1"/>
    </xf>
    <xf numFmtId="185" fontId="29" fillId="5" borderId="220" xfId="3" applyNumberFormat="1" applyFont="1" applyFill="1" applyBorder="1" applyAlignment="1">
      <alignment horizontal="right" vertical="center" wrapText="1"/>
    </xf>
    <xf numFmtId="185" fontId="29" fillId="5" borderId="45" xfId="3" applyNumberFormat="1" applyFont="1" applyFill="1" applyBorder="1" applyAlignment="1">
      <alignment horizontal="right" vertical="center" wrapText="1"/>
    </xf>
    <xf numFmtId="185" fontId="21" fillId="3" borderId="38" xfId="3" applyNumberFormat="1" applyFont="1" applyFill="1" applyBorder="1" applyAlignment="1">
      <alignment horizontal="right" vertical="center" wrapText="1"/>
    </xf>
    <xf numFmtId="0" fontId="5" fillId="3" borderId="45" xfId="3" quotePrefix="1" applyFont="1" applyFill="1" applyBorder="1">
      <alignment vertical="center"/>
    </xf>
    <xf numFmtId="0" fontId="5" fillId="3" borderId="54" xfId="3" quotePrefix="1" applyFont="1" applyFill="1" applyBorder="1" applyAlignment="1">
      <alignment vertical="top"/>
    </xf>
    <xf numFmtId="178" fontId="29" fillId="4" borderId="219" xfId="3" applyNumberFormat="1" applyFont="1" applyFill="1" applyBorder="1" applyAlignment="1">
      <alignment horizontal="right" vertical="center" wrapText="1"/>
    </xf>
    <xf numFmtId="178" fontId="21" fillId="3" borderId="38" xfId="3" applyNumberFormat="1" applyFont="1" applyFill="1" applyBorder="1" applyAlignment="1">
      <alignment horizontal="right" vertical="center" wrapText="1"/>
    </xf>
    <xf numFmtId="178" fontId="29" fillId="4" borderId="38" xfId="3" applyNumberFormat="1" applyFont="1" applyFill="1" applyBorder="1" applyAlignment="1">
      <alignment horizontal="right" vertical="center" wrapText="1"/>
    </xf>
    <xf numFmtId="178" fontId="29" fillId="4" borderId="43" xfId="3" applyNumberFormat="1" applyFont="1" applyFill="1" applyBorder="1" applyAlignment="1">
      <alignment horizontal="right" vertical="center" wrapText="1"/>
    </xf>
    <xf numFmtId="178" fontId="29" fillId="4" borderId="220" xfId="3" applyNumberFormat="1" applyFont="1" applyFill="1" applyBorder="1" applyAlignment="1">
      <alignment horizontal="right" vertical="center" wrapText="1"/>
    </xf>
    <xf numFmtId="178" fontId="29" fillId="4" borderId="45" xfId="3" applyNumberFormat="1" applyFont="1" applyFill="1" applyBorder="1" applyAlignment="1">
      <alignment horizontal="right" vertical="center" wrapText="1"/>
    </xf>
    <xf numFmtId="0" fontId="21" fillId="3" borderId="43" xfId="3" applyFont="1" applyFill="1" applyBorder="1">
      <alignment vertical="center"/>
    </xf>
    <xf numFmtId="0" fontId="21" fillId="3" borderId="42" xfId="3" applyFont="1" applyFill="1" applyBorder="1">
      <alignment vertical="center"/>
    </xf>
    <xf numFmtId="0" fontId="5" fillId="3" borderId="37" xfId="3" quotePrefix="1" applyFont="1" applyFill="1" applyBorder="1" applyAlignment="1">
      <alignment vertical="top"/>
    </xf>
    <xf numFmtId="0" fontId="21" fillId="3" borderId="43" xfId="3" applyFont="1" applyFill="1" applyBorder="1" applyAlignment="1">
      <alignment vertical="top"/>
    </xf>
    <xf numFmtId="0" fontId="21" fillId="3" borderId="45" xfId="3" applyFont="1" applyFill="1" applyBorder="1" applyAlignment="1">
      <alignment horizontal="left" vertical="top" wrapText="1"/>
    </xf>
    <xf numFmtId="178" fontId="35" fillId="3" borderId="38" xfId="3" applyNumberFormat="1" applyFont="1" applyFill="1" applyBorder="1" applyAlignment="1">
      <alignment horizontal="right" vertical="center" wrapText="1"/>
    </xf>
    <xf numFmtId="0" fontId="5" fillId="3" borderId="34" xfId="3" applyFont="1" applyFill="1" applyBorder="1" applyAlignment="1">
      <alignment horizontal="center" vertical="center"/>
    </xf>
    <xf numFmtId="0" fontId="5" fillId="3" borderId="38" xfId="3" quotePrefix="1" applyFont="1" applyFill="1" applyBorder="1" applyAlignment="1">
      <alignment vertical="top"/>
    </xf>
    <xf numFmtId="0" fontId="5" fillId="3" borderId="80" xfId="3" quotePrefix="1" applyFont="1" applyFill="1" applyBorder="1" applyAlignment="1">
      <alignment horizontal="left" vertical="top" wrapText="1"/>
    </xf>
    <xf numFmtId="185" fontId="29" fillId="5" borderId="229" xfId="3" applyNumberFormat="1" applyFont="1" applyFill="1" applyBorder="1" applyAlignment="1">
      <alignment horizontal="right" vertical="center" wrapText="1"/>
    </xf>
    <xf numFmtId="185" fontId="20" fillId="3" borderId="37" xfId="3" applyNumberFormat="1" applyFont="1" applyFill="1" applyBorder="1" applyAlignment="1">
      <alignment horizontal="right" vertical="center" wrapText="1"/>
    </xf>
    <xf numFmtId="185" fontId="29" fillId="5" borderId="37" xfId="3" applyNumberFormat="1" applyFont="1" applyFill="1" applyBorder="1" applyAlignment="1">
      <alignment horizontal="right" vertical="center" wrapText="1"/>
    </xf>
    <xf numFmtId="185" fontId="29" fillId="5" borderId="34" xfId="3" applyNumberFormat="1" applyFont="1" applyFill="1" applyBorder="1" applyAlignment="1">
      <alignment horizontal="right" vertical="center" wrapText="1"/>
    </xf>
    <xf numFmtId="185" fontId="29" fillId="5" borderId="230" xfId="3" applyNumberFormat="1" applyFont="1" applyFill="1" applyBorder="1" applyAlignment="1">
      <alignment horizontal="right" vertical="center" wrapText="1"/>
    </xf>
    <xf numFmtId="185" fontId="29" fillId="5" borderId="80" xfId="3" applyNumberFormat="1" applyFont="1" applyFill="1" applyBorder="1" applyAlignment="1">
      <alignment horizontal="right" vertical="center" wrapText="1"/>
    </xf>
    <xf numFmtId="185" fontId="21" fillId="3" borderId="37" xfId="3" applyNumberFormat="1" applyFont="1" applyFill="1" applyBorder="1" applyAlignment="1">
      <alignment horizontal="right" vertical="center" wrapText="1"/>
    </xf>
    <xf numFmtId="185" fontId="5" fillId="3" borderId="37" xfId="3" applyNumberFormat="1" applyFont="1" applyFill="1" applyBorder="1" applyAlignment="1">
      <alignment horizontal="right" vertical="center" wrapText="1"/>
    </xf>
    <xf numFmtId="178" fontId="5" fillId="3" borderId="54" xfId="3" applyNumberFormat="1" applyFont="1" applyFill="1" applyBorder="1" applyAlignment="1">
      <alignment horizontal="right" vertical="center" wrapText="1"/>
    </xf>
    <xf numFmtId="0" fontId="21" fillId="3" borderId="42" xfId="3" applyFont="1" applyFill="1" applyBorder="1" applyAlignment="1">
      <alignment horizontal="left" vertical="center"/>
    </xf>
    <xf numFmtId="0" fontId="5" fillId="3" borderId="42" xfId="3" applyFont="1" applyFill="1" applyBorder="1" applyAlignment="1">
      <alignment horizontal="center" vertical="center"/>
    </xf>
    <xf numFmtId="0" fontId="5" fillId="3" borderId="42" xfId="3" quotePrefix="1" applyFont="1" applyFill="1" applyBorder="1" applyAlignment="1">
      <alignment horizontal="left" vertical="top" wrapText="1"/>
    </xf>
    <xf numFmtId="178" fontId="13" fillId="4" borderId="42" xfId="3" applyNumberFormat="1" applyFont="1" applyFill="1" applyBorder="1" applyAlignment="1">
      <alignment horizontal="right" vertical="center" wrapText="1"/>
    </xf>
    <xf numFmtId="178" fontId="5" fillId="3" borderId="45" xfId="3" applyNumberFormat="1" applyFont="1" applyFill="1" applyBorder="1" applyAlignment="1">
      <alignment horizontal="right" vertical="center" wrapText="1"/>
    </xf>
    <xf numFmtId="178" fontId="5" fillId="3" borderId="43" xfId="3" applyNumberFormat="1" applyFont="1" applyFill="1" applyBorder="1" applyAlignment="1">
      <alignment horizontal="right" vertical="center" wrapText="1"/>
    </xf>
    <xf numFmtId="0" fontId="1" fillId="17" borderId="79" xfId="3" applyFill="1" applyBorder="1" applyAlignment="1">
      <alignment horizontal="center" vertical="center"/>
    </xf>
    <xf numFmtId="0" fontId="5" fillId="3" borderId="82" xfId="3" quotePrefix="1" applyFont="1" applyFill="1" applyBorder="1" applyAlignment="1">
      <alignment vertical="top"/>
    </xf>
    <xf numFmtId="0" fontId="5" fillId="3" borderId="82" xfId="3" quotePrefix="1" applyFont="1" applyFill="1" applyBorder="1" applyAlignment="1">
      <alignment vertical="top" wrapText="1"/>
    </xf>
    <xf numFmtId="0" fontId="5" fillId="3" borderId="57" xfId="3" quotePrefix="1" applyFont="1" applyFill="1" applyBorder="1" applyAlignment="1">
      <alignment horizontal="left" vertical="top" wrapText="1"/>
    </xf>
    <xf numFmtId="0" fontId="5" fillId="3" borderId="174" xfId="3" quotePrefix="1" applyFont="1" applyFill="1" applyBorder="1" applyAlignment="1">
      <alignment vertical="center" wrapText="1"/>
    </xf>
    <xf numFmtId="0" fontId="5" fillId="3" borderId="118" xfId="3" quotePrefix="1" applyFont="1" applyFill="1" applyBorder="1" applyAlignment="1">
      <alignment vertical="top"/>
    </xf>
    <xf numFmtId="0" fontId="5" fillId="3" borderId="119" xfId="3" quotePrefix="1" applyFont="1" applyFill="1" applyBorder="1" applyAlignment="1">
      <alignment vertical="top"/>
    </xf>
    <xf numFmtId="0" fontId="5" fillId="3" borderId="183" xfId="3" quotePrefix="1" applyFont="1" applyFill="1" applyBorder="1" applyAlignment="1">
      <alignment vertical="center" wrapText="1"/>
    </xf>
    <xf numFmtId="0" fontId="21" fillId="3" borderId="42" xfId="3" applyFont="1" applyFill="1" applyBorder="1" applyAlignment="1">
      <alignment vertical="top" wrapText="1"/>
    </xf>
    <xf numFmtId="0" fontId="5" fillId="3" borderId="44" xfId="3" quotePrefix="1" applyFont="1" applyFill="1" applyBorder="1" applyAlignment="1">
      <alignment vertical="top"/>
    </xf>
    <xf numFmtId="0" fontId="5" fillId="3" borderId="64" xfId="3" quotePrefix="1" applyFont="1" applyFill="1" applyBorder="1" applyAlignment="1">
      <alignment vertical="top"/>
    </xf>
    <xf numFmtId="0" fontId="21" fillId="3" borderId="120" xfId="3" applyFont="1" applyFill="1" applyBorder="1" applyAlignment="1">
      <alignment vertical="top"/>
    </xf>
    <xf numFmtId="0" fontId="21" fillId="3" borderId="57" xfId="3" applyFont="1" applyFill="1" applyBorder="1" applyAlignment="1">
      <alignment horizontal="left" vertical="top" wrapText="1"/>
    </xf>
    <xf numFmtId="0" fontId="5" fillId="3" borderId="204" xfId="3" applyFont="1" applyFill="1" applyBorder="1">
      <alignment vertical="center"/>
    </xf>
    <xf numFmtId="0" fontId="5" fillId="3" borderId="177" xfId="3" quotePrefix="1" applyFont="1" applyFill="1" applyBorder="1" applyAlignment="1">
      <alignment vertical="center" wrapText="1"/>
    </xf>
    <xf numFmtId="0" fontId="21" fillId="3" borderId="67" xfId="3" applyFont="1" applyFill="1" applyBorder="1" applyAlignment="1">
      <alignment vertical="top"/>
    </xf>
    <xf numFmtId="0" fontId="21" fillId="3" borderId="51" xfId="3" applyFont="1" applyFill="1" applyBorder="1" applyAlignment="1">
      <alignment vertical="top" wrapText="1"/>
    </xf>
    <xf numFmtId="0" fontId="5" fillId="3" borderId="51" xfId="3" applyFont="1" applyFill="1" applyBorder="1" applyAlignment="1">
      <alignment horizontal="center" vertical="center"/>
    </xf>
    <xf numFmtId="0" fontId="5" fillId="3" borderId="69" xfId="3" quotePrefix="1" applyFont="1" applyFill="1" applyBorder="1" applyAlignment="1">
      <alignment vertical="top"/>
    </xf>
    <xf numFmtId="0" fontId="5" fillId="3" borderId="88" xfId="3" quotePrefix="1" applyFont="1" applyFill="1" applyBorder="1" applyAlignment="1">
      <alignment vertical="top"/>
    </xf>
    <xf numFmtId="0" fontId="5" fillId="3" borderId="53" xfId="3" applyFont="1" applyFill="1" applyBorder="1" applyAlignment="1">
      <alignment horizontal="center" vertical="center"/>
    </xf>
    <xf numFmtId="178" fontId="13" fillId="4" borderId="235" xfId="3" applyNumberFormat="1" applyFont="1" applyFill="1" applyBorder="1" applyAlignment="1">
      <alignment horizontal="right" vertical="center" wrapText="1"/>
    </xf>
    <xf numFmtId="178" fontId="5" fillId="3" borderId="74" xfId="3" applyNumberFormat="1" applyFont="1" applyFill="1" applyBorder="1" applyAlignment="1">
      <alignment horizontal="right" vertical="center" wrapText="1"/>
    </xf>
    <xf numFmtId="178" fontId="13" fillId="4" borderId="74" xfId="3" applyNumberFormat="1" applyFont="1" applyFill="1" applyBorder="1" applyAlignment="1">
      <alignment horizontal="right" vertical="center" wrapText="1"/>
    </xf>
    <xf numFmtId="178" fontId="13" fillId="4" borderId="67" xfId="3" applyNumberFormat="1" applyFont="1" applyFill="1" applyBorder="1" applyAlignment="1">
      <alignment horizontal="right" vertical="center" wrapText="1"/>
    </xf>
    <xf numFmtId="178" fontId="13" fillId="4" borderId="236" xfId="3" applyNumberFormat="1" applyFont="1" applyFill="1" applyBorder="1" applyAlignment="1">
      <alignment horizontal="right" vertical="center" wrapText="1"/>
    </xf>
    <xf numFmtId="178" fontId="13" fillId="4" borderId="53" xfId="3" applyNumberFormat="1" applyFont="1" applyFill="1" applyBorder="1" applyAlignment="1">
      <alignment horizontal="right" vertical="center" wrapText="1"/>
    </xf>
    <xf numFmtId="178" fontId="34" fillId="3" borderId="74" xfId="3" applyNumberFormat="1" applyFont="1" applyFill="1" applyBorder="1" applyAlignment="1">
      <alignment horizontal="right" vertical="center" wrapText="1"/>
    </xf>
    <xf numFmtId="178" fontId="35" fillId="3" borderId="74" xfId="3" applyNumberFormat="1" applyFont="1" applyFill="1" applyBorder="1" applyAlignment="1">
      <alignment horizontal="right" vertical="center" wrapText="1"/>
    </xf>
    <xf numFmtId="0" fontId="19" fillId="14" borderId="27" xfId="3" applyFont="1" applyFill="1" applyBorder="1">
      <alignment vertical="center"/>
    </xf>
    <xf numFmtId="0" fontId="19" fillId="14" borderId="75" xfId="3" applyFont="1" applyFill="1" applyBorder="1">
      <alignment vertical="center"/>
    </xf>
    <xf numFmtId="0" fontId="15" fillId="14" borderId="121" xfId="3" applyFont="1" applyFill="1" applyBorder="1">
      <alignment vertical="center"/>
    </xf>
    <xf numFmtId="0" fontId="19" fillId="14" borderId="28" xfId="3" applyFont="1" applyFill="1" applyBorder="1" applyAlignment="1">
      <alignment horizontal="center" vertical="center"/>
    </xf>
    <xf numFmtId="0" fontId="9" fillId="14" borderId="28" xfId="3" applyFont="1" applyFill="1" applyBorder="1" applyAlignment="1">
      <alignment horizontal="center" vertical="center"/>
    </xf>
    <xf numFmtId="0" fontId="5" fillId="3" borderId="31" xfId="3" applyFont="1" applyFill="1" applyBorder="1">
      <alignment vertical="center"/>
    </xf>
    <xf numFmtId="0" fontId="5" fillId="0" borderId="78" xfId="3" quotePrefix="1" applyFont="1" applyBorder="1" applyAlignment="1">
      <alignment vertical="top"/>
    </xf>
    <xf numFmtId="0" fontId="5" fillId="0" borderId="33" xfId="3" quotePrefix="1" applyFont="1" applyBorder="1" applyAlignment="1">
      <alignment vertical="top"/>
    </xf>
    <xf numFmtId="0" fontId="5" fillId="0" borderId="33" xfId="3" quotePrefix="1" applyFont="1" applyBorder="1" applyAlignment="1">
      <alignment vertical="top" wrapText="1"/>
    </xf>
    <xf numFmtId="0" fontId="5" fillId="0" borderId="80" xfId="3" quotePrefix="1" applyFont="1" applyBorder="1" applyAlignment="1">
      <alignment horizontal="left" vertical="top" wrapText="1"/>
    </xf>
    <xf numFmtId="178" fontId="13" fillId="5" borderId="227" xfId="3" applyNumberFormat="1" applyFont="1" applyFill="1" applyBorder="1" applyAlignment="1">
      <alignment horizontal="right" vertical="center" wrapText="1"/>
    </xf>
    <xf numFmtId="178" fontId="21" fillId="0" borderId="78" xfId="3" applyNumberFormat="1" applyFont="1" applyBorder="1" applyAlignment="1">
      <alignment horizontal="right" vertical="center" wrapText="1"/>
    </xf>
    <xf numFmtId="178" fontId="13" fillId="5" borderId="78" xfId="3" applyNumberFormat="1" applyFont="1" applyFill="1" applyBorder="1" applyAlignment="1">
      <alignment horizontal="right" vertical="center" wrapText="1"/>
    </xf>
    <xf numFmtId="178" fontId="5" fillId="0" borderId="78" xfId="3" applyNumberFormat="1" applyFont="1" applyBorder="1" applyAlignment="1">
      <alignment horizontal="right" vertical="center" wrapText="1"/>
    </xf>
    <xf numFmtId="178" fontId="13" fillId="5" borderId="77" xfId="3" applyNumberFormat="1" applyFont="1" applyFill="1" applyBorder="1" applyAlignment="1">
      <alignment horizontal="right" vertical="center" wrapText="1"/>
    </xf>
    <xf numFmtId="178" fontId="13" fillId="5" borderId="228" xfId="3" applyNumberFormat="1" applyFont="1" applyFill="1" applyBorder="1" applyAlignment="1">
      <alignment horizontal="right" vertical="center" wrapText="1"/>
    </xf>
    <xf numFmtId="178" fontId="13" fillId="5" borderId="36" xfId="3" applyNumberFormat="1" applyFont="1" applyFill="1" applyBorder="1" applyAlignment="1">
      <alignment horizontal="right" vertical="center" wrapText="1"/>
    </xf>
    <xf numFmtId="178" fontId="11" fillId="0" borderId="78" xfId="3" applyNumberFormat="1" applyFont="1" applyBorder="1" applyAlignment="1">
      <alignment horizontal="right" vertical="center" wrapText="1"/>
    </xf>
    <xf numFmtId="0" fontId="21" fillId="3" borderId="38" xfId="3" applyFont="1" applyFill="1" applyBorder="1" applyAlignment="1">
      <alignment horizontal="left" vertical="top"/>
    </xf>
    <xf numFmtId="0" fontId="21" fillId="3" borderId="45" xfId="3" applyFont="1" applyFill="1" applyBorder="1" applyAlignment="1">
      <alignment horizontal="left" vertical="top"/>
    </xf>
    <xf numFmtId="0" fontId="5" fillId="17" borderId="46" xfId="3" applyFont="1" applyFill="1" applyBorder="1" applyAlignment="1">
      <alignment horizontal="center" vertical="center"/>
    </xf>
    <xf numFmtId="0" fontId="5" fillId="3" borderId="38" xfId="3" quotePrefix="1" applyFont="1" applyFill="1" applyBorder="1" applyAlignment="1">
      <alignment horizontal="left" vertical="top"/>
    </xf>
    <xf numFmtId="0" fontId="5" fillId="3" borderId="0" xfId="3" applyFont="1" applyFill="1" applyAlignment="1">
      <alignment horizontal="left" vertical="center"/>
    </xf>
    <xf numFmtId="178" fontId="13" fillId="5" borderId="219" xfId="3" applyNumberFormat="1" applyFont="1" applyFill="1" applyBorder="1" applyAlignment="1">
      <alignment horizontal="right" vertical="center" wrapText="1"/>
    </xf>
    <xf numFmtId="178" fontId="20" fillId="3" borderId="38" xfId="3" applyNumberFormat="1" applyFont="1" applyFill="1" applyBorder="1" applyAlignment="1">
      <alignment horizontal="right" vertical="center" wrapText="1"/>
    </xf>
    <xf numFmtId="178" fontId="13" fillId="5" borderId="38" xfId="3" applyNumberFormat="1" applyFont="1" applyFill="1" applyBorder="1" applyAlignment="1">
      <alignment horizontal="right" vertical="center" wrapText="1"/>
    </xf>
    <xf numFmtId="178" fontId="13" fillId="5" borderId="43" xfId="3" applyNumberFormat="1" applyFont="1" applyFill="1" applyBorder="1" applyAlignment="1">
      <alignment horizontal="right" vertical="center" wrapText="1"/>
    </xf>
    <xf numFmtId="178" fontId="13" fillId="5" borderId="220" xfId="3" applyNumberFormat="1" applyFont="1" applyFill="1" applyBorder="1" applyAlignment="1">
      <alignment horizontal="right" vertical="center" wrapText="1"/>
    </xf>
    <xf numFmtId="178" fontId="13" fillId="5" borderId="45" xfId="3" applyNumberFormat="1" applyFont="1" applyFill="1" applyBorder="1" applyAlignment="1">
      <alignment horizontal="right" vertical="center" wrapText="1"/>
    </xf>
    <xf numFmtId="178" fontId="21" fillId="3" borderId="38" xfId="3" applyNumberFormat="1" applyFont="1" applyFill="1" applyBorder="1" applyAlignment="1">
      <alignment horizontal="right" vertical="top" wrapText="1"/>
    </xf>
    <xf numFmtId="0" fontId="5" fillId="3" borderId="45" xfId="3" applyFont="1" applyFill="1" applyBorder="1" applyAlignment="1">
      <alignment horizontal="left" vertical="center"/>
    </xf>
    <xf numFmtId="0" fontId="5" fillId="3" borderId="205" xfId="3" applyFont="1" applyFill="1" applyBorder="1">
      <alignment vertical="center"/>
    </xf>
    <xf numFmtId="0" fontId="21" fillId="3" borderId="67" xfId="3" applyFont="1" applyFill="1" applyBorder="1">
      <alignment vertical="center"/>
    </xf>
    <xf numFmtId="0" fontId="21" fillId="3" borderId="51" xfId="3" applyFont="1" applyFill="1" applyBorder="1">
      <alignment vertical="center"/>
    </xf>
    <xf numFmtId="0" fontId="21" fillId="3" borderId="54" xfId="3" applyFont="1" applyFill="1" applyBorder="1" applyAlignment="1">
      <alignment horizontal="left" vertical="top"/>
    </xf>
    <xf numFmtId="0" fontId="21" fillId="3" borderId="57" xfId="3" applyFont="1" applyFill="1" applyBorder="1" applyAlignment="1">
      <alignment horizontal="left" vertical="top"/>
    </xf>
    <xf numFmtId="0" fontId="21" fillId="3" borderId="67" xfId="3" applyFont="1" applyFill="1" applyBorder="1" applyAlignment="1">
      <alignment vertical="top" wrapText="1"/>
    </xf>
    <xf numFmtId="178" fontId="34" fillId="3" borderId="54" xfId="3" applyNumberFormat="1" applyFont="1" applyFill="1" applyBorder="1" applyAlignment="1">
      <alignment horizontal="right" vertical="center" wrapText="1"/>
    </xf>
    <xf numFmtId="178" fontId="35" fillId="3" borderId="54" xfId="3" applyNumberFormat="1" applyFont="1" applyFill="1" applyBorder="1" applyAlignment="1">
      <alignment horizontal="right" vertical="center" wrapText="1"/>
    </xf>
    <xf numFmtId="0" fontId="5" fillId="3" borderId="171" xfId="3" applyFont="1" applyFill="1" applyBorder="1" applyAlignment="1">
      <alignment vertical="top" wrapText="1"/>
    </xf>
    <xf numFmtId="0" fontId="5" fillId="19" borderId="171" xfId="3" quotePrefix="1" applyFont="1" applyFill="1" applyBorder="1">
      <alignment vertical="center"/>
    </xf>
    <xf numFmtId="3" fontId="5" fillId="14" borderId="227" xfId="3" applyNumberFormat="1" applyFont="1" applyFill="1" applyBorder="1" applyAlignment="1">
      <alignment horizontal="right" vertical="center" wrapText="1"/>
    </xf>
    <xf numFmtId="0" fontId="5" fillId="19" borderId="78" xfId="3" applyFont="1" applyFill="1" applyBorder="1" applyAlignment="1">
      <alignment horizontal="right" vertical="top" wrapText="1"/>
    </xf>
    <xf numFmtId="3" fontId="5" fillId="14" borderId="78" xfId="3" applyNumberFormat="1" applyFont="1" applyFill="1" applyBorder="1" applyAlignment="1">
      <alignment horizontal="right" vertical="center" wrapText="1"/>
    </xf>
    <xf numFmtId="3" fontId="5" fillId="19" borderId="77" xfId="3" applyNumberFormat="1" applyFont="1" applyFill="1" applyBorder="1" applyAlignment="1">
      <alignment horizontal="right" vertical="center" wrapText="1"/>
    </xf>
    <xf numFmtId="3" fontId="5" fillId="19" borderId="228" xfId="3" applyNumberFormat="1" applyFont="1" applyFill="1" applyBorder="1" applyAlignment="1">
      <alignment horizontal="right" vertical="center" wrapText="1"/>
    </xf>
    <xf numFmtId="0" fontId="5" fillId="14" borderId="36" xfId="3" applyFont="1" applyFill="1" applyBorder="1" applyAlignment="1">
      <alignment horizontal="right" vertical="center" wrapText="1"/>
    </xf>
    <xf numFmtId="0" fontId="5" fillId="14" borderId="78" xfId="3" applyFont="1" applyFill="1" applyBorder="1" applyAlignment="1">
      <alignment horizontal="right" vertical="center" wrapText="1"/>
    </xf>
    <xf numFmtId="3" fontId="5" fillId="19" borderId="78" xfId="3" applyNumberFormat="1" applyFont="1" applyFill="1" applyBorder="1" applyAlignment="1">
      <alignment horizontal="right" vertical="center" wrapText="1"/>
    </xf>
    <xf numFmtId="0" fontId="5" fillId="19" borderId="90" xfId="3" applyFont="1" applyFill="1" applyBorder="1" applyAlignment="1">
      <alignment horizontal="center" vertical="center"/>
    </xf>
    <xf numFmtId="0" fontId="5" fillId="3" borderId="189" xfId="3" applyFont="1" applyFill="1" applyBorder="1" applyAlignment="1">
      <alignment vertical="top" wrapText="1"/>
    </xf>
    <xf numFmtId="178" fontId="13" fillId="15" borderId="229" xfId="3" applyNumberFormat="1" applyFont="1" applyFill="1" applyBorder="1" applyAlignment="1">
      <alignment horizontal="right" vertical="center" wrapText="1"/>
    </xf>
    <xf numFmtId="178" fontId="5" fillId="0" borderId="37" xfId="3" applyNumberFormat="1" applyFont="1" applyBorder="1" applyAlignment="1">
      <alignment horizontal="right" vertical="top" wrapText="1"/>
    </xf>
    <xf numFmtId="178" fontId="13" fillId="15" borderId="37" xfId="3" applyNumberFormat="1" applyFont="1" applyFill="1" applyBorder="1" applyAlignment="1">
      <alignment horizontal="right" vertical="center" wrapText="1"/>
    </xf>
    <xf numFmtId="178" fontId="13" fillId="15" borderId="80" xfId="3" applyNumberFormat="1" applyFont="1" applyFill="1" applyBorder="1" applyAlignment="1">
      <alignment horizontal="right" vertical="center" wrapText="1"/>
    </xf>
    <xf numFmtId="0" fontId="5" fillId="3" borderId="172" xfId="3" applyFont="1" applyFill="1" applyBorder="1" applyAlignment="1">
      <alignment vertical="top" wrapText="1"/>
    </xf>
    <xf numFmtId="178" fontId="13" fillId="15" borderId="219" xfId="3" applyNumberFormat="1" applyFont="1" applyFill="1" applyBorder="1" applyAlignment="1">
      <alignment horizontal="right" vertical="center" wrapText="1"/>
    </xf>
    <xf numFmtId="178" fontId="5" fillId="0" borderId="38" xfId="3" applyNumberFormat="1" applyFont="1" applyBorder="1" applyAlignment="1">
      <alignment horizontal="right" vertical="top" wrapText="1"/>
    </xf>
    <xf numFmtId="178" fontId="13" fillId="15" borderId="38" xfId="3" applyNumberFormat="1" applyFont="1" applyFill="1" applyBorder="1" applyAlignment="1">
      <alignment horizontal="right" vertical="center" wrapText="1"/>
    </xf>
    <xf numFmtId="178" fontId="13" fillId="15" borderId="45" xfId="3" applyNumberFormat="1" applyFont="1" applyFill="1" applyBorder="1" applyAlignment="1">
      <alignment horizontal="right" vertical="center" wrapText="1"/>
    </xf>
    <xf numFmtId="0" fontId="5" fillId="19" borderId="173" xfId="3" applyFont="1" applyFill="1" applyBorder="1" applyAlignment="1">
      <alignment vertical="center" wrapText="1"/>
    </xf>
    <xf numFmtId="0" fontId="5" fillId="19" borderId="219" xfId="3" applyFont="1" applyFill="1" applyBorder="1" applyAlignment="1">
      <alignment horizontal="right" vertical="center"/>
    </xf>
    <xf numFmtId="0" fontId="5" fillId="19" borderId="38" xfId="3" applyFont="1" applyFill="1" applyBorder="1" applyAlignment="1">
      <alignment horizontal="right" vertical="center"/>
    </xf>
    <xf numFmtId="0" fontId="5" fillId="19" borderId="43" xfId="3" applyFont="1" applyFill="1" applyBorder="1" applyAlignment="1">
      <alignment horizontal="right" vertical="center"/>
    </xf>
    <xf numFmtId="0" fontId="5" fillId="19" borderId="220" xfId="3" applyFont="1" applyFill="1" applyBorder="1" applyAlignment="1">
      <alignment horizontal="right" vertical="center"/>
    </xf>
    <xf numFmtId="0" fontId="5" fillId="19" borderId="45" xfId="3" applyFont="1" applyFill="1" applyBorder="1" applyAlignment="1">
      <alignment horizontal="right" vertical="center"/>
    </xf>
    <xf numFmtId="3" fontId="5" fillId="0" borderId="219" xfId="3" applyNumberFormat="1" applyFont="1" applyBorder="1" applyAlignment="1">
      <alignment horizontal="right" vertical="center" wrapText="1"/>
    </xf>
    <xf numFmtId="3" fontId="5" fillId="0" borderId="38" xfId="3" applyNumberFormat="1" applyFont="1" applyBorder="1" applyAlignment="1">
      <alignment horizontal="right" vertical="center" wrapText="1"/>
    </xf>
    <xf numFmtId="3" fontId="5" fillId="4" borderId="43" xfId="3" applyNumberFormat="1" applyFont="1" applyFill="1" applyBorder="1" applyAlignment="1">
      <alignment horizontal="right" vertical="center" wrapText="1"/>
    </xf>
    <xf numFmtId="3" fontId="5" fillId="4" borderId="219" xfId="3" applyNumberFormat="1" applyFont="1" applyFill="1" applyBorder="1" applyAlignment="1">
      <alignment horizontal="right" vertical="center" wrapText="1"/>
    </xf>
    <xf numFmtId="3" fontId="5" fillId="4" borderId="38" xfId="3" applyNumberFormat="1" applyFont="1" applyFill="1" applyBorder="1" applyAlignment="1">
      <alignment horizontal="right" vertical="center" wrapText="1"/>
    </xf>
    <xf numFmtId="3" fontId="5" fillId="4" borderId="220" xfId="3" applyNumberFormat="1" applyFont="1" applyFill="1" applyBorder="1" applyAlignment="1">
      <alignment horizontal="right" vertical="center" wrapText="1"/>
    </xf>
    <xf numFmtId="3" fontId="5" fillId="0" borderId="45" xfId="3" applyNumberFormat="1" applyFont="1" applyBorder="1" applyAlignment="1">
      <alignment horizontal="right" vertical="center" wrapText="1"/>
    </xf>
    <xf numFmtId="3" fontId="5" fillId="4" borderId="45" xfId="3" applyNumberFormat="1" applyFont="1" applyFill="1" applyBorder="1" applyAlignment="1">
      <alignment horizontal="right" vertical="center" wrapText="1"/>
    </xf>
    <xf numFmtId="0" fontId="5" fillId="17" borderId="59" xfId="3" applyFont="1" applyFill="1" applyBorder="1" applyAlignment="1">
      <alignment horizontal="center" vertical="center"/>
    </xf>
    <xf numFmtId="0" fontId="5" fillId="19" borderId="0" xfId="3" applyFont="1" applyFill="1" applyAlignment="1">
      <alignment vertical="center" wrapText="1"/>
    </xf>
    <xf numFmtId="0" fontId="5" fillId="19" borderId="64" xfId="3" applyFont="1" applyFill="1" applyBorder="1" applyAlignment="1">
      <alignment vertical="center" wrapText="1"/>
    </xf>
    <xf numFmtId="0" fontId="5" fillId="19" borderId="43" xfId="3" applyFont="1" applyFill="1" applyBorder="1" applyAlignment="1">
      <alignment vertical="top" wrapText="1"/>
    </xf>
    <xf numFmtId="0" fontId="5" fillId="19" borderId="45" xfId="3" applyFont="1" applyFill="1" applyBorder="1" applyAlignment="1">
      <alignment vertical="top" wrapText="1"/>
    </xf>
    <xf numFmtId="3" fontId="5" fillId="19" borderId="219" xfId="3" applyNumberFormat="1" applyFont="1" applyFill="1" applyBorder="1" applyAlignment="1">
      <alignment horizontal="right" vertical="center" wrapText="1"/>
    </xf>
    <xf numFmtId="3" fontId="5" fillId="19" borderId="43" xfId="3" applyNumberFormat="1" applyFont="1" applyFill="1" applyBorder="1" applyAlignment="1">
      <alignment horizontal="right" vertical="center" wrapText="1"/>
    </xf>
    <xf numFmtId="3" fontId="5" fillId="19" borderId="220" xfId="3" applyNumberFormat="1" applyFont="1" applyFill="1" applyBorder="1" applyAlignment="1">
      <alignment horizontal="right" vertical="center" wrapText="1"/>
    </xf>
    <xf numFmtId="3" fontId="5" fillId="19" borderId="45" xfId="3" applyNumberFormat="1" applyFont="1" applyFill="1" applyBorder="1" applyAlignment="1">
      <alignment horizontal="right" vertical="center" wrapText="1"/>
    </xf>
    <xf numFmtId="0" fontId="5" fillId="19" borderId="59" xfId="3" applyFont="1" applyFill="1" applyBorder="1" applyAlignment="1">
      <alignment horizontal="center" vertical="center"/>
    </xf>
    <xf numFmtId="0" fontId="5" fillId="0" borderId="41" xfId="3" applyFont="1" applyBorder="1">
      <alignment vertical="center"/>
    </xf>
    <xf numFmtId="0" fontId="5" fillId="0" borderId="31" xfId="3" applyFont="1" applyBorder="1">
      <alignment vertical="center"/>
    </xf>
    <xf numFmtId="0" fontId="5" fillId="3" borderId="42" xfId="3" quotePrefix="1" applyFont="1" applyFill="1" applyBorder="1" applyAlignment="1">
      <alignment vertical="center" wrapText="1"/>
    </xf>
    <xf numFmtId="0" fontId="5" fillId="3" borderId="45" xfId="3" quotePrefix="1" applyFont="1" applyFill="1" applyBorder="1" applyAlignment="1">
      <alignment vertical="top" wrapText="1"/>
    </xf>
    <xf numFmtId="178" fontId="21" fillId="5" borderId="219" xfId="3" applyNumberFormat="1" applyFont="1" applyFill="1" applyBorder="1" applyAlignment="1">
      <alignment horizontal="right" vertical="center" wrapText="1"/>
    </xf>
    <xf numFmtId="178" fontId="21" fillId="5" borderId="38" xfId="3" applyNumberFormat="1" applyFont="1" applyFill="1" applyBorder="1" applyAlignment="1">
      <alignment horizontal="right" vertical="center" wrapText="1"/>
    </xf>
    <xf numFmtId="178" fontId="21" fillId="5" borderId="43" xfId="3" applyNumberFormat="1" applyFont="1" applyFill="1" applyBorder="1" applyAlignment="1">
      <alignment horizontal="right" vertical="center" wrapText="1"/>
    </xf>
    <xf numFmtId="178" fontId="21" fillId="5" borderId="220" xfId="3" applyNumberFormat="1" applyFont="1" applyFill="1" applyBorder="1" applyAlignment="1">
      <alignment horizontal="right" vertical="center" wrapText="1"/>
    </xf>
    <xf numFmtId="178" fontId="21" fillId="5" borderId="45" xfId="3" applyNumberFormat="1" applyFont="1" applyFill="1" applyBorder="1" applyAlignment="1">
      <alignment horizontal="right" vertical="center" wrapText="1"/>
    </xf>
    <xf numFmtId="0" fontId="5" fillId="0" borderId="205" xfId="3" applyFont="1" applyBorder="1">
      <alignment vertical="center"/>
    </xf>
    <xf numFmtId="0" fontId="21" fillId="0" borderId="175" xfId="3" quotePrefix="1" applyFont="1" applyBorder="1" applyAlignment="1">
      <alignment vertical="center" wrapText="1"/>
    </xf>
    <xf numFmtId="0" fontId="21" fillId="0" borderId="43" xfId="3" quotePrefix="1" applyFont="1" applyBorder="1">
      <alignment vertical="center"/>
    </xf>
    <xf numFmtId="0" fontId="21" fillId="0" borderId="42" xfId="3" quotePrefix="1" applyFont="1" applyBorder="1" applyAlignment="1">
      <alignment vertical="center" wrapText="1"/>
    </xf>
    <xf numFmtId="0" fontId="21" fillId="0" borderId="54" xfId="3" quotePrefix="1" applyFont="1" applyBorder="1" applyAlignment="1">
      <alignment vertical="top"/>
    </xf>
    <xf numFmtId="0" fontId="21" fillId="0" borderId="57" xfId="3" quotePrefix="1" applyFont="1" applyBorder="1" applyAlignment="1">
      <alignment vertical="top"/>
    </xf>
    <xf numFmtId="0" fontId="21" fillId="0" borderId="43" xfId="3" quotePrefix="1" applyFont="1" applyBorder="1" applyAlignment="1">
      <alignment vertical="top"/>
    </xf>
    <xf numFmtId="0" fontId="21" fillId="0" borderId="45" xfId="3" quotePrefix="1" applyFont="1" applyBorder="1" applyAlignment="1">
      <alignment vertical="top" wrapText="1"/>
    </xf>
    <xf numFmtId="178" fontId="29" fillId="4" borderId="223" xfId="3" applyNumberFormat="1" applyFont="1" applyFill="1" applyBorder="1" applyAlignment="1">
      <alignment horizontal="right" vertical="center" wrapText="1"/>
    </xf>
    <xf numFmtId="178" fontId="21" fillId="3" borderId="73" xfId="3" applyNumberFormat="1" applyFont="1" applyFill="1" applyBorder="1" applyAlignment="1">
      <alignment horizontal="right" vertical="center" wrapText="1"/>
    </xf>
    <xf numFmtId="178" fontId="29" fillId="4" borderId="73" xfId="3" applyNumberFormat="1" applyFont="1" applyFill="1" applyBorder="1" applyAlignment="1">
      <alignment horizontal="right" vertical="center" wrapText="1"/>
    </xf>
    <xf numFmtId="178" fontId="29" fillId="4" borderId="87" xfId="3" applyNumberFormat="1" applyFont="1" applyFill="1" applyBorder="1" applyAlignment="1">
      <alignment horizontal="right" vertical="center" wrapText="1"/>
    </xf>
    <xf numFmtId="0" fontId="5" fillId="0" borderId="206" xfId="3" applyFont="1" applyBorder="1">
      <alignment vertical="center"/>
    </xf>
    <xf numFmtId="0" fontId="21" fillId="0" borderId="53" xfId="3" quotePrefix="1" applyFont="1" applyBorder="1" applyAlignment="1">
      <alignment vertical="center" wrapText="1"/>
    </xf>
    <xf numFmtId="0" fontId="21" fillId="0" borderId="67" xfId="3" applyFont="1" applyBorder="1" applyAlignment="1">
      <alignment vertical="top"/>
    </xf>
    <xf numFmtId="0" fontId="21" fillId="0" borderId="51" xfId="3" applyFont="1" applyBorder="1" applyAlignment="1">
      <alignment vertical="top" wrapText="1"/>
    </xf>
    <xf numFmtId="0" fontId="21" fillId="0" borderId="75" xfId="3" quotePrefix="1" applyFont="1" applyBorder="1" applyAlignment="1">
      <alignment vertical="top"/>
    </xf>
    <xf numFmtId="0" fontId="21" fillId="0" borderId="70" xfId="3" quotePrefix="1" applyFont="1" applyBorder="1" applyAlignment="1">
      <alignment vertical="top"/>
    </xf>
    <xf numFmtId="0" fontId="21" fillId="0" borderId="53" xfId="3" applyFont="1" applyBorder="1" applyAlignment="1">
      <alignment vertical="top" wrapText="1"/>
    </xf>
    <xf numFmtId="178" fontId="13" fillId="4" borderId="75" xfId="3" applyNumberFormat="1" applyFont="1" applyFill="1" applyBorder="1" applyAlignment="1">
      <alignment horizontal="right" vertical="center" wrapText="1"/>
    </xf>
    <xf numFmtId="178" fontId="5" fillId="3" borderId="75" xfId="3" applyNumberFormat="1" applyFont="1" applyFill="1" applyBorder="1" applyAlignment="1">
      <alignment horizontal="right" vertical="center" wrapText="1"/>
    </xf>
    <xf numFmtId="178" fontId="13" fillId="4" borderId="104" xfId="3" applyNumberFormat="1" applyFont="1" applyFill="1" applyBorder="1" applyAlignment="1">
      <alignment horizontal="right" vertical="center" wrapText="1"/>
    </xf>
    <xf numFmtId="0" fontId="5" fillId="0" borderId="73" xfId="3" applyFont="1" applyBorder="1" applyAlignment="1">
      <alignment horizontal="left" vertical="center"/>
    </xf>
    <xf numFmtId="0" fontId="5" fillId="17" borderId="122" xfId="3" applyFont="1" applyFill="1" applyBorder="1" applyAlignment="1">
      <alignment horizontal="center" vertical="center"/>
    </xf>
    <xf numFmtId="0" fontId="21" fillId="0" borderId="0" xfId="3" applyFont="1" applyAlignment="1">
      <alignment vertical="top"/>
    </xf>
    <xf numFmtId="0" fontId="5" fillId="0" borderId="0" xfId="3" applyFont="1" applyAlignment="1">
      <alignment horizontal="right" vertical="center"/>
    </xf>
    <xf numFmtId="0" fontId="5" fillId="0" borderId="1" xfId="0" applyFont="1" applyBorder="1" applyAlignment="1">
      <alignment vertical="top"/>
    </xf>
    <xf numFmtId="3" fontId="11" fillId="3" borderId="1" xfId="0" applyNumberFormat="1" applyFont="1" applyFill="1" applyBorder="1">
      <alignment vertical="center"/>
    </xf>
    <xf numFmtId="0" fontId="11" fillId="3" borderId="2" xfId="0" applyFont="1" applyFill="1" applyBorder="1" applyAlignment="1">
      <alignment vertical="top" wrapText="1"/>
    </xf>
    <xf numFmtId="0" fontId="14" fillId="0" borderId="151" xfId="0" quotePrefix="1" applyFont="1" applyBorder="1">
      <alignment vertical="center"/>
    </xf>
    <xf numFmtId="0" fontId="11" fillId="3" borderId="3" xfId="0" applyFont="1" applyFill="1" applyBorder="1" applyAlignment="1">
      <alignment vertical="top" wrapText="1"/>
    </xf>
    <xf numFmtId="0" fontId="5" fillId="0" borderId="4" xfId="0" applyFont="1" applyBorder="1" applyAlignment="1">
      <alignment vertical="top"/>
    </xf>
    <xf numFmtId="3" fontId="5" fillId="0" borderId="4" xfId="0" applyNumberFormat="1" applyFont="1" applyBorder="1" applyAlignment="1">
      <alignment horizontal="left" vertical="center"/>
    </xf>
    <xf numFmtId="0" fontId="11" fillId="3" borderId="5" xfId="0" applyFont="1" applyFill="1" applyBorder="1" applyAlignment="1">
      <alignment vertical="top" wrapText="1"/>
    </xf>
    <xf numFmtId="0" fontId="16" fillId="7" borderId="249" xfId="0" applyFont="1" applyFill="1" applyBorder="1" applyAlignment="1">
      <alignment horizontal="center" vertical="center" wrapText="1"/>
    </xf>
    <xf numFmtId="0" fontId="4" fillId="6" borderId="250" xfId="0" applyFont="1" applyFill="1" applyBorder="1" applyAlignment="1">
      <alignment horizontal="center" vertical="center"/>
    </xf>
    <xf numFmtId="0" fontId="4" fillId="6" borderId="251" xfId="0" applyFont="1" applyFill="1" applyBorder="1" applyAlignment="1">
      <alignment horizontal="center" vertical="center"/>
    </xf>
    <xf numFmtId="0" fontId="4" fillId="7" borderId="252" xfId="0" applyFont="1" applyFill="1" applyBorder="1" applyAlignment="1">
      <alignment horizontal="center" vertical="center"/>
    </xf>
    <xf numFmtId="0" fontId="10" fillId="12" borderId="217" xfId="0" applyFont="1" applyFill="1" applyBorder="1" applyAlignment="1">
      <alignment horizontal="center" vertical="center"/>
    </xf>
    <xf numFmtId="3" fontId="5" fillId="3" borderId="219" xfId="0" applyNumberFormat="1" applyFont="1" applyFill="1" applyBorder="1" applyAlignment="1">
      <alignment horizontal="center" vertical="center"/>
    </xf>
    <xf numFmtId="0" fontId="5" fillId="17" borderId="40" xfId="0" applyFont="1" applyFill="1" applyBorder="1" applyAlignment="1">
      <alignment vertical="top"/>
    </xf>
    <xf numFmtId="0" fontId="5" fillId="17" borderId="47" xfId="0" applyFont="1" applyFill="1" applyBorder="1" applyAlignment="1">
      <alignment vertical="top"/>
    </xf>
    <xf numFmtId="0" fontId="19" fillId="14" borderId="217" xfId="0" applyFont="1" applyFill="1" applyBorder="1">
      <alignment vertical="center"/>
    </xf>
    <xf numFmtId="0" fontId="5" fillId="17" borderId="47" xfId="0" applyFont="1" applyFill="1" applyBorder="1" applyAlignment="1">
      <alignment horizontal="center" vertical="top"/>
    </xf>
    <xf numFmtId="0" fontId="5" fillId="17" borderId="60" xfId="0" applyFont="1" applyFill="1" applyBorder="1" applyAlignment="1">
      <alignment horizontal="center" vertical="top"/>
    </xf>
    <xf numFmtId="0" fontId="5" fillId="17" borderId="116" xfId="0" applyFont="1" applyFill="1" applyBorder="1" applyAlignment="1">
      <alignment horizontal="center" vertical="top"/>
    </xf>
    <xf numFmtId="3" fontId="5" fillId="3" borderId="221" xfId="0" applyNumberFormat="1" applyFont="1" applyFill="1" applyBorder="1" applyAlignment="1">
      <alignment horizontal="center" vertical="center"/>
    </xf>
    <xf numFmtId="0" fontId="5" fillId="17" borderId="63" xfId="0" applyFont="1" applyFill="1" applyBorder="1" applyAlignment="1">
      <alignment horizontal="center" vertical="top"/>
    </xf>
    <xf numFmtId="177" fontId="5" fillId="15" borderId="254" xfId="0" quotePrefix="1" applyNumberFormat="1" applyFont="1" applyFill="1" applyBorder="1" applyAlignment="1">
      <alignment vertical="top" wrapText="1"/>
    </xf>
    <xf numFmtId="177" fontId="5" fillId="15" borderId="67" xfId="0" quotePrefix="1" applyNumberFormat="1" applyFont="1" applyFill="1" applyBorder="1" applyAlignment="1">
      <alignment vertical="top"/>
    </xf>
    <xf numFmtId="3" fontId="5" fillId="3" borderId="68" xfId="0" applyNumberFormat="1" applyFont="1" applyFill="1" applyBorder="1" applyAlignment="1">
      <alignment horizontal="center" vertical="center"/>
    </xf>
    <xf numFmtId="3" fontId="5" fillId="3" borderId="255" xfId="0" applyNumberFormat="1" applyFont="1" applyFill="1" applyBorder="1" applyAlignment="1">
      <alignment horizontal="center" vertical="center"/>
    </xf>
    <xf numFmtId="3" fontId="5" fillId="4" borderId="72" xfId="0" applyNumberFormat="1" applyFont="1" applyFill="1" applyBorder="1">
      <alignment vertical="center"/>
    </xf>
    <xf numFmtId="0" fontId="5" fillId="17" borderId="256" xfId="0" applyFont="1" applyFill="1" applyBorder="1" applyAlignment="1">
      <alignment horizontal="center" vertical="top"/>
    </xf>
    <xf numFmtId="0" fontId="5" fillId="3" borderId="170" xfId="0" applyFont="1" applyFill="1" applyBorder="1" applyAlignment="1">
      <alignment horizontal="center" vertical="top" wrapText="1"/>
    </xf>
    <xf numFmtId="0" fontId="10" fillId="12" borderId="225" xfId="0" applyFont="1" applyFill="1" applyBorder="1" applyAlignment="1">
      <alignment horizontal="center" vertical="center"/>
    </xf>
    <xf numFmtId="0" fontId="5" fillId="3" borderId="35" xfId="0" applyFont="1" applyFill="1" applyBorder="1">
      <alignment vertical="center"/>
    </xf>
    <xf numFmtId="0" fontId="5" fillId="17" borderId="117" xfId="0" applyFont="1" applyFill="1" applyBorder="1" applyAlignment="1">
      <alignment horizontal="center" vertical="center" wrapText="1"/>
    </xf>
    <xf numFmtId="0" fontId="5" fillId="42" borderId="170" xfId="0" applyFont="1" applyFill="1" applyBorder="1" applyAlignment="1">
      <alignment horizontal="center" vertical="top" wrapText="1"/>
    </xf>
    <xf numFmtId="0" fontId="5" fillId="3" borderId="44" xfId="0" applyFont="1" applyFill="1" applyBorder="1">
      <alignment vertical="center"/>
    </xf>
    <xf numFmtId="0" fontId="5" fillId="0" borderId="44" xfId="0" applyFont="1" applyBorder="1">
      <alignment vertical="center"/>
    </xf>
    <xf numFmtId="0" fontId="5" fillId="0" borderId="37" xfId="0" applyFont="1" applyBorder="1">
      <alignment vertical="center"/>
    </xf>
    <xf numFmtId="0" fontId="5" fillId="0" borderId="172" xfId="0" applyFont="1" applyBorder="1" applyAlignment="1">
      <alignment vertical="top" wrapText="1"/>
    </xf>
    <xf numFmtId="177" fontId="5" fillId="0" borderId="174" xfId="0" quotePrefix="1" applyNumberFormat="1" applyFont="1" applyBorder="1">
      <alignment vertical="center"/>
    </xf>
    <xf numFmtId="3" fontId="5" fillId="3" borderId="219" xfId="0" applyNumberFormat="1" applyFont="1" applyFill="1" applyBorder="1" applyAlignment="1">
      <alignment horizontal="center" vertical="top" wrapText="1"/>
    </xf>
    <xf numFmtId="177" fontId="5" fillId="0" borderId="176" xfId="0" quotePrefix="1" applyNumberFormat="1" applyFont="1" applyBorder="1">
      <alignment vertical="center"/>
    </xf>
    <xf numFmtId="177" fontId="5" fillId="19" borderId="173" xfId="0" quotePrefix="1" applyNumberFormat="1" applyFont="1" applyFill="1" applyBorder="1">
      <alignment vertical="center"/>
    </xf>
    <xf numFmtId="177" fontId="5" fillId="19" borderId="82" xfId="0" quotePrefix="1" applyNumberFormat="1" applyFont="1" applyFill="1" applyBorder="1">
      <alignment vertical="center"/>
    </xf>
    <xf numFmtId="0" fontId="5" fillId="19" borderId="65" xfId="0" quotePrefix="1" applyFont="1" applyFill="1" applyBorder="1" applyAlignment="1">
      <alignment horizontal="center" vertical="center"/>
    </xf>
    <xf numFmtId="177" fontId="5" fillId="19" borderId="42" xfId="0" quotePrefix="1" applyNumberFormat="1" applyFont="1" applyFill="1" applyBorder="1" applyAlignment="1">
      <alignment vertical="top"/>
    </xf>
    <xf numFmtId="177" fontId="5" fillId="19" borderId="45" xfId="0" quotePrefix="1" applyNumberFormat="1" applyFont="1" applyFill="1" applyBorder="1" applyAlignment="1">
      <alignment vertical="top"/>
    </xf>
    <xf numFmtId="177" fontId="5" fillId="0" borderId="173" xfId="0" quotePrefix="1" applyNumberFormat="1" applyFont="1" applyBorder="1">
      <alignment vertical="center"/>
    </xf>
    <xf numFmtId="177" fontId="5" fillId="0" borderId="159" xfId="0" quotePrefix="1" applyNumberFormat="1" applyFont="1" applyBorder="1">
      <alignment vertical="center"/>
    </xf>
    <xf numFmtId="177" fontId="5" fillId="0" borderId="27" xfId="0" quotePrefix="1" applyNumberFormat="1" applyFont="1" applyBorder="1">
      <alignment vertical="center"/>
    </xf>
    <xf numFmtId="177" fontId="5" fillId="0" borderId="35" xfId="0" quotePrefix="1" applyNumberFormat="1" applyFont="1" applyBorder="1" applyAlignment="1">
      <alignment vertical="top"/>
    </xf>
    <xf numFmtId="3" fontId="13" fillId="4" borderId="230" xfId="0" applyNumberFormat="1" applyFont="1" applyFill="1" applyBorder="1" applyAlignment="1">
      <alignment vertical="top" wrapText="1"/>
    </xf>
    <xf numFmtId="0" fontId="5" fillId="17" borderId="117" xfId="0" applyFont="1" applyFill="1" applyBorder="1" applyAlignment="1">
      <alignment horizontal="center" vertical="top" wrapText="1"/>
    </xf>
    <xf numFmtId="177" fontId="5" fillId="15" borderId="174" xfId="0" quotePrefix="1" applyNumberFormat="1" applyFont="1" applyFill="1" applyBorder="1">
      <alignment vertical="center"/>
    </xf>
    <xf numFmtId="177" fontId="5" fillId="15" borderId="174" xfId="0" quotePrefix="1" applyNumberFormat="1" applyFont="1" applyFill="1" applyBorder="1" applyAlignment="1">
      <alignment vertical="top"/>
    </xf>
    <xf numFmtId="177" fontId="5" fillId="15" borderId="176" xfId="0" quotePrefix="1" applyNumberFormat="1" applyFont="1" applyFill="1" applyBorder="1" applyAlignment="1">
      <alignment vertical="top"/>
    </xf>
    <xf numFmtId="177" fontId="5" fillId="15" borderId="183" xfId="0" quotePrefix="1" applyNumberFormat="1" applyFont="1" applyFill="1" applyBorder="1">
      <alignment vertical="center"/>
    </xf>
    <xf numFmtId="0" fontId="0" fillId="17" borderId="60" xfId="0" applyFill="1" applyBorder="1" applyAlignment="1">
      <alignment horizontal="center" vertical="top" wrapText="1"/>
    </xf>
    <xf numFmtId="177" fontId="5" fillId="19" borderId="43" xfId="0" quotePrefix="1" applyNumberFormat="1" applyFont="1" applyFill="1" applyBorder="1" applyAlignment="1">
      <alignment vertical="top"/>
    </xf>
    <xf numFmtId="177" fontId="5" fillId="19" borderId="45" xfId="0" quotePrefix="1" applyNumberFormat="1" applyFont="1" applyFill="1" applyBorder="1" applyAlignment="1">
      <alignment horizontal="left" vertical="top"/>
    </xf>
    <xf numFmtId="177" fontId="5" fillId="15" borderId="159" xfId="0" quotePrefix="1" applyNumberFormat="1" applyFont="1" applyFill="1" applyBorder="1">
      <alignment vertical="center"/>
    </xf>
    <xf numFmtId="177" fontId="5" fillId="15" borderId="27" xfId="0" quotePrefix="1" applyNumberFormat="1" applyFont="1" applyFill="1" applyBorder="1">
      <alignment vertical="center"/>
    </xf>
    <xf numFmtId="0" fontId="5" fillId="3" borderId="35" xfId="0" applyFont="1" applyFill="1" applyBorder="1" applyAlignment="1">
      <alignment vertical="top"/>
    </xf>
    <xf numFmtId="0" fontId="5" fillId="3" borderId="174" xfId="0" applyFont="1" applyFill="1" applyBorder="1">
      <alignment vertical="center"/>
    </xf>
    <xf numFmtId="0" fontId="5" fillId="3" borderId="183" xfId="0" applyFont="1" applyFill="1" applyBorder="1">
      <alignment vertical="center"/>
    </xf>
    <xf numFmtId="177" fontId="5" fillId="29" borderId="45" xfId="0" applyNumberFormat="1" applyFont="1" applyFill="1" applyBorder="1" applyAlignment="1">
      <alignment horizontal="left" vertical="top"/>
    </xf>
    <xf numFmtId="177" fontId="21" fillId="15" borderId="45" xfId="0" applyNumberFormat="1" applyFont="1" applyFill="1" applyBorder="1" applyAlignment="1">
      <alignment vertical="top"/>
    </xf>
    <xf numFmtId="3" fontId="21" fillId="3" borderId="219" xfId="0" applyNumberFormat="1" applyFont="1" applyFill="1" applyBorder="1" applyAlignment="1">
      <alignment horizontal="center" vertical="center"/>
    </xf>
    <xf numFmtId="0" fontId="21" fillId="17" borderId="60" xfId="0" applyFont="1" applyFill="1" applyBorder="1" applyAlignment="1">
      <alignment horizontal="center" vertical="center"/>
    </xf>
    <xf numFmtId="0" fontId="5" fillId="0" borderId="65" xfId="0" applyFont="1" applyBorder="1" applyAlignment="1">
      <alignment vertical="top"/>
    </xf>
    <xf numFmtId="177" fontId="5" fillId="0" borderId="54" xfId="0" quotePrefix="1" applyNumberFormat="1" applyFont="1" applyBorder="1" applyAlignment="1">
      <alignment horizontal="center" vertical="center"/>
    </xf>
    <xf numFmtId="0" fontId="19" fillId="14" borderId="28" xfId="0" applyFont="1" applyFill="1" applyBorder="1" applyAlignment="1">
      <alignment vertical="top"/>
    </xf>
    <xf numFmtId="0" fontId="19" fillId="14" borderId="231" xfId="0" applyFont="1" applyFill="1" applyBorder="1">
      <alignment vertical="center"/>
    </xf>
    <xf numFmtId="177" fontId="5" fillId="15" borderId="35" xfId="0" quotePrefix="1" applyNumberFormat="1" applyFont="1" applyFill="1" applyBorder="1" applyAlignment="1">
      <alignment vertical="top"/>
    </xf>
    <xf numFmtId="3" fontId="5" fillId="3" borderId="227" xfId="0" applyNumberFormat="1" applyFont="1" applyFill="1" applyBorder="1" applyAlignment="1">
      <alignment horizontal="center" vertical="top" wrapText="1"/>
    </xf>
    <xf numFmtId="177" fontId="5" fillId="15" borderId="43" xfId="0" quotePrefix="1" applyNumberFormat="1" applyFont="1" applyFill="1" applyBorder="1" applyAlignment="1">
      <alignment horizontal="left" vertical="top"/>
    </xf>
    <xf numFmtId="3" fontId="5" fillId="3" borderId="229" xfId="0" applyNumberFormat="1" applyFont="1" applyFill="1" applyBorder="1" applyAlignment="1">
      <alignment horizontal="center" vertical="top" wrapText="1"/>
    </xf>
    <xf numFmtId="0" fontId="5" fillId="0" borderId="65" xfId="0" applyFont="1" applyBorder="1" applyAlignment="1">
      <alignment horizontal="left" vertical="top"/>
    </xf>
    <xf numFmtId="0" fontId="5" fillId="0" borderId="34" xfId="0" applyFont="1" applyBorder="1" applyAlignment="1">
      <alignment horizontal="left" vertical="top"/>
    </xf>
    <xf numFmtId="177" fontId="5" fillId="0" borderId="44" xfId="0" quotePrefix="1" applyNumberFormat="1" applyFont="1" applyBorder="1" applyAlignment="1">
      <alignment horizontal="left" vertical="top"/>
    </xf>
    <xf numFmtId="183" fontId="21" fillId="5" borderId="219" xfId="0" applyNumberFormat="1" applyFont="1" applyFill="1" applyBorder="1" applyAlignment="1">
      <alignment vertical="center" wrapText="1"/>
    </xf>
    <xf numFmtId="183" fontId="21" fillId="5" borderId="38" xfId="0" applyNumberFormat="1" applyFont="1" applyFill="1" applyBorder="1" applyAlignment="1">
      <alignment vertical="center" wrapText="1"/>
    </xf>
    <xf numFmtId="183" fontId="21" fillId="5" borderId="220" xfId="0" applyNumberFormat="1" applyFont="1" applyFill="1" applyBorder="1" applyAlignment="1">
      <alignment vertical="center" wrapText="1"/>
    </xf>
    <xf numFmtId="177" fontId="5" fillId="0" borderId="183" xfId="0" quotePrefix="1" applyNumberFormat="1" applyFont="1" applyBorder="1">
      <alignment vertical="center"/>
    </xf>
    <xf numFmtId="177" fontId="5" fillId="0" borderId="177" xfId="0" quotePrefix="1" applyNumberFormat="1" applyFont="1" applyBorder="1">
      <alignment vertical="center"/>
    </xf>
    <xf numFmtId="0" fontId="5" fillId="0" borderId="52" xfId="0" applyFont="1" applyBorder="1">
      <alignment vertical="center"/>
    </xf>
    <xf numFmtId="177" fontId="5" fillId="0" borderId="52" xfId="0" quotePrefix="1" applyNumberFormat="1" applyFont="1" applyBorder="1" applyAlignment="1">
      <alignment horizontal="center" vertical="center"/>
    </xf>
    <xf numFmtId="0" fontId="15" fillId="14" borderId="257" xfId="0" applyFont="1" applyFill="1" applyBorder="1">
      <alignment vertical="center"/>
    </xf>
    <xf numFmtId="177" fontId="5" fillId="0" borderId="171" xfId="0" quotePrefix="1" applyNumberFormat="1" applyFont="1" applyBorder="1">
      <alignment vertical="center"/>
    </xf>
    <xf numFmtId="0" fontId="5" fillId="17" borderId="47" xfId="0" applyFont="1" applyFill="1" applyBorder="1" applyAlignment="1">
      <alignment horizontal="left" vertical="center"/>
    </xf>
    <xf numFmtId="177" fontId="0" fillId="0" borderId="172" xfId="0" quotePrefix="1" applyNumberFormat="1" applyBorder="1">
      <alignment vertical="center"/>
    </xf>
    <xf numFmtId="177" fontId="0" fillId="0" borderId="42" xfId="0" quotePrefix="1" applyNumberFormat="1" applyBorder="1">
      <alignment vertical="center"/>
    </xf>
    <xf numFmtId="0" fontId="21" fillId="0" borderId="43" xfId="0" applyFont="1" applyBorder="1" applyAlignment="1">
      <alignment vertical="top"/>
    </xf>
    <xf numFmtId="0" fontId="5" fillId="17" borderId="258" xfId="0" applyFont="1" applyFill="1" applyBorder="1" applyAlignment="1">
      <alignment horizontal="center" vertical="center"/>
    </xf>
    <xf numFmtId="0" fontId="21" fillId="0" borderId="41" xfId="0" applyFont="1" applyBorder="1" applyAlignment="1">
      <alignment vertical="top"/>
    </xf>
    <xf numFmtId="0" fontId="21" fillId="0" borderId="260" xfId="0" applyFont="1" applyBorder="1" applyAlignment="1">
      <alignment vertical="top"/>
    </xf>
    <xf numFmtId="0" fontId="21" fillId="0" borderId="261" xfId="0" applyFont="1" applyBorder="1" applyAlignment="1">
      <alignment vertical="top"/>
    </xf>
    <xf numFmtId="0" fontId="21" fillId="0" borderId="262" xfId="0" applyFont="1" applyBorder="1" applyAlignment="1">
      <alignment vertical="top"/>
    </xf>
    <xf numFmtId="0" fontId="21" fillId="0" borderId="57" xfId="0" applyFont="1" applyBorder="1" applyAlignment="1">
      <alignment horizontal="left" vertical="top"/>
    </xf>
    <xf numFmtId="0" fontId="10" fillId="12" borderId="238" xfId="0" applyFont="1" applyFill="1" applyBorder="1" applyAlignment="1">
      <alignment vertical="center" wrapText="1"/>
    </xf>
    <xf numFmtId="0" fontId="10" fillId="12" borderId="239" xfId="0" applyFont="1" applyFill="1" applyBorder="1" applyAlignment="1">
      <alignment vertical="center" wrapText="1"/>
    </xf>
    <xf numFmtId="0" fontId="10" fillId="12" borderId="238" xfId="0" applyFont="1" applyFill="1" applyBorder="1" applyAlignment="1">
      <alignment horizontal="center" vertical="center"/>
    </xf>
    <xf numFmtId="177" fontId="5" fillId="0" borderId="36" xfId="0" quotePrefix="1" applyNumberFormat="1" applyFont="1" applyBorder="1" applyAlignment="1">
      <alignment vertical="top"/>
    </xf>
    <xf numFmtId="3" fontId="5" fillId="3" borderId="227" xfId="0" applyNumberFormat="1" applyFont="1" applyFill="1" applyBorder="1" applyAlignment="1">
      <alignment horizontal="center" vertical="center"/>
    </xf>
    <xf numFmtId="0" fontId="5" fillId="0" borderId="174" xfId="0" applyFont="1" applyBorder="1">
      <alignment vertical="center"/>
    </xf>
    <xf numFmtId="0" fontId="5" fillId="0" borderId="183" xfId="0" applyFont="1" applyBorder="1">
      <alignment vertical="center"/>
    </xf>
    <xf numFmtId="0" fontId="5" fillId="0" borderId="176" xfId="0" applyFont="1" applyBorder="1">
      <alignment vertical="center"/>
    </xf>
    <xf numFmtId="0" fontId="5" fillId="17" borderId="263" xfId="0" applyFont="1" applyFill="1" applyBorder="1" applyAlignment="1">
      <alignment horizontal="center" vertical="center"/>
    </xf>
    <xf numFmtId="0" fontId="5" fillId="19" borderId="159" xfId="0" applyFont="1" applyFill="1" applyBorder="1" applyAlignment="1">
      <alignment horizontal="left" vertical="center"/>
    </xf>
    <xf numFmtId="177" fontId="5" fillId="19" borderId="65" xfId="0" quotePrefix="1" applyNumberFormat="1" applyFont="1" applyFill="1" applyBorder="1" applyAlignment="1">
      <alignment horizontal="center" vertical="center"/>
    </xf>
    <xf numFmtId="3" fontId="13" fillId="19" borderId="264" xfId="0" applyNumberFormat="1" applyFont="1" applyFill="1" applyBorder="1" applyAlignment="1">
      <alignment vertical="center" wrapText="1"/>
    </xf>
    <xf numFmtId="3" fontId="13" fillId="19" borderId="265" xfId="0" applyNumberFormat="1" applyFont="1" applyFill="1" applyBorder="1" applyAlignment="1">
      <alignment vertical="center" wrapText="1"/>
    </xf>
    <xf numFmtId="3" fontId="13" fillId="19" borderId="266" xfId="0" applyNumberFormat="1" applyFont="1" applyFill="1" applyBorder="1" applyAlignment="1">
      <alignment vertical="center" wrapText="1"/>
    </xf>
    <xf numFmtId="177" fontId="5" fillId="0" borderId="173" xfId="0" quotePrefix="1" applyNumberFormat="1" applyFont="1" applyBorder="1" applyAlignment="1">
      <alignment vertical="center" wrapText="1"/>
    </xf>
    <xf numFmtId="3" fontId="5" fillId="3" borderId="229" xfId="0" applyNumberFormat="1" applyFont="1" applyFill="1" applyBorder="1" applyAlignment="1">
      <alignment horizontal="center" vertical="center"/>
    </xf>
    <xf numFmtId="177" fontId="5" fillId="0" borderId="159" xfId="0" quotePrefix="1" applyNumberFormat="1" applyFont="1" applyBorder="1" applyAlignment="1">
      <alignment vertical="center" wrapText="1"/>
    </xf>
    <xf numFmtId="177" fontId="5" fillId="0" borderId="189" xfId="0" quotePrefix="1" applyNumberFormat="1" applyFont="1" applyBorder="1" applyAlignment="1">
      <alignment vertical="center" wrapText="1"/>
    </xf>
    <xf numFmtId="177" fontId="5" fillId="19" borderId="159" xfId="0" quotePrefix="1" applyNumberFormat="1" applyFont="1" applyFill="1" applyBorder="1" applyAlignment="1">
      <alignment horizontal="left" vertical="center"/>
    </xf>
    <xf numFmtId="177" fontId="5" fillId="19" borderId="82" xfId="0" quotePrefix="1" applyNumberFormat="1" applyFont="1" applyFill="1" applyBorder="1" applyAlignment="1">
      <alignment vertical="center" wrapText="1"/>
    </xf>
    <xf numFmtId="0" fontId="5" fillId="19" borderId="0" xfId="0" applyFont="1" applyFill="1">
      <alignment vertical="center"/>
    </xf>
    <xf numFmtId="177" fontId="5" fillId="19" borderId="0" xfId="0" quotePrefix="1" applyNumberFormat="1" applyFont="1" applyFill="1" applyAlignment="1">
      <alignment vertical="center" wrapText="1"/>
    </xf>
    <xf numFmtId="0" fontId="0" fillId="0" borderId="173" xfId="0" quotePrefix="1" applyBorder="1" applyAlignment="1">
      <alignment vertical="center" wrapText="1"/>
    </xf>
    <xf numFmtId="0" fontId="0" fillId="0" borderId="189" xfId="0" quotePrefix="1" applyBorder="1" applyAlignment="1">
      <alignment vertical="center" wrapText="1"/>
    </xf>
    <xf numFmtId="0" fontId="0" fillId="0" borderId="170" xfId="0" applyBorder="1" applyAlignment="1">
      <alignment vertical="top" wrapText="1"/>
    </xf>
    <xf numFmtId="0" fontId="5" fillId="19" borderId="173" xfId="0" applyFont="1" applyFill="1" applyBorder="1">
      <alignment vertical="center"/>
    </xf>
    <xf numFmtId="0" fontId="5" fillId="19" borderId="258" xfId="0" applyFont="1" applyFill="1" applyBorder="1" applyAlignment="1">
      <alignment horizontal="center" vertical="center"/>
    </xf>
    <xf numFmtId="0" fontId="5" fillId="0" borderId="173" xfId="0" applyFont="1" applyBorder="1" applyAlignment="1">
      <alignment vertical="center" wrapText="1"/>
    </xf>
    <xf numFmtId="0" fontId="5" fillId="0" borderId="189" xfId="0" applyFont="1" applyBorder="1" applyAlignment="1">
      <alignment vertical="center" wrapText="1"/>
    </xf>
    <xf numFmtId="0" fontId="5" fillId="0" borderId="159" xfId="0" applyFont="1" applyBorder="1" applyAlignment="1">
      <alignment vertical="center" wrapText="1"/>
    </xf>
    <xf numFmtId="0" fontId="5" fillId="0" borderId="172" xfId="0" applyFont="1" applyBorder="1">
      <alignment vertical="center"/>
    </xf>
    <xf numFmtId="0" fontId="5" fillId="19" borderId="82" xfId="0" applyFont="1" applyFill="1" applyBorder="1" applyAlignment="1">
      <alignment vertical="center" wrapText="1"/>
    </xf>
    <xf numFmtId="0" fontId="5" fillId="0" borderId="173" xfId="0" applyFont="1" applyBorder="1">
      <alignment vertical="center"/>
    </xf>
    <xf numFmtId="185" fontId="13" fillId="15" borderId="38" xfId="0" applyNumberFormat="1" applyFont="1" applyFill="1" applyBorder="1" applyAlignment="1">
      <alignment vertical="center" wrapText="1"/>
    </xf>
    <xf numFmtId="185" fontId="61" fillId="4" borderId="220" xfId="0" applyNumberFormat="1" applyFont="1" applyFill="1" applyBorder="1" applyAlignment="1">
      <alignment vertical="center" wrapText="1"/>
    </xf>
    <xf numFmtId="0" fontId="5" fillId="0" borderId="41" xfId="0" applyFont="1" applyBorder="1" applyAlignment="1">
      <alignment vertical="top"/>
    </xf>
    <xf numFmtId="0" fontId="5" fillId="0" borderId="53" xfId="0" applyFont="1" applyBorder="1" applyAlignment="1">
      <alignment vertical="top"/>
    </xf>
    <xf numFmtId="3" fontId="5" fillId="14" borderId="29" xfId="0" applyNumberFormat="1" applyFont="1" applyFill="1" applyBorder="1" applyAlignment="1">
      <alignment horizontal="center" vertical="center"/>
    </xf>
    <xf numFmtId="177" fontId="5" fillId="15" borderId="171" xfId="0" quotePrefix="1" applyNumberFormat="1" applyFont="1" applyFill="1" applyBorder="1">
      <alignment vertical="center"/>
    </xf>
    <xf numFmtId="177" fontId="5" fillId="19" borderId="43" xfId="0" quotePrefix="1" applyNumberFormat="1" applyFont="1" applyFill="1" applyBorder="1">
      <alignment vertical="center"/>
    </xf>
    <xf numFmtId="177" fontId="5" fillId="19" borderId="43" xfId="0" quotePrefix="1" applyNumberFormat="1" applyFont="1" applyFill="1" applyBorder="1" applyAlignment="1">
      <alignment horizontal="center" vertical="center"/>
    </xf>
    <xf numFmtId="0" fontId="5" fillId="0" borderId="172" xfId="0" applyFont="1" applyBorder="1" applyAlignment="1">
      <alignment vertical="center" wrapText="1"/>
    </xf>
    <xf numFmtId="0" fontId="5" fillId="0" borderId="174" xfId="0" applyFont="1" applyBorder="1" applyAlignment="1">
      <alignment vertical="center" wrapText="1"/>
    </xf>
    <xf numFmtId="0" fontId="5" fillId="0" borderId="176" xfId="0" applyFont="1" applyBorder="1" applyAlignment="1">
      <alignment vertical="center" wrapText="1"/>
    </xf>
    <xf numFmtId="0" fontId="5" fillId="19" borderId="173" xfId="0" quotePrefix="1" applyFont="1" applyFill="1" applyBorder="1">
      <alignment vertical="center"/>
    </xf>
    <xf numFmtId="0" fontId="5" fillId="0" borderId="173" xfId="0" quotePrefix="1" applyFont="1" applyBorder="1">
      <alignment vertical="center"/>
    </xf>
    <xf numFmtId="0" fontId="5" fillId="0" borderId="159" xfId="0" quotePrefix="1" applyFont="1" applyBorder="1">
      <alignment vertical="center"/>
    </xf>
    <xf numFmtId="0" fontId="5" fillId="0" borderId="189" xfId="0" quotePrefix="1" applyFont="1" applyBorder="1">
      <alignment vertical="center"/>
    </xf>
    <xf numFmtId="0" fontId="5" fillId="3" borderId="159" xfId="0" quotePrefix="1" applyFont="1" applyFill="1" applyBorder="1">
      <alignment vertical="center"/>
    </xf>
    <xf numFmtId="0" fontId="5" fillId="3" borderId="27" xfId="0" quotePrefix="1" applyFont="1" applyFill="1" applyBorder="1">
      <alignment vertical="center"/>
    </xf>
    <xf numFmtId="0" fontId="5" fillId="0" borderId="75" xfId="0" applyFont="1" applyBorder="1">
      <alignment vertical="center"/>
    </xf>
    <xf numFmtId="3" fontId="5" fillId="3" borderId="235" xfId="0" applyNumberFormat="1" applyFont="1" applyFill="1" applyBorder="1" applyAlignment="1">
      <alignment horizontal="center" vertical="center"/>
    </xf>
    <xf numFmtId="0" fontId="5" fillId="14" borderId="29" xfId="0" applyFont="1" applyFill="1" applyBorder="1" applyAlignment="1">
      <alignment horizontal="center" vertical="center"/>
    </xf>
    <xf numFmtId="0" fontId="5" fillId="0" borderId="41" xfId="0" quotePrefix="1" applyFont="1" applyBorder="1" applyAlignment="1">
      <alignment vertical="top"/>
    </xf>
    <xf numFmtId="0" fontId="5" fillId="17" borderId="267" xfId="0" applyFont="1" applyFill="1" applyBorder="1" applyAlignment="1">
      <alignment horizontal="center" vertical="center"/>
    </xf>
    <xf numFmtId="0" fontId="5" fillId="17" borderId="268" xfId="0" applyFont="1" applyFill="1" applyBorder="1" applyAlignment="1">
      <alignment horizontal="center" vertical="center"/>
    </xf>
    <xf numFmtId="0" fontId="5" fillId="17" borderId="269" xfId="0" applyFont="1" applyFill="1" applyBorder="1" applyAlignment="1">
      <alignment horizontal="center" vertical="center"/>
    </xf>
    <xf numFmtId="0" fontId="5" fillId="17" borderId="270" xfId="0" applyFont="1" applyFill="1" applyBorder="1" applyAlignment="1">
      <alignment horizontal="center" vertical="center"/>
    </xf>
    <xf numFmtId="0" fontId="5" fillId="0" borderId="174" xfId="0" quotePrefix="1" applyFont="1" applyBorder="1">
      <alignment vertical="center"/>
    </xf>
    <xf numFmtId="0" fontId="5" fillId="17" borderId="101" xfId="0" applyFont="1" applyFill="1" applyBorder="1" applyAlignment="1">
      <alignment horizontal="center" vertical="center"/>
    </xf>
    <xf numFmtId="0" fontId="5" fillId="0" borderId="176" xfId="0" quotePrefix="1" applyFont="1" applyBorder="1">
      <alignment vertical="center"/>
    </xf>
    <xf numFmtId="0" fontId="5" fillId="4" borderId="42" xfId="0" applyFont="1" applyFill="1" applyBorder="1">
      <alignment vertical="center"/>
    </xf>
    <xf numFmtId="0" fontId="5" fillId="21" borderId="170" xfId="0" applyFont="1" applyFill="1" applyBorder="1" applyAlignment="1">
      <alignment horizontal="center" vertical="top" wrapText="1"/>
    </xf>
    <xf numFmtId="177" fontId="5" fillId="15" borderId="172" xfId="0" quotePrefix="1" applyNumberFormat="1" applyFont="1" applyFill="1" applyBorder="1" applyAlignment="1">
      <alignment vertical="top"/>
    </xf>
    <xf numFmtId="178" fontId="13" fillId="46" borderId="229" xfId="0" applyNumberFormat="1" applyFont="1" applyFill="1" applyBorder="1" applyAlignment="1">
      <alignment vertical="center" wrapText="1"/>
    </xf>
    <xf numFmtId="178" fontId="5" fillId="46" borderId="37" xfId="0" applyNumberFormat="1" applyFont="1" applyFill="1" applyBorder="1" applyAlignment="1">
      <alignment vertical="center" wrapText="1"/>
    </xf>
    <xf numFmtId="178" fontId="13" fillId="46" borderId="37" xfId="0" applyNumberFormat="1" applyFont="1" applyFill="1" applyBorder="1" applyAlignment="1">
      <alignment vertical="center" wrapText="1"/>
    </xf>
    <xf numFmtId="178" fontId="13" fillId="46" borderId="230" xfId="0" applyNumberFormat="1" applyFont="1" applyFill="1" applyBorder="1" applyAlignment="1">
      <alignment vertical="center" wrapText="1"/>
    </xf>
    <xf numFmtId="0" fontId="0" fillId="4" borderId="34" xfId="0" applyFill="1" applyBorder="1">
      <alignment vertical="center"/>
    </xf>
    <xf numFmtId="178" fontId="13" fillId="46" borderId="219" xfId="0" applyNumberFormat="1" applyFont="1" applyFill="1" applyBorder="1" applyAlignment="1">
      <alignment vertical="center" wrapText="1"/>
    </xf>
    <xf numFmtId="178" fontId="5" fillId="46" borderId="38" xfId="0" applyNumberFormat="1" applyFont="1" applyFill="1" applyBorder="1" applyAlignment="1">
      <alignment vertical="center" wrapText="1"/>
    </xf>
    <xf numFmtId="178" fontId="13" fillId="46" borderId="38" xfId="0" applyNumberFormat="1" applyFont="1" applyFill="1" applyBorder="1" applyAlignment="1">
      <alignment vertical="center" wrapText="1"/>
    </xf>
    <xf numFmtId="178" fontId="13" fillId="46" borderId="220" xfId="0" applyNumberFormat="1" applyFont="1" applyFill="1" applyBorder="1" applyAlignment="1">
      <alignment vertical="center" wrapText="1"/>
    </xf>
    <xf numFmtId="0" fontId="0" fillId="4" borderId="43" xfId="0" applyFill="1" applyBorder="1">
      <alignment vertical="center"/>
    </xf>
    <xf numFmtId="177" fontId="5" fillId="15" borderId="196" xfId="0" quotePrefix="1" applyNumberFormat="1" applyFont="1" applyFill="1" applyBorder="1" applyAlignment="1">
      <alignment vertical="top"/>
    </xf>
    <xf numFmtId="3" fontId="21" fillId="0" borderId="219" xfId="0" applyNumberFormat="1" applyFont="1" applyBorder="1" applyAlignment="1">
      <alignment horizontal="center" vertical="center"/>
    </xf>
    <xf numFmtId="0" fontId="21" fillId="17" borderId="258" xfId="0" applyFont="1" applyFill="1" applyBorder="1" applyAlignment="1">
      <alignment horizontal="center" vertical="center"/>
    </xf>
    <xf numFmtId="3" fontId="21" fillId="0" borderId="235" xfId="0" applyNumberFormat="1" applyFont="1" applyBorder="1" applyAlignment="1">
      <alignment horizontal="center" vertical="center"/>
    </xf>
    <xf numFmtId="177" fontId="5" fillId="19" borderId="171" xfId="0" quotePrefix="1" applyNumberFormat="1" applyFont="1" applyFill="1" applyBorder="1">
      <alignment vertical="center"/>
    </xf>
    <xf numFmtId="0" fontId="5" fillId="19" borderId="43" xfId="0" quotePrefix="1" applyFont="1" applyFill="1" applyBorder="1" applyAlignment="1">
      <alignment horizontal="center" vertical="center"/>
    </xf>
    <xf numFmtId="177" fontId="5" fillId="19" borderId="35" xfId="0" quotePrefix="1" applyNumberFormat="1" applyFont="1" applyFill="1" applyBorder="1">
      <alignment vertical="center"/>
    </xf>
    <xf numFmtId="0" fontId="5" fillId="0" borderId="183" xfId="0" quotePrefix="1" applyFont="1" applyBorder="1">
      <alignment vertical="center"/>
    </xf>
    <xf numFmtId="0" fontId="5" fillId="0" borderId="44" xfId="0" quotePrefix="1" applyFont="1" applyBorder="1">
      <alignment vertical="center"/>
    </xf>
    <xf numFmtId="0" fontId="5" fillId="0" borderId="37" xfId="0" quotePrefix="1" applyFont="1" applyBorder="1">
      <alignment vertical="center"/>
    </xf>
    <xf numFmtId="177" fontId="5" fillId="19" borderId="172" xfId="0" quotePrefix="1" applyNumberFormat="1" applyFont="1" applyFill="1" applyBorder="1">
      <alignment vertical="center"/>
    </xf>
    <xf numFmtId="177" fontId="5" fillId="19" borderId="44" xfId="0" quotePrefix="1" applyNumberFormat="1" applyFont="1" applyFill="1" applyBorder="1">
      <alignment vertical="center"/>
    </xf>
    <xf numFmtId="0" fontId="5" fillId="19" borderId="37" xfId="0" applyFont="1" applyFill="1" applyBorder="1" applyAlignment="1">
      <alignment vertical="top"/>
    </xf>
    <xf numFmtId="0" fontId="5" fillId="19" borderId="38" xfId="0" quotePrefix="1" applyFont="1" applyFill="1" applyBorder="1">
      <alignment vertical="center"/>
    </xf>
    <xf numFmtId="0" fontId="5" fillId="35" borderId="117" xfId="0" applyFont="1" applyFill="1" applyBorder="1" applyAlignment="1">
      <alignment horizontal="center" vertical="center"/>
    </xf>
    <xf numFmtId="0" fontId="5" fillId="0" borderId="173" xfId="0" quotePrefix="1" applyFont="1" applyBorder="1" applyAlignment="1">
      <alignment vertical="center" wrapText="1"/>
    </xf>
    <xf numFmtId="0" fontId="5" fillId="0" borderId="189" xfId="0" quotePrefix="1" applyFont="1" applyBorder="1" applyAlignment="1">
      <alignment vertical="center" wrapText="1"/>
    </xf>
    <xf numFmtId="0" fontId="5" fillId="19" borderId="64" xfId="0" quotePrefix="1" applyFont="1" applyFill="1" applyBorder="1">
      <alignment vertical="center"/>
    </xf>
    <xf numFmtId="0" fontId="5" fillId="0" borderId="45" xfId="0" quotePrefix="1" applyFont="1" applyBorder="1" applyAlignment="1">
      <alignment vertical="top"/>
    </xf>
    <xf numFmtId="0" fontId="5" fillId="3" borderId="229" xfId="0" applyFont="1" applyFill="1" applyBorder="1" applyAlignment="1">
      <alignment horizontal="center" vertical="center"/>
    </xf>
    <xf numFmtId="0" fontId="5" fillId="3" borderId="219" xfId="0" applyFont="1" applyFill="1" applyBorder="1" applyAlignment="1">
      <alignment horizontal="center" vertical="center"/>
    </xf>
    <xf numFmtId="0" fontId="5" fillId="3" borderId="172" xfId="0" quotePrefix="1" applyFont="1" applyFill="1" applyBorder="1">
      <alignment vertical="center"/>
    </xf>
    <xf numFmtId="0" fontId="15" fillId="14" borderId="29" xfId="0" applyFont="1" applyFill="1" applyBorder="1" applyAlignment="1">
      <alignment horizontal="left" vertical="top"/>
    </xf>
    <xf numFmtId="0" fontId="5" fillId="19" borderId="172" xfId="0" quotePrefix="1" applyFont="1" applyFill="1" applyBorder="1">
      <alignment vertical="center"/>
    </xf>
    <xf numFmtId="0" fontId="5" fillId="19" borderId="35" xfId="0" quotePrefix="1" applyFont="1" applyFill="1" applyBorder="1">
      <alignment vertical="center"/>
    </xf>
    <xf numFmtId="0" fontId="5" fillId="19" borderId="229" xfId="0" applyFont="1" applyFill="1" applyBorder="1" applyAlignment="1">
      <alignment horizontal="center" vertical="center"/>
    </xf>
    <xf numFmtId="0" fontId="5" fillId="19" borderId="271" xfId="0" applyFont="1" applyFill="1" applyBorder="1" applyAlignment="1">
      <alignment horizontal="center" vertical="center"/>
    </xf>
    <xf numFmtId="177" fontId="5" fillId="0" borderId="189" xfId="0" quotePrefix="1" applyNumberFormat="1" applyFont="1" applyBorder="1">
      <alignment vertical="center"/>
    </xf>
    <xf numFmtId="0" fontId="5" fillId="35" borderId="272" xfId="0" applyFont="1" applyFill="1" applyBorder="1" applyAlignment="1">
      <alignment horizontal="center" vertical="center"/>
    </xf>
    <xf numFmtId="0" fontId="5" fillId="17" borderId="272" xfId="0" applyFont="1" applyFill="1" applyBorder="1" applyAlignment="1">
      <alignment horizontal="center" vertical="center"/>
    </xf>
    <xf numFmtId="0" fontId="5" fillId="3" borderId="176" xfId="0" quotePrefix="1" applyFont="1" applyFill="1" applyBorder="1">
      <alignment vertical="center"/>
    </xf>
    <xf numFmtId="0" fontId="0" fillId="17" borderId="60" xfId="0" applyFill="1" applyBorder="1" applyAlignment="1">
      <alignment horizontal="center" vertical="center"/>
    </xf>
    <xf numFmtId="0" fontId="5" fillId="0" borderId="44" xfId="0" quotePrefix="1" applyFont="1" applyBorder="1" applyAlignment="1">
      <alignment horizontal="left" vertical="top"/>
    </xf>
    <xf numFmtId="0" fontId="5" fillId="0" borderId="172" xfId="0" applyFont="1" applyBorder="1" applyAlignment="1">
      <alignment vertical="top"/>
    </xf>
    <xf numFmtId="0" fontId="0" fillId="3" borderId="178" xfId="0" applyFill="1" applyBorder="1" applyAlignment="1">
      <alignment vertical="top" wrapText="1"/>
    </xf>
    <xf numFmtId="0" fontId="5" fillId="0" borderId="227" xfId="0" applyFont="1" applyBorder="1" applyAlignment="1">
      <alignment horizontal="center" vertical="center"/>
    </xf>
    <xf numFmtId="0" fontId="5" fillId="0" borderId="229" xfId="0" applyFont="1" applyBorder="1" applyAlignment="1">
      <alignment horizontal="center" vertical="center"/>
    </xf>
    <xf numFmtId="177" fontId="5" fillId="19" borderId="34" xfId="0" quotePrefix="1" applyNumberFormat="1" applyFont="1" applyFill="1" applyBorder="1" applyAlignment="1">
      <alignment horizontal="center" vertical="top" wrapText="1"/>
    </xf>
    <xf numFmtId="0" fontId="5" fillId="19" borderId="44" xfId="0" applyFont="1" applyFill="1" applyBorder="1">
      <alignment vertical="center"/>
    </xf>
    <xf numFmtId="0" fontId="5" fillId="3" borderId="190" xfId="0" applyFont="1" applyFill="1" applyBorder="1" applyAlignment="1">
      <alignment horizontal="center" vertical="top" wrapText="1"/>
    </xf>
    <xf numFmtId="0" fontId="5" fillId="0" borderId="27" xfId="0" applyFont="1" applyBorder="1">
      <alignment vertical="center"/>
    </xf>
    <xf numFmtId="0" fontId="5" fillId="0" borderId="67" xfId="0" quotePrefix="1" applyFont="1" applyBorder="1">
      <alignment vertical="center"/>
    </xf>
    <xf numFmtId="0" fontId="5" fillId="0" borderId="51" xfId="0" quotePrefix="1" applyFont="1" applyBorder="1">
      <alignment vertical="center"/>
    </xf>
    <xf numFmtId="177" fontId="5" fillId="0" borderId="104" xfId="0" quotePrefix="1" applyNumberFormat="1" applyFont="1" applyBorder="1" applyAlignment="1">
      <alignment horizontal="center" vertical="top" wrapText="1"/>
    </xf>
    <xf numFmtId="0" fontId="5" fillId="0" borderId="67" xfId="0" applyFont="1" applyBorder="1" applyAlignment="1">
      <alignment vertical="top"/>
    </xf>
    <xf numFmtId="0" fontId="5" fillId="0" borderId="53" xfId="0" applyFont="1" applyBorder="1" applyAlignment="1">
      <alignment horizontal="left" vertical="top"/>
    </xf>
    <xf numFmtId="0" fontId="5" fillId="0" borderId="74" xfId="0" applyFont="1" applyBorder="1" applyAlignment="1">
      <alignment horizontal="right" vertical="top" wrapText="1"/>
    </xf>
    <xf numFmtId="0" fontId="5" fillId="0" borderId="235" xfId="0" applyFont="1" applyBorder="1" applyAlignment="1">
      <alignment horizontal="center" vertical="center"/>
    </xf>
    <xf numFmtId="0" fontId="5" fillId="4" borderId="74" xfId="0" quotePrefix="1" applyFont="1" applyFill="1" applyBorder="1">
      <alignment vertical="center"/>
    </xf>
    <xf numFmtId="0" fontId="5" fillId="17" borderId="273" xfId="0" applyFont="1" applyFill="1" applyBorder="1" applyAlignment="1">
      <alignment horizontal="center" vertical="center"/>
    </xf>
    <xf numFmtId="0" fontId="5" fillId="19" borderId="193" xfId="0" applyFont="1" applyFill="1" applyBorder="1">
      <alignment vertical="center"/>
    </xf>
    <xf numFmtId="0" fontId="5" fillId="0" borderId="274" xfId="0" applyFont="1" applyBorder="1">
      <alignment vertical="center"/>
    </xf>
    <xf numFmtId="0" fontId="5" fillId="0" borderId="275" xfId="0" applyFont="1" applyBorder="1">
      <alignment vertical="center"/>
    </xf>
    <xf numFmtId="0" fontId="5" fillId="0" borderId="260" xfId="0" applyFont="1" applyBorder="1" applyAlignment="1">
      <alignment vertical="top"/>
    </xf>
    <xf numFmtId="0" fontId="5" fillId="0" borderId="275" xfId="0" applyFont="1" applyBorder="1" applyAlignment="1">
      <alignment vertical="top"/>
    </xf>
    <xf numFmtId="0" fontId="5" fillId="0" borderId="275" xfId="0" applyFont="1" applyBorder="1" applyAlignment="1">
      <alignment vertical="top" wrapText="1"/>
    </xf>
    <xf numFmtId="0" fontId="5" fillId="3" borderId="64" xfId="0" applyFont="1" applyFill="1" applyBorder="1" applyAlignment="1">
      <alignment horizontal="left" vertical="top" wrapText="1"/>
    </xf>
    <xf numFmtId="177" fontId="5" fillId="14" borderId="171" xfId="0" quotePrefix="1" applyNumberFormat="1" applyFont="1" applyFill="1" applyBorder="1">
      <alignment vertical="center"/>
    </xf>
    <xf numFmtId="177" fontId="5" fillId="14" borderId="33" xfId="0" quotePrefix="1" applyNumberFormat="1" applyFont="1" applyFill="1" applyBorder="1">
      <alignment vertical="center"/>
    </xf>
    <xf numFmtId="3" fontId="13" fillId="19" borderId="77" xfId="0" applyNumberFormat="1" applyFont="1" applyFill="1" applyBorder="1" applyAlignment="1">
      <alignment horizontal="right" vertical="center" wrapText="1"/>
    </xf>
    <xf numFmtId="0" fontId="5" fillId="3" borderId="159" xfId="0" quotePrefix="1" applyFont="1" applyFill="1" applyBorder="1" applyAlignment="1">
      <alignment vertical="center" wrapText="1"/>
    </xf>
    <xf numFmtId="0" fontId="5" fillId="0" borderId="159" xfId="0" quotePrefix="1" applyFont="1" applyBorder="1" applyAlignment="1">
      <alignment vertical="center" wrapText="1"/>
    </xf>
    <xf numFmtId="0" fontId="5" fillId="19" borderId="173" xfId="0" quotePrefix="1" applyFont="1" applyFill="1" applyBorder="1" applyAlignment="1">
      <alignment horizontal="left" vertical="center"/>
    </xf>
    <xf numFmtId="0" fontId="5" fillId="19" borderId="0" xfId="0" quotePrefix="1" applyFont="1" applyFill="1" applyAlignment="1">
      <alignment vertical="center" wrapText="1"/>
    </xf>
    <xf numFmtId="0" fontId="5" fillId="19" borderId="64" xfId="0" quotePrefix="1" applyFont="1" applyFill="1" applyBorder="1" applyAlignment="1">
      <alignment vertical="center" wrapText="1"/>
    </xf>
    <xf numFmtId="0" fontId="5" fillId="0" borderId="173" xfId="0" quotePrefix="1" applyFont="1" applyBorder="1" applyAlignment="1">
      <alignment horizontal="left" vertical="center"/>
    </xf>
    <xf numFmtId="0" fontId="5" fillId="0" borderId="27" xfId="0" quotePrefix="1" applyFont="1" applyBorder="1" applyAlignment="1">
      <alignment vertical="center" wrapText="1"/>
    </xf>
    <xf numFmtId="0" fontId="19" fillId="14" borderId="28" xfId="0" applyFont="1" applyFill="1" applyBorder="1" applyAlignment="1">
      <alignment horizontal="right" vertical="top" wrapText="1"/>
    </xf>
    <xf numFmtId="0" fontId="5" fillId="19" borderId="171" xfId="0" applyFont="1" applyFill="1" applyBorder="1">
      <alignment vertical="center"/>
    </xf>
    <xf numFmtId="0" fontId="5" fillId="19" borderId="33" xfId="0" applyFont="1" applyFill="1" applyBorder="1">
      <alignment vertical="center"/>
    </xf>
    <xf numFmtId="3" fontId="13" fillId="19" borderId="200" xfId="0" applyNumberFormat="1" applyFont="1" applyFill="1" applyBorder="1" applyAlignment="1">
      <alignment horizontal="right" vertical="center" wrapText="1"/>
    </xf>
    <xf numFmtId="0" fontId="5" fillId="0" borderId="193" xfId="0" applyFont="1" applyBorder="1" applyAlignment="1">
      <alignment vertical="top" wrapText="1"/>
    </xf>
    <xf numFmtId="3" fontId="13" fillId="19" borderId="43" xfId="0" applyNumberFormat="1" applyFont="1" applyFill="1" applyBorder="1" applyAlignment="1">
      <alignment horizontal="right" vertical="center" wrapText="1"/>
    </xf>
    <xf numFmtId="0" fontId="5" fillId="19" borderId="41" xfId="0" applyFont="1" applyFill="1" applyBorder="1" applyAlignment="1">
      <alignment vertical="top"/>
    </xf>
    <xf numFmtId="185" fontId="13" fillId="4" borderId="43" xfId="0" applyNumberFormat="1" applyFont="1" applyFill="1" applyBorder="1" applyAlignment="1">
      <alignment vertical="center" wrapText="1"/>
    </xf>
    <xf numFmtId="0" fontId="5" fillId="3" borderId="191" xfId="0" quotePrefix="1" applyFont="1" applyFill="1" applyBorder="1" applyAlignment="1">
      <alignment horizontal="left" vertical="center"/>
    </xf>
    <xf numFmtId="0" fontId="5" fillId="3" borderId="67" xfId="0" quotePrefix="1" applyFont="1" applyFill="1" applyBorder="1">
      <alignment vertical="center"/>
    </xf>
    <xf numFmtId="0" fontId="5" fillId="3" borderId="51" xfId="0" quotePrefix="1" applyFont="1" applyFill="1" applyBorder="1">
      <alignment vertical="center"/>
    </xf>
    <xf numFmtId="178" fontId="5" fillId="0" borderId="74" xfId="0" applyNumberFormat="1" applyFont="1" applyBorder="1" applyAlignment="1">
      <alignment horizontal="center" vertical="center"/>
    </xf>
    <xf numFmtId="178" fontId="5" fillId="4" borderId="67" xfId="0" applyNumberFormat="1" applyFont="1" applyFill="1" applyBorder="1">
      <alignment vertical="center"/>
    </xf>
    <xf numFmtId="0" fontId="5" fillId="35" borderId="197" xfId="0" applyFont="1" applyFill="1" applyBorder="1" applyAlignment="1">
      <alignment horizontal="center" vertical="center"/>
    </xf>
    <xf numFmtId="0" fontId="19" fillId="14" borderId="0" xfId="0" applyFont="1" applyFill="1">
      <alignment vertical="center"/>
    </xf>
    <xf numFmtId="0" fontId="5" fillId="19" borderId="171" xfId="0" quotePrefix="1" applyFont="1" applyFill="1" applyBorder="1" applyAlignment="1">
      <alignment vertical="top" wrapText="1"/>
    </xf>
    <xf numFmtId="0" fontId="5" fillId="19" borderId="77" xfId="0" applyFont="1" applyFill="1" applyBorder="1" applyAlignment="1">
      <alignment horizontal="center" vertical="center"/>
    </xf>
    <xf numFmtId="0" fontId="5" fillId="4" borderId="276" xfId="0" applyFont="1" applyFill="1" applyBorder="1">
      <alignment vertical="center"/>
    </xf>
    <xf numFmtId="0" fontId="5" fillId="4" borderId="113" xfId="0" applyFont="1" applyFill="1" applyBorder="1">
      <alignment vertical="center"/>
    </xf>
    <xf numFmtId="0" fontId="5" fillId="19" borderId="105" xfId="0" applyFont="1" applyFill="1" applyBorder="1" applyAlignment="1">
      <alignment horizontal="center" vertical="center"/>
    </xf>
    <xf numFmtId="0" fontId="5" fillId="0" borderId="194" xfId="0" applyFont="1" applyBorder="1" applyAlignment="1">
      <alignment vertical="top"/>
    </xf>
    <xf numFmtId="0" fontId="5" fillId="0" borderId="172" xfId="0" quotePrefix="1" applyFont="1" applyBorder="1" applyAlignment="1">
      <alignment vertical="top" wrapText="1"/>
    </xf>
    <xf numFmtId="3" fontId="13" fillId="4" borderId="67" xfId="0" applyNumberFormat="1" applyFont="1" applyFill="1" applyBorder="1" applyAlignment="1">
      <alignment horizontal="right" vertical="center" wrapText="1"/>
    </xf>
    <xf numFmtId="0" fontId="5" fillId="0" borderId="171" xfId="0" quotePrefix="1" applyFont="1" applyBorder="1">
      <alignment vertical="center"/>
    </xf>
    <xf numFmtId="185" fontId="13" fillId="5" borderId="77" xfId="0" applyNumberFormat="1" applyFont="1" applyFill="1" applyBorder="1" applyAlignment="1">
      <alignment horizontal="right" vertical="center" wrapText="1"/>
    </xf>
    <xf numFmtId="185" fontId="29" fillId="5" borderId="43" xfId="0" applyNumberFormat="1" applyFont="1" applyFill="1" applyBorder="1" applyAlignment="1">
      <alignment horizontal="right" vertical="center" wrapText="1"/>
    </xf>
    <xf numFmtId="185" fontId="29" fillId="5" borderId="34" xfId="0" applyNumberFormat="1" applyFont="1" applyFill="1" applyBorder="1" applyAlignment="1">
      <alignment horizontal="right" vertical="center" wrapText="1"/>
    </xf>
    <xf numFmtId="0" fontId="5" fillId="3" borderId="183" xfId="0" quotePrefix="1" applyFont="1" applyFill="1" applyBorder="1" applyAlignment="1">
      <alignment vertical="center" wrapText="1"/>
    </xf>
    <xf numFmtId="0" fontId="5" fillId="3" borderId="177" xfId="0" quotePrefix="1" applyFont="1" applyFill="1" applyBorder="1" applyAlignment="1">
      <alignment vertical="center" wrapText="1"/>
    </xf>
    <xf numFmtId="178" fontId="13" fillId="4" borderId="67" xfId="0" applyNumberFormat="1" applyFont="1" applyFill="1" applyBorder="1" applyAlignment="1">
      <alignment horizontal="right" vertical="center" wrapText="1"/>
    </xf>
    <xf numFmtId="178" fontId="13" fillId="5" borderId="77" xfId="0" applyNumberFormat="1" applyFont="1" applyFill="1" applyBorder="1" applyAlignment="1">
      <alignment horizontal="right" vertical="center" wrapText="1"/>
    </xf>
    <xf numFmtId="178" fontId="13" fillId="5" borderId="43" xfId="0" applyNumberFormat="1" applyFont="1" applyFill="1" applyBorder="1" applyAlignment="1">
      <alignment horizontal="right" vertical="center" wrapText="1"/>
    </xf>
    <xf numFmtId="0" fontId="5" fillId="19" borderId="171" xfId="0" quotePrefix="1" applyFont="1" applyFill="1" applyBorder="1">
      <alignment vertical="center"/>
    </xf>
    <xf numFmtId="3" fontId="5" fillId="19" borderId="77" xfId="0" applyNumberFormat="1" applyFont="1" applyFill="1" applyBorder="1" applyAlignment="1">
      <alignment horizontal="right" vertical="center" wrapText="1"/>
    </xf>
    <xf numFmtId="0" fontId="5" fillId="3" borderId="189" xfId="0" applyFont="1" applyFill="1" applyBorder="1" applyAlignment="1">
      <alignment vertical="top" wrapText="1"/>
    </xf>
    <xf numFmtId="0" fontId="5" fillId="19" borderId="173" xfId="0" applyFont="1" applyFill="1" applyBorder="1" applyAlignment="1">
      <alignment vertical="center" wrapText="1"/>
    </xf>
    <xf numFmtId="0" fontId="5" fillId="19" borderId="0" xfId="0" applyFont="1" applyFill="1" applyAlignment="1">
      <alignment vertical="center" wrapText="1"/>
    </xf>
    <xf numFmtId="0" fontId="5" fillId="19" borderId="64" xfId="0" applyFont="1" applyFill="1" applyBorder="1" applyAlignment="1">
      <alignment vertical="center" wrapText="1"/>
    </xf>
    <xf numFmtId="0" fontId="5" fillId="0" borderId="41" xfId="0" applyFont="1" applyBorder="1">
      <alignment vertical="center"/>
    </xf>
    <xf numFmtId="0" fontId="5" fillId="0" borderId="31" xfId="0" applyFont="1" applyBorder="1">
      <alignment vertical="center"/>
    </xf>
    <xf numFmtId="178" fontId="21" fillId="5" borderId="43" xfId="0" applyNumberFormat="1" applyFont="1" applyFill="1" applyBorder="1" applyAlignment="1">
      <alignment horizontal="right" vertical="center" wrapText="1"/>
    </xf>
    <xf numFmtId="0" fontId="5" fillId="0" borderId="205" xfId="0" applyFont="1" applyBorder="1">
      <alignment vertical="center"/>
    </xf>
    <xf numFmtId="0" fontId="21" fillId="0" borderId="175" xfId="0" quotePrefix="1" applyFont="1" applyBorder="1" applyAlignment="1">
      <alignment vertical="center" wrapText="1"/>
    </xf>
    <xf numFmtId="178" fontId="29" fillId="4" borderId="223" xfId="0" applyNumberFormat="1" applyFont="1" applyFill="1" applyBorder="1" applyAlignment="1">
      <alignment horizontal="right" vertical="center" wrapText="1"/>
    </xf>
    <xf numFmtId="178" fontId="21" fillId="3" borderId="73" xfId="0" applyNumberFormat="1" applyFont="1" applyFill="1" applyBorder="1" applyAlignment="1">
      <alignment horizontal="right" vertical="center" wrapText="1"/>
    </xf>
    <xf numFmtId="178" fontId="29" fillId="4" borderId="73" xfId="0" applyNumberFormat="1" applyFont="1" applyFill="1" applyBorder="1" applyAlignment="1">
      <alignment horizontal="right" vertical="center" wrapText="1"/>
    </xf>
    <xf numFmtId="178" fontId="29" fillId="4" borderId="87" xfId="0" applyNumberFormat="1" applyFont="1" applyFill="1" applyBorder="1" applyAlignment="1">
      <alignment horizontal="right" vertical="center" wrapText="1"/>
    </xf>
    <xf numFmtId="0" fontId="5" fillId="0" borderId="206" xfId="0" applyFont="1" applyBorder="1">
      <alignment vertical="center"/>
    </xf>
    <xf numFmtId="178" fontId="13" fillId="4" borderId="75" xfId="0" applyNumberFormat="1" applyFont="1" applyFill="1" applyBorder="1" applyAlignment="1">
      <alignment horizontal="right" vertical="center" wrapText="1"/>
    </xf>
    <xf numFmtId="178" fontId="5" fillId="3" borderId="75" xfId="0" applyNumberFormat="1" applyFont="1" applyFill="1" applyBorder="1" applyAlignment="1">
      <alignment horizontal="right" vertical="center" wrapText="1"/>
    </xf>
    <xf numFmtId="178" fontId="13" fillId="4" borderId="104" xfId="0" applyNumberFormat="1" applyFont="1" applyFill="1" applyBorder="1" applyAlignment="1">
      <alignment horizontal="right" vertical="center" wrapText="1"/>
    </xf>
    <xf numFmtId="0" fontId="16" fillId="7" borderId="14" xfId="0" applyFont="1" applyFill="1" applyBorder="1" applyAlignment="1">
      <alignment vertical="center" wrapText="1"/>
    </xf>
    <xf numFmtId="0" fontId="16" fillId="7" borderId="14" xfId="0" applyFont="1" applyFill="1" applyBorder="1" applyAlignment="1">
      <alignment vertical="top" wrapText="1"/>
    </xf>
    <xf numFmtId="0" fontId="16" fillId="7" borderId="15" xfId="0" quotePrefix="1" applyFont="1" applyFill="1" applyBorder="1" applyAlignment="1">
      <alignment vertical="top" wrapText="1"/>
    </xf>
    <xf numFmtId="0" fontId="15" fillId="7" borderId="208" xfId="0" applyFont="1" applyFill="1" applyBorder="1" applyAlignment="1">
      <alignment horizontal="center" vertical="center" wrapText="1"/>
    </xf>
    <xf numFmtId="0" fontId="14" fillId="21" borderId="208" xfId="0" applyFont="1" applyFill="1" applyBorder="1" applyAlignment="1">
      <alignment horizontal="center" vertical="center" wrapText="1"/>
    </xf>
    <xf numFmtId="0" fontId="15" fillId="21" borderId="279" xfId="0" applyFont="1" applyFill="1" applyBorder="1" applyAlignment="1">
      <alignment horizontal="center" vertical="center" wrapText="1"/>
    </xf>
    <xf numFmtId="0" fontId="16" fillId="7" borderId="22" xfId="0" applyFont="1" applyFill="1" applyBorder="1" applyAlignment="1">
      <alignment horizontal="center" vertical="center" wrapText="1"/>
    </xf>
    <xf numFmtId="0" fontId="16" fillId="7" borderId="22" xfId="0" applyFont="1" applyFill="1" applyBorder="1" applyAlignment="1">
      <alignment horizontal="center" vertical="top" wrapText="1"/>
    </xf>
    <xf numFmtId="0" fontId="16" fillId="7" borderId="23" xfId="0" quotePrefix="1" applyFont="1" applyFill="1" applyBorder="1" applyAlignment="1">
      <alignment horizontal="center" vertical="top" wrapText="1"/>
    </xf>
    <xf numFmtId="0" fontId="10" fillId="12" borderId="280" xfId="0" applyFont="1" applyFill="1" applyBorder="1" applyAlignment="1">
      <alignment horizontal="center" vertical="center" wrapText="1"/>
    </xf>
    <xf numFmtId="0" fontId="19" fillId="14" borderId="281" xfId="0" applyFont="1" applyFill="1" applyBorder="1" applyAlignment="1">
      <alignment horizontal="left" vertical="center"/>
    </xf>
    <xf numFmtId="178" fontId="13" fillId="16" borderId="282" xfId="0" applyNumberFormat="1" applyFont="1" applyFill="1" applyBorder="1" applyAlignment="1">
      <alignment horizontal="right" vertical="center" wrapText="1"/>
    </xf>
    <xf numFmtId="178" fontId="15" fillId="14" borderId="28" xfId="0" applyNumberFormat="1" applyFont="1" applyFill="1" applyBorder="1" applyAlignment="1">
      <alignment horizontal="right" vertical="top" wrapText="1"/>
    </xf>
    <xf numFmtId="178" fontId="19" fillId="14" borderId="281" xfId="0" applyNumberFormat="1" applyFont="1" applyFill="1" applyBorder="1" applyAlignment="1">
      <alignment horizontal="right" vertical="center" wrapText="1"/>
    </xf>
    <xf numFmtId="0" fontId="15" fillId="14" borderId="28" xfId="0" applyFont="1" applyFill="1" applyBorder="1" applyAlignment="1">
      <alignment horizontal="left" vertical="center" wrapText="1"/>
    </xf>
    <xf numFmtId="0" fontId="19" fillId="14" borderId="281" xfId="0" applyFont="1" applyFill="1" applyBorder="1" applyAlignment="1">
      <alignment vertical="center" wrapText="1"/>
    </xf>
    <xf numFmtId="178" fontId="5" fillId="3" borderId="282" xfId="0" applyNumberFormat="1" applyFont="1" applyFill="1" applyBorder="1" applyAlignment="1">
      <alignment horizontal="right" vertical="center" wrapText="1"/>
    </xf>
    <xf numFmtId="3" fontId="5" fillId="19" borderId="43" xfId="0" applyNumberFormat="1" applyFont="1" applyFill="1" applyBorder="1" applyAlignment="1">
      <alignment vertical="center" wrapText="1"/>
    </xf>
    <xf numFmtId="178" fontId="5" fillId="19" borderId="282" xfId="0" applyNumberFormat="1" applyFont="1" applyFill="1" applyBorder="1" applyAlignment="1">
      <alignment horizontal="right" vertical="center" wrapText="1"/>
    </xf>
    <xf numFmtId="178" fontId="13" fillId="19" borderId="52" xfId="0" applyNumberFormat="1" applyFont="1" applyFill="1" applyBorder="1" applyAlignment="1">
      <alignment horizontal="right" vertical="center" wrapText="1"/>
    </xf>
    <xf numFmtId="178" fontId="5" fillId="19" borderId="283" xfId="0" applyNumberFormat="1" applyFont="1" applyFill="1" applyBorder="1" applyAlignment="1">
      <alignment horizontal="right" vertical="center" wrapText="1"/>
    </xf>
    <xf numFmtId="3" fontId="5" fillId="3" borderId="57" xfId="0" applyNumberFormat="1" applyFont="1" applyFill="1" applyBorder="1" applyAlignment="1">
      <alignment vertical="top"/>
    </xf>
    <xf numFmtId="178" fontId="5" fillId="0" borderId="282" xfId="0" applyNumberFormat="1" applyFont="1" applyBorder="1" applyAlignment="1">
      <alignment horizontal="right" vertical="center" wrapText="1"/>
    </xf>
    <xf numFmtId="178" fontId="5" fillId="3" borderId="73" xfId="0" applyNumberFormat="1" applyFont="1" applyFill="1" applyBorder="1" applyAlignment="1">
      <alignment horizontal="right" vertical="top" wrapText="1"/>
    </xf>
    <xf numFmtId="178" fontId="5" fillId="4" borderId="73" xfId="0" applyNumberFormat="1" applyFont="1" applyFill="1" applyBorder="1" applyAlignment="1">
      <alignment horizontal="right" vertical="center" wrapText="1"/>
    </xf>
    <xf numFmtId="3" fontId="5" fillId="0" borderId="67" xfId="0" applyNumberFormat="1" applyFont="1" applyBorder="1" applyAlignment="1">
      <alignment vertical="center" wrapText="1"/>
    </xf>
    <xf numFmtId="178" fontId="5" fillId="3" borderId="284" xfId="0" applyNumberFormat="1" applyFont="1" applyFill="1" applyBorder="1" applyAlignment="1">
      <alignment horizontal="right" vertical="center" wrapText="1"/>
    </xf>
    <xf numFmtId="3" fontId="5" fillId="3" borderId="71" xfId="0" applyNumberFormat="1" applyFont="1" applyFill="1" applyBorder="1" applyAlignment="1">
      <alignment vertical="top"/>
    </xf>
    <xf numFmtId="0" fontId="5" fillId="17" borderId="285" xfId="0" applyFont="1" applyFill="1" applyBorder="1" applyAlignment="1">
      <alignment horizontal="center" vertical="top"/>
    </xf>
    <xf numFmtId="0" fontId="5" fillId="17" borderId="285" xfId="0" applyFont="1" applyFill="1" applyBorder="1" applyAlignment="1">
      <alignment horizontal="center" vertical="center"/>
    </xf>
    <xf numFmtId="0" fontId="5" fillId="17" borderId="256" xfId="0" applyFont="1" applyFill="1" applyBorder="1" applyAlignment="1">
      <alignment horizontal="center" vertical="top" wrapText="1"/>
    </xf>
    <xf numFmtId="0" fontId="10" fillId="12" borderId="286" xfId="0" applyFont="1" applyFill="1" applyBorder="1" applyAlignment="1">
      <alignment vertical="center" wrapText="1"/>
    </xf>
    <xf numFmtId="0" fontId="13" fillId="13" borderId="22" xfId="2" applyFont="1" applyFill="1" applyBorder="1" applyAlignment="1">
      <alignment horizontal="center" vertical="top" wrapText="1"/>
    </xf>
    <xf numFmtId="180" fontId="5" fillId="3" borderId="78" xfId="0" quotePrefix="1" applyNumberFormat="1" applyFont="1" applyFill="1" applyBorder="1" applyAlignment="1">
      <alignment horizontal="right" vertical="center" wrapText="1"/>
    </xf>
    <xf numFmtId="180" fontId="5" fillId="0" borderId="37" xfId="0" quotePrefix="1" applyNumberFormat="1" applyFont="1" applyBorder="1" applyAlignment="1">
      <alignment horizontal="right" vertical="top" wrapText="1"/>
    </xf>
    <xf numFmtId="3" fontId="5" fillId="5" borderId="77" xfId="0" quotePrefix="1" applyNumberFormat="1" applyFont="1" applyFill="1" applyBorder="1" applyAlignment="1">
      <alignment horizontal="right" vertical="center" wrapText="1"/>
    </xf>
    <xf numFmtId="181" fontId="5" fillId="3" borderId="287" xfId="0" applyNumberFormat="1" applyFont="1" applyFill="1" applyBorder="1" applyAlignment="1">
      <alignment vertical="center" wrapText="1"/>
    </xf>
    <xf numFmtId="0" fontId="5" fillId="21" borderId="36" xfId="0" applyFont="1" applyFill="1" applyBorder="1" applyAlignment="1">
      <alignment horizontal="left" vertical="top" wrapText="1"/>
    </xf>
    <xf numFmtId="180" fontId="5" fillId="3" borderId="38" xfId="0" applyNumberFormat="1" applyFont="1" applyFill="1" applyBorder="1" applyAlignment="1">
      <alignment horizontal="right" vertical="top" wrapText="1"/>
    </xf>
    <xf numFmtId="180" fontId="5" fillId="3" borderId="282" xfId="0" applyNumberFormat="1" applyFont="1" applyFill="1" applyBorder="1" applyAlignment="1">
      <alignment vertical="center" wrapText="1"/>
    </xf>
    <xf numFmtId="0" fontId="5" fillId="3" borderId="282" xfId="0" applyFont="1" applyFill="1" applyBorder="1" applyAlignment="1">
      <alignment vertical="center" wrapText="1"/>
    </xf>
    <xf numFmtId="3" fontId="5" fillId="3" borderId="282" xfId="0" applyNumberFormat="1" applyFont="1" applyFill="1" applyBorder="1" applyAlignment="1">
      <alignment vertical="center" wrapText="1"/>
    </xf>
    <xf numFmtId="0" fontId="5" fillId="3" borderId="220" xfId="0" applyFont="1" applyFill="1" applyBorder="1" applyAlignment="1">
      <alignment horizontal="right" vertical="center"/>
    </xf>
    <xf numFmtId="3" fontId="22" fillId="23" borderId="45" xfId="0" applyNumberFormat="1" applyFont="1" applyFill="1" applyBorder="1" applyAlignment="1">
      <alignment horizontal="right" vertical="center" wrapText="1"/>
    </xf>
    <xf numFmtId="3" fontId="5" fillId="19" borderId="282" xfId="0" applyNumberFormat="1" applyFont="1" applyFill="1" applyBorder="1" applyAlignment="1">
      <alignment vertical="center" wrapText="1"/>
    </xf>
    <xf numFmtId="3" fontId="13" fillId="4" borderId="219" xfId="0" applyNumberFormat="1" applyFont="1" applyFill="1" applyBorder="1" applyAlignment="1">
      <alignment horizontal="center" vertical="center" wrapText="1"/>
    </xf>
    <xf numFmtId="3" fontId="13" fillId="4" borderId="43" xfId="0" applyNumberFormat="1" applyFont="1" applyFill="1" applyBorder="1" applyAlignment="1">
      <alignment horizontal="center" vertical="center" wrapText="1"/>
    </xf>
    <xf numFmtId="3" fontId="5" fillId="3" borderId="282" xfId="0" applyNumberFormat="1" applyFont="1" applyFill="1" applyBorder="1" applyAlignment="1">
      <alignment horizontal="center" vertical="center" wrapText="1"/>
    </xf>
    <xf numFmtId="3" fontId="20" fillId="0" borderId="287" xfId="0" applyNumberFormat="1" applyFont="1" applyBorder="1" applyAlignment="1">
      <alignment vertical="center" wrapText="1"/>
    </xf>
    <xf numFmtId="180" fontId="22" fillId="24" borderId="37" xfId="0" quotePrefix="1" applyNumberFormat="1" applyFont="1" applyFill="1" applyBorder="1" applyAlignment="1">
      <alignment horizontal="right" vertical="center" wrapText="1"/>
    </xf>
    <xf numFmtId="180" fontId="22" fillId="24" borderId="37" xfId="0" quotePrefix="1" applyNumberFormat="1" applyFont="1" applyFill="1" applyBorder="1" applyAlignment="1">
      <alignment horizontal="right" vertical="top" wrapText="1"/>
    </xf>
    <xf numFmtId="180" fontId="22" fillId="25" borderId="37" xfId="0" quotePrefix="1" applyNumberFormat="1" applyFont="1" applyFill="1" applyBorder="1" applyAlignment="1">
      <alignment horizontal="right" vertical="top" wrapText="1"/>
    </xf>
    <xf numFmtId="0" fontId="5" fillId="0" borderId="288" xfId="0" applyFont="1" applyBorder="1" applyAlignment="1">
      <alignment vertical="center" wrapText="1"/>
    </xf>
    <xf numFmtId="0" fontId="5" fillId="3" borderId="38" xfId="0" applyFont="1" applyFill="1" applyBorder="1" applyAlignment="1">
      <alignment horizontal="center" vertical="center" wrapText="1"/>
    </xf>
    <xf numFmtId="0" fontId="5" fillId="3" borderId="282" xfId="0" applyFont="1" applyFill="1" applyBorder="1" applyAlignment="1">
      <alignment horizontal="center" vertical="center" wrapText="1"/>
    </xf>
    <xf numFmtId="180" fontId="22" fillId="27" borderId="38" xfId="0" applyNumberFormat="1" applyFont="1" applyFill="1" applyBorder="1" applyAlignment="1">
      <alignment horizontal="right" vertical="top" wrapText="1"/>
    </xf>
    <xf numFmtId="3" fontId="24" fillId="27" borderId="38" xfId="0" applyNumberFormat="1" applyFont="1" applyFill="1" applyBorder="1" applyAlignment="1">
      <alignment horizontal="right" vertical="center" wrapText="1"/>
    </xf>
    <xf numFmtId="3" fontId="24" fillId="26" borderId="43" xfId="0" quotePrefix="1" applyNumberFormat="1" applyFont="1" applyFill="1" applyBorder="1" applyAlignment="1">
      <alignment horizontal="right" vertical="center" wrapText="1"/>
    </xf>
    <xf numFmtId="3" fontId="24" fillId="26" borderId="45" xfId="0" applyNumberFormat="1" applyFont="1" applyFill="1" applyBorder="1" applyAlignment="1">
      <alignment horizontal="right" vertical="center" wrapText="1"/>
    </xf>
    <xf numFmtId="3" fontId="21" fillId="28" borderId="43" xfId="0" applyNumberFormat="1" applyFont="1" applyFill="1" applyBorder="1" applyAlignment="1">
      <alignment vertical="center" wrapText="1"/>
    </xf>
    <xf numFmtId="180" fontId="22" fillId="24" borderId="38" xfId="0" applyNumberFormat="1" applyFont="1" applyFill="1" applyBorder="1" applyAlignment="1">
      <alignment horizontal="right" vertical="center" wrapText="1"/>
    </xf>
    <xf numFmtId="180" fontId="22" fillId="24" borderId="38" xfId="0" applyNumberFormat="1" applyFont="1" applyFill="1" applyBorder="1" applyAlignment="1">
      <alignment horizontal="right" vertical="top" wrapText="1"/>
    </xf>
    <xf numFmtId="180" fontId="22" fillId="0" borderId="38" xfId="0" applyNumberFormat="1" applyFont="1" applyBorder="1" applyAlignment="1">
      <alignment horizontal="right" vertical="top" wrapText="1"/>
    </xf>
    <xf numFmtId="0" fontId="22" fillId="24" borderId="38" xfId="0" applyFont="1" applyFill="1" applyBorder="1" applyAlignment="1">
      <alignment horizontal="right" vertical="center" wrapText="1"/>
    </xf>
    <xf numFmtId="0" fontId="22" fillId="24" borderId="38" xfId="0" applyFont="1" applyFill="1" applyBorder="1" applyAlignment="1">
      <alignment horizontal="right" vertical="top" wrapText="1"/>
    </xf>
    <xf numFmtId="3" fontId="21" fillId="5" borderId="38" xfId="0" quotePrefix="1" applyNumberFormat="1" applyFont="1" applyFill="1" applyBorder="1" applyAlignment="1">
      <alignment horizontal="right" vertical="top" wrapText="1"/>
    </xf>
    <xf numFmtId="3" fontId="21" fillId="28" borderId="38" xfId="0" applyNumberFormat="1" applyFont="1" applyFill="1" applyBorder="1" applyAlignment="1">
      <alignment horizontal="right" vertical="center" wrapText="1"/>
    </xf>
    <xf numFmtId="3" fontId="21" fillId="3" borderId="38" xfId="0" quotePrefix="1" applyNumberFormat="1" applyFont="1" applyFill="1" applyBorder="1" applyAlignment="1">
      <alignment horizontal="right" vertical="top" wrapText="1"/>
    </xf>
    <xf numFmtId="3" fontId="21" fillId="15" borderId="38" xfId="0" quotePrefix="1" applyNumberFormat="1" applyFont="1" applyFill="1" applyBorder="1" applyAlignment="1">
      <alignment horizontal="right" vertical="top" wrapText="1"/>
    </xf>
    <xf numFmtId="3" fontId="22" fillId="27" borderId="38" xfId="0" applyNumberFormat="1" applyFont="1" applyFill="1" applyBorder="1" applyAlignment="1">
      <alignment horizontal="right" vertical="top" wrapText="1"/>
    </xf>
    <xf numFmtId="4" fontId="22" fillId="27" borderId="43" xfId="0" applyNumberFormat="1" applyFont="1" applyFill="1" applyBorder="1" applyAlignment="1">
      <alignment horizontal="right" vertical="center" wrapText="1"/>
    </xf>
    <xf numFmtId="3" fontId="22" fillId="24" borderId="38" xfId="0" applyNumberFormat="1" applyFont="1" applyFill="1" applyBorder="1" applyAlignment="1">
      <alignment horizontal="right" vertical="top" wrapText="1"/>
    </xf>
    <xf numFmtId="0" fontId="22" fillId="24" borderId="37" xfId="0" applyFont="1" applyFill="1" applyBorder="1" applyAlignment="1">
      <alignment horizontal="right" vertical="center" wrapText="1"/>
    </xf>
    <xf numFmtId="0" fontId="22" fillId="24" borderId="37" xfId="0" applyFont="1" applyFill="1" applyBorder="1" applyAlignment="1">
      <alignment horizontal="right" vertical="top" wrapText="1"/>
    </xf>
    <xf numFmtId="180" fontId="22" fillId="24" borderId="37" xfId="0" applyNumberFormat="1" applyFont="1" applyFill="1" applyBorder="1" applyAlignment="1">
      <alignment horizontal="right" vertical="center" wrapText="1"/>
    </xf>
    <xf numFmtId="9" fontId="13" fillId="4" borderId="38" xfId="8" applyFont="1" applyFill="1" applyBorder="1" applyAlignment="1">
      <alignment vertical="center" wrapText="1"/>
    </xf>
    <xf numFmtId="3" fontId="26" fillId="5" borderId="38" xfId="0" quotePrefix="1" applyNumberFormat="1" applyFont="1" applyFill="1" applyBorder="1" applyAlignment="1">
      <alignment horizontal="right" vertical="top" wrapText="1"/>
    </xf>
    <xf numFmtId="3" fontId="26" fillId="5" borderId="43" xfId="0" quotePrefix="1" applyNumberFormat="1" applyFont="1" applyFill="1" applyBorder="1" applyAlignment="1">
      <alignment vertical="center" wrapText="1"/>
    </xf>
    <xf numFmtId="3" fontId="26" fillId="3" borderId="282" xfId="0" quotePrefix="1" applyNumberFormat="1" applyFont="1" applyFill="1" applyBorder="1" applyAlignment="1">
      <alignment vertical="center" wrapText="1"/>
    </xf>
    <xf numFmtId="0" fontId="0" fillId="17" borderId="59" xfId="0" applyFill="1" applyBorder="1" applyAlignment="1">
      <alignment horizontal="center" vertical="top" wrapText="1"/>
    </xf>
    <xf numFmtId="3" fontId="5" fillId="19" borderId="38" xfId="0" applyNumberFormat="1" applyFont="1" applyFill="1" applyBorder="1" applyAlignment="1">
      <alignment horizontal="right" vertical="top" wrapText="1"/>
    </xf>
    <xf numFmtId="3" fontId="5" fillId="19" borderId="43" xfId="0" quotePrefix="1" applyNumberFormat="1" applyFont="1" applyFill="1" applyBorder="1" applyAlignment="1">
      <alignment horizontal="right" vertical="center" wrapText="1"/>
    </xf>
    <xf numFmtId="0" fontId="5" fillId="19" borderId="282" xfId="0" applyFont="1" applyFill="1" applyBorder="1" applyAlignment="1">
      <alignment vertical="center" wrapText="1"/>
    </xf>
    <xf numFmtId="0" fontId="0" fillId="3" borderId="45" xfId="0" applyFill="1" applyBorder="1" applyAlignment="1">
      <alignment horizontal="left" vertical="top" wrapText="1"/>
    </xf>
    <xf numFmtId="0" fontId="5" fillId="3" borderId="283" xfId="0" applyFont="1" applyFill="1" applyBorder="1" applyAlignment="1">
      <alignment vertical="center" wrapText="1"/>
    </xf>
    <xf numFmtId="3" fontId="22" fillId="27" borderId="86" xfId="0" applyNumberFormat="1" applyFont="1" applyFill="1" applyBorder="1" applyAlignment="1">
      <alignment horizontal="right" vertical="top" wrapText="1"/>
    </xf>
    <xf numFmtId="3" fontId="5" fillId="5" borderId="36" xfId="0" applyNumberFormat="1" applyFont="1" applyFill="1" applyBorder="1" applyAlignment="1">
      <alignment horizontal="right" vertical="center" wrapText="1"/>
    </xf>
    <xf numFmtId="3" fontId="5" fillId="0" borderId="78" xfId="0" applyNumberFormat="1" applyFont="1" applyBorder="1" applyAlignment="1">
      <alignment horizontal="right" vertical="center" wrapText="1"/>
    </xf>
    <xf numFmtId="3" fontId="5" fillId="5" borderId="78" xfId="0" applyNumberFormat="1" applyFont="1" applyFill="1" applyBorder="1" applyAlignment="1">
      <alignment horizontal="right" vertical="center" wrapText="1"/>
    </xf>
    <xf numFmtId="3" fontId="22" fillId="15" borderId="77" xfId="0" applyNumberFormat="1" applyFont="1" applyFill="1" applyBorder="1" applyAlignment="1">
      <alignment horizontal="right" vertical="center" wrapText="1"/>
    </xf>
    <xf numFmtId="3" fontId="5" fillId="0" borderId="227" xfId="0" applyNumberFormat="1" applyFont="1" applyBorder="1" applyAlignment="1">
      <alignment vertical="center" wrapText="1"/>
    </xf>
    <xf numFmtId="3" fontId="5" fillId="5" borderId="36" xfId="0" applyNumberFormat="1" applyFont="1" applyFill="1" applyBorder="1" applyAlignment="1">
      <alignment vertical="top" wrapText="1"/>
    </xf>
    <xf numFmtId="3" fontId="5" fillId="0" borderId="287" xfId="0" applyNumberFormat="1" applyFont="1" applyBorder="1" applyAlignment="1">
      <alignment vertical="center" wrapText="1"/>
    </xf>
    <xf numFmtId="182" fontId="22" fillId="24" borderId="38" xfId="0" quotePrefix="1" applyNumberFormat="1" applyFont="1" applyFill="1" applyBorder="1" applyAlignment="1">
      <alignment horizontal="right" vertical="center" wrapText="1"/>
    </xf>
    <xf numFmtId="182" fontId="22" fillId="25" borderId="38" xfId="0" quotePrefix="1" applyNumberFormat="1" applyFont="1" applyFill="1" applyBorder="1" applyAlignment="1">
      <alignment horizontal="right" vertical="top" wrapText="1"/>
    </xf>
    <xf numFmtId="3" fontId="5" fillId="0" borderId="219" xfId="0" applyNumberFormat="1" applyFont="1" applyBorder="1" applyAlignment="1">
      <alignment vertical="center" wrapText="1"/>
    </xf>
    <xf numFmtId="182" fontId="5" fillId="3" borderId="220" xfId="0" quotePrefix="1" applyNumberFormat="1" applyFont="1" applyFill="1" applyBorder="1" applyAlignment="1">
      <alignment vertical="center" wrapText="1"/>
    </xf>
    <xf numFmtId="182" fontId="5" fillId="15" borderId="45" xfId="0" quotePrefix="1" applyNumberFormat="1" applyFont="1" applyFill="1" applyBorder="1" applyAlignment="1">
      <alignment vertical="top" wrapText="1"/>
    </xf>
    <xf numFmtId="182" fontId="22" fillId="25" borderId="37" xfId="0" quotePrefix="1" applyNumberFormat="1" applyFont="1" applyFill="1" applyBorder="1" applyAlignment="1">
      <alignment horizontal="right" vertical="top" wrapText="1"/>
    </xf>
    <xf numFmtId="182" fontId="5" fillId="15" borderId="80" xfId="0" quotePrefix="1" applyNumberFormat="1" applyFont="1" applyFill="1" applyBorder="1" applyAlignment="1">
      <alignment vertical="top" wrapText="1"/>
    </xf>
    <xf numFmtId="182" fontId="5" fillId="15" borderId="288" xfId="0" quotePrefix="1" applyNumberFormat="1" applyFont="1" applyFill="1" applyBorder="1" applyAlignment="1">
      <alignment vertical="center" wrapText="1"/>
    </xf>
    <xf numFmtId="177" fontId="5" fillId="15" borderId="219" xfId="0" quotePrefix="1" applyNumberFormat="1" applyFont="1" applyFill="1" applyBorder="1" applyAlignment="1">
      <alignment horizontal="center" vertical="center"/>
    </xf>
    <xf numFmtId="177" fontId="5" fillId="15" borderId="220" xfId="0" quotePrefix="1" applyNumberFormat="1" applyFont="1" applyFill="1" applyBorder="1" applyAlignment="1">
      <alignment horizontal="center" vertical="center"/>
    </xf>
    <xf numFmtId="182" fontId="24" fillId="24" borderId="54" xfId="0" applyNumberFormat="1" applyFont="1" applyFill="1" applyBorder="1" applyAlignment="1">
      <alignment horizontal="right" vertical="center" wrapText="1"/>
    </xf>
    <xf numFmtId="3" fontId="24" fillId="22" borderId="38" xfId="0" applyNumberFormat="1" applyFont="1" applyFill="1" applyBorder="1" applyAlignment="1">
      <alignment horizontal="right" vertical="center" wrapText="1"/>
    </xf>
    <xf numFmtId="177" fontId="21" fillId="15" borderId="219" xfId="0" quotePrefix="1" applyNumberFormat="1" applyFont="1" applyFill="1" applyBorder="1" applyAlignment="1">
      <alignment horizontal="center" vertical="center"/>
    </xf>
    <xf numFmtId="177" fontId="21" fillId="15" borderId="220" xfId="0" quotePrefix="1" applyNumberFormat="1" applyFont="1" applyFill="1" applyBorder="1" applyAlignment="1">
      <alignment horizontal="center" vertical="center"/>
    </xf>
    <xf numFmtId="177" fontId="21" fillId="15" borderId="45" xfId="0" quotePrefix="1" applyNumberFormat="1" applyFont="1" applyFill="1" applyBorder="1" applyAlignment="1">
      <alignment horizontal="center" vertical="center"/>
    </xf>
    <xf numFmtId="0" fontId="21" fillId="3" borderId="282" xfId="0" applyFont="1" applyFill="1" applyBorder="1" applyAlignment="1">
      <alignment vertical="center" wrapText="1"/>
    </xf>
    <xf numFmtId="177" fontId="5" fillId="0" borderId="219" xfId="0" quotePrefix="1" applyNumberFormat="1" applyFont="1" applyBorder="1" applyAlignment="1">
      <alignment horizontal="center" vertical="center"/>
    </xf>
    <xf numFmtId="177" fontId="5" fillId="0" borderId="220" xfId="0" quotePrefix="1" applyNumberFormat="1" applyFont="1" applyBorder="1" applyAlignment="1">
      <alignment horizontal="center" vertical="center"/>
    </xf>
    <xf numFmtId="177" fontId="5" fillId="0" borderId="45" xfId="0" quotePrefix="1" applyNumberFormat="1" applyFont="1" applyBorder="1" applyAlignment="1">
      <alignment horizontal="center" vertical="center"/>
    </xf>
    <xf numFmtId="0" fontId="5" fillId="0" borderId="282" xfId="0" applyFont="1" applyBorder="1" applyAlignment="1">
      <alignment vertical="center" wrapText="1"/>
    </xf>
    <xf numFmtId="3" fontId="13" fillId="4" borderId="65" xfId="0" applyNumberFormat="1" applyFont="1" applyFill="1" applyBorder="1" applyAlignment="1">
      <alignment vertical="center" wrapText="1"/>
    </xf>
    <xf numFmtId="0" fontId="5" fillId="15" borderId="38" xfId="0" applyFont="1" applyFill="1" applyBorder="1" applyAlignment="1">
      <alignment horizontal="right" vertical="top" wrapText="1"/>
    </xf>
    <xf numFmtId="0" fontId="5" fillId="0" borderId="282" xfId="0" applyFont="1" applyBorder="1" applyAlignment="1">
      <alignment horizontal="right" vertical="center" wrapText="1"/>
    </xf>
    <xf numFmtId="3" fontId="5" fillId="4" borderId="44" xfId="0" applyNumberFormat="1" applyFont="1" applyFill="1" applyBorder="1" applyAlignment="1">
      <alignment horizontal="right" vertical="center" wrapText="1"/>
    </xf>
    <xf numFmtId="0" fontId="5" fillId="0" borderId="89" xfId="0" applyFont="1" applyBorder="1" applyAlignment="1">
      <alignment vertical="top"/>
    </xf>
    <xf numFmtId="178" fontId="5" fillId="0" borderId="287" xfId="0" applyNumberFormat="1" applyFont="1" applyBorder="1" applyAlignment="1">
      <alignment vertical="center" wrapText="1"/>
    </xf>
    <xf numFmtId="178" fontId="5" fillId="3" borderId="282" xfId="0" applyNumberFormat="1" applyFont="1" applyFill="1" applyBorder="1" applyAlignment="1">
      <alignment vertical="center" wrapText="1"/>
    </xf>
    <xf numFmtId="183" fontId="5" fillId="5" borderId="38" xfId="0" applyNumberFormat="1" applyFont="1" applyFill="1" applyBorder="1" applyAlignment="1">
      <alignment vertical="top" wrapText="1"/>
    </xf>
    <xf numFmtId="183" fontId="21" fillId="5" borderId="45" xfId="0" applyNumberFormat="1" applyFont="1" applyFill="1" applyBorder="1" applyAlignment="1">
      <alignment vertical="center" wrapText="1"/>
    </xf>
    <xf numFmtId="183" fontId="5" fillId="3" borderId="282" xfId="0" applyNumberFormat="1" applyFont="1" applyFill="1" applyBorder="1" applyAlignment="1">
      <alignment vertical="center" wrapText="1"/>
    </xf>
    <xf numFmtId="190" fontId="13" fillId="4" borderId="219" xfId="6" applyNumberFormat="1" applyFont="1" applyFill="1" applyBorder="1" applyAlignment="1">
      <alignment vertical="center" wrapText="1"/>
    </xf>
    <xf numFmtId="190" fontId="5" fillId="3" borderId="38" xfId="6" applyNumberFormat="1" applyFont="1" applyFill="1" applyBorder="1" applyAlignment="1">
      <alignment vertical="center" wrapText="1"/>
    </xf>
    <xf numFmtId="190" fontId="21" fillId="5" borderId="38" xfId="6" applyNumberFormat="1" applyFont="1" applyFill="1" applyBorder="1" applyAlignment="1">
      <alignment vertical="center" wrapText="1"/>
    </xf>
    <xf numFmtId="190" fontId="21" fillId="5" borderId="43" xfId="6" applyNumberFormat="1" applyFont="1" applyFill="1" applyBorder="1" applyAlignment="1">
      <alignment vertical="center" wrapText="1"/>
    </xf>
    <xf numFmtId="190" fontId="5" fillId="3" borderId="282" xfId="6" applyNumberFormat="1" applyFont="1" applyFill="1" applyBorder="1" applyAlignment="1">
      <alignment vertical="center" wrapText="1"/>
    </xf>
    <xf numFmtId="185" fontId="5" fillId="5" borderId="38" xfId="0" applyNumberFormat="1" applyFont="1" applyFill="1" applyBorder="1" applyAlignment="1">
      <alignment vertical="top" wrapText="1"/>
    </xf>
    <xf numFmtId="185" fontId="5" fillId="3" borderId="282" xfId="0" applyNumberFormat="1" applyFont="1" applyFill="1" applyBorder="1" applyAlignment="1">
      <alignment vertical="center" wrapText="1"/>
    </xf>
    <xf numFmtId="0" fontId="5" fillId="0" borderId="51" xfId="0" applyFont="1" applyBorder="1">
      <alignment vertical="center"/>
    </xf>
    <xf numFmtId="3" fontId="5" fillId="3" borderId="51" xfId="0" applyNumberFormat="1" applyFont="1" applyFill="1" applyBorder="1" applyAlignment="1">
      <alignment vertical="top" wrapText="1"/>
    </xf>
    <xf numFmtId="3" fontId="5" fillId="3" borderId="53" xfId="0" applyNumberFormat="1" applyFont="1" applyFill="1" applyBorder="1" applyAlignment="1">
      <alignment vertical="top" wrapText="1"/>
    </xf>
    <xf numFmtId="0" fontId="5" fillId="3" borderId="289" xfId="0" applyFont="1" applyFill="1" applyBorder="1" applyAlignment="1">
      <alignment vertical="center" wrapText="1"/>
    </xf>
    <xf numFmtId="38" fontId="5" fillId="18" borderId="38" xfId="0" quotePrefix="1" applyNumberFormat="1" applyFont="1" applyFill="1" applyBorder="1" applyAlignment="1">
      <alignment vertical="center" wrapText="1"/>
    </xf>
    <xf numFmtId="3" fontId="5" fillId="4" borderId="38" xfId="0" applyNumberFormat="1" applyFont="1" applyFill="1" applyBorder="1" applyAlignment="1">
      <alignment horizontal="center" vertical="center" wrapText="1"/>
    </xf>
    <xf numFmtId="3" fontId="5" fillId="4" borderId="38" xfId="0" applyNumberFormat="1" applyFont="1" applyFill="1" applyBorder="1" applyAlignment="1">
      <alignment vertical="top" wrapText="1"/>
    </xf>
    <xf numFmtId="0" fontId="0" fillId="0" borderId="282" xfId="0" applyBorder="1" applyAlignment="1">
      <alignment vertical="center" wrapText="1"/>
    </xf>
    <xf numFmtId="0" fontId="15" fillId="12" borderId="92" xfId="0" applyFont="1" applyFill="1" applyBorder="1" applyAlignment="1">
      <alignment horizontal="left" vertical="center"/>
    </xf>
    <xf numFmtId="0" fontId="15" fillId="12" borderId="238" xfId="0" applyFont="1" applyFill="1" applyBorder="1" applyAlignment="1">
      <alignment horizontal="center" vertical="center"/>
    </xf>
    <xf numFmtId="0" fontId="15" fillId="12" borderId="239" xfId="0" applyFont="1" applyFill="1" applyBorder="1" applyAlignment="1">
      <alignment horizontal="center" vertical="center"/>
    </xf>
    <xf numFmtId="0" fontId="10" fillId="12" borderId="291" xfId="0" applyFont="1" applyFill="1" applyBorder="1" applyAlignment="1">
      <alignment vertical="center" wrapText="1"/>
    </xf>
    <xf numFmtId="178" fontId="5" fillId="5" borderId="38" xfId="0" quotePrefix="1" applyNumberFormat="1" applyFont="1" applyFill="1" applyBorder="1" applyAlignment="1">
      <alignment vertical="top" wrapText="1"/>
    </xf>
    <xf numFmtId="3" fontId="32" fillId="15" borderId="38" xfId="0" quotePrefix="1" applyNumberFormat="1" applyFont="1" applyFill="1" applyBorder="1" applyAlignment="1">
      <alignment vertical="top" wrapText="1"/>
    </xf>
    <xf numFmtId="178" fontId="5" fillId="15" borderId="282" xfId="0" quotePrefix="1" applyNumberFormat="1" applyFont="1" applyFill="1" applyBorder="1" applyAlignment="1">
      <alignment vertical="top" wrapText="1"/>
    </xf>
    <xf numFmtId="3" fontId="32" fillId="3" borderId="38" xfId="0" quotePrefix="1" applyNumberFormat="1" applyFont="1" applyFill="1" applyBorder="1" applyAlignment="1">
      <alignment vertical="top" wrapText="1"/>
    </xf>
    <xf numFmtId="178" fontId="5" fillId="3" borderId="282" xfId="0" quotePrefix="1" applyNumberFormat="1" applyFont="1" applyFill="1" applyBorder="1" applyAlignment="1">
      <alignment vertical="center" wrapText="1"/>
    </xf>
    <xf numFmtId="178" fontId="5" fillId="19" borderId="65" xfId="0" quotePrefix="1" applyNumberFormat="1" applyFont="1" applyFill="1" applyBorder="1" applyAlignment="1">
      <alignment horizontal="left" vertical="center"/>
    </xf>
    <xf numFmtId="178" fontId="5" fillId="19" borderId="282" xfId="0" quotePrefix="1" applyNumberFormat="1" applyFont="1" applyFill="1" applyBorder="1" applyAlignment="1">
      <alignment vertical="center" wrapText="1"/>
    </xf>
    <xf numFmtId="178" fontId="5" fillId="15" borderId="38" xfId="0" applyNumberFormat="1" applyFont="1" applyFill="1" applyBorder="1" applyAlignment="1">
      <alignment vertical="top" wrapText="1"/>
    </xf>
    <xf numFmtId="3" fontId="32" fillId="3" borderId="38" xfId="0" applyNumberFormat="1" applyFont="1" applyFill="1" applyBorder="1" applyAlignment="1">
      <alignment vertical="top" wrapText="1"/>
    </xf>
    <xf numFmtId="178" fontId="5" fillId="19" borderId="282" xfId="0" applyNumberFormat="1" applyFont="1" applyFill="1" applyBorder="1" applyAlignment="1">
      <alignment vertical="center" wrapText="1"/>
    </xf>
    <xf numFmtId="178" fontId="5" fillId="3" borderId="282" xfId="0" applyNumberFormat="1" applyFont="1" applyFill="1" applyBorder="1" applyAlignment="1">
      <alignment vertical="top" wrapText="1"/>
    </xf>
    <xf numFmtId="178" fontId="5" fillId="19" borderId="282" xfId="0" applyNumberFormat="1" applyFont="1" applyFill="1" applyBorder="1" applyAlignment="1">
      <alignment vertical="top" wrapText="1"/>
    </xf>
    <xf numFmtId="191" fontId="13" fillId="4" borderId="219" xfId="8" applyNumberFormat="1" applyFont="1" applyFill="1" applyBorder="1" applyAlignment="1">
      <alignment vertical="center" wrapText="1"/>
    </xf>
    <xf numFmtId="191" fontId="13" fillId="4" borderId="38" xfId="8" applyNumberFormat="1" applyFont="1" applyFill="1" applyBorder="1" applyAlignment="1">
      <alignment vertical="center" wrapText="1"/>
    </xf>
    <xf numFmtId="178" fontId="0" fillId="19" borderId="282" xfId="0" applyNumberFormat="1" applyFill="1" applyBorder="1" applyAlignment="1">
      <alignment vertical="top" wrapText="1"/>
    </xf>
    <xf numFmtId="3" fontId="32" fillId="33" borderId="38" xfId="0" applyNumberFormat="1" applyFont="1" applyFill="1" applyBorder="1" applyAlignment="1">
      <alignment vertical="center" wrapText="1"/>
    </xf>
    <xf numFmtId="0" fontId="32" fillId="33" borderId="38" xfId="0" applyFont="1" applyFill="1" applyBorder="1" applyAlignment="1">
      <alignment vertical="top" wrapText="1"/>
    </xf>
    <xf numFmtId="0" fontId="32" fillId="34" borderId="38" xfId="0" applyFont="1" applyFill="1" applyBorder="1" applyAlignment="1">
      <alignment vertical="top" wrapText="1"/>
    </xf>
    <xf numFmtId="3" fontId="32" fillId="34" borderId="38" xfId="0" applyNumberFormat="1" applyFont="1" applyFill="1" applyBorder="1" applyAlignment="1">
      <alignment vertical="center" wrapText="1"/>
    </xf>
    <xf numFmtId="178" fontId="0" fillId="3" borderId="282" xfId="0" applyNumberFormat="1" applyFill="1" applyBorder="1" applyAlignment="1">
      <alignment vertical="top" wrapText="1"/>
    </xf>
    <xf numFmtId="0" fontId="0" fillId="0" borderId="0" xfId="0" applyAlignment="1">
      <alignment horizontal="left" vertical="center" wrapText="1"/>
    </xf>
    <xf numFmtId="180" fontId="5" fillId="18" borderId="38" xfId="0" applyNumberFormat="1" applyFont="1" applyFill="1" applyBorder="1" applyAlignment="1">
      <alignment vertical="center" wrapText="1"/>
    </xf>
    <xf numFmtId="9" fontId="5" fillId="3" borderId="38" xfId="8" applyFont="1" applyFill="1" applyBorder="1" applyAlignment="1">
      <alignment vertical="center" wrapText="1"/>
    </xf>
    <xf numFmtId="9" fontId="5" fillId="3" borderId="282" xfId="8" applyFont="1" applyFill="1" applyBorder="1" applyAlignment="1">
      <alignment vertical="center" wrapText="1"/>
    </xf>
    <xf numFmtId="3" fontId="5" fillId="33" borderId="38" xfId="0" applyNumberFormat="1" applyFont="1" applyFill="1" applyBorder="1" applyAlignment="1">
      <alignment vertical="center" wrapText="1"/>
    </xf>
    <xf numFmtId="0" fontId="5" fillId="33" borderId="38" xfId="0" applyFont="1" applyFill="1" applyBorder="1" applyAlignment="1">
      <alignment vertical="top" wrapText="1"/>
    </xf>
    <xf numFmtId="0" fontId="5" fillId="34" borderId="74" xfId="0" applyFont="1" applyFill="1" applyBorder="1" applyAlignment="1">
      <alignment vertical="top" wrapText="1"/>
    </xf>
    <xf numFmtId="3" fontId="5" fillId="34" borderId="74" xfId="0" applyNumberFormat="1" applyFont="1" applyFill="1" applyBorder="1" applyAlignment="1">
      <alignment vertical="center" wrapText="1"/>
    </xf>
    <xf numFmtId="178" fontId="5" fillId="3" borderId="289" xfId="0" applyNumberFormat="1" applyFont="1" applyFill="1" applyBorder="1" applyAlignment="1">
      <alignment vertical="center" wrapText="1"/>
    </xf>
    <xf numFmtId="0" fontId="0" fillId="3" borderId="53" xfId="0" applyFill="1" applyBorder="1" applyAlignment="1">
      <alignment horizontal="left" vertical="top" wrapText="1"/>
    </xf>
    <xf numFmtId="178" fontId="19" fillId="14" borderId="281" xfId="0" applyNumberFormat="1" applyFont="1" applyFill="1" applyBorder="1" applyAlignment="1">
      <alignment vertical="center" wrapText="1"/>
    </xf>
    <xf numFmtId="178" fontId="5" fillId="5" borderId="78" xfId="0" quotePrefix="1" applyNumberFormat="1" applyFont="1" applyFill="1" applyBorder="1" applyAlignment="1">
      <alignment vertical="top" wrapText="1"/>
    </xf>
    <xf numFmtId="178" fontId="5" fillId="5" borderId="37" xfId="0" quotePrefix="1" applyNumberFormat="1" applyFont="1" applyFill="1" applyBorder="1" applyAlignment="1">
      <alignment vertical="top" wrapText="1"/>
    </xf>
    <xf numFmtId="178" fontId="5" fillId="15" borderId="288" xfId="0" quotePrefix="1" applyNumberFormat="1" applyFont="1" applyFill="1" applyBorder="1" applyAlignment="1">
      <alignment vertical="center" wrapText="1"/>
    </xf>
    <xf numFmtId="178" fontId="5" fillId="14" borderId="43" xfId="0" quotePrefix="1" applyNumberFormat="1" applyFont="1" applyFill="1" applyBorder="1" applyAlignment="1">
      <alignment horizontal="left" vertical="center"/>
    </xf>
    <xf numFmtId="178" fontId="5" fillId="0" borderId="282" xfId="0" applyNumberFormat="1" applyFont="1" applyBorder="1" applyAlignment="1">
      <alignment vertical="center" wrapText="1"/>
    </xf>
    <xf numFmtId="0" fontId="5" fillId="3" borderId="57" xfId="0" applyFont="1" applyFill="1" applyBorder="1" applyAlignment="1">
      <alignment horizontal="left" vertical="top"/>
    </xf>
    <xf numFmtId="0" fontId="5" fillId="0" borderId="170" xfId="0" applyFont="1" applyBorder="1" applyAlignment="1">
      <alignment horizontal="center" vertical="top" wrapText="1"/>
    </xf>
    <xf numFmtId="3" fontId="32" fillId="0" borderId="38" xfId="0" applyNumberFormat="1" applyFont="1" applyBorder="1" applyAlignment="1">
      <alignment vertical="top" wrapText="1"/>
    </xf>
    <xf numFmtId="178" fontId="5" fillId="5" borderId="38" xfId="0" applyNumberFormat="1" applyFont="1" applyFill="1" applyBorder="1" applyAlignment="1">
      <alignment horizontal="center" vertical="center" wrapText="1"/>
    </xf>
    <xf numFmtId="178" fontId="5" fillId="5" borderId="220" xfId="0" applyNumberFormat="1" applyFont="1" applyFill="1" applyBorder="1" applyAlignment="1">
      <alignment horizontal="center" vertical="center" wrapText="1"/>
    </xf>
    <xf numFmtId="178" fontId="5" fillId="3" borderId="38" xfId="0" applyNumberFormat="1" applyFont="1" applyFill="1" applyBorder="1" applyAlignment="1">
      <alignment horizontal="center" vertical="center" wrapText="1"/>
    </xf>
    <xf numFmtId="178" fontId="5" fillId="3" borderId="220" xfId="0" applyNumberFormat="1" applyFont="1" applyFill="1" applyBorder="1" applyAlignment="1">
      <alignment horizontal="center" vertical="center" wrapText="1"/>
    </xf>
    <xf numFmtId="177" fontId="5" fillId="14" borderId="43" xfId="0" quotePrefix="1" applyNumberFormat="1" applyFont="1" applyFill="1" applyBorder="1" applyAlignment="1">
      <alignment horizontal="left" vertical="center"/>
    </xf>
    <xf numFmtId="178" fontId="5" fillId="19" borderId="38" xfId="0" applyNumberFormat="1" applyFont="1" applyFill="1" applyBorder="1" applyAlignment="1">
      <alignment horizontal="center" vertical="center" wrapText="1"/>
    </xf>
    <xf numFmtId="178" fontId="5" fillId="19" borderId="220" xfId="0" applyNumberFormat="1" applyFont="1" applyFill="1" applyBorder="1" applyAlignment="1">
      <alignment horizontal="center" vertical="center" wrapText="1"/>
    </xf>
    <xf numFmtId="3" fontId="32" fillId="0" borderId="74" xfId="0" applyNumberFormat="1" applyFont="1" applyBorder="1" applyAlignment="1">
      <alignment vertical="top" wrapText="1"/>
    </xf>
    <xf numFmtId="178" fontId="5" fillId="3" borderId="74" xfId="0" applyNumberFormat="1" applyFont="1" applyFill="1" applyBorder="1" applyAlignment="1">
      <alignment horizontal="center" vertical="center" wrapText="1"/>
    </xf>
    <xf numFmtId="178" fontId="5" fillId="3" borderId="236" xfId="0" applyNumberFormat="1" applyFont="1" applyFill="1" applyBorder="1" applyAlignment="1">
      <alignment horizontal="center" vertical="center" wrapText="1"/>
    </xf>
    <xf numFmtId="3" fontId="13" fillId="0" borderId="36" xfId="0" applyNumberFormat="1" applyFont="1" applyBorder="1" applyAlignment="1">
      <alignment vertical="center" wrapText="1"/>
    </xf>
    <xf numFmtId="3" fontId="13" fillId="4" borderId="77" xfId="0" applyNumberFormat="1" applyFont="1" applyFill="1" applyBorder="1" applyAlignment="1">
      <alignment vertical="center" wrapText="1"/>
    </xf>
    <xf numFmtId="0" fontId="5" fillId="0" borderId="287" xfId="0" applyFont="1" applyBorder="1" applyAlignment="1">
      <alignment vertical="center" wrapText="1"/>
    </xf>
    <xf numFmtId="178" fontId="5" fillId="5" borderId="38" xfId="0" applyNumberFormat="1" applyFont="1" applyFill="1" applyBorder="1" applyAlignment="1">
      <alignment vertical="top" wrapText="1"/>
    </xf>
    <xf numFmtId="178" fontId="5" fillId="0" borderId="45" xfId="0" applyNumberFormat="1" applyFont="1" applyBorder="1" applyAlignment="1">
      <alignment horizontal="left" vertical="center"/>
    </xf>
    <xf numFmtId="178" fontId="5" fillId="15" borderId="37" xfId="0" quotePrefix="1" applyNumberFormat="1" applyFont="1" applyFill="1" applyBorder="1" applyAlignment="1">
      <alignment vertical="top" wrapText="1"/>
    </xf>
    <xf numFmtId="178" fontId="13" fillId="15" borderId="288" xfId="0" quotePrefix="1" applyNumberFormat="1" applyFont="1" applyFill="1" applyBorder="1" applyAlignment="1">
      <alignment vertical="center" wrapText="1"/>
    </xf>
    <xf numFmtId="178" fontId="5" fillId="18" borderId="74" xfId="0" quotePrefix="1" applyNumberFormat="1" applyFont="1" applyFill="1" applyBorder="1" applyAlignment="1">
      <alignment vertical="center" wrapText="1"/>
    </xf>
    <xf numFmtId="178" fontId="5" fillId="15" borderId="74" xfId="0" quotePrefix="1" applyNumberFormat="1" applyFont="1" applyFill="1" applyBorder="1" applyAlignment="1">
      <alignment vertical="top" wrapText="1"/>
    </xf>
    <xf numFmtId="178" fontId="13" fillId="15" borderId="289" xfId="0" quotePrefix="1" applyNumberFormat="1" applyFont="1" applyFill="1" applyBorder="1" applyAlignment="1">
      <alignment vertical="center" wrapText="1"/>
    </xf>
    <xf numFmtId="178" fontId="5" fillId="3" borderId="287" xfId="0" applyNumberFormat="1" applyFont="1" applyFill="1" applyBorder="1" applyAlignment="1">
      <alignment vertical="center" wrapText="1"/>
    </xf>
    <xf numFmtId="178" fontId="13" fillId="21" borderId="43" xfId="0" applyNumberFormat="1" applyFont="1" applyFill="1" applyBorder="1" applyAlignment="1">
      <alignment vertical="center" wrapText="1"/>
    </xf>
    <xf numFmtId="178" fontId="5" fillId="0" borderId="282" xfId="0" applyNumberFormat="1" applyFont="1" applyBorder="1" applyAlignment="1">
      <alignment vertical="top" wrapText="1"/>
    </xf>
    <xf numFmtId="178" fontId="13" fillId="0" borderId="235" xfId="0" applyNumberFormat="1" applyFont="1" applyBorder="1" applyAlignment="1">
      <alignment vertical="center" wrapText="1"/>
    </xf>
    <xf numFmtId="178" fontId="13" fillId="0" borderId="53" xfId="0" applyNumberFormat="1" applyFont="1" applyBorder="1" applyAlignment="1">
      <alignment vertical="center" wrapText="1"/>
    </xf>
    <xf numFmtId="178" fontId="13" fillId="0" borderId="74" xfId="0" applyNumberFormat="1" applyFont="1" applyBorder="1" applyAlignment="1">
      <alignment vertical="center" wrapText="1"/>
    </xf>
    <xf numFmtId="178" fontId="5" fillId="0" borderId="289" xfId="0" applyNumberFormat="1" applyFont="1" applyBorder="1" applyAlignment="1">
      <alignment vertical="top" wrapText="1"/>
    </xf>
    <xf numFmtId="0" fontId="5" fillId="19" borderId="77" xfId="0" quotePrefix="1" applyFont="1" applyFill="1" applyBorder="1" applyAlignment="1">
      <alignment horizontal="left" vertical="center"/>
    </xf>
    <xf numFmtId="3" fontId="13" fillId="19" borderId="77" xfId="0" applyNumberFormat="1" applyFont="1" applyFill="1" applyBorder="1" applyAlignment="1">
      <alignment vertical="center" wrapText="1"/>
    </xf>
    <xf numFmtId="3" fontId="5" fillId="19" borderId="287" xfId="0" applyNumberFormat="1" applyFont="1" applyFill="1" applyBorder="1" applyAlignment="1">
      <alignment vertical="center" wrapText="1"/>
    </xf>
    <xf numFmtId="3" fontId="5" fillId="3" borderId="288" xfId="0" applyNumberFormat="1" applyFont="1" applyFill="1" applyBorder="1" applyAlignment="1">
      <alignment vertical="center" wrapText="1"/>
    </xf>
    <xf numFmtId="3" fontId="5" fillId="14" borderId="38" xfId="0" applyNumberFormat="1" applyFont="1" applyFill="1" applyBorder="1" applyAlignment="1">
      <alignment vertical="top" wrapText="1"/>
    </xf>
    <xf numFmtId="3" fontId="5" fillId="19" borderId="38" xfId="0" applyNumberFormat="1" applyFont="1" applyFill="1" applyBorder="1" applyAlignment="1">
      <alignment vertical="top" wrapText="1"/>
    </xf>
    <xf numFmtId="9" fontId="5" fillId="4" borderId="38" xfId="8" applyFont="1" applyFill="1" applyBorder="1" applyAlignment="1">
      <alignment vertical="center" wrapText="1"/>
    </xf>
    <xf numFmtId="3" fontId="5" fillId="0" borderId="282" xfId="0" applyNumberFormat="1" applyFont="1" applyBorder="1" applyAlignment="1">
      <alignment vertical="center" wrapText="1"/>
    </xf>
    <xf numFmtId="0" fontId="5" fillId="19" borderId="43" xfId="0" applyFont="1" applyFill="1" applyBorder="1" applyAlignment="1">
      <alignment horizontal="left" vertical="center"/>
    </xf>
    <xf numFmtId="0" fontId="21" fillId="0" borderId="0" xfId="0" applyFont="1" applyAlignment="1">
      <alignment horizontal="left" vertical="center"/>
    </xf>
    <xf numFmtId="0" fontId="21" fillId="0" borderId="57" xfId="0" applyFont="1" applyBorder="1" applyAlignment="1">
      <alignment horizontal="left" vertical="top" wrapText="1"/>
    </xf>
    <xf numFmtId="0" fontId="21" fillId="0" borderId="54" xfId="0" applyFont="1" applyBorder="1" applyAlignment="1">
      <alignment horizontal="left" vertical="top" wrapText="1"/>
    </xf>
    <xf numFmtId="0" fontId="21" fillId="0" borderId="37" xfId="0" applyFont="1" applyBorder="1" applyAlignment="1">
      <alignment horizontal="left" vertical="top" wrapText="1"/>
    </xf>
    <xf numFmtId="0" fontId="21" fillId="0" borderId="80" xfId="0" applyFont="1" applyBorder="1" applyAlignment="1">
      <alignment horizontal="left" vertical="top" wrapText="1"/>
    </xf>
    <xf numFmtId="3" fontId="13" fillId="0" borderId="45" xfId="0" applyNumberFormat="1" applyFont="1" applyBorder="1" applyAlignment="1">
      <alignment vertical="top" wrapText="1"/>
    </xf>
    <xf numFmtId="3" fontId="13" fillId="15" borderId="219" xfId="0" applyNumberFormat="1" applyFont="1" applyFill="1" applyBorder="1" applyAlignment="1">
      <alignment horizontal="center" vertical="center" wrapText="1"/>
    </xf>
    <xf numFmtId="3" fontId="13" fillId="15" borderId="38" xfId="0" applyNumberFormat="1" applyFont="1" applyFill="1" applyBorder="1" applyAlignment="1">
      <alignment horizontal="center" vertical="center" wrapText="1"/>
    </xf>
    <xf numFmtId="3" fontId="13" fillId="15" borderId="43" xfId="0" applyNumberFormat="1" applyFont="1" applyFill="1" applyBorder="1" applyAlignment="1">
      <alignment vertical="center" wrapText="1"/>
    </xf>
    <xf numFmtId="3" fontId="13" fillId="0" borderId="57" xfId="0" applyNumberFormat="1" applyFont="1" applyBorder="1" applyAlignment="1">
      <alignment vertical="center" wrapText="1"/>
    </xf>
    <xf numFmtId="3" fontId="13" fillId="15" borderId="52" xfId="0" applyNumberFormat="1" applyFont="1" applyFill="1" applyBorder="1" applyAlignment="1">
      <alignment vertical="center" wrapText="1"/>
    </xf>
    <xf numFmtId="3" fontId="13" fillId="14" borderId="52" xfId="0" applyNumberFormat="1" applyFont="1" applyFill="1" applyBorder="1" applyAlignment="1">
      <alignment vertical="center" wrapText="1"/>
    </xf>
    <xf numFmtId="0" fontId="5" fillId="19" borderId="283" xfId="0" applyFont="1" applyFill="1" applyBorder="1" applyAlignment="1">
      <alignment vertical="center" wrapText="1"/>
    </xf>
    <xf numFmtId="3" fontId="13" fillId="0" borderId="80" xfId="0" applyNumberFormat="1" applyFont="1" applyBorder="1" applyAlignment="1">
      <alignment vertical="center" wrapText="1"/>
    </xf>
    <xf numFmtId="3" fontId="13" fillId="45" borderId="229" xfId="0" applyNumberFormat="1" applyFont="1" applyFill="1" applyBorder="1" applyAlignment="1">
      <alignment vertical="center" wrapText="1"/>
    </xf>
    <xf numFmtId="0" fontId="5" fillId="21" borderId="37" xfId="0" applyFont="1" applyFill="1" applyBorder="1" applyAlignment="1">
      <alignment vertical="top" wrapText="1"/>
    </xf>
    <xf numFmtId="3" fontId="13" fillId="45" borderId="37" xfId="0" applyNumberFormat="1" applyFont="1" applyFill="1" applyBorder="1" applyAlignment="1">
      <alignment vertical="center" wrapText="1"/>
    </xf>
    <xf numFmtId="3" fontId="13" fillId="21" borderId="34" xfId="0" applyNumberFormat="1" applyFont="1" applyFill="1" applyBorder="1" applyAlignment="1">
      <alignment vertical="center" wrapText="1"/>
    </xf>
    <xf numFmtId="0" fontId="5" fillId="3" borderId="282" xfId="0" applyFont="1" applyFill="1" applyBorder="1" applyAlignment="1">
      <alignment vertical="top" wrapText="1"/>
    </xf>
    <xf numFmtId="4" fontId="21" fillId="3" borderId="282" xfId="0" applyNumberFormat="1" applyFont="1" applyFill="1" applyBorder="1" applyAlignment="1">
      <alignment vertical="top" wrapText="1"/>
    </xf>
    <xf numFmtId="3" fontId="21" fillId="3" borderId="282" xfId="0" applyNumberFormat="1" applyFont="1" applyFill="1" applyBorder="1" applyAlignment="1">
      <alignment vertical="top" wrapText="1"/>
    </xf>
    <xf numFmtId="3" fontId="21" fillId="0" borderId="45" xfId="0" applyNumberFormat="1" applyFont="1" applyBorder="1" applyAlignment="1">
      <alignment horizontal="right" vertical="center" wrapText="1"/>
    </xf>
    <xf numFmtId="3" fontId="21" fillId="3" borderId="282" xfId="0" applyNumberFormat="1" applyFont="1" applyFill="1" applyBorder="1" applyAlignment="1">
      <alignment horizontal="center" vertical="top" wrapText="1"/>
    </xf>
    <xf numFmtId="0" fontId="5" fillId="3" borderId="288" xfId="0" applyFont="1" applyFill="1" applyBorder="1" applyAlignment="1">
      <alignment vertical="center" wrapText="1"/>
    </xf>
    <xf numFmtId="0" fontId="15" fillId="14" borderId="217" xfId="0" applyFont="1" applyFill="1" applyBorder="1">
      <alignment vertical="center"/>
    </xf>
    <xf numFmtId="0" fontId="15" fillId="14" borderId="218" xfId="0" applyFont="1" applyFill="1" applyBorder="1">
      <alignment vertical="center"/>
    </xf>
    <xf numFmtId="177" fontId="5" fillId="14" borderId="77" xfId="0" quotePrefix="1" applyNumberFormat="1" applyFont="1" applyFill="1" applyBorder="1" applyAlignment="1">
      <alignment horizontal="right" vertical="center"/>
    </xf>
    <xf numFmtId="0" fontId="5" fillId="19" borderId="287" xfId="0" applyFont="1" applyFill="1" applyBorder="1" applyAlignment="1">
      <alignment horizontal="right" vertical="center" wrapText="1"/>
    </xf>
    <xf numFmtId="0" fontId="5" fillId="19" borderId="36" xfId="0" applyFont="1" applyFill="1" applyBorder="1" applyAlignment="1">
      <alignment horizontal="left" vertical="top" wrapText="1"/>
    </xf>
    <xf numFmtId="40" fontId="22" fillId="25" borderId="37" xfId="0" quotePrefix="1" applyNumberFormat="1" applyFont="1" applyFill="1" applyBorder="1" applyAlignment="1">
      <alignment horizontal="right" vertical="center" wrapText="1"/>
    </xf>
    <xf numFmtId="40" fontId="22" fillId="25" borderId="37" xfId="0" quotePrefix="1" applyNumberFormat="1" applyFont="1" applyFill="1" applyBorder="1" applyAlignment="1">
      <alignment horizontal="right" vertical="top" wrapText="1"/>
    </xf>
    <xf numFmtId="177" fontId="5" fillId="15" borderId="229" xfId="0" quotePrefix="1" applyNumberFormat="1" applyFont="1" applyFill="1" applyBorder="1" applyAlignment="1">
      <alignment horizontal="right" vertical="center"/>
    </xf>
    <xf numFmtId="177" fontId="5" fillId="15" borderId="37" xfId="0" quotePrefix="1" applyNumberFormat="1" applyFont="1" applyFill="1" applyBorder="1" applyAlignment="1">
      <alignment horizontal="right" vertical="center"/>
    </xf>
    <xf numFmtId="177" fontId="5" fillId="15" borderId="230" xfId="0" quotePrefix="1" applyNumberFormat="1" applyFont="1" applyFill="1" applyBorder="1" applyAlignment="1">
      <alignment horizontal="right" vertical="center"/>
    </xf>
    <xf numFmtId="177" fontId="5" fillId="15" borderId="80" xfId="0" quotePrefix="1" applyNumberFormat="1" applyFont="1" applyFill="1" applyBorder="1" applyAlignment="1">
      <alignment horizontal="right" vertical="center"/>
    </xf>
    <xf numFmtId="0" fontId="5" fillId="3" borderId="288" xfId="0" applyFont="1" applyFill="1" applyBorder="1" applyAlignment="1">
      <alignment horizontal="right" vertical="center" wrapText="1"/>
    </xf>
    <xf numFmtId="40" fontId="22" fillId="25" borderId="38" xfId="0" quotePrefix="1" applyNumberFormat="1" applyFont="1" applyFill="1" applyBorder="1" applyAlignment="1">
      <alignment horizontal="right" vertical="top" wrapText="1"/>
    </xf>
    <xf numFmtId="177" fontId="5" fillId="15" borderId="219" xfId="0" quotePrefix="1" applyNumberFormat="1" applyFont="1" applyFill="1" applyBorder="1" applyAlignment="1">
      <alignment horizontal="right" vertical="center"/>
    </xf>
    <xf numFmtId="177" fontId="5" fillId="15" borderId="220" xfId="0" quotePrefix="1" applyNumberFormat="1" applyFont="1" applyFill="1" applyBorder="1" applyAlignment="1">
      <alignment horizontal="right" vertical="center"/>
    </xf>
    <xf numFmtId="177" fontId="5" fillId="15" borderId="45" xfId="0" quotePrefix="1" applyNumberFormat="1" applyFont="1" applyFill="1" applyBorder="1" applyAlignment="1">
      <alignment horizontal="right" vertical="center"/>
    </xf>
    <xf numFmtId="0" fontId="5" fillId="3" borderId="282" xfId="0" applyFont="1" applyFill="1" applyBorder="1" applyAlignment="1">
      <alignment horizontal="right" vertical="center" wrapText="1"/>
    </xf>
    <xf numFmtId="3" fontId="5" fillId="15" borderId="38" xfId="0" applyNumberFormat="1" applyFont="1" applyFill="1" applyBorder="1" applyAlignment="1">
      <alignment horizontal="right" vertical="top" wrapText="1"/>
    </xf>
    <xf numFmtId="0" fontId="5" fillId="3" borderId="45" xfId="0" applyFont="1" applyFill="1" applyBorder="1" applyAlignment="1">
      <alignment horizontal="right" vertical="center"/>
    </xf>
    <xf numFmtId="0" fontId="5" fillId="3" borderId="43" xfId="0" applyFont="1" applyFill="1" applyBorder="1" applyAlignment="1">
      <alignment horizontal="right" vertical="top" wrapText="1"/>
    </xf>
    <xf numFmtId="4" fontId="13" fillId="4" borderId="43" xfId="0" applyNumberFormat="1" applyFont="1" applyFill="1" applyBorder="1" applyAlignment="1">
      <alignment horizontal="right" vertical="center" wrapText="1"/>
    </xf>
    <xf numFmtId="4" fontId="21" fillId="3" borderId="282" xfId="0" applyNumberFormat="1" applyFont="1" applyFill="1" applyBorder="1" applyAlignment="1">
      <alignment horizontal="right" vertical="center" wrapText="1"/>
    </xf>
    <xf numFmtId="3" fontId="21" fillId="3" borderId="282" xfId="0" applyNumberFormat="1" applyFont="1" applyFill="1" applyBorder="1" applyAlignment="1">
      <alignment horizontal="right" vertical="top" wrapText="1"/>
    </xf>
    <xf numFmtId="0" fontId="5" fillId="0" borderId="219" xfId="0" applyFont="1" applyBorder="1" applyAlignment="1">
      <alignment horizontal="right" vertical="center"/>
    </xf>
    <xf numFmtId="0" fontId="5" fillId="0" borderId="220" xfId="0" applyFont="1" applyBorder="1" applyAlignment="1">
      <alignment horizontal="right" vertical="center"/>
    </xf>
    <xf numFmtId="0" fontId="5" fillId="0" borderId="45" xfId="0" applyFont="1" applyBorder="1" applyAlignment="1">
      <alignment horizontal="right" vertical="center"/>
    </xf>
    <xf numFmtId="3" fontId="21" fillId="3" borderId="43" xfId="0" applyNumberFormat="1" applyFont="1" applyFill="1" applyBorder="1" applyAlignment="1">
      <alignment horizontal="right" vertical="center" wrapText="1"/>
    </xf>
    <xf numFmtId="3" fontId="13" fillId="4" borderId="167" xfId="0" applyNumberFormat="1" applyFont="1" applyFill="1" applyBorder="1" applyAlignment="1">
      <alignment horizontal="right" vertical="center" wrapText="1"/>
    </xf>
    <xf numFmtId="3" fontId="13" fillId="4" borderId="41" xfId="0" applyNumberFormat="1" applyFont="1" applyFill="1" applyBorder="1" applyAlignment="1">
      <alignment horizontal="right" vertical="center" wrapText="1"/>
    </xf>
    <xf numFmtId="3" fontId="21" fillId="3" borderId="282" xfId="0" applyNumberFormat="1" applyFont="1" applyFill="1" applyBorder="1" applyAlignment="1">
      <alignment horizontal="right" vertical="center" wrapText="1"/>
    </xf>
    <xf numFmtId="3" fontId="5" fillId="15" borderId="54" xfId="0" applyNumberFormat="1" applyFont="1" applyFill="1" applyBorder="1" applyAlignment="1">
      <alignment horizontal="right" vertical="top" wrapText="1"/>
    </xf>
    <xf numFmtId="0" fontId="5" fillId="3" borderId="221" xfId="0" applyFont="1" applyFill="1" applyBorder="1" applyAlignment="1">
      <alignment horizontal="right" vertical="center"/>
    </xf>
    <xf numFmtId="0" fontId="5" fillId="3" borderId="54" xfId="0" applyFont="1" applyFill="1" applyBorder="1" applyAlignment="1">
      <alignment horizontal="right" vertical="center"/>
    </xf>
    <xf numFmtId="0" fontId="5" fillId="3" borderId="222" xfId="0" applyFont="1" applyFill="1" applyBorder="1" applyAlignment="1">
      <alignment horizontal="right" vertical="center"/>
    </xf>
    <xf numFmtId="0" fontId="5" fillId="3" borderId="57" xfId="0" applyFont="1" applyFill="1" applyBorder="1" applyAlignment="1">
      <alignment horizontal="right" vertical="center"/>
    </xf>
    <xf numFmtId="0" fontId="5" fillId="3" borderId="283" xfId="0" applyFont="1" applyFill="1" applyBorder="1" applyAlignment="1">
      <alignment horizontal="right" vertical="center" wrapText="1"/>
    </xf>
    <xf numFmtId="186" fontId="5" fillId="3" borderId="38" xfId="0" applyNumberFormat="1" applyFont="1" applyFill="1" applyBorder="1" applyAlignment="1">
      <alignment horizontal="right" vertical="top" wrapText="1"/>
    </xf>
    <xf numFmtId="0" fontId="19" fillId="14" borderId="281" xfId="0" applyFont="1" applyFill="1" applyBorder="1" applyAlignment="1">
      <alignment horizontal="right" vertical="center" wrapText="1"/>
    </xf>
    <xf numFmtId="185" fontId="5" fillId="3" borderId="78" xfId="0" applyNumberFormat="1" applyFont="1" applyFill="1" applyBorder="1" applyAlignment="1">
      <alignment horizontal="right" vertical="top" wrapText="1"/>
    </xf>
    <xf numFmtId="185" fontId="13" fillId="4" borderId="77" xfId="0" applyNumberFormat="1" applyFont="1" applyFill="1" applyBorder="1" applyAlignment="1">
      <alignment horizontal="right" vertical="center" wrapText="1"/>
    </xf>
    <xf numFmtId="185" fontId="5" fillId="0" borderId="287" xfId="0" applyNumberFormat="1" applyFont="1" applyBorder="1" applyAlignment="1">
      <alignment horizontal="right" vertical="center" wrapText="1"/>
    </xf>
    <xf numFmtId="0" fontId="5" fillId="4" borderId="37" xfId="0" applyFont="1" applyFill="1" applyBorder="1" applyAlignment="1">
      <alignment horizontal="right" vertical="center" wrapText="1"/>
    </xf>
    <xf numFmtId="185" fontId="5" fillId="0" borderId="288" xfId="0" applyNumberFormat="1" applyFont="1" applyBorder="1" applyAlignment="1">
      <alignment horizontal="right" vertical="center" wrapText="1"/>
    </xf>
    <xf numFmtId="185" fontId="5" fillId="3" borderId="38" xfId="0" applyNumberFormat="1" applyFont="1" applyFill="1" applyBorder="1" applyAlignment="1">
      <alignment horizontal="right" vertical="top" wrapText="1"/>
    </xf>
    <xf numFmtId="185" fontId="5" fillId="0" borderId="38" xfId="0" applyNumberFormat="1" applyFont="1" applyBorder="1" applyAlignment="1">
      <alignment horizontal="right" vertical="top" wrapText="1"/>
    </xf>
    <xf numFmtId="185" fontId="13" fillId="4" borderId="43" xfId="0" applyNumberFormat="1" applyFont="1" applyFill="1" applyBorder="1" applyAlignment="1">
      <alignment horizontal="right" vertical="center" wrapText="1"/>
    </xf>
    <xf numFmtId="185" fontId="5" fillId="3" borderId="282" xfId="0" applyNumberFormat="1" applyFont="1" applyFill="1" applyBorder="1" applyAlignment="1">
      <alignment horizontal="right" vertical="center" wrapText="1"/>
    </xf>
    <xf numFmtId="0" fontId="5" fillId="19" borderId="282" xfId="0" applyFont="1" applyFill="1" applyBorder="1" applyAlignment="1">
      <alignment horizontal="right" vertical="center" wrapText="1"/>
    </xf>
    <xf numFmtId="0" fontId="11" fillId="3" borderId="38" xfId="0" applyFont="1" applyFill="1" applyBorder="1" applyAlignment="1">
      <alignment vertical="center" wrapText="1"/>
    </xf>
    <xf numFmtId="0" fontId="5" fillId="0" borderId="189" xfId="0" applyFont="1" applyBorder="1">
      <alignment vertical="center"/>
    </xf>
    <xf numFmtId="3" fontId="13" fillId="4" borderId="95" xfId="0" applyNumberFormat="1" applyFont="1" applyFill="1" applyBorder="1" applyAlignment="1">
      <alignment horizontal="right" vertical="center" wrapText="1"/>
    </xf>
    <xf numFmtId="3" fontId="13" fillId="4" borderId="73" xfId="0" applyNumberFormat="1" applyFont="1" applyFill="1" applyBorder="1" applyAlignment="1">
      <alignment horizontal="right" vertical="center" wrapText="1"/>
    </xf>
    <xf numFmtId="3" fontId="13" fillId="4" borderId="224" xfId="0" applyNumberFormat="1" applyFont="1" applyFill="1" applyBorder="1" applyAlignment="1">
      <alignment horizontal="right" vertical="center" wrapText="1"/>
    </xf>
    <xf numFmtId="3" fontId="13" fillId="4" borderId="223" xfId="0" applyNumberFormat="1" applyFont="1" applyFill="1" applyBorder="1" applyAlignment="1">
      <alignment horizontal="right" vertical="center" wrapText="1"/>
    </xf>
    <xf numFmtId="0" fontId="5" fillId="0" borderId="73" xfId="0" applyFont="1" applyBorder="1" applyAlignment="1">
      <alignment horizontal="right" vertical="center" wrapText="1"/>
    </xf>
    <xf numFmtId="0" fontId="5" fillId="0" borderId="284" xfId="0" applyFont="1" applyBorder="1" applyAlignment="1">
      <alignment horizontal="right" vertical="center" wrapText="1"/>
    </xf>
    <xf numFmtId="0" fontId="5" fillId="0" borderId="73" xfId="0" applyFont="1" applyBorder="1" applyAlignment="1">
      <alignment horizontal="right" vertical="top" wrapText="1"/>
    </xf>
    <xf numFmtId="0" fontId="5" fillId="19" borderId="170" xfId="0" applyFont="1" applyFill="1" applyBorder="1">
      <alignment vertical="center"/>
    </xf>
    <xf numFmtId="0" fontId="5" fillId="0" borderId="292" xfId="0" applyFont="1" applyBorder="1">
      <alignment vertical="center"/>
    </xf>
    <xf numFmtId="0" fontId="10" fillId="12" borderId="291" xfId="0" applyFont="1" applyFill="1" applyBorder="1" applyAlignment="1">
      <alignment horizontal="right" vertical="center" wrapText="1"/>
    </xf>
    <xf numFmtId="0" fontId="5" fillId="19" borderId="34" xfId="0" applyFont="1" applyFill="1" applyBorder="1" applyAlignment="1">
      <alignment horizontal="right" vertical="center"/>
    </xf>
    <xf numFmtId="0" fontId="5" fillId="19" borderId="80" xfId="0" applyFont="1" applyFill="1" applyBorder="1" applyAlignment="1">
      <alignment horizontal="right" vertical="center"/>
    </xf>
    <xf numFmtId="178" fontId="21" fillId="3" borderId="37" xfId="0" applyNumberFormat="1" applyFont="1" applyFill="1" applyBorder="1" applyAlignment="1">
      <alignment vertical="center" wrapText="1"/>
    </xf>
    <xf numFmtId="178" fontId="21" fillId="3" borderId="37" xfId="0" applyNumberFormat="1" applyFont="1" applyFill="1" applyBorder="1" applyAlignment="1">
      <alignment vertical="top" wrapText="1"/>
    </xf>
    <xf numFmtId="178" fontId="21" fillId="0" borderId="37" xfId="0" applyNumberFormat="1" applyFont="1" applyBorder="1" applyAlignment="1">
      <alignment vertical="top" wrapText="1"/>
    </xf>
    <xf numFmtId="178" fontId="5" fillId="3" borderId="288" xfId="0" applyNumberFormat="1" applyFont="1" applyFill="1" applyBorder="1" applyAlignment="1">
      <alignment vertical="center" wrapText="1"/>
    </xf>
    <xf numFmtId="178" fontId="5" fillId="19" borderId="43" xfId="0" applyNumberFormat="1" applyFont="1" applyFill="1" applyBorder="1" applyAlignment="1">
      <alignment vertical="center" wrapText="1"/>
    </xf>
    <xf numFmtId="178" fontId="21" fillId="3" borderId="74" xfId="0" applyNumberFormat="1" applyFont="1" applyFill="1" applyBorder="1" applyAlignment="1">
      <alignment vertical="center" wrapText="1"/>
    </xf>
    <xf numFmtId="0" fontId="5" fillId="19" borderId="52" xfId="0" applyFont="1" applyFill="1" applyBorder="1" applyAlignment="1">
      <alignment horizontal="right" vertical="center"/>
    </xf>
    <xf numFmtId="0" fontId="5" fillId="19" borderId="57" xfId="0" applyFont="1" applyFill="1" applyBorder="1" applyAlignment="1">
      <alignment horizontal="right" vertical="center"/>
    </xf>
    <xf numFmtId="0" fontId="5" fillId="19" borderId="280" xfId="0" applyFont="1" applyFill="1" applyBorder="1" applyAlignment="1">
      <alignment horizontal="right" vertical="center" wrapText="1"/>
    </xf>
    <xf numFmtId="185" fontId="21" fillId="3" borderId="38" xfId="0" applyNumberFormat="1" applyFont="1" applyFill="1" applyBorder="1" applyAlignment="1">
      <alignment vertical="center" wrapText="1"/>
    </xf>
    <xf numFmtId="185" fontId="21" fillId="3" borderId="38" xfId="0" applyNumberFormat="1" applyFont="1" applyFill="1" applyBorder="1" applyAlignment="1">
      <alignment vertical="top" wrapText="1"/>
    </xf>
    <xf numFmtId="185" fontId="5" fillId="0" borderId="38" xfId="0" applyNumberFormat="1" applyFont="1" applyBorder="1" applyAlignment="1">
      <alignment vertical="top" wrapText="1"/>
    </xf>
    <xf numFmtId="178" fontId="21" fillId="3" borderId="54" xfId="0" applyNumberFormat="1" applyFont="1" applyFill="1" applyBorder="1" applyAlignment="1">
      <alignment vertical="center" wrapText="1"/>
    </xf>
    <xf numFmtId="178" fontId="21" fillId="3" borderId="54" xfId="0" applyNumberFormat="1" applyFont="1" applyFill="1" applyBorder="1" applyAlignment="1">
      <alignment vertical="top" wrapText="1"/>
    </xf>
    <xf numFmtId="178" fontId="21" fillId="0" borderId="54" xfId="0" applyNumberFormat="1" applyFont="1" applyBorder="1" applyAlignment="1">
      <alignment vertical="top" wrapText="1"/>
    </xf>
    <xf numFmtId="178" fontId="5" fillId="3" borderId="283" xfId="0" applyNumberFormat="1" applyFont="1" applyFill="1" applyBorder="1" applyAlignment="1">
      <alignment vertical="center" wrapText="1"/>
    </xf>
    <xf numFmtId="178" fontId="5" fillId="3" borderId="74" xfId="0" applyNumberFormat="1" applyFont="1" applyFill="1" applyBorder="1" applyAlignment="1">
      <alignment horizontal="left" vertical="top" wrapText="1"/>
    </xf>
    <xf numFmtId="0" fontId="19" fillId="14" borderId="286" xfId="0" applyFont="1" applyFill="1" applyBorder="1" applyAlignment="1">
      <alignment horizontal="right" vertical="center" wrapText="1"/>
    </xf>
    <xf numFmtId="0" fontId="5" fillId="19" borderId="66" xfId="0" applyFont="1" applyFill="1" applyBorder="1" applyAlignment="1">
      <alignment horizontal="center" vertical="center"/>
    </xf>
    <xf numFmtId="0" fontId="5" fillId="19" borderId="63" xfId="0" applyFont="1" applyFill="1" applyBorder="1" applyAlignment="1">
      <alignment horizontal="center" vertical="center"/>
    </xf>
    <xf numFmtId="178" fontId="5" fillId="3" borderId="37" xfId="0" applyNumberFormat="1" applyFont="1" applyFill="1" applyBorder="1" applyAlignment="1">
      <alignment horizontal="right" vertical="top" wrapText="1"/>
    </xf>
    <xf numFmtId="178" fontId="5" fillId="0" borderId="288" xfId="0" applyNumberFormat="1" applyFont="1" applyBorder="1" applyAlignment="1">
      <alignment horizontal="right" vertical="center" wrapText="1"/>
    </xf>
    <xf numFmtId="178" fontId="5" fillId="3" borderId="54" xfId="0" applyNumberFormat="1" applyFont="1" applyFill="1" applyBorder="1" applyAlignment="1">
      <alignment horizontal="right" vertical="top" wrapText="1"/>
    </xf>
    <xf numFmtId="178" fontId="5" fillId="0" borderId="283" xfId="0" applyNumberFormat="1" applyFont="1" applyBorder="1" applyAlignment="1">
      <alignment horizontal="right" vertical="center" wrapText="1"/>
    </xf>
    <xf numFmtId="0" fontId="5" fillId="0" borderId="289" xfId="0" applyFont="1" applyBorder="1" applyAlignment="1">
      <alignment horizontal="right" vertical="center" wrapText="1"/>
    </xf>
    <xf numFmtId="185" fontId="11" fillId="5" borderId="78" xfId="0" applyNumberFormat="1" applyFont="1" applyFill="1" applyBorder="1" applyAlignment="1">
      <alignment horizontal="right" vertical="top" wrapText="1"/>
    </xf>
    <xf numFmtId="185" fontId="5" fillId="0" borderId="289" xfId="0" applyNumberFormat="1" applyFont="1" applyBorder="1" applyAlignment="1">
      <alignment horizontal="right" vertical="center" wrapText="1"/>
    </xf>
    <xf numFmtId="185" fontId="20" fillId="5" borderId="38" xfId="0" applyNumberFormat="1" applyFont="1" applyFill="1" applyBorder="1" applyAlignment="1">
      <alignment horizontal="right" vertical="top" wrapText="1"/>
    </xf>
    <xf numFmtId="185" fontId="20" fillId="3" borderId="282" xfId="0" applyNumberFormat="1" applyFont="1" applyFill="1" applyBorder="1" applyAlignment="1">
      <alignment horizontal="right" vertical="center" wrapText="1"/>
    </xf>
    <xf numFmtId="178" fontId="21" fillId="3" borderId="282" xfId="0" applyNumberFormat="1" applyFont="1" applyFill="1" applyBorder="1" applyAlignment="1">
      <alignment horizontal="right" vertical="center" wrapText="1"/>
    </xf>
    <xf numFmtId="185" fontId="20" fillId="5" borderId="37" xfId="0" applyNumberFormat="1" applyFont="1" applyFill="1" applyBorder="1" applyAlignment="1">
      <alignment horizontal="right" vertical="top" wrapText="1"/>
    </xf>
    <xf numFmtId="185" fontId="20" fillId="3" borderId="288" xfId="0" applyNumberFormat="1" applyFont="1" applyFill="1" applyBorder="1" applyAlignment="1">
      <alignment horizontal="right" vertical="center" wrapText="1"/>
    </xf>
    <xf numFmtId="178" fontId="5" fillId="3" borderId="283" xfId="0" applyNumberFormat="1" applyFont="1" applyFill="1" applyBorder="1" applyAlignment="1">
      <alignment horizontal="right" vertical="center" wrapText="1"/>
    </xf>
    <xf numFmtId="178" fontId="5" fillId="3" borderId="42" xfId="0" applyNumberFormat="1" applyFont="1" applyFill="1" applyBorder="1" applyAlignment="1">
      <alignment horizontal="right" vertical="center" wrapText="1"/>
    </xf>
    <xf numFmtId="178" fontId="5" fillId="3" borderId="74" xfId="0" applyNumberFormat="1" applyFont="1" applyFill="1" applyBorder="1" applyAlignment="1">
      <alignment horizontal="right" vertical="top" wrapText="1"/>
    </xf>
    <xf numFmtId="178" fontId="5" fillId="3" borderId="289" xfId="0" applyNumberFormat="1" applyFont="1" applyFill="1" applyBorder="1" applyAlignment="1">
      <alignment horizontal="right" vertical="center" wrapText="1"/>
    </xf>
    <xf numFmtId="178" fontId="11" fillId="5" borderId="78" xfId="0" applyNumberFormat="1" applyFont="1" applyFill="1" applyBorder="1" applyAlignment="1">
      <alignment horizontal="right" vertical="top" wrapText="1"/>
    </xf>
    <xf numFmtId="178" fontId="5" fillId="0" borderId="287" xfId="0" applyNumberFormat="1" applyFont="1" applyBorder="1" applyAlignment="1">
      <alignment horizontal="right" vertical="center" wrapText="1"/>
    </xf>
    <xf numFmtId="178" fontId="20" fillId="5" borderId="38" xfId="0" applyNumberFormat="1" applyFont="1" applyFill="1" applyBorder="1" applyAlignment="1">
      <alignment horizontal="right" vertical="top" wrapText="1"/>
    </xf>
    <xf numFmtId="178" fontId="20" fillId="3" borderId="282" xfId="0" applyNumberFormat="1" applyFont="1" applyFill="1" applyBorder="1" applyAlignment="1">
      <alignment horizontal="right" vertical="center" wrapText="1"/>
    </xf>
    <xf numFmtId="178" fontId="21" fillId="3" borderId="282" xfId="0" applyNumberFormat="1" applyFont="1" applyFill="1" applyBorder="1" applyAlignment="1">
      <alignment horizontal="right" vertical="top" wrapText="1"/>
    </xf>
    <xf numFmtId="0" fontId="5" fillId="19" borderId="287" xfId="0" applyFont="1" applyFill="1" applyBorder="1" applyAlignment="1">
      <alignment horizontal="right" vertical="top" wrapText="1"/>
    </xf>
    <xf numFmtId="0" fontId="5" fillId="21" borderId="189" xfId="0" applyFont="1" applyFill="1" applyBorder="1" applyAlignment="1">
      <alignment vertical="top" wrapText="1"/>
    </xf>
    <xf numFmtId="178" fontId="13" fillId="0" borderId="229" xfId="0" applyNumberFormat="1" applyFont="1" applyBorder="1" applyAlignment="1">
      <alignment horizontal="right" vertical="center" wrapText="1"/>
    </xf>
    <xf numFmtId="178" fontId="13" fillId="0" borderId="80" xfId="0" applyNumberFormat="1" applyFont="1" applyBorder="1" applyAlignment="1">
      <alignment horizontal="right" vertical="center" wrapText="1"/>
    </xf>
    <xf numFmtId="178" fontId="13" fillId="0" borderId="37" xfId="0" applyNumberFormat="1" applyFont="1" applyBorder="1" applyAlignment="1">
      <alignment horizontal="right" vertical="center" wrapText="1"/>
    </xf>
    <xf numFmtId="178" fontId="13" fillId="21" borderId="34" xfId="0" applyNumberFormat="1" applyFont="1" applyFill="1" applyBorder="1" applyAlignment="1">
      <alignment horizontal="right" vertical="center" wrapText="1"/>
    </xf>
    <xf numFmtId="178" fontId="5" fillId="21" borderId="288" xfId="0" applyNumberFormat="1" applyFont="1" applyFill="1" applyBorder="1" applyAlignment="1">
      <alignment horizontal="right" vertical="top" wrapText="1"/>
    </xf>
    <xf numFmtId="0" fontId="5" fillId="21" borderId="172" xfId="0" applyFont="1" applyFill="1" applyBorder="1" applyAlignment="1">
      <alignment vertical="top" wrapText="1"/>
    </xf>
    <xf numFmtId="178" fontId="13" fillId="0" borderId="219" xfId="0" applyNumberFormat="1" applyFont="1" applyBorder="1" applyAlignment="1">
      <alignment horizontal="right" vertical="center" wrapText="1"/>
    </xf>
    <xf numFmtId="178" fontId="13" fillId="0" borderId="45" xfId="0" applyNumberFormat="1" applyFont="1" applyBorder="1" applyAlignment="1">
      <alignment horizontal="right" vertical="center" wrapText="1"/>
    </xf>
    <xf numFmtId="178" fontId="13" fillId="0" borderId="38" xfId="0" applyNumberFormat="1" applyFont="1" applyBorder="1" applyAlignment="1">
      <alignment horizontal="right" vertical="center" wrapText="1"/>
    </xf>
    <xf numFmtId="178" fontId="13" fillId="21" borderId="43" xfId="0" applyNumberFormat="1" applyFont="1" applyFill="1" applyBorder="1" applyAlignment="1">
      <alignment horizontal="right" vertical="center" wrapText="1"/>
    </xf>
    <xf numFmtId="178" fontId="5" fillId="21" borderId="282" xfId="0" applyNumberFormat="1" applyFont="1" applyFill="1" applyBorder="1" applyAlignment="1">
      <alignment horizontal="right" vertical="top" wrapText="1"/>
    </xf>
    <xf numFmtId="0" fontId="5" fillId="19" borderId="282" xfId="0" applyFont="1" applyFill="1" applyBorder="1" applyAlignment="1">
      <alignment horizontal="right" vertical="center"/>
    </xf>
    <xf numFmtId="0" fontId="57" fillId="3" borderId="38" xfId="0" applyFont="1" applyFill="1" applyBorder="1" applyAlignment="1">
      <alignment horizontal="right" vertical="center" wrapText="1"/>
    </xf>
    <xf numFmtId="0" fontId="57" fillId="0" borderId="38" xfId="0" applyFont="1" applyBorder="1" applyAlignment="1">
      <alignment horizontal="right" vertical="top" wrapText="1"/>
    </xf>
    <xf numFmtId="3" fontId="57" fillId="4" borderId="38" xfId="0" applyNumberFormat="1" applyFont="1" applyFill="1" applyBorder="1" applyAlignment="1">
      <alignment horizontal="right" vertical="center" wrapText="1"/>
    </xf>
    <xf numFmtId="3" fontId="57" fillId="18" borderId="38" xfId="0" applyNumberFormat="1" applyFont="1" applyFill="1" applyBorder="1" applyAlignment="1">
      <alignment horizontal="right" vertical="center" wrapText="1"/>
    </xf>
    <xf numFmtId="9" fontId="5" fillId="4" borderId="219" xfId="8" applyFont="1" applyFill="1" applyBorder="1" applyAlignment="1">
      <alignment horizontal="right" vertical="center" wrapText="1"/>
    </xf>
    <xf numFmtId="0" fontId="5" fillId="0" borderId="43" xfId="0" applyFont="1" applyBorder="1" applyAlignment="1">
      <alignment horizontal="right" vertical="center" wrapText="1"/>
    </xf>
    <xf numFmtId="0" fontId="5" fillId="0" borderId="293" xfId="0" applyFont="1" applyBorder="1" applyAlignment="1">
      <alignment horizontal="right" vertical="center" wrapText="1"/>
    </xf>
    <xf numFmtId="3" fontId="5" fillId="4" borderId="223" xfId="0" applyNumberFormat="1" applyFont="1" applyFill="1" applyBorder="1" applyAlignment="1">
      <alignment horizontal="right" vertical="center" wrapText="1"/>
    </xf>
    <xf numFmtId="3" fontId="5" fillId="4" borderId="73" xfId="0" applyNumberFormat="1" applyFont="1" applyFill="1" applyBorder="1" applyAlignment="1">
      <alignment horizontal="right" vertical="center" wrapText="1"/>
    </xf>
    <xf numFmtId="3" fontId="5" fillId="4" borderId="224" xfId="0" applyNumberFormat="1" applyFont="1" applyFill="1" applyBorder="1" applyAlignment="1">
      <alignment horizontal="right" vertical="center" wrapText="1"/>
    </xf>
    <xf numFmtId="3" fontId="5" fillId="4" borderId="229" xfId="0" applyNumberFormat="1" applyFont="1" applyFill="1" applyBorder="1" applyAlignment="1">
      <alignment horizontal="right" vertical="center" wrapText="1"/>
    </xf>
    <xf numFmtId="0" fontId="5" fillId="0" borderId="37" xfId="0" applyFont="1" applyBorder="1" applyAlignment="1">
      <alignment horizontal="right" vertical="center" wrapText="1"/>
    </xf>
    <xf numFmtId="3" fontId="5" fillId="4" borderId="37" xfId="0" applyNumberFormat="1" applyFont="1" applyFill="1" applyBorder="1" applyAlignment="1">
      <alignment horizontal="right" vertical="center" wrapText="1"/>
    </xf>
    <xf numFmtId="3" fontId="5" fillId="4" borderId="230" xfId="0" applyNumberFormat="1" applyFont="1" applyFill="1" applyBorder="1" applyAlignment="1">
      <alignment horizontal="right" vertical="center" wrapText="1"/>
    </xf>
    <xf numFmtId="0" fontId="5" fillId="0" borderId="0" xfId="0" applyFont="1" applyAlignment="1">
      <alignment horizontal="right" vertical="top" wrapText="1"/>
    </xf>
    <xf numFmtId="0" fontId="5" fillId="21" borderId="172" xfId="0" applyFont="1" applyFill="1" applyBorder="1">
      <alignment vertical="center"/>
    </xf>
    <xf numFmtId="178" fontId="29" fillId="21" borderId="87" xfId="0" applyNumberFormat="1" applyFont="1" applyFill="1" applyBorder="1" applyAlignment="1">
      <alignment horizontal="right" vertical="center" wrapText="1"/>
    </xf>
    <xf numFmtId="178" fontId="21" fillId="3" borderId="284" xfId="0" applyNumberFormat="1" applyFont="1" applyFill="1" applyBorder="1" applyAlignment="1">
      <alignment horizontal="right" vertical="center" wrapText="1"/>
    </xf>
    <xf numFmtId="0" fontId="5" fillId="21" borderId="206" xfId="0" applyFont="1" applyFill="1" applyBorder="1">
      <alignment vertical="center"/>
    </xf>
    <xf numFmtId="178" fontId="13" fillId="21" borderId="104" xfId="0" applyNumberFormat="1" applyFont="1" applyFill="1" applyBorder="1" applyAlignment="1">
      <alignment horizontal="right" vertical="center" wrapText="1"/>
    </xf>
    <xf numFmtId="178" fontId="5" fillId="3" borderId="286" xfId="0" applyNumberFormat="1" applyFont="1" applyFill="1" applyBorder="1" applyAlignment="1">
      <alignment horizontal="right" vertical="center" wrapText="1"/>
    </xf>
    <xf numFmtId="181" fontId="5" fillId="3" borderId="78" xfId="0" applyNumberFormat="1" applyFont="1" applyFill="1" applyBorder="1" applyAlignment="1">
      <alignment horizontal="center" vertical="center" wrapText="1"/>
    </xf>
    <xf numFmtId="3" fontId="13" fillId="4" borderId="220" xfId="0" applyNumberFormat="1" applyFont="1" applyFill="1" applyBorder="1" applyAlignment="1">
      <alignment horizontal="center" vertical="center" wrapText="1"/>
    </xf>
    <xf numFmtId="180" fontId="5" fillId="3" borderId="38" xfId="0" applyNumberFormat="1" applyFont="1" applyFill="1" applyBorder="1" applyAlignment="1">
      <alignment horizontal="center" vertical="center" wrapText="1"/>
    </xf>
    <xf numFmtId="2" fontId="5" fillId="5" borderId="219" xfId="0" applyNumberFormat="1" applyFont="1" applyFill="1" applyBorder="1" applyAlignment="1">
      <alignment horizontal="center" vertical="center" wrapText="1"/>
    </xf>
    <xf numFmtId="2" fontId="5" fillId="5" borderId="38" xfId="0" applyNumberFormat="1" applyFont="1" applyFill="1" applyBorder="1" applyAlignment="1">
      <alignment horizontal="center" vertical="center" wrapText="1"/>
    </xf>
    <xf numFmtId="2" fontId="5" fillId="5" borderId="220" xfId="0" applyNumberFormat="1" applyFont="1" applyFill="1" applyBorder="1" applyAlignment="1">
      <alignment horizontal="center" vertical="center" wrapText="1"/>
    </xf>
    <xf numFmtId="3" fontId="20" fillId="5" borderId="227" xfId="0" applyNumberFormat="1" applyFont="1" applyFill="1" applyBorder="1" applyAlignment="1">
      <alignment horizontal="center" vertical="center" wrapText="1"/>
    </xf>
    <xf numFmtId="3" fontId="20" fillId="0" borderId="78" xfId="0" applyNumberFormat="1" applyFont="1" applyBorder="1" applyAlignment="1">
      <alignment horizontal="center" vertical="center" wrapText="1"/>
    </xf>
    <xf numFmtId="3" fontId="20" fillId="5" borderId="78" xfId="0" applyNumberFormat="1" applyFont="1" applyFill="1" applyBorder="1" applyAlignment="1">
      <alignment horizontal="center" vertical="center" wrapText="1"/>
    </xf>
    <xf numFmtId="3" fontId="20" fillId="3" borderId="78" xfId="0" applyNumberFormat="1" applyFont="1" applyFill="1" applyBorder="1" applyAlignment="1">
      <alignment horizontal="center" vertical="center" wrapText="1"/>
    </xf>
    <xf numFmtId="3" fontId="13" fillId="4" borderId="230" xfId="0" applyNumberFormat="1" applyFont="1" applyFill="1" applyBorder="1" applyAlignment="1">
      <alignment horizontal="center" vertical="center" wrapText="1"/>
    </xf>
    <xf numFmtId="4" fontId="13" fillId="4" borderId="229" xfId="0" applyNumberFormat="1" applyFont="1" applyFill="1" applyBorder="1" applyAlignment="1">
      <alignment horizontal="center" vertical="center" wrapText="1"/>
    </xf>
    <xf numFmtId="0" fontId="5" fillId="0" borderId="37" xfId="0" applyFont="1" applyBorder="1" applyAlignment="1">
      <alignment horizontal="center" vertical="center" wrapText="1"/>
    </xf>
    <xf numFmtId="4" fontId="13" fillId="4" borderId="37" xfId="0" applyNumberFormat="1" applyFont="1" applyFill="1" applyBorder="1" applyAlignment="1">
      <alignment horizontal="center" vertical="center" wrapText="1"/>
    </xf>
    <xf numFmtId="4" fontId="13" fillId="4" borderId="230" xfId="0" applyNumberFormat="1" applyFont="1" applyFill="1" applyBorder="1" applyAlignment="1">
      <alignment horizontal="center" vertical="center" wrapText="1"/>
    </xf>
    <xf numFmtId="180" fontId="20" fillId="5" borderId="219" xfId="0" applyNumberFormat="1" applyFont="1" applyFill="1" applyBorder="1" applyAlignment="1">
      <alignment horizontal="center" vertical="center" wrapText="1"/>
    </xf>
    <xf numFmtId="180" fontId="20" fillId="5" borderId="38" xfId="0" applyNumberFormat="1" applyFont="1" applyFill="1" applyBorder="1" applyAlignment="1">
      <alignment horizontal="center" vertical="center" wrapText="1"/>
    </xf>
    <xf numFmtId="3" fontId="20" fillId="5" borderId="220" xfId="0" applyNumberFormat="1" applyFont="1" applyFill="1" applyBorder="1" applyAlignment="1">
      <alignment horizontal="center" vertical="center" wrapText="1"/>
    </xf>
    <xf numFmtId="3" fontId="21" fillId="28" borderId="219" xfId="0" applyNumberFormat="1" applyFont="1" applyFill="1" applyBorder="1" applyAlignment="1">
      <alignment horizontal="center" vertical="center" wrapText="1"/>
    </xf>
    <xf numFmtId="3" fontId="21" fillId="28" borderId="38" xfId="0" applyNumberFormat="1" applyFont="1" applyFill="1" applyBorder="1" applyAlignment="1">
      <alignment horizontal="center" vertical="center" wrapText="1"/>
    </xf>
    <xf numFmtId="3" fontId="21" fillId="28" borderId="220" xfId="0" applyNumberFormat="1" applyFont="1" applyFill="1" applyBorder="1" applyAlignment="1">
      <alignment horizontal="center" vertical="center" wrapText="1"/>
    </xf>
    <xf numFmtId="3" fontId="13" fillId="5" borderId="219" xfId="0" applyNumberFormat="1" applyFont="1" applyFill="1" applyBorder="1" applyAlignment="1">
      <alignment horizontal="center" vertical="center" wrapText="1"/>
    </xf>
    <xf numFmtId="3" fontId="13" fillId="5" borderId="38" xfId="0" applyNumberFormat="1" applyFont="1" applyFill="1" applyBorder="1" applyAlignment="1">
      <alignment horizontal="center" vertical="center" wrapText="1"/>
    </xf>
    <xf numFmtId="3" fontId="13" fillId="5" borderId="220" xfId="0" applyNumberFormat="1" applyFont="1" applyFill="1" applyBorder="1" applyAlignment="1">
      <alignment horizontal="center" vertical="center" wrapText="1"/>
    </xf>
    <xf numFmtId="4" fontId="5" fillId="5" borderId="219" xfId="0" applyNumberFormat="1" applyFont="1" applyFill="1" applyBorder="1" applyAlignment="1">
      <alignment horizontal="center" vertical="center" wrapText="1"/>
    </xf>
    <xf numFmtId="4" fontId="5" fillId="5" borderId="38" xfId="0" applyNumberFormat="1" applyFont="1" applyFill="1" applyBorder="1" applyAlignment="1">
      <alignment horizontal="center" vertical="center" wrapText="1"/>
    </xf>
    <xf numFmtId="4" fontId="5" fillId="5" borderId="220" xfId="0" applyNumberFormat="1" applyFont="1" applyFill="1" applyBorder="1" applyAlignment="1">
      <alignment horizontal="center" vertical="center" wrapText="1"/>
    </xf>
    <xf numFmtId="9" fontId="13" fillId="4" borderId="219" xfId="5" applyFont="1" applyFill="1" applyBorder="1" applyAlignment="1">
      <alignment horizontal="center" vertical="center" wrapText="1"/>
    </xf>
    <xf numFmtId="3" fontId="26" fillId="5" borderId="219" xfId="0" applyNumberFormat="1" applyFont="1" applyFill="1" applyBorder="1" applyAlignment="1">
      <alignment horizontal="center" vertical="center" wrapText="1"/>
    </xf>
    <xf numFmtId="3" fontId="26" fillId="3" borderId="38" xfId="0" quotePrefix="1" applyNumberFormat="1" applyFont="1" applyFill="1" applyBorder="1" applyAlignment="1">
      <alignment horizontal="center" vertical="center" wrapText="1"/>
    </xf>
    <xf numFmtId="3" fontId="26" fillId="5" borderId="38" xfId="0" applyNumberFormat="1" applyFont="1" applyFill="1" applyBorder="1" applyAlignment="1">
      <alignment horizontal="center" vertical="center" wrapText="1"/>
    </xf>
    <xf numFmtId="3" fontId="26" fillId="5" borderId="220" xfId="0" quotePrefix="1" applyNumberFormat="1" applyFont="1" applyFill="1" applyBorder="1" applyAlignment="1">
      <alignment horizontal="center" vertical="center" wrapText="1"/>
    </xf>
    <xf numFmtId="3" fontId="13" fillId="19" borderId="219" xfId="0" applyNumberFormat="1" applyFont="1" applyFill="1" applyBorder="1" applyAlignment="1">
      <alignment horizontal="center" vertical="center" wrapText="1"/>
    </xf>
    <xf numFmtId="0" fontId="5" fillId="19" borderId="38" xfId="0" applyFont="1" applyFill="1" applyBorder="1" applyAlignment="1">
      <alignment horizontal="center" vertical="center" wrapText="1"/>
    </xf>
    <xf numFmtId="3" fontId="13" fillId="19" borderId="38" xfId="0" applyNumberFormat="1" applyFont="1" applyFill="1" applyBorder="1" applyAlignment="1">
      <alignment horizontal="center" vertical="center" wrapText="1"/>
    </xf>
    <xf numFmtId="3" fontId="13" fillId="19" borderId="220" xfId="0" applyNumberFormat="1" applyFont="1" applyFill="1" applyBorder="1" applyAlignment="1">
      <alignment horizontal="center" vertical="center" wrapText="1"/>
    </xf>
    <xf numFmtId="0" fontId="5" fillId="3" borderId="54" xfId="0" applyFont="1" applyFill="1" applyBorder="1" applyAlignment="1">
      <alignment horizontal="center" vertical="center" wrapText="1"/>
    </xf>
    <xf numFmtId="3" fontId="5" fillId="5" borderId="227" xfId="0" applyNumberFormat="1" applyFont="1" applyFill="1" applyBorder="1" applyAlignment="1">
      <alignment horizontal="center" vertical="center" wrapText="1"/>
    </xf>
    <xf numFmtId="3" fontId="5" fillId="0" borderId="78" xfId="0" applyNumberFormat="1" applyFont="1" applyBorder="1" applyAlignment="1">
      <alignment horizontal="center" vertical="center" wrapText="1"/>
    </xf>
    <xf numFmtId="3" fontId="5" fillId="5" borderId="78" xfId="0" applyNumberFormat="1" applyFont="1" applyFill="1" applyBorder="1" applyAlignment="1">
      <alignment horizontal="center" vertical="center" wrapText="1"/>
    </xf>
    <xf numFmtId="3" fontId="5" fillId="5" borderId="228" xfId="0" applyNumberFormat="1" applyFont="1" applyFill="1" applyBorder="1" applyAlignment="1">
      <alignment horizontal="center" vertical="center" wrapText="1"/>
    </xf>
    <xf numFmtId="182" fontId="5" fillId="15" borderId="37" xfId="0" quotePrefix="1" applyNumberFormat="1" applyFont="1" applyFill="1" applyBorder="1" applyAlignment="1">
      <alignment horizontal="center" vertical="center" wrapText="1"/>
    </xf>
    <xf numFmtId="178" fontId="5" fillId="28" borderId="227" xfId="0" applyNumberFormat="1" applyFont="1" applyFill="1" applyBorder="1" applyAlignment="1">
      <alignment horizontal="center" vertical="center" wrapText="1"/>
    </xf>
    <xf numFmtId="178" fontId="5" fillId="0" borderId="78" xfId="0" applyNumberFormat="1" applyFont="1" applyBorder="1" applyAlignment="1">
      <alignment horizontal="center" vertical="center" wrapText="1"/>
    </xf>
    <xf numFmtId="178" fontId="5" fillId="28" borderId="78" xfId="0" applyNumberFormat="1" applyFont="1" applyFill="1" applyBorder="1" applyAlignment="1">
      <alignment horizontal="center" vertical="center" wrapText="1"/>
    </xf>
    <xf numFmtId="178" fontId="5" fillId="28" borderId="228" xfId="0" applyNumberFormat="1" applyFont="1" applyFill="1" applyBorder="1" applyAlignment="1">
      <alignment horizontal="center" vertical="center" wrapText="1"/>
    </xf>
    <xf numFmtId="178" fontId="13" fillId="4" borderId="219" xfId="0" applyNumberFormat="1" applyFont="1" applyFill="1" applyBorder="1" applyAlignment="1">
      <alignment horizontal="center" vertical="center" wrapText="1"/>
    </xf>
    <xf numFmtId="178" fontId="13" fillId="4" borderId="38" xfId="0" applyNumberFormat="1" applyFont="1" applyFill="1" applyBorder="1" applyAlignment="1">
      <alignment horizontal="center" vertical="center" wrapText="1"/>
    </xf>
    <xf numFmtId="178" fontId="13" fillId="4" borderId="220" xfId="0" applyNumberFormat="1" applyFont="1" applyFill="1" applyBorder="1" applyAlignment="1">
      <alignment horizontal="center" vertical="center" wrapText="1"/>
    </xf>
    <xf numFmtId="183" fontId="21" fillId="5" borderId="219" xfId="0" applyNumberFormat="1" applyFont="1" applyFill="1" applyBorder="1" applyAlignment="1">
      <alignment horizontal="center" vertical="center" wrapText="1"/>
    </xf>
    <xf numFmtId="183" fontId="5" fillId="3" borderId="38" xfId="0" applyNumberFormat="1" applyFont="1" applyFill="1" applyBorder="1" applyAlignment="1">
      <alignment horizontal="center" vertical="center" wrapText="1"/>
    </xf>
    <xf numFmtId="183" fontId="21" fillId="5" borderId="38" xfId="0" applyNumberFormat="1" applyFont="1" applyFill="1" applyBorder="1" applyAlignment="1">
      <alignment horizontal="center" vertical="center" wrapText="1"/>
    </xf>
    <xf numFmtId="183" fontId="21" fillId="5" borderId="220" xfId="0" applyNumberFormat="1" applyFont="1" applyFill="1" applyBorder="1" applyAlignment="1">
      <alignment horizontal="center" vertical="center" wrapText="1"/>
    </xf>
    <xf numFmtId="184" fontId="21" fillId="5" borderId="219" xfId="0" applyNumberFormat="1" applyFont="1" applyFill="1" applyBorder="1" applyAlignment="1">
      <alignment horizontal="center" vertical="center" wrapText="1"/>
    </xf>
    <xf numFmtId="184" fontId="21" fillId="5" borderId="38" xfId="0" applyNumberFormat="1" applyFont="1" applyFill="1" applyBorder="1" applyAlignment="1">
      <alignment horizontal="center" vertical="center" wrapText="1"/>
    </xf>
    <xf numFmtId="3" fontId="21" fillId="5" borderId="220" xfId="0" applyNumberFormat="1" applyFont="1" applyFill="1" applyBorder="1" applyAlignment="1">
      <alignment horizontal="center" vertical="center" wrapText="1"/>
    </xf>
    <xf numFmtId="3" fontId="21" fillId="5" borderId="219" xfId="0" applyNumberFormat="1" applyFont="1" applyFill="1" applyBorder="1" applyAlignment="1">
      <alignment horizontal="center" vertical="center" wrapText="1"/>
    </xf>
    <xf numFmtId="3" fontId="21" fillId="5" borderId="38" xfId="0" applyNumberFormat="1" applyFont="1" applyFill="1" applyBorder="1" applyAlignment="1">
      <alignment horizontal="center" vertical="center" wrapText="1"/>
    </xf>
    <xf numFmtId="3" fontId="5" fillId="5" borderId="219" xfId="0" applyNumberFormat="1" applyFont="1" applyFill="1" applyBorder="1" applyAlignment="1">
      <alignment horizontal="center" vertical="center" wrapText="1"/>
    </xf>
    <xf numFmtId="3" fontId="5" fillId="5" borderId="38" xfId="0" applyNumberFormat="1" applyFont="1" applyFill="1" applyBorder="1" applyAlignment="1">
      <alignment horizontal="center" vertical="center" wrapText="1"/>
    </xf>
    <xf numFmtId="3" fontId="5" fillId="5" borderId="220" xfId="0" applyNumberFormat="1" applyFont="1" applyFill="1" applyBorder="1" applyAlignment="1">
      <alignment horizontal="center" vertical="center" wrapText="1"/>
    </xf>
    <xf numFmtId="185" fontId="5" fillId="5" borderId="219" xfId="0" applyNumberFormat="1" applyFont="1" applyFill="1" applyBorder="1" applyAlignment="1">
      <alignment horizontal="center" vertical="center" wrapText="1"/>
    </xf>
    <xf numFmtId="185" fontId="5" fillId="3" borderId="38" xfId="0" applyNumberFormat="1" applyFont="1" applyFill="1" applyBorder="1" applyAlignment="1">
      <alignment horizontal="center" vertical="center" wrapText="1"/>
    </xf>
    <xf numFmtId="185" fontId="5" fillId="5" borderId="38" xfId="0" applyNumberFormat="1" applyFont="1" applyFill="1" applyBorder="1" applyAlignment="1">
      <alignment horizontal="center" vertical="center" wrapText="1"/>
    </xf>
    <xf numFmtId="185" fontId="5" fillId="5" borderId="220" xfId="0" applyNumberFormat="1" applyFont="1" applyFill="1" applyBorder="1" applyAlignment="1">
      <alignment horizontal="center" vertical="center" wrapText="1"/>
    </xf>
    <xf numFmtId="178" fontId="29" fillId="19" borderId="219" xfId="0" applyNumberFormat="1" applyFont="1" applyFill="1" applyBorder="1" applyAlignment="1">
      <alignment vertical="center" wrapText="1"/>
    </xf>
    <xf numFmtId="178" fontId="21" fillId="19" borderId="38" xfId="0" applyNumberFormat="1" applyFont="1" applyFill="1" applyBorder="1" applyAlignment="1">
      <alignment vertical="center" wrapText="1"/>
    </xf>
    <xf numFmtId="3" fontId="29" fillId="19" borderId="38" xfId="0" applyNumberFormat="1" applyFont="1" applyFill="1" applyBorder="1" applyAlignment="1">
      <alignment vertical="center" wrapText="1"/>
    </xf>
    <xf numFmtId="0" fontId="21" fillId="19" borderId="38" xfId="0" applyFont="1" applyFill="1" applyBorder="1" applyAlignment="1">
      <alignment vertical="center" wrapText="1"/>
    </xf>
    <xf numFmtId="3" fontId="29" fillId="19" borderId="220" xfId="0" applyNumberFormat="1" applyFont="1" applyFill="1" applyBorder="1" applyAlignment="1">
      <alignment vertical="center" wrapText="1"/>
    </xf>
    <xf numFmtId="9" fontId="29" fillId="4" borderId="219" xfId="5" applyFont="1" applyFill="1" applyBorder="1" applyAlignment="1">
      <alignment vertical="center" wrapText="1"/>
    </xf>
    <xf numFmtId="9" fontId="29" fillId="4" borderId="38" xfId="5" applyFont="1" applyFill="1" applyBorder="1" applyAlignment="1">
      <alignment vertical="center" wrapText="1"/>
    </xf>
    <xf numFmtId="178" fontId="29" fillId="4" borderId="219" xfId="0" applyNumberFormat="1" applyFont="1" applyFill="1" applyBorder="1" applyAlignment="1">
      <alignment horizontal="center" vertical="center" wrapText="1"/>
    </xf>
    <xf numFmtId="178" fontId="21" fillId="0" borderId="38" xfId="0" applyNumberFormat="1" applyFont="1" applyBorder="1" applyAlignment="1">
      <alignment horizontal="center" vertical="center" wrapText="1"/>
    </xf>
    <xf numFmtId="178" fontId="29" fillId="4" borderId="38" xfId="0" applyNumberFormat="1" applyFont="1" applyFill="1" applyBorder="1" applyAlignment="1">
      <alignment horizontal="center" vertical="center" wrapText="1"/>
    </xf>
    <xf numFmtId="178" fontId="29" fillId="4" borderId="220" xfId="0" applyNumberFormat="1" applyFont="1" applyFill="1" applyBorder="1" applyAlignment="1">
      <alignment horizontal="center" vertical="center" wrapText="1"/>
    </xf>
    <xf numFmtId="178" fontId="29" fillId="4" borderId="235" xfId="0" applyNumberFormat="1" applyFont="1" applyFill="1" applyBorder="1" applyAlignment="1">
      <alignment vertical="center" wrapText="1"/>
    </xf>
    <xf numFmtId="178" fontId="29" fillId="4" borderId="236" xfId="0" applyNumberFormat="1" applyFont="1" applyFill="1" applyBorder="1" applyAlignment="1">
      <alignment vertical="center" wrapText="1"/>
    </xf>
    <xf numFmtId="178" fontId="42" fillId="14" borderId="217" xfId="0" applyNumberFormat="1" applyFont="1" applyFill="1" applyBorder="1" applyAlignment="1">
      <alignment vertical="center" wrapText="1"/>
    </xf>
    <xf numFmtId="178" fontId="42" fillId="14" borderId="28" xfId="0" applyNumberFormat="1" applyFont="1" applyFill="1" applyBorder="1" applyAlignment="1">
      <alignment vertical="center" wrapText="1"/>
    </xf>
    <xf numFmtId="178" fontId="42" fillId="14" borderId="218" xfId="0" applyNumberFormat="1" applyFont="1" applyFill="1" applyBorder="1" applyAlignment="1">
      <alignment vertical="center" wrapText="1"/>
    </xf>
    <xf numFmtId="178" fontId="21" fillId="28" borderId="227" xfId="0" quotePrefix="1" applyNumberFormat="1" applyFont="1" applyFill="1" applyBorder="1" applyAlignment="1">
      <alignment vertical="center" wrapText="1"/>
    </xf>
    <xf numFmtId="178" fontId="21" fillId="15" borderId="78" xfId="0" quotePrefix="1" applyNumberFormat="1" applyFont="1" applyFill="1" applyBorder="1" applyAlignment="1">
      <alignment vertical="center" wrapText="1"/>
    </xf>
    <xf numFmtId="178" fontId="21" fillId="28" borderId="78" xfId="0" quotePrefix="1" applyNumberFormat="1" applyFont="1" applyFill="1" applyBorder="1" applyAlignment="1">
      <alignment vertical="center" wrapText="1"/>
    </xf>
    <xf numFmtId="178" fontId="21" fillId="15" borderId="37" xfId="0" quotePrefix="1" applyNumberFormat="1" applyFont="1" applyFill="1" applyBorder="1" applyAlignment="1">
      <alignment vertical="center" wrapText="1"/>
    </xf>
    <xf numFmtId="178" fontId="21" fillId="28" borderId="228" xfId="0" quotePrefix="1" applyNumberFormat="1" applyFont="1" applyFill="1" applyBorder="1" applyAlignment="1">
      <alignment vertical="center" wrapText="1"/>
    </xf>
    <xf numFmtId="178" fontId="29" fillId="19" borderId="38" xfId="0" applyNumberFormat="1" applyFont="1" applyFill="1" applyBorder="1" applyAlignment="1">
      <alignment vertical="center" wrapText="1"/>
    </xf>
    <xf numFmtId="178" fontId="29" fillId="19" borderId="220" xfId="0" applyNumberFormat="1" applyFont="1" applyFill="1" applyBorder="1" applyAlignment="1">
      <alignment vertical="center" wrapText="1"/>
    </xf>
    <xf numFmtId="178" fontId="29" fillId="18" borderId="219" xfId="0" applyNumberFormat="1" applyFont="1" applyFill="1" applyBorder="1" applyAlignment="1">
      <alignment vertical="center" wrapText="1"/>
    </xf>
    <xf numFmtId="178" fontId="29" fillId="18" borderId="38" xfId="0" applyNumberFormat="1" applyFont="1" applyFill="1" applyBorder="1" applyAlignment="1">
      <alignment vertical="center" wrapText="1"/>
    </xf>
    <xf numFmtId="178" fontId="29" fillId="18" borderId="220" xfId="0" applyNumberFormat="1" applyFont="1" applyFill="1" applyBorder="1" applyAlignment="1">
      <alignment vertical="center" wrapText="1"/>
    </xf>
    <xf numFmtId="3" fontId="29" fillId="19" borderId="219" xfId="0" applyNumberFormat="1" applyFont="1" applyFill="1" applyBorder="1" applyAlignment="1">
      <alignment vertical="center" wrapText="1"/>
    </xf>
    <xf numFmtId="0" fontId="42" fillId="14" borderId="217" xfId="0" applyFont="1" applyFill="1" applyBorder="1" applyAlignment="1">
      <alignment vertical="center" wrapText="1"/>
    </xf>
    <xf numFmtId="0" fontId="42" fillId="14" borderId="218" xfId="0" applyFont="1" applyFill="1" applyBorder="1" applyAlignment="1">
      <alignment vertical="center" wrapText="1"/>
    </xf>
    <xf numFmtId="3" fontId="29" fillId="4" borderId="227" xfId="0" applyNumberFormat="1" applyFont="1" applyFill="1" applyBorder="1" applyAlignment="1">
      <alignment vertical="center" wrapText="1"/>
    </xf>
    <xf numFmtId="0" fontId="21" fillId="0" borderId="78" xfId="0" applyFont="1" applyBorder="1" applyAlignment="1">
      <alignment vertical="center" wrapText="1"/>
    </xf>
    <xf numFmtId="3" fontId="29" fillId="4" borderId="78" xfId="0" applyNumberFormat="1" applyFont="1" applyFill="1" applyBorder="1" applyAlignment="1">
      <alignment vertical="center" wrapText="1"/>
    </xf>
    <xf numFmtId="3" fontId="29" fillId="4" borderId="228" xfId="0" applyNumberFormat="1" applyFont="1" applyFill="1" applyBorder="1" applyAlignment="1">
      <alignment vertical="center" wrapText="1"/>
    </xf>
    <xf numFmtId="0" fontId="21" fillId="0" borderId="38" xfId="0" applyFont="1" applyBorder="1" applyAlignment="1">
      <alignment vertical="center" wrapText="1"/>
    </xf>
    <xf numFmtId="178" fontId="29" fillId="46" borderId="229" xfId="0" applyNumberFormat="1" applyFont="1" applyFill="1" applyBorder="1" applyAlignment="1">
      <alignment vertical="center" wrapText="1"/>
    </xf>
    <xf numFmtId="178" fontId="21" fillId="46" borderId="37" xfId="0" applyNumberFormat="1" applyFont="1" applyFill="1" applyBorder="1" applyAlignment="1">
      <alignment vertical="center" wrapText="1"/>
    </xf>
    <xf numFmtId="178" fontId="29" fillId="46" borderId="37" xfId="0" applyNumberFormat="1" applyFont="1" applyFill="1" applyBorder="1" applyAlignment="1">
      <alignment vertical="center" wrapText="1"/>
    </xf>
    <xf numFmtId="178" fontId="29" fillId="46" borderId="230" xfId="0" applyNumberFormat="1" applyFont="1" applyFill="1" applyBorder="1" applyAlignment="1">
      <alignment vertical="center" wrapText="1"/>
    </xf>
    <xf numFmtId="178" fontId="29" fillId="46" borderId="219" xfId="0" applyNumberFormat="1" applyFont="1" applyFill="1" applyBorder="1" applyAlignment="1">
      <alignment vertical="center" wrapText="1"/>
    </xf>
    <xf numFmtId="178" fontId="21" fillId="46" borderId="38" xfId="0" applyNumberFormat="1" applyFont="1" applyFill="1" applyBorder="1" applyAlignment="1">
      <alignment vertical="center" wrapText="1"/>
    </xf>
    <xf numFmtId="178" fontId="29" fillId="46" borderId="38" xfId="0" applyNumberFormat="1" applyFont="1" applyFill="1" applyBorder="1" applyAlignment="1">
      <alignment vertical="center" wrapText="1"/>
    </xf>
    <xf numFmtId="178" fontId="29" fillId="46" borderId="220" xfId="0" applyNumberFormat="1" applyFont="1" applyFill="1" applyBorder="1" applyAlignment="1">
      <alignment vertical="center" wrapText="1"/>
    </xf>
    <xf numFmtId="3" fontId="29" fillId="19" borderId="227" xfId="0" applyNumberFormat="1" applyFont="1" applyFill="1" applyBorder="1" applyAlignment="1">
      <alignment vertical="center" wrapText="1"/>
    </xf>
    <xf numFmtId="0" fontId="21" fillId="19" borderId="78" xfId="0" applyFont="1" applyFill="1" applyBorder="1" applyAlignment="1">
      <alignment vertical="center" wrapText="1"/>
    </xf>
    <xf numFmtId="3" fontId="29" fillId="19" borderId="78" xfId="0" applyNumberFormat="1" applyFont="1" applyFill="1" applyBorder="1" applyAlignment="1">
      <alignment vertical="center" wrapText="1"/>
    </xf>
    <xf numFmtId="3" fontId="29" fillId="19" borderId="228" xfId="0" applyNumberFormat="1" applyFont="1" applyFill="1" applyBorder="1" applyAlignment="1">
      <alignment vertical="center" wrapText="1"/>
    </xf>
    <xf numFmtId="3" fontId="29" fillId="19" borderId="219" xfId="0" applyNumberFormat="1" applyFont="1" applyFill="1" applyBorder="1" applyAlignment="1">
      <alignment horizontal="center" vertical="center" wrapText="1"/>
    </xf>
    <xf numFmtId="0" fontId="21" fillId="19" borderId="38" xfId="0" applyFont="1" applyFill="1" applyBorder="1" applyAlignment="1">
      <alignment horizontal="center" vertical="center" wrapText="1"/>
    </xf>
    <xf numFmtId="3" fontId="29" fillId="19" borderId="38" xfId="0" applyNumberFormat="1" applyFont="1" applyFill="1" applyBorder="1" applyAlignment="1">
      <alignment horizontal="center" vertical="center" wrapText="1"/>
    </xf>
    <xf numFmtId="3" fontId="29" fillId="19" borderId="220" xfId="0" applyNumberFormat="1" applyFont="1" applyFill="1" applyBorder="1" applyAlignment="1">
      <alignment horizontal="center" vertical="center" wrapText="1"/>
    </xf>
    <xf numFmtId="3" fontId="21" fillId="19" borderId="38" xfId="0" applyNumberFormat="1" applyFont="1" applyFill="1" applyBorder="1" applyAlignment="1">
      <alignment vertical="center" wrapText="1"/>
    </xf>
    <xf numFmtId="3" fontId="29" fillId="19" borderId="221" xfId="0" applyNumberFormat="1" applyFont="1" applyFill="1" applyBorder="1" applyAlignment="1">
      <alignment vertical="center" wrapText="1"/>
    </xf>
    <xf numFmtId="0" fontId="21" fillId="19" borderId="54" xfId="0" applyFont="1" applyFill="1" applyBorder="1" applyAlignment="1">
      <alignment vertical="center" wrapText="1"/>
    </xf>
    <xf numFmtId="3" fontId="29" fillId="19" borderId="54" xfId="0" applyNumberFormat="1" applyFont="1" applyFill="1" applyBorder="1" applyAlignment="1">
      <alignment vertical="center" wrapText="1"/>
    </xf>
    <xf numFmtId="3" fontId="29" fillId="19" borderId="222" xfId="0" applyNumberFormat="1" applyFont="1" applyFill="1" applyBorder="1" applyAlignment="1">
      <alignment vertical="center" wrapText="1"/>
    </xf>
    <xf numFmtId="3" fontId="29" fillId="4" borderId="229" xfId="0" applyNumberFormat="1" applyFont="1" applyFill="1" applyBorder="1" applyAlignment="1">
      <alignment vertical="center" wrapText="1"/>
    </xf>
    <xf numFmtId="0" fontId="21" fillId="3" borderId="37" xfId="0" applyFont="1" applyFill="1" applyBorder="1" applyAlignment="1">
      <alignment vertical="center" wrapText="1"/>
    </xf>
    <xf numFmtId="3" fontId="29" fillId="4" borderId="37" xfId="0" applyNumberFormat="1" applyFont="1" applyFill="1" applyBorder="1" applyAlignment="1">
      <alignment vertical="center" wrapText="1"/>
    </xf>
    <xf numFmtId="4" fontId="21" fillId="3" borderId="37" xfId="0" applyNumberFormat="1" applyFont="1" applyFill="1" applyBorder="1" applyAlignment="1">
      <alignment vertical="center" wrapText="1"/>
    </xf>
    <xf numFmtId="3" fontId="29" fillId="4" borderId="230" xfId="0" applyNumberFormat="1" applyFont="1" applyFill="1" applyBorder="1" applyAlignment="1">
      <alignment vertical="center" wrapText="1"/>
    </xf>
    <xf numFmtId="0" fontId="5" fillId="3" borderId="219" xfId="0" applyFont="1" applyFill="1" applyBorder="1" applyAlignment="1">
      <alignment horizontal="left" vertical="center"/>
    </xf>
    <xf numFmtId="43" fontId="21" fillId="3" borderId="38" xfId="7" applyFont="1" applyFill="1" applyBorder="1" applyAlignment="1">
      <alignment vertical="center" wrapText="1"/>
    </xf>
    <xf numFmtId="4" fontId="21" fillId="5" borderId="219" xfId="0" applyNumberFormat="1" applyFont="1" applyFill="1" applyBorder="1" applyAlignment="1">
      <alignment vertical="center" wrapText="1"/>
    </xf>
    <xf numFmtId="4" fontId="21" fillId="5" borderId="220" xfId="0" applyNumberFormat="1" applyFont="1" applyFill="1" applyBorder="1" applyAlignment="1">
      <alignment vertical="center" wrapText="1"/>
    </xf>
    <xf numFmtId="3" fontId="29" fillId="19" borderId="227" xfId="0" applyNumberFormat="1" applyFont="1" applyFill="1" applyBorder="1" applyAlignment="1">
      <alignment horizontal="right" vertical="center" wrapText="1"/>
    </xf>
    <xf numFmtId="0" fontId="21" fillId="19" borderId="78" xfId="0" applyFont="1" applyFill="1" applyBorder="1" applyAlignment="1">
      <alignment horizontal="right" vertical="center" wrapText="1"/>
    </xf>
    <xf numFmtId="3" fontId="29" fillId="19" borderId="78" xfId="0" applyNumberFormat="1" applyFont="1" applyFill="1" applyBorder="1" applyAlignment="1">
      <alignment horizontal="right" vertical="center" wrapText="1"/>
    </xf>
    <xf numFmtId="3" fontId="29" fillId="19" borderId="228" xfId="0" applyNumberFormat="1" applyFont="1" applyFill="1" applyBorder="1" applyAlignment="1">
      <alignment horizontal="right" vertical="center" wrapText="1"/>
    </xf>
    <xf numFmtId="4" fontId="29" fillId="4" borderId="219" xfId="0" applyNumberFormat="1" applyFont="1" applyFill="1" applyBorder="1" applyAlignment="1">
      <alignment horizontal="right" vertical="center" wrapText="1"/>
    </xf>
    <xf numFmtId="4" fontId="29" fillId="4" borderId="38" xfId="0" applyNumberFormat="1" applyFont="1" applyFill="1" applyBorder="1" applyAlignment="1">
      <alignment horizontal="right" vertical="center" wrapText="1"/>
    </xf>
    <xf numFmtId="4" fontId="29" fillId="4" borderId="220" xfId="0" applyNumberFormat="1" applyFont="1" applyFill="1" applyBorder="1" applyAlignment="1">
      <alignment horizontal="right" vertical="center" wrapText="1"/>
    </xf>
    <xf numFmtId="3" fontId="29" fillId="4" borderId="221" xfId="0" applyNumberFormat="1" applyFont="1" applyFill="1" applyBorder="1" applyAlignment="1">
      <alignment horizontal="right" vertical="center" wrapText="1"/>
    </xf>
    <xf numFmtId="0" fontId="21" fillId="3" borderId="54" xfId="0" applyFont="1" applyFill="1" applyBorder="1" applyAlignment="1">
      <alignment horizontal="right" vertical="center" wrapText="1"/>
    </xf>
    <xf numFmtId="3" fontId="29" fillId="4" borderId="54" xfId="0" applyNumberFormat="1" applyFont="1" applyFill="1" applyBorder="1" applyAlignment="1">
      <alignment horizontal="right" vertical="center" wrapText="1"/>
    </xf>
    <xf numFmtId="3" fontId="29" fillId="4" borderId="222" xfId="0" applyNumberFormat="1" applyFont="1" applyFill="1" applyBorder="1" applyAlignment="1">
      <alignment horizontal="right" vertical="center" wrapText="1"/>
    </xf>
    <xf numFmtId="0" fontId="42" fillId="14" borderId="217" xfId="0" applyFont="1" applyFill="1" applyBorder="1" applyAlignment="1">
      <alignment horizontal="right" vertical="center" wrapText="1"/>
    </xf>
    <xf numFmtId="0" fontId="42" fillId="14" borderId="28" xfId="0" applyFont="1" applyFill="1" applyBorder="1" applyAlignment="1">
      <alignment horizontal="right" vertical="center" wrapText="1"/>
    </xf>
    <xf numFmtId="0" fontId="42" fillId="14" borderId="218" xfId="0" applyFont="1" applyFill="1" applyBorder="1" applyAlignment="1">
      <alignment horizontal="right" vertical="center" wrapText="1"/>
    </xf>
    <xf numFmtId="185" fontId="29" fillId="4" borderId="227" xfId="0" applyNumberFormat="1" applyFont="1" applyFill="1" applyBorder="1" applyAlignment="1">
      <alignment horizontal="right" vertical="center" wrapText="1"/>
    </xf>
    <xf numFmtId="185" fontId="29" fillId="4" borderId="78" xfId="0" applyNumberFormat="1" applyFont="1" applyFill="1" applyBorder="1" applyAlignment="1">
      <alignment horizontal="right" vertical="center" wrapText="1"/>
    </xf>
    <xf numFmtId="185" fontId="29" fillId="4" borderId="228" xfId="0" applyNumberFormat="1" applyFont="1" applyFill="1" applyBorder="1" applyAlignment="1">
      <alignment horizontal="right" vertical="center" wrapText="1"/>
    </xf>
    <xf numFmtId="185" fontId="29" fillId="4" borderId="229" xfId="0" applyNumberFormat="1" applyFont="1" applyFill="1" applyBorder="1" applyAlignment="1">
      <alignment horizontal="right" vertical="center" wrapText="1"/>
    </xf>
    <xf numFmtId="185" fontId="21" fillId="0" borderId="37" xfId="0" applyNumberFormat="1" applyFont="1" applyBorder="1" applyAlignment="1">
      <alignment horizontal="right" vertical="center" wrapText="1"/>
    </xf>
    <xf numFmtId="185" fontId="29" fillId="4" borderId="37" xfId="0" applyNumberFormat="1" applyFont="1" applyFill="1" applyBorder="1" applyAlignment="1">
      <alignment horizontal="right" vertical="center" wrapText="1"/>
    </xf>
    <xf numFmtId="185" fontId="29" fillId="4" borderId="230" xfId="0" applyNumberFormat="1" applyFont="1" applyFill="1" applyBorder="1" applyAlignment="1">
      <alignment horizontal="right" vertical="center" wrapText="1"/>
    </xf>
    <xf numFmtId="3" fontId="29" fillId="19" borderId="219" xfId="0" applyNumberFormat="1" applyFont="1" applyFill="1" applyBorder="1" applyAlignment="1">
      <alignment horizontal="right" vertical="center" wrapText="1"/>
    </xf>
    <xf numFmtId="0" fontId="21" fillId="19" borderId="38" xfId="0" applyFont="1" applyFill="1" applyBorder="1" applyAlignment="1">
      <alignment horizontal="right" vertical="center" wrapText="1"/>
    </xf>
    <xf numFmtId="3" fontId="29" fillId="19" borderId="38" xfId="0" applyNumberFormat="1" applyFont="1" applyFill="1" applyBorder="1" applyAlignment="1">
      <alignment horizontal="right" vertical="center" wrapText="1"/>
    </xf>
    <xf numFmtId="3" fontId="29" fillId="19" borderId="220" xfId="0" applyNumberFormat="1" applyFont="1" applyFill="1" applyBorder="1" applyAlignment="1">
      <alignment horizontal="right" vertical="center" wrapText="1"/>
    </xf>
    <xf numFmtId="0" fontId="4" fillId="7" borderId="208" xfId="0" applyFont="1" applyFill="1" applyBorder="1" applyAlignment="1">
      <alignment horizontal="center" vertical="center" wrapText="1"/>
    </xf>
    <xf numFmtId="3" fontId="5" fillId="16" borderId="43" xfId="0" applyNumberFormat="1" applyFont="1" applyFill="1" applyBorder="1" applyAlignment="1">
      <alignment vertical="center" wrapText="1"/>
    </xf>
    <xf numFmtId="3" fontId="5" fillId="4" borderId="34" xfId="0" applyNumberFormat="1" applyFont="1" applyFill="1" applyBorder="1" applyAlignment="1">
      <alignment vertical="center" wrapText="1"/>
    </xf>
    <xf numFmtId="3" fontId="21" fillId="4" borderId="43" xfId="0" applyNumberFormat="1" applyFont="1" applyFill="1" applyBorder="1" applyAlignment="1">
      <alignment vertical="center" wrapText="1"/>
    </xf>
    <xf numFmtId="3" fontId="5" fillId="4" borderId="65" xfId="0" applyNumberFormat="1" applyFont="1" applyFill="1" applyBorder="1" applyAlignment="1">
      <alignment vertical="center" wrapText="1"/>
    </xf>
    <xf numFmtId="3" fontId="5" fillId="4" borderId="52" xfId="0" applyNumberFormat="1" applyFont="1" applyFill="1" applyBorder="1" applyAlignment="1">
      <alignment vertical="center" wrapText="1"/>
    </xf>
    <xf numFmtId="3" fontId="5" fillId="4" borderId="67" xfId="0" applyNumberFormat="1" applyFont="1" applyFill="1" applyBorder="1" applyAlignment="1">
      <alignment vertical="center" wrapText="1"/>
    </xf>
    <xf numFmtId="3" fontId="5" fillId="18" borderId="43" xfId="0" applyNumberFormat="1" applyFont="1" applyFill="1" applyBorder="1" applyAlignment="1">
      <alignment vertical="center" wrapText="1"/>
    </xf>
    <xf numFmtId="3" fontId="5" fillId="4" borderId="77" xfId="0" applyNumberFormat="1" applyFont="1" applyFill="1" applyBorder="1" applyAlignment="1">
      <alignment vertical="center" wrapText="1"/>
    </xf>
    <xf numFmtId="3" fontId="21" fillId="0" borderId="43" xfId="0" applyNumberFormat="1" applyFont="1" applyBorder="1" applyAlignment="1">
      <alignment horizontal="right" vertical="center" wrapText="1"/>
    </xf>
    <xf numFmtId="4" fontId="5" fillId="4" borderId="43" xfId="0" applyNumberFormat="1" applyFont="1" applyFill="1" applyBorder="1" applyAlignment="1">
      <alignment vertical="center" wrapText="1"/>
    </xf>
    <xf numFmtId="3" fontId="5" fillId="4" borderId="51" xfId="0" applyNumberFormat="1" applyFont="1" applyFill="1" applyBorder="1" applyAlignment="1">
      <alignment vertical="center" wrapText="1"/>
    </xf>
    <xf numFmtId="4" fontId="21" fillId="5" borderId="43" xfId="0" applyNumberFormat="1" applyFont="1" applyFill="1" applyBorder="1" applyAlignment="1">
      <alignment vertical="center" wrapText="1"/>
    </xf>
    <xf numFmtId="4" fontId="21" fillId="5" borderId="34" xfId="0" applyNumberFormat="1" applyFont="1" applyFill="1" applyBorder="1" applyAlignment="1">
      <alignment vertical="center" wrapText="1"/>
    </xf>
    <xf numFmtId="3" fontId="13" fillId="16" borderId="45" xfId="0" applyNumberFormat="1" applyFont="1" applyFill="1" applyBorder="1" applyAlignment="1">
      <alignment vertical="center" wrapText="1"/>
    </xf>
    <xf numFmtId="3" fontId="13" fillId="32" borderId="45" xfId="0" applyNumberFormat="1" applyFont="1" applyFill="1" applyBorder="1" applyAlignment="1">
      <alignment vertical="center" wrapText="1"/>
    </xf>
    <xf numFmtId="3" fontId="13" fillId="0" borderId="53" xfId="0" applyNumberFormat="1" applyFont="1" applyBorder="1" applyAlignment="1">
      <alignment vertical="center" wrapText="1"/>
    </xf>
    <xf numFmtId="4" fontId="13" fillId="4" borderId="45" xfId="0" applyNumberFormat="1" applyFont="1" applyFill="1" applyBorder="1" applyAlignment="1">
      <alignment vertical="center" wrapText="1"/>
    </xf>
    <xf numFmtId="3" fontId="21" fillId="4" borderId="45" xfId="0" applyNumberFormat="1" applyFont="1" applyFill="1" applyBorder="1" applyAlignment="1">
      <alignment horizontal="center" vertical="center" wrapText="1"/>
    </xf>
    <xf numFmtId="3" fontId="13" fillId="5" borderId="36" xfId="0" applyNumberFormat="1" applyFont="1" applyFill="1" applyBorder="1" applyAlignment="1">
      <alignment vertical="center" wrapText="1"/>
    </xf>
    <xf numFmtId="4" fontId="29" fillId="5" borderId="45" xfId="0" applyNumberFormat="1" applyFont="1" applyFill="1" applyBorder="1" applyAlignment="1">
      <alignment vertical="center" wrapText="1"/>
    </xf>
    <xf numFmtId="4" fontId="29" fillId="5" borderId="80" xfId="0" applyNumberFormat="1" applyFont="1" applyFill="1" applyBorder="1" applyAlignment="1">
      <alignment vertical="center" wrapText="1"/>
    </xf>
    <xf numFmtId="3" fontId="13" fillId="16" borderId="219" xfId="0" applyNumberFormat="1" applyFont="1" applyFill="1" applyBorder="1" applyAlignment="1">
      <alignment vertical="center" wrapText="1"/>
    </xf>
    <xf numFmtId="3" fontId="13" fillId="16" borderId="220" xfId="0" applyNumberFormat="1" applyFont="1" applyFill="1" applyBorder="1" applyAlignment="1">
      <alignment vertical="center" wrapText="1"/>
    </xf>
    <xf numFmtId="0" fontId="15" fillId="14" borderId="217" xfId="0" applyFont="1" applyFill="1" applyBorder="1" applyAlignment="1">
      <alignment vertical="center" wrapText="1"/>
    </xf>
    <xf numFmtId="4" fontId="13" fillId="4" borderId="219" xfId="0" applyNumberFormat="1" applyFont="1" applyFill="1" applyBorder="1" applyAlignment="1">
      <alignment vertical="center" wrapText="1"/>
    </xf>
    <xf numFmtId="4" fontId="13" fillId="4" borderId="220" xfId="0" applyNumberFormat="1" applyFont="1" applyFill="1" applyBorder="1" applyAlignment="1">
      <alignment vertical="center" wrapText="1"/>
    </xf>
    <xf numFmtId="3" fontId="21" fillId="4" borderId="219" xfId="0" applyNumberFormat="1" applyFont="1" applyFill="1" applyBorder="1" applyAlignment="1">
      <alignment horizontal="center" vertical="center" wrapText="1"/>
    </xf>
    <xf numFmtId="3" fontId="5" fillId="4" borderId="235" xfId="0" applyNumberFormat="1" applyFont="1" applyFill="1" applyBorder="1" applyAlignment="1">
      <alignment vertical="center" wrapText="1"/>
    </xf>
    <xf numFmtId="0" fontId="19" fillId="14" borderId="225" xfId="0" applyFont="1" applyFill="1" applyBorder="1" applyAlignment="1">
      <alignment vertical="center" wrapText="1"/>
    </xf>
    <xf numFmtId="0" fontId="19" fillId="14" borderId="226" xfId="0" applyFont="1" applyFill="1" applyBorder="1" applyAlignment="1">
      <alignment vertical="center" wrapText="1"/>
    </xf>
    <xf numFmtId="3" fontId="13" fillId="5" borderId="227" xfId="0" applyNumberFormat="1" applyFont="1" applyFill="1" applyBorder="1" applyAlignment="1">
      <alignment vertical="center" wrapText="1"/>
    </xf>
    <xf numFmtId="3" fontId="13" fillId="5" borderId="228" xfId="0" applyNumberFormat="1" applyFont="1" applyFill="1" applyBorder="1" applyAlignment="1">
      <alignment vertical="center" wrapText="1"/>
    </xf>
    <xf numFmtId="4" fontId="29" fillId="5" borderId="219" xfId="0" applyNumberFormat="1" applyFont="1" applyFill="1" applyBorder="1" applyAlignment="1">
      <alignment vertical="center" wrapText="1"/>
    </xf>
    <xf numFmtId="4" fontId="29" fillId="5" borderId="220" xfId="0" applyNumberFormat="1" applyFont="1" applyFill="1" applyBorder="1" applyAlignment="1">
      <alignment vertical="center" wrapText="1"/>
    </xf>
    <xf numFmtId="4" fontId="29" fillId="5" borderId="229" xfId="0" applyNumberFormat="1" applyFont="1" applyFill="1" applyBorder="1" applyAlignment="1">
      <alignment vertical="center" wrapText="1"/>
    </xf>
    <xf numFmtId="4" fontId="29" fillId="5" borderId="230" xfId="0" applyNumberFormat="1" applyFont="1" applyFill="1" applyBorder="1" applyAlignment="1">
      <alignment vertical="center" wrapText="1"/>
    </xf>
    <xf numFmtId="3" fontId="21" fillId="5" borderId="219" xfId="0" applyNumberFormat="1" applyFont="1" applyFill="1" applyBorder="1" applyAlignment="1">
      <alignment horizontal="right" vertical="center" wrapText="1"/>
    </xf>
    <xf numFmtId="3" fontId="21" fillId="5" borderId="38" xfId="0" applyNumberFormat="1" applyFont="1" applyFill="1" applyBorder="1" applyAlignment="1">
      <alignment horizontal="right" vertical="center" wrapText="1"/>
    </xf>
    <xf numFmtId="177" fontId="5" fillId="15" borderId="172" xfId="0" quotePrefix="1" applyNumberFormat="1" applyFont="1" applyFill="1" applyBorder="1" applyAlignment="1">
      <alignment vertical="center" wrapText="1"/>
    </xf>
    <xf numFmtId="187" fontId="13" fillId="5" borderId="228" xfId="0" applyNumberFormat="1" applyFont="1" applyFill="1" applyBorder="1" applyAlignment="1">
      <alignment vertical="center" wrapText="1"/>
    </xf>
    <xf numFmtId="187" fontId="13" fillId="5" borderId="227" xfId="0" applyNumberFormat="1" applyFont="1" applyFill="1" applyBorder="1" applyAlignment="1">
      <alignment vertical="center" wrapText="1"/>
    </xf>
    <xf numFmtId="187" fontId="13" fillId="5" borderId="78" xfId="0" applyNumberFormat="1" applyFont="1" applyFill="1" applyBorder="1" applyAlignment="1">
      <alignment vertical="center" wrapText="1"/>
    </xf>
    <xf numFmtId="187" fontId="13" fillId="5" borderId="219" xfId="0" applyNumberFormat="1" applyFont="1" applyFill="1" applyBorder="1" applyAlignment="1">
      <alignment horizontal="right" vertical="center" wrapText="1"/>
    </xf>
    <xf numFmtId="187" fontId="13" fillId="5" borderId="38" xfId="0" applyNumberFormat="1" applyFont="1" applyFill="1" applyBorder="1" applyAlignment="1">
      <alignment horizontal="right" vertical="center" wrapText="1"/>
    </xf>
    <xf numFmtId="187" fontId="13" fillId="5" borderId="220" xfId="0" applyNumberFormat="1" applyFont="1" applyFill="1" applyBorder="1" applyAlignment="1">
      <alignment horizontal="right" vertical="center" wrapText="1"/>
    </xf>
    <xf numFmtId="187" fontId="13" fillId="5" borderId="221" xfId="0" applyNumberFormat="1" applyFont="1" applyFill="1" applyBorder="1" applyAlignment="1">
      <alignment horizontal="right" vertical="center" wrapText="1"/>
    </xf>
    <xf numFmtId="187" fontId="13" fillId="5" borderId="52" xfId="0" applyNumberFormat="1" applyFont="1" applyFill="1" applyBorder="1" applyAlignment="1">
      <alignment horizontal="right" vertical="center" wrapText="1"/>
    </xf>
    <xf numFmtId="187" fontId="5" fillId="5" borderId="54" xfId="0" applyNumberFormat="1" applyFont="1" applyFill="1" applyBorder="1" applyAlignment="1">
      <alignment horizontal="right" vertical="center" wrapText="1"/>
    </xf>
    <xf numFmtId="187" fontId="13" fillId="5" borderId="54" xfId="0" applyNumberFormat="1" applyFont="1" applyFill="1" applyBorder="1" applyAlignment="1">
      <alignment horizontal="right" vertical="center" wrapText="1"/>
    </xf>
    <xf numFmtId="187" fontId="13" fillId="5" borderId="222" xfId="0" applyNumberFormat="1" applyFont="1" applyFill="1" applyBorder="1" applyAlignment="1">
      <alignment horizontal="right" vertical="center" wrapText="1"/>
    </xf>
    <xf numFmtId="187" fontId="5" fillId="5" borderId="78" xfId="0" applyNumberFormat="1" applyFont="1" applyFill="1" applyBorder="1" applyAlignment="1">
      <alignment horizontal="right" vertical="center" wrapText="1"/>
    </xf>
    <xf numFmtId="192" fontId="5" fillId="3" borderId="38" xfId="0" applyNumberFormat="1" applyFont="1" applyFill="1" applyBorder="1" applyAlignment="1">
      <alignment vertical="center" wrapText="1"/>
    </xf>
    <xf numFmtId="192" fontId="5" fillId="5" borderId="38" xfId="0" applyNumberFormat="1" applyFont="1" applyFill="1" applyBorder="1" applyAlignment="1">
      <alignment vertical="center" wrapText="1"/>
    </xf>
    <xf numFmtId="192" fontId="5" fillId="5" borderId="220" xfId="0" applyNumberFormat="1" applyFont="1" applyFill="1" applyBorder="1" applyAlignment="1">
      <alignment vertical="center" wrapText="1"/>
    </xf>
    <xf numFmtId="193" fontId="5" fillId="5" borderId="219" xfId="0" applyNumberFormat="1" applyFont="1" applyFill="1" applyBorder="1" applyAlignment="1">
      <alignment vertical="center" wrapText="1"/>
    </xf>
    <xf numFmtId="193" fontId="5" fillId="3" borderId="38" xfId="0" applyNumberFormat="1" applyFont="1" applyFill="1" applyBorder="1" applyAlignment="1">
      <alignment vertical="center" wrapText="1"/>
    </xf>
    <xf numFmtId="193" fontId="5" fillId="5" borderId="38" xfId="0" applyNumberFormat="1" applyFont="1" applyFill="1" applyBorder="1" applyAlignment="1">
      <alignment vertical="center" wrapText="1"/>
    </xf>
    <xf numFmtId="193" fontId="5" fillId="5" borderId="220" xfId="0" applyNumberFormat="1" applyFont="1" applyFill="1" applyBorder="1" applyAlignment="1">
      <alignment vertical="center" wrapText="1"/>
    </xf>
    <xf numFmtId="187" fontId="15" fillId="5" borderId="227" xfId="0" applyNumberFormat="1" applyFont="1" applyFill="1" applyBorder="1" applyAlignment="1">
      <alignment vertical="center" wrapText="1"/>
    </xf>
    <xf numFmtId="187" fontId="15" fillId="5" borderId="78" xfId="0" applyNumberFormat="1" applyFont="1" applyFill="1" applyBorder="1" applyAlignment="1">
      <alignment vertical="center" wrapText="1"/>
    </xf>
    <xf numFmtId="187" fontId="15" fillId="5" borderId="228" xfId="0" applyNumberFormat="1" applyFont="1" applyFill="1" applyBorder="1" applyAlignment="1">
      <alignment vertical="center" wrapText="1"/>
    </xf>
    <xf numFmtId="187" fontId="13" fillId="5" borderId="230" xfId="0" applyNumberFormat="1" applyFont="1" applyFill="1" applyBorder="1" applyAlignment="1">
      <alignment vertical="center" wrapText="1"/>
    </xf>
    <xf numFmtId="187" fontId="13" fillId="5" borderId="229" xfId="0" applyNumberFormat="1" applyFont="1" applyFill="1" applyBorder="1" applyAlignment="1">
      <alignment vertical="center" wrapText="1"/>
    </xf>
    <xf numFmtId="187" fontId="5" fillId="5" borderId="37" xfId="0" applyNumberFormat="1" applyFont="1" applyFill="1" applyBorder="1" applyAlignment="1">
      <alignment vertical="center" wrapText="1"/>
    </xf>
    <xf numFmtId="187" fontId="13" fillId="5" borderId="37" xfId="0" applyNumberFormat="1" applyFont="1" applyFill="1" applyBorder="1" applyAlignment="1">
      <alignment vertical="center" wrapText="1"/>
    </xf>
    <xf numFmtId="193" fontId="5" fillId="0" borderId="37" xfId="0" applyNumberFormat="1" applyFont="1" applyBorder="1" applyAlignment="1">
      <alignment vertical="center" wrapText="1"/>
    </xf>
    <xf numFmtId="192" fontId="13" fillId="4" borderId="38" xfId="0" applyNumberFormat="1" applyFont="1" applyFill="1" applyBorder="1" applyAlignment="1">
      <alignment vertical="center" wrapText="1"/>
    </xf>
    <xf numFmtId="192" fontId="13" fillId="4" borderId="220" xfId="0" applyNumberFormat="1" applyFont="1" applyFill="1" applyBorder="1" applyAlignment="1">
      <alignment vertical="center" wrapText="1"/>
    </xf>
    <xf numFmtId="9" fontId="13" fillId="4" borderId="220" xfId="8" applyFont="1" applyFill="1" applyBorder="1" applyAlignment="1">
      <alignment vertical="center" wrapText="1"/>
    </xf>
    <xf numFmtId="10" fontId="13" fillId="4" borderId="219" xfId="8" applyNumberFormat="1" applyFont="1" applyFill="1" applyBorder="1" applyAlignment="1">
      <alignment vertical="center" wrapText="1"/>
    </xf>
    <xf numFmtId="191" fontId="5" fillId="3" borderId="38" xfId="8" applyNumberFormat="1" applyFont="1" applyFill="1" applyBorder="1" applyAlignment="1">
      <alignment vertical="center" wrapText="1"/>
    </xf>
    <xf numFmtId="191" fontId="13" fillId="4" borderId="220" xfId="8" applyNumberFormat="1" applyFont="1" applyFill="1" applyBorder="1" applyAlignment="1">
      <alignment vertical="center" wrapText="1"/>
    </xf>
    <xf numFmtId="191" fontId="13" fillId="5" borderId="219" xfId="8" applyNumberFormat="1" applyFont="1" applyFill="1" applyBorder="1" applyAlignment="1">
      <alignment vertical="center" wrapText="1"/>
    </xf>
    <xf numFmtId="191" fontId="5" fillId="5" borderId="38" xfId="8" applyNumberFormat="1" applyFont="1" applyFill="1" applyBorder="1" applyAlignment="1">
      <alignment vertical="center" wrapText="1"/>
    </xf>
    <xf numFmtId="191" fontId="13" fillId="5" borderId="38" xfId="8" applyNumberFormat="1" applyFont="1" applyFill="1" applyBorder="1" applyAlignment="1">
      <alignment vertical="center" wrapText="1"/>
    </xf>
    <xf numFmtId="191" fontId="13" fillId="5" borderId="220" xfId="8" applyNumberFormat="1" applyFont="1" applyFill="1" applyBorder="1" applyAlignment="1">
      <alignment vertical="center" wrapText="1"/>
    </xf>
    <xf numFmtId="192" fontId="21" fillId="5" borderId="219" xfId="0" applyNumberFormat="1" applyFont="1" applyFill="1" applyBorder="1" applyAlignment="1">
      <alignment vertical="center" wrapText="1"/>
    </xf>
    <xf numFmtId="192" fontId="21" fillId="5" borderId="38" xfId="0" applyNumberFormat="1" applyFont="1" applyFill="1" applyBorder="1" applyAlignment="1">
      <alignment vertical="center" wrapText="1"/>
    </xf>
    <xf numFmtId="192" fontId="21" fillId="5" borderId="220" xfId="0" applyNumberFormat="1" applyFont="1" applyFill="1" applyBorder="1" applyAlignment="1">
      <alignment vertical="center" wrapText="1"/>
    </xf>
    <xf numFmtId="191" fontId="13" fillId="28" borderId="219" xfId="8" applyNumberFormat="1" applyFont="1" applyFill="1" applyBorder="1" applyAlignment="1">
      <alignment vertical="center" wrapText="1"/>
    </xf>
    <xf numFmtId="191" fontId="5" fillId="28" borderId="38" xfId="8" applyNumberFormat="1" applyFont="1" applyFill="1" applyBorder="1" applyAlignment="1">
      <alignment vertical="center" wrapText="1"/>
    </xf>
    <xf numFmtId="191" fontId="13" fillId="28" borderId="38" xfId="8" applyNumberFormat="1" applyFont="1" applyFill="1" applyBorder="1" applyAlignment="1">
      <alignment vertical="center" wrapText="1"/>
    </xf>
    <xf numFmtId="191" fontId="13" fillId="28" borderId="220" xfId="8" applyNumberFormat="1" applyFont="1" applyFill="1" applyBorder="1" applyAlignment="1">
      <alignment vertical="center" wrapText="1"/>
    </xf>
    <xf numFmtId="187" fontId="21" fillId="0" borderId="38" xfId="0" applyNumberFormat="1" applyFont="1" applyBorder="1" applyAlignment="1">
      <alignment vertical="center" wrapText="1"/>
    </xf>
    <xf numFmtId="192" fontId="5" fillId="28" borderId="227" xfId="0" quotePrefix="1" applyNumberFormat="1" applyFont="1" applyFill="1" applyBorder="1" applyAlignment="1">
      <alignment vertical="center" wrapText="1"/>
    </xf>
    <xf numFmtId="192" fontId="5" fillId="28" borderId="78" xfId="0" quotePrefix="1" applyNumberFormat="1" applyFont="1" applyFill="1" applyBorder="1" applyAlignment="1">
      <alignment vertical="center" wrapText="1"/>
    </xf>
    <xf numFmtId="192" fontId="5" fillId="3" borderId="78" xfId="0" applyNumberFormat="1" applyFont="1" applyFill="1" applyBorder="1" applyAlignment="1">
      <alignment vertical="center" wrapText="1"/>
    </xf>
    <xf numFmtId="192" fontId="5" fillId="28" borderId="228" xfId="0" applyNumberFormat="1" applyFont="1" applyFill="1" applyBorder="1" applyAlignment="1">
      <alignment vertical="center" wrapText="1"/>
    </xf>
    <xf numFmtId="10" fontId="13" fillId="4" borderId="219" xfId="8" applyNumberFormat="1" applyFont="1" applyFill="1" applyBorder="1" applyAlignment="1">
      <alignment horizontal="right" vertical="center" wrapText="1"/>
    </xf>
    <xf numFmtId="185" fontId="13" fillId="5" borderId="219" xfId="8" applyNumberFormat="1" applyFont="1" applyFill="1" applyBorder="1" applyAlignment="1">
      <alignment horizontal="right" vertical="center" wrapText="1"/>
    </xf>
    <xf numFmtId="185" fontId="13" fillId="5" borderId="38" xfId="0" applyNumberFormat="1" applyFont="1" applyFill="1" applyBorder="1" applyAlignment="1">
      <alignment horizontal="right" vertical="center" wrapText="1"/>
    </xf>
    <xf numFmtId="185" fontId="13" fillId="5" borderId="220" xfId="0" applyNumberFormat="1" applyFont="1" applyFill="1" applyBorder="1" applyAlignment="1">
      <alignment horizontal="right" vertical="center" wrapText="1"/>
    </xf>
    <xf numFmtId="185" fontId="13" fillId="5" borderId="219" xfId="0" applyNumberFormat="1" applyFont="1" applyFill="1" applyBorder="1" applyAlignment="1">
      <alignment horizontal="right" vertical="center" wrapText="1"/>
    </xf>
    <xf numFmtId="9" fontId="5" fillId="0" borderId="38" xfId="8" applyFont="1" applyBorder="1" applyAlignment="1">
      <alignment horizontal="right" vertical="top" wrapText="1"/>
    </xf>
    <xf numFmtId="9" fontId="5" fillId="4" borderId="38" xfId="8" applyFont="1" applyFill="1" applyBorder="1" applyAlignment="1">
      <alignment horizontal="right" vertical="center" wrapText="1"/>
    </xf>
    <xf numFmtId="9" fontId="5" fillId="4" borderId="220" xfId="8" applyFont="1" applyFill="1" applyBorder="1" applyAlignment="1">
      <alignment horizontal="right" vertical="center" wrapText="1"/>
    </xf>
    <xf numFmtId="187" fontId="5" fillId="4" borderId="37" xfId="0" applyNumberFormat="1" applyFont="1" applyFill="1" applyBorder="1" applyAlignment="1">
      <alignment vertical="center" wrapText="1"/>
    </xf>
    <xf numFmtId="191" fontId="13" fillId="4" borderId="235" xfId="8" applyNumberFormat="1" applyFont="1" applyFill="1" applyBorder="1" applyAlignment="1">
      <alignment vertical="center" wrapText="1"/>
    </xf>
    <xf numFmtId="191" fontId="5" fillId="3" borderId="74" xfId="8" applyNumberFormat="1" applyFont="1" applyFill="1" applyBorder="1" applyAlignment="1">
      <alignment vertical="center" wrapText="1"/>
    </xf>
    <xf numFmtId="191" fontId="13" fillId="4" borderId="74" xfId="8" applyNumberFormat="1" applyFont="1" applyFill="1" applyBorder="1" applyAlignment="1">
      <alignment vertical="center" wrapText="1"/>
    </xf>
    <xf numFmtId="191" fontId="13" fillId="4" borderId="236" xfId="8" applyNumberFormat="1" applyFont="1" applyFill="1" applyBorder="1" applyAlignment="1">
      <alignment vertical="center" wrapText="1"/>
    </xf>
    <xf numFmtId="10" fontId="13" fillId="4" borderId="38" xfId="8" applyNumberFormat="1" applyFont="1" applyFill="1" applyBorder="1" applyAlignment="1">
      <alignment vertical="center" wrapText="1"/>
    </xf>
    <xf numFmtId="10" fontId="13" fillId="4" borderId="220" xfId="8" applyNumberFormat="1" applyFont="1" applyFill="1" applyBorder="1" applyAlignment="1">
      <alignment vertical="center" wrapText="1"/>
    </xf>
    <xf numFmtId="10" fontId="13" fillId="18" borderId="229" xfId="8" quotePrefix="1" applyNumberFormat="1" applyFont="1" applyFill="1" applyBorder="1" applyAlignment="1">
      <alignment vertical="center" wrapText="1"/>
    </xf>
    <xf numFmtId="9" fontId="13" fillId="18" borderId="230" xfId="8" applyFont="1" applyFill="1" applyBorder="1" applyAlignment="1">
      <alignment vertical="center" wrapText="1"/>
    </xf>
    <xf numFmtId="10" fontId="13" fillId="18" borderId="37" xfId="8" quotePrefix="1" applyNumberFormat="1" applyFont="1" applyFill="1" applyBorder="1" applyAlignment="1">
      <alignment vertical="center" wrapText="1"/>
    </xf>
    <xf numFmtId="10" fontId="13" fillId="18" borderId="230" xfId="8" applyNumberFormat="1" applyFont="1" applyFill="1" applyBorder="1" applyAlignment="1">
      <alignment vertical="center" wrapText="1"/>
    </xf>
    <xf numFmtId="9" fontId="13" fillId="18" borderId="229" xfId="8" applyFont="1" applyFill="1" applyBorder="1" applyAlignment="1">
      <alignment vertical="center" wrapText="1"/>
    </xf>
    <xf numFmtId="9" fontId="5" fillId="18" borderId="37" xfId="8" applyFont="1" applyFill="1" applyBorder="1" applyAlignment="1">
      <alignment vertical="center" wrapText="1"/>
    </xf>
    <xf numFmtId="9" fontId="13" fillId="18" borderId="37" xfId="8" applyFont="1" applyFill="1" applyBorder="1" applyAlignment="1">
      <alignment vertical="center" wrapText="1"/>
    </xf>
    <xf numFmtId="9" fontId="13" fillId="18" borderId="219" xfId="8" applyFont="1" applyFill="1" applyBorder="1" applyAlignment="1">
      <alignment vertical="center" wrapText="1"/>
    </xf>
    <xf numFmtId="9" fontId="5" fillId="18" borderId="38" xfId="8" applyFont="1" applyFill="1" applyBorder="1" applyAlignment="1">
      <alignment vertical="center" wrapText="1"/>
    </xf>
    <xf numFmtId="9" fontId="13" fillId="18" borderId="38" xfId="8" applyFont="1" applyFill="1" applyBorder="1" applyAlignment="1">
      <alignment vertical="center" wrapText="1"/>
    </xf>
    <xf numFmtId="9" fontId="13" fillId="18" borderId="220" xfId="8" applyFont="1" applyFill="1" applyBorder="1" applyAlignment="1">
      <alignment vertical="center" wrapText="1"/>
    </xf>
    <xf numFmtId="191" fontId="13" fillId="18" borderId="219" xfId="8" applyNumberFormat="1" applyFont="1" applyFill="1" applyBorder="1" applyAlignment="1">
      <alignment vertical="center" wrapText="1"/>
    </xf>
    <xf numFmtId="191" fontId="5" fillId="18" borderId="38" xfId="8" applyNumberFormat="1" applyFont="1" applyFill="1" applyBorder="1" applyAlignment="1">
      <alignment vertical="center" wrapText="1"/>
    </xf>
    <xf numFmtId="191" fontId="13" fillId="18" borderId="38" xfId="8" applyNumberFormat="1" applyFont="1" applyFill="1" applyBorder="1" applyAlignment="1">
      <alignment vertical="center" wrapText="1"/>
    </xf>
    <xf numFmtId="191" fontId="13" fillId="18" borderId="220" xfId="8" applyNumberFormat="1" applyFont="1" applyFill="1" applyBorder="1" applyAlignment="1">
      <alignment vertical="center" wrapText="1"/>
    </xf>
    <xf numFmtId="10" fontId="13" fillId="28" borderId="219" xfId="8" applyNumberFormat="1" applyFont="1" applyFill="1" applyBorder="1" applyAlignment="1">
      <alignment vertical="center" wrapText="1"/>
    </xf>
    <xf numFmtId="10" fontId="5" fillId="28" borderId="38" xfId="8" applyNumberFormat="1" applyFont="1" applyFill="1" applyBorder="1" applyAlignment="1">
      <alignment vertical="center" wrapText="1"/>
    </xf>
    <xf numFmtId="10" fontId="13" fillId="28" borderId="38" xfId="8" applyNumberFormat="1" applyFont="1" applyFill="1" applyBorder="1" applyAlignment="1">
      <alignment vertical="center" wrapText="1"/>
    </xf>
    <xf numFmtId="10" fontId="13" fillId="28" borderId="220" xfId="8" applyNumberFormat="1" applyFont="1" applyFill="1" applyBorder="1" applyAlignment="1">
      <alignment vertical="center" wrapText="1"/>
    </xf>
    <xf numFmtId="192" fontId="13" fillId="5" borderId="228" xfId="0" applyNumberFormat="1" applyFont="1" applyFill="1" applyBorder="1" applyAlignment="1">
      <alignment vertical="center" wrapText="1"/>
    </xf>
    <xf numFmtId="193" fontId="13" fillId="4" borderId="219" xfId="0" applyNumberFormat="1" applyFont="1" applyFill="1" applyBorder="1" applyAlignment="1">
      <alignment horizontal="right" vertical="center" wrapText="1"/>
    </xf>
    <xf numFmtId="193" fontId="5" fillId="3" borderId="38" xfId="0" applyNumberFormat="1" applyFont="1" applyFill="1" applyBorder="1" applyAlignment="1">
      <alignment horizontal="right" vertical="center" wrapText="1"/>
    </xf>
    <xf numFmtId="193" fontId="13" fillId="4" borderId="38" xfId="0" applyNumberFormat="1" applyFont="1" applyFill="1" applyBorder="1" applyAlignment="1">
      <alignment horizontal="right" vertical="center" wrapText="1"/>
    </xf>
    <xf numFmtId="193" fontId="13" fillId="4" borderId="220" xfId="0" applyNumberFormat="1" applyFont="1" applyFill="1" applyBorder="1" applyAlignment="1">
      <alignment horizontal="right" vertical="center" wrapText="1"/>
    </xf>
    <xf numFmtId="193" fontId="13" fillId="4" borderId="229" xfId="0" applyNumberFormat="1" applyFont="1" applyFill="1" applyBorder="1" applyAlignment="1">
      <alignment horizontal="right" vertical="center" wrapText="1"/>
    </xf>
    <xf numFmtId="193" fontId="5" fillId="3" borderId="37" xfId="0" applyNumberFormat="1" applyFont="1" applyFill="1" applyBorder="1" applyAlignment="1">
      <alignment horizontal="right" vertical="center" wrapText="1"/>
    </xf>
    <xf numFmtId="193" fontId="13" fillId="4" borderId="37" xfId="0" applyNumberFormat="1" applyFont="1" applyFill="1" applyBorder="1" applyAlignment="1">
      <alignment horizontal="right" vertical="center" wrapText="1"/>
    </xf>
    <xf numFmtId="193" fontId="13" fillId="4" borderId="230" xfId="0" applyNumberFormat="1" applyFont="1" applyFill="1" applyBorder="1" applyAlignment="1">
      <alignment horizontal="right" vertical="center" wrapText="1"/>
    </xf>
    <xf numFmtId="192" fontId="13" fillId="5" borderId="230" xfId="0" applyNumberFormat="1" applyFont="1" applyFill="1" applyBorder="1" applyAlignment="1">
      <alignment vertical="center" wrapText="1"/>
    </xf>
    <xf numFmtId="192" fontId="20" fillId="5" borderId="220" xfId="0" applyNumberFormat="1" applyFont="1" applyFill="1" applyBorder="1" applyAlignment="1">
      <alignment vertical="center" wrapText="1"/>
    </xf>
    <xf numFmtId="192" fontId="21" fillId="28" borderId="220" xfId="0" applyNumberFormat="1" applyFont="1" applyFill="1" applyBorder="1" applyAlignment="1">
      <alignment vertical="center" wrapText="1"/>
    </xf>
    <xf numFmtId="192" fontId="13" fillId="5" borderId="220" xfId="0" applyNumberFormat="1" applyFont="1" applyFill="1" applyBorder="1" applyAlignment="1">
      <alignment vertical="center" wrapText="1"/>
    </xf>
    <xf numFmtId="192" fontId="5" fillId="5" borderId="78" xfId="0" applyNumberFormat="1" applyFont="1" applyFill="1" applyBorder="1" applyAlignment="1">
      <alignment vertical="center" wrapText="1"/>
    </xf>
    <xf numFmtId="192" fontId="13" fillId="5" borderId="37" xfId="0" applyNumberFormat="1" applyFont="1" applyFill="1" applyBorder="1" applyAlignment="1">
      <alignment vertical="center" wrapText="1"/>
    </xf>
    <xf numFmtId="192" fontId="20" fillId="5" borderId="38" xfId="0" applyNumberFormat="1" applyFont="1" applyFill="1" applyBorder="1" applyAlignment="1">
      <alignment vertical="center" wrapText="1"/>
    </xf>
    <xf numFmtId="192" fontId="21" fillId="28" borderId="38" xfId="0" applyNumberFormat="1" applyFont="1" applyFill="1" applyBorder="1" applyAlignment="1">
      <alignment vertical="center" wrapText="1"/>
    </xf>
    <xf numFmtId="192" fontId="13" fillId="5" borderId="38" xfId="0" applyNumberFormat="1" applyFont="1" applyFill="1" applyBorder="1" applyAlignment="1">
      <alignment vertical="center" wrapText="1"/>
    </xf>
    <xf numFmtId="193" fontId="21" fillId="5" borderId="219" xfId="0" applyNumberFormat="1" applyFont="1" applyFill="1" applyBorder="1" applyAlignment="1">
      <alignment vertical="center" wrapText="1"/>
    </xf>
    <xf numFmtId="193" fontId="21" fillId="5" borderId="38" xfId="0" applyNumberFormat="1" applyFont="1" applyFill="1" applyBorder="1" applyAlignment="1">
      <alignment vertical="center" wrapText="1"/>
    </xf>
    <xf numFmtId="193" fontId="21" fillId="5" borderId="220" xfId="0" applyNumberFormat="1" applyFont="1" applyFill="1" applyBorder="1" applyAlignment="1">
      <alignment vertical="center" wrapText="1"/>
    </xf>
    <xf numFmtId="10" fontId="5" fillId="4" borderId="38" xfId="8" applyNumberFormat="1" applyFont="1" applyFill="1" applyBorder="1" applyAlignment="1">
      <alignment vertical="center" wrapText="1"/>
    </xf>
    <xf numFmtId="10" fontId="13" fillId="4" borderId="229" xfId="8" applyNumberFormat="1" applyFont="1" applyFill="1" applyBorder="1" applyAlignment="1">
      <alignment horizontal="right" vertical="center" wrapText="1"/>
    </xf>
    <xf numFmtId="10" fontId="5" fillId="3" borderId="37" xfId="0" applyNumberFormat="1" applyFont="1" applyFill="1" applyBorder="1" applyAlignment="1">
      <alignment horizontal="right" vertical="center" wrapText="1"/>
    </xf>
    <xf numFmtId="10" fontId="13" fillId="4" borderId="37" xfId="8" applyNumberFormat="1" applyFont="1" applyFill="1" applyBorder="1" applyAlignment="1">
      <alignment horizontal="right" vertical="center" wrapText="1"/>
    </xf>
    <xf numFmtId="10" fontId="5" fillId="3" borderId="37" xfId="8" applyNumberFormat="1" applyFont="1" applyFill="1" applyBorder="1" applyAlignment="1">
      <alignment horizontal="right" vertical="center" wrapText="1"/>
    </xf>
    <xf numFmtId="10" fontId="13" fillId="4" borderId="230" xfId="8" applyNumberFormat="1" applyFont="1" applyFill="1" applyBorder="1" applyAlignment="1">
      <alignment horizontal="right" vertical="center" wrapText="1"/>
    </xf>
    <xf numFmtId="10" fontId="5" fillId="3" borderId="38" xfId="0" applyNumberFormat="1" applyFont="1" applyFill="1" applyBorder="1" applyAlignment="1">
      <alignment horizontal="right" vertical="center" wrapText="1"/>
    </xf>
    <xf numFmtId="10" fontId="13" fillId="4" borderId="38" xfId="8" applyNumberFormat="1" applyFont="1" applyFill="1" applyBorder="1" applyAlignment="1">
      <alignment horizontal="right" vertical="center" wrapText="1"/>
    </xf>
    <xf numFmtId="10" fontId="5" fillId="3" borderId="38" xfId="8" applyNumberFormat="1" applyFont="1" applyFill="1" applyBorder="1" applyAlignment="1">
      <alignment horizontal="right" vertical="center" wrapText="1"/>
    </xf>
    <xf numFmtId="10" fontId="13" fillId="4" borderId="220" xfId="8" applyNumberFormat="1" applyFont="1" applyFill="1" applyBorder="1" applyAlignment="1">
      <alignment horizontal="right" vertical="center" wrapText="1"/>
    </xf>
    <xf numFmtId="10" fontId="13" fillId="5" borderId="219" xfId="8" applyNumberFormat="1" applyFont="1" applyFill="1" applyBorder="1" applyAlignment="1">
      <alignment horizontal="right" vertical="center" wrapText="1"/>
    </xf>
    <xf numFmtId="10" fontId="5" fillId="5" borderId="38" xfId="8" applyNumberFormat="1" applyFont="1" applyFill="1" applyBorder="1" applyAlignment="1">
      <alignment horizontal="right" vertical="center" wrapText="1"/>
    </xf>
    <xf numFmtId="10" fontId="13" fillId="5" borderId="38" xfId="8" applyNumberFormat="1" applyFont="1" applyFill="1" applyBorder="1" applyAlignment="1">
      <alignment horizontal="right" vertical="center" wrapText="1"/>
    </xf>
    <xf numFmtId="10" fontId="13" fillId="5" borderId="220" xfId="8" applyNumberFormat="1" applyFont="1" applyFill="1" applyBorder="1" applyAlignment="1">
      <alignment horizontal="right" vertical="center" wrapText="1"/>
    </xf>
    <xf numFmtId="0" fontId="5" fillId="3" borderId="42" xfId="0" quotePrefix="1" applyFont="1" applyFill="1" applyBorder="1" applyAlignment="1">
      <alignment horizontal="left" vertical="center"/>
    </xf>
    <xf numFmtId="38" fontId="21" fillId="21" borderId="38" xfId="1" applyNumberFormat="1" applyFont="1" applyFill="1" applyBorder="1" applyAlignment="1">
      <alignment horizontal="right" vertical="center" wrapText="1"/>
    </xf>
    <xf numFmtId="177" fontId="5" fillId="3" borderId="126" xfId="0" applyNumberFormat="1" applyFont="1" applyFill="1" applyBorder="1" applyAlignment="1">
      <alignment horizontal="left" vertical="top"/>
    </xf>
    <xf numFmtId="0" fontId="13" fillId="0" borderId="0" xfId="0" applyFont="1" applyAlignment="1">
      <alignment vertical="center" wrapText="1"/>
    </xf>
    <xf numFmtId="177" fontId="5" fillId="21" borderId="42" xfId="0" quotePrefix="1" applyNumberFormat="1" applyFont="1" applyFill="1" applyBorder="1">
      <alignment vertical="center"/>
    </xf>
    <xf numFmtId="177" fontId="5" fillId="21" borderId="42" xfId="0" quotePrefix="1" applyNumberFormat="1" applyFont="1" applyFill="1" applyBorder="1" applyAlignment="1">
      <alignment vertical="center" wrapText="1"/>
    </xf>
    <xf numFmtId="177" fontId="5" fillId="21" borderId="43" xfId="0" quotePrefix="1" applyNumberFormat="1" applyFont="1" applyFill="1" applyBorder="1" applyAlignment="1">
      <alignment horizontal="center" vertical="center"/>
    </xf>
    <xf numFmtId="0" fontId="5" fillId="21" borderId="42" xfId="0" applyFont="1" applyFill="1" applyBorder="1">
      <alignment vertical="center"/>
    </xf>
    <xf numFmtId="0" fontId="5" fillId="21" borderId="42" xfId="0" applyFont="1" applyFill="1" applyBorder="1" applyAlignment="1">
      <alignment vertical="center" wrapText="1"/>
    </xf>
    <xf numFmtId="0" fontId="5" fillId="21" borderId="43" xfId="0" applyFont="1" applyFill="1" applyBorder="1" applyAlignment="1">
      <alignment horizontal="center" vertical="center"/>
    </xf>
    <xf numFmtId="0" fontId="5" fillId="0" borderId="49" xfId="0" quotePrefix="1" applyFont="1" applyBorder="1" applyAlignment="1">
      <alignment vertical="top"/>
    </xf>
    <xf numFmtId="180" fontId="13" fillId="4" borderId="43" xfId="0" applyNumberFormat="1" applyFont="1" applyFill="1" applyBorder="1" applyAlignment="1">
      <alignment vertical="center" wrapText="1"/>
    </xf>
    <xf numFmtId="185" fontId="5" fillId="21" borderId="219" xfId="8" applyNumberFormat="1" applyFont="1" applyFill="1" applyBorder="1" applyAlignment="1">
      <alignment vertical="center" wrapText="1"/>
    </xf>
    <xf numFmtId="185" fontId="5" fillId="5" borderId="38" xfId="8" applyNumberFormat="1" applyFont="1" applyFill="1" applyBorder="1" applyAlignment="1">
      <alignment vertical="center" wrapText="1"/>
    </xf>
    <xf numFmtId="185" fontId="5" fillId="3" borderId="38" xfId="8" applyNumberFormat="1" applyFont="1" applyFill="1" applyBorder="1" applyAlignment="1">
      <alignment vertical="center" wrapText="1"/>
    </xf>
    <xf numFmtId="185" fontId="5" fillId="5" borderId="220" xfId="8" applyNumberFormat="1" applyFont="1" applyFill="1" applyBorder="1" applyAlignment="1">
      <alignment vertical="center" wrapText="1"/>
    </xf>
    <xf numFmtId="194" fontId="21" fillId="4" borderId="38" xfId="1" applyNumberFormat="1" applyFont="1" applyFill="1" applyBorder="1" applyAlignment="1">
      <alignment vertical="top" wrapText="1"/>
    </xf>
    <xf numFmtId="40" fontId="20" fillId="5" borderId="38" xfId="1" applyNumberFormat="1" applyFont="1" applyFill="1" applyBorder="1" applyAlignment="1">
      <alignment vertical="center" wrapText="1"/>
    </xf>
    <xf numFmtId="38" fontId="20" fillId="4" borderId="38" xfId="1" applyNumberFormat="1" applyFont="1" applyFill="1" applyBorder="1" applyAlignment="1">
      <alignment vertical="center" wrapText="1"/>
    </xf>
    <xf numFmtId="40" fontId="20" fillId="28" borderId="78" xfId="1" applyNumberFormat="1" applyFont="1" applyFill="1" applyBorder="1" applyAlignment="1">
      <alignment vertical="center" wrapText="1"/>
    </xf>
    <xf numFmtId="40" fontId="20" fillId="4" borderId="38" xfId="1" applyNumberFormat="1" applyFont="1" applyFill="1" applyBorder="1" applyAlignment="1">
      <alignment vertical="center" wrapText="1"/>
    </xf>
    <xf numFmtId="40" fontId="20" fillId="4" borderId="54" xfId="1" applyNumberFormat="1" applyFont="1" applyFill="1" applyBorder="1" applyAlignment="1">
      <alignment vertical="center" wrapText="1"/>
    </xf>
    <xf numFmtId="38" fontId="20" fillId="4" borderId="38" xfId="1" applyNumberFormat="1" applyFont="1" applyFill="1" applyBorder="1" applyAlignment="1">
      <alignment horizontal="right" vertical="center" wrapText="1"/>
    </xf>
    <xf numFmtId="40" fontId="20" fillId="5" borderId="78" xfId="1" quotePrefix="1" applyNumberFormat="1" applyFont="1" applyFill="1" applyBorder="1" applyAlignment="1">
      <alignment horizontal="right" vertical="center" wrapText="1"/>
    </xf>
    <xf numFmtId="40" fontId="20" fillId="4" borderId="38" xfId="1" applyNumberFormat="1" applyFont="1" applyFill="1" applyBorder="1" applyAlignment="1">
      <alignment horizontal="right" vertical="center" wrapText="1"/>
    </xf>
    <xf numFmtId="40" fontId="23" fillId="22" borderId="37" xfId="1" applyNumberFormat="1" applyFont="1" applyFill="1" applyBorder="1" applyAlignment="1">
      <alignment horizontal="right" vertical="center" wrapText="1"/>
    </xf>
    <xf numFmtId="40" fontId="20" fillId="28" borderId="38" xfId="1" applyNumberFormat="1" applyFont="1" applyFill="1" applyBorder="1" applyAlignment="1">
      <alignment vertical="center" wrapText="1"/>
    </xf>
    <xf numFmtId="40" fontId="23" fillId="22" borderId="38" xfId="1" applyNumberFormat="1" applyFont="1" applyFill="1" applyBorder="1" applyAlignment="1">
      <alignment horizontal="right" vertical="center" wrapText="1"/>
    </xf>
    <xf numFmtId="40" fontId="23" fillId="39" borderId="38" xfId="1" applyNumberFormat="1" applyFont="1" applyFill="1" applyBorder="1" applyAlignment="1">
      <alignment horizontal="right" vertical="center" wrapText="1"/>
    </xf>
    <xf numFmtId="3" fontId="20" fillId="4" borderId="38" xfId="0" applyNumberFormat="1" applyFont="1" applyFill="1" applyBorder="1" applyAlignment="1">
      <alignment vertical="center" wrapText="1"/>
    </xf>
    <xf numFmtId="180" fontId="20" fillId="3" borderId="38" xfId="0" applyNumberFormat="1" applyFont="1" applyFill="1" applyBorder="1" applyAlignment="1">
      <alignment horizontal="right" vertical="top" wrapText="1"/>
    </xf>
    <xf numFmtId="40" fontId="20" fillId="18" borderId="38" xfId="1" applyNumberFormat="1" applyFont="1" applyFill="1" applyBorder="1" applyAlignment="1">
      <alignment vertical="center" wrapText="1"/>
    </xf>
    <xf numFmtId="40" fontId="20" fillId="4" borderId="78" xfId="1" quotePrefix="1" applyNumberFormat="1" applyFont="1" applyFill="1" applyBorder="1" applyAlignment="1">
      <alignment horizontal="right" vertical="center" wrapText="1"/>
    </xf>
    <xf numFmtId="40" fontId="20" fillId="5" borderId="78" xfId="1" applyNumberFormat="1" applyFont="1" applyFill="1" applyBorder="1" applyAlignment="1">
      <alignment vertical="center" wrapText="1"/>
    </xf>
    <xf numFmtId="40" fontId="21" fillId="45" borderId="38" xfId="1" applyNumberFormat="1" applyFont="1" applyFill="1" applyBorder="1" applyAlignment="1">
      <alignment vertical="center" wrapText="1"/>
    </xf>
    <xf numFmtId="40" fontId="21" fillId="21" borderId="38" xfId="1" applyNumberFormat="1" applyFont="1" applyFill="1" applyBorder="1" applyAlignment="1">
      <alignment vertical="center" wrapText="1"/>
    </xf>
    <xf numFmtId="0" fontId="5" fillId="21" borderId="127" xfId="0" applyFont="1" applyFill="1" applyBorder="1" applyAlignment="1">
      <alignment horizontal="center" vertical="top"/>
    </xf>
    <xf numFmtId="0" fontId="5" fillId="21" borderId="42" xfId="0" quotePrefix="1" applyFont="1" applyFill="1" applyBorder="1">
      <alignment vertical="center"/>
    </xf>
    <xf numFmtId="0" fontId="5" fillId="21" borderId="38" xfId="0" applyFont="1" applyFill="1" applyBorder="1" applyAlignment="1">
      <alignment vertical="top"/>
    </xf>
    <xf numFmtId="0" fontId="5" fillId="21" borderId="42" xfId="0" applyFont="1" applyFill="1" applyBorder="1" applyAlignment="1">
      <alignment vertical="top"/>
    </xf>
    <xf numFmtId="0" fontId="5" fillId="21" borderId="57" xfId="0" applyFont="1" applyFill="1" applyBorder="1" applyAlignment="1">
      <alignment vertical="top"/>
    </xf>
    <xf numFmtId="0" fontId="5" fillId="21" borderId="54" xfId="0" applyFont="1" applyFill="1" applyBorder="1" applyAlignment="1">
      <alignment horizontal="center" vertical="center"/>
    </xf>
    <xf numFmtId="178" fontId="11" fillId="21" borderId="54" xfId="0" applyNumberFormat="1" applyFont="1" applyFill="1" applyBorder="1" applyAlignment="1">
      <alignment vertical="center" wrapText="1"/>
    </xf>
    <xf numFmtId="178" fontId="5" fillId="21" borderId="54" xfId="0" applyNumberFormat="1" applyFont="1" applyFill="1" applyBorder="1" applyAlignment="1">
      <alignment vertical="center" wrapText="1"/>
    </xf>
    <xf numFmtId="178" fontId="5" fillId="21" borderId="38" xfId="0" applyNumberFormat="1" applyFont="1" applyFill="1" applyBorder="1" applyAlignment="1">
      <alignment horizontal="right" vertical="top" wrapText="1"/>
    </xf>
    <xf numFmtId="0" fontId="21" fillId="21" borderId="54" xfId="0" applyFont="1" applyFill="1" applyBorder="1" applyAlignment="1">
      <alignment vertical="top" wrapText="1"/>
    </xf>
    <xf numFmtId="40" fontId="21" fillId="21" borderId="38" xfId="1" applyNumberFormat="1" applyFont="1" applyFill="1" applyBorder="1" applyAlignment="1">
      <alignment horizontal="right" vertical="center" wrapText="1"/>
    </xf>
    <xf numFmtId="0" fontId="5" fillId="21" borderId="45" xfId="0" quotePrefix="1" applyFont="1" applyFill="1" applyBorder="1" applyAlignment="1">
      <alignment horizontal="left" vertical="center"/>
    </xf>
    <xf numFmtId="0" fontId="5" fillId="21" borderId="43" xfId="0" quotePrefix="1" applyFont="1" applyFill="1" applyBorder="1">
      <alignment vertical="center"/>
    </xf>
    <xf numFmtId="0" fontId="5" fillId="21" borderId="54" xfId="0" quotePrefix="1" applyFont="1" applyFill="1" applyBorder="1" applyAlignment="1">
      <alignment vertical="top"/>
    </xf>
    <xf numFmtId="0" fontId="5" fillId="21" borderId="57" xfId="0" quotePrefix="1" applyFont="1" applyFill="1" applyBorder="1" applyAlignment="1">
      <alignment vertical="top"/>
    </xf>
    <xf numFmtId="0" fontId="5" fillId="21" borderId="43" xfId="0" quotePrefix="1" applyFont="1" applyFill="1" applyBorder="1" applyAlignment="1">
      <alignment vertical="top"/>
    </xf>
    <xf numFmtId="0" fontId="5" fillId="21" borderId="45" xfId="0" quotePrefix="1" applyFont="1" applyFill="1" applyBorder="1" applyAlignment="1">
      <alignment horizontal="left" vertical="top" wrapText="1"/>
    </xf>
    <xf numFmtId="0" fontId="5" fillId="21" borderId="38" xfId="0" applyFont="1" applyFill="1" applyBorder="1" applyAlignment="1">
      <alignment horizontal="center" vertical="center"/>
    </xf>
    <xf numFmtId="178" fontId="11" fillId="21" borderId="38" xfId="0" applyNumberFormat="1" applyFont="1" applyFill="1" applyBorder="1" applyAlignment="1">
      <alignment vertical="center" wrapText="1"/>
    </xf>
    <xf numFmtId="178" fontId="5" fillId="21" borderId="38" xfId="0" applyNumberFormat="1" applyFont="1" applyFill="1" applyBorder="1" applyAlignment="1">
      <alignment vertical="center" wrapText="1"/>
    </xf>
    <xf numFmtId="38" fontId="21" fillId="45" borderId="38" xfId="1" applyNumberFormat="1" applyFont="1" applyFill="1" applyBorder="1" applyAlignment="1">
      <alignment vertical="center" wrapText="1"/>
    </xf>
    <xf numFmtId="38" fontId="21" fillId="21" borderId="54" xfId="0" applyNumberFormat="1" applyFont="1" applyFill="1" applyBorder="1" applyAlignment="1">
      <alignment vertical="top" wrapText="1"/>
    </xf>
    <xf numFmtId="0" fontId="5" fillId="21" borderId="131" xfId="0" applyFont="1" applyFill="1" applyBorder="1" applyAlignment="1">
      <alignment horizontal="center" vertical="top"/>
    </xf>
    <xf numFmtId="0" fontId="5" fillId="21" borderId="57" xfId="0" quotePrefix="1" applyFont="1" applyFill="1" applyBorder="1" applyAlignment="1">
      <alignment horizontal="left" vertical="center"/>
    </xf>
    <xf numFmtId="0" fontId="5" fillId="21" borderId="52" xfId="0" quotePrefix="1" applyFont="1" applyFill="1" applyBorder="1">
      <alignment vertical="center"/>
    </xf>
    <xf numFmtId="0" fontId="5" fillId="21" borderId="82" xfId="0" quotePrefix="1" applyFont="1" applyFill="1" applyBorder="1">
      <alignment vertical="center"/>
    </xf>
    <xf numFmtId="0" fontId="5" fillId="21" borderId="52" xfId="0" applyFont="1" applyFill="1" applyBorder="1" applyAlignment="1">
      <alignment horizontal="center" vertical="center"/>
    </xf>
    <xf numFmtId="0" fontId="5" fillId="21" borderId="75" xfId="0" quotePrefix="1" applyFont="1" applyFill="1" applyBorder="1" applyAlignment="1">
      <alignment vertical="top"/>
    </xf>
    <xf numFmtId="0" fontId="5" fillId="21" borderId="70" xfId="0" quotePrefix="1" applyFont="1" applyFill="1" applyBorder="1" applyAlignment="1">
      <alignment vertical="top"/>
    </xf>
    <xf numFmtId="0" fontId="5" fillId="21" borderId="67" xfId="0" quotePrefix="1" applyFont="1" applyFill="1" applyBorder="1" applyAlignment="1">
      <alignment vertical="top"/>
    </xf>
    <xf numFmtId="0" fontId="5" fillId="21" borderId="53" xfId="0" quotePrefix="1" applyFont="1" applyFill="1" applyBorder="1" applyAlignment="1">
      <alignment horizontal="left" vertical="top" wrapText="1"/>
    </xf>
    <xf numFmtId="0" fontId="5" fillId="21" borderId="74" xfId="0" applyFont="1" applyFill="1" applyBorder="1" applyAlignment="1">
      <alignment horizontal="center" vertical="center"/>
    </xf>
    <xf numFmtId="178" fontId="20" fillId="21" borderId="74" xfId="0" applyNumberFormat="1" applyFont="1" applyFill="1" applyBorder="1" applyAlignment="1">
      <alignment vertical="center" wrapText="1"/>
    </xf>
    <xf numFmtId="178" fontId="11" fillId="21" borderId="74" xfId="0" applyNumberFormat="1" applyFont="1" applyFill="1" applyBorder="1" applyAlignment="1">
      <alignment vertical="center" wrapText="1"/>
    </xf>
    <xf numFmtId="178" fontId="5" fillId="21" borderId="74" xfId="0" applyNumberFormat="1" applyFont="1" applyFill="1" applyBorder="1" applyAlignment="1">
      <alignment vertical="center" wrapText="1"/>
    </xf>
    <xf numFmtId="38" fontId="21" fillId="21" borderId="54" xfId="1" applyNumberFormat="1" applyFont="1" applyFill="1" applyBorder="1" applyAlignment="1">
      <alignment vertical="center" wrapText="1"/>
    </xf>
    <xf numFmtId="38" fontId="21" fillId="21" borderId="38" xfId="1" applyNumberFormat="1" applyFont="1" applyFill="1" applyBorder="1" applyAlignment="1">
      <alignment vertical="center" wrapText="1"/>
    </xf>
    <xf numFmtId="38" fontId="21" fillId="21" borderId="78" xfId="0" applyNumberFormat="1" applyFont="1" applyFill="1" applyBorder="1" applyAlignment="1">
      <alignment vertical="top" wrapText="1"/>
    </xf>
    <xf numFmtId="38" fontId="21" fillId="21" borderId="78" xfId="1" applyNumberFormat="1" applyFont="1" applyFill="1" applyBorder="1" applyAlignment="1">
      <alignment vertical="center" wrapText="1"/>
    </xf>
    <xf numFmtId="38" fontId="21" fillId="21" borderId="38" xfId="0" applyNumberFormat="1" applyFont="1" applyFill="1" applyBorder="1" applyAlignment="1">
      <alignment vertical="top" wrapText="1"/>
    </xf>
    <xf numFmtId="40" fontId="20" fillId="21" borderId="37" xfId="1" applyNumberFormat="1" applyFont="1" applyFill="1" applyBorder="1" applyAlignment="1">
      <alignment vertical="center" wrapText="1"/>
    </xf>
    <xf numFmtId="38" fontId="20" fillId="21" borderId="74" xfId="1" applyNumberFormat="1" applyFont="1" applyFill="1" applyBorder="1" applyAlignment="1">
      <alignment vertical="center" wrapText="1"/>
    </xf>
    <xf numFmtId="40" fontId="21" fillId="21" borderId="37" xfId="1" applyNumberFormat="1" applyFont="1" applyFill="1" applyBorder="1" applyAlignment="1">
      <alignment vertical="center" wrapText="1"/>
    </xf>
    <xf numFmtId="40" fontId="24" fillId="47" borderId="37" xfId="1" applyNumberFormat="1" applyFont="1" applyFill="1" applyBorder="1" applyAlignment="1">
      <alignment horizontal="right" vertical="center" wrapText="1"/>
    </xf>
    <xf numFmtId="40" fontId="24" fillId="47" borderId="38" xfId="1" applyNumberFormat="1" applyFont="1" applyFill="1" applyBorder="1" applyAlignment="1">
      <alignment horizontal="right" vertical="center" wrapText="1"/>
    </xf>
    <xf numFmtId="38" fontId="24" fillId="47" borderId="38" xfId="1" applyNumberFormat="1" applyFont="1" applyFill="1" applyBorder="1" applyAlignment="1">
      <alignment horizontal="right" vertical="center" wrapText="1"/>
    </xf>
    <xf numFmtId="40" fontId="21" fillId="21" borderId="78" xfId="1" applyNumberFormat="1" applyFont="1" applyFill="1" applyBorder="1" applyAlignment="1">
      <alignment horizontal="right" vertical="center" wrapText="1"/>
    </xf>
    <xf numFmtId="40" fontId="20" fillId="21" borderId="78" xfId="1" applyNumberFormat="1" applyFont="1" applyFill="1" applyBorder="1" applyAlignment="1">
      <alignment horizontal="right" vertical="center" wrapText="1"/>
    </xf>
    <xf numFmtId="0" fontId="5" fillId="45" borderId="43" xfId="0" applyFont="1" applyFill="1" applyBorder="1" applyAlignment="1">
      <alignment horizontal="right" vertical="center" wrapText="1"/>
    </xf>
    <xf numFmtId="3" fontId="11" fillId="45" borderId="43" xfId="0" quotePrefix="1" applyNumberFormat="1" applyFont="1" applyFill="1" applyBorder="1" applyAlignment="1">
      <alignment horizontal="right" vertical="center" wrapText="1"/>
    </xf>
    <xf numFmtId="182" fontId="21" fillId="15" borderId="43" xfId="0" quotePrefix="1" applyNumberFormat="1" applyFont="1" applyFill="1" applyBorder="1" applyAlignment="1">
      <alignment horizontal="right" vertical="center" wrapText="1"/>
    </xf>
    <xf numFmtId="177" fontId="21" fillId="3" borderId="38" xfId="0" quotePrefix="1" applyNumberFormat="1" applyFont="1" applyFill="1" applyBorder="1" applyAlignment="1">
      <alignment horizontal="right" vertical="center"/>
    </xf>
    <xf numFmtId="0" fontId="4" fillId="6" borderId="14" xfId="0" applyFont="1" applyFill="1" applyBorder="1" applyAlignment="1">
      <alignment horizontal="center" vertical="center"/>
    </xf>
    <xf numFmtId="9" fontId="0" fillId="21" borderId="38" xfId="8" applyFont="1" applyFill="1" applyBorder="1" applyAlignment="1">
      <alignment vertical="center" wrapText="1"/>
    </xf>
    <xf numFmtId="9" fontId="0" fillId="21" borderId="38" xfId="8" applyFont="1" applyFill="1" applyBorder="1" applyAlignment="1">
      <alignment vertical="top" wrapText="1"/>
    </xf>
    <xf numFmtId="9" fontId="0" fillId="21" borderId="282" xfId="8" applyFont="1" applyFill="1" applyBorder="1" applyAlignment="1">
      <alignment vertical="top" wrapText="1"/>
    </xf>
    <xf numFmtId="41" fontId="13" fillId="21" borderId="219" xfId="1" applyFont="1" applyFill="1" applyBorder="1" applyAlignment="1">
      <alignment horizontal="right" vertical="center" wrapText="1"/>
    </xf>
    <xf numFmtId="41" fontId="5" fillId="3" borderId="43" xfId="1" applyFont="1" applyFill="1" applyBorder="1" applyAlignment="1">
      <alignment horizontal="right" vertical="center" wrapText="1"/>
    </xf>
    <xf numFmtId="41" fontId="13" fillId="21" borderId="296" xfId="1" applyFont="1" applyFill="1" applyBorder="1" applyAlignment="1">
      <alignment horizontal="right" vertical="center" wrapText="1"/>
    </xf>
    <xf numFmtId="178" fontId="13" fillId="21" borderId="219" xfId="0" applyNumberFormat="1" applyFont="1" applyFill="1" applyBorder="1" applyAlignment="1">
      <alignment horizontal="right" vertical="center" wrapText="1"/>
    </xf>
    <xf numFmtId="178" fontId="13" fillId="21" borderId="296" xfId="0" applyNumberFormat="1" applyFont="1" applyFill="1" applyBorder="1" applyAlignment="1">
      <alignment horizontal="right" vertical="center" wrapText="1"/>
    </xf>
    <xf numFmtId="9" fontId="13" fillId="21" borderId="219" xfId="5" applyFont="1" applyFill="1" applyBorder="1" applyAlignment="1">
      <alignment horizontal="right" vertical="center" wrapText="1"/>
    </xf>
    <xf numFmtId="9" fontId="5" fillId="3" borderId="43" xfId="5" applyFont="1" applyFill="1" applyBorder="1" applyAlignment="1">
      <alignment horizontal="right" vertical="center" wrapText="1"/>
    </xf>
    <xf numFmtId="9" fontId="13" fillId="21" borderId="296" xfId="5" applyFont="1" applyFill="1" applyBorder="1" applyAlignment="1">
      <alignment horizontal="right" vertical="center" wrapText="1"/>
    </xf>
    <xf numFmtId="178" fontId="13" fillId="21" borderId="38" xfId="0" applyNumberFormat="1" applyFont="1" applyFill="1" applyBorder="1" applyAlignment="1">
      <alignment horizontal="right" vertical="center" wrapText="1"/>
    </xf>
    <xf numFmtId="178" fontId="13" fillId="21" borderId="220" xfId="0" applyNumberFormat="1" applyFont="1" applyFill="1" applyBorder="1" applyAlignment="1">
      <alignment horizontal="right" vertical="center" wrapText="1"/>
    </xf>
    <xf numFmtId="9" fontId="13" fillId="21" borderId="219" xfId="5" applyFont="1" applyFill="1" applyBorder="1" applyAlignment="1">
      <alignment vertical="center" wrapText="1"/>
    </xf>
    <xf numFmtId="9" fontId="0" fillId="3" borderId="43" xfId="5" applyFont="1" applyFill="1" applyBorder="1" applyAlignment="1">
      <alignment vertical="center" wrapText="1"/>
    </xf>
    <xf numFmtId="9" fontId="13" fillId="21" borderId="296" xfId="5" applyFont="1" applyFill="1" applyBorder="1" applyAlignment="1">
      <alignment vertical="center" wrapText="1"/>
    </xf>
    <xf numFmtId="9" fontId="13" fillId="21" borderId="219" xfId="8" applyFont="1" applyFill="1" applyBorder="1" applyAlignment="1">
      <alignment vertical="center" wrapText="1"/>
    </xf>
    <xf numFmtId="178" fontId="1" fillId="21" borderId="38" xfId="3" applyNumberFormat="1" applyFill="1" applyBorder="1" applyAlignment="1">
      <alignment vertical="top" wrapText="1"/>
    </xf>
    <xf numFmtId="9" fontId="13" fillId="21" borderId="38" xfId="8" applyFont="1" applyFill="1" applyBorder="1" applyAlignment="1">
      <alignment vertical="center" wrapText="1"/>
    </xf>
    <xf numFmtId="9" fontId="13" fillId="21" borderId="220" xfId="8" applyFont="1" applyFill="1" applyBorder="1" applyAlignment="1">
      <alignment vertical="center" wrapText="1"/>
    </xf>
    <xf numFmtId="3" fontId="5" fillId="0" borderId="220" xfId="3" quotePrefix="1" applyNumberFormat="1" applyFont="1" applyBorder="1" applyAlignment="1">
      <alignment horizontal="center" vertical="center"/>
    </xf>
    <xf numFmtId="3" fontId="5" fillId="0" borderId="220" xfId="3" applyNumberFormat="1" applyFont="1" applyBorder="1" applyAlignment="1">
      <alignment horizontal="center" vertical="center" wrapText="1"/>
    </xf>
    <xf numFmtId="3" fontId="5" fillId="0" borderId="220" xfId="3" applyNumberFormat="1" applyFont="1" applyBorder="1" applyAlignment="1">
      <alignment horizontal="center" vertical="center"/>
    </xf>
    <xf numFmtId="178" fontId="13" fillId="21" borderId="38" xfId="3" applyNumberFormat="1" applyFont="1" applyFill="1" applyBorder="1" applyAlignment="1">
      <alignment horizontal="right" vertical="top" wrapText="1"/>
    </xf>
    <xf numFmtId="178" fontId="5" fillId="21" borderId="38" xfId="3" applyNumberFormat="1" applyFont="1" applyFill="1" applyBorder="1" applyAlignment="1">
      <alignment horizontal="right" vertical="center" wrapText="1"/>
    </xf>
    <xf numFmtId="178" fontId="13" fillId="21" borderId="220" xfId="3" applyNumberFormat="1" applyFont="1" applyFill="1" applyBorder="1" applyAlignment="1">
      <alignment horizontal="right" vertical="center" wrapText="1"/>
    </xf>
    <xf numFmtId="178" fontId="13" fillId="21" borderId="38" xfId="3" applyNumberFormat="1" applyFont="1" applyFill="1" applyBorder="1" applyAlignment="1">
      <alignment horizontal="right" vertical="center" wrapText="1"/>
    </xf>
    <xf numFmtId="43" fontId="13" fillId="21" borderId="219" xfId="7" applyFont="1" applyFill="1" applyBorder="1" applyAlignment="1">
      <alignment horizontal="right" vertical="center" wrapText="1"/>
    </xf>
    <xf numFmtId="43" fontId="13" fillId="21" borderId="38" xfId="7" applyFont="1" applyFill="1" applyBorder="1" applyAlignment="1">
      <alignment horizontal="right" vertical="center" wrapText="1"/>
    </xf>
    <xf numFmtId="43" fontId="13" fillId="21" borderId="220" xfId="7" applyFont="1" applyFill="1" applyBorder="1" applyAlignment="1">
      <alignment horizontal="right" vertical="center" wrapText="1"/>
    </xf>
    <xf numFmtId="9" fontId="29" fillId="21" borderId="219" xfId="5" applyFont="1" applyFill="1" applyBorder="1" applyAlignment="1">
      <alignment vertical="center" wrapText="1"/>
    </xf>
    <xf numFmtId="178" fontId="21" fillId="21" borderId="38" xfId="0" applyNumberFormat="1" applyFont="1" applyFill="1" applyBorder="1" applyAlignment="1">
      <alignment vertical="center" wrapText="1"/>
    </xf>
    <xf numFmtId="9" fontId="29" fillId="21" borderId="38" xfId="5" applyFont="1" applyFill="1" applyBorder="1" applyAlignment="1">
      <alignment vertical="center" wrapText="1"/>
    </xf>
    <xf numFmtId="178" fontId="13" fillId="21" borderId="219" xfId="0" applyNumberFormat="1" applyFont="1" applyFill="1" applyBorder="1" applyAlignment="1">
      <alignment vertical="center" wrapText="1"/>
    </xf>
    <xf numFmtId="178" fontId="13" fillId="21" borderId="38" xfId="0" applyNumberFormat="1" applyFont="1" applyFill="1" applyBorder="1" applyAlignment="1">
      <alignment vertical="center" wrapText="1"/>
    </xf>
    <xf numFmtId="178" fontId="13" fillId="21" borderId="220" xfId="0" applyNumberFormat="1" applyFont="1" applyFill="1" applyBorder="1" applyAlignment="1">
      <alignment vertical="center" wrapText="1"/>
    </xf>
    <xf numFmtId="0" fontId="4" fillId="7" borderId="8" xfId="0" applyFont="1" applyFill="1" applyBorder="1">
      <alignment vertical="center"/>
    </xf>
    <xf numFmtId="0" fontId="4" fillId="7" borderId="151" xfId="0" applyFont="1" applyFill="1" applyBorder="1" applyAlignment="1">
      <alignment horizontal="center" vertical="center"/>
    </xf>
    <xf numFmtId="0" fontId="4" fillId="7" borderId="213" xfId="0" applyFont="1" applyFill="1" applyBorder="1" applyAlignment="1">
      <alignment horizontal="center" vertical="center" wrapText="1"/>
    </xf>
    <xf numFmtId="3" fontId="15" fillId="12" borderId="215" xfId="0" applyNumberFormat="1" applyFont="1" applyFill="1" applyBorder="1" applyAlignment="1">
      <alignment horizontal="center" vertical="center"/>
    </xf>
    <xf numFmtId="3" fontId="15" fillId="14" borderId="217" xfId="0" applyNumberFormat="1" applyFont="1" applyFill="1" applyBorder="1" applyAlignment="1">
      <alignment horizontal="left" vertical="center"/>
    </xf>
    <xf numFmtId="178" fontId="15" fillId="14" borderId="217" xfId="0" applyNumberFormat="1" applyFont="1" applyFill="1" applyBorder="1" applyAlignment="1">
      <alignment horizontal="right" vertical="center" wrapText="1"/>
    </xf>
    <xf numFmtId="0" fontId="15" fillId="14" borderId="217" xfId="0" applyFont="1" applyFill="1" applyBorder="1" applyAlignment="1">
      <alignment horizontal="left" vertical="center"/>
    </xf>
    <xf numFmtId="3" fontId="5" fillId="0" borderId="43" xfId="0" applyNumberFormat="1" applyFont="1" applyBorder="1" applyAlignment="1">
      <alignment horizontal="center" vertical="center"/>
    </xf>
    <xf numFmtId="0" fontId="5" fillId="3" borderId="301" xfId="0" applyFont="1" applyFill="1" applyBorder="1" applyAlignment="1">
      <alignment horizontal="center" vertical="top"/>
    </xf>
    <xf numFmtId="177" fontId="5" fillId="0" borderId="34" xfId="0" quotePrefix="1" applyNumberFormat="1" applyFont="1" applyBorder="1" applyAlignment="1">
      <alignment horizontal="center" vertical="center"/>
    </xf>
    <xf numFmtId="40" fontId="21" fillId="4" borderId="303" xfId="1" quotePrefix="1" applyNumberFormat="1" applyFont="1" applyFill="1" applyBorder="1" applyAlignment="1">
      <alignment horizontal="right" vertical="center" wrapText="1"/>
    </xf>
    <xf numFmtId="40" fontId="21" fillId="4" borderId="37" xfId="1" quotePrefix="1" applyNumberFormat="1" applyFont="1" applyFill="1" applyBorder="1" applyAlignment="1">
      <alignment horizontal="right" vertical="center" wrapText="1"/>
    </xf>
    <xf numFmtId="3" fontId="21" fillId="4" borderId="219" xfId="0" applyNumberFormat="1" applyFont="1" applyFill="1" applyBorder="1" applyAlignment="1">
      <alignment vertical="center" wrapText="1"/>
    </xf>
    <xf numFmtId="3" fontId="21" fillId="4" borderId="43" xfId="0" quotePrefix="1" applyNumberFormat="1" applyFont="1" applyFill="1" applyBorder="1" applyAlignment="1">
      <alignment vertical="center" wrapText="1"/>
    </xf>
    <xf numFmtId="40" fontId="21" fillId="18" borderId="297" xfId="1" applyNumberFormat="1" applyFont="1" applyFill="1" applyBorder="1" applyAlignment="1">
      <alignment vertical="center" wrapText="1"/>
    </xf>
    <xf numFmtId="187" fontId="13" fillId="4" borderId="45" xfId="0" applyNumberFormat="1" applyFont="1" applyFill="1" applyBorder="1" applyAlignment="1">
      <alignment vertical="center" wrapText="1"/>
    </xf>
    <xf numFmtId="177" fontId="5" fillId="0" borderId="49" xfId="0" quotePrefix="1" applyNumberFormat="1" applyFont="1" applyBorder="1" applyAlignment="1">
      <alignment horizontal="center" vertical="center"/>
    </xf>
    <xf numFmtId="0" fontId="21" fillId="14" borderId="217" xfId="0" applyFont="1" applyFill="1" applyBorder="1" applyAlignment="1">
      <alignment horizontal="left" vertical="center"/>
    </xf>
    <xf numFmtId="0" fontId="21" fillId="14" borderId="28" xfId="0" applyFont="1" applyFill="1" applyBorder="1" applyAlignment="1">
      <alignment horizontal="left" vertical="center"/>
    </xf>
    <xf numFmtId="3" fontId="21" fillId="4" borderId="38" xfId="0" quotePrefix="1" applyNumberFormat="1" applyFont="1" applyFill="1" applyBorder="1" applyAlignment="1">
      <alignment horizontal="right" vertical="center" wrapText="1"/>
    </xf>
    <xf numFmtId="3" fontId="21" fillId="4" borderId="52" xfId="0" applyNumberFormat="1" applyFont="1" applyFill="1" applyBorder="1" applyAlignment="1">
      <alignment vertical="center" wrapText="1"/>
    </xf>
    <xf numFmtId="177" fontId="15" fillId="49" borderId="45" xfId="0" quotePrefix="1" applyNumberFormat="1" applyFont="1" applyFill="1" applyBorder="1" applyAlignment="1">
      <alignment vertical="top"/>
    </xf>
    <xf numFmtId="177" fontId="15" fillId="49" borderId="43" xfId="0" quotePrefix="1" applyNumberFormat="1" applyFont="1" applyFill="1" applyBorder="1">
      <alignment vertical="center"/>
    </xf>
    <xf numFmtId="177" fontId="15" fillId="49" borderId="42" xfId="0" quotePrefix="1" applyNumberFormat="1" applyFont="1" applyFill="1" applyBorder="1">
      <alignment vertical="center"/>
    </xf>
    <xf numFmtId="177" fontId="15" fillId="48" borderId="43" xfId="0" quotePrefix="1" applyNumberFormat="1" applyFont="1" applyFill="1" applyBorder="1">
      <alignment vertical="center"/>
    </xf>
    <xf numFmtId="177" fontId="15" fillId="48" borderId="42" xfId="0" quotePrefix="1" applyNumberFormat="1" applyFont="1" applyFill="1" applyBorder="1">
      <alignment vertical="center"/>
    </xf>
    <xf numFmtId="0" fontId="15" fillId="48" borderId="43" xfId="0" applyFont="1" applyFill="1" applyBorder="1">
      <alignment vertical="center"/>
    </xf>
    <xf numFmtId="0" fontId="15" fillId="48" borderId="38" xfId="0" applyFont="1" applyFill="1" applyBorder="1" applyAlignment="1">
      <alignment horizontal="left" vertical="center"/>
    </xf>
    <xf numFmtId="187" fontId="13" fillId="4" borderId="45" xfId="0" applyNumberFormat="1" applyFont="1" applyFill="1" applyBorder="1" applyAlignment="1">
      <alignment horizontal="right" vertical="center" wrapText="1"/>
    </xf>
    <xf numFmtId="0" fontId="30" fillId="14" borderId="217" xfId="0" applyFont="1" applyFill="1" applyBorder="1" applyAlignment="1">
      <alignment vertical="center" wrapText="1"/>
    </xf>
    <xf numFmtId="0" fontId="30" fillId="14" borderId="28" xfId="0" applyFont="1" applyFill="1" applyBorder="1" applyAlignment="1">
      <alignment vertical="center" wrapText="1"/>
    </xf>
    <xf numFmtId="3" fontId="21" fillId="4" borderId="73" xfId="0" quotePrefix="1" applyNumberFormat="1" applyFont="1" applyFill="1" applyBorder="1" applyAlignment="1">
      <alignment horizontal="right" vertical="center" wrapText="1"/>
    </xf>
    <xf numFmtId="0" fontId="21" fillId="14" borderId="22" xfId="0" applyFont="1" applyFill="1" applyBorder="1" applyAlignment="1">
      <alignment horizontal="right" vertical="center"/>
    </xf>
    <xf numFmtId="0" fontId="26" fillId="48" borderId="43" xfId="0" applyFont="1" applyFill="1" applyBorder="1">
      <alignment vertical="center"/>
    </xf>
    <xf numFmtId="0" fontId="26" fillId="48" borderId="42" xfId="0" applyFont="1" applyFill="1" applyBorder="1">
      <alignment vertical="center"/>
    </xf>
    <xf numFmtId="177" fontId="15" fillId="48" borderId="38" xfId="0" quotePrefix="1" applyNumberFormat="1" applyFont="1" applyFill="1" applyBorder="1">
      <alignment vertical="center"/>
    </xf>
    <xf numFmtId="178" fontId="21" fillId="19" borderId="234" xfId="0" quotePrefix="1" applyNumberFormat="1" applyFont="1" applyFill="1" applyBorder="1" applyAlignment="1">
      <alignment horizontal="left" vertical="center"/>
    </xf>
    <xf numFmtId="0" fontId="15" fillId="0" borderId="49" xfId="0" applyFont="1" applyBorder="1" applyAlignment="1">
      <alignment vertical="center" wrapText="1"/>
    </xf>
    <xf numFmtId="178" fontId="21" fillId="14" borderId="217" xfId="0" applyNumberFormat="1" applyFont="1" applyFill="1" applyBorder="1" applyAlignment="1">
      <alignment horizontal="left" vertical="center"/>
    </xf>
    <xf numFmtId="178" fontId="21" fillId="14" borderId="28" xfId="0" applyNumberFormat="1" applyFont="1" applyFill="1" applyBorder="1" applyAlignment="1">
      <alignment horizontal="left" vertical="center"/>
    </xf>
    <xf numFmtId="0" fontId="5" fillId="0" borderId="42" xfId="0" quotePrefix="1" applyFont="1" applyBorder="1" applyAlignment="1">
      <alignment horizontal="center" vertical="center"/>
    </xf>
    <xf numFmtId="0" fontId="5" fillId="0" borderId="42" xfId="0" applyFont="1" applyBorder="1" applyAlignment="1">
      <alignment horizontal="center" vertical="center"/>
    </xf>
    <xf numFmtId="0" fontId="21" fillId="14" borderId="225" xfId="0" applyFont="1" applyFill="1" applyBorder="1" applyAlignment="1">
      <alignment horizontal="right" vertical="center"/>
    </xf>
    <xf numFmtId="3" fontId="24" fillId="22" borderId="43" xfId="0" applyNumberFormat="1" applyFont="1" applyFill="1" applyBorder="1" applyAlignment="1">
      <alignment horizontal="right" vertical="center" wrapText="1"/>
    </xf>
    <xf numFmtId="0" fontId="21" fillId="14" borderId="217" xfId="0" applyFont="1" applyFill="1" applyBorder="1" applyAlignment="1">
      <alignment horizontal="right" vertical="center"/>
    </xf>
    <xf numFmtId="0" fontId="21" fillId="14" borderId="28" xfId="0" applyFont="1" applyFill="1" applyBorder="1" applyAlignment="1">
      <alignment horizontal="right" vertical="center"/>
    </xf>
    <xf numFmtId="177" fontId="5" fillId="15" borderId="77" xfId="0" quotePrefix="1" applyNumberFormat="1" applyFont="1" applyFill="1" applyBorder="1" applyAlignment="1">
      <alignment horizontal="center" vertical="top" wrapText="1"/>
    </xf>
    <xf numFmtId="177" fontId="5" fillId="15" borderId="34" xfId="0" quotePrefix="1" applyNumberFormat="1" applyFont="1" applyFill="1" applyBorder="1" applyAlignment="1">
      <alignment horizontal="center" vertical="top" wrapText="1"/>
    </xf>
    <xf numFmtId="0" fontId="21" fillId="12" borderId="238" xfId="0" applyFont="1" applyFill="1" applyBorder="1" applyAlignment="1">
      <alignment horizontal="right" vertical="center"/>
    </xf>
    <xf numFmtId="0" fontId="21" fillId="12" borderId="92" xfId="0" applyFont="1" applyFill="1" applyBorder="1" applyAlignment="1">
      <alignment horizontal="right" vertical="center"/>
    </xf>
    <xf numFmtId="0" fontId="21" fillId="19" borderId="221" xfId="0" applyFont="1" applyFill="1" applyBorder="1" applyAlignment="1">
      <alignment horizontal="right" vertical="center"/>
    </xf>
    <xf numFmtId="0" fontId="21" fillId="19" borderId="54" xfId="0" applyFont="1" applyFill="1" applyBorder="1" applyAlignment="1">
      <alignment horizontal="right" vertical="center"/>
    </xf>
    <xf numFmtId="0" fontId="21" fillId="19" borderId="52" xfId="0" applyFont="1" applyFill="1" applyBorder="1" applyAlignment="1">
      <alignment horizontal="right" vertical="center"/>
    </xf>
    <xf numFmtId="0" fontId="21" fillId="19" borderId="219" xfId="0" applyFont="1" applyFill="1" applyBorder="1" applyAlignment="1">
      <alignment horizontal="right" vertical="center"/>
    </xf>
    <xf numFmtId="0" fontId="21" fillId="19" borderId="38" xfId="0" applyFont="1" applyFill="1" applyBorder="1" applyAlignment="1">
      <alignment horizontal="right" vertical="center"/>
    </xf>
    <xf numFmtId="0" fontId="21" fillId="19" borderId="43" xfId="0" applyFont="1" applyFill="1" applyBorder="1" applyAlignment="1">
      <alignment horizontal="right" vertical="center"/>
    </xf>
    <xf numFmtId="0" fontId="21" fillId="19" borderId="227" xfId="0" applyFont="1" applyFill="1" applyBorder="1" applyAlignment="1">
      <alignment horizontal="right" vertical="center"/>
    </xf>
    <xf numFmtId="0" fontId="21" fillId="19" borderId="78" xfId="0" applyFont="1" applyFill="1" applyBorder="1" applyAlignment="1">
      <alignment horizontal="right" vertical="center"/>
    </xf>
    <xf numFmtId="0" fontId="21" fillId="19" borderId="77" xfId="0" applyFont="1" applyFill="1" applyBorder="1" applyAlignment="1">
      <alignment horizontal="right" vertical="center"/>
    </xf>
    <xf numFmtId="0" fontId="5" fillId="0" borderId="67" xfId="0" applyFont="1" applyBorder="1" applyAlignment="1">
      <alignment horizontal="center" vertical="center"/>
    </xf>
    <xf numFmtId="185" fontId="21" fillId="5" borderId="227" xfId="0" applyNumberFormat="1" applyFont="1" applyFill="1" applyBorder="1" applyAlignment="1">
      <alignment horizontal="right" vertical="center" wrapText="1"/>
    </xf>
    <xf numFmtId="185" fontId="21" fillId="5" borderId="78" xfId="0" applyNumberFormat="1" applyFont="1" applyFill="1" applyBorder="1" applyAlignment="1">
      <alignment horizontal="right" vertical="center" wrapText="1"/>
    </xf>
    <xf numFmtId="185" fontId="21" fillId="5" borderId="77" xfId="0" applyNumberFormat="1" applyFont="1" applyFill="1" applyBorder="1" applyAlignment="1">
      <alignment horizontal="right" vertical="center" wrapText="1"/>
    </xf>
    <xf numFmtId="185" fontId="21" fillId="5" borderId="219" xfId="0" applyNumberFormat="1" applyFont="1" applyFill="1" applyBorder="1" applyAlignment="1">
      <alignment horizontal="right" vertical="center" wrapText="1"/>
    </xf>
    <xf numFmtId="185" fontId="21" fillId="5" borderId="43" xfId="0" applyNumberFormat="1" applyFont="1" applyFill="1" applyBorder="1" applyAlignment="1">
      <alignment horizontal="right" vertical="center" wrapText="1"/>
    </xf>
    <xf numFmtId="178" fontId="21" fillId="4" borderId="42" xfId="0" applyNumberFormat="1" applyFont="1" applyFill="1" applyBorder="1" applyAlignment="1">
      <alignment horizontal="right" vertical="center" wrapText="1"/>
    </xf>
    <xf numFmtId="178" fontId="21" fillId="5" borderId="78" xfId="0" applyNumberFormat="1" applyFont="1" applyFill="1" applyBorder="1" applyAlignment="1">
      <alignment horizontal="right" vertical="center" wrapText="1"/>
    </xf>
    <xf numFmtId="40" fontId="21" fillId="4" borderId="303" xfId="1" applyNumberFormat="1" applyFont="1" applyFill="1" applyBorder="1" applyAlignment="1">
      <alignment horizontal="right" vertical="center" wrapText="1"/>
    </xf>
    <xf numFmtId="38" fontId="21" fillId="4" borderId="303" xfId="1" applyNumberFormat="1" applyFont="1" applyFill="1" applyBorder="1" applyAlignment="1">
      <alignment horizontal="right" vertical="center" wrapText="1"/>
    </xf>
    <xf numFmtId="3" fontId="21" fillId="4" borderId="223" xfId="0" applyNumberFormat="1" applyFont="1" applyFill="1" applyBorder="1" applyAlignment="1">
      <alignment vertical="center" wrapText="1"/>
    </xf>
    <xf numFmtId="3" fontId="24" fillId="22" borderId="87" xfId="0" applyNumberFormat="1" applyFont="1" applyFill="1" applyBorder="1" applyAlignment="1">
      <alignment horizontal="right" vertical="center" wrapText="1"/>
    </xf>
    <xf numFmtId="40" fontId="21" fillId="5" borderId="303" xfId="1" quotePrefix="1" applyNumberFormat="1" applyFont="1" applyFill="1" applyBorder="1" applyAlignment="1">
      <alignment horizontal="right" vertical="center" wrapText="1"/>
    </xf>
    <xf numFmtId="40" fontId="21" fillId="5" borderId="37" xfId="1" quotePrefix="1" applyNumberFormat="1" applyFont="1" applyFill="1" applyBorder="1" applyAlignment="1">
      <alignment horizontal="right" vertical="center" wrapText="1"/>
    </xf>
    <xf numFmtId="4" fontId="21" fillId="4" borderId="43" xfId="0" quotePrefix="1" applyNumberFormat="1" applyFont="1" applyFill="1" applyBorder="1" applyAlignment="1">
      <alignment vertical="center" wrapText="1"/>
    </xf>
    <xf numFmtId="40" fontId="21" fillId="4" borderId="80" xfId="1" quotePrefix="1" applyNumberFormat="1" applyFont="1" applyFill="1" applyBorder="1" applyAlignment="1">
      <alignment horizontal="right" vertical="center" wrapText="1"/>
    </xf>
    <xf numFmtId="40" fontId="21" fillId="5" borderId="80" xfId="1" quotePrefix="1" applyNumberFormat="1" applyFont="1" applyFill="1" applyBorder="1" applyAlignment="1">
      <alignment horizontal="right" vertical="center" wrapText="1"/>
    </xf>
    <xf numFmtId="3" fontId="21" fillId="4" borderId="45" xfId="0" applyNumberFormat="1" applyFont="1" applyFill="1" applyBorder="1" applyAlignment="1">
      <alignment vertical="center" wrapText="1"/>
    </xf>
    <xf numFmtId="0" fontId="21" fillId="19" borderId="57" xfId="0" applyFont="1" applyFill="1" applyBorder="1" applyAlignment="1">
      <alignment horizontal="right" vertical="center"/>
    </xf>
    <xf numFmtId="0" fontId="21" fillId="19" borderId="45" xfId="0" applyFont="1" applyFill="1" applyBorder="1" applyAlignment="1">
      <alignment horizontal="right" vertical="center"/>
    </xf>
    <xf numFmtId="0" fontId="21" fillId="19" borderId="36" xfId="0" applyFont="1" applyFill="1" applyBorder="1" applyAlignment="1">
      <alignment horizontal="right" vertical="center"/>
    </xf>
    <xf numFmtId="3" fontId="21" fillId="4" borderId="95" xfId="0" applyNumberFormat="1" applyFont="1" applyFill="1" applyBorder="1" applyAlignment="1">
      <alignment vertical="center" wrapText="1"/>
    </xf>
    <xf numFmtId="40" fontId="21" fillId="5" borderId="34" xfId="1" quotePrefix="1" applyNumberFormat="1" applyFont="1" applyFill="1" applyBorder="1" applyAlignment="1">
      <alignment horizontal="right" vertical="center" wrapText="1"/>
    </xf>
    <xf numFmtId="40" fontId="21" fillId="4" borderId="34" xfId="1" quotePrefix="1" applyNumberFormat="1" applyFont="1" applyFill="1" applyBorder="1" applyAlignment="1">
      <alignment horizontal="right" vertical="center" wrapText="1"/>
    </xf>
    <xf numFmtId="3" fontId="21" fillId="4" borderId="37" xfId="0" applyNumberFormat="1" applyFont="1" applyFill="1" applyBorder="1" applyAlignment="1">
      <alignment vertical="center" wrapText="1"/>
    </xf>
    <xf numFmtId="3" fontId="21" fillId="4" borderId="43" xfId="0" quotePrefix="1" applyNumberFormat="1" applyFont="1" applyFill="1" applyBorder="1" applyAlignment="1">
      <alignment horizontal="right" vertical="center" wrapText="1"/>
    </xf>
    <xf numFmtId="3" fontId="21" fillId="4" borderId="52" xfId="0" quotePrefix="1" applyNumberFormat="1" applyFont="1" applyFill="1" applyBorder="1" applyAlignment="1">
      <alignment horizontal="right" vertical="center" wrapText="1"/>
    </xf>
    <xf numFmtId="3" fontId="21" fillId="4" borderId="87" xfId="0" quotePrefix="1" applyNumberFormat="1" applyFont="1" applyFill="1" applyBorder="1" applyAlignment="1">
      <alignment horizontal="right" vertical="center" wrapText="1"/>
    </xf>
    <xf numFmtId="3" fontId="21" fillId="4" borderId="45" xfId="0" applyNumberFormat="1" applyFont="1" applyFill="1" applyBorder="1" applyAlignment="1">
      <alignment vertical="top" wrapText="1"/>
    </xf>
    <xf numFmtId="3" fontId="21" fillId="4" borderId="219" xfId="0" applyNumberFormat="1" applyFont="1" applyFill="1" applyBorder="1" applyAlignment="1">
      <alignment horizontal="right" vertical="top" wrapText="1"/>
    </xf>
    <xf numFmtId="3" fontId="21" fillId="4" borderId="45" xfId="0" applyNumberFormat="1" applyFont="1" applyFill="1" applyBorder="1" applyAlignment="1">
      <alignment horizontal="right" vertical="top" wrapText="1"/>
    </xf>
    <xf numFmtId="3" fontId="21" fillId="4" borderId="38" xfId="0" applyNumberFormat="1" applyFont="1" applyFill="1" applyBorder="1" applyAlignment="1">
      <alignment horizontal="right" vertical="top" wrapText="1"/>
    </xf>
    <xf numFmtId="3" fontId="21" fillId="4" borderId="43" xfId="0" applyNumberFormat="1" applyFont="1" applyFill="1" applyBorder="1" applyAlignment="1">
      <alignment horizontal="right" vertical="top" wrapText="1"/>
    </xf>
    <xf numFmtId="40" fontId="21" fillId="4" borderId="80" xfId="1" quotePrefix="1" applyNumberFormat="1" applyFont="1" applyFill="1" applyBorder="1" applyAlignment="1">
      <alignment horizontal="right" vertical="top" wrapText="1"/>
    </xf>
    <xf numFmtId="40" fontId="20" fillId="4" borderId="303" xfId="1" quotePrefix="1" applyNumberFormat="1" applyFont="1" applyFill="1" applyBorder="1" applyAlignment="1">
      <alignment horizontal="right" vertical="center" wrapText="1"/>
    </xf>
    <xf numFmtId="40" fontId="20" fillId="4" borderId="80" xfId="1" quotePrefix="1" applyNumberFormat="1" applyFont="1" applyFill="1" applyBorder="1" applyAlignment="1">
      <alignment horizontal="right" vertical="center" wrapText="1"/>
    </xf>
    <xf numFmtId="40" fontId="20" fillId="4" borderId="37" xfId="1" quotePrefix="1" applyNumberFormat="1" applyFont="1" applyFill="1" applyBorder="1" applyAlignment="1">
      <alignment horizontal="right" vertical="center" wrapText="1"/>
    </xf>
    <xf numFmtId="40" fontId="21" fillId="4" borderId="37" xfId="1" quotePrefix="1" applyNumberFormat="1" applyFont="1" applyFill="1" applyBorder="1" applyAlignment="1">
      <alignment horizontal="right" vertical="top" wrapText="1"/>
    </xf>
    <xf numFmtId="40" fontId="21" fillId="21" borderId="37" xfId="1" quotePrefix="1" applyNumberFormat="1" applyFont="1" applyFill="1" applyBorder="1" applyAlignment="1">
      <alignment horizontal="right" vertical="center" wrapText="1"/>
    </xf>
    <xf numFmtId="3" fontId="21" fillId="4" borderId="52" xfId="0" quotePrefix="1" applyNumberFormat="1" applyFont="1" applyFill="1" applyBorder="1" applyAlignment="1">
      <alignment horizontal="right" vertical="top" wrapText="1"/>
    </xf>
    <xf numFmtId="3" fontId="20" fillId="4" borderId="38" xfId="0" quotePrefix="1" applyNumberFormat="1" applyFont="1" applyFill="1" applyBorder="1" applyAlignment="1">
      <alignment horizontal="right" vertical="center" wrapText="1"/>
    </xf>
    <xf numFmtId="3" fontId="21" fillId="4" borderId="45" xfId="0" applyNumberFormat="1" applyFont="1" applyFill="1" applyBorder="1" applyAlignment="1">
      <alignment horizontal="right" vertical="center" wrapText="1"/>
    </xf>
    <xf numFmtId="9" fontId="21" fillId="4" borderId="219" xfId="8" applyFont="1" applyFill="1" applyBorder="1" applyAlignment="1">
      <alignment vertical="center" wrapText="1"/>
    </xf>
    <xf numFmtId="9" fontId="21" fillId="4" borderId="45" xfId="8" applyFont="1" applyFill="1" applyBorder="1" applyAlignment="1">
      <alignment vertical="center" wrapText="1"/>
    </xf>
    <xf numFmtId="9" fontId="21" fillId="4" borderId="38" xfId="8" quotePrefix="1" applyFont="1" applyFill="1" applyBorder="1" applyAlignment="1">
      <alignment horizontal="right" vertical="center" wrapText="1"/>
    </xf>
    <xf numFmtId="9" fontId="21" fillId="4" borderId="52" xfId="8" quotePrefix="1" applyFont="1" applyFill="1" applyBorder="1" applyAlignment="1">
      <alignment horizontal="right" vertical="center" wrapText="1"/>
    </xf>
    <xf numFmtId="9" fontId="21" fillId="4" borderId="52" xfId="8" applyFont="1" applyFill="1" applyBorder="1" applyAlignment="1">
      <alignment vertical="center" wrapText="1"/>
    </xf>
    <xf numFmtId="9" fontId="21" fillId="4" borderId="37" xfId="8" quotePrefix="1" applyFont="1" applyFill="1" applyBorder="1" applyAlignment="1">
      <alignment horizontal="right" vertical="center" wrapText="1"/>
    </xf>
    <xf numFmtId="9" fontId="21" fillId="4" borderId="303" xfId="8" quotePrefix="1" applyFont="1" applyFill="1" applyBorder="1" applyAlignment="1">
      <alignment horizontal="right" vertical="center" wrapText="1"/>
    </xf>
    <xf numFmtId="9" fontId="21" fillId="4" borderId="80" xfId="8" quotePrefix="1" applyFont="1" applyFill="1" applyBorder="1" applyAlignment="1">
      <alignment horizontal="right" vertical="center" wrapText="1"/>
    </xf>
    <xf numFmtId="38" fontId="21" fillId="4" borderId="303" xfId="1" quotePrefix="1" applyNumberFormat="1" applyFont="1" applyFill="1" applyBorder="1" applyAlignment="1">
      <alignment horizontal="right" vertical="center" wrapText="1"/>
    </xf>
    <xf numFmtId="38" fontId="21" fillId="4" borderId="80" xfId="1" quotePrefix="1" applyNumberFormat="1" applyFont="1" applyFill="1" applyBorder="1" applyAlignment="1">
      <alignment horizontal="right" vertical="center" wrapText="1"/>
    </xf>
    <xf numFmtId="38" fontId="21" fillId="4" borderId="37" xfId="1" quotePrefix="1" applyNumberFormat="1" applyFont="1" applyFill="1" applyBorder="1" applyAlignment="1">
      <alignment horizontal="right" vertical="center" wrapText="1"/>
    </xf>
    <xf numFmtId="0" fontId="15" fillId="48" borderId="38" xfId="0" applyFont="1" applyFill="1" applyBorder="1">
      <alignment vertical="center"/>
    </xf>
    <xf numFmtId="178" fontId="21" fillId="4" borderId="52" xfId="0" applyNumberFormat="1" applyFont="1" applyFill="1" applyBorder="1" applyAlignment="1">
      <alignment vertical="center" wrapText="1"/>
    </xf>
    <xf numFmtId="178" fontId="21" fillId="4" borderId="219" xfId="8" applyNumberFormat="1" applyFont="1" applyFill="1" applyBorder="1" applyAlignment="1">
      <alignment vertical="center" wrapText="1"/>
    </xf>
    <xf numFmtId="178" fontId="21" fillId="4" borderId="45" xfId="8" applyNumberFormat="1" applyFont="1" applyFill="1" applyBorder="1" applyAlignment="1">
      <alignment vertical="center" wrapText="1"/>
    </xf>
    <xf numFmtId="178" fontId="21" fillId="4" borderId="38" xfId="8" quotePrefix="1" applyNumberFormat="1" applyFont="1" applyFill="1" applyBorder="1" applyAlignment="1">
      <alignment horizontal="right" vertical="center" wrapText="1"/>
    </xf>
    <xf numFmtId="178" fontId="21" fillId="4" borderId="52" xfId="8" quotePrefix="1" applyNumberFormat="1" applyFont="1" applyFill="1" applyBorder="1" applyAlignment="1">
      <alignment horizontal="right" vertical="center" wrapText="1"/>
    </xf>
    <xf numFmtId="178" fontId="21" fillId="4" borderId="52" xfId="8" applyNumberFormat="1" applyFont="1" applyFill="1" applyBorder="1" applyAlignment="1">
      <alignment vertical="center" wrapText="1"/>
    </xf>
    <xf numFmtId="178" fontId="21" fillId="4" borderId="37" xfId="8" quotePrefix="1" applyNumberFormat="1" applyFont="1" applyFill="1" applyBorder="1" applyAlignment="1">
      <alignment horizontal="right" vertical="center" wrapText="1"/>
    </xf>
    <xf numFmtId="185" fontId="21" fillId="4" borderId="45" xfId="8" applyNumberFormat="1" applyFont="1" applyFill="1" applyBorder="1" applyAlignment="1">
      <alignment vertical="center" wrapText="1"/>
    </xf>
    <xf numFmtId="185" fontId="21" fillId="4" borderId="37" xfId="8" quotePrefix="1" applyNumberFormat="1" applyFont="1" applyFill="1" applyBorder="1" applyAlignment="1">
      <alignment horizontal="right" vertical="center" wrapText="1"/>
    </xf>
    <xf numFmtId="178" fontId="21" fillId="4" borderId="37" xfId="1" quotePrefix="1" applyNumberFormat="1" applyFont="1" applyFill="1" applyBorder="1" applyAlignment="1">
      <alignment horizontal="right" vertical="center" wrapText="1"/>
    </xf>
    <xf numFmtId="178" fontId="21" fillId="4" borderId="219" xfId="0" applyNumberFormat="1" applyFont="1" applyFill="1" applyBorder="1" applyAlignment="1">
      <alignment vertical="center" wrapText="1"/>
    </xf>
    <xf numFmtId="178" fontId="21" fillId="4" borderId="45" xfId="0" applyNumberFormat="1" applyFont="1" applyFill="1" applyBorder="1" applyAlignment="1">
      <alignment vertical="center" wrapText="1"/>
    </xf>
    <xf numFmtId="178" fontId="21" fillId="4" borderId="38" xfId="0" quotePrefix="1" applyNumberFormat="1" applyFont="1" applyFill="1" applyBorder="1" applyAlignment="1">
      <alignment horizontal="right" vertical="center" wrapText="1"/>
    </xf>
    <xf numFmtId="178" fontId="21" fillId="4" borderId="52" xfId="0" quotePrefix="1" applyNumberFormat="1" applyFont="1" applyFill="1" applyBorder="1" applyAlignment="1">
      <alignment horizontal="right" vertical="center" wrapText="1"/>
    </xf>
    <xf numFmtId="185" fontId="21" fillId="4" borderId="219" xfId="0" applyNumberFormat="1" applyFont="1" applyFill="1" applyBorder="1" applyAlignment="1">
      <alignment vertical="center" wrapText="1"/>
    </xf>
    <xf numFmtId="185" fontId="21" fillId="4" borderId="37" xfId="1" quotePrefix="1" applyNumberFormat="1" applyFont="1" applyFill="1" applyBorder="1" applyAlignment="1">
      <alignment horizontal="right" vertical="center" wrapText="1"/>
    </xf>
    <xf numFmtId="185" fontId="21" fillId="4" borderId="80" xfId="1" quotePrefix="1" applyNumberFormat="1" applyFont="1" applyFill="1" applyBorder="1" applyAlignment="1">
      <alignment horizontal="right" vertical="center" wrapText="1"/>
    </xf>
    <xf numFmtId="3" fontId="21" fillId="5" borderId="45" xfId="0" applyNumberFormat="1" applyFont="1" applyFill="1" applyBorder="1" applyAlignment="1">
      <alignment horizontal="right" vertical="center" wrapText="1"/>
    </xf>
    <xf numFmtId="185" fontId="21" fillId="4" borderId="219" xfId="0" applyNumberFormat="1" applyFont="1" applyFill="1" applyBorder="1" applyAlignment="1">
      <alignment horizontal="right" vertical="center" wrapText="1"/>
    </xf>
    <xf numFmtId="185" fontId="21" fillId="4" borderId="219" xfId="8" applyNumberFormat="1" applyFont="1" applyFill="1" applyBorder="1" applyAlignment="1">
      <alignment vertical="center" wrapText="1"/>
    </xf>
    <xf numFmtId="0" fontId="5" fillId="17" borderId="66" xfId="0" applyFont="1" applyFill="1" applyBorder="1" applyAlignment="1">
      <alignment horizontal="center" vertical="top" wrapText="1"/>
    </xf>
    <xf numFmtId="178" fontId="21" fillId="4" borderId="52" xfId="8" quotePrefix="1" applyNumberFormat="1" applyFont="1" applyFill="1" applyBorder="1" applyAlignment="1">
      <alignment horizontal="right" vertical="top" wrapText="1"/>
    </xf>
    <xf numFmtId="178" fontId="21" fillId="4" borderId="37" xfId="1" quotePrefix="1" applyNumberFormat="1" applyFont="1" applyFill="1" applyBorder="1" applyAlignment="1">
      <alignment horizontal="right" vertical="top" wrapText="1"/>
    </xf>
    <xf numFmtId="178" fontId="21" fillId="4" borderId="45" xfId="8" applyNumberFormat="1" applyFont="1" applyFill="1" applyBorder="1" applyAlignment="1">
      <alignment horizontal="right" vertical="top" wrapText="1"/>
    </xf>
    <xf numFmtId="178" fontId="21" fillId="4" borderId="45" xfId="0" applyNumberFormat="1" applyFont="1" applyFill="1" applyBorder="1" applyAlignment="1">
      <alignment horizontal="right" vertical="top" wrapText="1"/>
    </xf>
    <xf numFmtId="178" fontId="21" fillId="4" borderId="52" xfId="0" quotePrefix="1" applyNumberFormat="1" applyFont="1" applyFill="1" applyBorder="1" applyAlignment="1">
      <alignment horizontal="right" vertical="top" wrapText="1"/>
    </xf>
    <xf numFmtId="178" fontId="21" fillId="4" borderId="219" xfId="0" applyNumberFormat="1" applyFont="1" applyFill="1" applyBorder="1" applyAlignment="1">
      <alignment horizontal="right" vertical="center" wrapText="1"/>
    </xf>
    <xf numFmtId="185" fontId="21" fillId="4" borderId="52" xfId="8" quotePrefix="1" applyNumberFormat="1" applyFont="1" applyFill="1" applyBorder="1" applyAlignment="1">
      <alignment horizontal="right" vertical="top" wrapText="1"/>
    </xf>
    <xf numFmtId="185" fontId="21" fillId="4" borderId="219" xfId="8" applyNumberFormat="1" applyFont="1" applyFill="1" applyBorder="1" applyAlignment="1">
      <alignment horizontal="right" vertical="center" wrapText="1"/>
    </xf>
    <xf numFmtId="3" fontId="21" fillId="4" borderId="38" xfId="0" quotePrefix="1" applyNumberFormat="1" applyFont="1" applyFill="1" applyBorder="1" applyAlignment="1">
      <alignment horizontal="right" vertical="top" wrapText="1"/>
    </xf>
    <xf numFmtId="3" fontId="21" fillId="4" borderId="52" xfId="0" applyNumberFormat="1" applyFont="1" applyFill="1" applyBorder="1" applyAlignment="1">
      <alignment horizontal="right" vertical="top" wrapText="1"/>
    </xf>
    <xf numFmtId="9" fontId="21" fillId="4" borderId="219" xfId="8" applyFont="1" applyFill="1" applyBorder="1" applyAlignment="1">
      <alignment horizontal="right" vertical="center" wrapText="1"/>
    </xf>
    <xf numFmtId="177" fontId="5" fillId="0" borderId="37" xfId="0" quotePrefix="1" applyNumberFormat="1" applyFont="1" applyBorder="1" applyAlignment="1">
      <alignment horizontal="center" vertical="center"/>
    </xf>
    <xf numFmtId="0" fontId="5" fillId="0" borderId="37" xfId="0" applyFont="1" applyBorder="1" applyAlignment="1">
      <alignment horizontal="left" vertical="top"/>
    </xf>
    <xf numFmtId="178" fontId="21" fillId="4" borderId="38" xfId="8" quotePrefix="1" applyNumberFormat="1" applyFont="1" applyFill="1" applyBorder="1" applyAlignment="1">
      <alignment horizontal="right" vertical="top" wrapText="1"/>
    </xf>
    <xf numFmtId="178" fontId="21" fillId="4" borderId="38" xfId="0" quotePrefix="1" applyNumberFormat="1" applyFont="1" applyFill="1" applyBorder="1" applyAlignment="1">
      <alignment horizontal="right" vertical="top" wrapText="1"/>
    </xf>
    <xf numFmtId="177" fontId="0" fillId="0" borderId="34" xfId="0" quotePrefix="1" applyNumberFormat="1" applyBorder="1" applyAlignment="1">
      <alignment horizontal="center" vertical="center"/>
    </xf>
    <xf numFmtId="177" fontId="0" fillId="0" borderId="43" xfId="0" quotePrefix="1" applyNumberFormat="1" applyBorder="1" applyAlignment="1">
      <alignment horizontal="center" vertical="center"/>
    </xf>
    <xf numFmtId="40" fontId="5" fillId="4" borderId="303" xfId="1" quotePrefix="1" applyNumberFormat="1" applyFont="1" applyFill="1" applyBorder="1" applyAlignment="1">
      <alignment horizontal="right" vertical="center" wrapText="1"/>
    </xf>
    <xf numFmtId="40" fontId="5" fillId="4" borderId="80" xfId="1" quotePrefix="1" applyNumberFormat="1" applyFont="1" applyFill="1" applyBorder="1" applyAlignment="1">
      <alignment horizontal="right" vertical="center" wrapText="1"/>
    </xf>
    <xf numFmtId="40" fontId="5" fillId="4" borderId="37" xfId="1" quotePrefix="1" applyNumberFormat="1" applyFont="1" applyFill="1" applyBorder="1" applyAlignment="1">
      <alignment horizontal="right" vertical="center" wrapText="1"/>
    </xf>
    <xf numFmtId="40" fontId="5" fillId="4" borderId="34" xfId="1" quotePrefix="1" applyNumberFormat="1" applyFont="1" applyFill="1" applyBorder="1" applyAlignment="1">
      <alignment horizontal="right" vertical="center" wrapText="1"/>
    </xf>
    <xf numFmtId="4" fontId="5" fillId="4" borderId="43" xfId="0" quotePrefix="1" applyNumberFormat="1" applyFont="1" applyFill="1" applyBorder="1" applyAlignment="1">
      <alignment vertical="center" wrapText="1"/>
    </xf>
    <xf numFmtId="191" fontId="13" fillId="4" borderId="43" xfId="8" applyNumberFormat="1" applyFont="1" applyFill="1" applyBorder="1" applyAlignment="1">
      <alignment vertical="center" wrapText="1"/>
    </xf>
    <xf numFmtId="9" fontId="13" fillId="0" borderId="38" xfId="8" applyFont="1" applyBorder="1" applyAlignment="1">
      <alignment vertical="center" wrapText="1"/>
    </xf>
    <xf numFmtId="9" fontId="13" fillId="4" borderId="43" xfId="8" applyFont="1" applyFill="1" applyBorder="1" applyAlignment="1">
      <alignment vertical="center" wrapText="1"/>
    </xf>
    <xf numFmtId="9" fontId="5" fillId="4" borderId="293" xfId="8" applyFont="1" applyFill="1" applyBorder="1" applyAlignment="1">
      <alignment horizontal="right" vertical="center" wrapText="1"/>
    </xf>
    <xf numFmtId="9" fontId="13" fillId="4" borderId="67" xfId="8" applyFont="1" applyFill="1" applyBorder="1" applyAlignment="1">
      <alignment vertical="center" wrapText="1"/>
    </xf>
    <xf numFmtId="10" fontId="13" fillId="4" borderId="43" xfId="8" applyNumberFormat="1" applyFont="1" applyFill="1" applyBorder="1" applyAlignment="1">
      <alignment horizontal="right" vertical="center" wrapText="1"/>
    </xf>
    <xf numFmtId="9" fontId="5" fillId="4" borderId="294" xfId="8" applyFont="1" applyFill="1" applyBorder="1" applyAlignment="1">
      <alignment horizontal="right" vertical="center" wrapText="1"/>
    </xf>
    <xf numFmtId="180" fontId="21" fillId="4" borderId="219" xfId="0" applyNumberFormat="1" applyFont="1" applyFill="1" applyBorder="1" applyAlignment="1">
      <alignment vertical="center" wrapText="1"/>
    </xf>
    <xf numFmtId="180" fontId="21" fillId="4" borderId="38" xfId="0" applyNumberFormat="1" applyFont="1" applyFill="1" applyBorder="1" applyAlignment="1">
      <alignment vertical="center" wrapText="1"/>
    </xf>
    <xf numFmtId="180" fontId="13" fillId="4" borderId="219" xfId="0" applyNumberFormat="1" applyFont="1" applyFill="1" applyBorder="1" applyAlignment="1">
      <alignment vertical="center" wrapText="1"/>
    </xf>
    <xf numFmtId="180" fontId="13" fillId="4" borderId="45" xfId="0" applyNumberFormat="1" applyFont="1" applyFill="1" applyBorder="1" applyAlignment="1">
      <alignment vertical="center" wrapText="1"/>
    </xf>
    <xf numFmtId="180" fontId="21" fillId="4" borderId="303" xfId="1" quotePrefix="1" applyNumberFormat="1" applyFont="1" applyFill="1" applyBorder="1" applyAlignment="1">
      <alignment horizontal="right" vertical="center" wrapText="1"/>
    </xf>
    <xf numFmtId="185" fontId="21" fillId="4" borderId="38" xfId="0" applyNumberFormat="1" applyFont="1" applyFill="1" applyBorder="1" applyAlignment="1">
      <alignment vertical="center" wrapText="1"/>
    </xf>
    <xf numFmtId="185" fontId="21" fillId="4" borderId="43" xfId="0" applyNumberFormat="1" applyFont="1" applyFill="1" applyBorder="1" applyAlignment="1">
      <alignment vertical="center" wrapText="1"/>
    </xf>
    <xf numFmtId="3" fontId="24" fillId="4" borderId="43" xfId="0" applyNumberFormat="1" applyFont="1" applyFill="1" applyBorder="1" applyAlignment="1">
      <alignment horizontal="right" vertical="center" wrapText="1"/>
    </xf>
    <xf numFmtId="0" fontId="21" fillId="0" borderId="57" xfId="0" quotePrefix="1" applyFont="1" applyBorder="1" applyAlignment="1">
      <alignment vertical="center" wrapText="1"/>
    </xf>
    <xf numFmtId="0" fontId="21" fillId="0" borderId="52" xfId="0" quotePrefix="1" applyFont="1" applyBorder="1">
      <alignment vertical="center"/>
    </xf>
    <xf numFmtId="0" fontId="21" fillId="0" borderId="82" xfId="0" quotePrefix="1" applyFont="1" applyBorder="1" applyAlignment="1">
      <alignment vertical="center" wrapText="1"/>
    </xf>
    <xf numFmtId="3" fontId="21" fillId="4" borderId="221" xfId="0" applyNumberFormat="1" applyFont="1" applyFill="1" applyBorder="1" applyAlignment="1">
      <alignment vertical="center" wrapText="1"/>
    </xf>
    <xf numFmtId="3" fontId="21" fillId="4" borderId="57" xfId="0" applyNumberFormat="1" applyFont="1" applyFill="1" applyBorder="1" applyAlignment="1">
      <alignment vertical="center" wrapText="1"/>
    </xf>
    <xf numFmtId="3" fontId="21" fillId="4" borderId="54" xfId="0" quotePrefix="1" applyNumberFormat="1" applyFont="1" applyFill="1" applyBorder="1" applyAlignment="1">
      <alignment horizontal="right" vertical="center" wrapText="1"/>
    </xf>
    <xf numFmtId="3" fontId="24" fillId="22" borderId="52" xfId="0" applyNumberFormat="1" applyFont="1" applyFill="1" applyBorder="1" applyAlignment="1">
      <alignment horizontal="right" vertical="center" wrapText="1"/>
    </xf>
    <xf numFmtId="0" fontId="21" fillId="3" borderId="57" xfId="0" applyFont="1" applyFill="1" applyBorder="1" applyAlignment="1">
      <alignment vertical="top" wrapText="1"/>
    </xf>
    <xf numFmtId="0" fontId="5" fillId="0" borderId="54" xfId="0" applyFont="1" applyBorder="1" applyAlignment="1">
      <alignment horizontal="left" vertical="center"/>
    </xf>
    <xf numFmtId="0" fontId="15" fillId="48" borderId="43" xfId="0" quotePrefix="1" applyFont="1" applyFill="1" applyBorder="1">
      <alignment vertical="center"/>
    </xf>
    <xf numFmtId="0" fontId="15" fillId="48" borderId="42" xfId="0" quotePrefix="1" applyFont="1" applyFill="1" applyBorder="1">
      <alignment vertical="center"/>
    </xf>
    <xf numFmtId="0" fontId="21" fillId="0" borderId="87" xfId="0" quotePrefix="1" applyFont="1" applyBorder="1">
      <alignment vertical="center"/>
    </xf>
    <xf numFmtId="0" fontId="21" fillId="0" borderId="95" xfId="0" quotePrefix="1" applyFont="1" applyBorder="1" applyAlignment="1">
      <alignment vertical="center" wrapText="1"/>
    </xf>
    <xf numFmtId="0" fontId="15" fillId="48" borderId="43" xfId="0" applyFont="1" applyFill="1" applyBorder="1" applyAlignment="1">
      <alignment horizontal="center" vertical="center"/>
    </xf>
    <xf numFmtId="0" fontId="15" fillId="48" borderId="37" xfId="0" applyFont="1" applyFill="1" applyBorder="1" applyAlignment="1">
      <alignment vertical="top"/>
    </xf>
    <xf numFmtId="0" fontId="15" fillId="48" borderId="34" xfId="0" applyFont="1" applyFill="1" applyBorder="1" applyAlignment="1">
      <alignment horizontal="center" vertical="center"/>
    </xf>
    <xf numFmtId="0" fontId="15" fillId="48" borderId="80" xfId="0" applyFont="1" applyFill="1" applyBorder="1" applyAlignment="1">
      <alignment vertical="top"/>
    </xf>
    <xf numFmtId="0" fontId="15" fillId="48" borderId="38" xfId="0" applyFont="1" applyFill="1" applyBorder="1" applyAlignment="1">
      <alignment vertical="top"/>
    </xf>
    <xf numFmtId="3" fontId="13" fillId="4" borderId="45" xfId="0" applyNumberFormat="1" applyFont="1" applyFill="1" applyBorder="1" applyAlignment="1">
      <alignment vertical="top" wrapText="1"/>
    </xf>
    <xf numFmtId="3" fontId="13" fillId="4" borderId="95" xfId="0" applyNumberFormat="1" applyFont="1" applyFill="1" applyBorder="1" applyAlignment="1">
      <alignment vertical="center" wrapText="1"/>
    </xf>
    <xf numFmtId="3" fontId="13" fillId="16" borderId="43" xfId="0" applyNumberFormat="1" applyFont="1" applyFill="1" applyBorder="1" applyAlignment="1">
      <alignment vertical="center" wrapText="1"/>
    </xf>
    <xf numFmtId="3" fontId="13" fillId="4" borderId="43" xfId="0" applyNumberFormat="1" applyFont="1" applyFill="1" applyBorder="1" applyAlignment="1">
      <alignment vertical="top" wrapText="1"/>
    </xf>
    <xf numFmtId="3" fontId="21" fillId="5" borderId="43" xfId="0" applyNumberFormat="1" applyFont="1" applyFill="1" applyBorder="1" applyAlignment="1">
      <alignment horizontal="right" vertical="center" wrapText="1"/>
    </xf>
    <xf numFmtId="4" fontId="13" fillId="4" borderId="43" xfId="0" applyNumberFormat="1" applyFont="1" applyFill="1" applyBorder="1" applyAlignment="1">
      <alignment vertical="center" wrapText="1"/>
    </xf>
    <xf numFmtId="3" fontId="21" fillId="4" borderId="43" xfId="0" applyNumberFormat="1" applyFont="1" applyFill="1" applyBorder="1" applyAlignment="1">
      <alignment horizontal="center" vertical="center" wrapText="1"/>
    </xf>
    <xf numFmtId="3" fontId="13" fillId="5" borderId="77" xfId="0" applyNumberFormat="1" applyFont="1" applyFill="1" applyBorder="1" applyAlignment="1">
      <alignment vertical="center" wrapText="1"/>
    </xf>
    <xf numFmtId="4" fontId="29" fillId="5" borderId="43" xfId="0" applyNumberFormat="1" applyFont="1" applyFill="1" applyBorder="1" applyAlignment="1">
      <alignment vertical="center" wrapText="1"/>
    </xf>
    <xf numFmtId="4" fontId="29" fillId="5" borderId="34" xfId="0" applyNumberFormat="1" applyFont="1" applyFill="1" applyBorder="1" applyAlignment="1">
      <alignment vertical="center" wrapText="1"/>
    </xf>
    <xf numFmtId="3" fontId="21" fillId="5" borderId="43" xfId="0" quotePrefix="1" applyNumberFormat="1" applyFont="1" applyFill="1" applyBorder="1" applyAlignment="1">
      <alignment horizontal="right" vertical="center" wrapText="1"/>
    </xf>
    <xf numFmtId="177" fontId="66" fillId="21" borderId="43" xfId="0" quotePrefix="1" applyNumberFormat="1" applyFont="1" applyFill="1" applyBorder="1" applyAlignment="1">
      <alignment horizontal="center" vertical="center"/>
    </xf>
    <xf numFmtId="38" fontId="21" fillId="5" borderId="303" xfId="1" quotePrefix="1" applyNumberFormat="1" applyFont="1" applyFill="1" applyBorder="1" applyAlignment="1">
      <alignment horizontal="right" vertical="center" wrapText="1"/>
    </xf>
    <xf numFmtId="38" fontId="21" fillId="5" borderId="80" xfId="1" quotePrefix="1" applyNumberFormat="1" applyFont="1" applyFill="1" applyBorder="1" applyAlignment="1">
      <alignment horizontal="right" vertical="center" wrapText="1"/>
    </xf>
    <xf numFmtId="38" fontId="21" fillId="5" borderId="37" xfId="1" quotePrefix="1" applyNumberFormat="1" applyFont="1" applyFill="1" applyBorder="1" applyAlignment="1">
      <alignment horizontal="right" vertical="center" wrapText="1"/>
    </xf>
    <xf numFmtId="38" fontId="21" fillId="5" borderId="34" xfId="1" quotePrefix="1" applyNumberFormat="1" applyFont="1" applyFill="1" applyBorder="1" applyAlignment="1">
      <alignment horizontal="right" vertical="center" wrapText="1"/>
    </xf>
    <xf numFmtId="38" fontId="21" fillId="5" borderId="43" xfId="0" quotePrefix="1" applyNumberFormat="1" applyFont="1" applyFill="1" applyBorder="1" applyAlignment="1">
      <alignment horizontal="right" vertical="center" wrapText="1"/>
    </xf>
    <xf numFmtId="0" fontId="66" fillId="21" borderId="43" xfId="0" applyFont="1" applyFill="1" applyBorder="1" applyAlignment="1">
      <alignment horizontal="center" vertical="center"/>
    </xf>
    <xf numFmtId="41" fontId="21" fillId="4" borderId="219" xfId="1" applyFont="1" applyFill="1" applyBorder="1" applyAlignment="1">
      <alignment vertical="center" wrapText="1"/>
    </xf>
    <xf numFmtId="41" fontId="21" fillId="4" borderId="38" xfId="1" quotePrefix="1" applyFont="1" applyFill="1" applyBorder="1" applyAlignment="1">
      <alignment horizontal="right" vertical="center" wrapText="1"/>
    </xf>
    <xf numFmtId="0" fontId="5" fillId="3" borderId="54" xfId="0" applyFont="1" applyFill="1" applyBorder="1" applyAlignment="1">
      <alignment vertical="top" wrapText="1"/>
    </xf>
    <xf numFmtId="38" fontId="21" fillId="16" borderId="38" xfId="1" applyNumberFormat="1" applyFont="1" applyFill="1" applyBorder="1" applyAlignment="1">
      <alignment horizontal="right" vertical="center" wrapText="1"/>
    </xf>
    <xf numFmtId="40" fontId="20" fillId="21" borderId="38" xfId="1" applyNumberFormat="1" applyFont="1" applyFill="1" applyBorder="1" applyAlignment="1">
      <alignment horizontal="right" vertical="center" wrapText="1"/>
    </xf>
    <xf numFmtId="40" fontId="20" fillId="5" borderId="37" xfId="1" applyNumberFormat="1" applyFont="1" applyFill="1" applyBorder="1" applyAlignment="1">
      <alignment horizontal="right" vertical="center" wrapText="1"/>
    </xf>
    <xf numFmtId="40" fontId="20" fillId="5" borderId="0" xfId="1" applyNumberFormat="1" applyFont="1" applyFill="1" applyAlignment="1">
      <alignment horizontal="right" vertical="center"/>
    </xf>
    <xf numFmtId="38" fontId="21" fillId="3" borderId="78" xfId="0" applyNumberFormat="1" applyFont="1" applyFill="1" applyBorder="1" applyAlignment="1">
      <alignment vertical="top" wrapText="1"/>
    </xf>
    <xf numFmtId="38" fontId="20" fillId="4" borderId="78" xfId="1" applyNumberFormat="1" applyFont="1" applyFill="1" applyBorder="1" applyAlignment="1">
      <alignment vertical="center" wrapText="1"/>
    </xf>
    <xf numFmtId="38" fontId="20" fillId="5" borderId="38" xfId="1" applyNumberFormat="1" applyFont="1" applyFill="1" applyBorder="1" applyAlignment="1">
      <alignment vertical="center" wrapText="1"/>
    </xf>
    <xf numFmtId="38" fontId="20" fillId="4" borderId="37" xfId="1" applyNumberFormat="1" applyFont="1" applyFill="1" applyBorder="1" applyAlignment="1">
      <alignment vertical="center" wrapText="1"/>
    </xf>
    <xf numFmtId="38" fontId="20" fillId="4" borderId="74" xfId="1" applyNumberFormat="1" applyFont="1" applyFill="1" applyBorder="1" applyAlignment="1">
      <alignment vertical="center" wrapText="1"/>
    </xf>
    <xf numFmtId="183" fontId="20" fillId="14" borderId="43" xfId="1" quotePrefix="1" applyNumberFormat="1" applyFont="1" applyFill="1" applyBorder="1" applyAlignment="1">
      <alignment horizontal="right" vertical="center"/>
    </xf>
    <xf numFmtId="183" fontId="20" fillId="14" borderId="42" xfId="0" quotePrefix="1" applyNumberFormat="1" applyFont="1" applyFill="1" applyBorder="1" applyAlignment="1">
      <alignment horizontal="right" vertical="center"/>
    </xf>
    <xf numFmtId="183" fontId="20" fillId="14" borderId="42" xfId="1" quotePrefix="1" applyNumberFormat="1" applyFont="1" applyFill="1" applyBorder="1" applyAlignment="1">
      <alignment horizontal="right" vertical="center"/>
    </xf>
    <xf numFmtId="195" fontId="20" fillId="18" borderId="38" xfId="1" applyNumberFormat="1" applyFont="1" applyFill="1" applyBorder="1" applyAlignment="1">
      <alignment vertical="center" wrapText="1"/>
    </xf>
    <xf numFmtId="195" fontId="23" fillId="25" borderId="37" xfId="0" quotePrefix="1" applyNumberFormat="1" applyFont="1" applyFill="1" applyBorder="1" applyAlignment="1">
      <alignment horizontal="right" vertical="top" wrapText="1"/>
    </xf>
    <xf numFmtId="195" fontId="23" fillId="50" borderId="37" xfId="1" applyNumberFormat="1" applyFont="1" applyFill="1" applyBorder="1" applyAlignment="1">
      <alignment horizontal="right" vertical="center" wrapText="1"/>
    </xf>
    <xf numFmtId="195" fontId="23" fillId="22" borderId="38" xfId="1" applyNumberFormat="1" applyFont="1" applyFill="1" applyBorder="1" applyAlignment="1">
      <alignment horizontal="right" vertical="center" wrapText="1"/>
    </xf>
    <xf numFmtId="195" fontId="23" fillId="25" borderId="38" xfId="0" quotePrefix="1" applyNumberFormat="1" applyFont="1" applyFill="1" applyBorder="1" applyAlignment="1">
      <alignment horizontal="right" vertical="top" wrapText="1"/>
    </xf>
    <xf numFmtId="4" fontId="23" fillId="25" borderId="38" xfId="0" applyNumberFormat="1" applyFont="1" applyFill="1" applyBorder="1" applyAlignment="1">
      <alignment horizontal="right" vertical="top" wrapText="1"/>
    </xf>
    <xf numFmtId="4" fontId="23" fillId="24" borderId="38" xfId="0" applyNumberFormat="1" applyFont="1" applyFill="1" applyBorder="1" applyAlignment="1">
      <alignment horizontal="right" vertical="top" wrapText="1"/>
    </xf>
    <xf numFmtId="40" fontId="23" fillId="50" borderId="38" xfId="1" applyNumberFormat="1" applyFont="1" applyFill="1" applyBorder="1" applyAlignment="1">
      <alignment horizontal="right" vertical="center" wrapText="1"/>
    </xf>
    <xf numFmtId="4" fontId="23" fillId="15" borderId="43" xfId="0" applyNumberFormat="1" applyFont="1" applyFill="1" applyBorder="1" applyAlignment="1">
      <alignment horizontal="right" vertical="center" wrapText="1"/>
    </xf>
    <xf numFmtId="38" fontId="20" fillId="18" borderId="38" xfId="1" applyNumberFormat="1" applyFont="1" applyFill="1" applyBorder="1" applyAlignment="1">
      <alignment vertical="center" wrapText="1"/>
    </xf>
    <xf numFmtId="38" fontId="23" fillId="25" borderId="38" xfId="0" applyNumberFormat="1" applyFont="1" applyFill="1" applyBorder="1" applyAlignment="1">
      <alignment horizontal="right" vertical="top" wrapText="1"/>
    </xf>
    <xf numFmtId="38" fontId="23" fillId="24" borderId="38" xfId="0" applyNumberFormat="1" applyFont="1" applyFill="1" applyBorder="1" applyAlignment="1">
      <alignment horizontal="right" vertical="top" wrapText="1"/>
    </xf>
    <xf numFmtId="3" fontId="23" fillId="15" borderId="43" xfId="0" applyNumberFormat="1" applyFont="1" applyFill="1" applyBorder="1" applyAlignment="1">
      <alignment horizontal="right" vertical="center" wrapText="1"/>
    </xf>
    <xf numFmtId="3" fontId="20" fillId="15" borderId="38" xfId="0" quotePrefix="1" applyNumberFormat="1" applyFont="1" applyFill="1" applyBorder="1" applyAlignment="1">
      <alignment horizontal="left" vertical="top" wrapText="1"/>
    </xf>
    <xf numFmtId="3" fontId="20" fillId="3" borderId="38" xfId="0" quotePrefix="1" applyNumberFormat="1" applyFont="1" applyFill="1" applyBorder="1" applyAlignment="1">
      <alignment horizontal="left" vertical="top" wrapText="1"/>
    </xf>
    <xf numFmtId="0" fontId="20" fillId="3" borderId="43" xfId="0" quotePrefix="1" applyFont="1" applyFill="1" applyBorder="1" applyAlignment="1">
      <alignment horizontal="left" vertical="center" wrapText="1"/>
    </xf>
    <xf numFmtId="3" fontId="23" fillId="25" borderId="38" xfId="0" applyNumberFormat="1" applyFont="1" applyFill="1" applyBorder="1" applyAlignment="1">
      <alignment horizontal="right" vertical="top" wrapText="1"/>
    </xf>
    <xf numFmtId="3" fontId="23" fillId="24" borderId="38" xfId="0" applyNumberFormat="1" applyFont="1" applyFill="1" applyBorder="1" applyAlignment="1">
      <alignment horizontal="right" vertical="top" wrapText="1"/>
    </xf>
    <xf numFmtId="3" fontId="23" fillId="51" borderId="38" xfId="0" applyNumberFormat="1" applyFont="1" applyFill="1" applyBorder="1" applyAlignment="1">
      <alignment horizontal="right" vertical="top" wrapText="1"/>
    </xf>
    <xf numFmtId="3" fontId="23" fillId="50" borderId="38" xfId="0" applyNumberFormat="1" applyFont="1" applyFill="1" applyBorder="1" applyAlignment="1">
      <alignment horizontal="right" vertical="top" wrapText="1"/>
    </xf>
    <xf numFmtId="40" fontId="20" fillId="4" borderId="37" xfId="1" applyNumberFormat="1" applyFont="1" applyFill="1" applyBorder="1" applyAlignment="1">
      <alignment horizontal="right" vertical="center" wrapText="1"/>
    </xf>
    <xf numFmtId="177" fontId="0" fillId="15" borderId="41" xfId="0" quotePrefix="1" applyNumberFormat="1" applyFill="1" applyBorder="1">
      <alignment vertical="center"/>
    </xf>
    <xf numFmtId="0" fontId="0" fillId="3" borderId="31" xfId="0" applyFill="1" applyBorder="1" applyAlignment="1">
      <alignment vertical="top"/>
    </xf>
    <xf numFmtId="177" fontId="0" fillId="15" borderId="42" xfId="0" applyNumberFormat="1" applyFill="1" applyBorder="1">
      <alignment vertical="center"/>
    </xf>
    <xf numFmtId="3" fontId="0" fillId="4" borderId="43" xfId="0" applyNumberFormat="1" applyFill="1" applyBorder="1" applyAlignment="1">
      <alignment vertical="center" wrapText="1"/>
    </xf>
    <xf numFmtId="3" fontId="0" fillId="4" borderId="45" xfId="0" applyNumberFormat="1" applyFill="1" applyBorder="1" applyAlignment="1">
      <alignment vertical="center" wrapText="1"/>
    </xf>
    <xf numFmtId="3" fontId="0" fillId="4" borderId="219" xfId="0" applyNumberFormat="1" applyFill="1" applyBorder="1" applyAlignment="1">
      <alignment vertical="center" wrapText="1"/>
    </xf>
    <xf numFmtId="3" fontId="15" fillId="14" borderId="231" xfId="0" applyNumberFormat="1" applyFont="1" applyFill="1" applyBorder="1" applyAlignment="1">
      <alignment horizontal="left" vertical="center" wrapText="1"/>
    </xf>
    <xf numFmtId="0" fontId="5" fillId="3" borderId="300" xfId="0" applyFont="1" applyFill="1" applyBorder="1" applyAlignment="1">
      <alignment horizontal="center" vertical="center"/>
    </xf>
    <xf numFmtId="0" fontId="5" fillId="3" borderId="298" xfId="0" applyFont="1" applyFill="1" applyBorder="1" applyAlignment="1">
      <alignment horizontal="center" vertical="center"/>
    </xf>
    <xf numFmtId="0" fontId="5" fillId="3" borderId="305" xfId="0" applyFont="1" applyFill="1" applyBorder="1" applyAlignment="1">
      <alignment horizontal="center" vertical="center"/>
    </xf>
    <xf numFmtId="0" fontId="0" fillId="3" borderId="43" xfId="0" applyFill="1" applyBorder="1" applyAlignment="1">
      <alignment horizontal="center" vertical="center"/>
    </xf>
    <xf numFmtId="38" fontId="5" fillId="4" borderId="43" xfId="1" applyNumberFormat="1" applyFont="1" applyFill="1" applyBorder="1" applyAlignment="1">
      <alignment horizontal="right" vertical="center" wrapText="1"/>
    </xf>
    <xf numFmtId="0" fontId="0" fillId="4" borderId="45" xfId="0" quotePrefix="1" applyFill="1" applyBorder="1" applyAlignment="1">
      <alignment horizontal="right" vertical="center" wrapText="1"/>
    </xf>
    <xf numFmtId="0" fontId="0" fillId="4" borderId="45" xfId="0" applyFill="1" applyBorder="1" applyAlignment="1">
      <alignment horizontal="right" vertical="center" wrapText="1"/>
    </xf>
    <xf numFmtId="4" fontId="21" fillId="4" borderId="219" xfId="0" applyNumberFormat="1" applyFont="1" applyFill="1" applyBorder="1" applyAlignment="1">
      <alignment vertical="center" wrapText="1"/>
    </xf>
    <xf numFmtId="4" fontId="21" fillId="4" borderId="45" xfId="0" applyNumberFormat="1" applyFont="1" applyFill="1" applyBorder="1" applyAlignment="1">
      <alignment vertical="center" wrapText="1"/>
    </xf>
    <xf numFmtId="4" fontId="21" fillId="4" borderId="38" xfId="0" quotePrefix="1" applyNumberFormat="1" applyFont="1" applyFill="1" applyBorder="1" applyAlignment="1">
      <alignment horizontal="right" vertical="center" wrapText="1"/>
    </xf>
    <xf numFmtId="4" fontId="21" fillId="4" borderId="52" xfId="0" quotePrefix="1" applyNumberFormat="1" applyFont="1" applyFill="1" applyBorder="1" applyAlignment="1">
      <alignment horizontal="right" vertical="center" wrapText="1"/>
    </xf>
    <xf numFmtId="0" fontId="0" fillId="17" borderId="46" xfId="0" applyFill="1" applyBorder="1" applyAlignment="1">
      <alignment horizontal="center" vertical="center"/>
    </xf>
    <xf numFmtId="0" fontId="0" fillId="17" borderId="59" xfId="0" applyFill="1" applyBorder="1" applyAlignment="1">
      <alignment horizontal="center" vertical="top"/>
    </xf>
    <xf numFmtId="3" fontId="0" fillId="4" borderId="38" xfId="0" applyNumberFormat="1" applyFill="1" applyBorder="1">
      <alignment vertical="center"/>
    </xf>
    <xf numFmtId="3" fontId="0" fillId="3" borderId="38" xfId="0" applyNumberFormat="1" applyFill="1" applyBorder="1" applyAlignment="1">
      <alignment horizontal="center" vertical="center"/>
    </xf>
    <xf numFmtId="3" fontId="0" fillId="0" borderId="38" xfId="0" applyNumberFormat="1" applyBorder="1" applyAlignment="1">
      <alignment vertical="top"/>
    </xf>
    <xf numFmtId="3" fontId="0" fillId="3" borderId="45" xfId="0" applyNumberFormat="1" applyFill="1" applyBorder="1" applyAlignment="1">
      <alignment vertical="top"/>
    </xf>
    <xf numFmtId="3" fontId="0" fillId="0" borderId="43" xfId="0" applyNumberFormat="1" applyBorder="1" applyAlignment="1">
      <alignment horizontal="center" vertical="center"/>
    </xf>
    <xf numFmtId="0" fontId="0" fillId="0" borderId="44" xfId="0" applyBorder="1" applyAlignment="1">
      <alignment vertical="top"/>
    </xf>
    <xf numFmtId="0" fontId="0" fillId="3" borderId="31" xfId="0" applyFill="1" applyBorder="1" applyAlignment="1">
      <alignment horizontal="center" vertical="top"/>
    </xf>
    <xf numFmtId="0" fontId="21" fillId="4" borderId="38" xfId="1" applyNumberFormat="1" applyFont="1" applyFill="1" applyBorder="1" applyAlignment="1">
      <alignment horizontal="right" vertical="center" wrapText="1"/>
    </xf>
    <xf numFmtId="3" fontId="21" fillId="4" borderId="45" xfId="0" quotePrefix="1" applyNumberFormat="1" applyFont="1" applyFill="1" applyBorder="1" applyAlignment="1">
      <alignment vertical="center" wrapText="1"/>
    </xf>
    <xf numFmtId="38" fontId="21" fillId="4" borderId="37" xfId="1" quotePrefix="1" applyNumberFormat="1" applyFont="1" applyFill="1" applyBorder="1" applyAlignment="1">
      <alignment horizontal="right" vertical="top" wrapText="1"/>
    </xf>
    <xf numFmtId="178" fontId="21" fillId="4" borderId="52" xfId="8" applyNumberFormat="1" applyFont="1" applyFill="1" applyBorder="1" applyAlignment="1">
      <alignment horizontal="right" vertical="top" wrapText="1"/>
    </xf>
    <xf numFmtId="178" fontId="21" fillId="4" borderId="52" xfId="0" applyNumberFormat="1" applyFont="1" applyFill="1" applyBorder="1" applyAlignment="1">
      <alignment horizontal="right" vertical="top" wrapText="1"/>
    </xf>
    <xf numFmtId="9" fontId="21" fillId="4" borderId="38" xfId="8" quotePrefix="1" applyFont="1" applyFill="1" applyBorder="1" applyAlignment="1">
      <alignment horizontal="right" vertical="top" wrapText="1"/>
    </xf>
    <xf numFmtId="9" fontId="21" fillId="4" borderId="52" xfId="8" applyFont="1" applyFill="1" applyBorder="1" applyAlignment="1">
      <alignment horizontal="right" vertical="top" wrapText="1"/>
    </xf>
    <xf numFmtId="185" fontId="21" fillId="4" borderId="38" xfId="8" quotePrefix="1" applyNumberFormat="1" applyFont="1" applyFill="1" applyBorder="1" applyAlignment="1">
      <alignment horizontal="right" vertical="top" wrapText="1"/>
    </xf>
    <xf numFmtId="185" fontId="21" fillId="4" borderId="37" xfId="1" quotePrefix="1" applyNumberFormat="1" applyFont="1" applyFill="1" applyBorder="1" applyAlignment="1">
      <alignment horizontal="right" vertical="top" wrapText="1"/>
    </xf>
    <xf numFmtId="185" fontId="21" fillId="4" borderId="38" xfId="0" quotePrefix="1" applyNumberFormat="1" applyFont="1" applyFill="1" applyBorder="1" applyAlignment="1">
      <alignment horizontal="right" vertical="top" wrapText="1"/>
    </xf>
    <xf numFmtId="185" fontId="21" fillId="4" borderId="52" xfId="0" quotePrefix="1" applyNumberFormat="1" applyFont="1" applyFill="1" applyBorder="1" applyAlignment="1">
      <alignment horizontal="right" vertical="top" wrapText="1"/>
    </xf>
    <xf numFmtId="185" fontId="21" fillId="4" borderId="45" xfId="8" applyNumberFormat="1" applyFont="1" applyFill="1" applyBorder="1" applyAlignment="1">
      <alignment horizontal="right" vertical="top" wrapText="1"/>
    </xf>
    <xf numFmtId="185" fontId="21" fillId="4" borderId="52" xfId="8" applyNumberFormat="1" applyFont="1" applyFill="1" applyBorder="1" applyAlignment="1">
      <alignment horizontal="right" vertical="top" wrapText="1"/>
    </xf>
    <xf numFmtId="185" fontId="21" fillId="4" borderId="45" xfId="0" applyNumberFormat="1" applyFont="1" applyFill="1" applyBorder="1" applyAlignment="1">
      <alignment horizontal="right" vertical="top" wrapText="1"/>
    </xf>
    <xf numFmtId="185" fontId="21" fillId="4" borderId="52" xfId="0" applyNumberFormat="1" applyFont="1" applyFill="1" applyBorder="1" applyAlignment="1">
      <alignment horizontal="right" vertical="top" wrapText="1"/>
    </xf>
    <xf numFmtId="38" fontId="21" fillId="4" borderId="38" xfId="1" applyNumberFormat="1" applyFont="1" applyFill="1" applyBorder="1" applyAlignment="1">
      <alignment horizontal="right" vertical="top" wrapText="1"/>
    </xf>
    <xf numFmtId="3" fontId="13" fillId="4" borderId="43" xfId="0" applyNumberFormat="1" applyFont="1" applyFill="1" applyBorder="1" applyAlignment="1">
      <alignment horizontal="right" vertical="top" wrapText="1"/>
    </xf>
    <xf numFmtId="3" fontId="13" fillId="4" borderId="38" xfId="0" applyNumberFormat="1" applyFont="1" applyFill="1" applyBorder="1" applyAlignment="1">
      <alignment horizontal="right" vertical="top" wrapText="1"/>
    </xf>
    <xf numFmtId="3" fontId="21" fillId="4" borderId="37" xfId="1" quotePrefix="1" applyNumberFormat="1" applyFont="1" applyFill="1" applyBorder="1" applyAlignment="1">
      <alignment horizontal="right" vertical="top" wrapText="1"/>
    </xf>
    <xf numFmtId="9" fontId="21" fillId="4" borderId="45" xfId="8" applyFont="1" applyFill="1" applyBorder="1" applyAlignment="1">
      <alignment horizontal="right" vertical="top" wrapText="1"/>
    </xf>
    <xf numFmtId="185" fontId="21" fillId="4" borderId="80" xfId="1" quotePrefix="1" applyNumberFormat="1" applyFont="1" applyFill="1" applyBorder="1" applyAlignment="1">
      <alignment horizontal="right" vertical="top" wrapText="1"/>
    </xf>
    <xf numFmtId="178" fontId="21" fillId="4" borderId="38" xfId="8" applyNumberFormat="1" applyFont="1" applyFill="1" applyBorder="1" applyAlignment="1">
      <alignment horizontal="right" vertical="top" wrapText="1"/>
    </xf>
    <xf numFmtId="9" fontId="21" fillId="4" borderId="52" xfId="8" quotePrefix="1" applyFont="1" applyFill="1" applyBorder="1" applyAlignment="1">
      <alignment horizontal="right" vertical="top" wrapText="1"/>
    </xf>
    <xf numFmtId="38" fontId="21" fillId="4" borderId="54" xfId="1" applyNumberFormat="1" applyFont="1" applyFill="1" applyBorder="1" applyAlignment="1">
      <alignment horizontal="right" vertical="top" wrapText="1"/>
    </xf>
    <xf numFmtId="41" fontId="21" fillId="4" borderId="45" xfId="1" applyFont="1" applyFill="1" applyBorder="1" applyAlignment="1">
      <alignment horizontal="right" vertical="top" wrapText="1"/>
    </xf>
    <xf numFmtId="40" fontId="21" fillId="4" borderId="54" xfId="1" applyNumberFormat="1" applyFont="1" applyFill="1" applyBorder="1" applyAlignment="1">
      <alignment horizontal="right" vertical="top" wrapText="1"/>
    </xf>
    <xf numFmtId="178" fontId="21" fillId="4" borderId="37" xfId="1" applyNumberFormat="1" applyFont="1" applyFill="1" applyBorder="1" applyAlignment="1">
      <alignment horizontal="right" vertical="top" wrapText="1"/>
    </xf>
    <xf numFmtId="40" fontId="21" fillId="4" borderId="37" xfId="1" applyNumberFormat="1" applyFont="1" applyFill="1" applyBorder="1" applyAlignment="1">
      <alignment horizontal="right" vertical="top" wrapText="1"/>
    </xf>
    <xf numFmtId="178" fontId="21" fillId="4" borderId="45" xfId="8" quotePrefix="1" applyNumberFormat="1" applyFont="1" applyFill="1" applyBorder="1" applyAlignment="1">
      <alignment horizontal="right" vertical="top" wrapText="1"/>
    </xf>
    <xf numFmtId="9" fontId="21" fillId="4" borderId="80" xfId="8" quotePrefix="1" applyFont="1" applyFill="1" applyBorder="1" applyAlignment="1">
      <alignment horizontal="right" vertical="top" wrapText="1"/>
    </xf>
    <xf numFmtId="9" fontId="21" fillId="4" borderId="37" xfId="8" quotePrefix="1" applyFont="1" applyFill="1" applyBorder="1" applyAlignment="1">
      <alignment horizontal="right" vertical="top" wrapText="1"/>
    </xf>
    <xf numFmtId="9" fontId="21" fillId="4" borderId="80" xfId="8" applyFont="1" applyFill="1" applyBorder="1" applyAlignment="1">
      <alignment horizontal="right" vertical="top" wrapText="1"/>
    </xf>
    <xf numFmtId="9" fontId="21" fillId="4" borderId="52" xfId="8" quotePrefix="1" applyFont="1" applyFill="1" applyBorder="1" applyAlignment="1">
      <alignment vertical="center" wrapText="1"/>
    </xf>
    <xf numFmtId="9" fontId="21" fillId="4" borderId="38" xfId="8" applyFont="1" applyFill="1" applyBorder="1" applyAlignment="1">
      <alignment horizontal="right" vertical="center" wrapText="1"/>
    </xf>
    <xf numFmtId="9" fontId="21" fillId="4" borderId="52" xfId="8" applyFont="1" applyFill="1" applyBorder="1" applyAlignment="1">
      <alignment horizontal="right" vertical="center" wrapText="1"/>
    </xf>
    <xf numFmtId="178" fontId="21" fillId="4" borderId="37" xfId="8" applyNumberFormat="1" applyFont="1" applyFill="1" applyBorder="1" applyAlignment="1">
      <alignment horizontal="right" vertical="center" wrapText="1"/>
    </xf>
    <xf numFmtId="4" fontId="21" fillId="4" borderId="219" xfId="0" applyNumberFormat="1" applyFont="1" applyFill="1" applyBorder="1" applyAlignment="1">
      <alignment horizontal="right" vertical="top" wrapText="1"/>
    </xf>
    <xf numFmtId="3" fontId="21" fillId="21" borderId="219" xfId="0" applyNumberFormat="1" applyFont="1" applyFill="1" applyBorder="1" applyAlignment="1">
      <alignment horizontal="right" vertical="center" wrapText="1"/>
    </xf>
    <xf numFmtId="3" fontId="21" fillId="21" borderId="45" xfId="0" applyNumberFormat="1" applyFont="1" applyFill="1" applyBorder="1" applyAlignment="1">
      <alignment horizontal="right" vertical="center" wrapText="1"/>
    </xf>
    <xf numFmtId="3" fontId="21" fillId="21" borderId="38" xfId="0" applyNumberFormat="1" applyFont="1" applyFill="1" applyBorder="1" applyAlignment="1">
      <alignment horizontal="right" vertical="center" wrapText="1"/>
    </xf>
    <xf numFmtId="3" fontId="21" fillId="21" borderId="43" xfId="0" applyNumberFormat="1" applyFont="1" applyFill="1" applyBorder="1" applyAlignment="1">
      <alignment horizontal="right" vertical="center" wrapText="1"/>
    </xf>
    <xf numFmtId="0" fontId="5" fillId="21" borderId="38" xfId="0" applyFont="1" applyFill="1" applyBorder="1">
      <alignment vertical="center"/>
    </xf>
    <xf numFmtId="4" fontId="21" fillId="21" borderId="219" xfId="0" applyNumberFormat="1" applyFont="1" applyFill="1" applyBorder="1" applyAlignment="1">
      <alignment vertical="center" wrapText="1"/>
    </xf>
    <xf numFmtId="4" fontId="21" fillId="21" borderId="45" xfId="0" applyNumberFormat="1" applyFont="1" applyFill="1" applyBorder="1" applyAlignment="1">
      <alignment vertical="center" wrapText="1"/>
    </xf>
    <xf numFmtId="4" fontId="21" fillId="21" borderId="38" xfId="0" quotePrefix="1" applyNumberFormat="1" applyFont="1" applyFill="1" applyBorder="1" applyAlignment="1">
      <alignment horizontal="right" vertical="center" wrapText="1"/>
    </xf>
    <xf numFmtId="9" fontId="21" fillId="4" borderId="45" xfId="8" applyFont="1" applyFill="1" applyBorder="1" applyAlignment="1">
      <alignment horizontal="right" vertical="center" wrapText="1"/>
    </xf>
    <xf numFmtId="0" fontId="21" fillId="4" borderId="80" xfId="1" applyNumberFormat="1" applyFont="1" applyFill="1" applyBorder="1" applyAlignment="1">
      <alignment horizontal="right" vertical="center" wrapText="1"/>
    </xf>
    <xf numFmtId="0" fontId="21" fillId="4" borderId="37" xfId="1" applyNumberFormat="1" applyFont="1" applyFill="1" applyBorder="1" applyAlignment="1">
      <alignment horizontal="right" vertical="center" wrapText="1"/>
    </xf>
    <xf numFmtId="0" fontId="13" fillId="4" borderId="45" xfId="0" applyFont="1" applyFill="1" applyBorder="1" applyAlignment="1">
      <alignment vertical="center" wrapText="1"/>
    </xf>
    <xf numFmtId="0" fontId="13" fillId="4" borderId="38" xfId="0" applyFont="1" applyFill="1" applyBorder="1" applyAlignment="1">
      <alignment vertical="center" wrapText="1"/>
    </xf>
    <xf numFmtId="0" fontId="13" fillId="4" borderId="43" xfId="0" applyFont="1" applyFill="1" applyBorder="1" applyAlignment="1">
      <alignment vertical="center" wrapText="1"/>
    </xf>
    <xf numFmtId="0" fontId="21" fillId="4" borderId="45" xfId="0" applyFont="1" applyFill="1" applyBorder="1" applyAlignment="1">
      <alignment vertical="center" wrapText="1"/>
    </xf>
    <xf numFmtId="49" fontId="21" fillId="4" borderId="80" xfId="1" applyNumberFormat="1" applyFont="1" applyFill="1" applyBorder="1" applyAlignment="1">
      <alignment horizontal="right" vertical="center" wrapText="1"/>
    </xf>
    <xf numFmtId="49" fontId="21" fillId="4" borderId="37" xfId="1" applyNumberFormat="1" applyFont="1" applyFill="1" applyBorder="1" applyAlignment="1">
      <alignment horizontal="right" vertical="top" wrapText="1"/>
    </xf>
    <xf numFmtId="49" fontId="13" fillId="4" borderId="219" xfId="0" applyNumberFormat="1" applyFont="1" applyFill="1" applyBorder="1" applyAlignment="1">
      <alignment vertical="center" wrapText="1"/>
    </xf>
    <xf numFmtId="49" fontId="13" fillId="4" borderId="45" xfId="0" applyNumberFormat="1" applyFont="1" applyFill="1" applyBorder="1" applyAlignment="1">
      <alignment vertical="center" wrapText="1"/>
    </xf>
    <xf numFmtId="49" fontId="13" fillId="4" borderId="38" xfId="0" applyNumberFormat="1" applyFont="1" applyFill="1" applyBorder="1" applyAlignment="1">
      <alignment vertical="top" wrapText="1"/>
    </xf>
    <xf numFmtId="49" fontId="13" fillId="4" borderId="43" xfId="0" applyNumberFormat="1" applyFont="1" applyFill="1" applyBorder="1" applyAlignment="1">
      <alignment vertical="top" wrapText="1"/>
    </xf>
    <xf numFmtId="49" fontId="21" fillId="4" borderId="37" xfId="1" quotePrefix="1" applyNumberFormat="1" applyFont="1" applyFill="1" applyBorder="1" applyAlignment="1">
      <alignment horizontal="right" vertical="center" wrapText="1"/>
    </xf>
    <xf numFmtId="49" fontId="21" fillId="4" borderId="303" xfId="1" quotePrefix="1" applyNumberFormat="1" applyFont="1" applyFill="1" applyBorder="1" applyAlignment="1">
      <alignment horizontal="right" vertical="center" wrapText="1"/>
    </xf>
    <xf numFmtId="49" fontId="21" fillId="4" borderId="80" xfId="1" quotePrefix="1" applyNumberFormat="1" applyFont="1" applyFill="1" applyBorder="1" applyAlignment="1">
      <alignment horizontal="right" vertical="top" wrapText="1"/>
    </xf>
    <xf numFmtId="49" fontId="21" fillId="4" borderId="37" xfId="1" quotePrefix="1" applyNumberFormat="1" applyFont="1" applyFill="1" applyBorder="1" applyAlignment="1">
      <alignment horizontal="right" vertical="top" wrapText="1"/>
    </xf>
    <xf numFmtId="49" fontId="21" fillId="4" borderId="80" xfId="1" quotePrefix="1" applyNumberFormat="1" applyFont="1" applyFill="1" applyBorder="1" applyAlignment="1">
      <alignment horizontal="right" vertical="center" wrapText="1"/>
    </xf>
    <xf numFmtId="9" fontId="21" fillId="4" borderId="303" xfId="1" quotePrefix="1" applyNumberFormat="1" applyFont="1" applyFill="1" applyBorder="1" applyAlignment="1">
      <alignment horizontal="right" vertical="center" wrapText="1"/>
    </xf>
    <xf numFmtId="9" fontId="21" fillId="4" borderId="80" xfId="1" quotePrefix="1" applyNumberFormat="1" applyFont="1" applyFill="1" applyBorder="1" applyAlignment="1">
      <alignment horizontal="right" vertical="center" wrapText="1"/>
    </xf>
    <xf numFmtId="9" fontId="21" fillId="4" borderId="37" xfId="1" quotePrefix="1" applyNumberFormat="1" applyFont="1" applyFill="1" applyBorder="1" applyAlignment="1">
      <alignment horizontal="right" vertical="center" wrapText="1"/>
    </xf>
    <xf numFmtId="38" fontId="21" fillId="4" borderId="80" xfId="1" applyNumberFormat="1" applyFont="1" applyFill="1" applyBorder="1" applyAlignment="1">
      <alignment horizontal="right" vertical="center" wrapText="1"/>
    </xf>
    <xf numFmtId="38" fontId="13" fillId="4" borderId="219" xfId="0" applyNumberFormat="1" applyFont="1" applyFill="1" applyBorder="1" applyAlignment="1">
      <alignment vertical="center" wrapText="1"/>
    </xf>
    <xf numFmtId="38" fontId="13" fillId="4" borderId="38" xfId="0" applyNumberFormat="1" applyFont="1" applyFill="1" applyBorder="1" applyAlignment="1">
      <alignment vertical="center" wrapText="1"/>
    </xf>
    <xf numFmtId="38" fontId="21" fillId="4" borderId="219" xfId="0" applyNumberFormat="1" applyFont="1" applyFill="1" applyBorder="1" applyAlignment="1">
      <alignment vertical="center" wrapText="1"/>
    </xf>
    <xf numFmtId="38" fontId="21" fillId="4" borderId="38" xfId="0" applyNumberFormat="1" applyFont="1" applyFill="1" applyBorder="1" applyAlignment="1">
      <alignment vertical="center" wrapText="1"/>
    </xf>
    <xf numFmtId="9" fontId="21" fillId="21" borderId="303" xfId="1" quotePrefix="1" applyNumberFormat="1" applyFont="1" applyFill="1" applyBorder="1" applyAlignment="1">
      <alignment horizontal="right" vertical="center" wrapText="1"/>
    </xf>
    <xf numFmtId="49" fontId="21" fillId="21" borderId="303" xfId="1" applyNumberFormat="1" applyFont="1" applyFill="1" applyBorder="1" applyAlignment="1">
      <alignment horizontal="right" vertical="center" wrapText="1"/>
    </xf>
    <xf numFmtId="193" fontId="13" fillId="4" borderId="219" xfId="0" applyNumberFormat="1" applyFont="1" applyFill="1" applyBorder="1" applyAlignment="1">
      <alignment vertical="center" wrapText="1"/>
    </xf>
    <xf numFmtId="193" fontId="13" fillId="4" borderId="38" xfId="0" applyNumberFormat="1" applyFont="1" applyFill="1" applyBorder="1" applyAlignment="1">
      <alignment vertical="center" wrapText="1"/>
    </xf>
    <xf numFmtId="193" fontId="21" fillId="4" borderId="43" xfId="0" quotePrefix="1" applyNumberFormat="1" applyFont="1" applyFill="1" applyBorder="1" applyAlignment="1">
      <alignment vertical="center" wrapText="1"/>
    </xf>
    <xf numFmtId="3" fontId="20" fillId="21" borderId="219" xfId="0" applyNumberFormat="1" applyFont="1" applyFill="1" applyBorder="1" applyAlignment="1">
      <alignment vertical="center" wrapText="1"/>
    </xf>
    <xf numFmtId="3" fontId="20" fillId="21" borderId="45" xfId="0" applyNumberFormat="1" applyFont="1" applyFill="1" applyBorder="1" applyAlignment="1">
      <alignment vertical="top" wrapText="1"/>
    </xf>
    <xf numFmtId="3" fontId="20" fillId="21" borderId="38" xfId="0" quotePrefix="1" applyNumberFormat="1" applyFont="1" applyFill="1" applyBorder="1" applyAlignment="1">
      <alignment horizontal="right" vertical="center" wrapText="1"/>
    </xf>
    <xf numFmtId="38" fontId="21" fillId="4" borderId="80" xfId="1" quotePrefix="1" applyNumberFormat="1" applyFont="1" applyFill="1" applyBorder="1" applyAlignment="1">
      <alignment horizontal="right" vertical="top" wrapText="1"/>
    </xf>
    <xf numFmtId="178" fontId="5" fillId="4" borderId="45" xfId="8" applyNumberFormat="1" applyFont="1" applyFill="1" applyBorder="1" applyAlignment="1">
      <alignment horizontal="right" vertical="top" wrapText="1"/>
    </xf>
    <xf numFmtId="178" fontId="5" fillId="4" borderId="38" xfId="8" quotePrefix="1" applyNumberFormat="1" applyFont="1" applyFill="1" applyBorder="1" applyAlignment="1">
      <alignment horizontal="right" vertical="top" wrapText="1"/>
    </xf>
    <xf numFmtId="178" fontId="5" fillId="4" borderId="52" xfId="8" quotePrefix="1" applyNumberFormat="1" applyFont="1" applyFill="1" applyBorder="1" applyAlignment="1">
      <alignment horizontal="right" vertical="top" wrapText="1"/>
    </xf>
    <xf numFmtId="178" fontId="5" fillId="4" borderId="52" xfId="8" applyNumberFormat="1" applyFont="1" applyFill="1" applyBorder="1" applyAlignment="1">
      <alignment horizontal="right" vertical="top" wrapText="1"/>
    </xf>
    <xf numFmtId="178" fontId="5" fillId="4" borderId="37" xfId="1" quotePrefix="1" applyNumberFormat="1" applyFont="1" applyFill="1" applyBorder="1" applyAlignment="1">
      <alignment horizontal="right" vertical="top" wrapText="1"/>
    </xf>
    <xf numFmtId="178" fontId="5" fillId="4" borderId="45" xfId="0" applyNumberFormat="1" applyFont="1" applyFill="1" applyBorder="1" applyAlignment="1">
      <alignment horizontal="right" vertical="top" wrapText="1"/>
    </xf>
    <xf numFmtId="178" fontId="5" fillId="4" borderId="52" xfId="0" quotePrefix="1" applyNumberFormat="1" applyFont="1" applyFill="1" applyBorder="1" applyAlignment="1">
      <alignment horizontal="right" vertical="top" wrapText="1"/>
    </xf>
    <xf numFmtId="178" fontId="11" fillId="15" borderId="43" xfId="0" applyNumberFormat="1" applyFont="1" applyFill="1" applyBorder="1" applyAlignment="1">
      <alignment vertical="center" wrapText="1"/>
    </xf>
    <xf numFmtId="38" fontId="11" fillId="15" borderId="38" xfId="0" applyNumberFormat="1" applyFont="1" applyFill="1" applyBorder="1" applyAlignment="1">
      <alignment vertical="top" wrapText="1"/>
    </xf>
    <xf numFmtId="38" fontId="11" fillId="15" borderId="38" xfId="0" quotePrefix="1" applyNumberFormat="1" applyFont="1" applyFill="1" applyBorder="1" applyAlignment="1">
      <alignment vertical="top" wrapText="1"/>
    </xf>
    <xf numFmtId="178" fontId="11" fillId="14" borderId="42" xfId="0" quotePrefix="1" applyNumberFormat="1" applyFont="1" applyFill="1" applyBorder="1" applyAlignment="1">
      <alignment horizontal="left" vertical="center"/>
    </xf>
    <xf numFmtId="177" fontId="15" fillId="48" borderId="45" xfId="0" quotePrefix="1" applyNumberFormat="1" applyFont="1" applyFill="1" applyBorder="1">
      <alignment vertical="center"/>
    </xf>
    <xf numFmtId="38" fontId="21" fillId="5" borderId="38" xfId="1" quotePrefix="1" applyNumberFormat="1" applyFont="1" applyFill="1" applyBorder="1" applyAlignment="1">
      <alignment horizontal="right" vertical="center" wrapText="1"/>
    </xf>
    <xf numFmtId="40" fontId="21" fillId="5" borderId="38" xfId="1" quotePrefix="1" applyNumberFormat="1" applyFont="1" applyFill="1" applyBorder="1" applyAlignment="1">
      <alignment horizontal="right" vertical="center" wrapText="1"/>
    </xf>
    <xf numFmtId="3" fontId="21" fillId="5" borderId="38" xfId="0" quotePrefix="1" applyNumberFormat="1" applyFont="1" applyFill="1" applyBorder="1" applyAlignment="1">
      <alignment horizontal="right" vertical="center" wrapText="1"/>
    </xf>
    <xf numFmtId="38" fontId="21" fillId="4" borderId="38" xfId="1" quotePrefix="1" applyNumberFormat="1" applyFont="1" applyFill="1" applyBorder="1" applyAlignment="1">
      <alignment horizontal="right" vertical="center" wrapText="1"/>
    </xf>
    <xf numFmtId="40" fontId="21" fillId="4" borderId="38" xfId="1" quotePrefix="1" applyNumberFormat="1" applyFont="1" applyFill="1" applyBorder="1" applyAlignment="1">
      <alignment horizontal="right" vertical="center" wrapText="1"/>
    </xf>
    <xf numFmtId="40" fontId="21" fillId="4" borderId="38" xfId="1" quotePrefix="1" applyNumberFormat="1" applyFont="1" applyFill="1" applyBorder="1" applyAlignment="1">
      <alignment horizontal="right" vertical="top" wrapText="1"/>
    </xf>
    <xf numFmtId="178" fontId="21" fillId="19" borderId="38" xfId="0" quotePrefix="1" applyNumberFormat="1" applyFont="1" applyFill="1" applyBorder="1" applyAlignment="1">
      <alignment horizontal="left" vertical="center"/>
    </xf>
    <xf numFmtId="9" fontId="21" fillId="4" borderId="38" xfId="8" applyFont="1" applyFill="1" applyBorder="1" applyAlignment="1">
      <alignment horizontal="right" vertical="top" wrapText="1"/>
    </xf>
    <xf numFmtId="3" fontId="21" fillId="4" borderId="38" xfId="0" applyNumberFormat="1" applyFont="1" applyFill="1" applyBorder="1" applyAlignment="1">
      <alignment vertical="top" wrapText="1"/>
    </xf>
    <xf numFmtId="178" fontId="21" fillId="19" borderId="38" xfId="0" quotePrefix="1" applyNumberFormat="1" applyFont="1" applyFill="1" applyBorder="1" applyAlignment="1">
      <alignment horizontal="left" vertical="top"/>
    </xf>
    <xf numFmtId="178" fontId="21" fillId="4" borderId="45" xfId="8" applyNumberFormat="1" applyFont="1" applyFill="1" applyBorder="1" applyAlignment="1">
      <alignment vertical="top" wrapText="1"/>
    </xf>
    <xf numFmtId="9" fontId="21" fillId="4" borderId="45" xfId="8" applyFont="1" applyFill="1" applyBorder="1" applyAlignment="1">
      <alignment vertical="top" wrapText="1"/>
    </xf>
    <xf numFmtId="3" fontId="21" fillId="4" borderId="219" xfId="0" quotePrefix="1" applyNumberFormat="1" applyFont="1" applyFill="1" applyBorder="1" applyAlignment="1">
      <alignment horizontal="right" vertical="center" wrapText="1"/>
    </xf>
    <xf numFmtId="185" fontId="5" fillId="4" borderId="219" xfId="8" applyNumberFormat="1" applyFont="1" applyFill="1" applyBorder="1" applyAlignment="1">
      <alignment vertical="center" wrapText="1"/>
    </xf>
    <xf numFmtId="185" fontId="5" fillId="4" borderId="219" xfId="0" applyNumberFormat="1" applyFont="1" applyFill="1" applyBorder="1" applyAlignment="1">
      <alignment vertical="center" wrapText="1"/>
    </xf>
    <xf numFmtId="178" fontId="21" fillId="4" borderId="219" xfId="8" quotePrefix="1" applyNumberFormat="1" applyFont="1" applyFill="1" applyBorder="1" applyAlignment="1">
      <alignment horizontal="right" vertical="center" wrapText="1"/>
    </xf>
    <xf numFmtId="3" fontId="21" fillId="4" borderId="43" xfId="0" quotePrefix="1" applyNumberFormat="1" applyFont="1" applyFill="1" applyBorder="1" applyAlignment="1">
      <alignment horizontal="right" vertical="top" wrapText="1"/>
    </xf>
    <xf numFmtId="3" fontId="21" fillId="4" borderId="82" xfId="0" applyNumberFormat="1" applyFont="1" applyFill="1" applyBorder="1" applyAlignment="1">
      <alignment horizontal="right" vertical="top" wrapText="1"/>
    </xf>
    <xf numFmtId="187" fontId="5" fillId="4" borderId="219" xfId="0" quotePrefix="1" applyNumberFormat="1" applyFont="1" applyFill="1" applyBorder="1" applyAlignment="1">
      <alignment horizontal="right" vertical="center" wrapText="1"/>
    </xf>
    <xf numFmtId="187" fontId="0" fillId="4" borderId="219" xfId="0" quotePrefix="1" applyNumberFormat="1" applyFill="1" applyBorder="1" applyAlignment="1">
      <alignment horizontal="right" vertical="center" wrapText="1"/>
    </xf>
    <xf numFmtId="187" fontId="0" fillId="4" borderId="219" xfId="0" applyNumberFormat="1" applyFill="1" applyBorder="1" applyAlignment="1">
      <alignment horizontal="right" vertical="center" wrapText="1"/>
    </xf>
    <xf numFmtId="187" fontId="0" fillId="4" borderId="38" xfId="0" applyNumberFormat="1" applyFill="1" applyBorder="1" applyAlignment="1">
      <alignment horizontal="right" vertical="center" wrapText="1"/>
    </xf>
    <xf numFmtId="4" fontId="21" fillId="4" borderId="43" xfId="0" quotePrefix="1" applyNumberFormat="1" applyFont="1" applyFill="1" applyBorder="1" applyAlignment="1">
      <alignment horizontal="right" vertical="center" wrapText="1"/>
    </xf>
    <xf numFmtId="40" fontId="21" fillId="4" borderId="297" xfId="1" quotePrefix="1" applyNumberFormat="1" applyFont="1" applyFill="1" applyBorder="1" applyAlignment="1">
      <alignment horizontal="right" vertical="center" wrapText="1"/>
    </xf>
    <xf numFmtId="40" fontId="21" fillId="5" borderId="297" xfId="1" quotePrefix="1" applyNumberFormat="1" applyFont="1" applyFill="1" applyBorder="1" applyAlignment="1">
      <alignment horizontal="right" vertical="center" wrapText="1"/>
    </xf>
    <xf numFmtId="40" fontId="20" fillId="4" borderId="38" xfId="1" quotePrefix="1" applyNumberFormat="1" applyFont="1" applyFill="1" applyBorder="1" applyAlignment="1">
      <alignment horizontal="right" vertical="center" wrapText="1"/>
    </xf>
    <xf numFmtId="9" fontId="21" fillId="4" borderId="38" xfId="1" quotePrefix="1" applyNumberFormat="1" applyFont="1" applyFill="1" applyBorder="1" applyAlignment="1">
      <alignment horizontal="right" vertical="center" wrapText="1"/>
    </xf>
    <xf numFmtId="0" fontId="21" fillId="4" borderId="38" xfId="1" quotePrefix="1" applyNumberFormat="1" applyFont="1" applyFill="1" applyBorder="1" applyAlignment="1">
      <alignment horizontal="right" vertical="center" wrapText="1"/>
    </xf>
    <xf numFmtId="180" fontId="21" fillId="4" borderId="38" xfId="0" quotePrefix="1" applyNumberFormat="1" applyFont="1" applyFill="1" applyBorder="1" applyAlignment="1">
      <alignment vertical="center" wrapText="1"/>
    </xf>
    <xf numFmtId="180" fontId="21" fillId="4" borderId="38" xfId="1" quotePrefix="1" applyNumberFormat="1" applyFont="1" applyFill="1" applyBorder="1" applyAlignment="1">
      <alignment horizontal="right" vertical="center" wrapText="1"/>
    </xf>
    <xf numFmtId="38" fontId="20" fillId="4" borderId="38" xfId="1" quotePrefix="1" applyNumberFormat="1" applyFont="1" applyFill="1" applyBorder="1" applyAlignment="1">
      <alignment horizontal="right" vertical="center" wrapText="1"/>
    </xf>
    <xf numFmtId="38" fontId="21" fillId="4" borderId="38" xfId="0" quotePrefix="1" applyNumberFormat="1" applyFont="1" applyFill="1" applyBorder="1" applyAlignment="1">
      <alignment vertical="center" wrapText="1"/>
    </xf>
    <xf numFmtId="3" fontId="5" fillId="3" borderId="44" xfId="0" applyNumberFormat="1" applyFont="1" applyFill="1" applyBorder="1" applyAlignment="1">
      <alignment horizontal="center" vertical="center"/>
    </xf>
    <xf numFmtId="3" fontId="21" fillId="4" borderId="38" xfId="0" quotePrefix="1" applyNumberFormat="1" applyFont="1" applyFill="1" applyBorder="1" applyAlignment="1">
      <alignment vertical="center" wrapText="1"/>
    </xf>
    <xf numFmtId="4" fontId="21" fillId="4" borderId="38" xfId="0" quotePrefix="1" applyNumberFormat="1" applyFont="1" applyFill="1" applyBorder="1" applyAlignment="1">
      <alignment vertical="center" wrapText="1"/>
    </xf>
    <xf numFmtId="3" fontId="21" fillId="21" borderId="38" xfId="0" applyNumberFormat="1" applyFont="1" applyFill="1" applyBorder="1" applyAlignment="1">
      <alignment vertical="center" wrapText="1"/>
    </xf>
    <xf numFmtId="3" fontId="21" fillId="5" borderId="80" xfId="1" quotePrefix="1" applyNumberFormat="1" applyFont="1" applyFill="1" applyBorder="1" applyAlignment="1">
      <alignment horizontal="right" vertical="center" wrapText="1"/>
    </xf>
    <xf numFmtId="3" fontId="21" fillId="5" borderId="37" xfId="1" quotePrefix="1" applyNumberFormat="1" applyFont="1" applyFill="1" applyBorder="1" applyAlignment="1">
      <alignment horizontal="right" vertical="center" wrapText="1"/>
    </xf>
    <xf numFmtId="3" fontId="21" fillId="5" borderId="34" xfId="1" quotePrefix="1" applyNumberFormat="1" applyFont="1" applyFill="1" applyBorder="1" applyAlignment="1">
      <alignment horizontal="right" vertical="center" wrapText="1"/>
    </xf>
    <xf numFmtId="38" fontId="21" fillId="5" borderId="297" xfId="1" quotePrefix="1" applyNumberFormat="1" applyFont="1" applyFill="1" applyBorder="1" applyAlignment="1">
      <alignment horizontal="right" vertical="center" wrapText="1"/>
    </xf>
    <xf numFmtId="3" fontId="21" fillId="4" borderId="57" xfId="0" applyNumberFormat="1" applyFont="1" applyFill="1" applyBorder="1" applyAlignment="1">
      <alignment horizontal="right" vertical="top" wrapText="1"/>
    </xf>
    <xf numFmtId="38" fontId="21" fillId="4" borderId="38" xfId="1" quotePrefix="1" applyNumberFormat="1" applyFont="1" applyFill="1" applyBorder="1" applyAlignment="1">
      <alignment horizontal="right" vertical="top" wrapText="1"/>
    </xf>
    <xf numFmtId="178" fontId="21" fillId="19" borderId="38" xfId="0" quotePrefix="1" applyNumberFormat="1" applyFont="1" applyFill="1" applyBorder="1" applyAlignment="1">
      <alignment horizontal="right" vertical="top"/>
    </xf>
    <xf numFmtId="185" fontId="21" fillId="4" borderId="38" xfId="8" quotePrefix="1" applyNumberFormat="1" applyFont="1" applyFill="1" applyBorder="1" applyAlignment="1">
      <alignment horizontal="right" vertical="center" wrapText="1"/>
    </xf>
    <xf numFmtId="185" fontId="21" fillId="4" borderId="52" xfId="8" applyNumberFormat="1" applyFont="1" applyFill="1" applyBorder="1" applyAlignment="1">
      <alignment vertical="center" wrapText="1"/>
    </xf>
    <xf numFmtId="185" fontId="21" fillId="4" borderId="38" xfId="1" quotePrefix="1" applyNumberFormat="1" applyFont="1" applyFill="1" applyBorder="1" applyAlignment="1">
      <alignment horizontal="right" vertical="center" wrapText="1"/>
    </xf>
    <xf numFmtId="2" fontId="21" fillId="4" borderId="219" xfId="8" applyNumberFormat="1" applyFont="1" applyFill="1" applyBorder="1" applyAlignment="1">
      <alignment vertical="center" wrapText="1"/>
    </xf>
    <xf numFmtId="2" fontId="21" fillId="4" borderId="38" xfId="8" quotePrefix="1" applyNumberFormat="1" applyFont="1" applyFill="1" applyBorder="1" applyAlignment="1">
      <alignment horizontal="right" vertical="top" wrapText="1"/>
    </xf>
    <xf numFmtId="2" fontId="21" fillId="4" borderId="52" xfId="8" applyNumberFormat="1" applyFont="1" applyFill="1" applyBorder="1" applyAlignment="1">
      <alignment horizontal="right" vertical="top" wrapText="1"/>
    </xf>
    <xf numFmtId="185" fontId="21" fillId="4" borderId="38" xfId="8" applyNumberFormat="1" applyFont="1" applyFill="1" applyBorder="1" applyAlignment="1">
      <alignment horizontal="right" vertical="center" wrapText="1"/>
    </xf>
    <xf numFmtId="185" fontId="5" fillId="3" borderId="80" xfId="0" applyNumberFormat="1" applyFont="1" applyFill="1" applyBorder="1" applyAlignment="1">
      <alignment horizontal="left" vertical="top" wrapText="1"/>
    </xf>
    <xf numFmtId="185" fontId="5" fillId="3" borderId="37" xfId="0" applyNumberFormat="1" applyFont="1" applyFill="1" applyBorder="1" applyAlignment="1">
      <alignment horizontal="left" vertical="top" wrapText="1"/>
    </xf>
    <xf numFmtId="185" fontId="5" fillId="3" borderId="37" xfId="0" applyNumberFormat="1" applyFont="1" applyFill="1" applyBorder="1" applyAlignment="1">
      <alignment horizontal="center" vertical="top" wrapText="1"/>
    </xf>
    <xf numFmtId="185" fontId="5" fillId="4" borderId="45" xfId="0" applyNumberFormat="1" applyFont="1" applyFill="1" applyBorder="1">
      <alignment vertical="center"/>
    </xf>
    <xf numFmtId="185" fontId="5" fillId="4" borderId="38" xfId="0" applyNumberFormat="1" applyFont="1" applyFill="1" applyBorder="1">
      <alignment vertical="center"/>
    </xf>
    <xf numFmtId="185" fontId="5" fillId="3" borderId="80" xfId="0" applyNumberFormat="1" applyFont="1" applyFill="1" applyBorder="1" applyAlignment="1">
      <alignment horizontal="center" vertical="top" wrapText="1"/>
    </xf>
    <xf numFmtId="178" fontId="21" fillId="4" borderId="219" xfId="0" quotePrefix="1" applyNumberFormat="1" applyFont="1" applyFill="1" applyBorder="1" applyAlignment="1">
      <alignment horizontal="right" vertical="center" wrapText="1"/>
    </xf>
    <xf numFmtId="0" fontId="5" fillId="35" borderId="90" xfId="0" applyFont="1" applyFill="1" applyBorder="1" applyAlignment="1">
      <alignment horizontal="center" vertical="center"/>
    </xf>
    <xf numFmtId="0" fontId="5" fillId="35" borderId="46" xfId="0" applyFont="1" applyFill="1" applyBorder="1" applyAlignment="1">
      <alignment horizontal="center" vertical="center"/>
    </xf>
    <xf numFmtId="0" fontId="5" fillId="35" borderId="47" xfId="0" applyFont="1" applyFill="1" applyBorder="1" applyAlignment="1">
      <alignment horizontal="center" vertical="top" wrapText="1"/>
    </xf>
    <xf numFmtId="3" fontId="21" fillId="4" borderId="37" xfId="1" applyNumberFormat="1" applyFont="1" applyFill="1" applyBorder="1" applyAlignment="1">
      <alignment horizontal="right" vertical="top" wrapText="1"/>
    </xf>
    <xf numFmtId="41" fontId="21" fillId="4" borderId="38" xfId="1" quotePrefix="1" applyFont="1" applyFill="1" applyBorder="1" applyAlignment="1">
      <alignment horizontal="right" vertical="top" wrapText="1"/>
    </xf>
    <xf numFmtId="41" fontId="21" fillId="4" borderId="37" xfId="1" quotePrefix="1" applyFont="1" applyFill="1" applyBorder="1" applyAlignment="1">
      <alignment horizontal="right" vertical="top" wrapText="1"/>
    </xf>
    <xf numFmtId="41" fontId="21" fillId="4" borderId="52" xfId="1" quotePrefix="1" applyFont="1" applyFill="1" applyBorder="1" applyAlignment="1">
      <alignment horizontal="right" vertical="top" wrapText="1"/>
    </xf>
    <xf numFmtId="41" fontId="21" fillId="4" borderId="52" xfId="1" applyFont="1" applyFill="1" applyBorder="1" applyAlignment="1">
      <alignment horizontal="right" vertical="top" wrapText="1"/>
    </xf>
    <xf numFmtId="185" fontId="21" fillId="4" borderId="80" xfId="1" applyNumberFormat="1" applyFont="1" applyFill="1" applyBorder="1" applyAlignment="1">
      <alignment horizontal="right" vertical="top" wrapText="1"/>
    </xf>
    <xf numFmtId="41" fontId="21" fillId="4" borderId="38" xfId="1" applyFont="1" applyFill="1" applyBorder="1" applyAlignment="1">
      <alignment horizontal="right" vertical="top" wrapText="1"/>
    </xf>
    <xf numFmtId="41" fontId="5" fillId="4" borderId="219" xfId="1" applyFont="1" applyFill="1" applyBorder="1" applyAlignment="1">
      <alignment vertical="center" wrapText="1"/>
    </xf>
    <xf numFmtId="41" fontId="5" fillId="4" borderId="38" xfId="1" quotePrefix="1" applyFont="1" applyFill="1" applyBorder="1" applyAlignment="1">
      <alignment horizontal="right" vertical="top" wrapText="1"/>
    </xf>
    <xf numFmtId="41" fontId="5" fillId="4" borderId="38" xfId="1" applyFont="1" applyFill="1" applyBorder="1" applyAlignment="1">
      <alignment horizontal="right" vertical="top" wrapText="1"/>
    </xf>
    <xf numFmtId="41" fontId="5" fillId="4" borderId="52" xfId="1" applyFont="1" applyFill="1" applyBorder="1" applyAlignment="1">
      <alignment horizontal="right" vertical="top" wrapText="1"/>
    </xf>
    <xf numFmtId="41" fontId="5" fillId="4" borderId="52" xfId="1" quotePrefix="1" applyFont="1" applyFill="1" applyBorder="1" applyAlignment="1">
      <alignment horizontal="right" vertical="top" wrapText="1"/>
    </xf>
    <xf numFmtId="41" fontId="0" fillId="4" borderId="45" xfId="1" applyFont="1" applyFill="1" applyBorder="1" applyAlignment="1">
      <alignment horizontal="right" vertical="top" wrapText="1"/>
    </xf>
    <xf numFmtId="185" fontId="21" fillId="4" borderId="52" xfId="8" quotePrefix="1" applyNumberFormat="1" applyFont="1" applyFill="1" applyBorder="1" applyAlignment="1">
      <alignment horizontal="right" vertical="center" wrapText="1"/>
    </xf>
    <xf numFmtId="178" fontId="21" fillId="4" borderId="42" xfId="8" applyNumberFormat="1" applyFont="1" applyFill="1" applyBorder="1" applyAlignment="1">
      <alignment horizontal="right" vertical="top" wrapText="1"/>
    </xf>
    <xf numFmtId="178" fontId="21" fillId="4" borderId="65" xfId="8" quotePrefix="1" applyNumberFormat="1" applyFont="1" applyFill="1" applyBorder="1" applyAlignment="1">
      <alignment horizontal="right" vertical="top" wrapText="1"/>
    </xf>
    <xf numFmtId="185" fontId="21" fillId="4" borderId="38" xfId="8" applyNumberFormat="1" applyFont="1" applyFill="1" applyBorder="1" applyAlignment="1">
      <alignment vertical="center" wrapText="1"/>
    </xf>
    <xf numFmtId="185" fontId="21" fillId="4" borderId="37" xfId="8" quotePrefix="1" applyNumberFormat="1" applyFont="1" applyFill="1" applyBorder="1" applyAlignment="1">
      <alignment horizontal="right" vertical="top" wrapText="1"/>
    </xf>
    <xf numFmtId="185" fontId="21" fillId="4" borderId="65" xfId="8" applyNumberFormat="1" applyFont="1" applyFill="1" applyBorder="1" applyAlignment="1">
      <alignment horizontal="right" vertical="top" wrapText="1"/>
    </xf>
    <xf numFmtId="0" fontId="19" fillId="14" borderId="310" xfId="0" applyFont="1" applyFill="1" applyBorder="1">
      <alignment vertical="center"/>
    </xf>
    <xf numFmtId="4" fontId="21" fillId="4" borderId="219" xfId="0" applyNumberFormat="1" applyFont="1" applyFill="1" applyBorder="1" applyAlignment="1">
      <alignment horizontal="right" vertical="center" wrapText="1"/>
    </xf>
    <xf numFmtId="2" fontId="21" fillId="4" borderId="219" xfId="0" applyNumberFormat="1" applyFont="1" applyFill="1" applyBorder="1" applyAlignment="1">
      <alignment vertical="center" wrapText="1"/>
    </xf>
    <xf numFmtId="2" fontId="21" fillId="4" borderId="38" xfId="0" quotePrefix="1" applyNumberFormat="1" applyFont="1" applyFill="1" applyBorder="1" applyAlignment="1">
      <alignment horizontal="right" vertical="center" wrapText="1"/>
    </xf>
    <xf numFmtId="2" fontId="21" fillId="4" borderId="38" xfId="0" quotePrefix="1" applyNumberFormat="1" applyFont="1" applyFill="1" applyBorder="1" applyAlignment="1">
      <alignment horizontal="right" vertical="top" wrapText="1"/>
    </xf>
    <xf numFmtId="2" fontId="21" fillId="4" borderId="52" xfId="0" applyNumberFormat="1" applyFont="1" applyFill="1" applyBorder="1" applyAlignment="1">
      <alignment horizontal="right" vertical="top" wrapText="1"/>
    </xf>
    <xf numFmtId="4" fontId="21" fillId="4" borderId="303" xfId="1" quotePrefix="1" applyNumberFormat="1" applyFont="1" applyFill="1" applyBorder="1" applyAlignment="1">
      <alignment horizontal="right" vertical="center" wrapText="1"/>
    </xf>
    <xf numFmtId="4" fontId="21" fillId="4" borderId="45" xfId="0" applyNumberFormat="1" applyFont="1" applyFill="1" applyBorder="1" applyAlignment="1">
      <alignment horizontal="right" vertical="center" wrapText="1"/>
    </xf>
    <xf numFmtId="185" fontId="21" fillId="4" borderId="219" xfId="1" applyNumberFormat="1" applyFont="1" applyFill="1" applyBorder="1" applyAlignment="1">
      <alignment horizontal="right" vertical="center" wrapText="1"/>
    </xf>
    <xf numFmtId="185" fontId="21" fillId="4" borderId="52" xfId="8" applyNumberFormat="1" applyFont="1" applyFill="1" applyBorder="1" applyAlignment="1">
      <alignment horizontal="right" vertical="center" wrapText="1"/>
    </xf>
    <xf numFmtId="185" fontId="21" fillId="4" borderId="52" xfId="1" applyNumberFormat="1" applyFont="1" applyFill="1" applyBorder="1" applyAlignment="1">
      <alignment horizontal="right" vertical="center" wrapText="1"/>
    </xf>
    <xf numFmtId="2" fontId="21" fillId="4" borderId="219" xfId="8" applyNumberFormat="1" applyFont="1" applyFill="1" applyBorder="1" applyAlignment="1">
      <alignment horizontal="right" vertical="center" wrapText="1"/>
    </xf>
    <xf numFmtId="2" fontId="21" fillId="4" borderId="219" xfId="1" applyNumberFormat="1" applyFont="1" applyFill="1" applyBorder="1" applyAlignment="1">
      <alignment horizontal="right" vertical="center" wrapText="1"/>
    </xf>
    <xf numFmtId="2" fontId="21" fillId="4" borderId="38" xfId="8" quotePrefix="1" applyNumberFormat="1" applyFont="1" applyFill="1" applyBorder="1" applyAlignment="1">
      <alignment horizontal="right" vertical="center" wrapText="1"/>
    </xf>
    <xf numFmtId="2" fontId="21" fillId="4" borderId="38" xfId="1" quotePrefix="1" applyNumberFormat="1" applyFont="1" applyFill="1" applyBorder="1" applyAlignment="1">
      <alignment horizontal="right" vertical="center" wrapText="1"/>
    </xf>
    <xf numFmtId="2" fontId="21" fillId="4" borderId="52" xfId="8" applyNumberFormat="1" applyFont="1" applyFill="1" applyBorder="1" applyAlignment="1">
      <alignment horizontal="right" vertical="center" wrapText="1"/>
    </xf>
    <xf numFmtId="2" fontId="21" fillId="4" borderId="52" xfId="1" applyNumberFormat="1" applyFont="1" applyFill="1" applyBorder="1" applyAlignment="1">
      <alignment horizontal="right" vertical="center" wrapText="1"/>
    </xf>
    <xf numFmtId="185" fontId="21" fillId="4" borderId="303" xfId="8" quotePrefix="1" applyNumberFormat="1" applyFont="1" applyFill="1" applyBorder="1" applyAlignment="1">
      <alignment horizontal="right" vertical="center" wrapText="1"/>
    </xf>
    <xf numFmtId="185" fontId="21" fillId="4" borderId="303" xfId="8" applyNumberFormat="1" applyFont="1" applyFill="1" applyBorder="1" applyAlignment="1">
      <alignment horizontal="right" vertical="top" wrapText="1"/>
    </xf>
    <xf numFmtId="185" fontId="21" fillId="4" borderId="37" xfId="8" applyNumberFormat="1" applyFont="1" applyFill="1" applyBorder="1" applyAlignment="1">
      <alignment horizontal="right" vertical="top" wrapText="1"/>
    </xf>
    <xf numFmtId="185" fontId="21" fillId="4" borderId="37" xfId="8" applyNumberFormat="1" applyFont="1" applyFill="1" applyBorder="1" applyAlignment="1">
      <alignment horizontal="right" vertical="center" wrapText="1"/>
    </xf>
    <xf numFmtId="185" fontId="21" fillId="4" borderId="303" xfId="8" quotePrefix="1" applyNumberFormat="1" applyFont="1" applyFill="1" applyBorder="1" applyAlignment="1">
      <alignment horizontal="right" vertical="top" wrapText="1"/>
    </xf>
    <xf numFmtId="38" fontId="21" fillId="5" borderId="38" xfId="0" quotePrefix="1" applyNumberFormat="1" applyFont="1" applyFill="1" applyBorder="1" applyAlignment="1">
      <alignment horizontal="right" vertical="center" wrapText="1"/>
    </xf>
    <xf numFmtId="3" fontId="21" fillId="5" borderId="42" xfId="0" quotePrefix="1" applyNumberFormat="1" applyFont="1" applyFill="1" applyBorder="1" applyAlignment="1">
      <alignment horizontal="right" vertical="center" wrapText="1"/>
    </xf>
    <xf numFmtId="185" fontId="21" fillId="4" borderId="219" xfId="8" quotePrefix="1" applyNumberFormat="1" applyFont="1" applyFill="1" applyBorder="1" applyAlignment="1">
      <alignment horizontal="right" vertical="center" wrapText="1"/>
    </xf>
    <xf numFmtId="4" fontId="21" fillId="21" borderId="38" xfId="0" applyNumberFormat="1" applyFont="1" applyFill="1" applyBorder="1" applyAlignment="1">
      <alignment vertical="center" wrapText="1"/>
    </xf>
    <xf numFmtId="3" fontId="20" fillId="21" borderId="38" xfId="0" applyNumberFormat="1" applyFont="1" applyFill="1" applyBorder="1" applyAlignment="1">
      <alignment vertical="top" wrapText="1"/>
    </xf>
    <xf numFmtId="0" fontId="0" fillId="3" borderId="37" xfId="0" applyFill="1" applyBorder="1" applyAlignment="1">
      <alignment horizontal="left" vertical="top" wrapText="1"/>
    </xf>
    <xf numFmtId="184" fontId="21" fillId="4" borderId="303" xfId="1" quotePrefix="1" applyNumberFormat="1" applyFont="1" applyFill="1" applyBorder="1" applyAlignment="1">
      <alignment horizontal="right" vertical="center" wrapText="1"/>
    </xf>
    <xf numFmtId="184" fontId="21" fillId="4" borderId="80" xfId="1" quotePrefix="1" applyNumberFormat="1" applyFont="1" applyFill="1" applyBorder="1" applyAlignment="1">
      <alignment horizontal="right" vertical="center" wrapText="1"/>
    </xf>
    <xf numFmtId="4" fontId="21" fillId="4" borderId="45" xfId="0" applyNumberFormat="1" applyFont="1" applyFill="1" applyBorder="1" applyAlignment="1">
      <alignment horizontal="right" vertical="top" wrapText="1"/>
    </xf>
    <xf numFmtId="4" fontId="21" fillId="4" borderId="38" xfId="0" applyNumberFormat="1" applyFont="1" applyFill="1" applyBorder="1" applyAlignment="1">
      <alignment horizontal="right" vertical="top" wrapText="1"/>
    </xf>
    <xf numFmtId="4" fontId="21" fillId="4" borderId="43" xfId="0" applyNumberFormat="1" applyFont="1" applyFill="1" applyBorder="1" applyAlignment="1">
      <alignment horizontal="right" vertical="top" wrapText="1"/>
    </xf>
    <xf numFmtId="4" fontId="21" fillId="4" borderId="38" xfId="0" applyNumberFormat="1" applyFont="1" applyFill="1" applyBorder="1" applyAlignment="1">
      <alignment vertical="center" wrapText="1"/>
    </xf>
    <xf numFmtId="4" fontId="21" fillId="4" borderId="43" xfId="0" applyNumberFormat="1" applyFont="1" applyFill="1" applyBorder="1" applyAlignment="1">
      <alignment vertical="center" wrapText="1"/>
    </xf>
    <xf numFmtId="4" fontId="13" fillId="4" borderId="45" xfId="0" applyNumberFormat="1" applyFont="1" applyFill="1" applyBorder="1" applyAlignment="1">
      <alignment horizontal="right" vertical="center" wrapText="1"/>
    </xf>
    <xf numFmtId="4" fontId="21" fillId="4" borderId="80" xfId="1" quotePrefix="1" applyNumberFormat="1" applyFont="1" applyFill="1" applyBorder="1" applyAlignment="1">
      <alignment horizontal="right" vertical="center" wrapText="1"/>
    </xf>
    <xf numFmtId="4" fontId="21" fillId="4" borderId="37" xfId="1" quotePrefix="1" applyNumberFormat="1" applyFont="1" applyFill="1" applyBorder="1" applyAlignment="1">
      <alignment horizontal="right" vertical="center" wrapText="1"/>
    </xf>
    <xf numFmtId="4" fontId="21" fillId="4" borderId="297" xfId="1" quotePrefix="1" applyNumberFormat="1" applyFont="1" applyFill="1" applyBorder="1" applyAlignment="1">
      <alignment horizontal="right" vertical="center" wrapText="1"/>
    </xf>
    <xf numFmtId="193" fontId="13" fillId="4" borderId="45" xfId="0" applyNumberFormat="1" applyFont="1" applyFill="1" applyBorder="1" applyAlignment="1">
      <alignment horizontal="right" vertical="center" wrapText="1"/>
    </xf>
    <xf numFmtId="193" fontId="13" fillId="4" borderId="43" xfId="0" applyNumberFormat="1" applyFont="1" applyFill="1" applyBorder="1" applyAlignment="1">
      <alignment horizontal="right" vertical="center" wrapText="1"/>
    </xf>
    <xf numFmtId="193" fontId="21" fillId="4" borderId="43" xfId="0" quotePrefix="1" applyNumberFormat="1" applyFont="1" applyFill="1" applyBorder="1" applyAlignment="1">
      <alignment horizontal="right" vertical="center" wrapText="1"/>
    </xf>
    <xf numFmtId="2" fontId="21" fillId="4" borderId="38" xfId="8" applyNumberFormat="1" applyFont="1" applyFill="1" applyBorder="1" applyAlignment="1">
      <alignment horizontal="right" vertical="center" wrapText="1"/>
    </xf>
    <xf numFmtId="4" fontId="21" fillId="4" borderId="219" xfId="0" quotePrefix="1" applyNumberFormat="1" applyFont="1" applyFill="1" applyBorder="1" applyAlignment="1">
      <alignment horizontal="right" vertical="top" wrapText="1"/>
    </xf>
    <xf numFmtId="4" fontId="21" fillId="4" borderId="38" xfId="0" quotePrefix="1" applyNumberFormat="1" applyFont="1" applyFill="1" applyBorder="1" applyAlignment="1">
      <alignment horizontal="right" vertical="top" wrapText="1"/>
    </xf>
    <xf numFmtId="4" fontId="21" fillId="4" borderId="43" xfId="0" quotePrefix="1" applyNumberFormat="1" applyFont="1" applyFill="1" applyBorder="1" applyAlignment="1">
      <alignment horizontal="right" vertical="top" wrapText="1"/>
    </xf>
    <xf numFmtId="193" fontId="21" fillId="4" borderId="219" xfId="0" applyNumberFormat="1" applyFont="1" applyFill="1" applyBorder="1" applyAlignment="1">
      <alignment horizontal="right" vertical="top" wrapText="1"/>
    </xf>
    <xf numFmtId="193" fontId="21" fillId="4" borderId="45" xfId="0" applyNumberFormat="1" applyFont="1" applyFill="1" applyBorder="1" applyAlignment="1">
      <alignment horizontal="right" vertical="top" wrapText="1"/>
    </xf>
    <xf numFmtId="193" fontId="21" fillId="4" borderId="38" xfId="0" applyNumberFormat="1" applyFont="1" applyFill="1" applyBorder="1" applyAlignment="1">
      <alignment horizontal="right" vertical="top" wrapText="1"/>
    </xf>
    <xf numFmtId="193" fontId="21" fillId="4" borderId="43" xfId="0" applyNumberFormat="1" applyFont="1" applyFill="1" applyBorder="1" applyAlignment="1">
      <alignment horizontal="right" vertical="top" wrapText="1"/>
    </xf>
    <xf numFmtId="193" fontId="21" fillId="4" borderId="219" xfId="0" applyNumberFormat="1" applyFont="1" applyFill="1" applyBorder="1" applyAlignment="1">
      <alignment vertical="center" wrapText="1"/>
    </xf>
    <xf numFmtId="193" fontId="21" fillId="4" borderId="45" xfId="0" applyNumberFormat="1" applyFont="1" applyFill="1" applyBorder="1" applyAlignment="1">
      <alignment vertical="center" wrapText="1"/>
    </xf>
    <xf numFmtId="193" fontId="21" fillId="4" borderId="38" xfId="0" applyNumberFormat="1" applyFont="1" applyFill="1" applyBorder="1" applyAlignment="1">
      <alignment vertical="center" wrapText="1"/>
    </xf>
    <xf numFmtId="193" fontId="21" fillId="4" borderId="43" xfId="0" applyNumberFormat="1" applyFont="1" applyFill="1" applyBorder="1" applyAlignment="1">
      <alignment vertical="center" wrapText="1"/>
    </xf>
    <xf numFmtId="4" fontId="21" fillId="5" borderId="43" xfId="0" quotePrefix="1" applyNumberFormat="1" applyFont="1" applyFill="1" applyBorder="1" applyAlignment="1">
      <alignment horizontal="right" vertical="center" wrapText="1"/>
    </xf>
    <xf numFmtId="2" fontId="20" fillId="21" borderId="52" xfId="8" applyNumberFormat="1" applyFont="1" applyFill="1" applyBorder="1" applyAlignment="1">
      <alignment horizontal="right" vertical="center" wrapText="1"/>
    </xf>
    <xf numFmtId="4" fontId="21" fillId="4" borderId="38" xfId="0" applyNumberFormat="1" applyFont="1" applyFill="1" applyBorder="1" applyAlignment="1">
      <alignment horizontal="right" vertical="center" wrapText="1"/>
    </xf>
    <xf numFmtId="4" fontId="21" fillId="4" borderId="38" xfId="1" quotePrefix="1" applyNumberFormat="1" applyFont="1" applyFill="1" applyBorder="1" applyAlignment="1">
      <alignment horizontal="right" vertical="center" wrapText="1"/>
    </xf>
    <xf numFmtId="3" fontId="21" fillId="4" borderId="38" xfId="1" quotePrefix="1" applyNumberFormat="1" applyFont="1" applyFill="1" applyBorder="1" applyAlignment="1">
      <alignment horizontal="right" vertical="center" wrapText="1"/>
    </xf>
    <xf numFmtId="3" fontId="21" fillId="4" borderId="303" xfId="1" quotePrefix="1" applyNumberFormat="1" applyFont="1" applyFill="1" applyBorder="1" applyAlignment="1">
      <alignment horizontal="right" vertical="center" wrapText="1"/>
    </xf>
    <xf numFmtId="9" fontId="21" fillId="21" borderId="38" xfId="1" quotePrefix="1" applyNumberFormat="1" applyFont="1" applyFill="1" applyBorder="1" applyAlignment="1">
      <alignment horizontal="right" vertical="center" wrapText="1"/>
    </xf>
    <xf numFmtId="0" fontId="21" fillId="21" borderId="38" xfId="1" quotePrefix="1" applyNumberFormat="1" applyFont="1" applyFill="1" applyBorder="1" applyAlignment="1">
      <alignment horizontal="right" vertical="center" wrapText="1"/>
    </xf>
    <xf numFmtId="185" fontId="21" fillId="4" borderId="303" xfId="1" applyNumberFormat="1" applyFont="1" applyFill="1" applyBorder="1" applyAlignment="1">
      <alignment horizontal="right" vertical="center" wrapText="1"/>
    </xf>
    <xf numFmtId="185" fontId="21" fillId="4" borderId="303" xfId="1" quotePrefix="1" applyNumberFormat="1" applyFont="1" applyFill="1" applyBorder="1" applyAlignment="1">
      <alignment horizontal="right" vertical="center" wrapText="1"/>
    </xf>
    <xf numFmtId="2" fontId="13" fillId="4" borderId="219" xfId="0" applyNumberFormat="1" applyFont="1" applyFill="1" applyBorder="1" applyAlignment="1">
      <alignment horizontal="right" vertical="center" wrapText="1"/>
    </xf>
    <xf numFmtId="2" fontId="13" fillId="4" borderId="45" xfId="0" applyNumberFormat="1" applyFont="1" applyFill="1" applyBorder="1" applyAlignment="1">
      <alignment horizontal="right" vertical="center" wrapText="1"/>
    </xf>
    <xf numFmtId="2" fontId="13" fillId="4" borderId="38" xfId="0" applyNumberFormat="1" applyFont="1" applyFill="1" applyBorder="1" applyAlignment="1">
      <alignment horizontal="right" vertical="center" wrapText="1"/>
    </xf>
    <xf numFmtId="2" fontId="13" fillId="4" borderId="43" xfId="0" applyNumberFormat="1" applyFont="1" applyFill="1" applyBorder="1" applyAlignment="1">
      <alignment horizontal="right" vertical="center" wrapText="1"/>
    </xf>
    <xf numFmtId="40" fontId="21" fillId="5" borderId="49" xfId="1" quotePrefix="1" applyNumberFormat="1" applyFont="1" applyFill="1" applyBorder="1" applyAlignment="1">
      <alignment horizontal="right" vertical="center" wrapText="1"/>
    </xf>
    <xf numFmtId="184" fontId="21" fillId="4" borderId="44" xfId="1" quotePrefix="1" applyNumberFormat="1" applyFont="1" applyFill="1" applyBorder="1" applyAlignment="1">
      <alignment horizontal="right" vertical="center" wrapText="1"/>
    </xf>
    <xf numFmtId="3" fontId="21" fillId="4" borderId="80" xfId="1" quotePrefix="1" applyNumberFormat="1" applyFont="1" applyFill="1" applyBorder="1" applyAlignment="1">
      <alignment horizontal="right" vertical="center" wrapText="1"/>
    </xf>
    <xf numFmtId="3" fontId="21" fillId="4" borderId="37" xfId="1" quotePrefix="1" applyNumberFormat="1" applyFont="1" applyFill="1" applyBorder="1" applyAlignment="1">
      <alignment horizontal="right" vertical="center" wrapText="1"/>
    </xf>
    <xf numFmtId="185" fontId="24" fillId="22" borderId="43" xfId="8" applyNumberFormat="1" applyFont="1" applyFill="1" applyBorder="1" applyAlignment="1">
      <alignment horizontal="right" vertical="center" wrapText="1"/>
    </xf>
    <xf numFmtId="3" fontId="21" fillId="4" borderId="45" xfId="0" quotePrefix="1" applyNumberFormat="1" applyFont="1" applyFill="1" applyBorder="1" applyAlignment="1">
      <alignment horizontal="right" vertical="center" wrapText="1"/>
    </xf>
    <xf numFmtId="40" fontId="21" fillId="5" borderId="78" xfId="1" quotePrefix="1" applyNumberFormat="1" applyFont="1" applyFill="1" applyBorder="1" applyAlignment="1">
      <alignment horizontal="right" vertical="center" wrapText="1"/>
    </xf>
    <xf numFmtId="49" fontId="21" fillId="4" borderId="38" xfId="1" applyNumberFormat="1" applyFont="1" applyFill="1" applyBorder="1" applyAlignment="1">
      <alignment horizontal="right" vertical="top" wrapText="1"/>
    </xf>
    <xf numFmtId="49" fontId="21" fillId="4" borderId="38" xfId="1" quotePrefix="1" applyNumberFormat="1" applyFont="1" applyFill="1" applyBorder="1" applyAlignment="1">
      <alignment horizontal="right" vertical="center" wrapText="1"/>
    </xf>
    <xf numFmtId="49" fontId="13" fillId="4" borderId="38" xfId="0" applyNumberFormat="1" applyFont="1" applyFill="1" applyBorder="1" applyAlignment="1">
      <alignment vertical="center" wrapText="1"/>
    </xf>
    <xf numFmtId="49" fontId="21" fillId="4" borderId="38" xfId="0" applyNumberFormat="1" applyFont="1" applyFill="1" applyBorder="1" applyAlignment="1">
      <alignment vertical="center" wrapText="1"/>
    </xf>
    <xf numFmtId="49" fontId="21" fillId="4" borderId="38" xfId="1" quotePrefix="1" applyNumberFormat="1" applyFont="1" applyFill="1" applyBorder="1" applyAlignment="1">
      <alignment horizontal="right" vertical="top" wrapText="1"/>
    </xf>
    <xf numFmtId="40" fontId="21" fillId="4" borderId="54" xfId="1" quotePrefix="1" applyNumberFormat="1" applyFont="1" applyFill="1" applyBorder="1" applyAlignment="1">
      <alignment horizontal="right" vertical="center" wrapText="1"/>
    </xf>
    <xf numFmtId="0" fontId="21" fillId="14" borderId="22" xfId="0" applyFont="1" applyFill="1" applyBorder="1" applyAlignment="1">
      <alignment horizontal="left" vertical="center"/>
    </xf>
    <xf numFmtId="40" fontId="21" fillId="4" borderId="74" xfId="1" quotePrefix="1" applyNumberFormat="1" applyFont="1" applyFill="1" applyBorder="1" applyAlignment="1">
      <alignment horizontal="right" vertical="center" wrapText="1"/>
    </xf>
    <xf numFmtId="0" fontId="30" fillId="14" borderId="22" xfId="0" applyFont="1" applyFill="1" applyBorder="1" applyAlignment="1">
      <alignment vertical="center" wrapText="1"/>
    </xf>
    <xf numFmtId="40" fontId="20" fillId="4" borderId="38" xfId="1" quotePrefix="1" applyNumberFormat="1" applyFont="1" applyFill="1" applyBorder="1" applyAlignment="1">
      <alignment horizontal="right" vertical="top" wrapText="1"/>
    </xf>
    <xf numFmtId="3" fontId="21" fillId="5" borderId="78" xfId="0" applyNumberFormat="1" applyFont="1" applyFill="1" applyBorder="1" applyAlignment="1">
      <alignment vertical="center" wrapText="1"/>
    </xf>
    <xf numFmtId="0" fontId="30" fillId="14" borderId="310" xfId="0" applyFont="1" applyFill="1" applyBorder="1" applyAlignment="1">
      <alignment vertical="center" wrapText="1"/>
    </xf>
    <xf numFmtId="3" fontId="21" fillId="4" borderId="54" xfId="0" quotePrefix="1" applyNumberFormat="1" applyFont="1" applyFill="1" applyBorder="1" applyAlignment="1">
      <alignment horizontal="right" vertical="top" wrapText="1"/>
    </xf>
    <xf numFmtId="3" fontId="21" fillId="4" borderId="74" xfId="0" quotePrefix="1" applyNumberFormat="1" applyFont="1" applyFill="1" applyBorder="1" applyAlignment="1">
      <alignment horizontal="right" vertical="center" wrapText="1"/>
    </xf>
    <xf numFmtId="177" fontId="5" fillId="0" borderId="22" xfId="0" quotePrefix="1" applyNumberFormat="1" applyFont="1" applyBorder="1" applyAlignment="1">
      <alignment horizontal="center" vertical="center"/>
    </xf>
    <xf numFmtId="3" fontId="21" fillId="4" borderId="235" xfId="0" applyNumberFormat="1" applyFont="1" applyFill="1" applyBorder="1" applyAlignment="1">
      <alignment vertical="center" wrapText="1"/>
    </xf>
    <xf numFmtId="3" fontId="21" fillId="4" borderId="53" xfId="0" applyNumberFormat="1" applyFont="1" applyFill="1" applyBorder="1" applyAlignment="1">
      <alignment horizontal="right" vertical="center" wrapText="1"/>
    </xf>
    <xf numFmtId="3" fontId="21" fillId="4" borderId="67" xfId="0" quotePrefix="1" applyNumberFormat="1" applyFont="1" applyFill="1" applyBorder="1" applyAlignment="1">
      <alignment horizontal="right" vertical="center" wrapText="1"/>
    </xf>
    <xf numFmtId="3" fontId="21" fillId="4" borderId="67" xfId="0" applyNumberFormat="1" applyFont="1" applyFill="1" applyBorder="1" applyAlignment="1">
      <alignment vertical="center" wrapText="1"/>
    </xf>
    <xf numFmtId="0" fontId="5" fillId="3" borderId="75" xfId="0" applyFont="1" applyFill="1" applyBorder="1" applyAlignment="1">
      <alignment horizontal="left" vertical="top" wrapText="1"/>
    </xf>
    <xf numFmtId="3" fontId="5" fillId="3" borderId="75" xfId="0" applyNumberFormat="1" applyFont="1" applyFill="1" applyBorder="1" applyAlignment="1">
      <alignment horizontal="center" vertical="top" wrapText="1"/>
    </xf>
    <xf numFmtId="0" fontId="5" fillId="17" borderId="115" xfId="0" applyFont="1" applyFill="1" applyBorder="1" applyAlignment="1">
      <alignment horizontal="center" vertical="top" wrapText="1"/>
    </xf>
    <xf numFmtId="38" fontId="21" fillId="5" borderId="38" xfId="0" applyNumberFormat="1" applyFont="1" applyFill="1" applyBorder="1" applyAlignment="1">
      <alignment vertical="center" wrapText="1"/>
    </xf>
    <xf numFmtId="0" fontId="32" fillId="34" borderId="38" xfId="0" applyFont="1" applyFill="1" applyBorder="1" applyAlignment="1">
      <alignment horizontal="left" vertical="top" wrapText="1"/>
    </xf>
    <xf numFmtId="178" fontId="21" fillId="4" borderId="75" xfId="8" applyNumberFormat="1" applyFont="1" applyFill="1" applyBorder="1" applyAlignment="1">
      <alignment horizontal="right" vertical="center" wrapText="1"/>
    </xf>
    <xf numFmtId="178" fontId="21" fillId="4" borderId="38" xfId="1" quotePrefix="1" applyNumberFormat="1" applyFont="1" applyFill="1" applyBorder="1" applyAlignment="1">
      <alignment horizontal="right" vertical="top" wrapText="1"/>
    </xf>
    <xf numFmtId="185" fontId="21" fillId="4" borderId="38" xfId="0" applyNumberFormat="1" applyFont="1" applyFill="1" applyBorder="1" applyAlignment="1">
      <alignment horizontal="right" vertical="top" wrapText="1"/>
    </xf>
    <xf numFmtId="40" fontId="21" fillId="4" borderId="75" xfId="1" quotePrefix="1" applyNumberFormat="1" applyFont="1" applyFill="1" applyBorder="1" applyAlignment="1">
      <alignment horizontal="right" vertical="top" wrapText="1"/>
    </xf>
    <xf numFmtId="0" fontId="21" fillId="14" borderId="245" xfId="0" applyFont="1" applyFill="1" applyBorder="1" applyAlignment="1">
      <alignment horizontal="right" vertical="center"/>
    </xf>
    <xf numFmtId="0" fontId="21" fillId="0" borderId="38" xfId="0" quotePrefix="1" applyFont="1" applyBorder="1" applyAlignment="1">
      <alignment vertical="top"/>
    </xf>
    <xf numFmtId="0" fontId="21" fillId="0" borderId="74" xfId="0" quotePrefix="1" applyFont="1" applyBorder="1" applyAlignment="1">
      <alignment vertical="top"/>
    </xf>
    <xf numFmtId="0" fontId="5" fillId="0" borderId="74" xfId="0" applyFont="1" applyBorder="1" applyAlignment="1">
      <alignment horizontal="left" vertical="center"/>
    </xf>
    <xf numFmtId="0" fontId="5" fillId="0" borderId="298" xfId="0" applyFont="1" applyBorder="1" applyAlignment="1">
      <alignment horizontal="center" vertical="center"/>
    </xf>
    <xf numFmtId="177" fontId="5" fillId="0" borderId="298" xfId="0" quotePrefix="1" applyNumberFormat="1" applyFont="1" applyBorder="1" applyAlignment="1">
      <alignment horizontal="center" vertical="center"/>
    </xf>
    <xf numFmtId="0" fontId="0" fillId="0" borderId="38" xfId="0" applyBorder="1" applyAlignment="1">
      <alignment vertical="top"/>
    </xf>
    <xf numFmtId="177" fontId="0" fillId="0" borderId="43" xfId="0" applyNumberFormat="1" applyBorder="1" applyAlignment="1">
      <alignment vertical="top"/>
    </xf>
    <xf numFmtId="177" fontId="0" fillId="0" borderId="45" xfId="0" applyNumberFormat="1" applyBorder="1" applyAlignment="1">
      <alignment vertical="top"/>
    </xf>
    <xf numFmtId="177" fontId="0" fillId="0" borderId="42" xfId="0" applyNumberFormat="1" applyBorder="1" applyAlignment="1">
      <alignment vertical="top"/>
    </xf>
    <xf numFmtId="0" fontId="19" fillId="14" borderId="189" xfId="0" applyFont="1" applyFill="1" applyBorder="1">
      <alignment vertical="center"/>
    </xf>
    <xf numFmtId="0" fontId="19" fillId="14" borderId="49" xfId="0" applyFont="1" applyFill="1" applyBorder="1">
      <alignment vertical="center"/>
    </xf>
    <xf numFmtId="177" fontId="15" fillId="19" borderId="302" xfId="0" quotePrefix="1" applyNumberFormat="1" applyFont="1" applyFill="1" applyBorder="1">
      <alignment vertical="center"/>
    </xf>
    <xf numFmtId="177" fontId="15" fillId="19" borderId="42" xfId="0" quotePrefix="1" applyNumberFormat="1" applyFont="1" applyFill="1" applyBorder="1">
      <alignment vertical="center"/>
    </xf>
    <xf numFmtId="177" fontId="15" fillId="19" borderId="45" xfId="0" quotePrefix="1" applyNumberFormat="1" applyFont="1" applyFill="1" applyBorder="1">
      <alignment vertical="center"/>
    </xf>
    <xf numFmtId="177" fontId="15" fillId="19" borderId="43" xfId="0" quotePrefix="1" applyNumberFormat="1" applyFont="1" applyFill="1" applyBorder="1">
      <alignment vertical="center"/>
    </xf>
    <xf numFmtId="177" fontId="15" fillId="19" borderId="306" xfId="0" quotePrefix="1" applyNumberFormat="1" applyFont="1" applyFill="1" applyBorder="1">
      <alignment vertical="center"/>
    </xf>
    <xf numFmtId="177" fontId="15" fillId="19" borderId="33" xfId="0" quotePrefix="1" applyNumberFormat="1" applyFont="1" applyFill="1" applyBorder="1">
      <alignment vertical="center"/>
    </xf>
    <xf numFmtId="177" fontId="15" fillId="19" borderId="36" xfId="0" quotePrefix="1" applyNumberFormat="1" applyFont="1" applyFill="1" applyBorder="1">
      <alignment vertical="center"/>
    </xf>
    <xf numFmtId="177" fontId="15" fillId="19" borderId="309" xfId="0" quotePrefix="1" applyNumberFormat="1" applyFont="1" applyFill="1" applyBorder="1">
      <alignment vertical="center"/>
    </xf>
    <xf numFmtId="177" fontId="15" fillId="19" borderId="49" xfId="0" quotePrefix="1" applyNumberFormat="1" applyFont="1" applyFill="1" applyBorder="1">
      <alignment vertical="center"/>
    </xf>
    <xf numFmtId="177" fontId="15" fillId="19" borderId="80" xfId="0" quotePrefix="1" applyNumberFormat="1" applyFont="1" applyFill="1" applyBorder="1">
      <alignment vertical="center"/>
    </xf>
    <xf numFmtId="0" fontId="5" fillId="0" borderId="45" xfId="0" applyFont="1" applyBorder="1" applyAlignment="1">
      <alignment horizontal="left" vertical="center"/>
    </xf>
    <xf numFmtId="3" fontId="0" fillId="0" borderId="52" xfId="0" applyNumberFormat="1" applyBorder="1" applyAlignment="1">
      <alignment horizontal="center" vertical="center"/>
    </xf>
    <xf numFmtId="0" fontId="19" fillId="11" borderId="55" xfId="0" applyFont="1" applyFill="1" applyBorder="1" applyAlignment="1">
      <alignment horizontal="left" vertical="top"/>
    </xf>
    <xf numFmtId="0" fontId="15" fillId="11" borderId="218" xfId="0" applyFont="1" applyFill="1" applyBorder="1" applyAlignment="1">
      <alignment horizontal="left" vertical="top"/>
    </xf>
    <xf numFmtId="0" fontId="0" fillId="3" borderId="298" xfId="0" applyFill="1" applyBorder="1" applyAlignment="1">
      <alignment horizontal="center" vertical="center"/>
    </xf>
    <xf numFmtId="0" fontId="0" fillId="3" borderId="43" xfId="0" quotePrefix="1" applyFill="1" applyBorder="1" applyAlignment="1">
      <alignment horizontal="center" vertical="center"/>
    </xf>
    <xf numFmtId="177" fontId="0" fillId="0" borderId="38" xfId="0" applyNumberFormat="1" applyBorder="1" applyAlignment="1">
      <alignment vertical="top"/>
    </xf>
    <xf numFmtId="0" fontId="15" fillId="48" borderId="45" xfId="0" applyFont="1" applyFill="1" applyBorder="1">
      <alignment vertical="center"/>
    </xf>
    <xf numFmtId="177" fontId="0" fillId="0" borderId="45" xfId="0" quotePrefix="1" applyNumberFormat="1" applyBorder="1">
      <alignment vertical="center"/>
    </xf>
    <xf numFmtId="177" fontId="5" fillId="0" borderId="312" xfId="0" quotePrefix="1" applyNumberFormat="1" applyFont="1" applyBorder="1" applyAlignment="1">
      <alignment horizontal="center" vertical="center"/>
    </xf>
    <xf numFmtId="177" fontId="5" fillId="3" borderId="54" xfId="0" quotePrefix="1" applyNumberFormat="1" applyFont="1" applyFill="1" applyBorder="1" applyAlignment="1">
      <alignment vertical="top"/>
    </xf>
    <xf numFmtId="0" fontId="74" fillId="3" borderId="0" xfId="0" applyFont="1" applyFill="1" applyAlignment="1">
      <alignment horizontal="left" vertical="top" wrapText="1"/>
    </xf>
    <xf numFmtId="0" fontId="5" fillId="21" borderId="38" xfId="0" applyFont="1" applyFill="1" applyBorder="1" applyAlignment="1">
      <alignment horizontal="left" vertical="top"/>
    </xf>
    <xf numFmtId="0" fontId="5" fillId="0" borderId="74" xfId="0" applyFont="1" applyBorder="1" applyAlignment="1">
      <alignment horizontal="left" vertical="top"/>
    </xf>
    <xf numFmtId="177" fontId="5" fillId="0" borderId="77" xfId="0" quotePrefix="1" applyNumberFormat="1" applyFont="1" applyBorder="1" applyAlignment="1">
      <alignment vertical="top"/>
    </xf>
    <xf numFmtId="0" fontId="21" fillId="0" borderId="45" xfId="0" applyFont="1" applyBorder="1" applyAlignment="1">
      <alignment vertical="top"/>
    </xf>
    <xf numFmtId="0" fontId="5" fillId="0" borderId="236" xfId="0" applyFont="1" applyBorder="1" applyAlignment="1">
      <alignment horizontal="center" vertical="center"/>
    </xf>
    <xf numFmtId="0" fontId="0" fillId="0" borderId="45" xfId="0" applyBorder="1" applyAlignment="1">
      <alignment vertical="top"/>
    </xf>
    <xf numFmtId="0" fontId="0" fillId="19" borderId="43" xfId="0" applyFill="1" applyBorder="1" applyAlignment="1">
      <alignment vertical="top"/>
    </xf>
    <xf numFmtId="178" fontId="21" fillId="19" borderId="307" xfId="0" quotePrefix="1" applyNumberFormat="1" applyFont="1" applyFill="1" applyBorder="1">
      <alignment vertical="center"/>
    </xf>
    <xf numFmtId="178" fontId="21" fillId="19" borderId="42" xfId="0" quotePrefix="1" applyNumberFormat="1" applyFont="1" applyFill="1" applyBorder="1">
      <alignment vertical="center"/>
    </xf>
    <xf numFmtId="178" fontId="21" fillId="19" borderId="45" xfId="0" quotePrefix="1" applyNumberFormat="1" applyFont="1" applyFill="1" applyBorder="1">
      <alignment vertical="center"/>
    </xf>
    <xf numFmtId="177" fontId="5" fillId="15" borderId="200" xfId="0" quotePrefix="1" applyNumberFormat="1" applyFont="1" applyFill="1" applyBorder="1" applyAlignment="1">
      <alignment horizontal="center" vertical="center"/>
    </xf>
    <xf numFmtId="0" fontId="66" fillId="21" borderId="43" xfId="0" quotePrefix="1" applyFont="1" applyFill="1" applyBorder="1" applyAlignment="1">
      <alignment horizontal="center" vertical="center"/>
    </xf>
    <xf numFmtId="177" fontId="5" fillId="15" borderId="222" xfId="0" quotePrefix="1" applyNumberFormat="1" applyFont="1" applyFill="1" applyBorder="1" applyAlignment="1">
      <alignment horizontal="center" vertical="center"/>
    </xf>
    <xf numFmtId="0" fontId="0" fillId="0" borderId="38" xfId="0" applyBorder="1" applyAlignment="1">
      <alignment horizontal="left" vertical="top"/>
    </xf>
    <xf numFmtId="0" fontId="0" fillId="0" borderId="38" xfId="0" quotePrefix="1" applyBorder="1" applyAlignment="1">
      <alignment horizontal="left" vertical="top" wrapText="1"/>
    </xf>
    <xf numFmtId="0" fontId="5" fillId="0" borderId="57" xfId="0" applyFont="1" applyBorder="1" applyAlignment="1">
      <alignment horizontal="left" vertical="top"/>
    </xf>
    <xf numFmtId="0" fontId="5" fillId="0" borderId="77" xfId="0" quotePrefix="1" applyFont="1" applyBorder="1" applyAlignment="1">
      <alignment horizontal="left" vertical="top"/>
    </xf>
    <xf numFmtId="0" fontId="5" fillId="0" borderId="43" xfId="0" quotePrefix="1" applyFont="1" applyBorder="1" applyAlignment="1">
      <alignment horizontal="left" vertical="top"/>
    </xf>
    <xf numFmtId="0" fontId="5" fillId="0" borderId="38" xfId="0" quotePrefix="1" applyFont="1" applyBorder="1" applyAlignment="1">
      <alignment vertical="center" wrapText="1"/>
    </xf>
    <xf numFmtId="0" fontId="0" fillId="0" borderId="38" xfId="0" applyBorder="1">
      <alignment vertical="center"/>
    </xf>
    <xf numFmtId="177" fontId="0" fillId="0" borderId="38" xfId="0" quotePrefix="1" applyNumberFormat="1" applyBorder="1" applyAlignment="1">
      <alignment vertical="top"/>
    </xf>
    <xf numFmtId="0" fontId="0" fillId="0" borderId="38" xfId="0" quotePrefix="1" applyBorder="1">
      <alignment vertical="center"/>
    </xf>
    <xf numFmtId="0" fontId="0" fillId="0" borderId="38" xfId="0" quotePrefix="1" applyBorder="1" applyAlignment="1">
      <alignment vertical="top"/>
    </xf>
    <xf numFmtId="0" fontId="0" fillId="3" borderId="38" xfId="0" quotePrefix="1" applyFill="1" applyBorder="1">
      <alignment vertical="center"/>
    </xf>
    <xf numFmtId="177" fontId="15" fillId="19" borderId="43" xfId="0" quotePrefix="1" applyNumberFormat="1" applyFont="1" applyFill="1" applyBorder="1" applyAlignment="1">
      <alignment horizontal="center" vertical="center"/>
    </xf>
    <xf numFmtId="177" fontId="15" fillId="19" borderId="38" xfId="0" quotePrefix="1" applyNumberFormat="1" applyFont="1" applyFill="1" applyBorder="1">
      <alignment vertical="center"/>
    </xf>
    <xf numFmtId="177" fontId="15" fillId="19" borderId="297" xfId="0" quotePrefix="1" applyNumberFormat="1" applyFont="1" applyFill="1" applyBorder="1">
      <alignment vertical="center"/>
    </xf>
    <xf numFmtId="177" fontId="15" fillId="14" borderId="42" xfId="0" quotePrefix="1" applyNumberFormat="1" applyFont="1" applyFill="1" applyBorder="1">
      <alignment vertical="center"/>
    </xf>
    <xf numFmtId="0" fontId="5" fillId="0" borderId="42" xfId="0" applyFont="1" applyBorder="1" applyAlignment="1">
      <alignment horizontal="left" vertical="top"/>
    </xf>
    <xf numFmtId="0" fontId="5" fillId="0" borderId="82" xfId="0" applyFont="1" applyBorder="1" applyAlignment="1">
      <alignment horizontal="left" vertical="top"/>
    </xf>
    <xf numFmtId="0" fontId="75" fillId="46" borderId="38" xfId="0" applyFont="1" applyFill="1" applyBorder="1">
      <alignment vertical="center"/>
    </xf>
    <xf numFmtId="0" fontId="0" fillId="3" borderId="127" xfId="0" applyFill="1" applyBorder="1" applyAlignment="1">
      <alignment horizontal="center" vertical="top"/>
    </xf>
    <xf numFmtId="177" fontId="0" fillId="0" borderId="49" xfId="0" applyNumberFormat="1" applyBorder="1" applyAlignment="1">
      <alignment horizontal="center" vertical="center"/>
    </xf>
    <xf numFmtId="0" fontId="0" fillId="0" borderId="45" xfId="0" applyBorder="1" applyAlignment="1">
      <alignment horizontal="left" vertical="top"/>
    </xf>
    <xf numFmtId="40" fontId="21" fillId="4" borderId="38" xfId="1" applyNumberFormat="1" applyFont="1" applyFill="1" applyBorder="1" applyAlignment="1">
      <alignment horizontal="right" vertical="top" wrapText="1"/>
    </xf>
    <xf numFmtId="3" fontId="0" fillId="3" borderId="37" xfId="0" applyNumberFormat="1" applyFill="1" applyBorder="1" applyAlignment="1">
      <alignment horizontal="center" vertical="top" wrapText="1"/>
    </xf>
    <xf numFmtId="0" fontId="0" fillId="4" borderId="45" xfId="0" applyFill="1" applyBorder="1">
      <alignment vertical="center"/>
    </xf>
    <xf numFmtId="0" fontId="0" fillId="3" borderId="42" xfId="0" quotePrefix="1" applyFill="1" applyBorder="1" applyAlignment="1">
      <alignment vertical="top" wrapText="1"/>
    </xf>
    <xf numFmtId="38" fontId="21" fillId="18" borderId="297" xfId="1" applyNumberFormat="1" applyFont="1" applyFill="1" applyBorder="1" applyAlignment="1">
      <alignment vertical="center" wrapText="1"/>
    </xf>
    <xf numFmtId="0" fontId="0" fillId="3" borderId="37" xfId="0" applyFill="1" applyBorder="1" applyAlignment="1">
      <alignment horizontal="center" vertical="top" wrapText="1"/>
    </xf>
    <xf numFmtId="0" fontId="0" fillId="0" borderId="54" xfId="0" applyBorder="1">
      <alignment vertical="center"/>
    </xf>
    <xf numFmtId="177" fontId="5" fillId="15" borderId="52" xfId="0" quotePrefix="1" applyNumberFormat="1" applyFont="1" applyFill="1" applyBorder="1" applyAlignment="1">
      <alignment horizontal="center" vertical="center"/>
    </xf>
    <xf numFmtId="180" fontId="21" fillId="4" borderId="314" xfId="1" quotePrefix="1" applyNumberFormat="1" applyFont="1" applyFill="1" applyBorder="1" applyAlignment="1">
      <alignment horizontal="right" vertical="center" wrapText="1"/>
    </xf>
    <xf numFmtId="180" fontId="21" fillId="4" borderId="54" xfId="1" quotePrefix="1" applyNumberFormat="1" applyFont="1" applyFill="1" applyBorder="1" applyAlignment="1">
      <alignment horizontal="right" vertical="center" wrapText="1"/>
    </xf>
    <xf numFmtId="3" fontId="0" fillId="0" borderId="34" xfId="0" applyNumberFormat="1" applyBorder="1" applyAlignment="1">
      <alignment horizontal="center" vertical="center"/>
    </xf>
    <xf numFmtId="0" fontId="15" fillId="46" borderId="42" xfId="0" applyFont="1" applyFill="1" applyBorder="1">
      <alignment vertical="center"/>
    </xf>
    <xf numFmtId="185" fontId="0" fillId="4" borderId="80" xfId="0" applyNumberFormat="1" applyFill="1" applyBorder="1" applyAlignment="1">
      <alignment vertical="center" wrapText="1"/>
    </xf>
    <xf numFmtId="185" fontId="21" fillId="4" borderId="38" xfId="1" quotePrefix="1" applyNumberFormat="1" applyFont="1" applyFill="1" applyBorder="1" applyAlignment="1">
      <alignment horizontal="right" vertical="top" wrapText="1"/>
    </xf>
    <xf numFmtId="185" fontId="21" fillId="4" borderId="38" xfId="0" applyNumberFormat="1" applyFont="1" applyFill="1" applyBorder="1" applyAlignment="1">
      <alignment horizontal="right" vertical="center" wrapText="1"/>
    </xf>
    <xf numFmtId="177" fontId="0" fillId="0" borderId="49" xfId="0" quotePrefix="1" applyNumberFormat="1" applyBorder="1" applyAlignment="1">
      <alignment horizontal="center" vertical="center"/>
    </xf>
    <xf numFmtId="185" fontId="21" fillId="4" borderId="38" xfId="1" applyNumberFormat="1" applyFont="1" applyFill="1" applyBorder="1" applyAlignment="1">
      <alignment horizontal="right" vertical="top" wrapText="1"/>
    </xf>
    <xf numFmtId="0" fontId="0" fillId="3" borderId="57" xfId="0" applyFill="1" applyBorder="1" applyAlignment="1">
      <alignment horizontal="left" vertical="top" wrapText="1"/>
    </xf>
    <xf numFmtId="0" fontId="0" fillId="3" borderId="44" xfId="0" applyFill="1" applyBorder="1" applyAlignment="1">
      <alignment horizontal="left" vertical="top" wrapText="1"/>
    </xf>
    <xf numFmtId="3" fontId="0" fillId="3" borderId="44" xfId="0" applyNumberFormat="1" applyFill="1" applyBorder="1" applyAlignment="1">
      <alignment horizontal="center" vertical="top" wrapText="1"/>
    </xf>
    <xf numFmtId="0" fontId="0" fillId="4" borderId="57" xfId="0" applyFill="1" applyBorder="1">
      <alignment vertical="center"/>
    </xf>
    <xf numFmtId="0" fontId="0" fillId="4" borderId="54" xfId="0" applyFill="1" applyBorder="1">
      <alignment vertical="center"/>
    </xf>
    <xf numFmtId="0" fontId="0" fillId="17" borderId="105" xfId="0" applyFill="1" applyBorder="1" applyAlignment="1">
      <alignment horizontal="center" vertical="center"/>
    </xf>
    <xf numFmtId="0" fontId="0" fillId="17" borderId="63" xfId="0" applyFill="1" applyBorder="1" applyAlignment="1">
      <alignment horizontal="center" vertical="top" wrapText="1"/>
    </xf>
    <xf numFmtId="0" fontId="15" fillId="11" borderId="315" xfId="0" applyFont="1" applyFill="1" applyBorder="1" applyAlignment="1">
      <alignment horizontal="left" vertical="top"/>
    </xf>
    <xf numFmtId="0" fontId="15" fillId="11" borderId="316" xfId="0" applyFont="1" applyFill="1" applyBorder="1" applyAlignment="1">
      <alignment horizontal="left" vertical="top"/>
    </xf>
    <xf numFmtId="0" fontId="15" fillId="12" borderId="316" xfId="0" applyFont="1" applyFill="1" applyBorder="1" applyAlignment="1">
      <alignment horizontal="left" vertical="top" wrapText="1"/>
    </xf>
    <xf numFmtId="0" fontId="10" fillId="12" borderId="316" xfId="0" applyFont="1" applyFill="1" applyBorder="1" applyAlignment="1">
      <alignment horizontal="center" vertical="center"/>
    </xf>
    <xf numFmtId="0" fontId="13" fillId="13" borderId="316" xfId="2" applyFont="1" applyFill="1" applyBorder="1" applyAlignment="1">
      <alignment horizontal="center" vertical="top" wrapText="1"/>
    </xf>
    <xf numFmtId="0" fontId="13" fillId="13" borderId="317" xfId="2" applyFont="1" applyFill="1" applyBorder="1" applyAlignment="1">
      <alignment horizontal="center" vertical="top" wrapText="1"/>
    </xf>
    <xf numFmtId="40" fontId="21" fillId="5" borderId="43" xfId="1" quotePrefix="1" applyNumberFormat="1" applyFont="1" applyFill="1" applyBorder="1" applyAlignment="1">
      <alignment horizontal="right" vertical="center" wrapText="1"/>
    </xf>
    <xf numFmtId="185" fontId="21" fillId="4" borderId="38" xfId="1" applyNumberFormat="1" applyFont="1" applyFill="1" applyBorder="1" applyAlignment="1">
      <alignment horizontal="right" vertical="center" wrapText="1"/>
    </xf>
    <xf numFmtId="185" fontId="21" fillId="4" borderId="38" xfId="8" applyNumberFormat="1" applyFont="1" applyFill="1" applyBorder="1" applyAlignment="1">
      <alignment horizontal="right" vertical="top" wrapText="1"/>
    </xf>
    <xf numFmtId="185" fontId="21" fillId="4" borderId="54" xfId="0" applyNumberFormat="1" applyFont="1" applyFill="1" applyBorder="1" applyAlignment="1">
      <alignment horizontal="right" vertical="center" wrapText="1"/>
    </xf>
    <xf numFmtId="185" fontId="21" fillId="4" borderId="54" xfId="1" applyNumberFormat="1" applyFont="1" applyFill="1" applyBorder="1" applyAlignment="1">
      <alignment horizontal="right" vertical="center" wrapText="1"/>
    </xf>
    <xf numFmtId="3" fontId="0" fillId="3" borderId="44" xfId="0" applyNumberFormat="1" applyFill="1" applyBorder="1" applyAlignment="1">
      <alignment horizontal="center" vertical="center"/>
    </xf>
    <xf numFmtId="177" fontId="15" fillId="14" borderId="45" xfId="0" quotePrefix="1" applyNumberFormat="1" applyFont="1" applyFill="1" applyBorder="1">
      <alignment vertical="center"/>
    </xf>
    <xf numFmtId="0" fontId="19" fillId="14" borderId="38" xfId="0" applyFont="1" applyFill="1" applyBorder="1">
      <alignment vertical="center"/>
    </xf>
    <xf numFmtId="0" fontId="19" fillId="14" borderId="43" xfId="0" applyFont="1" applyFill="1" applyBorder="1">
      <alignment vertical="center"/>
    </xf>
    <xf numFmtId="0" fontId="19" fillId="14" borderId="42" xfId="0" applyFont="1" applyFill="1" applyBorder="1">
      <alignment vertical="center"/>
    </xf>
    <xf numFmtId="0" fontId="19" fillId="14" borderId="45" xfId="0" applyFont="1" applyFill="1" applyBorder="1">
      <alignment vertical="center"/>
    </xf>
    <xf numFmtId="0" fontId="19" fillId="14" borderId="318" xfId="0" applyFont="1" applyFill="1" applyBorder="1">
      <alignment vertical="center"/>
    </xf>
    <xf numFmtId="177" fontId="15" fillId="19" borderId="319" xfId="0" quotePrefix="1" applyNumberFormat="1" applyFont="1" applyFill="1" applyBorder="1">
      <alignment vertical="center"/>
    </xf>
    <xf numFmtId="177" fontId="15" fillId="19" borderId="34" xfId="0" quotePrefix="1" applyNumberFormat="1" applyFont="1" applyFill="1" applyBorder="1">
      <alignment vertical="center"/>
    </xf>
    <xf numFmtId="0" fontId="0" fillId="3" borderId="36" xfId="0" applyFill="1" applyBorder="1" applyAlignment="1">
      <alignment horizontal="center" vertical="center"/>
    </xf>
    <xf numFmtId="0" fontId="0" fillId="3" borderId="45" xfId="0" applyFill="1" applyBorder="1" applyAlignment="1">
      <alignment horizontal="center" vertical="center"/>
    </xf>
    <xf numFmtId="0" fontId="0" fillId="0" borderId="200" xfId="0" applyBorder="1" applyAlignment="1">
      <alignment vertical="top"/>
    </xf>
    <xf numFmtId="0" fontId="0" fillId="0" borderId="43" xfId="0" applyBorder="1" applyAlignment="1">
      <alignment vertical="top"/>
    </xf>
    <xf numFmtId="0" fontId="0" fillId="3" borderId="45" xfId="0" quotePrefix="1" applyFill="1" applyBorder="1" applyAlignment="1">
      <alignment horizontal="left" vertical="top" wrapText="1"/>
    </xf>
    <xf numFmtId="40" fontId="21" fillId="4" borderId="313" xfId="1" quotePrefix="1" applyNumberFormat="1" applyFont="1" applyFill="1" applyBorder="1" applyAlignment="1">
      <alignment horizontal="right" vertical="center" wrapText="1"/>
    </xf>
    <xf numFmtId="3" fontId="21" fillId="5" borderId="34" xfId="0" quotePrefix="1" applyNumberFormat="1" applyFont="1" applyFill="1" applyBorder="1" applyAlignment="1">
      <alignment horizontal="right" vertical="center" wrapText="1"/>
    </xf>
    <xf numFmtId="177" fontId="0" fillId="15" borderId="38" xfId="0" quotePrefix="1" applyNumberFormat="1" applyFill="1" applyBorder="1" applyAlignment="1">
      <alignment horizontal="left" vertical="top" wrapText="1"/>
    </xf>
    <xf numFmtId="0" fontId="0" fillId="0" borderId="38" xfId="0" quotePrefix="1" applyBorder="1" applyAlignment="1">
      <alignment horizontal="left" vertical="top"/>
    </xf>
    <xf numFmtId="0" fontId="0" fillId="3" borderId="80" xfId="0" applyFill="1" applyBorder="1" applyAlignment="1">
      <alignment horizontal="left" vertical="top"/>
    </xf>
    <xf numFmtId="0" fontId="0" fillId="3" borderId="80" xfId="0" applyFill="1" applyBorder="1" applyAlignment="1">
      <alignment horizontal="left" vertical="top" wrapText="1"/>
    </xf>
    <xf numFmtId="0" fontId="5" fillId="0" borderId="320" xfId="0" applyFont="1" applyBorder="1" applyAlignment="1">
      <alignment horizontal="center" vertical="center"/>
    </xf>
    <xf numFmtId="178" fontId="21" fillId="4" borderId="221" xfId="8" quotePrefix="1" applyNumberFormat="1" applyFont="1" applyFill="1" applyBorder="1" applyAlignment="1">
      <alignment horizontal="right" vertical="center" wrapText="1"/>
    </xf>
    <xf numFmtId="178" fontId="21" fillId="4" borderId="54" xfId="8" quotePrefix="1" applyNumberFormat="1" applyFont="1" applyFill="1" applyBorder="1" applyAlignment="1">
      <alignment horizontal="right" vertical="top" wrapText="1"/>
    </xf>
    <xf numFmtId="3" fontId="21" fillId="4" borderId="54" xfId="0" applyNumberFormat="1" applyFont="1" applyFill="1" applyBorder="1" applyAlignment="1">
      <alignment horizontal="right" vertical="top" wrapText="1"/>
    </xf>
    <xf numFmtId="3" fontId="21" fillId="5" borderId="37" xfId="0" applyNumberFormat="1" applyFont="1" applyFill="1" applyBorder="1" applyAlignment="1">
      <alignment vertical="center" wrapText="1"/>
    </xf>
    <xf numFmtId="0" fontId="19" fillId="14" borderId="297" xfId="0" applyFont="1" applyFill="1" applyBorder="1">
      <alignment vertical="center"/>
    </xf>
    <xf numFmtId="3" fontId="0" fillId="3" borderId="80" xfId="0" applyNumberFormat="1" applyFill="1" applyBorder="1" applyAlignment="1">
      <alignment horizontal="center" vertical="top" wrapText="1"/>
    </xf>
    <xf numFmtId="177" fontId="0" fillId="0" borderId="45" xfId="0" applyNumberFormat="1" applyBorder="1">
      <alignment vertical="center"/>
    </xf>
    <xf numFmtId="0" fontId="0" fillId="0" borderId="80" xfId="0" quotePrefix="1" applyBorder="1">
      <alignment vertical="center"/>
    </xf>
    <xf numFmtId="0" fontId="0" fillId="3" borderId="57" xfId="0" quotePrefix="1" applyFill="1" applyBorder="1">
      <alignment vertical="center"/>
    </xf>
    <xf numFmtId="0" fontId="0" fillId="3" borderId="80" xfId="0" quotePrefix="1" applyFill="1" applyBorder="1">
      <alignment vertical="center"/>
    </xf>
    <xf numFmtId="177" fontId="0" fillId="0" borderId="38" xfId="0" applyNumberFormat="1" applyBorder="1">
      <alignment vertical="center"/>
    </xf>
    <xf numFmtId="177" fontId="0" fillId="0" borderId="38" xfId="0" applyNumberFormat="1" applyBorder="1" applyAlignment="1">
      <alignment horizontal="center" vertical="center"/>
    </xf>
    <xf numFmtId="0" fontId="0" fillId="0" borderId="82" xfId="0" applyBorder="1">
      <alignment vertical="center"/>
    </xf>
    <xf numFmtId="0" fontId="0" fillId="0" borderId="49" xfId="0" applyBorder="1">
      <alignment vertical="center"/>
    </xf>
    <xf numFmtId="0" fontId="0" fillId="3" borderId="45" xfId="0" quotePrefix="1" applyFill="1" applyBorder="1" applyAlignment="1">
      <alignment horizontal="left" vertical="center"/>
    </xf>
    <xf numFmtId="0" fontId="0" fillId="3" borderId="57" xfId="0" quotePrefix="1" applyFill="1" applyBorder="1" applyAlignment="1">
      <alignment horizontal="left" vertical="center"/>
    </xf>
    <xf numFmtId="0" fontId="0" fillId="3" borderId="45" xfId="0" applyFill="1" applyBorder="1" applyAlignment="1">
      <alignment horizontal="left" vertical="center"/>
    </xf>
    <xf numFmtId="0" fontId="0" fillId="3" borderId="57" xfId="0" applyFill="1" applyBorder="1" applyAlignment="1">
      <alignment horizontal="left" vertical="center"/>
    </xf>
    <xf numFmtId="0" fontId="21" fillId="3" borderId="42" xfId="0" applyFont="1" applyFill="1" applyBorder="1" applyAlignment="1">
      <alignment vertical="top"/>
    </xf>
    <xf numFmtId="0" fontId="21" fillId="3" borderId="51" xfId="0" applyFont="1" applyFill="1" applyBorder="1" applyAlignment="1">
      <alignment vertical="top"/>
    </xf>
    <xf numFmtId="0" fontId="0" fillId="3" borderId="321" xfId="0" applyFill="1" applyBorder="1" applyAlignment="1">
      <alignment horizontal="center" vertical="top"/>
    </xf>
    <xf numFmtId="0" fontId="0" fillId="3" borderId="38" xfId="0" quotePrefix="1" applyFill="1" applyBorder="1" applyAlignment="1">
      <alignment horizontal="left" vertical="center"/>
    </xf>
    <xf numFmtId="0" fontId="0" fillId="3" borderId="74" xfId="0" applyFill="1" applyBorder="1" applyAlignment="1">
      <alignment horizontal="center" vertical="top"/>
    </xf>
    <xf numFmtId="0" fontId="0" fillId="3" borderId="74" xfId="0" quotePrefix="1" applyFill="1" applyBorder="1" applyAlignment="1">
      <alignment horizontal="left" vertical="center"/>
    </xf>
    <xf numFmtId="0" fontId="0" fillId="3" borderId="45" xfId="0" quotePrefix="1" applyFill="1" applyBorder="1">
      <alignment vertical="center"/>
    </xf>
    <xf numFmtId="0" fontId="0" fillId="3" borderId="57" xfId="0" applyFill="1" applyBorder="1">
      <alignment vertical="center"/>
    </xf>
    <xf numFmtId="0" fontId="0" fillId="3" borderId="45" xfId="0" applyFill="1" applyBorder="1">
      <alignment vertical="center"/>
    </xf>
    <xf numFmtId="0" fontId="0" fillId="0" borderId="49" xfId="0" applyBorder="1" applyAlignment="1">
      <alignment vertical="center" wrapText="1"/>
    </xf>
    <xf numFmtId="0" fontId="0" fillId="3" borderId="74" xfId="0" applyFill="1" applyBorder="1" applyAlignment="1">
      <alignment horizontal="left" vertical="center"/>
    </xf>
    <xf numFmtId="0" fontId="15" fillId="48" borderId="45" xfId="0" applyFont="1" applyFill="1" applyBorder="1" applyAlignment="1">
      <alignment vertical="top"/>
    </xf>
    <xf numFmtId="0" fontId="5" fillId="3" borderId="42" xfId="0" applyFont="1" applyFill="1" applyBorder="1" applyAlignment="1">
      <alignment vertical="top" wrapText="1"/>
    </xf>
    <xf numFmtId="0" fontId="15" fillId="3" borderId="38" xfId="0" applyFont="1" applyFill="1" applyBorder="1" applyAlignment="1">
      <alignment vertical="top"/>
    </xf>
    <xf numFmtId="0" fontId="21" fillId="3" borderId="38" xfId="0" quotePrefix="1" applyFont="1" applyFill="1" applyBorder="1" applyAlignment="1">
      <alignment vertical="top"/>
    </xf>
    <xf numFmtId="0" fontId="15" fillId="3" borderId="37" xfId="0" applyFont="1" applyFill="1" applyBorder="1" applyAlignment="1">
      <alignment vertical="top"/>
    </xf>
    <xf numFmtId="0" fontId="15" fillId="3" borderId="80" xfId="0" applyFont="1" applyFill="1" applyBorder="1" applyAlignment="1">
      <alignment vertical="top"/>
    </xf>
    <xf numFmtId="0" fontId="5" fillId="3" borderId="74" xfId="0" quotePrefix="1" applyFont="1" applyFill="1" applyBorder="1" applyAlignment="1">
      <alignment vertical="top"/>
    </xf>
    <xf numFmtId="0" fontId="0" fillId="52" borderId="38" xfId="0" quotePrefix="1" applyFill="1" applyBorder="1" applyAlignment="1">
      <alignment vertical="top"/>
    </xf>
    <xf numFmtId="0" fontId="9" fillId="0" borderId="78" xfId="0" applyFont="1" applyBorder="1" applyAlignment="1">
      <alignment vertical="top"/>
    </xf>
    <xf numFmtId="0" fontId="9" fillId="0" borderId="38" xfId="0" applyFont="1" applyBorder="1" applyAlignment="1">
      <alignment vertical="top"/>
    </xf>
    <xf numFmtId="0" fontId="9" fillId="3" borderId="78" xfId="0" applyFont="1" applyFill="1" applyBorder="1">
      <alignment vertical="center"/>
    </xf>
    <xf numFmtId="0" fontId="9" fillId="3" borderId="38" xfId="0" applyFont="1" applyFill="1" applyBorder="1">
      <alignment vertical="center"/>
    </xf>
    <xf numFmtId="0" fontId="9" fillId="0" borderId="54" xfId="0" applyFont="1" applyBorder="1" applyAlignment="1">
      <alignment vertical="top"/>
    </xf>
    <xf numFmtId="178" fontId="21" fillId="4" borderId="45" xfId="0" applyNumberFormat="1" applyFont="1" applyFill="1" applyBorder="1" applyAlignment="1">
      <alignment horizontal="right" vertical="center" wrapText="1"/>
    </xf>
    <xf numFmtId="178" fontId="21" fillId="4" borderId="43" xfId="0" applyNumberFormat="1" applyFont="1" applyFill="1" applyBorder="1" applyAlignment="1">
      <alignment horizontal="right" vertical="center" wrapText="1"/>
    </xf>
    <xf numFmtId="185" fontId="21" fillId="4" borderId="43" xfId="8" applyNumberFormat="1" applyFont="1" applyFill="1" applyBorder="1" applyAlignment="1">
      <alignment horizontal="right" vertical="center" wrapText="1"/>
    </xf>
    <xf numFmtId="9" fontId="21" fillId="4" borderId="43" xfId="8" applyFont="1" applyFill="1" applyBorder="1" applyAlignment="1">
      <alignment horizontal="right" vertical="center" wrapText="1"/>
    </xf>
    <xf numFmtId="0" fontId="0" fillId="3" borderId="57" xfId="0" applyFill="1" applyBorder="1" applyAlignment="1">
      <alignment vertical="top"/>
    </xf>
    <xf numFmtId="178" fontId="5" fillId="3" borderId="38" xfId="0" applyNumberFormat="1" applyFont="1" applyFill="1" applyBorder="1" applyAlignment="1">
      <alignment horizontal="center" vertical="center"/>
    </xf>
    <xf numFmtId="178" fontId="5" fillId="3" borderId="54" xfId="0" applyNumberFormat="1" applyFont="1" applyFill="1" applyBorder="1" applyAlignment="1">
      <alignment horizontal="center" vertical="center"/>
    </xf>
    <xf numFmtId="178" fontId="5" fillId="3" borderId="74" xfId="0" applyNumberFormat="1" applyFont="1" applyFill="1" applyBorder="1" applyAlignment="1">
      <alignment horizontal="center" vertical="center"/>
    </xf>
    <xf numFmtId="0" fontId="5" fillId="0" borderId="44" xfId="0" applyFont="1" applyBorder="1" applyAlignment="1">
      <alignment horizontal="left" vertical="top" wrapText="1"/>
    </xf>
    <xf numFmtId="0" fontId="70" fillId="3" borderId="0" xfId="0" applyFont="1" applyFill="1" applyAlignment="1">
      <alignment horizontal="left" vertical="top" wrapText="1"/>
    </xf>
    <xf numFmtId="0" fontId="70" fillId="3" borderId="0" xfId="0" quotePrefix="1" applyFont="1" applyFill="1" applyAlignment="1">
      <alignment horizontal="left" vertical="top" wrapText="1"/>
    </xf>
    <xf numFmtId="0" fontId="74" fillId="3" borderId="0" xfId="0" quotePrefix="1" applyFont="1" applyFill="1" applyAlignment="1">
      <alignment horizontal="left" vertical="top" wrapText="1"/>
    </xf>
    <xf numFmtId="0" fontId="72" fillId="3" borderId="0" xfId="0" applyFont="1" applyFill="1" applyAlignment="1">
      <alignment horizontal="left" vertical="top" wrapText="1"/>
    </xf>
    <xf numFmtId="0" fontId="70" fillId="0" borderId="0" xfId="0" applyFont="1" applyAlignment="1">
      <alignment horizontal="left" vertical="top" wrapText="1"/>
    </xf>
    <xf numFmtId="0" fontId="73" fillId="0" borderId="0" xfId="0" applyFont="1" applyAlignment="1">
      <alignment horizontal="left" vertical="top" wrapText="1"/>
    </xf>
    <xf numFmtId="0" fontId="70" fillId="0" borderId="65" xfId="0" applyFont="1" applyBorder="1" applyAlignment="1">
      <alignment horizontal="left" vertical="top" wrapText="1"/>
    </xf>
    <xf numFmtId="3" fontId="5" fillId="3" borderId="80" xfId="0" applyNumberFormat="1" applyFont="1" applyFill="1" applyBorder="1" applyAlignment="1">
      <alignment vertical="center" wrapText="1"/>
    </xf>
    <xf numFmtId="3" fontId="5" fillId="3" borderId="45" xfId="0" applyNumberFormat="1" applyFont="1" applyFill="1" applyBorder="1" applyAlignment="1">
      <alignment vertical="center" wrapText="1"/>
    </xf>
    <xf numFmtId="0" fontId="5" fillId="3" borderId="38" xfId="0" applyFont="1" applyFill="1" applyBorder="1" applyAlignment="1">
      <alignment horizontal="left" vertical="center"/>
    </xf>
    <xf numFmtId="0" fontId="19" fillId="15" borderId="38" xfId="0" applyFont="1" applyFill="1" applyBorder="1">
      <alignment vertical="center"/>
    </xf>
    <xf numFmtId="0" fontId="19" fillId="18" borderId="38" xfId="0" applyFont="1" applyFill="1" applyBorder="1">
      <alignment vertical="center"/>
    </xf>
    <xf numFmtId="0" fontId="0" fillId="3" borderId="95" xfId="0" quotePrefix="1" applyFill="1" applyBorder="1">
      <alignment vertical="center"/>
    </xf>
    <xf numFmtId="0" fontId="0" fillId="3" borderId="42" xfId="0" quotePrefix="1" applyFill="1" applyBorder="1" applyAlignment="1">
      <alignment horizontal="left" vertical="top" wrapText="1"/>
    </xf>
    <xf numFmtId="0" fontId="0" fillId="3" borderId="42" xfId="0" quotePrefix="1" applyFill="1" applyBorder="1" applyAlignment="1">
      <alignment vertical="top"/>
    </xf>
    <xf numFmtId="0" fontId="0" fillId="3" borderId="43" xfId="0" quotePrefix="1" applyFill="1" applyBorder="1" applyAlignment="1">
      <alignment vertical="top"/>
    </xf>
    <xf numFmtId="0" fontId="15" fillId="5" borderId="302" xfId="0" quotePrefix="1" applyFont="1" applyFill="1" applyBorder="1" applyAlignment="1">
      <alignment vertical="top"/>
    </xf>
    <xf numFmtId="0" fontId="15" fillId="5" borderId="42" xfId="0" quotePrefix="1" applyFont="1" applyFill="1" applyBorder="1" applyAlignment="1">
      <alignment vertical="top"/>
    </xf>
    <xf numFmtId="0" fontId="0" fillId="3" borderId="80" xfId="0" applyFill="1" applyBorder="1" applyAlignment="1">
      <alignment horizontal="left" vertical="center"/>
    </xf>
    <xf numFmtId="0" fontId="0" fillId="19" borderId="83" xfId="0" quotePrefix="1" applyFill="1" applyBorder="1">
      <alignment vertical="center"/>
    </xf>
    <xf numFmtId="0" fontId="0" fillId="19" borderId="323" xfId="0" applyFill="1" applyBorder="1" applyAlignment="1">
      <alignment vertical="top"/>
    </xf>
    <xf numFmtId="0" fontId="0" fillId="17" borderId="122" xfId="0" applyFill="1" applyBorder="1" applyAlignment="1">
      <alignment horizontal="center" vertical="center"/>
    </xf>
    <xf numFmtId="3" fontId="21" fillId="4" borderId="54" xfId="0" applyNumberFormat="1" applyFont="1" applyFill="1" applyBorder="1" applyAlignment="1">
      <alignment horizontal="right" vertical="center" wrapText="1"/>
    </xf>
    <xf numFmtId="9" fontId="21" fillId="4" borderId="45" xfId="8" quotePrefix="1" applyFont="1" applyFill="1" applyBorder="1" applyAlignment="1">
      <alignment horizontal="right" vertical="center" wrapText="1"/>
    </xf>
    <xf numFmtId="3" fontId="21" fillId="4" borderId="57" xfId="0" quotePrefix="1" applyNumberFormat="1" applyFont="1" applyFill="1" applyBorder="1" applyAlignment="1">
      <alignment vertical="center" wrapText="1"/>
    </xf>
    <xf numFmtId="177" fontId="15" fillId="14" borderId="38" xfId="0" quotePrefix="1" applyNumberFormat="1" applyFont="1" applyFill="1" applyBorder="1">
      <alignment vertical="center"/>
    </xf>
    <xf numFmtId="177" fontId="15" fillId="14" borderId="43" xfId="0" quotePrefix="1" applyNumberFormat="1" applyFont="1" applyFill="1" applyBorder="1">
      <alignment vertical="center"/>
    </xf>
    <xf numFmtId="0" fontId="0" fillId="19" borderId="64" xfId="0" applyFill="1" applyBorder="1" applyAlignment="1">
      <alignment vertical="top"/>
    </xf>
    <xf numFmtId="0" fontId="0" fillId="19" borderId="45" xfId="0" applyFill="1" applyBorder="1" applyAlignment="1">
      <alignment vertical="top"/>
    </xf>
    <xf numFmtId="177" fontId="5" fillId="14" borderId="34" xfId="0" quotePrefix="1" applyNumberFormat="1" applyFont="1" applyFill="1" applyBorder="1" applyAlignment="1">
      <alignment horizontal="center" vertical="center"/>
    </xf>
    <xf numFmtId="0" fontId="5" fillId="19" borderId="298" xfId="0" quotePrefix="1" applyFont="1" applyFill="1" applyBorder="1" applyAlignment="1">
      <alignment horizontal="center" vertical="center"/>
    </xf>
    <xf numFmtId="0" fontId="5" fillId="3" borderId="324" xfId="0" applyFont="1" applyFill="1" applyBorder="1" applyAlignment="1">
      <alignment horizontal="center" vertical="top"/>
    </xf>
    <xf numFmtId="0" fontId="0" fillId="19" borderId="325" xfId="0" applyFill="1" applyBorder="1" applyAlignment="1">
      <alignment vertical="top"/>
    </xf>
    <xf numFmtId="177" fontId="15" fillId="19" borderId="326" xfId="0" quotePrefix="1" applyNumberFormat="1" applyFont="1" applyFill="1" applyBorder="1">
      <alignment vertical="center"/>
    </xf>
    <xf numFmtId="40" fontId="21" fillId="19" borderId="303" xfId="1" quotePrefix="1" applyNumberFormat="1" applyFont="1" applyFill="1" applyBorder="1" applyAlignment="1">
      <alignment horizontal="right" vertical="center" wrapText="1"/>
    </xf>
    <xf numFmtId="0" fontId="15" fillId="19" borderId="78" xfId="0" applyFont="1" applyFill="1" applyBorder="1" applyAlignment="1">
      <alignment vertical="top"/>
    </xf>
    <xf numFmtId="0" fontId="15" fillId="48" borderId="45" xfId="0" quotePrefix="1" applyFont="1" applyFill="1" applyBorder="1" applyAlignment="1">
      <alignment vertical="top"/>
    </xf>
    <xf numFmtId="0" fontId="5" fillId="17" borderId="136" xfId="0" applyFont="1" applyFill="1" applyBorder="1" applyAlignment="1">
      <alignment horizontal="center" vertical="center"/>
    </xf>
    <xf numFmtId="0" fontId="0" fillId="0" borderId="80" xfId="0" applyBorder="1" applyAlignment="1">
      <alignment horizontal="left" vertical="top" wrapText="1"/>
    </xf>
    <xf numFmtId="0" fontId="2" fillId="2" borderId="0" xfId="0" applyFont="1" applyFill="1" applyAlignment="1">
      <alignment horizontal="center" vertical="center"/>
    </xf>
    <xf numFmtId="0" fontId="8" fillId="2" borderId="0" xfId="0" applyFont="1" applyFill="1" applyAlignment="1">
      <alignment horizontal="center" vertical="center"/>
    </xf>
    <xf numFmtId="0" fontId="5" fillId="2" borderId="0" xfId="0" applyFont="1" applyFill="1" applyAlignment="1">
      <alignment horizontal="center" vertical="center"/>
    </xf>
    <xf numFmtId="0" fontId="12" fillId="3" borderId="0" xfId="0" applyFont="1" applyFill="1" applyAlignment="1">
      <alignment horizontal="center" vertical="center"/>
    </xf>
    <xf numFmtId="0" fontId="19" fillId="14" borderId="29" xfId="0" applyFont="1" applyFill="1" applyBorder="1" applyAlignment="1">
      <alignment horizontal="center" vertical="center"/>
    </xf>
    <xf numFmtId="0" fontId="5" fillId="17" borderId="39" xfId="0" applyFont="1" applyFill="1" applyBorder="1" applyAlignment="1">
      <alignment horizontal="center" vertical="top"/>
    </xf>
    <xf numFmtId="0" fontId="5" fillId="17" borderId="40" xfId="0" applyFont="1" applyFill="1" applyBorder="1" applyAlignment="1">
      <alignment horizontal="center" vertical="top" wrapText="1"/>
    </xf>
    <xf numFmtId="0" fontId="9" fillId="14" borderId="28" xfId="0" applyFont="1" applyFill="1" applyBorder="1" applyAlignment="1">
      <alignment horizontal="center" vertical="top"/>
    </xf>
    <xf numFmtId="40" fontId="21" fillId="19" borderId="38" xfId="1" quotePrefix="1" applyNumberFormat="1" applyFont="1" applyFill="1" applyBorder="1" applyAlignment="1">
      <alignment horizontal="right" vertical="center" wrapText="1"/>
    </xf>
    <xf numFmtId="0" fontId="5" fillId="3" borderId="133" xfId="0" applyFont="1" applyFill="1" applyBorder="1" applyAlignment="1">
      <alignment horizontal="center" vertical="top"/>
    </xf>
    <xf numFmtId="177" fontId="5" fillId="0" borderId="0" xfId="0" quotePrefix="1" applyNumberFormat="1" applyFont="1" applyAlignment="1">
      <alignment horizontal="center" vertical="center"/>
    </xf>
    <xf numFmtId="40" fontId="21" fillId="19" borderId="45" xfId="1" quotePrefix="1" applyNumberFormat="1" applyFont="1" applyFill="1" applyBorder="1" applyAlignment="1">
      <alignment horizontal="right" vertical="center" wrapText="1"/>
    </xf>
    <xf numFmtId="185" fontId="20" fillId="21" borderId="52" xfId="8" applyNumberFormat="1" applyFont="1" applyFill="1" applyBorder="1" applyAlignment="1">
      <alignment vertical="center" wrapText="1"/>
    </xf>
    <xf numFmtId="40" fontId="0" fillId="4" borderId="303" xfId="1" applyNumberFormat="1" applyFont="1" applyFill="1" applyBorder="1" applyAlignment="1">
      <alignment horizontal="right" vertical="center" wrapText="1"/>
    </xf>
    <xf numFmtId="40" fontId="0" fillId="4" borderId="80" xfId="1" applyNumberFormat="1" applyFont="1" applyFill="1" applyBorder="1" applyAlignment="1">
      <alignment horizontal="right" vertical="center" wrapText="1"/>
    </xf>
    <xf numFmtId="40" fontId="0" fillId="4" borderId="37" xfId="1" applyNumberFormat="1" applyFont="1" applyFill="1" applyBorder="1" applyAlignment="1">
      <alignment horizontal="right" vertical="center" wrapText="1"/>
    </xf>
    <xf numFmtId="4" fontId="0" fillId="4" borderId="43" xfId="0" applyNumberFormat="1" applyFill="1" applyBorder="1" applyAlignment="1">
      <alignment vertical="center" wrapText="1"/>
    </xf>
    <xf numFmtId="40" fontId="0" fillId="4" borderId="34" xfId="1" quotePrefix="1" applyNumberFormat="1" applyFont="1" applyFill="1" applyBorder="1" applyAlignment="1">
      <alignment horizontal="right" vertical="center" wrapText="1"/>
    </xf>
    <xf numFmtId="193" fontId="5" fillId="4" borderId="219" xfId="0" applyNumberFormat="1" applyFont="1" applyFill="1" applyBorder="1" applyAlignment="1">
      <alignment vertical="center" wrapText="1"/>
    </xf>
    <xf numFmtId="193" fontId="5" fillId="4" borderId="45" xfId="0" applyNumberFormat="1" applyFont="1" applyFill="1" applyBorder="1" applyAlignment="1">
      <alignment horizontal="right" vertical="center" wrapText="1"/>
    </xf>
    <xf numFmtId="193" fontId="5" fillId="4" borderId="38" xfId="0" applyNumberFormat="1" applyFont="1" applyFill="1" applyBorder="1" applyAlignment="1">
      <alignment horizontal="right" vertical="center" wrapText="1"/>
    </xf>
    <xf numFmtId="4" fontId="5" fillId="4" borderId="219" xfId="0" applyNumberFormat="1" applyFont="1" applyFill="1" applyBorder="1" applyAlignment="1">
      <alignment vertical="center" wrapText="1"/>
    </xf>
    <xf numFmtId="4" fontId="5" fillId="4" borderId="45" xfId="0" applyNumberFormat="1" applyFont="1" applyFill="1" applyBorder="1" applyAlignment="1">
      <alignment horizontal="right" vertical="center" wrapText="1"/>
    </xf>
    <xf numFmtId="4" fontId="5" fillId="4" borderId="38" xfId="0" applyNumberFormat="1" applyFont="1" applyFill="1" applyBorder="1" applyAlignment="1">
      <alignment horizontal="right" vertical="center" wrapText="1"/>
    </xf>
    <xf numFmtId="187" fontId="5" fillId="4" borderId="219" xfId="0" applyNumberFormat="1" applyFont="1" applyFill="1" applyBorder="1" applyAlignment="1">
      <alignment vertical="center" wrapText="1"/>
    </xf>
    <xf numFmtId="187" fontId="5" fillId="4" borderId="45" xfId="0" applyNumberFormat="1" applyFont="1" applyFill="1" applyBorder="1" applyAlignment="1">
      <alignment vertical="center" wrapText="1"/>
    </xf>
    <xf numFmtId="193" fontId="5" fillId="4" borderId="43" xfId="0" applyNumberFormat="1" applyFont="1" applyFill="1" applyBorder="1" applyAlignment="1">
      <alignment horizontal="right" vertical="center" wrapText="1"/>
    </xf>
    <xf numFmtId="41" fontId="21" fillId="4" borderId="38" xfId="1" applyFont="1" applyFill="1" applyBorder="1" applyAlignment="1">
      <alignment horizontal="right" vertical="center" wrapText="1"/>
    </xf>
    <xf numFmtId="38" fontId="21" fillId="4" borderId="219" xfId="8" applyNumberFormat="1" applyFont="1" applyFill="1" applyBorder="1" applyAlignment="1">
      <alignment vertical="center" wrapText="1"/>
    </xf>
    <xf numFmtId="38" fontId="21" fillId="4" borderId="38" xfId="8" applyNumberFormat="1" applyFont="1" applyFill="1" applyBorder="1" applyAlignment="1">
      <alignment vertical="center" wrapText="1"/>
    </xf>
    <xf numFmtId="38" fontId="21" fillId="4" borderId="38" xfId="8" applyNumberFormat="1" applyFont="1" applyFill="1" applyBorder="1" applyAlignment="1">
      <alignment horizontal="right" vertical="center" wrapText="1"/>
    </xf>
    <xf numFmtId="38" fontId="21" fillId="4" borderId="38" xfId="8" quotePrefix="1" applyNumberFormat="1" applyFont="1" applyFill="1" applyBorder="1" applyAlignment="1">
      <alignment horizontal="right" vertical="top" wrapText="1"/>
    </xf>
    <xf numFmtId="38" fontId="21" fillId="4" borderId="38" xfId="8" applyNumberFormat="1" applyFont="1" applyFill="1" applyBorder="1" applyAlignment="1">
      <alignment horizontal="right" vertical="top" wrapText="1"/>
    </xf>
    <xf numFmtId="38" fontId="21" fillId="4" borderId="38" xfId="8" quotePrefix="1" applyNumberFormat="1" applyFont="1" applyFill="1" applyBorder="1" applyAlignment="1">
      <alignment horizontal="right" vertical="center" wrapText="1"/>
    </xf>
    <xf numFmtId="3" fontId="21" fillId="4" borderId="38" xfId="1" quotePrefix="1" applyNumberFormat="1" applyFont="1" applyFill="1" applyBorder="1" applyAlignment="1">
      <alignment horizontal="right" vertical="top" wrapText="1"/>
    </xf>
    <xf numFmtId="3" fontId="21" fillId="4" borderId="219" xfId="8" applyNumberFormat="1" applyFont="1" applyFill="1" applyBorder="1" applyAlignment="1">
      <alignment horizontal="right" vertical="center" wrapText="1"/>
    </xf>
    <xf numFmtId="3" fontId="21" fillId="4" borderId="38" xfId="8" applyNumberFormat="1" applyFont="1" applyFill="1" applyBorder="1" applyAlignment="1">
      <alignment horizontal="right" vertical="center" wrapText="1"/>
    </xf>
    <xf numFmtId="3" fontId="21" fillId="4" borderId="38" xfId="8" quotePrefix="1" applyNumberFormat="1" applyFont="1" applyFill="1" applyBorder="1" applyAlignment="1">
      <alignment horizontal="right" vertical="top" wrapText="1"/>
    </xf>
    <xf numFmtId="3" fontId="21" fillId="4" borderId="38" xfId="8" quotePrefix="1" applyNumberFormat="1" applyFont="1" applyFill="1" applyBorder="1" applyAlignment="1">
      <alignment horizontal="right" vertical="center" wrapText="1"/>
    </xf>
    <xf numFmtId="3" fontId="21" fillId="5" borderId="297" xfId="1" quotePrefix="1" applyNumberFormat="1" applyFont="1" applyFill="1" applyBorder="1" applyAlignment="1">
      <alignment horizontal="right" vertical="center" wrapText="1"/>
    </xf>
    <xf numFmtId="3" fontId="21" fillId="4" borderId="219" xfId="8" applyNumberFormat="1" applyFont="1" applyFill="1" applyBorder="1" applyAlignment="1">
      <alignment vertical="center" wrapText="1"/>
    </xf>
    <xf numFmtId="3" fontId="21" fillId="4" borderId="38" xfId="8" applyNumberFormat="1" applyFont="1" applyFill="1" applyBorder="1" applyAlignment="1">
      <alignment vertical="center" wrapText="1"/>
    </xf>
    <xf numFmtId="41" fontId="21" fillId="4" borderId="219" xfId="1" quotePrefix="1" applyFont="1" applyFill="1" applyBorder="1" applyAlignment="1">
      <alignment horizontal="right" vertical="center" wrapText="1"/>
    </xf>
    <xf numFmtId="4" fontId="21" fillId="4" borderId="52" xfId="0" applyNumberFormat="1" applyFont="1" applyFill="1" applyBorder="1" applyAlignment="1">
      <alignment horizontal="right" vertical="top" wrapText="1"/>
    </xf>
    <xf numFmtId="4" fontId="21" fillId="4" borderId="52" xfId="0" applyNumberFormat="1" applyFont="1" applyFill="1" applyBorder="1" applyAlignment="1">
      <alignment vertical="center" wrapText="1"/>
    </xf>
    <xf numFmtId="185" fontId="21" fillId="4" borderId="45" xfId="0" applyNumberFormat="1" applyFont="1" applyFill="1" applyBorder="1" applyAlignment="1">
      <alignment vertical="center" wrapText="1"/>
    </xf>
    <xf numFmtId="185" fontId="21" fillId="4" borderId="74" xfId="0" applyNumberFormat="1" applyFont="1" applyFill="1" applyBorder="1" applyAlignment="1">
      <alignment vertical="center" wrapText="1"/>
    </xf>
    <xf numFmtId="4" fontId="21" fillId="4" borderId="43" xfId="0" applyNumberFormat="1" applyFont="1" applyFill="1" applyBorder="1" applyAlignment="1">
      <alignment horizontal="right" vertical="center" wrapText="1"/>
    </xf>
    <xf numFmtId="185" fontId="20" fillId="21" borderId="38" xfId="8" quotePrefix="1" applyNumberFormat="1" applyFont="1" applyFill="1" applyBorder="1" applyAlignment="1">
      <alignment horizontal="right" vertical="center" wrapText="1"/>
    </xf>
    <xf numFmtId="185" fontId="20" fillId="21" borderId="219" xfId="8" applyNumberFormat="1" applyFont="1" applyFill="1" applyBorder="1" applyAlignment="1">
      <alignment vertical="center" wrapText="1"/>
    </xf>
    <xf numFmtId="185" fontId="20" fillId="21" borderId="38" xfId="8" quotePrefix="1" applyNumberFormat="1" applyFont="1" applyFill="1" applyBorder="1" applyAlignment="1">
      <alignment horizontal="right" vertical="top" wrapText="1"/>
    </xf>
    <xf numFmtId="185" fontId="20" fillId="21" borderId="52" xfId="8" applyNumberFormat="1" applyFont="1" applyFill="1" applyBorder="1" applyAlignment="1">
      <alignment horizontal="right" vertical="top" wrapText="1"/>
    </xf>
    <xf numFmtId="178" fontId="20" fillId="21" borderId="219" xfId="8" applyNumberFormat="1" applyFont="1" applyFill="1" applyBorder="1" applyAlignment="1">
      <alignment vertical="center" wrapText="1"/>
    </xf>
    <xf numFmtId="178" fontId="20" fillId="21" borderId="38" xfId="8" quotePrefix="1" applyNumberFormat="1" applyFont="1" applyFill="1" applyBorder="1" applyAlignment="1">
      <alignment horizontal="right" vertical="top" wrapText="1"/>
    </xf>
    <xf numFmtId="178" fontId="20" fillId="21" borderId="38" xfId="8" applyNumberFormat="1" applyFont="1" applyFill="1" applyBorder="1" applyAlignment="1">
      <alignment horizontal="right" vertical="top" wrapText="1"/>
    </xf>
    <xf numFmtId="178" fontId="21" fillId="4" borderId="219" xfId="1" applyNumberFormat="1" applyFont="1" applyFill="1" applyBorder="1" applyAlignment="1">
      <alignment vertical="center" wrapText="1"/>
    </xf>
    <xf numFmtId="178" fontId="21" fillId="4" borderId="45" xfId="1" applyNumberFormat="1" applyFont="1" applyFill="1" applyBorder="1" applyAlignment="1">
      <alignment horizontal="right" vertical="top" wrapText="1"/>
    </xf>
    <xf numFmtId="3" fontId="21" fillId="4" borderId="95" xfId="0" applyNumberFormat="1" applyFont="1" applyFill="1" applyBorder="1" applyAlignment="1">
      <alignment vertical="top" wrapText="1"/>
    </xf>
    <xf numFmtId="3" fontId="21" fillId="4" borderId="87" xfId="0" quotePrefix="1" applyNumberFormat="1" applyFont="1" applyFill="1" applyBorder="1" applyAlignment="1">
      <alignment horizontal="right" vertical="top" wrapText="1"/>
    </xf>
    <xf numFmtId="185" fontId="21" fillId="5" borderId="33" xfId="0" applyNumberFormat="1" applyFont="1" applyFill="1" applyBorder="1" applyAlignment="1">
      <alignment horizontal="right" vertical="center" wrapText="1"/>
    </xf>
    <xf numFmtId="185" fontId="21" fillId="5" borderId="42" xfId="0" applyNumberFormat="1" applyFont="1" applyFill="1" applyBorder="1" applyAlignment="1">
      <alignment horizontal="right" vertical="center" wrapText="1"/>
    </xf>
    <xf numFmtId="0" fontId="9" fillId="3" borderId="0" xfId="0" applyFont="1" applyFill="1">
      <alignment vertical="center"/>
    </xf>
    <xf numFmtId="0" fontId="13" fillId="3" borderId="0" xfId="0" applyFont="1" applyFill="1" applyAlignment="1">
      <alignment horizontal="left" vertical="center"/>
    </xf>
    <xf numFmtId="0" fontId="0" fillId="3" borderId="0" xfId="0" applyFill="1">
      <alignment vertical="center"/>
    </xf>
    <xf numFmtId="0" fontId="21" fillId="3" borderId="0" xfId="0" applyFont="1" applyFill="1">
      <alignment vertical="center"/>
    </xf>
    <xf numFmtId="0" fontId="0" fillId="3" borderId="0" xfId="0" quotePrefix="1" applyFill="1">
      <alignment vertical="center"/>
    </xf>
    <xf numFmtId="177" fontId="20" fillId="0" borderId="43" xfId="0" quotePrefix="1" applyNumberFormat="1" applyFont="1" applyBorder="1" applyAlignment="1">
      <alignment horizontal="center" vertical="center"/>
    </xf>
    <xf numFmtId="177" fontId="20" fillId="21" borderId="43" xfId="0" quotePrefix="1" applyNumberFormat="1" applyFont="1" applyFill="1" applyBorder="1" applyAlignment="1">
      <alignment horizontal="center" vertical="center"/>
    </xf>
    <xf numFmtId="40" fontId="20" fillId="21" borderId="37" xfId="1" quotePrefix="1" applyNumberFormat="1" applyFont="1" applyFill="1" applyBorder="1" applyAlignment="1">
      <alignment horizontal="right" vertical="center" wrapText="1"/>
    </xf>
    <xf numFmtId="0" fontId="5" fillId="3" borderId="0" xfId="0" quotePrefix="1" applyFont="1" applyFill="1" applyAlignment="1">
      <alignment vertical="top" wrapText="1"/>
    </xf>
    <xf numFmtId="0" fontId="21" fillId="3" borderId="0" xfId="0" applyFont="1" applyFill="1" applyAlignment="1">
      <alignment vertical="top"/>
    </xf>
    <xf numFmtId="3" fontId="5" fillId="3" borderId="0" xfId="0" applyNumberFormat="1" applyFont="1" applyFill="1" applyAlignment="1">
      <alignment horizontal="right" vertical="center"/>
    </xf>
    <xf numFmtId="0" fontId="5" fillId="3" borderId="0" xfId="0" applyFont="1" applyFill="1" applyAlignment="1">
      <alignment vertical="top"/>
    </xf>
    <xf numFmtId="3" fontId="5" fillId="3" borderId="0" xfId="0" applyNumberFormat="1" applyFont="1" applyFill="1" applyAlignment="1">
      <alignment horizontal="left" vertical="center"/>
    </xf>
    <xf numFmtId="178" fontId="20" fillId="21" borderId="45" xfId="8" applyNumberFormat="1" applyFont="1" applyFill="1" applyBorder="1" applyAlignment="1">
      <alignment horizontal="right" vertical="top" wrapText="1"/>
    </xf>
    <xf numFmtId="178" fontId="20" fillId="21" borderId="52" xfId="8" quotePrefix="1" applyNumberFormat="1" applyFont="1" applyFill="1" applyBorder="1" applyAlignment="1">
      <alignment horizontal="right" vertical="top" wrapText="1"/>
    </xf>
    <xf numFmtId="185" fontId="20" fillId="21" borderId="54" xfId="8" quotePrefix="1" applyNumberFormat="1" applyFont="1" applyFill="1" applyBorder="1" applyAlignment="1">
      <alignment horizontal="right" vertical="top" wrapText="1"/>
    </xf>
    <xf numFmtId="178" fontId="5" fillId="21" borderId="38" xfId="8" applyNumberFormat="1" applyFont="1" applyFill="1" applyBorder="1" applyAlignment="1">
      <alignment horizontal="right" vertical="top" wrapText="1"/>
    </xf>
    <xf numFmtId="41" fontId="20" fillId="21" borderId="52" xfId="1" applyFont="1" applyFill="1" applyBorder="1" applyAlignment="1">
      <alignment horizontal="right" vertical="top" wrapText="1"/>
    </xf>
    <xf numFmtId="178" fontId="21" fillId="4" borderId="221" xfId="0" quotePrefix="1" applyNumberFormat="1" applyFont="1" applyFill="1" applyBorder="1" applyAlignment="1">
      <alignment horizontal="right" vertical="center" wrapText="1"/>
    </xf>
    <xf numFmtId="178" fontId="21" fillId="4" borderId="54" xfId="0" quotePrefix="1" applyNumberFormat="1" applyFont="1" applyFill="1" applyBorder="1" applyAlignment="1">
      <alignment vertical="center" wrapText="1"/>
    </xf>
    <xf numFmtId="3" fontId="21" fillId="4" borderId="219" xfId="0" quotePrefix="1" applyNumberFormat="1" applyFont="1" applyFill="1" applyBorder="1" applyAlignment="1">
      <alignment horizontal="right" vertical="top" wrapText="1"/>
    </xf>
    <xf numFmtId="178" fontId="21" fillId="21" borderId="45" xfId="8" applyNumberFormat="1" applyFont="1" applyFill="1" applyBorder="1" applyAlignment="1">
      <alignment horizontal="right" vertical="top" wrapText="1"/>
    </xf>
    <xf numFmtId="178" fontId="21" fillId="21" borderId="52" xfId="8" quotePrefix="1" applyNumberFormat="1" applyFont="1" applyFill="1" applyBorder="1" applyAlignment="1">
      <alignment horizontal="right" vertical="top" wrapText="1"/>
    </xf>
    <xf numFmtId="41" fontId="21" fillId="21" borderId="37" xfId="1" applyFont="1" applyFill="1" applyBorder="1" applyAlignment="1">
      <alignment horizontal="right" vertical="top" wrapText="1"/>
    </xf>
    <xf numFmtId="41" fontId="21" fillId="21" borderId="52" xfId="1" applyFont="1" applyFill="1" applyBorder="1" applyAlignment="1">
      <alignment horizontal="right" vertical="top" wrapText="1"/>
    </xf>
    <xf numFmtId="178" fontId="21" fillId="21" borderId="52" xfId="0" applyNumberFormat="1" applyFont="1" applyFill="1" applyBorder="1" applyAlignment="1">
      <alignment horizontal="right" vertical="top" wrapText="1"/>
    </xf>
    <xf numFmtId="40" fontId="21" fillId="19" borderId="80" xfId="1" quotePrefix="1" applyNumberFormat="1" applyFont="1" applyFill="1" applyBorder="1" applyAlignment="1">
      <alignment horizontal="right" vertical="center" wrapText="1"/>
    </xf>
    <xf numFmtId="40" fontId="21" fillId="19" borderId="80" xfId="1" applyNumberFormat="1" applyFont="1" applyFill="1" applyBorder="1" applyAlignment="1">
      <alignment horizontal="right" vertical="center" wrapText="1"/>
    </xf>
    <xf numFmtId="3" fontId="21" fillId="19" borderId="43" xfId="0" quotePrefix="1" applyNumberFormat="1" applyFont="1" applyFill="1" applyBorder="1" applyAlignment="1">
      <alignment horizontal="right" vertical="center" wrapText="1"/>
    </xf>
    <xf numFmtId="40" fontId="21" fillId="19" borderId="37" xfId="1" quotePrefix="1" applyNumberFormat="1" applyFont="1" applyFill="1" applyBorder="1" applyAlignment="1">
      <alignment horizontal="right" vertical="center" wrapText="1"/>
    </xf>
    <xf numFmtId="40" fontId="21" fillId="19" borderId="34" xfId="1" quotePrefix="1" applyNumberFormat="1" applyFont="1" applyFill="1" applyBorder="1" applyAlignment="1">
      <alignment horizontal="right" vertical="center" wrapText="1"/>
    </xf>
    <xf numFmtId="40" fontId="20" fillId="21" borderId="303" xfId="1" quotePrefix="1" applyNumberFormat="1" applyFont="1" applyFill="1" applyBorder="1" applyAlignment="1">
      <alignment horizontal="right" vertical="center" wrapText="1"/>
    </xf>
    <xf numFmtId="3" fontId="20" fillId="21" borderId="43" xfId="0" quotePrefix="1" applyNumberFormat="1" applyFont="1" applyFill="1" applyBorder="1" applyAlignment="1">
      <alignment horizontal="right" vertical="center" wrapText="1"/>
    </xf>
    <xf numFmtId="40" fontId="21" fillId="19" borderId="326" xfId="1" quotePrefix="1" applyNumberFormat="1" applyFont="1" applyFill="1" applyBorder="1" applyAlignment="1">
      <alignment horizontal="right" vertical="center" wrapText="1"/>
    </xf>
    <xf numFmtId="40" fontId="21" fillId="19" borderId="42" xfId="1" quotePrefix="1" applyNumberFormat="1" applyFont="1" applyFill="1" applyBorder="1" applyAlignment="1">
      <alignment horizontal="right" vertical="center" wrapText="1"/>
    </xf>
    <xf numFmtId="3" fontId="21" fillId="19" borderId="42" xfId="0" quotePrefix="1" applyNumberFormat="1" applyFont="1" applyFill="1" applyBorder="1" applyAlignment="1">
      <alignment horizontal="right" vertical="center" wrapText="1"/>
    </xf>
    <xf numFmtId="0" fontId="75" fillId="46" borderId="42" xfId="0" applyFont="1" applyFill="1" applyBorder="1">
      <alignment vertical="center"/>
    </xf>
    <xf numFmtId="0" fontId="0" fillId="46" borderId="38" xfId="0" applyFill="1" applyBorder="1">
      <alignment vertical="center"/>
    </xf>
    <xf numFmtId="0" fontId="74" fillId="53" borderId="0" xfId="0" applyFont="1" applyFill="1" applyAlignment="1">
      <alignment horizontal="left" vertical="center" wrapText="1"/>
    </xf>
    <xf numFmtId="0" fontId="71" fillId="38" borderId="0" xfId="0" applyFont="1" applyFill="1" applyAlignment="1">
      <alignment horizontal="left" vertical="center"/>
    </xf>
    <xf numFmtId="0" fontId="20" fillId="5" borderId="0" xfId="0" applyFont="1" applyFill="1">
      <alignment vertical="center"/>
    </xf>
    <xf numFmtId="0" fontId="20" fillId="3" borderId="0" xfId="0" quotePrefix="1" applyFont="1" applyFill="1">
      <alignment vertical="center"/>
    </xf>
    <xf numFmtId="0" fontId="20" fillId="3" borderId="0" xfId="0" applyFont="1" applyFill="1">
      <alignment vertical="center"/>
    </xf>
    <xf numFmtId="37" fontId="21" fillId="4" borderId="43" xfId="1" applyNumberFormat="1" applyFont="1" applyFill="1" applyBorder="1" applyAlignment="1">
      <alignment horizontal="right" vertical="center" wrapText="1"/>
    </xf>
    <xf numFmtId="37" fontId="21" fillId="4" borderId="43" xfId="1" quotePrefix="1" applyNumberFormat="1" applyFont="1" applyFill="1" applyBorder="1" applyAlignment="1">
      <alignment horizontal="right" vertical="top" wrapText="1"/>
    </xf>
    <xf numFmtId="37" fontId="21" fillId="4" borderId="43" xfId="1" quotePrefix="1" applyNumberFormat="1" applyFont="1" applyFill="1" applyBorder="1" applyAlignment="1">
      <alignment horizontal="right" vertical="center" wrapText="1"/>
    </xf>
    <xf numFmtId="37" fontId="0" fillId="4" borderId="45" xfId="0" applyNumberFormat="1" applyFill="1" applyBorder="1" applyAlignment="1">
      <alignment horizontal="right" vertical="center" wrapText="1"/>
    </xf>
    <xf numFmtId="37" fontId="0" fillId="4" borderId="38" xfId="0" quotePrefix="1" applyNumberFormat="1" applyFill="1" applyBorder="1" applyAlignment="1">
      <alignment horizontal="right" vertical="center" wrapText="1"/>
    </xf>
    <xf numFmtId="37" fontId="0" fillId="4" borderId="43" xfId="0" applyNumberFormat="1" applyFill="1" applyBorder="1" applyAlignment="1">
      <alignment horizontal="right" vertical="center" wrapText="1"/>
    </xf>
    <xf numFmtId="37" fontId="0" fillId="4" borderId="219" xfId="0" quotePrefix="1" applyNumberFormat="1" applyFill="1" applyBorder="1" applyAlignment="1">
      <alignment horizontal="right" vertical="center" wrapText="1"/>
    </xf>
    <xf numFmtId="37" fontId="5" fillId="4" borderId="78" xfId="0" applyNumberFormat="1" applyFont="1" applyFill="1" applyBorder="1" applyAlignment="1">
      <alignment vertical="center" wrapText="1"/>
    </xf>
    <xf numFmtId="37" fontId="5" fillId="4" borderId="38" xfId="0" applyNumberFormat="1" applyFont="1" applyFill="1" applyBorder="1" applyAlignment="1">
      <alignment vertical="center" wrapText="1"/>
    </xf>
    <xf numFmtId="37" fontId="0" fillId="4" borderId="219" xfId="0" applyNumberFormat="1" applyFill="1" applyBorder="1" applyAlignment="1">
      <alignment horizontal="right" vertical="center" wrapText="1"/>
    </xf>
    <xf numFmtId="37" fontId="5" fillId="4" borderId="74" xfId="0" applyNumberFormat="1" applyFont="1" applyFill="1" applyBorder="1" applyAlignment="1">
      <alignment vertical="center" wrapText="1"/>
    </xf>
    <xf numFmtId="37" fontId="0" fillId="4" borderId="299" xfId="0" applyNumberFormat="1" applyFill="1" applyBorder="1" applyAlignment="1">
      <alignment vertical="center" wrapText="1"/>
    </xf>
    <xf numFmtId="37" fontId="0" fillId="4" borderId="45" xfId="0" applyNumberFormat="1" applyFill="1" applyBorder="1" applyAlignment="1">
      <alignment vertical="center" wrapText="1"/>
    </xf>
    <xf numFmtId="37" fontId="0" fillId="4" borderId="297" xfId="0" applyNumberFormat="1" applyFill="1" applyBorder="1" applyAlignment="1">
      <alignment vertical="center" wrapText="1"/>
    </xf>
    <xf numFmtId="37" fontId="0" fillId="4" borderId="45" xfId="0" quotePrefix="1" applyNumberFormat="1" applyFill="1" applyBorder="1" applyAlignment="1">
      <alignment vertical="center" wrapText="1"/>
    </xf>
    <xf numFmtId="37" fontId="0" fillId="4" borderId="304" xfId="0" applyNumberFormat="1" applyFill="1" applyBorder="1" applyAlignment="1">
      <alignment vertical="center" wrapText="1"/>
    </xf>
    <xf numFmtId="37" fontId="0" fillId="4" borderId="45" xfId="0" quotePrefix="1" applyNumberFormat="1" applyFill="1" applyBorder="1" applyAlignment="1">
      <alignment horizontal="right" vertical="center" wrapText="1"/>
    </xf>
    <xf numFmtId="3" fontId="24" fillId="50" borderId="43" xfId="0" applyNumberFormat="1" applyFont="1" applyFill="1" applyBorder="1" applyAlignment="1">
      <alignment horizontal="right" vertical="center" wrapText="1"/>
    </xf>
    <xf numFmtId="185" fontId="21" fillId="21" borderId="307" xfId="0" applyNumberFormat="1" applyFont="1" applyFill="1" applyBorder="1" applyAlignment="1">
      <alignment horizontal="right" vertical="center" wrapText="1"/>
    </xf>
    <xf numFmtId="185" fontId="21" fillId="21" borderId="38" xfId="0" applyNumberFormat="1" applyFont="1" applyFill="1" applyBorder="1" applyAlignment="1">
      <alignment horizontal="right" vertical="center" wrapText="1"/>
    </xf>
    <xf numFmtId="178" fontId="21" fillId="5" borderId="227" xfId="0" applyNumberFormat="1" applyFont="1" applyFill="1" applyBorder="1" applyAlignment="1">
      <alignment horizontal="right" vertical="center" wrapText="1"/>
    </xf>
    <xf numFmtId="178" fontId="21" fillId="5" borderId="36" xfId="0" applyNumberFormat="1" applyFont="1" applyFill="1" applyBorder="1" applyAlignment="1">
      <alignment horizontal="right" vertical="center" wrapText="1"/>
    </xf>
    <xf numFmtId="178" fontId="21" fillId="5" borderId="77" xfId="0" applyNumberFormat="1" applyFont="1" applyFill="1" applyBorder="1" applyAlignment="1">
      <alignment horizontal="right" vertical="center" wrapText="1"/>
    </xf>
    <xf numFmtId="185" fontId="21" fillId="43" borderId="303" xfId="8" quotePrefix="1" applyNumberFormat="1" applyFont="1" applyFill="1" applyBorder="1" applyAlignment="1">
      <alignment horizontal="right" vertical="center" wrapText="1"/>
    </xf>
    <xf numFmtId="185" fontId="21" fillId="43" borderId="37" xfId="8" quotePrefix="1" applyNumberFormat="1" applyFont="1" applyFill="1" applyBorder="1" applyAlignment="1">
      <alignment horizontal="right" vertical="center" wrapText="1"/>
    </xf>
    <xf numFmtId="40" fontId="21" fillId="43" borderId="38" xfId="1" quotePrefix="1" applyNumberFormat="1" applyFont="1" applyFill="1" applyBorder="1" applyAlignment="1">
      <alignment horizontal="right" vertical="center" wrapText="1"/>
    </xf>
    <xf numFmtId="38" fontId="21" fillId="43" borderId="38" xfId="1" quotePrefix="1" applyNumberFormat="1" applyFont="1" applyFill="1" applyBorder="1" applyAlignment="1">
      <alignment horizontal="right" vertical="center" wrapText="1"/>
    </xf>
    <xf numFmtId="40" fontId="21" fillId="43" borderId="38" xfId="1" quotePrefix="1" applyNumberFormat="1" applyFont="1" applyFill="1" applyBorder="1" applyAlignment="1">
      <alignment horizontal="right" vertical="top" wrapText="1"/>
    </xf>
    <xf numFmtId="38" fontId="21" fillId="43" borderId="38" xfId="8" quotePrefix="1" applyNumberFormat="1" applyFont="1" applyFill="1" applyBorder="1" applyAlignment="1">
      <alignment horizontal="right" vertical="top" wrapText="1"/>
    </xf>
    <xf numFmtId="38" fontId="21" fillId="43" borderId="38" xfId="8" applyNumberFormat="1" applyFont="1" applyFill="1" applyBorder="1" applyAlignment="1">
      <alignment vertical="center" wrapText="1"/>
    </xf>
    <xf numFmtId="3" fontId="21" fillId="43" borderId="38" xfId="0" applyNumberFormat="1" applyFont="1" applyFill="1" applyBorder="1" applyAlignment="1">
      <alignment vertical="center" wrapText="1"/>
    </xf>
    <xf numFmtId="37" fontId="0" fillId="43" borderId="219" xfId="0" quotePrefix="1" applyNumberFormat="1" applyFill="1" applyBorder="1" applyAlignment="1">
      <alignment horizontal="right" vertical="center" wrapText="1"/>
    </xf>
    <xf numFmtId="37" fontId="0" fillId="43" borderId="38" xfId="0" quotePrefix="1" applyNumberFormat="1" applyFill="1" applyBorder="1" applyAlignment="1">
      <alignment horizontal="right" vertical="center" wrapText="1"/>
    </xf>
    <xf numFmtId="37" fontId="0" fillId="43" borderId="38" xfId="0" applyNumberFormat="1" applyFill="1" applyBorder="1" applyAlignment="1">
      <alignment horizontal="right" vertical="center" wrapText="1"/>
    </xf>
    <xf numFmtId="37" fontId="21" fillId="43" borderId="43" xfId="1" applyNumberFormat="1" applyFont="1" applyFill="1" applyBorder="1" applyAlignment="1">
      <alignment horizontal="right" vertical="center" wrapText="1"/>
    </xf>
    <xf numFmtId="37" fontId="0" fillId="43" borderId="297" xfId="0" applyNumberFormat="1" applyFill="1" applyBorder="1" applyAlignment="1">
      <alignment vertical="center" wrapText="1"/>
    </xf>
    <xf numFmtId="37" fontId="0" fillId="43" borderId="45" xfId="0" quotePrefix="1" applyNumberFormat="1" applyFill="1" applyBorder="1" applyAlignment="1">
      <alignment horizontal="right" vertical="center" wrapText="1"/>
    </xf>
    <xf numFmtId="37" fontId="0" fillId="43" borderId="45" xfId="0" applyNumberFormat="1" applyFill="1" applyBorder="1" applyAlignment="1">
      <alignment horizontal="right" vertical="center" wrapText="1"/>
    </xf>
    <xf numFmtId="185" fontId="21" fillId="43" borderId="52" xfId="8" applyNumberFormat="1" applyFont="1" applyFill="1" applyBorder="1" applyAlignment="1">
      <alignment horizontal="right" vertical="top" wrapText="1"/>
    </xf>
    <xf numFmtId="40" fontId="21" fillId="43" borderId="303" xfId="1" quotePrefix="1" applyNumberFormat="1" applyFont="1" applyFill="1" applyBorder="1" applyAlignment="1">
      <alignment horizontal="right" vertical="center" wrapText="1"/>
    </xf>
    <xf numFmtId="40" fontId="21" fillId="43" borderId="37" xfId="1" quotePrefix="1" applyNumberFormat="1" applyFont="1" applyFill="1" applyBorder="1" applyAlignment="1">
      <alignment horizontal="right" vertical="center" wrapText="1"/>
    </xf>
    <xf numFmtId="40" fontId="21" fillId="43" borderId="38" xfId="1" quotePrefix="1" applyNumberFormat="1" applyFont="1" applyFill="1" applyBorder="1" applyAlignment="1">
      <alignment horizontal="left" vertical="center"/>
    </xf>
    <xf numFmtId="185" fontId="21" fillId="43" borderId="219" xfId="8" applyNumberFormat="1" applyFont="1" applyFill="1" applyBorder="1" applyAlignment="1">
      <alignment vertical="center" wrapText="1"/>
    </xf>
    <xf numFmtId="185" fontId="21" fillId="43" borderId="38" xfId="8" quotePrefix="1" applyNumberFormat="1" applyFont="1" applyFill="1" applyBorder="1" applyAlignment="1">
      <alignment horizontal="right" vertical="top" wrapText="1"/>
    </xf>
    <xf numFmtId="178" fontId="21" fillId="43" borderId="37" xfId="1" quotePrefix="1" applyNumberFormat="1" applyFont="1" applyFill="1" applyBorder="1" applyAlignment="1">
      <alignment horizontal="right" vertical="top" wrapText="1"/>
    </xf>
    <xf numFmtId="178" fontId="21" fillId="43" borderId="52" xfId="8" applyNumberFormat="1" applyFont="1" applyFill="1" applyBorder="1" applyAlignment="1">
      <alignment horizontal="right" vertical="top" wrapText="1"/>
    </xf>
    <xf numFmtId="3" fontId="21" fillId="43" borderId="219" xfId="0" applyNumberFormat="1" applyFont="1" applyFill="1" applyBorder="1" applyAlignment="1">
      <alignment vertical="center" wrapText="1"/>
    </xf>
    <xf numFmtId="3" fontId="21" fillId="43" borderId="38" xfId="0" quotePrefix="1" applyNumberFormat="1" applyFont="1" applyFill="1" applyBorder="1" applyAlignment="1">
      <alignment horizontal="right" vertical="center" wrapText="1"/>
    </xf>
    <xf numFmtId="3" fontId="24" fillId="54" borderId="43" xfId="0" applyNumberFormat="1" applyFont="1" applyFill="1" applyBorder="1" applyAlignment="1">
      <alignment horizontal="right" vertical="center" wrapText="1"/>
    </xf>
    <xf numFmtId="3" fontId="21" fillId="43" borderId="38" xfId="1" quotePrefix="1" applyNumberFormat="1" applyFont="1" applyFill="1" applyBorder="1" applyAlignment="1">
      <alignment horizontal="right" vertical="center" wrapText="1"/>
    </xf>
    <xf numFmtId="3" fontId="21" fillId="43" borderId="52" xfId="0" applyNumberFormat="1" applyFont="1" applyFill="1" applyBorder="1" applyAlignment="1">
      <alignment vertical="center" wrapText="1"/>
    </xf>
    <xf numFmtId="3" fontId="21" fillId="43" borderId="38" xfId="0" quotePrefix="1" applyNumberFormat="1" applyFont="1" applyFill="1" applyBorder="1" applyAlignment="1">
      <alignment horizontal="left" vertical="center"/>
    </xf>
    <xf numFmtId="40" fontId="26" fillId="43" borderId="37" xfId="1" quotePrefix="1" applyNumberFormat="1" applyFont="1" applyFill="1" applyBorder="1" applyAlignment="1">
      <alignment horizontal="right" vertical="center" wrapText="1"/>
    </xf>
    <xf numFmtId="40" fontId="21" fillId="43" borderId="80" xfId="1" quotePrefix="1" applyNumberFormat="1" applyFont="1" applyFill="1" applyBorder="1" applyAlignment="1">
      <alignment horizontal="left" vertical="center"/>
    </xf>
    <xf numFmtId="3" fontId="21" fillId="43" borderId="303" xfId="1" quotePrefix="1" applyNumberFormat="1" applyFont="1" applyFill="1" applyBorder="1" applyAlignment="1">
      <alignment horizontal="right" vertical="center" wrapText="1"/>
    </xf>
    <xf numFmtId="185" fontId="21" fillId="43" borderId="45" xfId="8" applyNumberFormat="1" applyFont="1" applyFill="1" applyBorder="1" applyAlignment="1">
      <alignment horizontal="right" vertical="top" wrapText="1"/>
    </xf>
    <xf numFmtId="185" fontId="5" fillId="43" borderId="219" xfId="8" applyNumberFormat="1" applyFont="1" applyFill="1" applyBorder="1" applyAlignment="1">
      <alignment horizontal="right" vertical="center" wrapText="1"/>
    </xf>
    <xf numFmtId="41" fontId="5" fillId="43" borderId="38" xfId="1" quotePrefix="1" applyFont="1" applyFill="1" applyBorder="1" applyAlignment="1">
      <alignment horizontal="right" vertical="top" wrapText="1"/>
    </xf>
    <xf numFmtId="41" fontId="5" fillId="43" borderId="219" xfId="1" applyFont="1" applyFill="1" applyBorder="1" applyAlignment="1">
      <alignment horizontal="right" vertical="center" wrapText="1"/>
    </xf>
    <xf numFmtId="41" fontId="5" fillId="43" borderId="45" xfId="1" applyFont="1" applyFill="1" applyBorder="1" applyAlignment="1">
      <alignment horizontal="right" vertical="top" wrapText="1"/>
    </xf>
    <xf numFmtId="41" fontId="5" fillId="43" borderId="219" xfId="1" applyFont="1" applyFill="1" applyBorder="1" applyAlignment="1">
      <alignment vertical="center" wrapText="1"/>
    </xf>
    <xf numFmtId="38" fontId="21" fillId="4" borderId="45" xfId="8" applyNumberFormat="1" applyFont="1" applyFill="1" applyBorder="1" applyAlignment="1">
      <alignment horizontal="right" vertical="top" wrapText="1"/>
    </xf>
    <xf numFmtId="185" fontId="21" fillId="43" borderId="80" xfId="1" applyNumberFormat="1" applyFont="1" applyFill="1" applyBorder="1" applyAlignment="1">
      <alignment horizontal="right" vertical="top" wrapText="1"/>
    </xf>
    <xf numFmtId="38" fontId="21" fillId="43" borderId="219" xfId="8" applyNumberFormat="1" applyFont="1" applyFill="1" applyBorder="1" applyAlignment="1">
      <alignment vertical="center" wrapText="1"/>
    </xf>
    <xf numFmtId="41" fontId="21" fillId="43" borderId="38" xfId="1" applyFont="1" applyFill="1" applyBorder="1" applyAlignment="1">
      <alignment horizontal="right" vertical="top" wrapText="1"/>
    </xf>
    <xf numFmtId="41" fontId="21" fillId="43" borderId="219" xfId="1" applyFont="1" applyFill="1" applyBorder="1" applyAlignment="1">
      <alignment vertical="center" wrapText="1"/>
    </xf>
    <xf numFmtId="41" fontId="21" fillId="43" borderId="52" xfId="1" applyFont="1" applyFill="1" applyBorder="1" applyAlignment="1">
      <alignment horizontal="right" vertical="top" wrapText="1"/>
    </xf>
    <xf numFmtId="3" fontId="21" fillId="43" borderId="219" xfId="0" quotePrefix="1" applyNumberFormat="1" applyFont="1" applyFill="1" applyBorder="1" applyAlignment="1">
      <alignment horizontal="right" vertical="center" wrapText="1"/>
    </xf>
    <xf numFmtId="3" fontId="21" fillId="43" borderId="38" xfId="0" quotePrefix="1" applyNumberFormat="1" applyFont="1" applyFill="1" applyBorder="1" applyAlignment="1">
      <alignment horizontal="right" vertical="top" wrapText="1"/>
    </xf>
    <xf numFmtId="3" fontId="21" fillId="43" borderId="52" xfId="0" quotePrefix="1" applyNumberFormat="1" applyFont="1" applyFill="1" applyBorder="1" applyAlignment="1">
      <alignment horizontal="right" vertical="top" wrapText="1"/>
    </xf>
    <xf numFmtId="185" fontId="21" fillId="43" borderId="38" xfId="0" quotePrefix="1" applyNumberFormat="1" applyFont="1" applyFill="1" applyBorder="1" applyAlignment="1">
      <alignment horizontal="right" vertical="top" wrapText="1"/>
    </xf>
    <xf numFmtId="185" fontId="21" fillId="43" borderId="219" xfId="0" quotePrefix="1" applyNumberFormat="1" applyFont="1" applyFill="1" applyBorder="1" applyAlignment="1">
      <alignment horizontal="right" vertical="center" wrapText="1"/>
    </xf>
    <xf numFmtId="38" fontId="21" fillId="43" borderId="303" xfId="1" quotePrefix="1" applyNumberFormat="1" applyFont="1" applyFill="1" applyBorder="1" applyAlignment="1">
      <alignment horizontal="right" vertical="center" wrapText="1"/>
    </xf>
    <xf numFmtId="178" fontId="21" fillId="43" borderId="37" xfId="8" applyNumberFormat="1" applyFont="1" applyFill="1" applyBorder="1" applyAlignment="1">
      <alignment horizontal="right" vertical="center" wrapText="1"/>
    </xf>
    <xf numFmtId="38" fontId="21" fillId="43" borderId="38" xfId="8" applyNumberFormat="1" applyFont="1" applyFill="1" applyBorder="1" applyAlignment="1">
      <alignment horizontal="right" vertical="center" wrapText="1"/>
    </xf>
    <xf numFmtId="3" fontId="21" fillId="43" borderId="43" xfId="0" quotePrefix="1" applyNumberFormat="1" applyFont="1" applyFill="1" applyBorder="1" applyAlignment="1">
      <alignment vertical="center" wrapText="1"/>
    </xf>
    <xf numFmtId="38" fontId="21" fillId="43" borderId="303" xfId="1" applyNumberFormat="1" applyFont="1" applyFill="1" applyBorder="1" applyAlignment="1">
      <alignment horizontal="right" vertical="center" wrapText="1"/>
    </xf>
    <xf numFmtId="38" fontId="21" fillId="43" borderId="37" xfId="1" applyNumberFormat="1" applyFont="1" applyFill="1" applyBorder="1" applyAlignment="1">
      <alignment horizontal="right" vertical="center" wrapText="1"/>
    </xf>
    <xf numFmtId="3" fontId="21" fillId="32" borderId="43" xfId="0" applyNumberFormat="1" applyFont="1" applyFill="1" applyBorder="1" applyAlignment="1">
      <alignment horizontal="right" vertical="top" wrapText="1"/>
    </xf>
    <xf numFmtId="3" fontId="21" fillId="32" borderId="38" xfId="0" applyNumberFormat="1" applyFont="1" applyFill="1" applyBorder="1" applyAlignment="1">
      <alignment horizontal="right" vertical="top" wrapText="1"/>
    </xf>
    <xf numFmtId="177" fontId="0" fillId="15" borderId="42" xfId="0" quotePrefix="1" applyNumberFormat="1" applyFill="1" applyBorder="1">
      <alignment vertical="center"/>
    </xf>
    <xf numFmtId="177" fontId="0" fillId="15" borderId="45" xfId="0" quotePrefix="1" applyNumberFormat="1" applyFill="1" applyBorder="1">
      <alignment vertical="center"/>
    </xf>
    <xf numFmtId="185" fontId="21" fillId="4" borderId="219" xfId="0" quotePrefix="1" applyNumberFormat="1" applyFont="1" applyFill="1" applyBorder="1" applyAlignment="1">
      <alignment horizontal="right" vertical="center" wrapText="1"/>
    </xf>
    <xf numFmtId="185" fontId="21" fillId="4" borderId="221" xfId="0" quotePrefix="1" applyNumberFormat="1" applyFont="1" applyFill="1" applyBorder="1" applyAlignment="1">
      <alignment horizontal="right" vertical="center" wrapText="1"/>
    </xf>
    <xf numFmtId="0" fontId="15" fillId="15" borderId="316" xfId="0" applyFont="1" applyFill="1" applyBorder="1" applyAlignment="1">
      <alignment horizontal="left" vertical="top"/>
    </xf>
    <xf numFmtId="0" fontId="15" fillId="15" borderId="28" xfId="0" applyFont="1" applyFill="1" applyBorder="1" applyAlignment="1">
      <alignment horizontal="left" vertical="center"/>
    </xf>
    <xf numFmtId="3" fontId="21" fillId="3" borderId="45" xfId="0" quotePrefix="1" applyNumberFormat="1" applyFont="1" applyFill="1" applyBorder="1" applyAlignment="1">
      <alignment horizontal="left" vertical="center"/>
    </xf>
    <xf numFmtId="40" fontId="21" fillId="3" borderId="80" xfId="1" quotePrefix="1" applyNumberFormat="1" applyFont="1" applyFill="1" applyBorder="1" applyAlignment="1">
      <alignment horizontal="left" vertical="center"/>
    </xf>
    <xf numFmtId="178" fontId="21" fillId="3" borderId="45" xfId="0" quotePrefix="1" applyNumberFormat="1" applyFont="1" applyFill="1" applyBorder="1" applyAlignment="1">
      <alignment horizontal="left" vertical="center"/>
    </xf>
    <xf numFmtId="0" fontId="15" fillId="15" borderId="28" xfId="0" applyFont="1" applyFill="1" applyBorder="1" applyAlignment="1">
      <alignment horizontal="center" vertical="center"/>
    </xf>
    <xf numFmtId="3" fontId="4" fillId="2" borderId="0" xfId="0" applyNumberFormat="1" applyFont="1" applyFill="1" applyAlignment="1">
      <alignment horizontal="left" vertical="center" wrapText="1"/>
    </xf>
    <xf numFmtId="3" fontId="11" fillId="3" borderId="0" xfId="0" applyNumberFormat="1" applyFont="1" applyFill="1" applyAlignment="1">
      <alignment horizontal="left" vertical="center"/>
    </xf>
    <xf numFmtId="3" fontId="5" fillId="3" borderId="0" xfId="0" applyNumberFormat="1" applyFont="1" applyFill="1" applyAlignment="1">
      <alignment horizontal="left" vertical="center" wrapText="1"/>
    </xf>
    <xf numFmtId="3" fontId="5" fillId="3" borderId="45" xfId="0" applyNumberFormat="1" applyFont="1" applyFill="1" applyBorder="1" applyAlignment="1">
      <alignment horizontal="left" vertical="center" wrapText="1"/>
    </xf>
    <xf numFmtId="40" fontId="21" fillId="3" borderId="45" xfId="1" quotePrefix="1" applyNumberFormat="1" applyFont="1" applyFill="1" applyBorder="1" applyAlignment="1">
      <alignment horizontal="left" vertical="center" wrapText="1"/>
    </xf>
    <xf numFmtId="40" fontId="21" fillId="3" borderId="45" xfId="1" applyNumberFormat="1" applyFont="1" applyFill="1" applyBorder="1" applyAlignment="1">
      <alignment horizontal="left" vertical="center" wrapText="1"/>
    </xf>
    <xf numFmtId="180" fontId="21" fillId="3" borderId="45" xfId="0" applyNumberFormat="1" applyFont="1" applyFill="1" applyBorder="1" applyAlignment="1">
      <alignment horizontal="left" vertical="center" wrapText="1"/>
    </xf>
    <xf numFmtId="180" fontId="21" fillId="3" borderId="45" xfId="1" quotePrefix="1" applyNumberFormat="1" applyFont="1" applyFill="1" applyBorder="1" applyAlignment="1">
      <alignment horizontal="left" vertical="center" wrapText="1"/>
    </xf>
    <xf numFmtId="49" fontId="21" fillId="3" borderId="45" xfId="1" applyNumberFormat="1" applyFont="1" applyFill="1" applyBorder="1" applyAlignment="1">
      <alignment horizontal="left" vertical="top" wrapText="1"/>
    </xf>
    <xf numFmtId="49" fontId="21" fillId="3" borderId="45" xfId="1" quotePrefix="1" applyNumberFormat="1" applyFont="1" applyFill="1" applyBorder="1" applyAlignment="1">
      <alignment horizontal="left" vertical="center" wrapText="1"/>
    </xf>
    <xf numFmtId="49" fontId="21" fillId="3" borderId="45" xfId="0" applyNumberFormat="1" applyFont="1" applyFill="1" applyBorder="1" applyAlignment="1">
      <alignment horizontal="left" vertical="center" wrapText="1"/>
    </xf>
    <xf numFmtId="49" fontId="21" fillId="3" borderId="45" xfId="1" quotePrefix="1" applyNumberFormat="1" applyFont="1" applyFill="1" applyBorder="1" applyAlignment="1">
      <alignment horizontal="left" vertical="top" wrapText="1"/>
    </xf>
    <xf numFmtId="0" fontId="21" fillId="3" borderId="45" xfId="1" applyNumberFormat="1" applyFont="1" applyFill="1" applyBorder="1" applyAlignment="1">
      <alignment horizontal="left" vertical="center" wrapText="1"/>
    </xf>
    <xf numFmtId="0" fontId="21" fillId="3" borderId="45" xfId="1" quotePrefix="1" applyNumberFormat="1" applyFont="1" applyFill="1" applyBorder="1" applyAlignment="1">
      <alignment horizontal="left" vertical="center" wrapText="1"/>
    </xf>
    <xf numFmtId="38" fontId="21" fillId="3" borderId="45" xfId="1" applyNumberFormat="1" applyFont="1" applyFill="1" applyBorder="1" applyAlignment="1">
      <alignment horizontal="left" vertical="center" wrapText="1"/>
    </xf>
    <xf numFmtId="38" fontId="21" fillId="3" borderId="45" xfId="1" quotePrefix="1" applyNumberFormat="1" applyFont="1" applyFill="1" applyBorder="1" applyAlignment="1">
      <alignment horizontal="left" vertical="center" wrapText="1"/>
    </xf>
    <xf numFmtId="38" fontId="21" fillId="3" borderId="45" xfId="0" applyNumberFormat="1" applyFont="1" applyFill="1" applyBorder="1" applyAlignment="1">
      <alignment horizontal="left" vertical="center" wrapText="1"/>
    </xf>
    <xf numFmtId="180" fontId="21" fillId="3" borderId="57" xfId="1" quotePrefix="1" applyNumberFormat="1" applyFont="1" applyFill="1" applyBorder="1" applyAlignment="1">
      <alignment horizontal="left" vertical="center" wrapText="1"/>
    </xf>
    <xf numFmtId="185" fontId="21" fillId="3" borderId="45" xfId="1" quotePrefix="1" applyNumberFormat="1" applyFont="1" applyFill="1" applyBorder="1" applyAlignment="1">
      <alignment horizontal="left" vertical="top" wrapText="1"/>
    </xf>
    <xf numFmtId="185" fontId="21" fillId="3" borderId="45" xfId="1" applyNumberFormat="1" applyFont="1" applyFill="1" applyBorder="1" applyAlignment="1">
      <alignment horizontal="left" vertical="center" wrapText="1"/>
    </xf>
    <xf numFmtId="40" fontId="21" fillId="3" borderId="45" xfId="1" applyNumberFormat="1" applyFont="1" applyFill="1" applyBorder="1" applyAlignment="1">
      <alignment horizontal="left" vertical="top" wrapText="1"/>
    </xf>
    <xf numFmtId="185" fontId="21" fillId="3" borderId="57" xfId="1" applyNumberFormat="1" applyFont="1" applyFill="1" applyBorder="1" applyAlignment="1">
      <alignment horizontal="left" vertical="center" wrapText="1"/>
    </xf>
    <xf numFmtId="40" fontId="21" fillId="3" borderId="36" xfId="1" quotePrefix="1" applyNumberFormat="1" applyFont="1" applyFill="1" applyBorder="1" applyAlignment="1">
      <alignment horizontal="left" vertical="center" wrapText="1"/>
    </xf>
    <xf numFmtId="40" fontId="21" fillId="3" borderId="80" xfId="1" quotePrefix="1" applyNumberFormat="1" applyFont="1" applyFill="1" applyBorder="1" applyAlignment="1">
      <alignment horizontal="left" vertical="center" wrapText="1"/>
    </xf>
    <xf numFmtId="4" fontId="21" fillId="3" borderId="80" xfId="1" quotePrefix="1" applyNumberFormat="1" applyFont="1" applyFill="1" applyBorder="1" applyAlignment="1">
      <alignment horizontal="left" vertical="center" wrapText="1"/>
    </xf>
    <xf numFmtId="4" fontId="21" fillId="3" borderId="45" xfId="1" quotePrefix="1" applyNumberFormat="1" applyFont="1" applyFill="1" applyBorder="1" applyAlignment="1">
      <alignment horizontal="left" vertical="center" wrapText="1"/>
    </xf>
    <xf numFmtId="40" fontId="21" fillId="15" borderId="45" xfId="1" applyNumberFormat="1" applyFont="1" applyFill="1" applyBorder="1" applyAlignment="1">
      <alignment horizontal="left" vertical="center" wrapText="1"/>
    </xf>
    <xf numFmtId="3" fontId="21" fillId="3" borderId="45" xfId="0" applyNumberFormat="1" applyFont="1" applyFill="1" applyBorder="1" applyAlignment="1">
      <alignment horizontal="left" vertical="center" wrapText="1"/>
    </xf>
    <xf numFmtId="4" fontId="21" fillId="3" borderId="45" xfId="0" applyNumberFormat="1" applyFont="1" applyFill="1" applyBorder="1" applyAlignment="1">
      <alignment horizontal="left" vertical="center" wrapText="1"/>
    </xf>
    <xf numFmtId="3" fontId="21" fillId="3" borderId="45" xfId="1" quotePrefix="1" applyNumberFormat="1" applyFont="1" applyFill="1" applyBorder="1" applyAlignment="1">
      <alignment horizontal="left" vertical="center" wrapText="1"/>
    </xf>
    <xf numFmtId="40" fontId="21" fillId="3" borderId="57" xfId="1" quotePrefix="1" applyNumberFormat="1" applyFont="1" applyFill="1" applyBorder="1" applyAlignment="1">
      <alignment horizontal="left" vertical="center" wrapText="1"/>
    </xf>
    <xf numFmtId="40" fontId="20" fillId="3" borderId="80" xfId="1" quotePrefix="1" applyNumberFormat="1" applyFont="1" applyFill="1" applyBorder="1" applyAlignment="1">
      <alignment horizontal="left" vertical="center" wrapText="1"/>
    </xf>
    <xf numFmtId="3" fontId="21" fillId="3" borderId="45" xfId="0" applyNumberFormat="1" applyFont="1" applyFill="1" applyBorder="1" applyAlignment="1">
      <alignment horizontal="left" vertical="top" wrapText="1"/>
    </xf>
    <xf numFmtId="40" fontId="20" fillId="3" borderId="80" xfId="1" applyNumberFormat="1" applyFont="1" applyFill="1" applyBorder="1" applyAlignment="1">
      <alignment horizontal="left" vertical="center" wrapText="1"/>
    </xf>
    <xf numFmtId="4" fontId="21" fillId="3" borderId="45" xfId="0" applyNumberFormat="1" applyFont="1" applyFill="1" applyBorder="1" applyAlignment="1">
      <alignment horizontal="left" vertical="top" wrapText="1"/>
    </xf>
    <xf numFmtId="3" fontId="21" fillId="3" borderId="80" xfId="0" applyNumberFormat="1" applyFont="1" applyFill="1" applyBorder="1" applyAlignment="1">
      <alignment horizontal="left" vertical="center" wrapText="1"/>
    </xf>
    <xf numFmtId="177" fontId="15" fillId="3" borderId="45" xfId="0" quotePrefix="1" applyNumberFormat="1" applyFont="1" applyFill="1" applyBorder="1" applyAlignment="1">
      <alignment horizontal="left" vertical="center"/>
    </xf>
    <xf numFmtId="3" fontId="21" fillId="3" borderId="0" xfId="0" applyNumberFormat="1" applyFont="1" applyFill="1" applyAlignment="1">
      <alignment horizontal="left" vertical="center" wrapText="1"/>
    </xf>
    <xf numFmtId="40" fontId="21" fillId="3" borderId="80" xfId="1" quotePrefix="1" applyNumberFormat="1" applyFont="1" applyFill="1" applyBorder="1" applyAlignment="1">
      <alignment horizontal="left" vertical="top" wrapText="1"/>
    </xf>
    <xf numFmtId="3" fontId="20" fillId="3" borderId="80" xfId="0" applyNumberFormat="1" applyFont="1" applyFill="1" applyBorder="1" applyAlignment="1">
      <alignment horizontal="left" vertical="top" wrapText="1"/>
    </xf>
    <xf numFmtId="3" fontId="21" fillId="3" borderId="80" xfId="0" applyNumberFormat="1" applyFont="1" applyFill="1" applyBorder="1" applyAlignment="1">
      <alignment horizontal="left" vertical="top" wrapText="1"/>
    </xf>
    <xf numFmtId="3" fontId="21" fillId="3" borderId="45" xfId="0" quotePrefix="1" applyNumberFormat="1" applyFont="1" applyFill="1" applyBorder="1" applyAlignment="1">
      <alignment horizontal="left" vertical="top" wrapText="1"/>
    </xf>
    <xf numFmtId="3" fontId="20" fillId="3" borderId="45" xfId="0" applyNumberFormat="1" applyFont="1" applyFill="1" applyBorder="1" applyAlignment="1">
      <alignment horizontal="left" vertical="top" wrapText="1"/>
    </xf>
    <xf numFmtId="3" fontId="21" fillId="3" borderId="45" xfId="0" quotePrefix="1" applyNumberFormat="1" applyFont="1" applyFill="1" applyBorder="1" applyAlignment="1">
      <alignment horizontal="left" vertical="center" wrapText="1"/>
    </xf>
    <xf numFmtId="4" fontId="21" fillId="3" borderId="45" xfId="0" quotePrefix="1" applyNumberFormat="1" applyFont="1" applyFill="1" applyBorder="1" applyAlignment="1">
      <alignment horizontal="left" vertical="center" wrapText="1"/>
    </xf>
    <xf numFmtId="3" fontId="21" fillId="3" borderId="57" xfId="0" quotePrefix="1" applyNumberFormat="1" applyFont="1" applyFill="1" applyBorder="1" applyAlignment="1">
      <alignment horizontal="left" vertical="center" wrapText="1"/>
    </xf>
    <xf numFmtId="3" fontId="21" fillId="3" borderId="57" xfId="0" quotePrefix="1" applyNumberFormat="1" applyFont="1" applyFill="1" applyBorder="1" applyAlignment="1">
      <alignment horizontal="left" vertical="top" wrapText="1"/>
    </xf>
    <xf numFmtId="40" fontId="21" fillId="3" borderId="80" xfId="1" applyNumberFormat="1" applyFont="1" applyFill="1" applyBorder="1" applyAlignment="1">
      <alignment horizontal="left" vertical="center" wrapText="1"/>
    </xf>
    <xf numFmtId="3" fontId="21" fillId="3" borderId="57" xfId="0" applyNumberFormat="1" applyFont="1" applyFill="1" applyBorder="1" applyAlignment="1">
      <alignment horizontal="left" vertical="center" wrapText="1"/>
    </xf>
    <xf numFmtId="3" fontId="21" fillId="3" borderId="80" xfId="0" quotePrefix="1" applyNumberFormat="1" applyFont="1" applyFill="1" applyBorder="1" applyAlignment="1">
      <alignment horizontal="left" vertical="center" wrapText="1"/>
    </xf>
    <xf numFmtId="3" fontId="21" fillId="3" borderId="64" xfId="0" quotePrefix="1" applyNumberFormat="1" applyFont="1" applyFill="1" applyBorder="1" applyAlignment="1">
      <alignment horizontal="left" vertical="center" wrapText="1"/>
    </xf>
    <xf numFmtId="3" fontId="21" fillId="3" borderId="53" xfId="0" quotePrefix="1" applyNumberFormat="1" applyFont="1" applyFill="1" applyBorder="1" applyAlignment="1">
      <alignment horizontal="left" vertical="center" wrapText="1"/>
    </xf>
    <xf numFmtId="40" fontId="21" fillId="3" borderId="45" xfId="1" quotePrefix="1" applyNumberFormat="1" applyFont="1" applyFill="1" applyBorder="1" applyAlignment="1">
      <alignment horizontal="left" vertical="top" wrapText="1"/>
    </xf>
    <xf numFmtId="178" fontId="21" fillId="3" borderId="80" xfId="8" quotePrefix="1" applyNumberFormat="1" applyFont="1" applyFill="1" applyBorder="1" applyAlignment="1">
      <alignment horizontal="left" vertical="center" wrapText="1"/>
    </xf>
    <xf numFmtId="178" fontId="21" fillId="3" borderId="80" xfId="8" applyNumberFormat="1" applyFont="1" applyFill="1" applyBorder="1" applyAlignment="1">
      <alignment horizontal="left" vertical="center" wrapText="1"/>
    </xf>
    <xf numFmtId="185" fontId="21" fillId="3" borderId="80" xfId="8" quotePrefix="1" applyNumberFormat="1" applyFont="1" applyFill="1" applyBorder="1" applyAlignment="1">
      <alignment horizontal="left" vertical="center" wrapText="1"/>
    </xf>
    <xf numFmtId="178" fontId="21" fillId="3" borderId="64" xfId="8" applyNumberFormat="1" applyFont="1" applyFill="1" applyBorder="1" applyAlignment="1">
      <alignment horizontal="left" vertical="center" wrapText="1"/>
    </xf>
    <xf numFmtId="178" fontId="21" fillId="3" borderId="80" xfId="1" quotePrefix="1" applyNumberFormat="1" applyFont="1" applyFill="1" applyBorder="1" applyAlignment="1">
      <alignment horizontal="left" vertical="top" wrapText="1"/>
    </xf>
    <xf numFmtId="178" fontId="21" fillId="3" borderId="45" xfId="1" quotePrefix="1" applyNumberFormat="1" applyFont="1" applyFill="1" applyBorder="1" applyAlignment="1">
      <alignment horizontal="left" vertical="top" wrapText="1"/>
    </xf>
    <xf numFmtId="185" fontId="21" fillId="3" borderId="80" xfId="1" quotePrefix="1" applyNumberFormat="1" applyFont="1" applyFill="1" applyBorder="1" applyAlignment="1">
      <alignment horizontal="left" vertical="center" wrapText="1"/>
    </xf>
    <xf numFmtId="41" fontId="21" fillId="3" borderId="80" xfId="1" quotePrefix="1" applyFont="1" applyFill="1" applyBorder="1" applyAlignment="1">
      <alignment horizontal="left" vertical="top" wrapText="1"/>
    </xf>
    <xf numFmtId="185" fontId="21" fillId="3" borderId="80" xfId="1" quotePrefix="1" applyNumberFormat="1" applyFont="1" applyFill="1" applyBorder="1" applyAlignment="1">
      <alignment horizontal="left" vertical="top" wrapText="1"/>
    </xf>
    <xf numFmtId="178" fontId="21" fillId="3" borderId="45" xfId="8" quotePrefix="1" applyNumberFormat="1" applyFont="1" applyFill="1" applyBorder="1" applyAlignment="1">
      <alignment horizontal="left" vertical="top" wrapText="1"/>
    </xf>
    <xf numFmtId="178" fontId="21" fillId="3" borderId="45" xfId="0" quotePrefix="1" applyNumberFormat="1" applyFont="1" applyFill="1" applyBorder="1" applyAlignment="1">
      <alignment horizontal="left" vertical="top" wrapText="1"/>
    </xf>
    <xf numFmtId="178" fontId="21" fillId="3" borderId="45" xfId="8" quotePrefix="1" applyNumberFormat="1" applyFont="1" applyFill="1" applyBorder="1" applyAlignment="1">
      <alignment horizontal="left" vertical="center" wrapText="1"/>
    </xf>
    <xf numFmtId="178" fontId="21" fillId="3" borderId="45" xfId="0" quotePrefix="1" applyNumberFormat="1" applyFont="1" applyFill="1" applyBorder="1" applyAlignment="1">
      <alignment horizontal="left" vertical="center" wrapText="1"/>
    </xf>
    <xf numFmtId="177" fontId="15" fillId="3" borderId="38" xfId="0" quotePrefix="1" applyNumberFormat="1" applyFont="1" applyFill="1" applyBorder="1" applyAlignment="1">
      <alignment horizontal="left" vertical="center"/>
    </xf>
    <xf numFmtId="185" fontId="21" fillId="3" borderId="80" xfId="0" applyNumberFormat="1" applyFont="1" applyFill="1" applyBorder="1" applyAlignment="1">
      <alignment horizontal="left" vertical="top" wrapText="1"/>
    </xf>
    <xf numFmtId="178" fontId="5" fillId="3" borderId="80" xfId="1" quotePrefix="1" applyNumberFormat="1" applyFont="1" applyFill="1" applyBorder="1" applyAlignment="1">
      <alignment horizontal="left" vertical="top" wrapText="1"/>
    </xf>
    <xf numFmtId="40" fontId="21" fillId="3" borderId="80" xfId="1" applyNumberFormat="1" applyFont="1" applyFill="1" applyBorder="1" applyAlignment="1">
      <alignment horizontal="left" vertical="top" wrapText="1"/>
    </xf>
    <xf numFmtId="3" fontId="21" fillId="3" borderId="80" xfId="1" quotePrefix="1" applyNumberFormat="1" applyFont="1" applyFill="1" applyBorder="1" applyAlignment="1">
      <alignment horizontal="left" vertical="top" wrapText="1"/>
    </xf>
    <xf numFmtId="178" fontId="5" fillId="3" borderId="80" xfId="8" applyNumberFormat="1" applyFont="1" applyFill="1" applyBorder="1" applyAlignment="1">
      <alignment horizontal="left" vertical="top" wrapText="1"/>
    </xf>
    <xf numFmtId="178" fontId="5" fillId="3" borderId="38" xfId="8" applyNumberFormat="1" applyFont="1" applyFill="1" applyBorder="1" applyAlignment="1">
      <alignment horizontal="left" vertical="top" wrapText="1"/>
    </xf>
    <xf numFmtId="3" fontId="21" fillId="3" borderId="37" xfId="0" quotePrefix="1" applyNumberFormat="1" applyFont="1" applyFill="1" applyBorder="1" applyAlignment="1">
      <alignment horizontal="left" vertical="center" wrapText="1"/>
    </xf>
    <xf numFmtId="3" fontId="21" fillId="3" borderId="38" xfId="0" quotePrefix="1" applyNumberFormat="1" applyFont="1" applyFill="1" applyBorder="1" applyAlignment="1">
      <alignment horizontal="left" vertical="center" wrapText="1"/>
    </xf>
    <xf numFmtId="185" fontId="21" fillId="3" borderId="45" xfId="0" applyNumberFormat="1" applyFont="1" applyFill="1" applyBorder="1" applyAlignment="1">
      <alignment horizontal="left" vertical="center" wrapText="1"/>
    </xf>
    <xf numFmtId="185" fontId="21" fillId="3" borderId="57" xfId="0" applyNumberFormat="1" applyFont="1" applyFill="1" applyBorder="1" applyAlignment="1">
      <alignment horizontal="left" vertical="center" wrapText="1"/>
    </xf>
    <xf numFmtId="3" fontId="21" fillId="3" borderId="34" xfId="0" quotePrefix="1" applyNumberFormat="1" applyFont="1" applyFill="1" applyBorder="1" applyAlignment="1">
      <alignment horizontal="left" vertical="center" wrapText="1"/>
    </xf>
    <xf numFmtId="3" fontId="21" fillId="3" borderId="43" xfId="0" quotePrefix="1" applyNumberFormat="1" applyFont="1" applyFill="1" applyBorder="1" applyAlignment="1">
      <alignment horizontal="left" vertical="center" wrapText="1"/>
    </xf>
    <xf numFmtId="3" fontId="21" fillId="3" borderId="43" xfId="0" applyNumberFormat="1" applyFont="1" applyFill="1" applyBorder="1" applyAlignment="1">
      <alignment horizontal="left" vertical="center" wrapText="1"/>
    </xf>
    <xf numFmtId="178" fontId="21" fillId="3" borderId="45" xfId="0" applyNumberFormat="1" applyFont="1" applyFill="1" applyBorder="1" applyAlignment="1">
      <alignment horizontal="left" vertical="center" wrapText="1"/>
    </xf>
    <xf numFmtId="3" fontId="21" fillId="3" borderId="54" xfId="0" quotePrefix="1" applyNumberFormat="1" applyFont="1" applyFill="1" applyBorder="1" applyAlignment="1">
      <alignment horizontal="left" vertical="center" wrapText="1"/>
    </xf>
    <xf numFmtId="40" fontId="21" fillId="3" borderId="45" xfId="1" quotePrefix="1" applyNumberFormat="1" applyFont="1" applyFill="1" applyBorder="1" applyAlignment="1">
      <alignment horizontal="center" vertical="center" wrapText="1"/>
    </xf>
    <xf numFmtId="40" fontId="21" fillId="3" borderId="45" xfId="1" applyNumberFormat="1" applyFont="1" applyFill="1" applyBorder="1" applyAlignment="1">
      <alignment horizontal="center" vertical="center" wrapText="1"/>
    </xf>
    <xf numFmtId="180" fontId="21" fillId="3" borderId="45" xfId="0" applyNumberFormat="1" applyFont="1" applyFill="1" applyBorder="1" applyAlignment="1">
      <alignment horizontal="center" vertical="center" wrapText="1"/>
    </xf>
    <xf numFmtId="180" fontId="21" fillId="3" borderId="45" xfId="1" quotePrefix="1" applyNumberFormat="1" applyFont="1" applyFill="1" applyBorder="1" applyAlignment="1">
      <alignment horizontal="center" vertical="center" wrapText="1"/>
    </xf>
    <xf numFmtId="3" fontId="21" fillId="3" borderId="73" xfId="0" quotePrefix="1" applyNumberFormat="1" applyFont="1" applyFill="1" applyBorder="1" applyAlignment="1">
      <alignment horizontal="left" vertical="center" wrapText="1"/>
    </xf>
    <xf numFmtId="0" fontId="21" fillId="3" borderId="45" xfId="0" quotePrefix="1" applyFont="1" applyFill="1" applyBorder="1" applyAlignment="1">
      <alignment vertical="top"/>
    </xf>
    <xf numFmtId="0" fontId="21" fillId="0" borderId="45" xfId="0" quotePrefix="1" applyFont="1" applyBorder="1" applyAlignment="1">
      <alignment vertical="top"/>
    </xf>
    <xf numFmtId="0" fontId="21" fillId="0" borderId="53" xfId="0" quotePrefix="1" applyFont="1" applyBorder="1" applyAlignment="1">
      <alignment vertical="top"/>
    </xf>
    <xf numFmtId="0" fontId="5" fillId="0" borderId="222" xfId="0" applyFont="1" applyBorder="1" applyAlignment="1">
      <alignment horizontal="center" vertical="center"/>
    </xf>
    <xf numFmtId="0" fontId="5" fillId="3" borderId="236" xfId="0" applyFont="1" applyFill="1" applyBorder="1" applyAlignment="1">
      <alignment horizontal="center" vertical="center"/>
    </xf>
    <xf numFmtId="0" fontId="21" fillId="14" borderId="28" xfId="0" applyFont="1" applyFill="1" applyBorder="1" applyAlignment="1">
      <alignment vertical="center" wrapText="1"/>
    </xf>
    <xf numFmtId="0" fontId="5" fillId="3" borderId="45" xfId="0" applyFont="1" applyFill="1" applyBorder="1" applyAlignment="1">
      <alignment horizontal="left" vertical="center" wrapText="1"/>
    </xf>
    <xf numFmtId="180" fontId="5" fillId="3" borderId="45" xfId="0" applyNumberFormat="1" applyFont="1" applyFill="1" applyBorder="1" applyAlignment="1">
      <alignment horizontal="left" vertical="center" wrapText="1"/>
    </xf>
    <xf numFmtId="49" fontId="5" fillId="3" borderId="45" xfId="0" applyNumberFormat="1" applyFont="1" applyFill="1" applyBorder="1" applyAlignment="1">
      <alignment horizontal="left" vertical="center" wrapText="1"/>
    </xf>
    <xf numFmtId="38" fontId="5" fillId="3" borderId="45" xfId="0" applyNumberFormat="1" applyFont="1" applyFill="1" applyBorder="1" applyAlignment="1">
      <alignment horizontal="left" vertical="center" wrapText="1"/>
    </xf>
    <xf numFmtId="185" fontId="5" fillId="3" borderId="80" xfId="0" applyNumberFormat="1" applyFont="1" applyFill="1" applyBorder="1" applyAlignment="1">
      <alignment horizontal="left" vertical="center" wrapText="1"/>
    </xf>
    <xf numFmtId="187" fontId="5" fillId="3" borderId="45" xfId="0" applyNumberFormat="1" applyFont="1" applyFill="1" applyBorder="1" applyAlignment="1">
      <alignment horizontal="left" vertical="center" wrapText="1"/>
    </xf>
    <xf numFmtId="4" fontId="5" fillId="3" borderId="45" xfId="0" applyNumberFormat="1" applyFont="1" applyFill="1" applyBorder="1" applyAlignment="1">
      <alignment horizontal="left" vertical="center" wrapText="1"/>
    </xf>
    <xf numFmtId="0" fontId="21" fillId="15" borderId="28" xfId="0" applyFont="1" applyFill="1" applyBorder="1" applyAlignment="1">
      <alignment horizontal="left" vertical="center" wrapText="1"/>
    </xf>
    <xf numFmtId="177" fontId="5" fillId="0" borderId="38" xfId="0" applyNumberFormat="1" applyFont="1" applyBorder="1" applyAlignment="1">
      <alignment vertical="top"/>
    </xf>
    <xf numFmtId="177" fontId="5" fillId="0" borderId="49" xfId="0" applyNumberFormat="1" applyFont="1" applyBorder="1" applyAlignment="1">
      <alignment horizontal="center" vertical="center"/>
    </xf>
    <xf numFmtId="0" fontId="5" fillId="0" borderId="38" xfId="0" quotePrefix="1" applyFont="1" applyBorder="1" applyAlignment="1">
      <alignment horizontal="left" vertical="top" wrapText="1"/>
    </xf>
    <xf numFmtId="177" fontId="5" fillId="0" borderId="45" xfId="0" applyNumberFormat="1" applyFont="1" applyBorder="1">
      <alignment vertical="center"/>
    </xf>
    <xf numFmtId="0" fontId="5" fillId="3" borderId="57" xfId="0" applyFont="1" applyFill="1" applyBorder="1">
      <alignment vertical="center"/>
    </xf>
    <xf numFmtId="0" fontId="5" fillId="3" borderId="45" xfId="0" applyFont="1" applyFill="1" applyBorder="1" applyAlignment="1">
      <alignment horizontal="center" vertical="center" wrapText="1"/>
    </xf>
    <xf numFmtId="3" fontId="4" fillId="2" borderId="0" xfId="0" applyNumberFormat="1" applyFont="1" applyFill="1" applyAlignment="1">
      <alignment horizontal="center" vertical="center" wrapText="1"/>
    </xf>
    <xf numFmtId="3" fontId="11" fillId="3" borderId="0" xfId="0" applyNumberFormat="1" applyFont="1" applyFill="1" applyAlignment="1">
      <alignment horizontal="center" vertical="center"/>
    </xf>
    <xf numFmtId="3" fontId="5" fillId="3" borderId="0" xfId="0" applyNumberFormat="1" applyFont="1" applyFill="1" applyAlignment="1">
      <alignment horizontal="center" vertical="center" wrapText="1"/>
    </xf>
    <xf numFmtId="0" fontId="21" fillId="3" borderId="45" xfId="1" applyNumberFormat="1" applyFont="1" applyFill="1" applyBorder="1" applyAlignment="1">
      <alignment horizontal="center" vertical="center" wrapText="1"/>
    </xf>
    <xf numFmtId="0" fontId="21" fillId="3" borderId="45" xfId="1" quotePrefix="1" applyNumberFormat="1" applyFont="1" applyFill="1" applyBorder="1" applyAlignment="1">
      <alignment horizontal="center" vertical="center" wrapText="1"/>
    </xf>
    <xf numFmtId="180" fontId="5" fillId="3" borderId="45" xfId="0" applyNumberFormat="1" applyFont="1" applyFill="1" applyBorder="1" applyAlignment="1">
      <alignment horizontal="center" vertical="center" wrapText="1"/>
    </xf>
    <xf numFmtId="38" fontId="21" fillId="3" borderId="45" xfId="1" applyNumberFormat="1" applyFont="1" applyFill="1" applyBorder="1" applyAlignment="1">
      <alignment horizontal="center" vertical="center" wrapText="1"/>
    </xf>
    <xf numFmtId="38" fontId="21" fillId="3" borderId="45" xfId="1" quotePrefix="1" applyNumberFormat="1" applyFont="1" applyFill="1" applyBorder="1" applyAlignment="1">
      <alignment horizontal="center" vertical="center" wrapText="1"/>
    </xf>
    <xf numFmtId="38" fontId="5" fillId="3" borderId="45" xfId="0" applyNumberFormat="1" applyFont="1" applyFill="1" applyBorder="1" applyAlignment="1">
      <alignment horizontal="center" vertical="center" wrapText="1"/>
    </xf>
    <xf numFmtId="38" fontId="21" fillId="3" borderId="45" xfId="0" applyNumberFormat="1" applyFont="1" applyFill="1" applyBorder="1" applyAlignment="1">
      <alignment horizontal="center" vertical="center" wrapText="1"/>
    </xf>
    <xf numFmtId="180" fontId="21" fillId="3" borderId="57" xfId="1" quotePrefix="1" applyNumberFormat="1" applyFont="1" applyFill="1" applyBorder="1" applyAlignment="1">
      <alignment horizontal="center" vertical="center" wrapText="1"/>
    </xf>
    <xf numFmtId="185" fontId="5" fillId="3" borderId="80" xfId="0" applyNumberFormat="1" applyFont="1" applyFill="1" applyBorder="1" applyAlignment="1">
      <alignment horizontal="center" vertical="center" wrapText="1"/>
    </xf>
    <xf numFmtId="185" fontId="21" fillId="3" borderId="45" xfId="1" quotePrefix="1" applyNumberFormat="1" applyFont="1" applyFill="1" applyBorder="1" applyAlignment="1">
      <alignment horizontal="center" vertical="top" wrapText="1"/>
    </xf>
    <xf numFmtId="185" fontId="21" fillId="3" borderId="45" xfId="1" applyNumberFormat="1" applyFont="1" applyFill="1" applyBorder="1" applyAlignment="1">
      <alignment horizontal="center" vertical="center" wrapText="1"/>
    </xf>
    <xf numFmtId="185" fontId="21" fillId="3" borderId="57" xfId="1" applyNumberFormat="1" applyFont="1" applyFill="1" applyBorder="1" applyAlignment="1">
      <alignment horizontal="center" vertical="center" wrapText="1"/>
    </xf>
    <xf numFmtId="0" fontId="15" fillId="15" borderId="316" xfId="0" applyFont="1" applyFill="1" applyBorder="1" applyAlignment="1">
      <alignment horizontal="center" vertical="top"/>
    </xf>
    <xf numFmtId="40" fontId="21" fillId="3" borderId="36" xfId="1" quotePrefix="1" applyNumberFormat="1" applyFont="1" applyFill="1" applyBorder="1" applyAlignment="1">
      <alignment horizontal="center" vertical="center" wrapText="1"/>
    </xf>
    <xf numFmtId="40" fontId="21" fillId="3" borderId="80" xfId="1" quotePrefix="1" applyNumberFormat="1" applyFont="1" applyFill="1" applyBorder="1" applyAlignment="1">
      <alignment horizontal="center" vertical="center" wrapText="1"/>
    </xf>
    <xf numFmtId="3" fontId="21" fillId="3" borderId="45" xfId="0" applyNumberFormat="1" applyFont="1" applyFill="1" applyBorder="1" applyAlignment="1">
      <alignment horizontal="center" vertical="center" wrapText="1"/>
    </xf>
    <xf numFmtId="40" fontId="21" fillId="3" borderId="57" xfId="1" quotePrefix="1" applyNumberFormat="1" applyFont="1" applyFill="1" applyBorder="1" applyAlignment="1">
      <alignment horizontal="center" vertical="center" wrapText="1"/>
    </xf>
    <xf numFmtId="3" fontId="21" fillId="3" borderId="80" xfId="0" applyNumberFormat="1" applyFont="1" applyFill="1" applyBorder="1" applyAlignment="1">
      <alignment horizontal="center" vertical="center" wrapText="1"/>
    </xf>
    <xf numFmtId="0" fontId="21" fillId="15" borderId="28" xfId="0" applyFont="1" applyFill="1" applyBorder="1" applyAlignment="1">
      <alignment horizontal="center" vertical="center" wrapText="1"/>
    </xf>
    <xf numFmtId="40" fontId="21" fillId="3" borderId="80" xfId="1" quotePrefix="1" applyNumberFormat="1" applyFont="1" applyFill="1" applyBorder="1" applyAlignment="1">
      <alignment horizontal="center" vertical="top" wrapText="1"/>
    </xf>
    <xf numFmtId="3" fontId="21" fillId="3" borderId="45" xfId="0" quotePrefix="1" applyNumberFormat="1" applyFont="1" applyFill="1" applyBorder="1" applyAlignment="1">
      <alignment horizontal="center" vertical="center" wrapText="1"/>
    </xf>
    <xf numFmtId="3" fontId="21" fillId="3" borderId="57" xfId="0" quotePrefix="1" applyNumberFormat="1" applyFont="1" applyFill="1" applyBorder="1" applyAlignment="1">
      <alignment horizontal="center" vertical="center" wrapText="1"/>
    </xf>
    <xf numFmtId="40" fontId="21" fillId="3" borderId="80" xfId="1" quotePrefix="1" applyNumberFormat="1" applyFont="1" applyFill="1" applyBorder="1" applyAlignment="1">
      <alignment horizontal="center" vertical="center"/>
    </xf>
    <xf numFmtId="3" fontId="21" fillId="3" borderId="80" xfId="0" quotePrefix="1" applyNumberFormat="1" applyFont="1" applyFill="1" applyBorder="1" applyAlignment="1">
      <alignment horizontal="center" vertical="center" wrapText="1"/>
    </xf>
    <xf numFmtId="3" fontId="21" fillId="3" borderId="53" xfId="0" quotePrefix="1" applyNumberFormat="1" applyFont="1" applyFill="1" applyBorder="1" applyAlignment="1">
      <alignment horizontal="center" vertical="center" wrapText="1"/>
    </xf>
    <xf numFmtId="40" fontId="21" fillId="3" borderId="45" xfId="1" quotePrefix="1" applyNumberFormat="1" applyFont="1" applyFill="1" applyBorder="1" applyAlignment="1">
      <alignment horizontal="center" vertical="top" wrapText="1"/>
    </xf>
    <xf numFmtId="178" fontId="21" fillId="3" borderId="45" xfId="0" quotePrefix="1" applyNumberFormat="1" applyFont="1" applyFill="1" applyBorder="1" applyAlignment="1">
      <alignment horizontal="center" vertical="center"/>
    </xf>
    <xf numFmtId="38" fontId="21" fillId="3" borderId="80" xfId="1" quotePrefix="1" applyNumberFormat="1" applyFont="1" applyFill="1" applyBorder="1" applyAlignment="1">
      <alignment horizontal="center" vertical="center" wrapText="1"/>
    </xf>
    <xf numFmtId="38" fontId="21" fillId="3" borderId="80" xfId="1" applyNumberFormat="1" applyFont="1" applyFill="1" applyBorder="1" applyAlignment="1">
      <alignment horizontal="center" vertical="center" wrapText="1"/>
    </xf>
    <xf numFmtId="178" fontId="21" fillId="3" borderId="64" xfId="8" applyNumberFormat="1" applyFont="1" applyFill="1" applyBorder="1" applyAlignment="1">
      <alignment horizontal="center" vertical="center" wrapText="1"/>
    </xf>
    <xf numFmtId="178" fontId="21" fillId="3" borderId="80" xfId="1" quotePrefix="1" applyNumberFormat="1" applyFont="1" applyFill="1" applyBorder="1" applyAlignment="1">
      <alignment horizontal="center" vertical="top" wrapText="1"/>
    </xf>
    <xf numFmtId="185" fontId="21" fillId="3" borderId="80" xfId="1" quotePrefix="1" applyNumberFormat="1" applyFont="1" applyFill="1" applyBorder="1" applyAlignment="1">
      <alignment horizontal="center" vertical="center" wrapText="1"/>
    </xf>
    <xf numFmtId="3" fontId="21" fillId="3" borderId="37" xfId="0" quotePrefix="1" applyNumberFormat="1" applyFont="1" applyFill="1" applyBorder="1" applyAlignment="1">
      <alignment horizontal="center" vertical="center" wrapText="1"/>
    </xf>
    <xf numFmtId="185" fontId="21" fillId="3" borderId="57" xfId="0" applyNumberFormat="1" applyFont="1" applyFill="1" applyBorder="1" applyAlignment="1">
      <alignment horizontal="center" vertical="center" wrapText="1"/>
    </xf>
    <xf numFmtId="3" fontId="21" fillId="3" borderId="34" xfId="0" quotePrefix="1" applyNumberFormat="1" applyFont="1" applyFill="1" applyBorder="1" applyAlignment="1">
      <alignment horizontal="center" vertical="center" wrapText="1"/>
    </xf>
    <xf numFmtId="3" fontId="21" fillId="3" borderId="43" xfId="0" quotePrefix="1" applyNumberFormat="1" applyFont="1" applyFill="1" applyBorder="1" applyAlignment="1">
      <alignment horizontal="center" vertical="center" wrapText="1"/>
    </xf>
    <xf numFmtId="178" fontId="21" fillId="3" borderId="45" xfId="0" applyNumberFormat="1" applyFont="1" applyFill="1" applyBorder="1" applyAlignment="1">
      <alignment horizontal="center" vertical="center" wrapText="1"/>
    </xf>
    <xf numFmtId="9" fontId="21" fillId="4" borderId="38" xfId="1" quotePrefix="1" applyNumberFormat="1" applyFont="1" applyFill="1" applyBorder="1" applyAlignment="1">
      <alignment horizontal="left" vertical="center" wrapText="1"/>
    </xf>
    <xf numFmtId="0" fontId="5" fillId="48" borderId="43" xfId="0" quotePrefix="1" applyFont="1" applyFill="1" applyBorder="1" applyAlignment="1">
      <alignment horizontal="center" vertical="center"/>
    </xf>
    <xf numFmtId="0" fontId="5" fillId="48" borderId="43" xfId="0" applyFont="1" applyFill="1" applyBorder="1" applyAlignment="1">
      <alignment horizontal="center" vertical="center"/>
    </xf>
    <xf numFmtId="177" fontId="0" fillId="15" borderId="302" xfId="0" quotePrefix="1" applyNumberFormat="1" applyFill="1" applyBorder="1">
      <alignment vertical="center"/>
    </xf>
    <xf numFmtId="40" fontId="21" fillId="3" borderId="73" xfId="1" quotePrefix="1" applyNumberFormat="1" applyFont="1" applyFill="1" applyBorder="1" applyAlignment="1">
      <alignment horizontal="center" vertical="center" wrapText="1"/>
    </xf>
    <xf numFmtId="40" fontId="21" fillId="3" borderId="95" xfId="1" quotePrefix="1" applyNumberFormat="1" applyFont="1" applyFill="1" applyBorder="1" applyAlignment="1">
      <alignment horizontal="left" vertical="center" wrapText="1"/>
    </xf>
    <xf numFmtId="0" fontId="0" fillId="3" borderId="45" xfId="0" applyFill="1" applyBorder="1" applyAlignment="1">
      <alignment horizontal="left" vertical="top"/>
    </xf>
    <xf numFmtId="177" fontId="11" fillId="0" borderId="43" xfId="0" quotePrefix="1" applyNumberFormat="1" applyFont="1" applyBorder="1" applyAlignment="1">
      <alignment horizontal="center" vertical="center"/>
    </xf>
    <xf numFmtId="178" fontId="20" fillId="3" borderId="80" xfId="1" quotePrefix="1" applyNumberFormat="1" applyFont="1" applyFill="1" applyBorder="1" applyAlignment="1">
      <alignment horizontal="left" vertical="top" wrapText="1"/>
    </xf>
    <xf numFmtId="178" fontId="21" fillId="32" borderId="80" xfId="1" quotePrefix="1" applyNumberFormat="1" applyFont="1" applyFill="1" applyBorder="1" applyAlignment="1">
      <alignment horizontal="left" vertical="top" wrapText="1"/>
    </xf>
    <xf numFmtId="3" fontId="21" fillId="55" borderId="45" xfId="0" quotePrefix="1" applyNumberFormat="1" applyFont="1" applyFill="1" applyBorder="1" applyAlignment="1">
      <alignment horizontal="left" vertical="center" wrapText="1"/>
    </xf>
    <xf numFmtId="3" fontId="21" fillId="55" borderId="80" xfId="0" quotePrefix="1" applyNumberFormat="1" applyFont="1" applyFill="1" applyBorder="1" applyAlignment="1">
      <alignment horizontal="left" vertical="center" wrapText="1"/>
    </xf>
    <xf numFmtId="177" fontId="5" fillId="0" borderId="302" xfId="0" quotePrefix="1" applyNumberFormat="1" applyFont="1" applyBorder="1">
      <alignment vertical="center"/>
    </xf>
    <xf numFmtId="0" fontId="5" fillId="48" borderId="45" xfId="0" applyFont="1" applyFill="1" applyBorder="1" applyAlignment="1">
      <alignment vertical="top"/>
    </xf>
    <xf numFmtId="3" fontId="5" fillId="48" borderId="43" xfId="0" applyNumberFormat="1" applyFont="1" applyFill="1" applyBorder="1" applyAlignment="1">
      <alignment horizontal="center" vertical="center"/>
    </xf>
    <xf numFmtId="40" fontId="21" fillId="48" borderId="45" xfId="1" quotePrefix="1" applyNumberFormat="1" applyFont="1" applyFill="1" applyBorder="1" applyAlignment="1">
      <alignment horizontal="center" vertical="center" wrapText="1"/>
    </xf>
    <xf numFmtId="0" fontId="5" fillId="48" borderId="38" xfId="0" applyFont="1" applyFill="1" applyBorder="1" applyAlignment="1">
      <alignment vertical="top"/>
    </xf>
    <xf numFmtId="0" fontId="0" fillId="48" borderId="38" xfId="0" applyFill="1" applyBorder="1" applyAlignment="1">
      <alignment vertical="top"/>
    </xf>
    <xf numFmtId="0" fontId="5" fillId="49" borderId="43" xfId="0" applyFont="1" applyFill="1" applyBorder="1" applyAlignment="1">
      <alignment horizontal="center" vertical="center"/>
    </xf>
    <xf numFmtId="40" fontId="21" fillId="49" borderId="45" xfId="1" quotePrefix="1" applyNumberFormat="1" applyFont="1" applyFill="1" applyBorder="1" applyAlignment="1">
      <alignment horizontal="center" vertical="center" wrapText="1"/>
    </xf>
    <xf numFmtId="177" fontId="15" fillId="58" borderId="42" xfId="0" quotePrefix="1" applyNumberFormat="1" applyFont="1" applyFill="1" applyBorder="1">
      <alignment vertical="center"/>
    </xf>
    <xf numFmtId="0" fontId="15" fillId="52" borderId="43" xfId="0" applyFont="1" applyFill="1" applyBorder="1" applyAlignment="1">
      <alignment horizontal="center" vertical="center"/>
    </xf>
    <xf numFmtId="0" fontId="15" fillId="52" borderId="38" xfId="0" applyFont="1" applyFill="1" applyBorder="1" applyAlignment="1">
      <alignment vertical="top"/>
    </xf>
    <xf numFmtId="3" fontId="15" fillId="52" borderId="38" xfId="0" applyNumberFormat="1" applyFont="1" applyFill="1" applyBorder="1" applyAlignment="1">
      <alignment vertical="center" wrapText="1"/>
    </xf>
    <xf numFmtId="177" fontId="15" fillId="58" borderId="45" xfId="0" quotePrefix="1" applyNumberFormat="1" applyFont="1" applyFill="1" applyBorder="1" applyAlignment="1">
      <alignment horizontal="center" vertical="center"/>
    </xf>
    <xf numFmtId="177" fontId="15" fillId="58" borderId="45" xfId="0" quotePrefix="1" applyNumberFormat="1" applyFont="1" applyFill="1" applyBorder="1" applyAlignment="1">
      <alignment horizontal="left" vertical="center"/>
    </xf>
    <xf numFmtId="0" fontId="5" fillId="52" borderId="45" xfId="0" applyFont="1" applyFill="1" applyBorder="1" applyAlignment="1">
      <alignment horizontal="left" vertical="top" wrapText="1"/>
    </xf>
    <xf numFmtId="0" fontId="16" fillId="7" borderId="331" xfId="0" applyFont="1" applyFill="1" applyBorder="1" applyAlignment="1">
      <alignment horizontal="center" vertical="center" wrapText="1"/>
    </xf>
    <xf numFmtId="0" fontId="4" fillId="6" borderId="332" xfId="0" applyFont="1" applyFill="1" applyBorder="1" applyAlignment="1">
      <alignment horizontal="center" vertical="center"/>
    </xf>
    <xf numFmtId="0" fontId="4" fillId="7" borderId="334" xfId="0" applyFont="1" applyFill="1" applyBorder="1" applyAlignment="1">
      <alignment horizontal="center" vertical="center" wrapText="1"/>
    </xf>
    <xf numFmtId="0" fontId="4" fillId="7" borderId="335" xfId="0" applyFont="1" applyFill="1" applyBorder="1" applyAlignment="1">
      <alignment horizontal="center" vertical="center" wrapText="1"/>
    </xf>
    <xf numFmtId="0" fontId="26" fillId="7" borderId="0" xfId="0" applyFont="1" applyFill="1" applyAlignment="1">
      <alignment horizontal="center" vertical="center" wrapText="1"/>
    </xf>
    <xf numFmtId="0" fontId="26" fillId="7" borderId="0" xfId="0" applyFont="1" applyFill="1" applyAlignment="1">
      <alignment horizontal="left" vertical="center" wrapText="1"/>
    </xf>
    <xf numFmtId="0" fontId="16" fillId="8" borderId="0" xfId="0" applyFont="1" applyFill="1" applyAlignment="1">
      <alignment horizontal="center" vertical="center" wrapText="1"/>
    </xf>
    <xf numFmtId="3" fontId="5" fillId="0" borderId="37" xfId="0" applyNumberFormat="1" applyFont="1" applyBorder="1" applyAlignment="1">
      <alignment vertical="top"/>
    </xf>
    <xf numFmtId="3" fontId="5" fillId="4" borderId="37" xfId="0" applyNumberFormat="1" applyFont="1" applyFill="1" applyBorder="1">
      <alignment vertical="center"/>
    </xf>
    <xf numFmtId="0" fontId="19" fillId="11" borderId="244" xfId="0" applyFont="1" applyFill="1" applyBorder="1" applyAlignment="1">
      <alignment horizontal="left" vertical="center"/>
    </xf>
    <xf numFmtId="0" fontId="15" fillId="11" borderId="245" xfId="0" applyFont="1" applyFill="1" applyBorder="1" applyAlignment="1">
      <alignment horizontal="left" vertical="center"/>
    </xf>
    <xf numFmtId="0" fontId="15" fillId="12" borderId="245" xfId="0" applyFont="1" applyFill="1" applyBorder="1" applyAlignment="1">
      <alignment horizontal="center" vertical="center"/>
    </xf>
    <xf numFmtId="0" fontId="19" fillId="11" borderId="245" xfId="0" applyFont="1" applyFill="1" applyBorder="1" applyAlignment="1">
      <alignment horizontal="left" vertical="center"/>
    </xf>
    <xf numFmtId="0" fontId="15" fillId="11" borderId="245" xfId="0" applyFont="1" applyFill="1" applyBorder="1" applyAlignment="1">
      <alignment horizontal="left" vertical="top"/>
    </xf>
    <xf numFmtId="3" fontId="15" fillId="12" borderId="245" xfId="0" applyNumberFormat="1" applyFont="1" applyFill="1" applyBorder="1" applyAlignment="1">
      <alignment horizontal="center" vertical="center"/>
    </xf>
    <xf numFmtId="3" fontId="15" fillId="12" borderId="245" xfId="0" applyNumberFormat="1" applyFont="1" applyFill="1" applyBorder="1" applyAlignment="1">
      <alignment horizontal="left" vertical="center"/>
    </xf>
    <xf numFmtId="0" fontId="15" fillId="12" borderId="245" xfId="0" applyFont="1" applyFill="1" applyBorder="1" applyAlignment="1">
      <alignment horizontal="left" vertical="center" wrapText="1"/>
    </xf>
    <xf numFmtId="0" fontId="10" fillId="12" borderId="245" xfId="0" applyFont="1" applyFill="1" applyBorder="1" applyAlignment="1">
      <alignment horizontal="center" vertical="center"/>
    </xf>
    <xf numFmtId="0" fontId="10" fillId="13" borderId="245" xfId="2" applyFont="1" applyFill="1" applyBorder="1" applyAlignment="1">
      <alignment horizontal="center" vertical="center" wrapText="1"/>
    </xf>
    <xf numFmtId="0" fontId="10" fillId="13" borderId="246" xfId="2" applyFont="1" applyFill="1" applyBorder="1" applyAlignment="1">
      <alignment horizontal="center" vertical="center" wrapText="1"/>
    </xf>
    <xf numFmtId="177" fontId="15" fillId="58" borderId="338" xfId="0" quotePrefix="1" applyNumberFormat="1" applyFont="1" applyFill="1" applyBorder="1">
      <alignment vertical="center"/>
    </xf>
    <xf numFmtId="177" fontId="15" fillId="58" borderId="339" xfId="0" quotePrefix="1" applyNumberFormat="1" applyFont="1" applyFill="1" applyBorder="1">
      <alignment vertical="center"/>
    </xf>
    <xf numFmtId="177" fontId="15" fillId="58" borderId="339" xfId="0" quotePrefix="1" applyNumberFormat="1" applyFont="1" applyFill="1" applyBorder="1" applyAlignment="1">
      <alignment horizontal="center" vertical="center"/>
    </xf>
    <xf numFmtId="177" fontId="15" fillId="58" borderId="339" xfId="0" quotePrefix="1" applyNumberFormat="1" applyFont="1" applyFill="1" applyBorder="1" applyAlignment="1">
      <alignment horizontal="left" vertical="center"/>
    </xf>
    <xf numFmtId="3" fontId="5" fillId="58" borderId="340" xfId="0" applyNumberFormat="1" applyFont="1" applyFill="1" applyBorder="1" applyAlignment="1">
      <alignment vertical="top"/>
    </xf>
    <xf numFmtId="0" fontId="5" fillId="48" borderId="42" xfId="0" applyFont="1" applyFill="1" applyBorder="1" applyAlignment="1">
      <alignment horizontal="center" vertical="center"/>
    </xf>
    <xf numFmtId="0" fontId="5" fillId="48" borderId="42" xfId="0" applyFont="1" applyFill="1" applyBorder="1" applyAlignment="1">
      <alignment vertical="top"/>
    </xf>
    <xf numFmtId="3" fontId="5" fillId="48" borderId="42" xfId="0" applyNumberFormat="1" applyFont="1" applyFill="1" applyBorder="1" applyAlignment="1">
      <alignment horizontal="center" vertical="center"/>
    </xf>
    <xf numFmtId="0" fontId="0" fillId="48" borderId="42" xfId="0" applyFill="1" applyBorder="1" applyAlignment="1">
      <alignment vertical="top"/>
    </xf>
    <xf numFmtId="0" fontId="5" fillId="49" borderId="42" xfId="0" applyFont="1" applyFill="1" applyBorder="1" applyAlignment="1">
      <alignment vertical="top"/>
    </xf>
    <xf numFmtId="0" fontId="0" fillId="49" borderId="42" xfId="0" applyFill="1" applyBorder="1" applyAlignment="1">
      <alignment vertical="top"/>
    </xf>
    <xf numFmtId="3" fontId="5" fillId="49" borderId="42" xfId="0" applyNumberFormat="1" applyFont="1" applyFill="1" applyBorder="1" applyAlignment="1">
      <alignment horizontal="center" vertical="center"/>
    </xf>
    <xf numFmtId="177" fontId="0" fillId="49" borderId="42" xfId="0" applyNumberFormat="1" applyFill="1" applyBorder="1" applyAlignment="1">
      <alignment vertical="top"/>
    </xf>
    <xf numFmtId="40" fontId="21" fillId="49" borderId="42" xfId="1" quotePrefix="1" applyNumberFormat="1" applyFont="1" applyFill="1" applyBorder="1" applyAlignment="1">
      <alignment horizontal="left" vertical="center" wrapText="1"/>
    </xf>
    <xf numFmtId="181" fontId="4" fillId="2" borderId="0" xfId="0" applyNumberFormat="1" applyFont="1" applyFill="1" applyAlignment="1">
      <alignment vertical="center" wrapText="1"/>
    </xf>
    <xf numFmtId="181" fontId="5" fillId="0" borderId="0" xfId="0" applyNumberFormat="1" applyFont="1">
      <alignment vertical="center"/>
    </xf>
    <xf numFmtId="181" fontId="11" fillId="3" borderId="0" xfId="0" applyNumberFormat="1" applyFont="1" applyFill="1">
      <alignment vertical="center"/>
    </xf>
    <xf numFmtId="181" fontId="5" fillId="0" borderId="0" xfId="0" applyNumberFormat="1" applyFont="1" applyAlignment="1">
      <alignment horizontal="left" vertical="center"/>
    </xf>
    <xf numFmtId="181" fontId="5" fillId="0" borderId="0" xfId="0" applyNumberFormat="1" applyFont="1" applyAlignment="1">
      <alignment vertical="center" wrapText="1"/>
    </xf>
    <xf numFmtId="181" fontId="4" fillId="7" borderId="333" xfId="0" applyNumberFormat="1" applyFont="1" applyFill="1" applyBorder="1" applyAlignment="1">
      <alignment horizontal="center" vertical="center" wrapText="1"/>
    </xf>
    <xf numFmtId="181" fontId="15" fillId="12" borderId="244" xfId="0" applyNumberFormat="1" applyFont="1" applyFill="1" applyBorder="1" applyAlignment="1">
      <alignment horizontal="center" vertical="center"/>
    </xf>
    <xf numFmtId="181" fontId="15" fillId="58" borderId="339" xfId="0" quotePrefix="1" applyNumberFormat="1" applyFont="1" applyFill="1" applyBorder="1">
      <alignment vertical="center"/>
    </xf>
    <xf numFmtId="181" fontId="21" fillId="32" borderId="303" xfId="1" applyNumberFormat="1" applyFont="1" applyFill="1" applyBorder="1" applyAlignment="1">
      <alignment horizontal="right" vertical="center" wrapText="1"/>
    </xf>
    <xf numFmtId="181" fontId="5" fillId="32" borderId="219" xfId="0" quotePrefix="1" applyNumberFormat="1" applyFont="1" applyFill="1" applyBorder="1" applyAlignment="1">
      <alignment horizontal="right" vertical="center" wrapText="1"/>
    </xf>
    <xf numFmtId="181" fontId="5" fillId="4" borderId="219" xfId="0" applyNumberFormat="1" applyFont="1" applyFill="1" applyBorder="1" applyAlignment="1">
      <alignment vertical="center" wrapText="1"/>
    </xf>
    <xf numFmtId="181" fontId="21" fillId="4" borderId="219" xfId="0" applyNumberFormat="1" applyFont="1" applyFill="1" applyBorder="1" applyAlignment="1">
      <alignment vertical="center" wrapText="1"/>
    </xf>
    <xf numFmtId="181" fontId="21" fillId="4" borderId="303" xfId="1" quotePrefix="1" applyNumberFormat="1" applyFont="1" applyFill="1" applyBorder="1" applyAlignment="1">
      <alignment horizontal="right" vertical="center" wrapText="1"/>
    </xf>
    <xf numFmtId="181" fontId="5" fillId="32" borderId="219" xfId="0" applyNumberFormat="1" applyFont="1" applyFill="1" applyBorder="1" applyAlignment="1">
      <alignment vertical="center" wrapText="1"/>
    </xf>
    <xf numFmtId="181" fontId="5" fillId="32" borderId="219" xfId="0" applyNumberFormat="1" applyFont="1" applyFill="1" applyBorder="1" applyAlignment="1">
      <alignment horizontal="right" vertical="center" wrapText="1"/>
    </xf>
    <xf numFmtId="181" fontId="21" fillId="32" borderId="303" xfId="1" quotePrefix="1" applyNumberFormat="1" applyFont="1" applyFill="1" applyBorder="1" applyAlignment="1">
      <alignment horizontal="right" vertical="center" wrapText="1"/>
    </xf>
    <xf numFmtId="181" fontId="21" fillId="49" borderId="42" xfId="1" quotePrefix="1" applyNumberFormat="1" applyFont="1" applyFill="1" applyBorder="1" applyAlignment="1">
      <alignment horizontal="right" vertical="center" wrapText="1"/>
    </xf>
    <xf numFmtId="181" fontId="21" fillId="32" borderId="219" xfId="8" applyNumberFormat="1" applyFont="1" applyFill="1" applyBorder="1" applyAlignment="1">
      <alignment vertical="center" wrapText="1"/>
    </xf>
    <xf numFmtId="181" fontId="15" fillId="58" borderId="42" xfId="0" quotePrefix="1" applyNumberFormat="1" applyFont="1" applyFill="1" applyBorder="1">
      <alignment vertical="center"/>
    </xf>
    <xf numFmtId="181" fontId="21" fillId="4" borderId="303" xfId="1" applyNumberFormat="1" applyFont="1" applyFill="1" applyBorder="1" applyAlignment="1">
      <alignment horizontal="right" vertical="center" wrapText="1"/>
    </xf>
    <xf numFmtId="181" fontId="21" fillId="4" borderId="314" xfId="1" quotePrefix="1" applyNumberFormat="1" applyFont="1" applyFill="1" applyBorder="1" applyAlignment="1">
      <alignment horizontal="right" vertical="center" wrapText="1"/>
    </xf>
    <xf numFmtId="181" fontId="21" fillId="5" borderId="303" xfId="1" quotePrefix="1" applyNumberFormat="1" applyFont="1" applyFill="1" applyBorder="1" applyAlignment="1">
      <alignment horizontal="right" vertical="center" wrapText="1"/>
    </xf>
    <xf numFmtId="181" fontId="21" fillId="4" borderId="219" xfId="0" quotePrefix="1" applyNumberFormat="1" applyFont="1" applyFill="1" applyBorder="1" applyAlignment="1">
      <alignment horizontal="right" vertical="center" wrapText="1"/>
    </xf>
    <xf numFmtId="181" fontId="21" fillId="4" borderId="219" xfId="8" applyNumberFormat="1" applyFont="1" applyFill="1" applyBorder="1" applyAlignment="1">
      <alignment horizontal="right" vertical="center" wrapText="1"/>
    </xf>
    <xf numFmtId="181" fontId="21" fillId="4" borderId="219" xfId="0" applyNumberFormat="1" applyFont="1" applyFill="1" applyBorder="1" applyAlignment="1">
      <alignment horizontal="right" vertical="center" wrapText="1"/>
    </xf>
    <xf numFmtId="181" fontId="21" fillId="4" borderId="221" xfId="0" quotePrefix="1" applyNumberFormat="1" applyFont="1" applyFill="1" applyBorder="1" applyAlignment="1">
      <alignment horizontal="right" vertical="center" wrapText="1"/>
    </xf>
    <xf numFmtId="181" fontId="15" fillId="11" borderId="315" xfId="0" applyNumberFormat="1" applyFont="1" applyFill="1" applyBorder="1" applyAlignment="1">
      <alignment horizontal="left" vertical="top"/>
    </xf>
    <xf numFmtId="181" fontId="15" fillId="14" borderId="217" xfId="0" applyNumberFormat="1" applyFont="1" applyFill="1" applyBorder="1" applyAlignment="1">
      <alignment horizontal="left" vertical="center"/>
    </xf>
    <xf numFmtId="181" fontId="5" fillId="4" borderId="219" xfId="0" quotePrefix="1" applyNumberFormat="1" applyFont="1" applyFill="1" applyBorder="1" applyAlignment="1">
      <alignment horizontal="right" vertical="center" wrapText="1"/>
    </xf>
    <xf numFmtId="181" fontId="0" fillId="4" borderId="219" xfId="0" quotePrefix="1" applyNumberFormat="1" applyFill="1" applyBorder="1" applyAlignment="1">
      <alignment horizontal="right" vertical="center" wrapText="1"/>
    </xf>
    <xf numFmtId="181" fontId="26" fillId="5" borderId="303" xfId="1" applyNumberFormat="1" applyFont="1" applyFill="1" applyBorder="1" applyAlignment="1">
      <alignment horizontal="right" vertical="center" wrapText="1"/>
    </xf>
    <xf numFmtId="181" fontId="26" fillId="5" borderId="303" xfId="1" quotePrefix="1" applyNumberFormat="1" applyFont="1" applyFill="1" applyBorder="1" applyAlignment="1">
      <alignment horizontal="right" vertical="center" wrapText="1"/>
    </xf>
    <xf numFmtId="181" fontId="21" fillId="4" borderId="297" xfId="1" quotePrefix="1" applyNumberFormat="1" applyFont="1" applyFill="1" applyBorder="1" applyAlignment="1">
      <alignment horizontal="right" vertical="center" wrapText="1"/>
    </xf>
    <xf numFmtId="181" fontId="21" fillId="14" borderId="217" xfId="0" applyNumberFormat="1" applyFont="1" applyFill="1" applyBorder="1" applyAlignment="1">
      <alignment horizontal="left" vertical="center"/>
    </xf>
    <xf numFmtId="181" fontId="5" fillId="4" borderId="303" xfId="1" quotePrefix="1" applyNumberFormat="1" applyFont="1" applyFill="1" applyBorder="1" applyAlignment="1">
      <alignment horizontal="right" vertical="center" wrapText="1"/>
    </xf>
    <xf numFmtId="181" fontId="21" fillId="4" borderId="219" xfId="0" applyNumberFormat="1" applyFont="1" applyFill="1" applyBorder="1" applyAlignment="1">
      <alignment horizontal="right" vertical="top" wrapText="1"/>
    </xf>
    <xf numFmtId="181" fontId="5" fillId="4" borderId="303" xfId="1" applyNumberFormat="1" applyFont="1" applyFill="1" applyBorder="1" applyAlignment="1">
      <alignment horizontal="right" vertical="center" wrapText="1"/>
    </xf>
    <xf numFmtId="181" fontId="21" fillId="43" borderId="303" xfId="1" quotePrefix="1" applyNumberFormat="1" applyFont="1" applyFill="1" applyBorder="1" applyAlignment="1">
      <alignment horizontal="right" vertical="center" wrapText="1"/>
    </xf>
    <xf numFmtId="181" fontId="21" fillId="4" borderId="219" xfId="0" quotePrefix="1" applyNumberFormat="1" applyFont="1" applyFill="1" applyBorder="1" applyAlignment="1">
      <alignment horizontal="right" vertical="top" wrapText="1"/>
    </xf>
    <xf numFmtId="181" fontId="21" fillId="43" borderId="219" xfId="0" applyNumberFormat="1" applyFont="1" applyFill="1" applyBorder="1" applyAlignment="1">
      <alignment vertical="center" wrapText="1"/>
    </xf>
    <xf numFmtId="181" fontId="15" fillId="19" borderId="326" xfId="0" quotePrefix="1" applyNumberFormat="1" applyFont="1" applyFill="1" applyBorder="1">
      <alignment vertical="center"/>
    </xf>
    <xf numFmtId="181" fontId="21" fillId="14" borderId="217" xfId="0" applyNumberFormat="1" applyFont="1" applyFill="1" applyBorder="1" applyAlignment="1">
      <alignment vertical="center" wrapText="1"/>
    </xf>
    <xf numFmtId="181" fontId="21" fillId="32" borderId="297" xfId="1" quotePrefix="1" applyNumberFormat="1" applyFont="1" applyFill="1" applyBorder="1" applyAlignment="1">
      <alignment horizontal="right" vertical="center" wrapText="1"/>
    </xf>
    <xf numFmtId="181" fontId="21" fillId="32" borderId="219" xfId="0" applyNumberFormat="1" applyFont="1" applyFill="1" applyBorder="1" applyAlignment="1">
      <alignment horizontal="right" vertical="top" wrapText="1"/>
    </xf>
    <xf numFmtId="181" fontId="21" fillId="21" borderId="219" xfId="0" applyNumberFormat="1" applyFont="1" applyFill="1" applyBorder="1" applyAlignment="1">
      <alignment horizontal="right" vertical="center" wrapText="1"/>
    </xf>
    <xf numFmtId="181" fontId="21" fillId="5" borderId="80" xfId="1" quotePrefix="1" applyNumberFormat="1" applyFont="1" applyFill="1" applyBorder="1" applyAlignment="1">
      <alignment horizontal="right" vertical="center" wrapText="1"/>
    </xf>
    <xf numFmtId="181" fontId="20" fillId="21" borderId="219" xfId="0" applyNumberFormat="1" applyFont="1" applyFill="1" applyBorder="1" applyAlignment="1">
      <alignment vertical="center" wrapText="1"/>
    </xf>
    <xf numFmtId="181" fontId="21" fillId="21" borderId="219" xfId="0" applyNumberFormat="1" applyFont="1" applyFill="1" applyBorder="1" applyAlignment="1">
      <alignment vertical="center" wrapText="1"/>
    </xf>
    <xf numFmtId="181" fontId="20" fillId="4" borderId="303" xfId="1" quotePrefix="1" applyNumberFormat="1" applyFont="1" applyFill="1" applyBorder="1" applyAlignment="1">
      <alignment horizontal="right" vertical="center" wrapText="1"/>
    </xf>
    <xf numFmtId="181" fontId="21" fillId="4" borderId="235" xfId="0" applyNumberFormat="1" applyFont="1" applyFill="1" applyBorder="1" applyAlignment="1">
      <alignment vertical="center" wrapText="1"/>
    </xf>
    <xf numFmtId="181" fontId="15" fillId="11" borderId="225" xfId="0" applyNumberFormat="1" applyFont="1" applyFill="1" applyBorder="1" applyAlignment="1">
      <alignment horizontal="left" vertical="top"/>
    </xf>
    <xf numFmtId="181" fontId="21" fillId="4" borderId="219" xfId="1" applyNumberFormat="1" applyFont="1" applyFill="1" applyBorder="1" applyAlignment="1">
      <alignment vertical="center" wrapText="1"/>
    </xf>
    <xf numFmtId="181" fontId="21" fillId="4" borderId="219" xfId="8" applyNumberFormat="1" applyFont="1" applyFill="1" applyBorder="1" applyAlignment="1">
      <alignment vertical="center" wrapText="1"/>
    </xf>
    <xf numFmtId="181" fontId="21" fillId="4" borderId="303" xfId="8" applyNumberFormat="1" applyFont="1" applyFill="1" applyBorder="1" applyAlignment="1">
      <alignment horizontal="right" vertical="center" wrapText="1"/>
    </xf>
    <xf numFmtId="181" fontId="21" fillId="4" borderId="37" xfId="8" applyNumberFormat="1" applyFont="1" applyFill="1" applyBorder="1" applyAlignment="1">
      <alignment horizontal="right" vertical="top" wrapText="1"/>
    </xf>
    <xf numFmtId="181" fontId="21" fillId="32" borderId="303" xfId="8" applyNumberFormat="1" applyFont="1" applyFill="1" applyBorder="1" applyAlignment="1">
      <alignment horizontal="right" vertical="center" wrapText="1"/>
    </xf>
    <xf numFmtId="181" fontId="15" fillId="19" borderId="42" xfId="0" quotePrefix="1" applyNumberFormat="1" applyFont="1" applyFill="1" applyBorder="1">
      <alignment vertical="center"/>
    </xf>
    <xf numFmtId="181" fontId="21" fillId="4" borderId="219" xfId="1" applyNumberFormat="1" applyFont="1" applyFill="1" applyBorder="1" applyAlignment="1">
      <alignment horizontal="right" vertical="center" wrapText="1"/>
    </xf>
    <xf numFmtId="181" fontId="21" fillId="4" borderId="219" xfId="8" quotePrefix="1" applyNumberFormat="1" applyFont="1" applyFill="1" applyBorder="1" applyAlignment="1">
      <alignment horizontal="right" vertical="center" wrapText="1"/>
    </xf>
    <xf numFmtId="181" fontId="15" fillId="19" borderId="297" xfId="0" quotePrefix="1" applyNumberFormat="1" applyFont="1" applyFill="1" applyBorder="1">
      <alignment vertical="center"/>
    </xf>
    <xf numFmtId="181" fontId="21" fillId="4" borderId="219" xfId="1" quotePrefix="1" applyNumberFormat="1" applyFont="1" applyFill="1" applyBorder="1" applyAlignment="1">
      <alignment horizontal="right" vertical="center" wrapText="1"/>
    </xf>
    <xf numFmtId="181" fontId="15" fillId="19" borderId="33" xfId="0" quotePrefix="1" applyNumberFormat="1" applyFont="1" applyFill="1" applyBorder="1">
      <alignment vertical="center"/>
    </xf>
    <xf numFmtId="181" fontId="21" fillId="32" borderId="219" xfId="0" applyNumberFormat="1" applyFont="1" applyFill="1" applyBorder="1" applyAlignment="1">
      <alignment vertical="center" wrapText="1"/>
    </xf>
    <xf numFmtId="181" fontId="20" fillId="21" borderId="219" xfId="8" applyNumberFormat="1" applyFont="1" applyFill="1" applyBorder="1" applyAlignment="1">
      <alignment vertical="center" wrapText="1"/>
    </xf>
    <xf numFmtId="181" fontId="5" fillId="4" borderId="219" xfId="8" applyNumberFormat="1" applyFont="1" applyFill="1" applyBorder="1" applyAlignment="1">
      <alignment vertical="center" wrapText="1"/>
    </xf>
    <xf numFmtId="181" fontId="5" fillId="4" borderId="219" xfId="1" applyNumberFormat="1" applyFont="1" applyFill="1" applyBorder="1" applyAlignment="1">
      <alignment vertical="center" wrapText="1"/>
    </xf>
    <xf numFmtId="181" fontId="5" fillId="43" borderId="219" xfId="1" applyNumberFormat="1" applyFont="1" applyFill="1" applyBorder="1" applyAlignment="1">
      <alignment horizontal="right" vertical="center" wrapText="1"/>
    </xf>
    <xf numFmtId="181" fontId="5" fillId="43" borderId="219" xfId="1" applyNumberFormat="1" applyFont="1" applyFill="1" applyBorder="1" applyAlignment="1">
      <alignment vertical="center" wrapText="1"/>
    </xf>
    <xf numFmtId="181" fontId="21" fillId="4" borderId="221" xfId="0" applyNumberFormat="1" applyFont="1" applyFill="1" applyBorder="1" applyAlignment="1">
      <alignment vertical="center" wrapText="1"/>
    </xf>
    <xf numFmtId="181" fontId="21" fillId="4" borderId="45" xfId="0" applyNumberFormat="1" applyFont="1" applyFill="1" applyBorder="1" applyAlignment="1">
      <alignment vertical="center" wrapText="1"/>
    </xf>
    <xf numFmtId="181" fontId="21" fillId="14" borderId="217" xfId="0" applyNumberFormat="1" applyFont="1" applyFill="1" applyBorder="1" applyAlignment="1">
      <alignment horizontal="right" vertical="center"/>
    </xf>
    <xf numFmtId="181" fontId="21" fillId="19" borderId="219" xfId="0" applyNumberFormat="1" applyFont="1" applyFill="1" applyBorder="1" applyAlignment="1">
      <alignment horizontal="right" vertical="center"/>
    </xf>
    <xf numFmtId="181" fontId="21" fillId="4" borderId="223" xfId="0" applyNumberFormat="1" applyFont="1" applyFill="1" applyBorder="1" applyAlignment="1">
      <alignment vertical="center" wrapText="1"/>
    </xf>
    <xf numFmtId="181" fontId="5" fillId="3" borderId="0" xfId="0" applyNumberFormat="1" applyFont="1" applyFill="1" applyAlignment="1">
      <alignment horizontal="right" vertical="center"/>
    </xf>
    <xf numFmtId="181" fontId="5" fillId="3" borderId="0" xfId="0" applyNumberFormat="1" applyFont="1" applyFill="1" applyAlignment="1">
      <alignment horizontal="left" vertical="center"/>
    </xf>
    <xf numFmtId="181" fontId="4" fillId="2" borderId="0" xfId="0" applyNumberFormat="1" applyFont="1" applyFill="1">
      <alignment vertical="center"/>
    </xf>
    <xf numFmtId="181" fontId="5" fillId="3" borderId="0" xfId="0" applyNumberFormat="1" applyFont="1" applyFill="1">
      <alignment vertical="center"/>
    </xf>
    <xf numFmtId="181" fontId="11" fillId="3" borderId="0" xfId="0" applyNumberFormat="1" applyFont="1" applyFill="1" applyAlignment="1">
      <alignment vertical="top" wrapText="1"/>
    </xf>
    <xf numFmtId="181" fontId="4" fillId="7" borderId="334" xfId="1" applyNumberFormat="1" applyFont="1" applyFill="1" applyBorder="1" applyAlignment="1">
      <alignment horizontal="center" vertical="center" wrapText="1"/>
    </xf>
    <xf numFmtId="181" fontId="15" fillId="12" borderId="245" xfId="0" applyNumberFormat="1" applyFont="1" applyFill="1" applyBorder="1" applyAlignment="1">
      <alignment horizontal="center" vertical="center"/>
    </xf>
    <xf numFmtId="181" fontId="21" fillId="32" borderId="37" xfId="1" applyNumberFormat="1" applyFont="1" applyFill="1" applyBorder="1" applyAlignment="1">
      <alignment horizontal="right" vertical="center" wrapText="1"/>
    </xf>
    <xf numFmtId="181" fontId="5" fillId="32" borderId="38" xfId="0" quotePrefix="1" applyNumberFormat="1" applyFont="1" applyFill="1" applyBorder="1" applyAlignment="1">
      <alignment horizontal="right" vertical="center" wrapText="1"/>
    </xf>
    <xf numFmtId="181" fontId="5" fillId="4" borderId="38" xfId="0" applyNumberFormat="1" applyFont="1" applyFill="1" applyBorder="1" applyAlignment="1">
      <alignment vertical="center" wrapText="1"/>
    </xf>
    <xf numFmtId="181" fontId="21" fillId="4" borderId="38" xfId="0" applyNumberFormat="1" applyFont="1" applyFill="1" applyBorder="1" applyAlignment="1">
      <alignment vertical="center" wrapText="1"/>
    </xf>
    <xf numFmtId="181" fontId="21" fillId="4" borderId="37" xfId="1" quotePrefix="1" applyNumberFormat="1" applyFont="1" applyFill="1" applyBorder="1" applyAlignment="1">
      <alignment horizontal="right" vertical="center" wrapText="1"/>
    </xf>
    <xf numFmtId="181" fontId="21" fillId="4" borderId="44" xfId="1" quotePrefix="1" applyNumberFormat="1" applyFont="1" applyFill="1" applyBorder="1" applyAlignment="1">
      <alignment horizontal="right" vertical="center" wrapText="1"/>
    </xf>
    <xf numFmtId="181" fontId="21" fillId="32" borderId="37" xfId="1" applyNumberFormat="1" applyFont="1" applyFill="1" applyBorder="1" applyAlignment="1">
      <alignment horizontal="right" vertical="top" wrapText="1"/>
    </xf>
    <xf numFmtId="181" fontId="5" fillId="32" borderId="38" xfId="0" applyNumberFormat="1" applyFont="1" applyFill="1" applyBorder="1" applyAlignment="1">
      <alignment vertical="top" wrapText="1"/>
    </xf>
    <xf numFmtId="181" fontId="5" fillId="32" borderId="38" xfId="0" applyNumberFormat="1" applyFont="1" applyFill="1" applyBorder="1" applyAlignment="1">
      <alignment horizontal="right" vertical="center" wrapText="1"/>
    </xf>
    <xf numFmtId="181" fontId="21" fillId="32" borderId="37" xfId="1" quotePrefix="1" applyNumberFormat="1" applyFont="1" applyFill="1" applyBorder="1" applyAlignment="1">
      <alignment horizontal="right" vertical="top" wrapText="1"/>
    </xf>
    <xf numFmtId="181" fontId="21" fillId="32" borderId="37" xfId="1" quotePrefix="1" applyNumberFormat="1" applyFont="1" applyFill="1" applyBorder="1" applyAlignment="1">
      <alignment horizontal="right" vertical="center" wrapText="1"/>
    </xf>
    <xf numFmtId="181" fontId="21" fillId="32" borderId="37" xfId="8" applyNumberFormat="1" applyFont="1" applyFill="1" applyBorder="1" applyAlignment="1">
      <alignment horizontal="right" vertical="center" wrapText="1"/>
    </xf>
    <xf numFmtId="181" fontId="5" fillId="32" borderId="38" xfId="0" applyNumberFormat="1" applyFont="1" applyFill="1" applyBorder="1" applyAlignment="1">
      <alignment vertical="center" wrapText="1"/>
    </xf>
    <xf numFmtId="181" fontId="21" fillId="32" borderId="38" xfId="1" quotePrefix="1" applyNumberFormat="1" applyFont="1" applyFill="1" applyBorder="1" applyAlignment="1">
      <alignment horizontal="right" vertical="center" wrapText="1"/>
    </xf>
    <xf numFmtId="181" fontId="21" fillId="4" borderId="38" xfId="1" applyNumberFormat="1" applyFont="1" applyFill="1" applyBorder="1" applyAlignment="1">
      <alignment horizontal="right" vertical="center" wrapText="1"/>
    </xf>
    <xf numFmtId="181" fontId="21" fillId="4" borderId="38" xfId="1" quotePrefix="1" applyNumberFormat="1" applyFont="1" applyFill="1" applyBorder="1" applyAlignment="1">
      <alignment horizontal="right" vertical="center" wrapText="1"/>
    </xf>
    <xf numFmtId="181" fontId="21" fillId="4" borderId="38" xfId="0" applyNumberFormat="1" applyFont="1" applyFill="1" applyBorder="1" applyAlignment="1">
      <alignment horizontal="right" vertical="center" wrapText="1"/>
    </xf>
    <xf numFmtId="181" fontId="21" fillId="4" borderId="54" xfId="1" quotePrefix="1" applyNumberFormat="1" applyFont="1" applyFill="1" applyBorder="1" applyAlignment="1">
      <alignment horizontal="right" vertical="center" wrapText="1"/>
    </xf>
    <xf numFmtId="181" fontId="21" fillId="5" borderId="38" xfId="1" quotePrefix="1" applyNumberFormat="1" applyFont="1" applyFill="1" applyBorder="1" applyAlignment="1">
      <alignment horizontal="right" vertical="center" wrapText="1"/>
    </xf>
    <xf numFmtId="181" fontId="5" fillId="4" borderId="80" xfId="0" applyNumberFormat="1" applyFont="1" applyFill="1" applyBorder="1" applyAlignment="1">
      <alignment vertical="center" wrapText="1"/>
    </xf>
    <xf numFmtId="181" fontId="21" fillId="4" borderId="38" xfId="0" quotePrefix="1" applyNumberFormat="1" applyFont="1" applyFill="1" applyBorder="1" applyAlignment="1">
      <alignment horizontal="right" vertical="center" wrapText="1"/>
    </xf>
    <xf numFmtId="181" fontId="21" fillId="4" borderId="38" xfId="8" applyNumberFormat="1" applyFont="1" applyFill="1" applyBorder="1" applyAlignment="1">
      <alignment horizontal="right" vertical="center" wrapText="1"/>
    </xf>
    <xf numFmtId="181" fontId="21" fillId="4" borderId="54" xfId="0" quotePrefix="1" applyNumberFormat="1" applyFont="1" applyFill="1" applyBorder="1" applyAlignment="1">
      <alignment horizontal="right" vertical="center" wrapText="1"/>
    </xf>
    <xf numFmtId="181" fontId="15" fillId="11" borderId="316" xfId="0" applyNumberFormat="1" applyFont="1" applyFill="1" applyBorder="1" applyAlignment="1">
      <alignment horizontal="left" vertical="top"/>
    </xf>
    <xf numFmtId="181" fontId="15" fillId="14" borderId="28" xfId="0" applyNumberFormat="1" applyFont="1" applyFill="1" applyBorder="1" applyAlignment="1">
      <alignment horizontal="left" vertical="center"/>
    </xf>
    <xf numFmtId="181" fontId="21" fillId="5" borderId="37" xfId="1" quotePrefix="1" applyNumberFormat="1" applyFont="1" applyFill="1" applyBorder="1" applyAlignment="1">
      <alignment horizontal="right" vertical="center" wrapText="1"/>
    </xf>
    <xf numFmtId="181" fontId="5" fillId="4" borderId="38" xfId="0" applyNumberFormat="1" applyFont="1" applyFill="1" applyBorder="1" applyAlignment="1">
      <alignment horizontal="right" vertical="center" wrapText="1"/>
    </xf>
    <xf numFmtId="181" fontId="0" fillId="4" borderId="38" xfId="0" applyNumberFormat="1" applyFill="1" applyBorder="1" applyAlignment="1">
      <alignment horizontal="right" vertical="center" wrapText="1"/>
    </xf>
    <xf numFmtId="181" fontId="26" fillId="5" borderId="38" xfId="1" applyNumberFormat="1" applyFont="1" applyFill="1" applyBorder="1" applyAlignment="1">
      <alignment horizontal="right" vertical="center" wrapText="1"/>
    </xf>
    <xf numFmtId="181" fontId="0" fillId="4" borderId="38" xfId="0" applyNumberFormat="1" applyFill="1" applyBorder="1" applyAlignment="1">
      <alignment vertical="center" wrapText="1"/>
    </xf>
    <xf numFmtId="181" fontId="26" fillId="5" borderId="38" xfId="1" quotePrefix="1" applyNumberFormat="1" applyFont="1" applyFill="1" applyBorder="1" applyAlignment="1">
      <alignment horizontal="right" vertical="center" wrapText="1"/>
    </xf>
    <xf numFmtId="181" fontId="21" fillId="14" borderId="28" xfId="0" applyNumberFormat="1" applyFont="1" applyFill="1" applyBorder="1" applyAlignment="1">
      <alignment horizontal="left" vertical="center"/>
    </xf>
    <xf numFmtId="181" fontId="5" fillId="4" borderId="37" xfId="1" quotePrefix="1" applyNumberFormat="1" applyFont="1" applyFill="1" applyBorder="1" applyAlignment="1">
      <alignment horizontal="right" vertical="center" wrapText="1"/>
    </xf>
    <xf numFmtId="181" fontId="21" fillId="4" borderId="38" xfId="0" applyNumberFormat="1" applyFont="1" applyFill="1" applyBorder="1" applyAlignment="1">
      <alignment horizontal="right" vertical="top" wrapText="1"/>
    </xf>
    <xf numFmtId="181" fontId="5" fillId="4" borderId="37" xfId="1" applyNumberFormat="1" applyFont="1" applyFill="1" applyBorder="1" applyAlignment="1">
      <alignment horizontal="right" vertical="center" wrapText="1"/>
    </xf>
    <xf numFmtId="181" fontId="21" fillId="43" borderId="37" xfId="1" quotePrefix="1" applyNumberFormat="1" applyFont="1" applyFill="1" applyBorder="1" applyAlignment="1">
      <alignment horizontal="right" vertical="center" wrapText="1"/>
    </xf>
    <xf numFmtId="181" fontId="21" fillId="4" borderId="37" xfId="1" applyNumberFormat="1" applyFont="1" applyFill="1" applyBorder="1" applyAlignment="1">
      <alignment horizontal="right" vertical="center" wrapText="1"/>
    </xf>
    <xf numFmtId="181" fontId="21" fillId="4" borderId="38" xfId="0" quotePrefix="1" applyNumberFormat="1" applyFont="1" applyFill="1" applyBorder="1" applyAlignment="1">
      <alignment horizontal="right" vertical="top" wrapText="1"/>
    </xf>
    <xf numFmtId="181" fontId="21" fillId="43" borderId="38" xfId="0" applyNumberFormat="1" applyFont="1" applyFill="1" applyBorder="1" applyAlignment="1">
      <alignment vertical="center" wrapText="1"/>
    </xf>
    <xf numFmtId="181" fontId="21" fillId="43" borderId="38" xfId="1" quotePrefix="1" applyNumberFormat="1" applyFont="1" applyFill="1" applyBorder="1" applyAlignment="1">
      <alignment horizontal="right" vertical="center" wrapText="1"/>
    </xf>
    <xf numFmtId="181" fontId="21" fillId="14" borderId="28" xfId="0" applyNumberFormat="1" applyFont="1" applyFill="1" applyBorder="1" applyAlignment="1">
      <alignment vertical="center" wrapText="1"/>
    </xf>
    <xf numFmtId="181" fontId="21" fillId="32" borderId="38" xfId="0" applyNumberFormat="1" applyFont="1" applyFill="1" applyBorder="1" applyAlignment="1">
      <alignment horizontal="right" vertical="top" wrapText="1"/>
    </xf>
    <xf numFmtId="181" fontId="21" fillId="21" borderId="38" xfId="0" applyNumberFormat="1" applyFont="1" applyFill="1" applyBorder="1" applyAlignment="1">
      <alignment horizontal="right" vertical="center" wrapText="1"/>
    </xf>
    <xf numFmtId="181" fontId="20" fillId="21" borderId="38" xfId="0" quotePrefix="1" applyNumberFormat="1" applyFont="1" applyFill="1" applyBorder="1" applyAlignment="1">
      <alignment horizontal="right" vertical="center" wrapText="1"/>
    </xf>
    <xf numFmtId="181" fontId="21" fillId="21" borderId="38" xfId="0" quotePrefix="1" applyNumberFormat="1" applyFont="1" applyFill="1" applyBorder="1" applyAlignment="1">
      <alignment horizontal="right" vertical="center" wrapText="1"/>
    </xf>
    <xf numFmtId="181" fontId="21" fillId="43" borderId="38" xfId="0" quotePrefix="1" applyNumberFormat="1" applyFont="1" applyFill="1" applyBorder="1" applyAlignment="1">
      <alignment horizontal="right" vertical="center" wrapText="1"/>
    </xf>
    <xf numFmtId="181" fontId="20" fillId="4" borderId="37" xfId="1" quotePrefix="1" applyNumberFormat="1" applyFont="1" applyFill="1" applyBorder="1" applyAlignment="1">
      <alignment horizontal="right" vertical="center" wrapText="1"/>
    </xf>
    <xf numFmtId="181" fontId="20" fillId="4" borderId="38" xfId="0" quotePrefix="1" applyNumberFormat="1" applyFont="1" applyFill="1" applyBorder="1" applyAlignment="1">
      <alignment horizontal="right" vertical="center" wrapText="1"/>
    </xf>
    <xf numFmtId="181" fontId="21" fillId="4" borderId="74" xfId="0" quotePrefix="1" applyNumberFormat="1" applyFont="1" applyFill="1" applyBorder="1" applyAlignment="1">
      <alignment horizontal="right" vertical="center" wrapText="1"/>
    </xf>
    <xf numFmtId="181" fontId="15" fillId="11" borderId="22" xfId="0" applyNumberFormat="1" applyFont="1" applyFill="1" applyBorder="1" applyAlignment="1">
      <alignment horizontal="left" vertical="top"/>
    </xf>
    <xf numFmtId="181" fontId="26" fillId="4" borderId="38" xfId="0" applyNumberFormat="1" applyFont="1" applyFill="1" applyBorder="1" applyAlignment="1">
      <alignment horizontal="right" vertical="center" wrapText="1"/>
    </xf>
    <xf numFmtId="181" fontId="21" fillId="4" borderId="38" xfId="8" quotePrefix="1" applyNumberFormat="1" applyFont="1" applyFill="1" applyBorder="1" applyAlignment="1">
      <alignment horizontal="right" vertical="center" wrapText="1"/>
    </xf>
    <xf numFmtId="181" fontId="26" fillId="4" borderId="38" xfId="1" applyNumberFormat="1" applyFont="1" applyFill="1" applyBorder="1" applyAlignment="1">
      <alignment horizontal="right" vertical="center" wrapText="1"/>
    </xf>
    <xf numFmtId="181" fontId="21" fillId="4" borderId="38" xfId="1" quotePrefix="1" applyNumberFormat="1" applyFont="1" applyFill="1" applyBorder="1" applyAlignment="1">
      <alignment horizontal="right" vertical="top" wrapText="1"/>
    </xf>
    <xf numFmtId="181" fontId="21" fillId="4" borderId="37" xfId="8" quotePrefix="1" applyNumberFormat="1" applyFont="1" applyFill="1" applyBorder="1" applyAlignment="1">
      <alignment horizontal="right" vertical="center" wrapText="1"/>
    </xf>
    <xf numFmtId="181" fontId="21" fillId="4" borderId="37" xfId="8" applyNumberFormat="1" applyFont="1" applyFill="1" applyBorder="1" applyAlignment="1">
      <alignment horizontal="right" vertical="center" wrapText="1"/>
    </xf>
    <xf numFmtId="181" fontId="21" fillId="32" borderId="37" xfId="8" quotePrefix="1" applyNumberFormat="1" applyFont="1" applyFill="1" applyBorder="1" applyAlignment="1">
      <alignment horizontal="right" vertical="center" wrapText="1"/>
    </xf>
    <xf numFmtId="181" fontId="20" fillId="21" borderId="38" xfId="8" quotePrefix="1" applyNumberFormat="1" applyFont="1" applyFill="1" applyBorder="1" applyAlignment="1">
      <alignment horizontal="right" vertical="center" wrapText="1"/>
    </xf>
    <xf numFmtId="181" fontId="15" fillId="19" borderId="38" xfId="0" quotePrefix="1" applyNumberFormat="1" applyFont="1" applyFill="1" applyBorder="1">
      <alignment vertical="center"/>
    </xf>
    <xf numFmtId="181" fontId="21" fillId="4" borderId="38" xfId="8" quotePrefix="1" applyNumberFormat="1" applyFont="1" applyFill="1" applyBorder="1" applyAlignment="1">
      <alignment horizontal="right" vertical="top" wrapText="1"/>
    </xf>
    <xf numFmtId="181" fontId="21" fillId="4" borderId="37" xfId="1" quotePrefix="1" applyNumberFormat="1" applyFont="1" applyFill="1" applyBorder="1" applyAlignment="1">
      <alignment horizontal="right" vertical="top" wrapText="1"/>
    </xf>
    <xf numFmtId="181" fontId="21" fillId="4" borderId="38" xfId="1" applyNumberFormat="1" applyFont="1" applyFill="1" applyBorder="1" applyAlignment="1">
      <alignment horizontal="right" vertical="top" wrapText="1"/>
    </xf>
    <xf numFmtId="181" fontId="21" fillId="4" borderId="80" xfId="1" quotePrefix="1" applyNumberFormat="1" applyFont="1" applyFill="1" applyBorder="1" applyAlignment="1">
      <alignment horizontal="right" vertical="center" wrapText="1"/>
    </xf>
    <xf numFmtId="181" fontId="21" fillId="4" borderId="80" xfId="1" quotePrefix="1" applyNumberFormat="1" applyFont="1" applyFill="1" applyBorder="1" applyAlignment="1">
      <alignment horizontal="right" vertical="top" wrapText="1"/>
    </xf>
    <xf numFmtId="181" fontId="21" fillId="4" borderId="52" xfId="8" applyNumberFormat="1" applyFont="1" applyFill="1" applyBorder="1" applyAlignment="1">
      <alignment horizontal="right" vertical="top" wrapText="1"/>
    </xf>
    <xf numFmtId="181" fontId="21" fillId="4" borderId="38" xfId="8" applyNumberFormat="1" applyFont="1" applyFill="1" applyBorder="1" applyAlignment="1">
      <alignment vertical="center" wrapText="1"/>
    </xf>
    <xf numFmtId="181" fontId="20" fillId="21" borderId="38" xfId="8" quotePrefix="1" applyNumberFormat="1" applyFont="1" applyFill="1" applyBorder="1" applyAlignment="1">
      <alignment horizontal="right" vertical="top" wrapText="1"/>
    </xf>
    <xf numFmtId="181" fontId="5" fillId="4" borderId="45" xfId="1" applyNumberFormat="1" applyFont="1" applyFill="1" applyBorder="1" applyAlignment="1">
      <alignment horizontal="right" vertical="top" wrapText="1"/>
    </xf>
    <xf numFmtId="181" fontId="5" fillId="4" borderId="38" xfId="1" quotePrefix="1" applyNumberFormat="1" applyFont="1" applyFill="1" applyBorder="1" applyAlignment="1">
      <alignment horizontal="right" vertical="top" wrapText="1"/>
    </xf>
    <xf numFmtId="181" fontId="5" fillId="4" borderId="38" xfId="1" applyNumberFormat="1" applyFont="1" applyFill="1" applyBorder="1" applyAlignment="1">
      <alignment horizontal="right" vertical="top" wrapText="1"/>
    </xf>
    <xf numFmtId="181" fontId="5" fillId="43" borderId="45" xfId="1" applyNumberFormat="1" applyFont="1" applyFill="1" applyBorder="1" applyAlignment="1">
      <alignment horizontal="right" vertical="top" wrapText="1"/>
    </xf>
    <xf numFmtId="181" fontId="21" fillId="4" borderId="45" xfId="0" applyNumberFormat="1" applyFont="1" applyFill="1" applyBorder="1" applyAlignment="1">
      <alignment horizontal="right" vertical="center" wrapText="1"/>
    </xf>
    <xf numFmtId="181" fontId="21" fillId="32" borderId="38" xfId="0" quotePrefix="1" applyNumberFormat="1" applyFont="1" applyFill="1" applyBorder="1" applyAlignment="1">
      <alignment horizontal="right" vertical="center" wrapText="1"/>
    </xf>
    <xf numFmtId="181" fontId="21" fillId="4" borderId="73" xfId="0" quotePrefix="1" applyNumberFormat="1" applyFont="1" applyFill="1" applyBorder="1" applyAlignment="1">
      <alignment horizontal="right" vertical="center" wrapText="1"/>
    </xf>
    <xf numFmtId="181" fontId="21" fillId="4" borderId="80" xfId="1" applyNumberFormat="1" applyFont="1" applyFill="1" applyBorder="1" applyAlignment="1">
      <alignment horizontal="right" vertical="top" wrapText="1"/>
    </xf>
    <xf numFmtId="181" fontId="21" fillId="4" borderId="43" xfId="0" quotePrefix="1" applyNumberFormat="1" applyFont="1" applyFill="1" applyBorder="1" applyAlignment="1">
      <alignment horizontal="right" vertical="top" wrapText="1"/>
    </xf>
    <xf numFmtId="181" fontId="21" fillId="14" borderId="28" xfId="0" applyNumberFormat="1" applyFont="1" applyFill="1" applyBorder="1" applyAlignment="1">
      <alignment horizontal="right" vertical="center"/>
    </xf>
    <xf numFmtId="181" fontId="21" fillId="19" borderId="38" xfId="0" applyNumberFormat="1" applyFont="1" applyFill="1" applyBorder="1" applyAlignment="1">
      <alignment horizontal="right" vertical="center"/>
    </xf>
    <xf numFmtId="181" fontId="5" fillId="0" borderId="0" xfId="0" quotePrefix="1" applyNumberFormat="1" applyFont="1">
      <alignment vertical="center"/>
    </xf>
    <xf numFmtId="181" fontId="21" fillId="4" borderId="43" xfId="0" quotePrefix="1" applyNumberFormat="1" applyFont="1" applyFill="1" applyBorder="1" applyAlignment="1">
      <alignment horizontal="right" vertical="center" wrapText="1"/>
    </xf>
    <xf numFmtId="181" fontId="26" fillId="49" borderId="42" xfId="0" quotePrefix="1" applyNumberFormat="1" applyFont="1" applyFill="1" applyBorder="1" applyAlignment="1">
      <alignment horizontal="right" vertical="center" wrapText="1"/>
    </xf>
    <xf numFmtId="181" fontId="26" fillId="4" borderId="38" xfId="1" quotePrefix="1" applyNumberFormat="1" applyFont="1" applyFill="1" applyBorder="1" applyAlignment="1">
      <alignment horizontal="right" vertical="center" wrapText="1"/>
    </xf>
    <xf numFmtId="181" fontId="15" fillId="4" borderId="38" xfId="0" applyNumberFormat="1" applyFont="1" applyFill="1" applyBorder="1" applyAlignment="1">
      <alignment vertical="center" wrapText="1"/>
    </xf>
    <xf numFmtId="181" fontId="26" fillId="4" borderId="38" xfId="0" quotePrefix="1" applyNumberFormat="1" applyFont="1" applyFill="1" applyBorder="1" applyAlignment="1">
      <alignment vertical="center" wrapText="1"/>
    </xf>
    <xf numFmtId="181" fontId="26" fillId="4" borderId="38" xfId="0" quotePrefix="1" applyNumberFormat="1" applyFont="1" applyFill="1" applyBorder="1" applyAlignment="1">
      <alignment horizontal="right" vertical="center" wrapText="1"/>
    </xf>
    <xf numFmtId="181" fontId="26" fillId="4" borderId="54" xfId="1" quotePrefix="1" applyNumberFormat="1" applyFont="1" applyFill="1" applyBorder="1" applyAlignment="1">
      <alignment horizontal="right" vertical="center" wrapText="1"/>
    </xf>
    <xf numFmtId="181" fontId="15" fillId="4" borderId="80" xfId="0" applyNumberFormat="1" applyFont="1" applyFill="1" applyBorder="1" applyAlignment="1">
      <alignment vertical="center" wrapText="1"/>
    </xf>
    <xf numFmtId="181" fontId="26" fillId="32" borderId="38" xfId="0" quotePrefix="1" applyNumberFormat="1" applyFont="1" applyFill="1" applyBorder="1" applyAlignment="1">
      <alignment horizontal="right" vertical="center" wrapText="1"/>
    </xf>
    <xf numFmtId="181" fontId="26" fillId="4" borderId="38" xfId="8" applyNumberFormat="1" applyFont="1" applyFill="1" applyBorder="1" applyAlignment="1">
      <alignment horizontal="right" vertical="center" wrapText="1"/>
    </xf>
    <xf numFmtId="181" fontId="26" fillId="32" borderId="54" xfId="0" quotePrefix="1" applyNumberFormat="1" applyFont="1" applyFill="1" applyBorder="1" applyAlignment="1">
      <alignment horizontal="right" vertical="center" wrapText="1"/>
    </xf>
    <xf numFmtId="181" fontId="26" fillId="4" borderId="54" xfId="0" quotePrefix="1" applyNumberFormat="1" applyFont="1" applyFill="1" applyBorder="1" applyAlignment="1">
      <alignment horizontal="right" vertical="center" wrapText="1"/>
    </xf>
    <xf numFmtId="181" fontId="21" fillId="5" borderId="43" xfId="0" quotePrefix="1" applyNumberFormat="1" applyFont="1" applyFill="1" applyBorder="1" applyAlignment="1">
      <alignment horizontal="right" vertical="center" wrapText="1"/>
    </xf>
    <xf numFmtId="181" fontId="21" fillId="5" borderId="38" xfId="0" quotePrefix="1" applyNumberFormat="1" applyFont="1" applyFill="1" applyBorder="1" applyAlignment="1">
      <alignment horizontal="right" vertical="center" wrapText="1"/>
    </xf>
    <xf numFmtId="181" fontId="26" fillId="5" borderId="80" xfId="1" applyNumberFormat="1" applyFont="1" applyFill="1" applyBorder="1" applyAlignment="1">
      <alignment horizontal="right" vertical="center" wrapText="1"/>
    </xf>
    <xf numFmtId="181" fontId="21" fillId="4" borderId="80" xfId="1" applyNumberFormat="1" applyFont="1" applyFill="1" applyBorder="1" applyAlignment="1">
      <alignment horizontal="right" vertical="center" wrapText="1"/>
    </xf>
    <xf numFmtId="181" fontId="21" fillId="4" borderId="45" xfId="1" quotePrefix="1" applyNumberFormat="1" applyFont="1" applyFill="1" applyBorder="1" applyAlignment="1">
      <alignment horizontal="right" vertical="center" wrapText="1"/>
    </xf>
    <xf numFmtId="181" fontId="26" fillId="4" borderId="38" xfId="0" applyNumberFormat="1" applyFont="1" applyFill="1" applyBorder="1" applyAlignment="1">
      <alignment vertical="center" wrapText="1"/>
    </xf>
    <xf numFmtId="181" fontId="75" fillId="4" borderId="38" xfId="0" applyNumberFormat="1" applyFont="1" applyFill="1" applyBorder="1" applyAlignment="1">
      <alignment vertical="center" wrapText="1"/>
    </xf>
    <xf numFmtId="181" fontId="26" fillId="5" borderId="38" xfId="0" quotePrefix="1" applyNumberFormat="1" applyFont="1" applyFill="1" applyBorder="1" applyAlignment="1">
      <alignment horizontal="right" vertical="center" wrapText="1"/>
    </xf>
    <xf numFmtId="181" fontId="26" fillId="32" borderId="38" xfId="1" quotePrefix="1" applyNumberFormat="1" applyFont="1" applyFill="1" applyBorder="1" applyAlignment="1">
      <alignment horizontal="right" vertical="center" wrapText="1"/>
    </xf>
    <xf numFmtId="181" fontId="21" fillId="4" borderId="43" xfId="0" quotePrefix="1" applyNumberFormat="1" applyFont="1" applyFill="1" applyBorder="1" applyAlignment="1">
      <alignment vertical="center" wrapText="1"/>
    </xf>
    <xf numFmtId="181" fontId="26" fillId="4" borderId="43" xfId="0" applyNumberFormat="1" applyFont="1" applyFill="1" applyBorder="1" applyAlignment="1">
      <alignment vertical="center" wrapText="1"/>
    </xf>
    <xf numFmtId="181" fontId="26" fillId="4" borderId="45" xfId="1" applyNumberFormat="1" applyFont="1" applyFill="1" applyBorder="1" applyAlignment="1">
      <alignment horizontal="right" vertical="center" wrapText="1"/>
    </xf>
    <xf numFmtId="181" fontId="21" fillId="4" borderId="45" xfId="1" applyNumberFormat="1" applyFont="1" applyFill="1" applyBorder="1" applyAlignment="1">
      <alignment horizontal="right" vertical="center" wrapText="1"/>
    </xf>
    <xf numFmtId="181" fontId="5" fillId="4" borderId="43" xfId="0" quotePrefix="1" applyNumberFormat="1" applyFont="1" applyFill="1" applyBorder="1" applyAlignment="1">
      <alignment vertical="center" wrapText="1"/>
    </xf>
    <xf numFmtId="181" fontId="21" fillId="4" borderId="43" xfId="0" applyNumberFormat="1" applyFont="1" applyFill="1" applyBorder="1" applyAlignment="1">
      <alignment horizontal="right" vertical="top" wrapText="1"/>
    </xf>
    <xf numFmtId="181" fontId="21" fillId="32" borderId="43" xfId="0" applyNumberFormat="1" applyFont="1" applyFill="1" applyBorder="1" applyAlignment="1">
      <alignment horizontal="right" vertical="top" wrapText="1"/>
    </xf>
    <xf numFmtId="181" fontId="5" fillId="4" borderId="43" xfId="0" applyNumberFormat="1" applyFont="1" applyFill="1" applyBorder="1" applyAlignment="1">
      <alignment vertical="center" wrapText="1"/>
    </xf>
    <xf numFmtId="181" fontId="21" fillId="43" borderId="43" xfId="0" quotePrefix="1" applyNumberFormat="1" applyFont="1" applyFill="1" applyBorder="1" applyAlignment="1">
      <alignment vertical="center" wrapText="1"/>
    </xf>
    <xf numFmtId="181" fontId="21" fillId="21" borderId="37" xfId="1" quotePrefix="1" applyNumberFormat="1" applyFont="1" applyFill="1" applyBorder="1" applyAlignment="1">
      <alignment horizontal="right" vertical="center" wrapText="1"/>
    </xf>
    <xf numFmtId="181" fontId="20" fillId="21" borderId="45" xfId="0" applyNumberFormat="1" applyFont="1" applyFill="1" applyBorder="1" applyAlignment="1">
      <alignment vertical="top" wrapText="1"/>
    </xf>
    <xf numFmtId="181" fontId="21" fillId="4" borderId="45" xfId="0" applyNumberFormat="1" applyFont="1" applyFill="1" applyBorder="1" applyAlignment="1">
      <alignment vertical="top" wrapText="1"/>
    </xf>
    <xf numFmtId="181" fontId="20" fillId="21" borderId="38" xfId="0" applyNumberFormat="1" applyFont="1" applyFill="1" applyBorder="1" applyAlignment="1">
      <alignment vertical="top" wrapText="1"/>
    </xf>
    <xf numFmtId="181" fontId="21" fillId="21" borderId="38" xfId="0" applyNumberFormat="1" applyFont="1" applyFill="1" applyBorder="1" applyAlignment="1">
      <alignment vertical="center" wrapText="1"/>
    </xf>
    <xf numFmtId="181" fontId="21" fillId="4" borderId="52" xfId="0" applyNumberFormat="1" applyFont="1" applyFill="1" applyBorder="1" applyAlignment="1">
      <alignment vertical="center" wrapText="1"/>
    </xf>
    <xf numFmtId="181" fontId="21" fillId="43" borderId="52" xfId="0" applyNumberFormat="1" applyFont="1" applyFill="1" applyBorder="1" applyAlignment="1">
      <alignment vertical="center" wrapText="1"/>
    </xf>
    <xf numFmtId="181" fontId="26" fillId="43" borderId="37" xfId="1" quotePrefix="1" applyNumberFormat="1" applyFont="1" applyFill="1" applyBorder="1" applyAlignment="1">
      <alignment horizontal="right" vertical="center" wrapText="1"/>
    </xf>
    <xf numFmtId="181" fontId="21" fillId="4" borderId="52" xfId="0" quotePrefix="1" applyNumberFormat="1" applyFont="1" applyFill="1" applyBorder="1" applyAlignment="1">
      <alignment horizontal="right" vertical="center" wrapText="1"/>
    </xf>
    <xf numFmtId="181" fontId="21" fillId="5" borderId="42" xfId="0" quotePrefix="1" applyNumberFormat="1" applyFont="1" applyFill="1" applyBorder="1" applyAlignment="1">
      <alignment horizontal="right" vertical="center" wrapText="1"/>
    </xf>
    <xf numFmtId="181" fontId="21" fillId="4" borderId="67" xfId="0" applyNumberFormat="1" applyFont="1" applyFill="1" applyBorder="1" applyAlignment="1">
      <alignment vertical="center" wrapText="1"/>
    </xf>
    <xf numFmtId="181" fontId="21" fillId="4" borderId="52" xfId="0" applyNumberFormat="1" applyFont="1" applyFill="1" applyBorder="1" applyAlignment="1">
      <alignment horizontal="right" vertical="top" wrapText="1"/>
    </xf>
    <xf numFmtId="181" fontId="21" fillId="4" borderId="52" xfId="8" applyNumberFormat="1" applyFont="1" applyFill="1" applyBorder="1" applyAlignment="1">
      <alignment horizontal="right" vertical="center" wrapText="1"/>
    </xf>
    <xf numFmtId="181" fontId="20" fillId="21" borderId="52" xfId="8" applyNumberFormat="1" applyFont="1" applyFill="1" applyBorder="1" applyAlignment="1">
      <alignment horizontal="right" vertical="center" wrapText="1"/>
    </xf>
    <xf numFmtId="181" fontId="21" fillId="4" borderId="52" xfId="1" applyNumberFormat="1" applyFont="1" applyFill="1" applyBorder="1" applyAlignment="1">
      <alignment horizontal="right" vertical="center" wrapText="1"/>
    </xf>
    <xf numFmtId="181" fontId="21" fillId="4" borderId="52" xfId="8" applyNumberFormat="1" applyFont="1" applyFill="1" applyBorder="1" applyAlignment="1">
      <alignment vertical="center" wrapText="1"/>
    </xf>
    <xf numFmtId="181" fontId="20" fillId="21" borderId="52" xfId="8" applyNumberFormat="1" applyFont="1" applyFill="1" applyBorder="1" applyAlignment="1">
      <alignment vertical="center" wrapText="1"/>
    </xf>
    <xf numFmtId="181" fontId="21" fillId="4" borderId="52" xfId="1" applyNumberFormat="1" applyFont="1" applyFill="1" applyBorder="1" applyAlignment="1">
      <alignment horizontal="right" vertical="top" wrapText="1"/>
    </xf>
    <xf numFmtId="181" fontId="21" fillId="4" borderId="52" xfId="1" quotePrefix="1" applyNumberFormat="1" applyFont="1" applyFill="1" applyBorder="1" applyAlignment="1">
      <alignment horizontal="right" vertical="top" wrapText="1"/>
    </xf>
    <xf numFmtId="181" fontId="21" fillId="4" borderId="38" xfId="8" applyNumberFormat="1" applyFont="1" applyFill="1" applyBorder="1" applyAlignment="1">
      <alignment horizontal="right" vertical="top" wrapText="1"/>
    </xf>
    <xf numFmtId="181" fontId="21" fillId="32" borderId="52" xfId="8" applyNumberFormat="1" applyFont="1" applyFill="1" applyBorder="1" applyAlignment="1">
      <alignment vertical="center" wrapText="1"/>
    </xf>
    <xf numFmtId="181" fontId="21" fillId="32" borderId="52" xfId="0" applyNumberFormat="1" applyFont="1" applyFill="1" applyBorder="1" applyAlignment="1">
      <alignment horizontal="right" vertical="top" wrapText="1"/>
    </xf>
    <xf numFmtId="181" fontId="5" fillId="4" borderId="52" xfId="8" applyNumberFormat="1" applyFont="1" applyFill="1" applyBorder="1" applyAlignment="1">
      <alignment horizontal="right" vertical="top" wrapText="1"/>
    </xf>
    <xf numFmtId="181" fontId="5" fillId="4" borderId="52" xfId="1" applyNumberFormat="1" applyFont="1" applyFill="1" applyBorder="1" applyAlignment="1">
      <alignment horizontal="right" vertical="top" wrapText="1"/>
    </xf>
    <xf numFmtId="181" fontId="5" fillId="43" borderId="38" xfId="1" quotePrefix="1" applyNumberFormat="1" applyFont="1" applyFill="1" applyBorder="1" applyAlignment="1">
      <alignment horizontal="right" vertical="top" wrapText="1"/>
    </xf>
    <xf numFmtId="181" fontId="5" fillId="4" borderId="52" xfId="1" quotePrefix="1" applyNumberFormat="1" applyFont="1" applyFill="1" applyBorder="1" applyAlignment="1">
      <alignment horizontal="right" vertical="top" wrapText="1"/>
    </xf>
    <xf numFmtId="181" fontId="21" fillId="22" borderId="43" xfId="0" applyNumberFormat="1" applyFont="1" applyFill="1" applyBorder="1" applyAlignment="1">
      <alignment horizontal="right" vertical="center" wrapText="1"/>
    </xf>
    <xf numFmtId="181" fontId="21" fillId="4" borderId="43" xfId="8" applyNumberFormat="1" applyFont="1" applyFill="1" applyBorder="1" applyAlignment="1">
      <alignment horizontal="right" vertical="center" wrapText="1"/>
    </xf>
    <xf numFmtId="181" fontId="21" fillId="22" borderId="52" xfId="0" applyNumberFormat="1" applyFont="1" applyFill="1" applyBorder="1" applyAlignment="1">
      <alignment horizontal="right" vertical="center" wrapText="1"/>
    </xf>
    <xf numFmtId="181" fontId="21" fillId="21" borderId="37" xfId="1" applyNumberFormat="1" applyFont="1" applyFill="1" applyBorder="1" applyAlignment="1">
      <alignment horizontal="right" vertical="top" wrapText="1"/>
    </xf>
    <xf numFmtId="181" fontId="21" fillId="4" borderId="74" xfId="0" applyNumberFormat="1" applyFont="1" applyFill="1" applyBorder="1" applyAlignment="1">
      <alignment vertical="center" wrapText="1"/>
    </xf>
    <xf numFmtId="181" fontId="21" fillId="19" borderId="43" xfId="0" applyNumberFormat="1" applyFont="1" applyFill="1" applyBorder="1" applyAlignment="1">
      <alignment horizontal="right" vertical="center"/>
    </xf>
    <xf numFmtId="181" fontId="21" fillId="4" borderId="43" xfId="0" applyNumberFormat="1" applyFont="1" applyFill="1" applyBorder="1" applyAlignment="1">
      <alignment vertical="center" wrapText="1"/>
    </xf>
    <xf numFmtId="181" fontId="21" fillId="22" borderId="87" xfId="0" applyNumberFormat="1" applyFont="1" applyFill="1" applyBorder="1" applyAlignment="1">
      <alignment horizontal="right" vertical="center" wrapText="1"/>
    </xf>
    <xf numFmtId="181" fontId="21" fillId="50" borderId="43" xfId="0" applyNumberFormat="1" applyFont="1" applyFill="1" applyBorder="1" applyAlignment="1">
      <alignment horizontal="right" vertical="center" wrapText="1"/>
    </xf>
    <xf numFmtId="181" fontId="21" fillId="54" borderId="43" xfId="0" applyNumberFormat="1" applyFont="1" applyFill="1" applyBorder="1" applyAlignment="1">
      <alignment horizontal="right" vertical="center" wrapText="1"/>
    </xf>
    <xf numFmtId="181" fontId="21" fillId="56" borderId="43" xfId="0" applyNumberFormat="1" applyFont="1" applyFill="1" applyBorder="1" applyAlignment="1">
      <alignment horizontal="right" vertical="center" wrapText="1"/>
    </xf>
    <xf numFmtId="181" fontId="21" fillId="22" borderId="43" xfId="8" applyNumberFormat="1" applyFont="1" applyFill="1" applyBorder="1" applyAlignment="1">
      <alignment horizontal="right" vertical="center" wrapText="1"/>
    </xf>
    <xf numFmtId="0" fontId="5" fillId="48" borderId="34" xfId="0" applyFont="1" applyFill="1" applyBorder="1" applyAlignment="1">
      <alignment horizontal="center" vertical="center"/>
    </xf>
    <xf numFmtId="181" fontId="21" fillId="48" borderId="303" xfId="1" quotePrefix="1" applyNumberFormat="1" applyFont="1" applyFill="1" applyBorder="1" applyAlignment="1">
      <alignment horizontal="right" vertical="center" wrapText="1"/>
    </xf>
    <xf numFmtId="181" fontId="21" fillId="48" borderId="38" xfId="1" quotePrefix="1" applyNumberFormat="1" applyFont="1" applyFill="1" applyBorder="1" applyAlignment="1">
      <alignment horizontal="right" vertical="center" wrapText="1"/>
    </xf>
    <xf numFmtId="181" fontId="26" fillId="48" borderId="38" xfId="1" quotePrefix="1" applyNumberFormat="1" applyFont="1" applyFill="1" applyBorder="1" applyAlignment="1">
      <alignment horizontal="right" vertical="center" wrapText="1"/>
    </xf>
    <xf numFmtId="0" fontId="0" fillId="48" borderId="45" xfId="0" applyFill="1" applyBorder="1" applyAlignment="1">
      <alignment horizontal="left" vertical="top" wrapText="1"/>
    </xf>
    <xf numFmtId="181" fontId="21" fillId="49" borderId="38" xfId="1" quotePrefix="1" applyNumberFormat="1" applyFont="1" applyFill="1" applyBorder="1" applyAlignment="1">
      <alignment horizontal="right" vertical="center" wrapText="1"/>
    </xf>
    <xf numFmtId="181" fontId="26" fillId="49" borderId="38" xfId="1" quotePrefix="1" applyNumberFormat="1" applyFont="1" applyFill="1" applyBorder="1" applyAlignment="1">
      <alignment horizontal="right" vertical="center" wrapText="1"/>
    </xf>
    <xf numFmtId="185" fontId="21" fillId="49" borderId="45" xfId="1" quotePrefix="1" applyNumberFormat="1" applyFont="1" applyFill="1" applyBorder="1" applyAlignment="1">
      <alignment horizontal="center" vertical="top" wrapText="1"/>
    </xf>
    <xf numFmtId="177" fontId="15" fillId="58" borderId="233" xfId="0" quotePrefix="1" applyNumberFormat="1" applyFont="1" applyFill="1" applyBorder="1">
      <alignment vertical="center"/>
    </xf>
    <xf numFmtId="177" fontId="5" fillId="58" borderId="45" xfId="0" quotePrefix="1" applyNumberFormat="1" applyFont="1" applyFill="1" applyBorder="1" applyAlignment="1">
      <alignment horizontal="center" vertical="center"/>
    </xf>
    <xf numFmtId="0" fontId="0" fillId="52" borderId="45" xfId="0" applyFill="1" applyBorder="1" applyAlignment="1">
      <alignment horizontal="left" vertical="top" wrapText="1"/>
    </xf>
    <xf numFmtId="0" fontId="15" fillId="52" borderId="43" xfId="0" applyFont="1" applyFill="1" applyBorder="1">
      <alignment vertical="center"/>
    </xf>
    <xf numFmtId="177" fontId="15" fillId="58" borderId="42" xfId="0" quotePrefix="1" applyNumberFormat="1" applyFont="1" applyFill="1" applyBorder="1" applyAlignment="1">
      <alignment horizontal="left" vertical="center"/>
    </xf>
    <xf numFmtId="3" fontId="0" fillId="48" borderId="42" xfId="0" applyNumberFormat="1" applyFill="1" applyBorder="1" applyAlignment="1">
      <alignment horizontal="center" vertical="center"/>
    </xf>
    <xf numFmtId="3" fontId="0" fillId="49" borderId="42" xfId="0" applyNumberFormat="1" applyFill="1" applyBorder="1" applyAlignment="1">
      <alignment horizontal="center" vertical="center"/>
    </xf>
    <xf numFmtId="181" fontId="21" fillId="49" borderId="219" xfId="1" quotePrefix="1" applyNumberFormat="1" applyFont="1" applyFill="1" applyBorder="1" applyAlignment="1">
      <alignment horizontal="right" vertical="center" wrapText="1"/>
    </xf>
    <xf numFmtId="181" fontId="21" fillId="48" borderId="219" xfId="1" quotePrefix="1" applyNumberFormat="1" applyFont="1" applyFill="1" applyBorder="1" applyAlignment="1">
      <alignment horizontal="right" vertical="center" wrapText="1"/>
    </xf>
    <xf numFmtId="181" fontId="21" fillId="49" borderId="38" xfId="0" quotePrefix="1" applyNumberFormat="1" applyFont="1" applyFill="1" applyBorder="1" applyAlignment="1">
      <alignment horizontal="right" vertical="center" wrapText="1"/>
    </xf>
    <xf numFmtId="40" fontId="21" fillId="49" borderId="43" xfId="1" quotePrefix="1" applyNumberFormat="1" applyFont="1" applyFill="1" applyBorder="1" applyAlignment="1">
      <alignment horizontal="left" vertical="center" wrapText="1"/>
    </xf>
    <xf numFmtId="40" fontId="21" fillId="48" borderId="38" xfId="1" quotePrefix="1" applyNumberFormat="1" applyFont="1" applyFill="1" applyBorder="1" applyAlignment="1">
      <alignment horizontal="left" vertical="center" wrapText="1"/>
    </xf>
    <xf numFmtId="3" fontId="5" fillId="48" borderId="38" xfId="0" applyNumberFormat="1" applyFont="1" applyFill="1" applyBorder="1" applyAlignment="1">
      <alignment vertical="top"/>
    </xf>
    <xf numFmtId="40" fontId="11" fillId="48" borderId="38" xfId="1" quotePrefix="1" applyNumberFormat="1" applyFont="1" applyFill="1" applyBorder="1" applyAlignment="1">
      <alignment horizontal="left" vertical="center" wrapText="1"/>
    </xf>
    <xf numFmtId="40" fontId="11" fillId="49" borderId="38" xfId="1" quotePrefix="1" applyNumberFormat="1" applyFont="1" applyFill="1" applyBorder="1" applyAlignment="1">
      <alignment horizontal="left" vertical="center" wrapText="1"/>
    </xf>
    <xf numFmtId="3" fontId="5" fillId="49" borderId="38" xfId="0" applyNumberFormat="1" applyFont="1" applyFill="1" applyBorder="1" applyAlignment="1">
      <alignment vertical="top"/>
    </xf>
    <xf numFmtId="40" fontId="21" fillId="49" borderId="38" xfId="1" quotePrefix="1" applyNumberFormat="1" applyFont="1" applyFill="1" applyBorder="1" applyAlignment="1">
      <alignment horizontal="left" vertical="center" wrapText="1"/>
    </xf>
    <xf numFmtId="40" fontId="21" fillId="48" borderId="80" xfId="1" quotePrefix="1" applyNumberFormat="1" applyFont="1" applyFill="1" applyBorder="1" applyAlignment="1">
      <alignment horizontal="center" vertical="center" wrapText="1"/>
    </xf>
    <xf numFmtId="177" fontId="15" fillId="58" borderId="38" xfId="0" quotePrefix="1" applyNumberFormat="1" applyFont="1" applyFill="1" applyBorder="1" applyAlignment="1">
      <alignment horizontal="left" vertical="center"/>
    </xf>
    <xf numFmtId="0" fontId="0" fillId="52" borderId="38" xfId="0" applyFill="1" applyBorder="1" applyAlignment="1">
      <alignment horizontal="left" vertical="top" wrapText="1"/>
    </xf>
    <xf numFmtId="0" fontId="0" fillId="48" borderId="38" xfId="0" applyFill="1" applyBorder="1" applyAlignment="1">
      <alignment horizontal="left" vertical="top" wrapText="1"/>
    </xf>
    <xf numFmtId="0" fontId="0" fillId="49" borderId="38" xfId="0" applyFill="1" applyBorder="1" applyAlignment="1">
      <alignment horizontal="left" vertical="top" wrapText="1"/>
    </xf>
    <xf numFmtId="177" fontId="5" fillId="49" borderId="77" xfId="0" quotePrefix="1" applyNumberFormat="1" applyFont="1" applyFill="1" applyBorder="1" applyAlignment="1">
      <alignment horizontal="center" vertical="center"/>
    </xf>
    <xf numFmtId="177" fontId="5" fillId="48" borderId="78" xfId="0" quotePrefix="1" applyNumberFormat="1" applyFont="1" applyFill="1" applyBorder="1" applyAlignment="1">
      <alignment vertical="top"/>
    </xf>
    <xf numFmtId="181" fontId="21" fillId="48" borderId="37" xfId="1" quotePrefix="1" applyNumberFormat="1" applyFont="1" applyFill="1" applyBorder="1" applyAlignment="1">
      <alignment horizontal="right" vertical="center" wrapText="1"/>
    </xf>
    <xf numFmtId="181" fontId="21" fillId="48" borderId="43" xfId="0" quotePrefix="1" applyNumberFormat="1" applyFont="1" applyFill="1" applyBorder="1" applyAlignment="1">
      <alignment horizontal="right" vertical="center" wrapText="1"/>
    </xf>
    <xf numFmtId="3" fontId="21" fillId="48" borderId="36" xfId="0" applyNumberFormat="1" applyFont="1" applyFill="1" applyBorder="1" applyAlignment="1">
      <alignment horizontal="center" vertical="center" wrapText="1"/>
    </xf>
    <xf numFmtId="3" fontId="21" fillId="48" borderId="36" xfId="0" applyNumberFormat="1" applyFont="1" applyFill="1" applyBorder="1" applyAlignment="1">
      <alignment horizontal="left" vertical="center" wrapText="1"/>
    </xf>
    <xf numFmtId="0" fontId="5" fillId="48" borderId="36" xfId="0" applyFont="1" applyFill="1" applyBorder="1" applyAlignment="1">
      <alignment horizontal="left" vertical="top" wrapText="1"/>
    </xf>
    <xf numFmtId="177" fontId="5" fillId="48" borderId="43" xfId="0" quotePrefix="1" applyNumberFormat="1" applyFont="1" applyFill="1" applyBorder="1" applyAlignment="1">
      <alignment horizontal="center" vertical="center"/>
    </xf>
    <xf numFmtId="3" fontId="21" fillId="48" borderId="45" xfId="0" applyNumberFormat="1" applyFont="1" applyFill="1" applyBorder="1" applyAlignment="1">
      <alignment horizontal="left" vertical="center" wrapText="1"/>
    </xf>
    <xf numFmtId="0" fontId="5" fillId="48" borderId="45" xfId="0" applyFont="1" applyFill="1" applyBorder="1" applyAlignment="1">
      <alignment horizontal="left" vertical="top" wrapText="1"/>
    </xf>
    <xf numFmtId="177" fontId="5" fillId="48" borderId="38" xfId="0" quotePrefix="1" applyNumberFormat="1" applyFont="1" applyFill="1" applyBorder="1" applyAlignment="1">
      <alignment vertical="top"/>
    </xf>
    <xf numFmtId="3" fontId="21" fillId="48" borderId="45" xfId="0" applyNumberFormat="1" applyFont="1" applyFill="1" applyBorder="1" applyAlignment="1">
      <alignment horizontal="center" vertical="center" wrapText="1"/>
    </xf>
    <xf numFmtId="177" fontId="5" fillId="48" borderId="45" xfId="0" quotePrefix="1" applyNumberFormat="1" applyFont="1" applyFill="1" applyBorder="1" applyAlignment="1">
      <alignment vertical="top"/>
    </xf>
    <xf numFmtId="38" fontId="21" fillId="48" borderId="45" xfId="0" applyNumberFormat="1" applyFont="1" applyFill="1" applyBorder="1" applyAlignment="1">
      <alignment horizontal="center" vertical="center" wrapText="1"/>
    </xf>
    <xf numFmtId="38" fontId="21" fillId="48" borderId="45" xfId="0" applyNumberFormat="1" applyFont="1" applyFill="1" applyBorder="1" applyAlignment="1">
      <alignment horizontal="left" vertical="center" wrapText="1"/>
    </xf>
    <xf numFmtId="0" fontId="0" fillId="48" borderId="45" xfId="0" applyFill="1" applyBorder="1" applyAlignment="1">
      <alignment vertical="top"/>
    </xf>
    <xf numFmtId="0" fontId="0" fillId="48" borderId="43" xfId="0" applyFill="1" applyBorder="1" applyAlignment="1">
      <alignment horizontal="center" vertical="center"/>
    </xf>
    <xf numFmtId="181" fontId="21" fillId="48" borderId="297" xfId="1" quotePrefix="1" applyNumberFormat="1" applyFont="1" applyFill="1" applyBorder="1" applyAlignment="1">
      <alignment horizontal="right" vertical="center" wrapText="1"/>
    </xf>
    <xf numFmtId="178" fontId="21" fillId="48" borderId="45" xfId="0" quotePrefix="1" applyNumberFormat="1" applyFont="1" applyFill="1" applyBorder="1" applyAlignment="1">
      <alignment horizontal="center" vertical="center"/>
    </xf>
    <xf numFmtId="178" fontId="21" fillId="48" borderId="45" xfId="0" quotePrefix="1" applyNumberFormat="1" applyFont="1" applyFill="1" applyBorder="1" applyAlignment="1">
      <alignment horizontal="left" vertical="center"/>
    </xf>
    <xf numFmtId="0" fontId="5" fillId="48" borderId="38" xfId="0" applyFont="1" applyFill="1" applyBorder="1" applyAlignment="1">
      <alignment horizontal="left" vertical="top"/>
    </xf>
    <xf numFmtId="0" fontId="5" fillId="48" borderId="45" xfId="0" applyFont="1" applyFill="1" applyBorder="1" applyAlignment="1">
      <alignment horizontal="left" vertical="top"/>
    </xf>
    <xf numFmtId="0" fontId="5" fillId="52" borderId="43" xfId="0" applyFont="1" applyFill="1" applyBorder="1" applyAlignment="1">
      <alignment horizontal="center" vertical="center"/>
    </xf>
    <xf numFmtId="0" fontId="0" fillId="52" borderId="38" xfId="0" applyFill="1" applyBorder="1">
      <alignment vertical="center"/>
    </xf>
    <xf numFmtId="3" fontId="21" fillId="52" borderId="45" xfId="0" applyNumberFormat="1" applyFont="1" applyFill="1" applyBorder="1" applyAlignment="1">
      <alignment horizontal="center" vertical="center" wrapText="1"/>
    </xf>
    <xf numFmtId="3" fontId="21" fillId="52" borderId="45" xfId="0" applyNumberFormat="1" applyFont="1" applyFill="1" applyBorder="1" applyAlignment="1">
      <alignment horizontal="left" vertical="center" wrapText="1"/>
    </xf>
    <xf numFmtId="0" fontId="5" fillId="48" borderId="38" xfId="0" applyFont="1" applyFill="1" applyBorder="1">
      <alignment vertical="center"/>
    </xf>
    <xf numFmtId="40" fontId="21" fillId="48" borderId="80" xfId="1" quotePrefix="1" applyNumberFormat="1" applyFont="1" applyFill="1" applyBorder="1" applyAlignment="1">
      <alignment horizontal="left" vertical="center" wrapText="1"/>
    </xf>
    <xf numFmtId="0" fontId="5" fillId="48" borderId="80" xfId="0" applyFont="1" applyFill="1" applyBorder="1" applyAlignment="1">
      <alignment horizontal="left" vertical="top" wrapText="1"/>
    </xf>
    <xf numFmtId="0" fontId="5" fillId="48" borderId="43" xfId="0" applyFont="1" applyFill="1" applyBorder="1" applyAlignment="1">
      <alignment vertical="top"/>
    </xf>
    <xf numFmtId="3" fontId="21" fillId="48" borderId="38" xfId="0" applyNumberFormat="1" applyFont="1" applyFill="1" applyBorder="1" applyAlignment="1">
      <alignment horizontal="left" vertical="center" wrapText="1"/>
    </xf>
    <xf numFmtId="177" fontId="5" fillId="48" borderId="77" xfId="0" quotePrefix="1" applyNumberFormat="1" applyFont="1" applyFill="1" applyBorder="1" applyAlignment="1">
      <alignment horizontal="center" vertical="center"/>
    </xf>
    <xf numFmtId="177" fontId="5" fillId="48" borderId="200" xfId="0" quotePrefix="1" applyNumberFormat="1" applyFont="1" applyFill="1" applyBorder="1" applyAlignment="1">
      <alignment horizontal="center" vertical="center"/>
    </xf>
    <xf numFmtId="0" fontId="5" fillId="48" borderId="36" xfId="0" applyFont="1" applyFill="1" applyBorder="1" applyAlignment="1">
      <alignment horizontal="left" vertical="top"/>
    </xf>
    <xf numFmtId="0" fontId="5" fillId="48" borderId="45" xfId="0" applyFont="1" applyFill="1" applyBorder="1">
      <alignment vertical="center"/>
    </xf>
    <xf numFmtId="0" fontId="5" fillId="48" borderId="43" xfId="0" applyFont="1" applyFill="1" applyBorder="1">
      <alignment vertical="center"/>
    </xf>
    <xf numFmtId="0" fontId="5" fillId="48" borderId="57" xfId="0" applyFont="1" applyFill="1" applyBorder="1" applyAlignment="1">
      <alignment vertical="top"/>
    </xf>
    <xf numFmtId="0" fontId="5" fillId="48" borderId="38" xfId="0" applyFont="1" applyFill="1" applyBorder="1" applyAlignment="1">
      <alignment vertical="top" wrapText="1"/>
    </xf>
    <xf numFmtId="3" fontId="21" fillId="48" borderId="80" xfId="0" applyNumberFormat="1" applyFont="1" applyFill="1" applyBorder="1" applyAlignment="1">
      <alignment horizontal="center" vertical="center" wrapText="1"/>
    </xf>
    <xf numFmtId="0" fontId="5" fillId="48" borderId="37" xfId="0" applyFont="1" applyFill="1" applyBorder="1" applyAlignment="1">
      <alignment vertical="top"/>
    </xf>
    <xf numFmtId="0" fontId="5" fillId="48" borderId="80" xfId="0" applyFont="1" applyFill="1" applyBorder="1" applyAlignment="1">
      <alignment vertical="top"/>
    </xf>
    <xf numFmtId="181" fontId="21" fillId="48" borderId="43" xfId="0" applyNumberFormat="1" applyFont="1" applyFill="1" applyBorder="1" applyAlignment="1">
      <alignment horizontal="right" vertical="center" wrapText="1"/>
    </xf>
    <xf numFmtId="3" fontId="5" fillId="48" borderId="77" xfId="0" quotePrefix="1" applyNumberFormat="1" applyFont="1" applyFill="1" applyBorder="1" applyAlignment="1">
      <alignment horizontal="center" vertical="center"/>
    </xf>
    <xf numFmtId="3" fontId="5" fillId="48" borderId="43" xfId="0" quotePrefix="1" applyNumberFormat="1" applyFont="1" applyFill="1" applyBorder="1" applyAlignment="1">
      <alignment horizontal="center" vertical="center"/>
    </xf>
    <xf numFmtId="3" fontId="21" fillId="48" borderId="45" xfId="0" quotePrefix="1" applyNumberFormat="1" applyFont="1" applyFill="1" applyBorder="1" applyAlignment="1">
      <alignment horizontal="left" vertical="center" wrapText="1"/>
    </xf>
    <xf numFmtId="0" fontId="21" fillId="48" borderId="45" xfId="0" applyFont="1" applyFill="1" applyBorder="1" applyAlignment="1">
      <alignment horizontal="left" vertical="top" wrapText="1"/>
    </xf>
    <xf numFmtId="0" fontId="21" fillId="48" borderId="45" xfId="0" applyFont="1" applyFill="1" applyBorder="1" applyAlignment="1">
      <alignment horizontal="left" vertical="top"/>
    </xf>
    <xf numFmtId="3" fontId="21" fillId="48" borderId="80" xfId="0" applyNumberFormat="1" applyFont="1" applyFill="1" applyBorder="1" applyAlignment="1">
      <alignment horizontal="left" vertical="center" wrapText="1"/>
    </xf>
    <xf numFmtId="0" fontId="5" fillId="48" borderId="80" xfId="0" applyFont="1" applyFill="1" applyBorder="1" applyAlignment="1">
      <alignment horizontal="left" vertical="top"/>
    </xf>
    <xf numFmtId="178" fontId="21" fillId="48" borderId="80" xfId="1" applyNumberFormat="1" applyFont="1" applyFill="1" applyBorder="1" applyAlignment="1">
      <alignment horizontal="left" vertical="top" wrapText="1"/>
    </xf>
    <xf numFmtId="177" fontId="15" fillId="48" borderId="38" xfId="0" quotePrefix="1" applyNumberFormat="1" applyFont="1" applyFill="1" applyBorder="1" applyAlignment="1">
      <alignment horizontal="left" vertical="center"/>
    </xf>
    <xf numFmtId="0" fontId="5" fillId="48" borderId="38" xfId="0" applyFont="1" applyFill="1" applyBorder="1" applyAlignment="1">
      <alignment horizontal="left" vertical="top" wrapText="1"/>
    </xf>
    <xf numFmtId="0" fontId="5" fillId="48" borderId="38" xfId="0" quotePrefix="1" applyFont="1" applyFill="1" applyBorder="1" applyAlignment="1">
      <alignment vertical="top"/>
    </xf>
    <xf numFmtId="0" fontId="5" fillId="48" borderId="45" xfId="0" quotePrefix="1" applyFont="1" applyFill="1" applyBorder="1" applyAlignment="1">
      <alignment vertical="top"/>
    </xf>
    <xf numFmtId="0" fontId="5" fillId="48" borderId="43" xfId="0" quotePrefix="1" applyFont="1" applyFill="1" applyBorder="1" applyAlignment="1">
      <alignment vertical="top"/>
    </xf>
    <xf numFmtId="181" fontId="21" fillId="48" borderId="80" xfId="1" applyNumberFormat="1" applyFont="1" applyFill="1" applyBorder="1" applyAlignment="1">
      <alignment horizontal="right" vertical="center" wrapText="1"/>
    </xf>
    <xf numFmtId="0" fontId="5" fillId="48" borderId="77" xfId="0" applyFont="1" applyFill="1" applyBorder="1" applyAlignment="1">
      <alignment horizontal="center" vertical="center"/>
    </xf>
    <xf numFmtId="0" fontId="5" fillId="48" borderId="77" xfId="0" quotePrefix="1" applyFont="1" applyFill="1" applyBorder="1" applyAlignment="1">
      <alignment horizontal="left" vertical="top"/>
    </xf>
    <xf numFmtId="0" fontId="5" fillId="48" borderId="43" xfId="0" quotePrefix="1" applyFont="1" applyFill="1" applyBorder="1" applyAlignment="1">
      <alignment horizontal="left" vertical="top"/>
    </xf>
    <xf numFmtId="40" fontId="21" fillId="48" borderId="80" xfId="1" quotePrefix="1" applyNumberFormat="1" applyFont="1" applyFill="1" applyBorder="1" applyAlignment="1">
      <alignment horizontal="center" vertical="top" wrapText="1"/>
    </xf>
    <xf numFmtId="0" fontId="5" fillId="48" borderId="42" xfId="0" quotePrefix="1" applyFont="1" applyFill="1" applyBorder="1" applyAlignment="1">
      <alignment horizontal="center" vertical="center"/>
    </xf>
    <xf numFmtId="0" fontId="5" fillId="48" borderId="38" xfId="0" quotePrefix="1" applyFont="1" applyFill="1" applyBorder="1" applyAlignment="1">
      <alignment horizontal="left" vertical="top"/>
    </xf>
    <xf numFmtId="0" fontId="5" fillId="48" borderId="45" xfId="0" quotePrefix="1" applyFont="1" applyFill="1" applyBorder="1" applyAlignment="1">
      <alignment horizontal="left" vertical="top"/>
    </xf>
    <xf numFmtId="177" fontId="5" fillId="48" borderId="43" xfId="0" quotePrefix="1" applyNumberFormat="1" applyFont="1" applyFill="1" applyBorder="1" applyAlignment="1">
      <alignment vertical="top"/>
    </xf>
    <xf numFmtId="177" fontId="5" fillId="48" borderId="38" xfId="0" quotePrefix="1" applyNumberFormat="1" applyFont="1" applyFill="1" applyBorder="1" applyAlignment="1">
      <alignment horizontal="left" vertical="top"/>
    </xf>
    <xf numFmtId="177" fontId="5" fillId="48" borderId="43" xfId="0" quotePrefix="1" applyNumberFormat="1" applyFont="1" applyFill="1" applyBorder="1" applyAlignment="1">
      <alignment horizontal="left" vertical="top"/>
    </xf>
    <xf numFmtId="177" fontId="5" fillId="48" borderId="34" xfId="0" quotePrefix="1" applyNumberFormat="1" applyFont="1" applyFill="1" applyBorder="1" applyAlignment="1">
      <alignment horizontal="center" vertical="center"/>
    </xf>
    <xf numFmtId="3" fontId="26" fillId="48" borderId="45" xfId="0" quotePrefix="1" applyNumberFormat="1" applyFont="1" applyFill="1" applyBorder="1" applyAlignment="1">
      <alignment horizontal="center" vertical="center" wrapText="1"/>
    </xf>
    <xf numFmtId="3" fontId="26" fillId="48" borderId="45" xfId="0" quotePrefix="1" applyNumberFormat="1" applyFont="1" applyFill="1" applyBorder="1" applyAlignment="1">
      <alignment horizontal="left" vertical="center" wrapText="1"/>
    </xf>
    <xf numFmtId="3" fontId="26" fillId="48" borderId="45" xfId="0" applyNumberFormat="1" applyFont="1" applyFill="1" applyBorder="1" applyAlignment="1">
      <alignment horizontal="left" vertical="center" wrapText="1"/>
    </xf>
    <xf numFmtId="0" fontId="21" fillId="48" borderId="45" xfId="0" applyFont="1" applyFill="1" applyBorder="1" applyAlignment="1">
      <alignment vertical="top" wrapText="1"/>
    </xf>
    <xf numFmtId="3" fontId="26" fillId="48" borderId="57" xfId="0" quotePrefix="1" applyNumberFormat="1" applyFont="1" applyFill="1" applyBorder="1" applyAlignment="1">
      <alignment horizontal="center" vertical="center" wrapText="1"/>
    </xf>
    <xf numFmtId="3" fontId="26" fillId="48" borderId="57" xfId="0" quotePrefix="1" applyNumberFormat="1" applyFont="1" applyFill="1" applyBorder="1" applyAlignment="1">
      <alignment horizontal="left" vertical="center" wrapText="1"/>
    </xf>
    <xf numFmtId="0" fontId="5" fillId="48" borderId="57" xfId="0" applyFont="1" applyFill="1" applyBorder="1" applyAlignment="1">
      <alignment horizontal="left" vertical="top" wrapText="1"/>
    </xf>
    <xf numFmtId="177" fontId="0" fillId="48" borderId="49" xfId="0" quotePrefix="1" applyNumberFormat="1" applyFill="1" applyBorder="1" applyAlignment="1">
      <alignment horizontal="center" vertical="center"/>
    </xf>
    <xf numFmtId="0" fontId="0" fillId="48" borderId="80" xfId="0" quotePrefix="1" applyFill="1" applyBorder="1">
      <alignment vertical="center"/>
    </xf>
    <xf numFmtId="0" fontId="5" fillId="48" borderId="52" xfId="0" applyFont="1" applyFill="1" applyBorder="1" applyAlignment="1">
      <alignment horizontal="center" vertical="center"/>
    </xf>
    <xf numFmtId="177" fontId="5" fillId="48" borderId="34" xfId="0" quotePrefix="1" applyNumberFormat="1" applyFont="1" applyFill="1" applyBorder="1" applyAlignment="1">
      <alignment horizontal="center" vertical="top" wrapText="1"/>
    </xf>
    <xf numFmtId="0" fontId="5" fillId="48" borderId="78" xfId="0" applyFont="1" applyFill="1" applyBorder="1" applyAlignment="1">
      <alignment vertical="top"/>
    </xf>
    <xf numFmtId="177" fontId="5" fillId="48" borderId="77" xfId="0" quotePrefix="1" applyNumberFormat="1" applyFont="1" applyFill="1" applyBorder="1" applyAlignment="1">
      <alignment horizontal="center" vertical="top" wrapText="1"/>
    </xf>
    <xf numFmtId="0" fontId="0" fillId="48" borderId="82" xfId="0" applyFill="1" applyBorder="1">
      <alignment vertical="center"/>
    </xf>
    <xf numFmtId="0" fontId="0" fillId="48" borderId="49" xfId="0" applyFill="1" applyBorder="1">
      <alignment vertical="center"/>
    </xf>
    <xf numFmtId="181" fontId="21" fillId="48" borderId="221" xfId="0" quotePrefix="1" applyNumberFormat="1" applyFont="1" applyFill="1" applyBorder="1" applyAlignment="1">
      <alignment horizontal="right" vertical="center" wrapText="1"/>
    </xf>
    <xf numFmtId="181" fontId="21" fillId="48" borderId="54" xfId="0" quotePrefix="1" applyNumberFormat="1" applyFont="1" applyFill="1" applyBorder="1" applyAlignment="1">
      <alignment vertical="center" wrapText="1"/>
    </xf>
    <xf numFmtId="181" fontId="21" fillId="48" borderId="45" xfId="0" quotePrefix="1" applyNumberFormat="1" applyFont="1" applyFill="1" applyBorder="1" applyAlignment="1">
      <alignment horizontal="right" vertical="center" wrapText="1"/>
    </xf>
    <xf numFmtId="3" fontId="21" fillId="48" borderId="57" xfId="0" quotePrefix="1" applyNumberFormat="1" applyFont="1" applyFill="1" applyBorder="1" applyAlignment="1">
      <alignment horizontal="center" vertical="center" wrapText="1"/>
    </xf>
    <xf numFmtId="3" fontId="21" fillId="48" borderId="57" xfId="0" quotePrefix="1" applyNumberFormat="1" applyFont="1" applyFill="1" applyBorder="1" applyAlignment="1">
      <alignment horizontal="left" vertical="center" wrapText="1"/>
    </xf>
    <xf numFmtId="178" fontId="5" fillId="48" borderId="57" xfId="0" applyNumberFormat="1" applyFont="1" applyFill="1" applyBorder="1" applyAlignment="1">
      <alignment horizontal="left" vertical="top" wrapText="1"/>
    </xf>
    <xf numFmtId="181" fontId="21" fillId="48" borderId="219" xfId="0" applyNumberFormat="1" applyFont="1" applyFill="1" applyBorder="1" applyAlignment="1">
      <alignment horizontal="right" vertical="center" wrapText="1"/>
    </xf>
    <xf numFmtId="181" fontId="21" fillId="48" borderId="38" xfId="0" applyNumberFormat="1" applyFont="1" applyFill="1" applyBorder="1" applyAlignment="1">
      <alignment horizontal="right" vertical="center" wrapText="1"/>
    </xf>
    <xf numFmtId="4" fontId="21" fillId="48" borderId="45" xfId="0" applyNumberFormat="1" applyFont="1" applyFill="1" applyBorder="1" applyAlignment="1">
      <alignment horizontal="center" vertical="center" wrapText="1"/>
    </xf>
    <xf numFmtId="4" fontId="21" fillId="48" borderId="45" xfId="0" applyNumberFormat="1" applyFont="1" applyFill="1" applyBorder="1" applyAlignment="1">
      <alignment horizontal="left" vertical="center" wrapText="1"/>
    </xf>
    <xf numFmtId="181" fontId="21" fillId="48" borderId="227" xfId="0" applyNumberFormat="1" applyFont="1" applyFill="1" applyBorder="1" applyAlignment="1">
      <alignment horizontal="right" vertical="center" wrapText="1"/>
    </xf>
    <xf numFmtId="181" fontId="21" fillId="48" borderId="78" xfId="0" applyNumberFormat="1" applyFont="1" applyFill="1" applyBorder="1" applyAlignment="1">
      <alignment horizontal="right" vertical="center" wrapText="1"/>
    </xf>
    <xf numFmtId="3" fontId="21" fillId="48" borderId="45" xfId="0" quotePrefix="1" applyNumberFormat="1" applyFont="1" applyFill="1" applyBorder="1" applyAlignment="1">
      <alignment horizontal="center" vertical="center" wrapText="1"/>
    </xf>
    <xf numFmtId="185" fontId="21" fillId="48" borderId="80" xfId="0" applyNumberFormat="1" applyFont="1" applyFill="1" applyBorder="1" applyAlignment="1">
      <alignment horizontal="left" vertical="center" wrapText="1"/>
    </xf>
    <xf numFmtId="0" fontId="21" fillId="48" borderId="36" xfId="0" applyFont="1" applyFill="1" applyBorder="1" applyAlignment="1">
      <alignment vertical="top" wrapText="1"/>
    </xf>
    <xf numFmtId="0" fontId="21" fillId="48" borderId="80" xfId="0" applyFont="1" applyFill="1" applyBorder="1" applyAlignment="1">
      <alignment vertical="top" wrapText="1"/>
    </xf>
    <xf numFmtId="0" fontId="5" fillId="48" borderId="78" xfId="0" quotePrefix="1" applyFont="1" applyFill="1" applyBorder="1" applyAlignment="1">
      <alignment vertical="top"/>
    </xf>
    <xf numFmtId="181" fontId="21" fillId="48" borderId="77" xfId="0" applyNumberFormat="1" applyFont="1" applyFill="1" applyBorder="1" applyAlignment="1">
      <alignment horizontal="right" vertical="center" wrapText="1"/>
    </xf>
    <xf numFmtId="178" fontId="21" fillId="48" borderId="36" xfId="0" applyNumberFormat="1" applyFont="1" applyFill="1" applyBorder="1" applyAlignment="1">
      <alignment horizontal="left" vertical="center" wrapText="1"/>
    </xf>
    <xf numFmtId="178" fontId="21" fillId="48" borderId="45" xfId="0" applyNumberFormat="1" applyFont="1" applyFill="1" applyBorder="1" applyAlignment="1">
      <alignment horizontal="left" vertical="center" wrapText="1"/>
    </xf>
    <xf numFmtId="0" fontId="0" fillId="48" borderId="57" xfId="0" applyFill="1" applyBorder="1">
      <alignment vertical="center"/>
    </xf>
    <xf numFmtId="0" fontId="0" fillId="48" borderId="49" xfId="0" applyFill="1" applyBorder="1" applyAlignment="1">
      <alignment vertical="center" wrapText="1"/>
    </xf>
    <xf numFmtId="0" fontId="0" fillId="48" borderId="45" xfId="0" applyFill="1" applyBorder="1">
      <alignment vertical="center"/>
    </xf>
    <xf numFmtId="181" fontId="15" fillId="58" borderId="307" xfId="0" quotePrefix="1" applyNumberFormat="1" applyFont="1" applyFill="1" applyBorder="1">
      <alignment vertical="center"/>
    </xf>
    <xf numFmtId="177" fontId="15" fillId="58" borderId="342" xfId="0" quotePrefix="1" applyNumberFormat="1" applyFont="1" applyFill="1" applyBorder="1">
      <alignment vertical="center"/>
    </xf>
    <xf numFmtId="177" fontId="15" fillId="58" borderId="343" xfId="0" quotePrefix="1" applyNumberFormat="1" applyFont="1" applyFill="1" applyBorder="1">
      <alignment vertical="center"/>
    </xf>
    <xf numFmtId="181" fontId="15" fillId="58" borderId="344" xfId="0" quotePrefix="1" applyNumberFormat="1" applyFont="1" applyFill="1" applyBorder="1">
      <alignment vertical="center"/>
    </xf>
    <xf numFmtId="0" fontId="0" fillId="52" borderId="341" xfId="0" applyFill="1" applyBorder="1">
      <alignment vertical="center"/>
    </xf>
    <xf numFmtId="0" fontId="75" fillId="52" borderId="341" xfId="0" applyFont="1" applyFill="1" applyBorder="1">
      <alignment vertical="center"/>
    </xf>
    <xf numFmtId="0" fontId="15" fillId="52" borderId="341" xfId="0" applyFont="1" applyFill="1" applyBorder="1">
      <alignment vertical="center"/>
    </xf>
    <xf numFmtId="182" fontId="21" fillId="48" borderId="303" xfId="1" quotePrefix="1" applyNumberFormat="1" applyFont="1" applyFill="1" applyBorder="1" applyAlignment="1">
      <alignment horizontal="right" vertical="center" wrapText="1"/>
    </xf>
    <xf numFmtId="182" fontId="21" fillId="4" borderId="303" xfId="1" applyNumberFormat="1" applyFont="1" applyFill="1" applyBorder="1" applyAlignment="1">
      <alignment horizontal="right" vertical="center" wrapText="1"/>
    </xf>
    <xf numFmtId="182" fontId="21" fillId="4" borderId="219" xfId="0" applyNumberFormat="1" applyFont="1" applyFill="1" applyBorder="1" applyAlignment="1">
      <alignment vertical="center" wrapText="1"/>
    </xf>
    <xf numFmtId="182" fontId="21" fillId="43" borderId="219" xfId="0" applyNumberFormat="1" applyFont="1" applyFill="1" applyBorder="1" applyAlignment="1">
      <alignment vertical="center" wrapText="1"/>
    </xf>
    <xf numFmtId="182" fontId="21" fillId="48" borderId="37" xfId="1" quotePrefix="1" applyNumberFormat="1" applyFont="1" applyFill="1" applyBorder="1" applyAlignment="1">
      <alignment horizontal="right" vertical="center" wrapText="1"/>
    </xf>
    <xf numFmtId="182" fontId="21" fillId="4" borderId="37" xfId="1" applyNumberFormat="1" applyFont="1" applyFill="1" applyBorder="1" applyAlignment="1">
      <alignment horizontal="right" vertical="center" wrapText="1"/>
    </xf>
    <xf numFmtId="182" fontId="21" fillId="4" borderId="38" xfId="0" quotePrefix="1" applyNumberFormat="1" applyFont="1" applyFill="1" applyBorder="1" applyAlignment="1">
      <alignment horizontal="right" vertical="center" wrapText="1"/>
    </xf>
    <xf numFmtId="182" fontId="21" fillId="4" borderId="38" xfId="0" quotePrefix="1" applyNumberFormat="1" applyFont="1" applyFill="1" applyBorder="1" applyAlignment="1">
      <alignment horizontal="right" vertical="top" wrapText="1"/>
    </xf>
    <xf numFmtId="182" fontId="21" fillId="48" borderId="38" xfId="1" quotePrefix="1" applyNumberFormat="1" applyFont="1" applyFill="1" applyBorder="1" applyAlignment="1">
      <alignment horizontal="right" vertical="center" wrapText="1"/>
    </xf>
    <xf numFmtId="182" fontId="21" fillId="43" borderId="38" xfId="0" quotePrefix="1" applyNumberFormat="1" applyFont="1" applyFill="1" applyBorder="1" applyAlignment="1">
      <alignment horizontal="right" vertical="center" wrapText="1"/>
    </xf>
    <xf numFmtId="182" fontId="21" fillId="48" borderId="43" xfId="0" quotePrefix="1" applyNumberFormat="1" applyFont="1" applyFill="1" applyBorder="1" applyAlignment="1">
      <alignment horizontal="right" vertical="center" wrapText="1"/>
    </xf>
    <xf numFmtId="182" fontId="21" fillId="4" borderId="38" xfId="1" quotePrefix="1" applyNumberFormat="1" applyFont="1" applyFill="1" applyBorder="1" applyAlignment="1">
      <alignment horizontal="right" vertical="center" wrapText="1"/>
    </xf>
    <xf numFmtId="182" fontId="21" fillId="4" borderId="38" xfId="0" applyNumberFormat="1" applyFont="1" applyFill="1" applyBorder="1" applyAlignment="1">
      <alignment vertical="center" wrapText="1"/>
    </xf>
    <xf numFmtId="182" fontId="21" fillId="4" borderId="38" xfId="0" applyNumberFormat="1" applyFont="1" applyFill="1" applyBorder="1" applyAlignment="1">
      <alignment horizontal="right" vertical="top" wrapText="1"/>
    </xf>
    <xf numFmtId="182" fontId="21" fillId="48" borderId="38" xfId="0" quotePrefix="1" applyNumberFormat="1" applyFont="1" applyFill="1" applyBorder="1" applyAlignment="1">
      <alignment horizontal="right" vertical="center" wrapText="1"/>
    </xf>
    <xf numFmtId="0" fontId="15" fillId="52" borderId="302" xfId="0" applyFont="1" applyFill="1" applyBorder="1">
      <alignment vertical="center"/>
    </xf>
    <xf numFmtId="0" fontId="15" fillId="52" borderId="42" xfId="0" applyFont="1" applyFill="1" applyBorder="1">
      <alignment vertical="center"/>
    </xf>
    <xf numFmtId="0" fontId="5" fillId="52" borderId="45" xfId="0" applyFont="1" applyFill="1" applyBorder="1" applyAlignment="1">
      <alignment horizontal="center" vertical="center"/>
    </xf>
    <xf numFmtId="0" fontId="5" fillId="52" borderId="45" xfId="0" applyFont="1" applyFill="1" applyBorder="1" applyAlignment="1">
      <alignment horizontal="left" vertical="center"/>
    </xf>
    <xf numFmtId="3" fontId="5" fillId="52" borderId="45" xfId="0" applyNumberFormat="1" applyFont="1" applyFill="1" applyBorder="1" applyAlignment="1">
      <alignment vertical="center" wrapText="1"/>
    </xf>
    <xf numFmtId="182" fontId="21" fillId="4" borderId="38" xfId="0" applyNumberFormat="1" applyFont="1" applyFill="1" applyBorder="1" applyAlignment="1">
      <alignment horizontal="right" vertical="center" wrapText="1"/>
    </xf>
    <xf numFmtId="182" fontId="21" fillId="48" borderId="219" xfId="0" applyNumberFormat="1" applyFont="1" applyFill="1" applyBorder="1" applyAlignment="1">
      <alignment vertical="center" wrapText="1"/>
    </xf>
    <xf numFmtId="182" fontId="21" fillId="4" borderId="219" xfId="1" applyNumberFormat="1" applyFont="1" applyFill="1" applyBorder="1" applyAlignment="1">
      <alignment vertical="center" wrapText="1"/>
    </xf>
    <xf numFmtId="182" fontId="21" fillId="4" borderId="38" xfId="8" applyNumberFormat="1" applyFont="1" applyFill="1" applyBorder="1" applyAlignment="1">
      <alignment horizontal="right" vertical="top" wrapText="1"/>
    </xf>
    <xf numFmtId="182" fontId="21" fillId="4" borderId="38" xfId="1" applyNumberFormat="1" applyFont="1" applyFill="1" applyBorder="1" applyAlignment="1">
      <alignment horizontal="right" vertical="center" wrapText="1"/>
    </xf>
    <xf numFmtId="182" fontId="21" fillId="48" borderId="297" xfId="1" quotePrefix="1" applyNumberFormat="1" applyFont="1" applyFill="1" applyBorder="1" applyAlignment="1">
      <alignment horizontal="right" vertical="center" wrapText="1"/>
    </xf>
    <xf numFmtId="182" fontId="21" fillId="4" borderId="45" xfId="0" applyNumberFormat="1" applyFont="1" applyFill="1" applyBorder="1" applyAlignment="1">
      <alignment horizontal="right" vertical="top" wrapText="1"/>
    </xf>
    <xf numFmtId="182" fontId="21" fillId="4" borderId="52" xfId="0" applyNumberFormat="1" applyFont="1" applyFill="1" applyBorder="1" applyAlignment="1">
      <alignment vertical="center" wrapText="1"/>
    </xf>
    <xf numFmtId="182" fontId="21" fillId="4" borderId="37" xfId="1" quotePrefix="1" applyNumberFormat="1" applyFont="1" applyFill="1" applyBorder="1" applyAlignment="1">
      <alignment horizontal="right" vertical="center" wrapText="1"/>
    </xf>
    <xf numFmtId="182" fontId="21" fillId="4" borderId="54" xfId="0" quotePrefix="1" applyNumberFormat="1" applyFont="1" applyFill="1" applyBorder="1" applyAlignment="1">
      <alignment horizontal="right" vertical="center" wrapText="1"/>
    </xf>
    <xf numFmtId="182" fontId="21" fillId="52" borderId="303" xfId="1" quotePrefix="1" applyNumberFormat="1" applyFont="1" applyFill="1" applyBorder="1" applyAlignment="1">
      <alignment horizontal="right" vertical="center" wrapText="1"/>
    </xf>
    <xf numFmtId="182" fontId="21" fillId="52" borderId="38" xfId="1" quotePrefix="1" applyNumberFormat="1" applyFont="1" applyFill="1" applyBorder="1" applyAlignment="1">
      <alignment horizontal="right" vertical="center" wrapText="1"/>
    </xf>
    <xf numFmtId="182" fontId="21" fillId="52" borderId="38" xfId="0" quotePrefix="1" applyNumberFormat="1" applyFont="1" applyFill="1" applyBorder="1" applyAlignment="1">
      <alignment horizontal="right" vertical="center" wrapText="1"/>
    </xf>
    <xf numFmtId="182" fontId="21" fillId="4" borderId="303" xfId="1" quotePrefix="1" applyNumberFormat="1" applyFont="1" applyFill="1" applyBorder="1" applyAlignment="1">
      <alignment horizontal="right" vertical="center" wrapText="1"/>
    </xf>
    <xf numFmtId="182" fontId="21" fillId="4" borderId="38" xfId="1" quotePrefix="1" applyNumberFormat="1" applyFont="1" applyFill="1" applyBorder="1" applyAlignment="1">
      <alignment horizontal="right" vertical="top" wrapText="1"/>
    </xf>
    <xf numFmtId="182" fontId="26" fillId="4" borderId="303" xfId="1" applyNumberFormat="1" applyFont="1" applyFill="1" applyBorder="1" applyAlignment="1">
      <alignment horizontal="right" vertical="center" wrapText="1"/>
    </xf>
    <xf numFmtId="182" fontId="26" fillId="4" borderId="38" xfId="1" applyNumberFormat="1" applyFont="1" applyFill="1" applyBorder="1" applyAlignment="1">
      <alignment horizontal="right" vertical="center" wrapText="1"/>
    </xf>
    <xf numFmtId="182" fontId="21" fillId="4" borderId="45" xfId="0" applyNumberFormat="1" applyFont="1" applyFill="1" applyBorder="1" applyAlignment="1">
      <alignment vertical="center" wrapText="1"/>
    </xf>
    <xf numFmtId="182" fontId="21" fillId="4" borderId="52" xfId="0" quotePrefix="1" applyNumberFormat="1" applyFont="1" applyFill="1" applyBorder="1" applyAlignment="1">
      <alignment horizontal="right" vertical="center" wrapText="1"/>
    </xf>
    <xf numFmtId="182" fontId="21" fillId="4" borderId="37" xfId="1" quotePrefix="1" applyNumberFormat="1" applyFont="1" applyFill="1" applyBorder="1" applyAlignment="1">
      <alignment horizontal="right" vertical="top" wrapText="1"/>
    </xf>
    <xf numFmtId="177" fontId="15" fillId="48" borderId="302" xfId="0" quotePrefix="1" applyNumberFormat="1" applyFont="1" applyFill="1" applyBorder="1">
      <alignment vertical="center"/>
    </xf>
    <xf numFmtId="177" fontId="15" fillId="48" borderId="77" xfId="0" quotePrefix="1" applyNumberFormat="1" applyFont="1" applyFill="1" applyBorder="1">
      <alignment vertical="center"/>
    </xf>
    <xf numFmtId="177" fontId="15" fillId="48" borderId="33" xfId="0" quotePrefix="1" applyNumberFormat="1" applyFont="1" applyFill="1" applyBorder="1">
      <alignment vertical="center"/>
    </xf>
    <xf numFmtId="177" fontId="15" fillId="48" borderId="36" xfId="0" quotePrefix="1" applyNumberFormat="1" applyFont="1" applyFill="1" applyBorder="1">
      <alignment vertical="center"/>
    </xf>
    <xf numFmtId="177" fontId="15" fillId="48" borderId="42" xfId="0" applyNumberFormat="1" applyFont="1" applyFill="1" applyBorder="1">
      <alignment vertical="center"/>
    </xf>
    <xf numFmtId="177" fontId="15" fillId="48" borderId="45" xfId="0" applyNumberFormat="1" applyFont="1" applyFill="1" applyBorder="1">
      <alignment vertical="center"/>
    </xf>
    <xf numFmtId="182" fontId="21" fillId="4" borderId="52" xfId="0" applyNumberFormat="1" applyFont="1" applyFill="1" applyBorder="1" applyAlignment="1">
      <alignment horizontal="right" vertical="top" wrapText="1"/>
    </xf>
    <xf numFmtId="182" fontId="21" fillId="14" borderId="217" xfId="0" applyNumberFormat="1" applyFont="1" applyFill="1" applyBorder="1" applyAlignment="1">
      <alignment horizontal="left" vertical="center"/>
    </xf>
    <xf numFmtId="182" fontId="21" fillId="14" borderId="28" xfId="0" applyNumberFormat="1" applyFont="1" applyFill="1" applyBorder="1" applyAlignment="1">
      <alignment horizontal="left" vertical="center"/>
    </xf>
    <xf numFmtId="182" fontId="21" fillId="4" borderId="38" xfId="1" applyNumberFormat="1" applyFont="1" applyFill="1" applyBorder="1" applyAlignment="1">
      <alignment horizontal="right" vertical="top" wrapText="1"/>
    </xf>
    <xf numFmtId="182" fontId="21" fillId="4" borderId="219" xfId="8" quotePrefix="1" applyNumberFormat="1" applyFont="1" applyFill="1" applyBorder="1" applyAlignment="1">
      <alignment horizontal="right" vertical="center" wrapText="1"/>
    </xf>
    <xf numFmtId="182" fontId="21" fillId="4" borderId="38" xfId="8" quotePrefix="1" applyNumberFormat="1" applyFont="1" applyFill="1" applyBorder="1" applyAlignment="1">
      <alignment horizontal="right" vertical="top" wrapText="1"/>
    </xf>
    <xf numFmtId="182" fontId="21" fillId="18" borderId="297" xfId="1" applyNumberFormat="1" applyFont="1" applyFill="1" applyBorder="1" applyAlignment="1">
      <alignment vertical="center" wrapText="1"/>
    </xf>
    <xf numFmtId="182" fontId="21" fillId="18" borderId="38" xfId="1" applyNumberFormat="1" applyFont="1" applyFill="1" applyBorder="1" applyAlignment="1">
      <alignment vertical="center" wrapText="1"/>
    </xf>
    <xf numFmtId="182" fontId="21" fillId="4" borderId="38" xfId="1" applyNumberFormat="1" applyFont="1" applyFill="1" applyBorder="1" applyAlignment="1">
      <alignment vertical="center" wrapText="1"/>
    </xf>
    <xf numFmtId="182" fontId="21" fillId="4" borderId="219" xfId="8" applyNumberFormat="1" applyFont="1" applyFill="1" applyBorder="1" applyAlignment="1">
      <alignment vertical="center" wrapText="1"/>
    </xf>
    <xf numFmtId="182" fontId="21" fillId="4" borderId="52" xfId="8" applyNumberFormat="1" applyFont="1" applyFill="1" applyBorder="1" applyAlignment="1">
      <alignment horizontal="right" vertical="top" wrapText="1"/>
    </xf>
    <xf numFmtId="182" fontId="5" fillId="4" borderId="38" xfId="0" applyNumberFormat="1" applyFont="1" applyFill="1" applyBorder="1" applyAlignment="1">
      <alignment horizontal="right" vertical="top" wrapText="1"/>
    </xf>
    <xf numFmtId="182" fontId="21" fillId="4" borderId="52" xfId="1" applyNumberFormat="1" applyFont="1" applyFill="1" applyBorder="1" applyAlignment="1">
      <alignment horizontal="right" vertical="top" wrapText="1"/>
    </xf>
    <xf numFmtId="182" fontId="21" fillId="4" borderId="52" xfId="1" quotePrefix="1" applyNumberFormat="1" applyFont="1" applyFill="1" applyBorder="1" applyAlignment="1">
      <alignment horizontal="right" vertical="top" wrapText="1"/>
    </xf>
    <xf numFmtId="182" fontId="21" fillId="4" borderId="219" xfId="0" quotePrefix="1" applyNumberFormat="1" applyFont="1" applyFill="1" applyBorder="1" applyAlignment="1">
      <alignment horizontal="right" vertical="center" wrapText="1"/>
    </xf>
    <xf numFmtId="182" fontId="21" fillId="32" borderId="219" xfId="0" applyNumberFormat="1" applyFont="1" applyFill="1" applyBorder="1" applyAlignment="1">
      <alignment vertical="center" wrapText="1"/>
    </xf>
    <xf numFmtId="182" fontId="21" fillId="32" borderId="38" xfId="0" quotePrefix="1" applyNumberFormat="1" applyFont="1" applyFill="1" applyBorder="1" applyAlignment="1">
      <alignment horizontal="right" vertical="top" wrapText="1"/>
    </xf>
    <xf numFmtId="182" fontId="21" fillId="32" borderId="52" xfId="0" applyNumberFormat="1" applyFont="1" applyFill="1" applyBorder="1" applyAlignment="1">
      <alignment horizontal="right" vertical="top" wrapText="1"/>
    </xf>
    <xf numFmtId="182" fontId="21" fillId="4" borderId="38" xfId="8" quotePrefix="1" applyNumberFormat="1" applyFont="1" applyFill="1" applyBorder="1" applyAlignment="1">
      <alignment horizontal="right" vertical="center" wrapText="1"/>
    </xf>
    <xf numFmtId="182" fontId="21" fillId="4" borderId="52" xfId="8" quotePrefix="1" applyNumberFormat="1" applyFont="1" applyFill="1" applyBorder="1" applyAlignment="1">
      <alignment vertical="center" wrapText="1"/>
    </xf>
    <xf numFmtId="182" fontId="21" fillId="22" borderId="43" xfId="0" applyNumberFormat="1" applyFont="1" applyFill="1" applyBorder="1" applyAlignment="1">
      <alignment horizontal="right" vertical="center" wrapText="1"/>
    </xf>
    <xf numFmtId="182" fontId="21" fillId="32" borderId="38" xfId="0" quotePrefix="1" applyNumberFormat="1" applyFont="1" applyFill="1" applyBorder="1" applyAlignment="1">
      <alignment horizontal="right" vertical="center" wrapText="1"/>
    </xf>
    <xf numFmtId="182" fontId="21" fillId="32" borderId="43" xfId="0" applyNumberFormat="1" applyFont="1" applyFill="1" applyBorder="1" applyAlignment="1">
      <alignment horizontal="right" vertical="center" wrapText="1"/>
    </xf>
    <xf numFmtId="182" fontId="21" fillId="4" borderId="221" xfId="0" applyNumberFormat="1" applyFont="1" applyFill="1" applyBorder="1" applyAlignment="1">
      <alignment vertical="center" wrapText="1"/>
    </xf>
    <xf numFmtId="182" fontId="21" fillId="4" borderId="57" xfId="0" applyNumberFormat="1" applyFont="1" applyFill="1" applyBorder="1" applyAlignment="1">
      <alignment vertical="center" wrapText="1"/>
    </xf>
    <xf numFmtId="182" fontId="21" fillId="22" borderId="52" xfId="0" applyNumberFormat="1" applyFont="1" applyFill="1" applyBorder="1" applyAlignment="1">
      <alignment horizontal="right" vertical="center" wrapText="1"/>
    </xf>
    <xf numFmtId="182" fontId="21" fillId="4" borderId="57" xfId="0" quotePrefix="1" applyNumberFormat="1" applyFont="1" applyFill="1" applyBorder="1" applyAlignment="1">
      <alignment horizontal="right" vertical="center" wrapText="1"/>
    </xf>
    <xf numFmtId="182" fontId="21" fillId="4" borderId="54" xfId="0" applyNumberFormat="1" applyFont="1" applyFill="1" applyBorder="1" applyAlignment="1">
      <alignment horizontal="right" vertical="center" wrapText="1"/>
    </xf>
    <xf numFmtId="182" fontId="21" fillId="4" borderId="95" xfId="0" quotePrefix="1" applyNumberFormat="1" applyFont="1" applyFill="1" applyBorder="1" applyAlignment="1">
      <alignment horizontal="right" vertical="center" wrapText="1"/>
    </xf>
    <xf numFmtId="182" fontId="21" fillId="4" borderId="73" xfId="0" quotePrefix="1" applyNumberFormat="1" applyFont="1" applyFill="1" applyBorder="1" applyAlignment="1">
      <alignment horizontal="right" vertical="center" wrapText="1"/>
    </xf>
    <xf numFmtId="182" fontId="20" fillId="32" borderId="219" xfId="8" applyNumberFormat="1" applyFont="1" applyFill="1" applyBorder="1" applyAlignment="1">
      <alignment vertical="center" wrapText="1"/>
    </xf>
    <xf numFmtId="182" fontId="20" fillId="32" borderId="38" xfId="8" quotePrefix="1" applyNumberFormat="1" applyFont="1" applyFill="1" applyBorder="1" applyAlignment="1">
      <alignment horizontal="right" vertical="top" wrapText="1"/>
    </xf>
    <xf numFmtId="182" fontId="21" fillId="4" borderId="37" xfId="1" applyNumberFormat="1" applyFont="1" applyFill="1" applyBorder="1" applyAlignment="1">
      <alignment horizontal="right" vertical="top" wrapText="1"/>
    </xf>
    <xf numFmtId="182" fontId="21" fillId="4" borderId="52" xfId="8" applyNumberFormat="1" applyFont="1" applyFill="1" applyBorder="1" applyAlignment="1">
      <alignment vertical="center" wrapText="1"/>
    </xf>
    <xf numFmtId="182" fontId="21" fillId="19" borderId="219" xfId="0" applyNumberFormat="1" applyFont="1" applyFill="1" applyBorder="1" applyAlignment="1">
      <alignment horizontal="right" vertical="center"/>
    </xf>
    <xf numFmtId="182" fontId="21" fillId="19" borderId="38" xfId="0" applyNumberFormat="1" applyFont="1" applyFill="1" applyBorder="1" applyAlignment="1">
      <alignment horizontal="right" vertical="center"/>
    </xf>
    <xf numFmtId="182" fontId="21" fillId="19" borderId="43" xfId="0" applyNumberFormat="1" applyFont="1" applyFill="1" applyBorder="1" applyAlignment="1">
      <alignment horizontal="right" vertical="center"/>
    </xf>
    <xf numFmtId="182" fontId="21" fillId="4" borderId="43" xfId="0" applyNumberFormat="1" applyFont="1" applyFill="1" applyBorder="1" applyAlignment="1">
      <alignment horizontal="right" vertical="center" wrapText="1"/>
    </xf>
    <xf numFmtId="182" fontId="21" fillId="4" borderId="54" xfId="0" quotePrefix="1" applyNumberFormat="1" applyFont="1" applyFill="1" applyBorder="1" applyAlignment="1">
      <alignment vertical="center" wrapText="1"/>
    </xf>
    <xf numFmtId="182" fontId="21" fillId="4" borderId="223" xfId="0" applyNumberFormat="1" applyFont="1" applyFill="1" applyBorder="1" applyAlignment="1">
      <alignment vertical="center" wrapText="1"/>
    </xf>
    <xf numFmtId="182" fontId="21" fillId="22" borderId="87" xfId="0" applyNumberFormat="1" applyFont="1" applyFill="1" applyBorder="1" applyAlignment="1">
      <alignment horizontal="right" vertical="center" wrapText="1"/>
    </xf>
    <xf numFmtId="182" fontId="21" fillId="54" borderId="43" xfId="0" applyNumberFormat="1" applyFont="1" applyFill="1" applyBorder="1" applyAlignment="1">
      <alignment horizontal="right" vertical="center" wrapText="1"/>
    </xf>
    <xf numFmtId="182" fontId="21" fillId="56" borderId="43" xfId="0" applyNumberFormat="1" applyFont="1" applyFill="1" applyBorder="1" applyAlignment="1">
      <alignment horizontal="right" vertical="center" wrapText="1"/>
    </xf>
    <xf numFmtId="182" fontId="21" fillId="32" borderId="38" xfId="0" applyNumberFormat="1" applyFont="1" applyFill="1" applyBorder="1" applyAlignment="1">
      <alignment horizontal="right" vertical="center" wrapText="1"/>
    </xf>
    <xf numFmtId="3" fontId="5" fillId="0" borderId="0" xfId="0" applyNumberFormat="1" applyFont="1" applyAlignment="1">
      <alignment horizontal="left" vertical="center" wrapText="1"/>
    </xf>
    <xf numFmtId="194" fontId="21" fillId="4" borderId="80" xfId="1" applyNumberFormat="1" applyFont="1" applyFill="1" applyBorder="1" applyAlignment="1">
      <alignment horizontal="left" vertical="center" wrapText="1"/>
    </xf>
    <xf numFmtId="194" fontId="5" fillId="4" borderId="45" xfId="0" applyNumberFormat="1" applyFont="1" applyFill="1" applyBorder="1" applyAlignment="1">
      <alignment horizontal="left" vertical="center" wrapText="1"/>
    </xf>
    <xf numFmtId="194" fontId="21" fillId="4" borderId="45" xfId="0" applyNumberFormat="1" applyFont="1" applyFill="1" applyBorder="1" applyAlignment="1">
      <alignment horizontal="left" vertical="center" wrapText="1"/>
    </xf>
    <xf numFmtId="194" fontId="21" fillId="4" borderId="80" xfId="1" quotePrefix="1" applyNumberFormat="1" applyFont="1" applyFill="1" applyBorder="1" applyAlignment="1">
      <alignment horizontal="left" vertical="center" wrapText="1"/>
    </xf>
    <xf numFmtId="184" fontId="21" fillId="4" borderId="80" xfId="1" quotePrefix="1" applyNumberFormat="1" applyFont="1" applyFill="1" applyBorder="1" applyAlignment="1">
      <alignment horizontal="left" vertical="center" wrapText="1"/>
    </xf>
    <xf numFmtId="49" fontId="21" fillId="4" borderId="80" xfId="1" applyNumberFormat="1" applyFont="1" applyFill="1" applyBorder="1" applyAlignment="1">
      <alignment horizontal="left" vertical="center" wrapText="1"/>
    </xf>
    <xf numFmtId="49" fontId="5" fillId="4" borderId="45" xfId="0" applyNumberFormat="1" applyFont="1" applyFill="1" applyBorder="1" applyAlignment="1">
      <alignment horizontal="left" vertical="center" wrapText="1"/>
    </xf>
    <xf numFmtId="2" fontId="5" fillId="4" borderId="45" xfId="0" applyNumberFormat="1" applyFont="1" applyFill="1" applyBorder="1" applyAlignment="1">
      <alignment horizontal="left" vertical="center" wrapText="1"/>
    </xf>
    <xf numFmtId="49" fontId="21" fillId="4" borderId="80" xfId="1" quotePrefix="1" applyNumberFormat="1" applyFont="1" applyFill="1" applyBorder="1" applyAlignment="1">
      <alignment horizontal="left" vertical="top" wrapText="1"/>
    </xf>
    <xf numFmtId="49" fontId="21" fillId="4" borderId="80" xfId="1" quotePrefix="1" applyNumberFormat="1" applyFont="1" applyFill="1" applyBorder="1" applyAlignment="1">
      <alignment horizontal="left" vertical="center" wrapText="1"/>
    </xf>
    <xf numFmtId="194" fontId="21" fillId="49" borderId="42" xfId="1" quotePrefix="1" applyNumberFormat="1" applyFont="1" applyFill="1" applyBorder="1" applyAlignment="1">
      <alignment horizontal="left" vertical="center" wrapText="1"/>
    </xf>
    <xf numFmtId="0" fontId="21" fillId="4" borderId="80" xfId="1" applyNumberFormat="1" applyFont="1" applyFill="1" applyBorder="1" applyAlignment="1">
      <alignment horizontal="left" vertical="center" wrapText="1"/>
    </xf>
    <xf numFmtId="0" fontId="5" fillId="4" borderId="45" xfId="0" applyFont="1" applyFill="1" applyBorder="1" applyAlignment="1">
      <alignment horizontal="left" vertical="center" wrapText="1"/>
    </xf>
    <xf numFmtId="178" fontId="5" fillId="4" borderId="45" xfId="0" applyNumberFormat="1" applyFont="1" applyFill="1" applyBorder="1" applyAlignment="1">
      <alignment horizontal="left" vertical="center" wrapText="1"/>
    </xf>
    <xf numFmtId="0" fontId="21" fillId="4" borderId="45" xfId="0" applyFont="1" applyFill="1" applyBorder="1" applyAlignment="1">
      <alignment horizontal="left" vertical="center" wrapText="1"/>
    </xf>
    <xf numFmtId="9" fontId="21" fillId="4" borderId="80" xfId="1" quotePrefix="1" applyNumberFormat="1" applyFont="1" applyFill="1" applyBorder="1" applyAlignment="1">
      <alignment horizontal="left" vertical="center" wrapText="1"/>
    </xf>
    <xf numFmtId="40" fontId="21" fillId="4" borderId="38" xfId="1" applyNumberFormat="1" applyFont="1" applyFill="1" applyBorder="1" applyAlignment="1">
      <alignment horizontal="left" vertical="center" wrapText="1"/>
    </xf>
    <xf numFmtId="180" fontId="5" fillId="4" borderId="38" xfId="0" applyNumberFormat="1" applyFont="1" applyFill="1" applyBorder="1" applyAlignment="1">
      <alignment horizontal="left" vertical="center" wrapText="1"/>
    </xf>
    <xf numFmtId="196" fontId="21" fillId="4" borderId="38" xfId="1" quotePrefix="1" applyNumberFormat="1" applyFont="1" applyFill="1" applyBorder="1" applyAlignment="1">
      <alignment horizontal="left" vertical="center" wrapText="1"/>
    </xf>
    <xf numFmtId="196" fontId="21" fillId="4" borderId="38" xfId="0" applyNumberFormat="1" applyFont="1" applyFill="1" applyBorder="1" applyAlignment="1">
      <alignment horizontal="left" vertical="center" wrapText="1"/>
    </xf>
    <xf numFmtId="196" fontId="21" fillId="49" borderId="38" xfId="1" quotePrefix="1" applyNumberFormat="1" applyFont="1" applyFill="1" applyBorder="1" applyAlignment="1">
      <alignment horizontal="left" vertical="center" wrapText="1"/>
    </xf>
    <xf numFmtId="196" fontId="5" fillId="4" borderId="38" xfId="0" applyNumberFormat="1" applyFont="1" applyFill="1" applyBorder="1" applyAlignment="1">
      <alignment horizontal="left" vertical="center" wrapText="1"/>
    </xf>
    <xf numFmtId="180" fontId="21" fillId="4" borderId="54" xfId="1" quotePrefix="1" applyNumberFormat="1" applyFont="1" applyFill="1" applyBorder="1" applyAlignment="1">
      <alignment horizontal="left" vertical="center" wrapText="1"/>
    </xf>
    <xf numFmtId="194" fontId="21" fillId="48" borderId="38" xfId="1" quotePrefix="1" applyNumberFormat="1" applyFont="1" applyFill="1" applyBorder="1" applyAlignment="1">
      <alignment horizontal="left" vertical="center" wrapText="1"/>
    </xf>
    <xf numFmtId="196" fontId="5" fillId="4" borderId="80" xfId="0" applyNumberFormat="1" applyFont="1" applyFill="1" applyBorder="1" applyAlignment="1">
      <alignment horizontal="left" vertical="center" wrapText="1"/>
    </xf>
    <xf numFmtId="196" fontId="21" fillId="4" borderId="38" xfId="1" quotePrefix="1" applyNumberFormat="1" applyFont="1" applyFill="1" applyBorder="1" applyAlignment="1">
      <alignment horizontal="left" vertical="top" wrapText="1"/>
    </xf>
    <xf numFmtId="196" fontId="21" fillId="4" borderId="38" xfId="8" applyNumberFormat="1" applyFont="1" applyFill="1" applyBorder="1" applyAlignment="1">
      <alignment horizontal="left" vertical="center" wrapText="1"/>
    </xf>
    <xf numFmtId="194" fontId="21" fillId="49" borderId="38" xfId="1" quotePrefix="1" applyNumberFormat="1" applyFont="1" applyFill="1" applyBorder="1" applyAlignment="1">
      <alignment horizontal="left" vertical="center" wrapText="1"/>
    </xf>
    <xf numFmtId="178" fontId="21" fillId="4" borderId="38" xfId="8" applyNumberFormat="1" applyFont="1" applyFill="1" applyBorder="1" applyAlignment="1">
      <alignment horizontal="left" vertical="center" wrapText="1"/>
    </xf>
    <xf numFmtId="196" fontId="21" fillId="4" borderId="38" xfId="1" applyNumberFormat="1" applyFont="1" applyFill="1" applyBorder="1" applyAlignment="1">
      <alignment horizontal="left" vertical="top" wrapText="1"/>
    </xf>
    <xf numFmtId="196" fontId="21" fillId="4" borderId="54" xfId="0" applyNumberFormat="1" applyFont="1" applyFill="1" applyBorder="1" applyAlignment="1">
      <alignment horizontal="left" vertical="center" wrapText="1"/>
    </xf>
    <xf numFmtId="40" fontId="21" fillId="5" borderId="80" xfId="1" quotePrefix="1" applyNumberFormat="1" applyFont="1" applyFill="1" applyBorder="1" applyAlignment="1">
      <alignment horizontal="left" vertical="center" wrapText="1"/>
    </xf>
    <xf numFmtId="186" fontId="21" fillId="4" borderId="38" xfId="1" quotePrefix="1" applyNumberFormat="1" applyFont="1" applyFill="1" applyBorder="1" applyAlignment="1">
      <alignment horizontal="left" vertical="center" wrapText="1"/>
    </xf>
    <xf numFmtId="186" fontId="5" fillId="4" borderId="38" xfId="0" applyNumberFormat="1" applyFont="1" applyFill="1" applyBorder="1" applyAlignment="1">
      <alignment horizontal="left" vertical="center" wrapText="1"/>
    </xf>
    <xf numFmtId="40" fontId="21" fillId="5" borderId="38" xfId="1" quotePrefix="1" applyNumberFormat="1" applyFont="1" applyFill="1" applyBorder="1" applyAlignment="1">
      <alignment horizontal="left" vertical="center" wrapText="1"/>
    </xf>
    <xf numFmtId="186" fontId="21" fillId="4" borderId="38" xfId="1" applyNumberFormat="1" applyFont="1" applyFill="1" applyBorder="1" applyAlignment="1">
      <alignment horizontal="left" vertical="center" wrapText="1"/>
    </xf>
    <xf numFmtId="194" fontId="21" fillId="5" borderId="43" xfId="1" quotePrefix="1" applyNumberFormat="1" applyFont="1" applyFill="1" applyBorder="1" applyAlignment="1">
      <alignment horizontal="left" vertical="center" wrapText="1"/>
    </xf>
    <xf numFmtId="40" fontId="21" fillId="4" borderId="43" xfId="1" quotePrefix="1" applyNumberFormat="1" applyFont="1" applyFill="1" applyBorder="1" applyAlignment="1">
      <alignment horizontal="left" vertical="center" wrapText="1"/>
    </xf>
    <xf numFmtId="40" fontId="21" fillId="4" borderId="38" xfId="1" quotePrefix="1" applyNumberFormat="1" applyFont="1" applyFill="1" applyBorder="1" applyAlignment="1">
      <alignment horizontal="left" vertical="center" wrapText="1"/>
    </xf>
    <xf numFmtId="4" fontId="21" fillId="4" borderId="38" xfId="0" applyNumberFormat="1" applyFont="1" applyFill="1" applyBorder="1" applyAlignment="1">
      <alignment horizontal="left" vertical="center" wrapText="1"/>
    </xf>
    <xf numFmtId="4" fontId="21" fillId="4" borderId="38" xfId="1" quotePrefix="1" applyNumberFormat="1" applyFont="1" applyFill="1" applyBorder="1" applyAlignment="1">
      <alignment horizontal="left" vertical="center" wrapText="1"/>
    </xf>
    <xf numFmtId="4" fontId="5" fillId="4" borderId="38" xfId="0" applyNumberFormat="1" applyFont="1" applyFill="1" applyBorder="1" applyAlignment="1">
      <alignment horizontal="left" vertical="center" wrapText="1"/>
    </xf>
    <xf numFmtId="40" fontId="26" fillId="5" borderId="38" xfId="1" quotePrefix="1" applyNumberFormat="1" applyFont="1" applyFill="1" applyBorder="1" applyAlignment="1">
      <alignment horizontal="left" vertical="center" wrapText="1"/>
    </xf>
    <xf numFmtId="3" fontId="21" fillId="4" borderId="38" xfId="0" applyNumberFormat="1" applyFont="1" applyFill="1" applyBorder="1" applyAlignment="1">
      <alignment horizontal="left" vertical="center" wrapText="1"/>
    </xf>
    <xf numFmtId="3" fontId="5" fillId="4" borderId="38" xfId="0" applyNumberFormat="1" applyFont="1" applyFill="1" applyBorder="1" applyAlignment="1">
      <alignment horizontal="left" vertical="center" wrapText="1"/>
    </xf>
    <xf numFmtId="3" fontId="21" fillId="4" borderId="38" xfId="1" quotePrefix="1" applyNumberFormat="1" applyFont="1" applyFill="1" applyBorder="1" applyAlignment="1">
      <alignment horizontal="left" vertical="center" wrapText="1"/>
    </xf>
    <xf numFmtId="196" fontId="26" fillId="5" borderId="38" xfId="1" quotePrefix="1" applyNumberFormat="1" applyFont="1" applyFill="1" applyBorder="1" applyAlignment="1">
      <alignment horizontal="left" vertical="center" wrapText="1"/>
    </xf>
    <xf numFmtId="3" fontId="21" fillId="4" borderId="45" xfId="0" applyNumberFormat="1" applyFont="1" applyFill="1" applyBorder="1" applyAlignment="1">
      <alignment horizontal="left" vertical="center" wrapText="1"/>
    </xf>
    <xf numFmtId="40" fontId="21" fillId="4" borderId="80" xfId="1" quotePrefix="1" applyNumberFormat="1" applyFont="1" applyFill="1" applyBorder="1" applyAlignment="1">
      <alignment horizontal="left" vertical="center" wrapText="1"/>
    </xf>
    <xf numFmtId="194" fontId="21" fillId="5" borderId="38" xfId="1" quotePrefix="1" applyNumberFormat="1" applyFont="1" applyFill="1" applyBorder="1" applyAlignment="1">
      <alignment horizontal="left" vertical="center" wrapText="1"/>
    </xf>
    <xf numFmtId="194" fontId="21" fillId="4" borderId="38" xfId="0" applyNumberFormat="1" applyFont="1" applyFill="1" applyBorder="1" applyAlignment="1">
      <alignment horizontal="left" vertical="center" wrapText="1"/>
    </xf>
    <xf numFmtId="40" fontId="21" fillId="4" borderId="43" xfId="1" applyNumberFormat="1" applyFont="1" applyFill="1" applyBorder="1" applyAlignment="1">
      <alignment horizontal="left" vertical="center" wrapText="1"/>
    </xf>
    <xf numFmtId="194" fontId="21" fillId="4" borderId="43" xfId="1" applyNumberFormat="1" applyFont="1" applyFill="1" applyBorder="1" applyAlignment="1">
      <alignment horizontal="left" vertical="center" wrapText="1"/>
    </xf>
    <xf numFmtId="40" fontId="5" fillId="4" borderId="80" xfId="1" quotePrefix="1" applyNumberFormat="1" applyFont="1" applyFill="1" applyBorder="1" applyAlignment="1">
      <alignment horizontal="left" vertical="center" wrapText="1"/>
    </xf>
    <xf numFmtId="4" fontId="21" fillId="4" borderId="45" xfId="0" applyNumberFormat="1" applyFont="1" applyFill="1" applyBorder="1" applyAlignment="1">
      <alignment horizontal="left" vertical="center" wrapText="1"/>
    </xf>
    <xf numFmtId="4" fontId="21" fillId="4" borderId="45" xfId="0" applyNumberFormat="1" applyFont="1" applyFill="1" applyBorder="1" applyAlignment="1">
      <alignment horizontal="left" vertical="top" wrapText="1"/>
    </xf>
    <xf numFmtId="4" fontId="5" fillId="4" borderId="45" xfId="0" applyNumberFormat="1" applyFont="1" applyFill="1" applyBorder="1" applyAlignment="1">
      <alignment horizontal="left" vertical="center" wrapText="1"/>
    </xf>
    <xf numFmtId="40" fontId="21" fillId="4" borderId="80" xfId="1" quotePrefix="1" applyNumberFormat="1" applyFont="1" applyFill="1" applyBorder="1" applyAlignment="1">
      <alignment horizontal="left" vertical="top" wrapText="1"/>
    </xf>
    <xf numFmtId="193" fontId="5" fillId="4" borderId="45" xfId="0" applyNumberFormat="1" applyFont="1" applyFill="1" applyBorder="1" applyAlignment="1">
      <alignment horizontal="left" vertical="center" wrapText="1"/>
    </xf>
    <xf numFmtId="3" fontId="21" fillId="4" borderId="45" xfId="0" applyNumberFormat="1" applyFont="1" applyFill="1" applyBorder="1" applyAlignment="1">
      <alignment horizontal="left" vertical="top" wrapText="1"/>
    </xf>
    <xf numFmtId="40" fontId="5" fillId="4" borderId="80" xfId="1" applyNumberFormat="1" applyFont="1" applyFill="1" applyBorder="1" applyAlignment="1">
      <alignment horizontal="left" vertical="center" wrapText="1"/>
    </xf>
    <xf numFmtId="187" fontId="5" fillId="4" borderId="45" xfId="0" applyNumberFormat="1" applyFont="1" applyFill="1" applyBorder="1" applyAlignment="1">
      <alignment horizontal="left" vertical="center" wrapText="1"/>
    </xf>
    <xf numFmtId="193" fontId="21" fillId="4" borderId="45" xfId="0" applyNumberFormat="1" applyFont="1" applyFill="1" applyBorder="1" applyAlignment="1">
      <alignment horizontal="left" vertical="top" wrapText="1"/>
    </xf>
    <xf numFmtId="193" fontId="21" fillId="4" borderId="45" xfId="0" applyNumberFormat="1" applyFont="1" applyFill="1" applyBorder="1" applyAlignment="1">
      <alignment horizontal="left" vertical="center" wrapText="1"/>
    </xf>
    <xf numFmtId="4" fontId="21" fillId="4" borderId="80" xfId="1" quotePrefix="1" applyNumberFormat="1" applyFont="1" applyFill="1" applyBorder="1" applyAlignment="1">
      <alignment horizontal="left" vertical="center" wrapText="1"/>
    </xf>
    <xf numFmtId="3" fontId="21" fillId="4" borderId="45" xfId="0" quotePrefix="1" applyNumberFormat="1" applyFont="1" applyFill="1" applyBorder="1" applyAlignment="1">
      <alignment horizontal="left" vertical="top" wrapText="1"/>
    </xf>
    <xf numFmtId="0" fontId="21" fillId="14" borderId="28" xfId="0" applyFont="1" applyFill="1" applyBorder="1" applyAlignment="1">
      <alignment horizontal="left" vertical="center" wrapText="1"/>
    </xf>
    <xf numFmtId="3" fontId="21" fillId="21" borderId="45" xfId="0" applyNumberFormat="1" applyFont="1" applyFill="1" applyBorder="1" applyAlignment="1">
      <alignment horizontal="left" vertical="center" wrapText="1"/>
    </xf>
    <xf numFmtId="3" fontId="20" fillId="21" borderId="45" xfId="0" applyNumberFormat="1" applyFont="1" applyFill="1" applyBorder="1" applyAlignment="1">
      <alignment horizontal="left" vertical="top" wrapText="1"/>
    </xf>
    <xf numFmtId="4" fontId="21" fillId="21" borderId="45" xfId="0" applyNumberFormat="1" applyFont="1" applyFill="1" applyBorder="1" applyAlignment="1">
      <alignment horizontal="left" vertical="center" wrapText="1"/>
    </xf>
    <xf numFmtId="40" fontId="20" fillId="4" borderId="80" xfId="1" quotePrefix="1" applyNumberFormat="1" applyFont="1" applyFill="1" applyBorder="1" applyAlignment="1">
      <alignment horizontal="left" vertical="center" wrapText="1"/>
    </xf>
    <xf numFmtId="38" fontId="21" fillId="4" borderId="80" xfId="1" quotePrefix="1" applyNumberFormat="1" applyFont="1" applyFill="1" applyBorder="1" applyAlignment="1">
      <alignment horizontal="left" vertical="center" wrapText="1"/>
    </xf>
    <xf numFmtId="40" fontId="21" fillId="4" borderId="80" xfId="1" applyNumberFormat="1" applyFont="1" applyFill="1" applyBorder="1" applyAlignment="1">
      <alignment horizontal="left" vertical="center" wrapText="1"/>
    </xf>
    <xf numFmtId="3" fontId="21" fillId="4" borderId="53" xfId="0" applyNumberFormat="1" applyFont="1" applyFill="1" applyBorder="1" applyAlignment="1">
      <alignment horizontal="left" vertical="center" wrapText="1"/>
    </xf>
    <xf numFmtId="38" fontId="21" fillId="4" borderId="37" xfId="1" quotePrefix="1" applyNumberFormat="1" applyFont="1" applyFill="1" applyBorder="1" applyAlignment="1">
      <alignment horizontal="left" vertical="center" wrapText="1"/>
    </xf>
    <xf numFmtId="3" fontId="21" fillId="4" borderId="38" xfId="0" applyNumberFormat="1" applyFont="1" applyFill="1" applyBorder="1" applyAlignment="1">
      <alignment horizontal="left" vertical="top" wrapText="1"/>
    </xf>
    <xf numFmtId="0" fontId="15" fillId="52" borderId="42" xfId="0" applyFont="1" applyFill="1" applyBorder="1" applyAlignment="1">
      <alignment horizontal="left" vertical="center"/>
    </xf>
    <xf numFmtId="182" fontId="21" fillId="48" borderId="80" xfId="1" quotePrefix="1" applyNumberFormat="1" applyFont="1" applyFill="1" applyBorder="1" applyAlignment="1">
      <alignment horizontal="left" vertical="center" wrapText="1"/>
    </xf>
    <xf numFmtId="182" fontId="21" fillId="4" borderId="38" xfId="0" applyNumberFormat="1" applyFont="1" applyFill="1" applyBorder="1" applyAlignment="1">
      <alignment horizontal="left" vertical="top" wrapText="1"/>
    </xf>
    <xf numFmtId="182" fontId="21" fillId="4" borderId="38" xfId="8" applyNumberFormat="1" applyFont="1" applyFill="1" applyBorder="1" applyAlignment="1">
      <alignment horizontal="left" vertical="top" wrapText="1"/>
    </xf>
    <xf numFmtId="38" fontId="21" fillId="48" borderId="80" xfId="1" quotePrefix="1" applyNumberFormat="1" applyFont="1" applyFill="1" applyBorder="1" applyAlignment="1">
      <alignment horizontal="left" vertical="center" wrapText="1"/>
    </xf>
    <xf numFmtId="38" fontId="21" fillId="4" borderId="38" xfId="8" applyNumberFormat="1" applyFont="1" applyFill="1" applyBorder="1" applyAlignment="1">
      <alignment horizontal="left" vertical="center" wrapText="1"/>
    </xf>
    <xf numFmtId="38" fontId="21" fillId="4" borderId="38" xfId="8" applyNumberFormat="1" applyFont="1" applyFill="1" applyBorder="1" applyAlignment="1">
      <alignment horizontal="left" vertical="top" wrapText="1"/>
    </xf>
    <xf numFmtId="3" fontId="21" fillId="4" borderId="38" xfId="1" quotePrefix="1" applyNumberFormat="1" applyFont="1" applyFill="1" applyBorder="1" applyAlignment="1">
      <alignment horizontal="left" vertical="top" wrapText="1"/>
    </xf>
    <xf numFmtId="3" fontId="21" fillId="4" borderId="38" xfId="8" applyNumberFormat="1" applyFont="1" applyFill="1" applyBorder="1" applyAlignment="1">
      <alignment horizontal="left" vertical="center" wrapText="1"/>
    </xf>
    <xf numFmtId="3" fontId="21" fillId="48" borderId="80" xfId="1" quotePrefix="1" applyNumberFormat="1" applyFont="1" applyFill="1" applyBorder="1" applyAlignment="1">
      <alignment horizontal="left" vertical="center" wrapText="1"/>
    </xf>
    <xf numFmtId="182" fontId="21" fillId="4" borderId="45" xfId="0" applyNumberFormat="1" applyFont="1" applyFill="1" applyBorder="1" applyAlignment="1">
      <alignment horizontal="left" vertical="top" wrapText="1"/>
    </xf>
    <xf numFmtId="182" fontId="21" fillId="4" borderId="57" xfId="0" applyNumberFormat="1" applyFont="1" applyFill="1" applyBorder="1" applyAlignment="1">
      <alignment horizontal="left" vertical="top" wrapText="1"/>
    </xf>
    <xf numFmtId="182" fontId="21" fillId="52" borderId="38" xfId="1" quotePrefix="1" applyNumberFormat="1" applyFont="1" applyFill="1" applyBorder="1" applyAlignment="1">
      <alignment horizontal="left" vertical="center" wrapText="1"/>
    </xf>
    <xf numFmtId="182" fontId="21" fillId="48" borderId="38" xfId="1" quotePrefix="1" applyNumberFormat="1" applyFont="1" applyFill="1" applyBorder="1" applyAlignment="1">
      <alignment horizontal="left" vertical="top" wrapText="1"/>
    </xf>
    <xf numFmtId="182" fontId="21" fillId="4" borderId="38" xfId="1" quotePrefix="1" applyNumberFormat="1" applyFont="1" applyFill="1" applyBorder="1" applyAlignment="1">
      <alignment horizontal="left" vertical="top" wrapText="1"/>
    </xf>
    <xf numFmtId="182" fontId="21" fillId="48" borderId="38" xfId="1" quotePrefix="1" applyNumberFormat="1" applyFont="1" applyFill="1" applyBorder="1" applyAlignment="1">
      <alignment horizontal="left" vertical="center" wrapText="1"/>
    </xf>
    <xf numFmtId="182" fontId="21" fillId="4" borderId="38" xfId="0" applyNumberFormat="1" applyFont="1" applyFill="1" applyBorder="1" applyAlignment="1">
      <alignment horizontal="left" vertical="center" wrapText="1"/>
    </xf>
    <xf numFmtId="182" fontId="21" fillId="4" borderId="45" xfId="0" applyNumberFormat="1" applyFont="1" applyFill="1" applyBorder="1" applyAlignment="1">
      <alignment horizontal="left" vertical="center" wrapText="1"/>
    </xf>
    <xf numFmtId="182" fontId="21" fillId="4" borderId="80" xfId="1" quotePrefix="1" applyNumberFormat="1" applyFont="1" applyFill="1" applyBorder="1" applyAlignment="1">
      <alignment horizontal="left" vertical="top" wrapText="1"/>
    </xf>
    <xf numFmtId="9" fontId="21" fillId="4" borderId="80" xfId="8" quotePrefix="1" applyFont="1" applyFill="1" applyBorder="1" applyAlignment="1">
      <alignment horizontal="left" vertical="top" wrapText="1"/>
    </xf>
    <xf numFmtId="9" fontId="21" fillId="4" borderId="80" xfId="8" applyFont="1" applyFill="1" applyBorder="1" applyAlignment="1">
      <alignment horizontal="left" vertical="top" wrapText="1"/>
    </xf>
    <xf numFmtId="9" fontId="21" fillId="4" borderId="80" xfId="8" quotePrefix="1" applyFont="1" applyFill="1" applyBorder="1" applyAlignment="1">
      <alignment horizontal="left" vertical="center" wrapText="1"/>
    </xf>
    <xf numFmtId="178" fontId="21" fillId="4" borderId="45" xfId="8" applyNumberFormat="1" applyFont="1" applyFill="1" applyBorder="1" applyAlignment="1">
      <alignment horizontal="left" vertical="center" wrapText="1"/>
    </xf>
    <xf numFmtId="9" fontId="21" fillId="4" borderId="45" xfId="8" applyFont="1" applyFill="1" applyBorder="1" applyAlignment="1">
      <alignment horizontal="left" vertical="center" wrapText="1"/>
    </xf>
    <xf numFmtId="185" fontId="21" fillId="4" borderId="45" xfId="8" applyNumberFormat="1" applyFont="1" applyFill="1" applyBorder="1" applyAlignment="1">
      <alignment horizontal="left" vertical="center" wrapText="1"/>
    </xf>
    <xf numFmtId="178" fontId="21" fillId="4" borderId="45" xfId="8" applyNumberFormat="1" applyFont="1" applyFill="1" applyBorder="1" applyAlignment="1">
      <alignment horizontal="left" vertical="top" wrapText="1"/>
    </xf>
    <xf numFmtId="9" fontId="21" fillId="4" borderId="45" xfId="8" applyFont="1" applyFill="1" applyBorder="1" applyAlignment="1">
      <alignment horizontal="left" vertical="top" wrapText="1"/>
    </xf>
    <xf numFmtId="177" fontId="15" fillId="19" borderId="38" xfId="0" quotePrefix="1" applyNumberFormat="1" applyFont="1" applyFill="1" applyBorder="1" applyAlignment="1">
      <alignment horizontal="left" vertical="center"/>
    </xf>
    <xf numFmtId="182" fontId="21" fillId="4" borderId="45" xfId="8" applyNumberFormat="1" applyFont="1" applyFill="1" applyBorder="1" applyAlignment="1">
      <alignment horizontal="left" vertical="top" wrapText="1"/>
    </xf>
    <xf numFmtId="178" fontId="21" fillId="4" borderId="45" xfId="0" applyNumberFormat="1" applyFont="1" applyFill="1" applyBorder="1" applyAlignment="1">
      <alignment horizontal="left" vertical="top" wrapText="1"/>
    </xf>
    <xf numFmtId="41" fontId="21" fillId="4" borderId="45" xfId="1" applyFont="1" applyFill="1" applyBorder="1" applyAlignment="1">
      <alignment horizontal="left" vertical="top" wrapText="1"/>
    </xf>
    <xf numFmtId="185" fontId="21" fillId="4" borderId="80" xfId="1" quotePrefix="1" applyNumberFormat="1" applyFont="1" applyFill="1" applyBorder="1" applyAlignment="1">
      <alignment horizontal="left" vertical="center" wrapText="1"/>
    </xf>
    <xf numFmtId="185" fontId="21" fillId="4" borderId="37" xfId="1" quotePrefix="1" applyNumberFormat="1" applyFont="1" applyFill="1" applyBorder="1" applyAlignment="1">
      <alignment horizontal="left" vertical="center" wrapText="1"/>
    </xf>
    <xf numFmtId="40" fontId="21" fillId="4" borderId="37" xfId="1" quotePrefix="1" applyNumberFormat="1" applyFont="1" applyFill="1" applyBorder="1" applyAlignment="1">
      <alignment horizontal="left" vertical="top" wrapText="1"/>
    </xf>
    <xf numFmtId="182" fontId="21" fillId="4" borderId="52" xfId="8" quotePrefix="1" applyNumberFormat="1" applyFont="1" applyFill="1" applyBorder="1" applyAlignment="1">
      <alignment horizontal="left" vertical="top" wrapText="1"/>
    </xf>
    <xf numFmtId="177" fontId="15" fillId="19" borderId="33" xfId="0" quotePrefix="1" applyNumberFormat="1" applyFont="1" applyFill="1" applyBorder="1" applyAlignment="1">
      <alignment horizontal="left" vertical="center"/>
    </xf>
    <xf numFmtId="185" fontId="21" fillId="4" borderId="45" xfId="8" applyNumberFormat="1" applyFont="1" applyFill="1" applyBorder="1" applyAlignment="1">
      <alignment horizontal="left" vertical="top" wrapText="1"/>
    </xf>
    <xf numFmtId="185" fontId="21" fillId="4" borderId="45" xfId="0" applyNumberFormat="1" applyFont="1" applyFill="1" applyBorder="1" applyAlignment="1">
      <alignment horizontal="left" vertical="top" wrapText="1"/>
    </xf>
    <xf numFmtId="178" fontId="5" fillId="4" borderId="45" xfId="8" applyNumberFormat="1" applyFont="1" applyFill="1" applyBorder="1" applyAlignment="1">
      <alignment horizontal="left" vertical="top" wrapText="1"/>
    </xf>
    <xf numFmtId="178" fontId="5" fillId="4" borderId="45" xfId="0" applyNumberFormat="1" applyFont="1" applyFill="1" applyBorder="1" applyAlignment="1">
      <alignment horizontal="left" vertical="top" wrapText="1"/>
    </xf>
    <xf numFmtId="178" fontId="5" fillId="4" borderId="38" xfId="8" quotePrefix="1" applyNumberFormat="1" applyFont="1" applyFill="1" applyBorder="1" applyAlignment="1">
      <alignment horizontal="left" vertical="top" wrapText="1"/>
    </xf>
    <xf numFmtId="182" fontId="21" fillId="4" borderId="45" xfId="8" applyNumberFormat="1" applyFont="1" applyFill="1" applyBorder="1" applyAlignment="1">
      <alignment horizontal="left" vertical="center" wrapText="1"/>
    </xf>
    <xf numFmtId="178" fontId="21" fillId="4" borderId="45" xfId="0" applyNumberFormat="1" applyFont="1" applyFill="1" applyBorder="1" applyAlignment="1">
      <alignment horizontal="left" vertical="center" wrapText="1"/>
    </xf>
    <xf numFmtId="182" fontId="21" fillId="4" borderId="57" xfId="0" applyNumberFormat="1" applyFont="1" applyFill="1" applyBorder="1" applyAlignment="1">
      <alignment horizontal="left" vertical="center" wrapText="1"/>
    </xf>
    <xf numFmtId="182" fontId="21" fillId="4" borderId="57" xfId="8" applyNumberFormat="1" applyFont="1" applyFill="1" applyBorder="1" applyAlignment="1">
      <alignment horizontal="left" vertical="center" wrapText="1"/>
    </xf>
    <xf numFmtId="182" fontId="21" fillId="48" borderId="45" xfId="1" quotePrefix="1" applyNumberFormat="1" applyFont="1" applyFill="1" applyBorder="1" applyAlignment="1">
      <alignment horizontal="left" vertical="center" wrapText="1"/>
    </xf>
    <xf numFmtId="182" fontId="21" fillId="4" borderId="95" xfId="0" applyNumberFormat="1" applyFont="1" applyFill="1" applyBorder="1" applyAlignment="1">
      <alignment horizontal="left" vertical="center" wrapText="1"/>
    </xf>
    <xf numFmtId="3" fontId="21" fillId="4" borderId="37" xfId="1" quotePrefix="1" applyNumberFormat="1" applyFont="1" applyFill="1" applyBorder="1" applyAlignment="1">
      <alignment horizontal="left" vertical="top" wrapText="1"/>
    </xf>
    <xf numFmtId="3" fontId="21" fillId="4" borderId="37" xfId="1" applyNumberFormat="1" applyFont="1" applyFill="1" applyBorder="1" applyAlignment="1">
      <alignment horizontal="left" vertical="top" wrapText="1"/>
    </xf>
    <xf numFmtId="185" fontId="21" fillId="4" borderId="80" xfId="1" quotePrefix="1" applyNumberFormat="1" applyFont="1" applyFill="1" applyBorder="1" applyAlignment="1">
      <alignment horizontal="left" vertical="top" wrapText="1"/>
    </xf>
    <xf numFmtId="178" fontId="21" fillId="4" borderId="45" xfId="8" quotePrefix="1" applyNumberFormat="1" applyFont="1" applyFill="1" applyBorder="1" applyAlignment="1">
      <alignment horizontal="left" vertical="top" wrapText="1"/>
    </xf>
    <xf numFmtId="38" fontId="21" fillId="4" borderId="45" xfId="8" applyNumberFormat="1" applyFont="1" applyFill="1" applyBorder="1" applyAlignment="1">
      <alignment horizontal="left" vertical="top" wrapText="1"/>
    </xf>
    <xf numFmtId="185" fontId="21" fillId="4" borderId="45" xfId="0" applyNumberFormat="1" applyFont="1" applyFill="1" applyBorder="1" applyAlignment="1">
      <alignment horizontal="left" vertical="center" wrapText="1"/>
    </xf>
    <xf numFmtId="182" fontId="21" fillId="19" borderId="45" xfId="0" applyNumberFormat="1" applyFont="1" applyFill="1" applyBorder="1" applyAlignment="1">
      <alignment horizontal="left" vertical="center"/>
    </xf>
    <xf numFmtId="0" fontId="21" fillId="19" borderId="45" xfId="0" applyFont="1" applyFill="1" applyBorder="1" applyAlignment="1">
      <alignment horizontal="left" vertical="center"/>
    </xf>
    <xf numFmtId="3" fontId="21" fillId="4" borderId="95" xfId="0" applyNumberFormat="1" applyFont="1" applyFill="1" applyBorder="1" applyAlignment="1">
      <alignment horizontal="left" vertical="top" wrapText="1"/>
    </xf>
    <xf numFmtId="185" fontId="21" fillId="48" borderId="33" xfId="0" applyNumberFormat="1" applyFont="1" applyFill="1" applyBorder="1" applyAlignment="1">
      <alignment horizontal="left" vertical="center" wrapText="1"/>
    </xf>
    <xf numFmtId="3" fontId="21" fillId="4" borderId="57" xfId="0" applyNumberFormat="1" applyFont="1" applyFill="1" applyBorder="1" applyAlignment="1">
      <alignment horizontal="left" vertical="center" wrapText="1"/>
    </xf>
    <xf numFmtId="185" fontId="21" fillId="48" borderId="42" xfId="0" applyNumberFormat="1" applyFont="1" applyFill="1" applyBorder="1" applyAlignment="1">
      <alignment horizontal="left" vertical="center" wrapText="1"/>
    </xf>
    <xf numFmtId="3" fontId="21" fillId="4" borderId="95" xfId="0" applyNumberFormat="1" applyFont="1" applyFill="1" applyBorder="1" applyAlignment="1">
      <alignment horizontal="left" vertical="center" wrapText="1"/>
    </xf>
    <xf numFmtId="0" fontId="11" fillId="3" borderId="0" xfId="0" applyFont="1" applyFill="1" applyAlignment="1">
      <alignment horizontal="left" vertical="top" wrapText="1"/>
    </xf>
    <xf numFmtId="194" fontId="21" fillId="4" borderId="37" xfId="1" applyNumberFormat="1" applyFont="1" applyFill="1" applyBorder="1" applyAlignment="1">
      <alignment horizontal="left" vertical="center" wrapText="1"/>
    </xf>
    <xf numFmtId="194" fontId="5" fillId="4" borderId="43" xfId="0" applyNumberFormat="1" applyFont="1" applyFill="1" applyBorder="1" applyAlignment="1">
      <alignment horizontal="left" vertical="center" wrapText="1"/>
    </xf>
    <xf numFmtId="194" fontId="21" fillId="4" borderId="43" xfId="0" applyNumberFormat="1" applyFont="1" applyFill="1" applyBorder="1" applyAlignment="1">
      <alignment horizontal="left" vertical="center" wrapText="1"/>
    </xf>
    <xf numFmtId="194" fontId="21" fillId="4" borderId="37" xfId="1" quotePrefix="1" applyNumberFormat="1" applyFont="1" applyFill="1" applyBorder="1" applyAlignment="1">
      <alignment horizontal="left" vertical="center" wrapText="1"/>
    </xf>
    <xf numFmtId="180" fontId="21" fillId="4" borderId="44" xfId="1" quotePrefix="1" applyNumberFormat="1" applyFont="1" applyFill="1" applyBorder="1" applyAlignment="1">
      <alignment horizontal="left" vertical="center" wrapText="1"/>
    </xf>
    <xf numFmtId="49" fontId="21" fillId="4" borderId="37" xfId="1" applyNumberFormat="1" applyFont="1" applyFill="1" applyBorder="1" applyAlignment="1">
      <alignment horizontal="left" vertical="top" wrapText="1"/>
    </xf>
    <xf numFmtId="49" fontId="5" fillId="4" borderId="43" xfId="0" applyNumberFormat="1" applyFont="1" applyFill="1" applyBorder="1" applyAlignment="1">
      <alignment horizontal="left" vertical="top" wrapText="1"/>
    </xf>
    <xf numFmtId="2" fontId="5" fillId="4" borderId="43" xfId="0" applyNumberFormat="1" applyFont="1" applyFill="1" applyBorder="1" applyAlignment="1">
      <alignment horizontal="left" vertical="center" wrapText="1"/>
    </xf>
    <xf numFmtId="49" fontId="21" fillId="4" borderId="37" xfId="1" quotePrefix="1" applyNumberFormat="1" applyFont="1" applyFill="1" applyBorder="1" applyAlignment="1">
      <alignment horizontal="left" vertical="center" wrapText="1"/>
    </xf>
    <xf numFmtId="0" fontId="21" fillId="4" borderId="37" xfId="1" applyNumberFormat="1" applyFont="1" applyFill="1" applyBorder="1" applyAlignment="1">
      <alignment horizontal="left" vertical="center" wrapText="1"/>
    </xf>
    <xf numFmtId="0" fontId="5" fillId="4" borderId="43" xfId="0" applyFont="1" applyFill="1" applyBorder="1" applyAlignment="1">
      <alignment horizontal="left" vertical="center" wrapText="1"/>
    </xf>
    <xf numFmtId="178" fontId="5" fillId="4" borderId="43" xfId="0" applyNumberFormat="1" applyFont="1" applyFill="1" applyBorder="1" applyAlignment="1">
      <alignment horizontal="left" vertical="center" wrapText="1"/>
    </xf>
    <xf numFmtId="9" fontId="21" fillId="4" borderId="37" xfId="1" quotePrefix="1" applyNumberFormat="1" applyFont="1" applyFill="1" applyBorder="1" applyAlignment="1">
      <alignment horizontal="left" vertical="center" wrapText="1"/>
    </xf>
    <xf numFmtId="196" fontId="21" fillId="4" borderId="38" xfId="8" applyNumberFormat="1" applyFont="1" applyFill="1" applyBorder="1" applyAlignment="1">
      <alignment horizontal="left" vertical="top" wrapText="1"/>
    </xf>
    <xf numFmtId="40" fontId="21" fillId="5" borderId="34" xfId="1" quotePrefix="1" applyNumberFormat="1" applyFont="1" applyFill="1" applyBorder="1" applyAlignment="1">
      <alignment horizontal="left" vertical="center" wrapText="1"/>
    </xf>
    <xf numFmtId="186" fontId="21" fillId="4" borderId="54" xfId="1" quotePrefix="1" applyNumberFormat="1" applyFont="1" applyFill="1" applyBorder="1" applyAlignment="1">
      <alignment horizontal="left" vertical="center" wrapText="1"/>
    </xf>
    <xf numFmtId="3" fontId="21" fillId="4" borderId="43" xfId="0" applyNumberFormat="1" applyFont="1" applyFill="1" applyBorder="1" applyAlignment="1">
      <alignment horizontal="left" vertical="center" wrapText="1"/>
    </xf>
    <xf numFmtId="40" fontId="21" fillId="4" borderId="37" xfId="1" quotePrefix="1" applyNumberFormat="1" applyFont="1" applyFill="1" applyBorder="1" applyAlignment="1">
      <alignment horizontal="left" vertical="center" wrapText="1"/>
    </xf>
    <xf numFmtId="194" fontId="21" fillId="4" borderId="38" xfId="1" applyNumberFormat="1" applyFont="1" applyFill="1" applyBorder="1" applyAlignment="1">
      <alignment horizontal="left" vertical="center" wrapText="1"/>
    </xf>
    <xf numFmtId="40" fontId="5" fillId="4" borderId="34" xfId="1" quotePrefix="1" applyNumberFormat="1" applyFont="1" applyFill="1" applyBorder="1" applyAlignment="1">
      <alignment horizontal="left" vertical="center" wrapText="1"/>
    </xf>
    <xf numFmtId="4" fontId="21" fillId="4" borderId="43" xfId="0" applyNumberFormat="1" applyFont="1" applyFill="1" applyBorder="1" applyAlignment="1">
      <alignment horizontal="left" vertical="center" wrapText="1"/>
    </xf>
    <xf numFmtId="4" fontId="21" fillId="4" borderId="43" xfId="0" applyNumberFormat="1" applyFont="1" applyFill="1" applyBorder="1" applyAlignment="1">
      <alignment horizontal="left" vertical="top" wrapText="1"/>
    </xf>
    <xf numFmtId="4" fontId="5" fillId="4" borderId="43" xfId="0" applyNumberFormat="1" applyFont="1" applyFill="1" applyBorder="1" applyAlignment="1">
      <alignment horizontal="left" vertical="center" wrapText="1"/>
    </xf>
    <xf numFmtId="193" fontId="5" fillId="4" borderId="43" xfId="0" applyNumberFormat="1" applyFont="1" applyFill="1" applyBorder="1" applyAlignment="1">
      <alignment horizontal="left" vertical="center" wrapText="1"/>
    </xf>
    <xf numFmtId="40" fontId="21" fillId="4" borderId="34" xfId="1" quotePrefix="1" applyNumberFormat="1" applyFont="1" applyFill="1" applyBorder="1" applyAlignment="1">
      <alignment horizontal="left" vertical="center" wrapText="1"/>
    </xf>
    <xf numFmtId="3" fontId="21" fillId="4" borderId="43" xfId="0" applyNumberFormat="1" applyFont="1" applyFill="1" applyBorder="1" applyAlignment="1">
      <alignment horizontal="left" vertical="top" wrapText="1"/>
    </xf>
    <xf numFmtId="187" fontId="5" fillId="4" borderId="43" xfId="0" applyNumberFormat="1" applyFont="1" applyFill="1" applyBorder="1" applyAlignment="1">
      <alignment horizontal="left" vertical="center" wrapText="1"/>
    </xf>
    <xf numFmtId="193" fontId="21" fillId="4" borderId="43" xfId="0" applyNumberFormat="1" applyFont="1" applyFill="1" applyBorder="1" applyAlignment="1">
      <alignment horizontal="left" vertical="top" wrapText="1"/>
    </xf>
    <xf numFmtId="193" fontId="21" fillId="4" borderId="43" xfId="0" applyNumberFormat="1" applyFont="1" applyFill="1" applyBorder="1" applyAlignment="1">
      <alignment horizontal="left" vertical="center" wrapText="1"/>
    </xf>
    <xf numFmtId="4" fontId="21" fillId="4" borderId="37" xfId="1" quotePrefix="1" applyNumberFormat="1" applyFont="1" applyFill="1" applyBorder="1" applyAlignment="1">
      <alignment horizontal="left" vertical="center" wrapText="1"/>
    </xf>
    <xf numFmtId="3" fontId="21" fillId="4" borderId="37" xfId="0" applyNumberFormat="1" applyFont="1" applyFill="1" applyBorder="1" applyAlignment="1">
      <alignment horizontal="left" vertical="center" wrapText="1"/>
    </xf>
    <xf numFmtId="3" fontId="21" fillId="4" borderId="43" xfId="0" quotePrefix="1" applyNumberFormat="1" applyFont="1" applyFill="1" applyBorder="1" applyAlignment="1">
      <alignment horizontal="left" vertical="top" wrapText="1"/>
    </xf>
    <xf numFmtId="3" fontId="21" fillId="21" borderId="43" xfId="0" applyNumberFormat="1" applyFont="1" applyFill="1" applyBorder="1" applyAlignment="1">
      <alignment horizontal="left" vertical="center" wrapText="1"/>
    </xf>
    <xf numFmtId="40" fontId="21" fillId="4" borderId="38" xfId="1" quotePrefix="1" applyNumberFormat="1" applyFont="1" applyFill="1" applyBorder="1" applyAlignment="1">
      <alignment horizontal="left" vertical="top" wrapText="1"/>
    </xf>
    <xf numFmtId="3" fontId="21" fillId="4" borderId="38" xfId="0" quotePrefix="1" applyNumberFormat="1" applyFont="1" applyFill="1" applyBorder="1" applyAlignment="1">
      <alignment horizontal="left" vertical="top" wrapText="1"/>
    </xf>
    <xf numFmtId="3" fontId="20" fillId="21" borderId="38" xfId="0" applyNumberFormat="1" applyFont="1" applyFill="1" applyBorder="1" applyAlignment="1">
      <alignment horizontal="left" vertical="top" wrapText="1"/>
    </xf>
    <xf numFmtId="3" fontId="21" fillId="4" borderId="38" xfId="0" quotePrefix="1" applyNumberFormat="1" applyFont="1" applyFill="1" applyBorder="1" applyAlignment="1">
      <alignment horizontal="left" vertical="center" wrapText="1"/>
    </xf>
    <xf numFmtId="4" fontId="21" fillId="21" borderId="38" xfId="0" quotePrefix="1" applyNumberFormat="1" applyFont="1" applyFill="1" applyBorder="1" applyAlignment="1">
      <alignment horizontal="left" vertical="center" wrapText="1"/>
    </xf>
    <xf numFmtId="3" fontId="21" fillId="4" borderId="52" xfId="0" quotePrefix="1" applyNumberFormat="1" applyFont="1" applyFill="1" applyBorder="1" applyAlignment="1">
      <alignment horizontal="left" vertical="center" wrapText="1"/>
    </xf>
    <xf numFmtId="40" fontId="20" fillId="4" borderId="37" xfId="1" quotePrefix="1" applyNumberFormat="1" applyFont="1" applyFill="1" applyBorder="1" applyAlignment="1">
      <alignment horizontal="left" vertical="center" wrapText="1"/>
    </xf>
    <xf numFmtId="3" fontId="21" fillId="4" borderId="52" xfId="0" quotePrefix="1" applyNumberFormat="1" applyFont="1" applyFill="1" applyBorder="1" applyAlignment="1">
      <alignment horizontal="left" vertical="top" wrapText="1"/>
    </xf>
    <xf numFmtId="3" fontId="21" fillId="4" borderId="45" xfId="0" quotePrefix="1" applyNumberFormat="1" applyFont="1" applyFill="1" applyBorder="1" applyAlignment="1">
      <alignment horizontal="left" vertical="center" wrapText="1"/>
    </xf>
    <xf numFmtId="40" fontId="21" fillId="4" borderId="37" xfId="1" applyNumberFormat="1" applyFont="1" applyFill="1" applyBorder="1" applyAlignment="1">
      <alignment horizontal="left" vertical="center" wrapText="1"/>
    </xf>
    <xf numFmtId="3" fontId="21" fillId="4" borderId="52" xfId="0" applyNumberFormat="1" applyFont="1" applyFill="1" applyBorder="1" applyAlignment="1">
      <alignment horizontal="left" vertical="center" wrapText="1"/>
    </xf>
    <xf numFmtId="3" fontId="21" fillId="4" borderId="67" xfId="0" quotePrefix="1" applyNumberFormat="1" applyFont="1" applyFill="1" applyBorder="1" applyAlignment="1">
      <alignment horizontal="left" vertical="center" wrapText="1"/>
    </xf>
    <xf numFmtId="40" fontId="21" fillId="48" borderId="34" xfId="1" quotePrefix="1" applyNumberFormat="1" applyFont="1" applyFill="1" applyBorder="1" applyAlignment="1">
      <alignment horizontal="left" vertical="center" wrapText="1"/>
    </xf>
    <xf numFmtId="182" fontId="21" fillId="48" borderId="34" xfId="1" quotePrefix="1" applyNumberFormat="1" applyFont="1" applyFill="1" applyBorder="1" applyAlignment="1">
      <alignment horizontal="left" vertical="center" wrapText="1"/>
    </xf>
    <xf numFmtId="182" fontId="21" fillId="4" borderId="38" xfId="0" quotePrefix="1" applyNumberFormat="1" applyFont="1" applyFill="1" applyBorder="1" applyAlignment="1">
      <alignment horizontal="left" vertical="top" wrapText="1"/>
    </xf>
    <xf numFmtId="182" fontId="21" fillId="4" borderId="38" xfId="0" quotePrefix="1" applyNumberFormat="1" applyFont="1" applyFill="1" applyBorder="1" applyAlignment="1">
      <alignment horizontal="left" vertical="center" wrapText="1"/>
    </xf>
    <xf numFmtId="38" fontId="21" fillId="48" borderId="34" xfId="1" quotePrefix="1" applyNumberFormat="1" applyFont="1" applyFill="1" applyBorder="1" applyAlignment="1">
      <alignment horizontal="left" vertical="center" wrapText="1"/>
    </xf>
    <xf numFmtId="38" fontId="21" fillId="4" borderId="38" xfId="8" quotePrefix="1" applyNumberFormat="1" applyFont="1" applyFill="1" applyBorder="1" applyAlignment="1">
      <alignment horizontal="left" vertical="top" wrapText="1"/>
    </xf>
    <xf numFmtId="3" fontId="21" fillId="4" borderId="38" xfId="8" quotePrefix="1" applyNumberFormat="1" applyFont="1" applyFill="1" applyBorder="1" applyAlignment="1">
      <alignment horizontal="left" vertical="top" wrapText="1"/>
    </xf>
    <xf numFmtId="3" fontId="21" fillId="4" borderId="38" xfId="8" quotePrefix="1" applyNumberFormat="1" applyFont="1" applyFill="1" applyBorder="1" applyAlignment="1">
      <alignment horizontal="left" vertical="center" wrapText="1"/>
    </xf>
    <xf numFmtId="3" fontId="21" fillId="48" borderId="34" xfId="1" quotePrefix="1" applyNumberFormat="1" applyFont="1" applyFill="1" applyBorder="1" applyAlignment="1">
      <alignment horizontal="left" vertical="center" wrapText="1"/>
    </xf>
    <xf numFmtId="182" fontId="21" fillId="4" borderId="52" xfId="0" quotePrefix="1" applyNumberFormat="1" applyFont="1" applyFill="1" applyBorder="1" applyAlignment="1">
      <alignment horizontal="left" vertical="top" wrapText="1"/>
    </xf>
    <xf numFmtId="182" fontId="21" fillId="4" borderId="52" xfId="0" quotePrefix="1" applyNumberFormat="1" applyFont="1" applyFill="1" applyBorder="1" applyAlignment="1">
      <alignment horizontal="left" vertical="center" wrapText="1"/>
    </xf>
    <xf numFmtId="182" fontId="21" fillId="4" borderId="37" xfId="1" quotePrefix="1" applyNumberFormat="1" applyFont="1" applyFill="1" applyBorder="1" applyAlignment="1">
      <alignment horizontal="left" vertical="top" wrapText="1"/>
    </xf>
    <xf numFmtId="9" fontId="21" fillId="4" borderId="37" xfId="8" quotePrefix="1" applyFont="1" applyFill="1" applyBorder="1" applyAlignment="1">
      <alignment horizontal="left" vertical="top" wrapText="1"/>
    </xf>
    <xf numFmtId="9" fontId="21" fillId="4" borderId="37" xfId="8" quotePrefix="1" applyFont="1" applyFill="1" applyBorder="1" applyAlignment="1">
      <alignment horizontal="left" vertical="center" wrapText="1"/>
    </xf>
    <xf numFmtId="178" fontId="21" fillId="4" borderId="52" xfId="8" quotePrefix="1" applyNumberFormat="1" applyFont="1" applyFill="1" applyBorder="1" applyAlignment="1">
      <alignment horizontal="left" vertical="center" wrapText="1"/>
    </xf>
    <xf numFmtId="9" fontId="21" fillId="4" borderId="52" xfId="8" applyFont="1" applyFill="1" applyBorder="1" applyAlignment="1">
      <alignment horizontal="left" vertical="center" wrapText="1"/>
    </xf>
    <xf numFmtId="9" fontId="21" fillId="4" borderId="52" xfId="8" quotePrefix="1" applyFont="1" applyFill="1" applyBorder="1" applyAlignment="1">
      <alignment horizontal="left" vertical="center" wrapText="1"/>
    </xf>
    <xf numFmtId="9" fontId="21" fillId="4" borderId="52" xfId="8" quotePrefix="1" applyFont="1" applyFill="1" applyBorder="1" applyAlignment="1">
      <alignment horizontal="left" vertical="top" wrapText="1"/>
    </xf>
    <xf numFmtId="178" fontId="21" fillId="4" borderId="52" xfId="8" quotePrefix="1" applyNumberFormat="1" applyFont="1" applyFill="1" applyBorder="1" applyAlignment="1">
      <alignment horizontal="left" vertical="top" wrapText="1"/>
    </xf>
    <xf numFmtId="178" fontId="21" fillId="4" borderId="52" xfId="0" quotePrefix="1" applyNumberFormat="1" applyFont="1" applyFill="1" applyBorder="1" applyAlignment="1">
      <alignment horizontal="left" vertical="top" wrapText="1"/>
    </xf>
    <xf numFmtId="41" fontId="21" fillId="4" borderId="52" xfId="1" quotePrefix="1" applyFont="1" applyFill="1" applyBorder="1" applyAlignment="1">
      <alignment horizontal="left" vertical="top" wrapText="1"/>
    </xf>
    <xf numFmtId="178" fontId="21" fillId="4" borderId="52" xfId="8" applyNumberFormat="1" applyFont="1" applyFill="1" applyBorder="1" applyAlignment="1">
      <alignment horizontal="left" vertical="top" wrapText="1"/>
    </xf>
    <xf numFmtId="178" fontId="21" fillId="4" borderId="38" xfId="8" quotePrefix="1" applyNumberFormat="1" applyFont="1" applyFill="1" applyBorder="1" applyAlignment="1">
      <alignment horizontal="left" vertical="top" wrapText="1"/>
    </xf>
    <xf numFmtId="185" fontId="21" fillId="4" borderId="52" xfId="8" quotePrefix="1" applyNumberFormat="1" applyFont="1" applyFill="1" applyBorder="1" applyAlignment="1">
      <alignment horizontal="left" vertical="top" wrapText="1"/>
    </xf>
    <xf numFmtId="185" fontId="21" fillId="4" borderId="52" xfId="0" quotePrefix="1" applyNumberFormat="1" applyFont="1" applyFill="1" applyBorder="1" applyAlignment="1">
      <alignment horizontal="left" vertical="top" wrapText="1"/>
    </xf>
    <xf numFmtId="185" fontId="21" fillId="4" borderId="52" xfId="8" applyNumberFormat="1" applyFont="1" applyFill="1" applyBorder="1" applyAlignment="1">
      <alignment horizontal="left" vertical="top" wrapText="1"/>
    </xf>
    <xf numFmtId="178" fontId="5" fillId="4" borderId="52" xfId="0" quotePrefix="1" applyNumberFormat="1" applyFont="1" applyFill="1" applyBorder="1" applyAlignment="1">
      <alignment horizontal="left" vertical="top" wrapText="1"/>
    </xf>
    <xf numFmtId="178" fontId="5" fillId="4" borderId="52" xfId="8" quotePrefix="1" applyNumberFormat="1" applyFont="1" applyFill="1" applyBorder="1" applyAlignment="1">
      <alignment horizontal="left" vertical="top" wrapText="1"/>
    </xf>
    <xf numFmtId="182" fontId="21" fillId="4" borderId="52" xfId="1" quotePrefix="1" applyNumberFormat="1" applyFont="1" applyFill="1" applyBorder="1" applyAlignment="1">
      <alignment horizontal="left" vertical="top" wrapText="1"/>
    </xf>
    <xf numFmtId="182" fontId="21" fillId="4" borderId="52" xfId="8" quotePrefix="1" applyNumberFormat="1" applyFont="1" applyFill="1" applyBorder="1" applyAlignment="1">
      <alignment horizontal="left" vertical="center" wrapText="1"/>
    </xf>
    <xf numFmtId="182" fontId="21" fillId="4" borderId="43" xfId="0" quotePrefix="1" applyNumberFormat="1" applyFont="1" applyFill="1" applyBorder="1" applyAlignment="1">
      <alignment horizontal="left" vertical="center" wrapText="1"/>
    </xf>
    <xf numFmtId="178" fontId="21" fillId="4" borderId="43" xfId="0" applyNumberFormat="1" applyFont="1" applyFill="1" applyBorder="1" applyAlignment="1">
      <alignment horizontal="left" vertical="center" wrapText="1"/>
    </xf>
    <xf numFmtId="9" fontId="21" fillId="4" borderId="43" xfId="8" applyFont="1" applyFill="1" applyBorder="1" applyAlignment="1">
      <alignment horizontal="left" vertical="center" wrapText="1"/>
    </xf>
    <xf numFmtId="182" fontId="21" fillId="4" borderId="57" xfId="8" quotePrefix="1" applyNumberFormat="1" applyFont="1" applyFill="1" applyBorder="1" applyAlignment="1">
      <alignment horizontal="left" vertical="center" wrapText="1"/>
    </xf>
    <xf numFmtId="182" fontId="21" fillId="4" borderId="57" xfId="0" quotePrefix="1" applyNumberFormat="1" applyFont="1" applyFill="1" applyBorder="1" applyAlignment="1">
      <alignment horizontal="left" vertical="center" wrapText="1"/>
    </xf>
    <xf numFmtId="182" fontId="21" fillId="4" borderId="87" xfId="0" quotePrefix="1" applyNumberFormat="1" applyFont="1" applyFill="1" applyBorder="1" applyAlignment="1">
      <alignment horizontal="left" vertical="center" wrapText="1"/>
    </xf>
    <xf numFmtId="182" fontId="21" fillId="4" borderId="52" xfId="0" applyNumberFormat="1" applyFont="1" applyFill="1" applyBorder="1" applyAlignment="1">
      <alignment horizontal="left" vertical="top" wrapText="1"/>
    </xf>
    <xf numFmtId="178" fontId="21" fillId="4" borderId="37" xfId="1" quotePrefix="1" applyNumberFormat="1" applyFont="1" applyFill="1" applyBorder="1" applyAlignment="1">
      <alignment horizontal="left" vertical="top" wrapText="1"/>
    </xf>
    <xf numFmtId="40" fontId="21" fillId="4" borderId="37" xfId="1" applyNumberFormat="1" applyFont="1" applyFill="1" applyBorder="1" applyAlignment="1">
      <alignment horizontal="left" vertical="top" wrapText="1"/>
    </xf>
    <xf numFmtId="4" fontId="21" fillId="4" borderId="52" xfId="0" quotePrefix="1" applyNumberFormat="1" applyFont="1" applyFill="1" applyBorder="1" applyAlignment="1">
      <alignment horizontal="left" vertical="center" wrapText="1"/>
    </xf>
    <xf numFmtId="3" fontId="21" fillId="48" borderId="43" xfId="0" quotePrefix="1" applyNumberFormat="1" applyFont="1" applyFill="1" applyBorder="1" applyAlignment="1">
      <alignment horizontal="left" vertical="center" wrapText="1"/>
    </xf>
    <xf numFmtId="178" fontId="21" fillId="4" borderId="52" xfId="0" quotePrefix="1" applyNumberFormat="1" applyFont="1" applyFill="1" applyBorder="1" applyAlignment="1">
      <alignment horizontal="left" vertical="center" wrapText="1"/>
    </xf>
    <xf numFmtId="182" fontId="21" fillId="19" borderId="43" xfId="0" applyNumberFormat="1" applyFont="1" applyFill="1" applyBorder="1" applyAlignment="1">
      <alignment horizontal="left" vertical="center"/>
    </xf>
    <xf numFmtId="0" fontId="21" fillId="19" borderId="43" xfId="0" applyFont="1" applyFill="1" applyBorder="1" applyAlignment="1">
      <alignment horizontal="left" vertical="center"/>
    </xf>
    <xf numFmtId="3" fontId="21" fillId="4" borderId="43" xfId="0" quotePrefix="1" applyNumberFormat="1" applyFont="1" applyFill="1" applyBorder="1" applyAlignment="1">
      <alignment horizontal="left" vertical="center" wrapText="1"/>
    </xf>
    <xf numFmtId="3" fontId="21" fillId="4" borderId="87" xfId="0" quotePrefix="1" applyNumberFormat="1" applyFont="1" applyFill="1" applyBorder="1" applyAlignment="1">
      <alignment horizontal="left" vertical="top" wrapText="1"/>
    </xf>
    <xf numFmtId="185" fontId="21" fillId="48" borderId="77" xfId="0" applyNumberFormat="1" applyFont="1" applyFill="1" applyBorder="1" applyAlignment="1">
      <alignment horizontal="left" vertical="center" wrapText="1"/>
    </xf>
    <xf numFmtId="185" fontId="21" fillId="48" borderId="43" xfId="0" applyNumberFormat="1" applyFont="1" applyFill="1" applyBorder="1" applyAlignment="1">
      <alignment horizontal="left" vertical="center" wrapText="1"/>
    </xf>
    <xf numFmtId="3" fontId="21" fillId="4" borderId="87" xfId="0" quotePrefix="1" applyNumberFormat="1" applyFont="1" applyFill="1" applyBorder="1" applyAlignment="1">
      <alignment horizontal="left" vertical="center" wrapText="1"/>
    </xf>
    <xf numFmtId="178" fontId="21" fillId="48" borderId="77" xfId="0" applyNumberFormat="1" applyFont="1" applyFill="1" applyBorder="1" applyAlignment="1">
      <alignment horizontal="left" vertical="center" wrapText="1"/>
    </xf>
    <xf numFmtId="178" fontId="21" fillId="48" borderId="43" xfId="0" applyNumberFormat="1" applyFont="1" applyFill="1" applyBorder="1" applyAlignment="1">
      <alignment horizontal="left" vertical="center" wrapText="1"/>
    </xf>
    <xf numFmtId="182" fontId="21" fillId="4" borderId="43" xfId="0" quotePrefix="1" applyNumberFormat="1" applyFont="1" applyFill="1" applyBorder="1" applyAlignment="1">
      <alignment horizontal="left" vertical="top" wrapText="1"/>
    </xf>
    <xf numFmtId="0" fontId="4" fillId="6" borderId="14" xfId="0" applyFont="1" applyFill="1" applyBorder="1" applyAlignment="1">
      <alignment horizontal="left" vertical="center"/>
    </xf>
    <xf numFmtId="40" fontId="21" fillId="48" borderId="43" xfId="1" quotePrefix="1" applyNumberFormat="1" applyFont="1" applyFill="1" applyBorder="1" applyAlignment="1">
      <alignment horizontal="left" vertical="center" wrapText="1"/>
    </xf>
    <xf numFmtId="180" fontId="21" fillId="4" borderId="38" xfId="0" applyNumberFormat="1" applyFont="1" applyFill="1" applyBorder="1" applyAlignment="1">
      <alignment horizontal="left" vertical="center" wrapText="1"/>
    </xf>
    <xf numFmtId="180" fontId="21" fillId="4" borderId="38" xfId="1" quotePrefix="1" applyNumberFormat="1" applyFont="1" applyFill="1" applyBorder="1" applyAlignment="1">
      <alignment horizontal="left" vertical="center" wrapText="1"/>
    </xf>
    <xf numFmtId="49" fontId="21" fillId="4" borderId="38" xfId="1" applyNumberFormat="1" applyFont="1" applyFill="1" applyBorder="1" applyAlignment="1">
      <alignment horizontal="left" vertical="top" wrapText="1"/>
    </xf>
    <xf numFmtId="49" fontId="21" fillId="4" borderId="38" xfId="1" quotePrefix="1" applyNumberFormat="1" applyFont="1" applyFill="1" applyBorder="1" applyAlignment="1">
      <alignment horizontal="left" vertical="center" wrapText="1"/>
    </xf>
    <xf numFmtId="49" fontId="5" fillId="4" borderId="38" xfId="0" applyNumberFormat="1" applyFont="1" applyFill="1" applyBorder="1" applyAlignment="1">
      <alignment horizontal="left" vertical="center" wrapText="1"/>
    </xf>
    <xf numFmtId="49" fontId="21" fillId="4" borderId="38" xfId="0" applyNumberFormat="1" applyFont="1" applyFill="1" applyBorder="1" applyAlignment="1">
      <alignment horizontal="left" vertical="center" wrapText="1"/>
    </xf>
    <xf numFmtId="49" fontId="21" fillId="4" borderId="38" xfId="1" quotePrefix="1" applyNumberFormat="1" applyFont="1" applyFill="1" applyBorder="1" applyAlignment="1">
      <alignment horizontal="left" vertical="top" wrapText="1"/>
    </xf>
    <xf numFmtId="0" fontId="21" fillId="4" borderId="38" xfId="1" applyNumberFormat="1" applyFont="1" applyFill="1" applyBorder="1" applyAlignment="1">
      <alignment horizontal="left" vertical="center" wrapText="1"/>
    </xf>
    <xf numFmtId="0" fontId="21" fillId="4" borderId="38" xfId="1" quotePrefix="1" applyNumberFormat="1" applyFont="1" applyFill="1" applyBorder="1" applyAlignment="1">
      <alignment horizontal="left" vertical="center" wrapText="1"/>
    </xf>
    <xf numFmtId="0" fontId="5" fillId="4" borderId="38" xfId="0" applyFont="1" applyFill="1" applyBorder="1" applyAlignment="1">
      <alignment horizontal="left" vertical="center" wrapText="1"/>
    </xf>
    <xf numFmtId="38" fontId="21" fillId="4" borderId="38" xfId="1" applyNumberFormat="1" applyFont="1" applyFill="1" applyBorder="1" applyAlignment="1">
      <alignment horizontal="left" vertical="center" wrapText="1"/>
    </xf>
    <xf numFmtId="38" fontId="21" fillId="4" borderId="38" xfId="1" quotePrefix="1" applyNumberFormat="1" applyFont="1" applyFill="1" applyBorder="1" applyAlignment="1">
      <alignment horizontal="left" vertical="center" wrapText="1"/>
    </xf>
    <xf numFmtId="38" fontId="5" fillId="4" borderId="38" xfId="0" applyNumberFormat="1" applyFont="1" applyFill="1" applyBorder="1" applyAlignment="1">
      <alignment horizontal="left" vertical="center" wrapText="1"/>
    </xf>
    <xf numFmtId="38" fontId="21" fillId="4" borderId="38" xfId="0" applyNumberFormat="1" applyFont="1" applyFill="1" applyBorder="1" applyAlignment="1">
      <alignment horizontal="left" vertical="center" wrapText="1"/>
    </xf>
    <xf numFmtId="185" fontId="5" fillId="4" borderId="80" xfId="0" applyNumberFormat="1" applyFont="1" applyFill="1" applyBorder="1" applyAlignment="1">
      <alignment horizontal="left" vertical="center" wrapText="1"/>
    </xf>
    <xf numFmtId="185" fontId="21" fillId="4" borderId="38" xfId="1" quotePrefix="1" applyNumberFormat="1" applyFont="1" applyFill="1" applyBorder="1" applyAlignment="1">
      <alignment horizontal="left" vertical="top" wrapText="1"/>
    </xf>
    <xf numFmtId="185" fontId="21" fillId="4" borderId="38" xfId="1" applyNumberFormat="1" applyFont="1" applyFill="1" applyBorder="1" applyAlignment="1">
      <alignment horizontal="left" vertical="center" wrapText="1"/>
    </xf>
    <xf numFmtId="40" fontId="21" fillId="4" borderId="38" xfId="1" applyNumberFormat="1" applyFont="1" applyFill="1" applyBorder="1" applyAlignment="1">
      <alignment horizontal="left" vertical="top" wrapText="1"/>
    </xf>
    <xf numFmtId="185" fontId="21" fillId="4" borderId="54" xfId="1" applyNumberFormat="1" applyFont="1" applyFill="1" applyBorder="1" applyAlignment="1">
      <alignment horizontal="left" vertical="center" wrapText="1"/>
    </xf>
    <xf numFmtId="40" fontId="21" fillId="5" borderId="78" xfId="1" quotePrefix="1" applyNumberFormat="1" applyFont="1" applyFill="1" applyBorder="1" applyAlignment="1">
      <alignment horizontal="left" vertical="center" wrapText="1"/>
    </xf>
    <xf numFmtId="40" fontId="21" fillId="18" borderId="38" xfId="1" applyNumberFormat="1" applyFont="1" applyFill="1" applyBorder="1" applyAlignment="1">
      <alignment horizontal="left" vertical="center" wrapText="1"/>
    </xf>
    <xf numFmtId="187" fontId="5" fillId="4" borderId="38" xfId="0" applyNumberFormat="1" applyFont="1" applyFill="1" applyBorder="1" applyAlignment="1">
      <alignment horizontal="left" vertical="center" wrapText="1"/>
    </xf>
    <xf numFmtId="40" fontId="21" fillId="5" borderId="37" xfId="1" quotePrefix="1" applyNumberFormat="1" applyFont="1" applyFill="1" applyBorder="1" applyAlignment="1">
      <alignment horizontal="left" vertical="center" wrapText="1"/>
    </xf>
    <xf numFmtId="40" fontId="20" fillId="4" borderId="37" xfId="1" applyNumberFormat="1" applyFont="1" applyFill="1" applyBorder="1" applyAlignment="1">
      <alignment horizontal="left" vertical="center" wrapText="1"/>
    </xf>
    <xf numFmtId="4" fontId="21" fillId="4" borderId="38" xfId="0" applyNumberFormat="1" applyFont="1" applyFill="1" applyBorder="1" applyAlignment="1">
      <alignment horizontal="left" vertical="top" wrapText="1"/>
    </xf>
    <xf numFmtId="3" fontId="21" fillId="5" borderId="38" xfId="0" applyNumberFormat="1" applyFont="1" applyFill="1" applyBorder="1" applyAlignment="1">
      <alignment horizontal="left" vertical="center" wrapText="1"/>
    </xf>
    <xf numFmtId="3" fontId="21" fillId="43" borderId="38" xfId="0" applyNumberFormat="1" applyFont="1" applyFill="1" applyBorder="1" applyAlignment="1">
      <alignment horizontal="left" vertical="center" wrapText="1"/>
    </xf>
    <xf numFmtId="3" fontId="21" fillId="32" borderId="38" xfId="0" applyNumberFormat="1" applyFont="1" applyFill="1" applyBorder="1" applyAlignment="1">
      <alignment horizontal="left" vertical="top" wrapText="1"/>
    </xf>
    <xf numFmtId="40" fontId="20" fillId="4" borderId="38" xfId="1" quotePrefix="1" applyNumberFormat="1" applyFont="1" applyFill="1" applyBorder="1" applyAlignment="1">
      <alignment horizontal="left" vertical="top" wrapText="1"/>
    </xf>
    <xf numFmtId="40" fontId="21" fillId="4" borderId="74" xfId="1" quotePrefix="1" applyNumberFormat="1" applyFont="1" applyFill="1" applyBorder="1" applyAlignment="1">
      <alignment horizontal="left" vertical="center" wrapText="1"/>
    </xf>
    <xf numFmtId="40" fontId="11" fillId="4" borderId="80" xfId="1" quotePrefix="1" applyNumberFormat="1" applyFont="1" applyFill="1" applyBorder="1" applyAlignment="1">
      <alignment horizontal="left" vertical="top" wrapText="1"/>
    </xf>
    <xf numFmtId="3" fontId="21" fillId="4" borderId="54" xfId="0" quotePrefix="1" applyNumberFormat="1" applyFont="1" applyFill="1" applyBorder="1" applyAlignment="1">
      <alignment horizontal="left" vertical="center" wrapText="1"/>
    </xf>
    <xf numFmtId="3" fontId="21" fillId="4" borderId="54" xfId="0" quotePrefix="1" applyNumberFormat="1" applyFont="1" applyFill="1" applyBorder="1" applyAlignment="1">
      <alignment horizontal="left" vertical="top" wrapText="1"/>
    </xf>
    <xf numFmtId="3" fontId="21" fillId="4" borderId="74" xfId="0" quotePrefix="1" applyNumberFormat="1" applyFont="1" applyFill="1" applyBorder="1" applyAlignment="1">
      <alignment horizontal="left" vertical="center" wrapText="1"/>
    </xf>
    <xf numFmtId="3" fontId="21" fillId="5" borderId="78" xfId="0" applyNumberFormat="1" applyFont="1" applyFill="1" applyBorder="1" applyAlignment="1">
      <alignment horizontal="left" vertical="center" wrapText="1"/>
    </xf>
    <xf numFmtId="3" fontId="21" fillId="4" borderId="54" xfId="0" applyNumberFormat="1" applyFont="1" applyFill="1" applyBorder="1" applyAlignment="1">
      <alignment horizontal="left" vertical="center" wrapText="1"/>
    </xf>
    <xf numFmtId="3" fontId="21" fillId="48" borderId="78" xfId="0" applyNumberFormat="1" applyFont="1" applyFill="1" applyBorder="1" applyAlignment="1">
      <alignment horizontal="left" vertical="center" wrapText="1"/>
    </xf>
    <xf numFmtId="0" fontId="15" fillId="52" borderId="45" xfId="0" applyFont="1" applyFill="1" applyBorder="1" applyAlignment="1">
      <alignment horizontal="left" vertical="center"/>
    </xf>
    <xf numFmtId="38" fontId="21" fillId="48" borderId="38" xfId="0" applyNumberFormat="1" applyFont="1" applyFill="1" applyBorder="1" applyAlignment="1">
      <alignment horizontal="left" vertical="center" wrapText="1"/>
    </xf>
    <xf numFmtId="3" fontId="21" fillId="52" borderId="38" xfId="0" applyNumberFormat="1" applyFont="1" applyFill="1" applyBorder="1" applyAlignment="1">
      <alignment horizontal="left" vertical="center" wrapText="1"/>
    </xf>
    <xf numFmtId="178" fontId="21" fillId="4" borderId="37" xfId="8" quotePrefix="1" applyNumberFormat="1" applyFont="1" applyFill="1" applyBorder="1" applyAlignment="1">
      <alignment horizontal="left" vertical="center" wrapText="1"/>
    </xf>
    <xf numFmtId="178" fontId="21" fillId="4" borderId="37" xfId="8" applyNumberFormat="1" applyFont="1" applyFill="1" applyBorder="1" applyAlignment="1">
      <alignment horizontal="left" vertical="center" wrapText="1"/>
    </xf>
    <xf numFmtId="185" fontId="21" fillId="4" borderId="37" xfId="8" quotePrefix="1" applyNumberFormat="1" applyFont="1" applyFill="1" applyBorder="1" applyAlignment="1">
      <alignment horizontal="left" vertical="center" wrapText="1"/>
    </xf>
    <xf numFmtId="178" fontId="21" fillId="4" borderId="38" xfId="0" quotePrefix="1" applyNumberFormat="1" applyFont="1" applyFill="1" applyBorder="1" applyAlignment="1">
      <alignment horizontal="left" vertical="top" wrapText="1"/>
    </xf>
    <xf numFmtId="178" fontId="21" fillId="4" borderId="38" xfId="8" quotePrefix="1" applyNumberFormat="1" applyFont="1" applyFill="1" applyBorder="1" applyAlignment="1">
      <alignment horizontal="left" vertical="center" wrapText="1"/>
    </xf>
    <xf numFmtId="178" fontId="21" fillId="4" borderId="38" xfId="0" quotePrefix="1" applyNumberFormat="1" applyFont="1" applyFill="1" applyBorder="1" applyAlignment="1">
      <alignment horizontal="left" vertical="center" wrapText="1"/>
    </xf>
    <xf numFmtId="41" fontId="21" fillId="4" borderId="37" xfId="1" quotePrefix="1" applyFont="1" applyFill="1" applyBorder="1" applyAlignment="1">
      <alignment horizontal="left" vertical="top" wrapText="1"/>
    </xf>
    <xf numFmtId="177" fontId="15" fillId="19" borderId="36" xfId="0" quotePrefix="1" applyNumberFormat="1" applyFont="1" applyFill="1" applyBorder="1" applyAlignment="1">
      <alignment horizontal="left" vertical="center"/>
    </xf>
    <xf numFmtId="185" fontId="21" fillId="4" borderId="37" xfId="1" quotePrefix="1" applyNumberFormat="1" applyFont="1" applyFill="1" applyBorder="1" applyAlignment="1">
      <alignment horizontal="left" vertical="top" wrapText="1"/>
    </xf>
    <xf numFmtId="178" fontId="21" fillId="4" borderId="38" xfId="8" applyNumberFormat="1" applyFont="1" applyFill="1" applyBorder="1" applyAlignment="1">
      <alignment horizontal="left" vertical="top" wrapText="1"/>
    </xf>
    <xf numFmtId="185" fontId="21" fillId="4" borderId="38" xfId="0" applyNumberFormat="1" applyFont="1" applyFill="1" applyBorder="1" applyAlignment="1">
      <alignment horizontal="left" vertical="top" wrapText="1"/>
    </xf>
    <xf numFmtId="178" fontId="5" fillId="4" borderId="37" xfId="1" quotePrefix="1" applyNumberFormat="1" applyFont="1" applyFill="1" applyBorder="1" applyAlignment="1">
      <alignment horizontal="left" vertical="top" wrapText="1"/>
    </xf>
    <xf numFmtId="178" fontId="21" fillId="4" borderId="37" xfId="1" applyNumberFormat="1" applyFont="1" applyFill="1" applyBorder="1" applyAlignment="1">
      <alignment horizontal="left" vertical="top" wrapText="1"/>
    </xf>
    <xf numFmtId="178" fontId="21" fillId="4" borderId="38" xfId="1" quotePrefix="1" applyNumberFormat="1" applyFont="1" applyFill="1" applyBorder="1" applyAlignment="1">
      <alignment horizontal="left" vertical="top" wrapText="1"/>
    </xf>
    <xf numFmtId="3" fontId="26" fillId="48" borderId="38" xfId="0" quotePrefix="1" applyNumberFormat="1" applyFont="1" applyFill="1" applyBorder="1" applyAlignment="1">
      <alignment horizontal="left" vertical="center" wrapText="1"/>
    </xf>
    <xf numFmtId="178" fontId="21" fillId="4" borderId="38" xfId="0" applyNumberFormat="1" applyFont="1" applyFill="1" applyBorder="1" applyAlignment="1">
      <alignment horizontal="left" vertical="center" wrapText="1"/>
    </xf>
    <xf numFmtId="3" fontId="21" fillId="4" borderId="73" xfId="0" quotePrefix="1" applyNumberFormat="1" applyFont="1" applyFill="1" applyBorder="1" applyAlignment="1">
      <alignment horizontal="left" vertical="center" wrapText="1"/>
    </xf>
    <xf numFmtId="4" fontId="21" fillId="48" borderId="38" xfId="0" applyNumberFormat="1" applyFont="1" applyFill="1" applyBorder="1" applyAlignment="1">
      <alignment horizontal="left" vertical="center" wrapText="1"/>
    </xf>
    <xf numFmtId="185" fontId="21" fillId="48" borderId="37" xfId="0" applyNumberFormat="1" applyFont="1" applyFill="1" applyBorder="1" applyAlignment="1">
      <alignment horizontal="left" vertical="center" wrapText="1"/>
    </xf>
    <xf numFmtId="178" fontId="21" fillId="48" borderId="78" xfId="0" applyNumberFormat="1" applyFont="1" applyFill="1" applyBorder="1" applyAlignment="1">
      <alignment horizontal="left" vertical="center" wrapText="1"/>
    </xf>
    <xf numFmtId="178" fontId="21" fillId="48" borderId="38" xfId="0" applyNumberFormat="1" applyFont="1" applyFill="1" applyBorder="1" applyAlignment="1">
      <alignment horizontal="left" vertical="center" wrapText="1"/>
    </xf>
    <xf numFmtId="0" fontId="21" fillId="19" borderId="38" xfId="0" applyFont="1" applyFill="1" applyBorder="1" applyAlignment="1">
      <alignment horizontal="left" vertical="center"/>
    </xf>
    <xf numFmtId="182" fontId="21" fillId="32" borderId="38" xfId="0" applyNumberFormat="1" applyFont="1" applyFill="1" applyBorder="1" applyAlignment="1">
      <alignment vertical="center" wrapText="1"/>
    </xf>
    <xf numFmtId="182" fontId="21" fillId="32" borderId="38" xfId="1" quotePrefix="1" applyNumberFormat="1" applyFont="1" applyFill="1" applyBorder="1" applyAlignment="1">
      <alignment horizontal="right" vertical="center" wrapText="1"/>
    </xf>
    <xf numFmtId="0" fontId="5" fillId="52" borderId="45" xfId="0" applyFont="1" applyFill="1" applyBorder="1">
      <alignment vertical="center"/>
    </xf>
    <xf numFmtId="177" fontId="5" fillId="52" borderId="54" xfId="0" quotePrefix="1" applyNumberFormat="1" applyFont="1" applyFill="1" applyBorder="1" applyAlignment="1">
      <alignment vertical="top"/>
    </xf>
    <xf numFmtId="177" fontId="5" fillId="52" borderId="65" xfId="0" quotePrefix="1" applyNumberFormat="1" applyFont="1" applyFill="1" applyBorder="1" applyAlignment="1">
      <alignment horizontal="center" vertical="center"/>
    </xf>
    <xf numFmtId="181" fontId="21" fillId="52" borderId="234" xfId="0" quotePrefix="1" applyNumberFormat="1" applyFont="1" applyFill="1" applyBorder="1" applyAlignment="1">
      <alignment horizontal="left" vertical="center"/>
    </xf>
    <xf numFmtId="178" fontId="21" fillId="52" borderId="38" xfId="0" quotePrefix="1" applyNumberFormat="1" applyFont="1" applyFill="1" applyBorder="1" applyAlignment="1">
      <alignment horizontal="left" vertical="center"/>
    </xf>
    <xf numFmtId="181" fontId="21" fillId="52" borderId="38" xfId="0" quotePrefix="1" applyNumberFormat="1" applyFont="1" applyFill="1" applyBorder="1" applyAlignment="1">
      <alignment horizontal="left" vertical="center"/>
    </xf>
    <xf numFmtId="178" fontId="21" fillId="52" borderId="45" xfId="0" quotePrefix="1" applyNumberFormat="1" applyFont="1" applyFill="1" applyBorder="1" applyAlignment="1">
      <alignment horizontal="center" vertical="center"/>
    </xf>
    <xf numFmtId="178" fontId="21" fillId="52" borderId="45" xfId="0" quotePrefix="1" applyNumberFormat="1" applyFont="1" applyFill="1" applyBorder="1" applyAlignment="1">
      <alignment horizontal="left" vertical="center"/>
    </xf>
    <xf numFmtId="182" fontId="21" fillId="32" borderId="37" xfId="1" applyNumberFormat="1" applyFont="1" applyFill="1" applyBorder="1" applyAlignment="1">
      <alignment horizontal="right" vertical="center" wrapText="1"/>
    </xf>
    <xf numFmtId="0" fontId="5" fillId="52" borderId="42" xfId="0" applyFont="1" applyFill="1" applyBorder="1">
      <alignment vertical="center"/>
    </xf>
    <xf numFmtId="177" fontId="5" fillId="52" borderId="42" xfId="0" quotePrefix="1" applyNumberFormat="1" applyFont="1" applyFill="1" applyBorder="1" applyAlignment="1">
      <alignment vertical="center" wrapText="1"/>
    </xf>
    <xf numFmtId="177" fontId="5" fillId="52" borderId="45" xfId="0" quotePrefix="1" applyNumberFormat="1" applyFont="1" applyFill="1" applyBorder="1" applyAlignment="1">
      <alignment horizontal="center" vertical="center"/>
    </xf>
    <xf numFmtId="0" fontId="0" fillId="52" borderId="54" xfId="0" applyFill="1" applyBorder="1" applyAlignment="1">
      <alignment vertical="top"/>
    </xf>
    <xf numFmtId="0" fontId="0" fillId="52" borderId="57" xfId="0" applyFill="1" applyBorder="1" applyAlignment="1">
      <alignment vertical="top"/>
    </xf>
    <xf numFmtId="0" fontId="5" fillId="52" borderId="43" xfId="0" applyFont="1" applyFill="1" applyBorder="1" applyAlignment="1">
      <alignment horizontal="left" vertical="top"/>
    </xf>
    <xf numFmtId="0" fontId="5" fillId="52" borderId="45" xfId="0" applyFont="1" applyFill="1" applyBorder="1" applyAlignment="1">
      <alignment horizontal="left" vertical="top"/>
    </xf>
    <xf numFmtId="178" fontId="21" fillId="52" borderId="38" xfId="0" quotePrefix="1" applyNumberFormat="1" applyFont="1" applyFill="1" applyBorder="1" applyAlignment="1">
      <alignment horizontal="left" vertical="top"/>
    </xf>
    <xf numFmtId="178" fontId="21" fillId="52" borderId="45" xfId="0" applyNumberFormat="1" applyFont="1" applyFill="1" applyBorder="1" applyAlignment="1">
      <alignment horizontal="left" vertical="center"/>
    </xf>
    <xf numFmtId="0" fontId="21" fillId="57" borderId="0" xfId="0" applyFont="1" applyFill="1">
      <alignment vertical="center"/>
    </xf>
    <xf numFmtId="0" fontId="21" fillId="57" borderId="127" xfId="0" applyFont="1" applyFill="1" applyBorder="1" applyAlignment="1">
      <alignment horizontal="center" vertical="top"/>
    </xf>
    <xf numFmtId="177" fontId="26" fillId="57" borderId="302" xfId="0" quotePrefix="1" applyNumberFormat="1" applyFont="1" applyFill="1" applyBorder="1">
      <alignment vertical="center"/>
    </xf>
    <xf numFmtId="177" fontId="26" fillId="57" borderId="42" xfId="0" quotePrefix="1" applyNumberFormat="1" applyFont="1" applyFill="1" applyBorder="1">
      <alignment vertical="center"/>
    </xf>
    <xf numFmtId="177" fontId="26" fillId="57" borderId="45" xfId="0" quotePrefix="1" applyNumberFormat="1" applyFont="1" applyFill="1" applyBorder="1">
      <alignment vertical="center"/>
    </xf>
    <xf numFmtId="177" fontId="21" fillId="57" borderId="43" xfId="0" quotePrefix="1" applyNumberFormat="1" applyFont="1" applyFill="1" applyBorder="1" applyAlignment="1">
      <alignment horizontal="center" vertical="center"/>
    </xf>
    <xf numFmtId="0" fontId="21" fillId="57" borderId="43" xfId="0" applyFont="1" applyFill="1" applyBorder="1">
      <alignment vertical="center"/>
    </xf>
    <xf numFmtId="177" fontId="26" fillId="57" borderId="43" xfId="0" quotePrefix="1" applyNumberFormat="1" applyFont="1" applyFill="1" applyBorder="1">
      <alignment vertical="center"/>
    </xf>
    <xf numFmtId="182" fontId="21" fillId="57" borderId="303" xfId="1" quotePrefix="1" applyNumberFormat="1" applyFont="1" applyFill="1" applyBorder="1" applyAlignment="1">
      <alignment horizontal="right" vertical="center" wrapText="1"/>
    </xf>
    <xf numFmtId="182" fontId="21" fillId="57" borderId="80" xfId="1" quotePrefix="1" applyNumberFormat="1" applyFont="1" applyFill="1" applyBorder="1" applyAlignment="1">
      <alignment horizontal="left" vertical="center" wrapText="1"/>
    </xf>
    <xf numFmtId="182" fontId="21" fillId="57" borderId="37" xfId="1" quotePrefix="1" applyNumberFormat="1" applyFont="1" applyFill="1" applyBorder="1" applyAlignment="1">
      <alignment horizontal="right" vertical="center" wrapText="1"/>
    </xf>
    <xf numFmtId="182" fontId="21" fillId="57" borderId="38" xfId="1" quotePrefix="1" applyNumberFormat="1" applyFont="1" applyFill="1" applyBorder="1" applyAlignment="1">
      <alignment horizontal="left" vertical="center" wrapText="1"/>
    </xf>
    <xf numFmtId="182" fontId="21" fillId="57" borderId="43" xfId="0" quotePrefix="1" applyNumberFormat="1" applyFont="1" applyFill="1" applyBorder="1" applyAlignment="1">
      <alignment horizontal="right" vertical="center" wrapText="1"/>
    </xf>
    <xf numFmtId="3" fontId="21" fillId="57" borderId="38" xfId="0" applyNumberFormat="1" applyFont="1" applyFill="1" applyBorder="1" applyAlignment="1">
      <alignment horizontal="left" vertical="center" wrapText="1"/>
    </xf>
    <xf numFmtId="3" fontId="21" fillId="57" borderId="45" xfId="0" applyNumberFormat="1" applyFont="1" applyFill="1" applyBorder="1" applyAlignment="1">
      <alignment horizontal="center" vertical="center" wrapText="1"/>
    </xf>
    <xf numFmtId="3" fontId="21" fillId="57" borderId="45" xfId="0" applyNumberFormat="1" applyFont="1" applyFill="1" applyBorder="1" applyAlignment="1">
      <alignment horizontal="left" vertical="center" wrapText="1"/>
    </xf>
    <xf numFmtId="0" fontId="21" fillId="57" borderId="45" xfId="0" applyFont="1" applyFill="1" applyBorder="1" applyAlignment="1">
      <alignment horizontal="left" vertical="top" wrapText="1"/>
    </xf>
    <xf numFmtId="0" fontId="21" fillId="57" borderId="38" xfId="0" applyFont="1" applyFill="1" applyBorder="1" applyAlignment="1">
      <alignment horizontal="left" vertical="top" wrapText="1"/>
    </xf>
    <xf numFmtId="3" fontId="21" fillId="57" borderId="38" xfId="0" applyNumberFormat="1" applyFont="1" applyFill="1" applyBorder="1" applyAlignment="1">
      <alignment horizontal="center" vertical="center"/>
    </xf>
    <xf numFmtId="0" fontId="21" fillId="57" borderId="38" xfId="0" applyFont="1" applyFill="1" applyBorder="1">
      <alignment vertical="center"/>
    </xf>
    <xf numFmtId="3" fontId="26" fillId="57" borderId="38" xfId="0" applyNumberFormat="1" applyFont="1" applyFill="1" applyBorder="1" applyAlignment="1">
      <alignment horizontal="center" vertical="center"/>
    </xf>
    <xf numFmtId="0" fontId="21" fillId="57" borderId="90" xfId="0" applyFont="1" applyFill="1" applyBorder="1" applyAlignment="1">
      <alignment horizontal="center" vertical="center"/>
    </xf>
    <xf numFmtId="0" fontId="21" fillId="57" borderId="47" xfId="0" applyFont="1" applyFill="1" applyBorder="1" applyAlignment="1">
      <alignment horizontal="center" vertical="top" wrapText="1"/>
    </xf>
    <xf numFmtId="0" fontId="72" fillId="57" borderId="0" xfId="0" applyFont="1" applyFill="1" applyAlignment="1">
      <alignment horizontal="left" vertical="top" wrapText="1"/>
    </xf>
    <xf numFmtId="0" fontId="21" fillId="57" borderId="0" xfId="0" quotePrefix="1" applyFont="1" applyFill="1">
      <alignment vertical="center"/>
    </xf>
    <xf numFmtId="177" fontId="21" fillId="57" borderId="302" xfId="0" quotePrefix="1" applyNumberFormat="1" applyFont="1" applyFill="1" applyBorder="1">
      <alignment vertical="center"/>
    </xf>
    <xf numFmtId="177" fontId="21" fillId="57" borderId="42" xfId="0" quotePrefix="1" applyNumberFormat="1" applyFont="1" applyFill="1" applyBorder="1">
      <alignment vertical="center"/>
    </xf>
    <xf numFmtId="177" fontId="21" fillId="57" borderId="45" xfId="0" quotePrefix="1" applyNumberFormat="1" applyFont="1" applyFill="1" applyBorder="1">
      <alignment vertical="center"/>
    </xf>
    <xf numFmtId="0" fontId="21" fillId="57" borderId="38" xfId="0" applyFont="1" applyFill="1" applyBorder="1" applyAlignment="1">
      <alignment horizontal="left" vertical="top"/>
    </xf>
    <xf numFmtId="177" fontId="21" fillId="57" borderId="34" xfId="0" applyNumberFormat="1" applyFont="1" applyFill="1" applyBorder="1" applyAlignment="1">
      <alignment vertical="top"/>
    </xf>
    <xf numFmtId="177" fontId="21" fillId="57" borderId="49" xfId="0" applyNumberFormat="1" applyFont="1" applyFill="1" applyBorder="1" applyAlignment="1">
      <alignment vertical="top"/>
    </xf>
    <xf numFmtId="177" fontId="21" fillId="57" borderId="80" xfId="0" applyNumberFormat="1" applyFont="1" applyFill="1" applyBorder="1" applyAlignment="1">
      <alignment vertical="top"/>
    </xf>
    <xf numFmtId="177" fontId="21" fillId="59" borderId="43" xfId="0" quotePrefix="1" applyNumberFormat="1" applyFont="1" applyFill="1" applyBorder="1" applyAlignment="1">
      <alignment horizontal="center" vertical="center"/>
    </xf>
    <xf numFmtId="182" fontId="21" fillId="57" borderId="219" xfId="0" applyNumberFormat="1" applyFont="1" applyFill="1" applyBorder="1" applyAlignment="1">
      <alignment vertical="center" wrapText="1"/>
    </xf>
    <xf numFmtId="182" fontId="21" fillId="57" borderId="45" xfId="0" applyNumberFormat="1" applyFont="1" applyFill="1" applyBorder="1" applyAlignment="1">
      <alignment horizontal="left" vertical="top" wrapText="1"/>
    </xf>
    <xf numFmtId="182" fontId="21" fillId="57" borderId="38" xfId="0" quotePrefix="1" applyNumberFormat="1" applyFont="1" applyFill="1" applyBorder="1" applyAlignment="1">
      <alignment horizontal="right" vertical="center" wrapText="1"/>
    </xf>
    <xf numFmtId="182" fontId="21" fillId="57" borderId="52" xfId="0" quotePrefix="1" applyNumberFormat="1" applyFont="1" applyFill="1" applyBorder="1" applyAlignment="1">
      <alignment horizontal="left" vertical="top" wrapText="1"/>
    </xf>
    <xf numFmtId="40" fontId="21" fillId="57" borderId="37" xfId="1" quotePrefix="1" applyNumberFormat="1" applyFont="1" applyFill="1" applyBorder="1" applyAlignment="1">
      <alignment horizontal="left" vertical="top" wrapText="1"/>
    </xf>
    <xf numFmtId="40" fontId="21" fillId="57" borderId="80" xfId="1" quotePrefix="1" applyNumberFormat="1" applyFont="1" applyFill="1" applyBorder="1" applyAlignment="1">
      <alignment horizontal="left" vertical="top" wrapText="1"/>
    </xf>
    <xf numFmtId="0" fontId="21" fillId="57" borderId="37" xfId="0" applyFont="1" applyFill="1" applyBorder="1" applyAlignment="1">
      <alignment horizontal="left" vertical="top" wrapText="1"/>
    </xf>
    <xf numFmtId="3" fontId="21" fillId="57" borderId="37" xfId="0" applyNumberFormat="1" applyFont="1" applyFill="1" applyBorder="1" applyAlignment="1">
      <alignment horizontal="center" vertical="top" wrapText="1"/>
    </xf>
    <xf numFmtId="0" fontId="21" fillId="57" borderId="45" xfId="0" applyFont="1" applyFill="1" applyBorder="1">
      <alignment vertical="center"/>
    </xf>
    <xf numFmtId="0" fontId="21" fillId="57" borderId="79" xfId="0" applyFont="1" applyFill="1" applyBorder="1" applyAlignment="1">
      <alignment horizontal="center" vertical="center"/>
    </xf>
    <xf numFmtId="0" fontId="21" fillId="57" borderId="60" xfId="0" applyFont="1" applyFill="1" applyBorder="1" applyAlignment="1">
      <alignment horizontal="center" vertical="top" wrapText="1"/>
    </xf>
    <xf numFmtId="177" fontId="21" fillId="57" borderId="43" xfId="0" applyNumberFormat="1" applyFont="1" applyFill="1" applyBorder="1" applyAlignment="1">
      <alignment vertical="top"/>
    </xf>
    <xf numFmtId="177" fontId="21" fillId="57" borderId="42" xfId="0" applyNumberFormat="1" applyFont="1" applyFill="1" applyBorder="1" applyAlignment="1">
      <alignment vertical="top"/>
    </xf>
    <xf numFmtId="177" fontId="21" fillId="57" borderId="45" xfId="0" applyNumberFormat="1" applyFont="1" applyFill="1" applyBorder="1" applyAlignment="1">
      <alignment vertical="top"/>
    </xf>
    <xf numFmtId="182" fontId="21" fillId="57" borderId="52" xfId="0" applyNumberFormat="1" applyFont="1" applyFill="1" applyBorder="1" applyAlignment="1">
      <alignment vertical="center" wrapText="1"/>
    </xf>
    <xf numFmtId="182" fontId="21" fillId="57" borderId="38" xfId="0" applyNumberFormat="1" applyFont="1" applyFill="1" applyBorder="1" applyAlignment="1">
      <alignment horizontal="right" vertical="center" wrapText="1"/>
    </xf>
    <xf numFmtId="3" fontId="21" fillId="57" borderId="38" xfId="0" applyNumberFormat="1" applyFont="1" applyFill="1" applyBorder="1" applyAlignment="1">
      <alignment horizontal="left" vertical="top" wrapText="1"/>
    </xf>
    <xf numFmtId="3" fontId="21" fillId="57" borderId="45" xfId="0" applyNumberFormat="1" applyFont="1" applyFill="1" applyBorder="1" applyAlignment="1">
      <alignment horizontal="left" vertical="top" wrapText="1"/>
    </xf>
    <xf numFmtId="0" fontId="5" fillId="57" borderId="0" xfId="0" applyFont="1" applyFill="1">
      <alignment vertical="center"/>
    </xf>
    <xf numFmtId="0" fontId="5" fillId="57" borderId="127" xfId="0" applyFont="1" applyFill="1" applyBorder="1" applyAlignment="1">
      <alignment horizontal="center" vertical="top"/>
    </xf>
    <xf numFmtId="0" fontId="5" fillId="57" borderId="43" xfId="0" applyFont="1" applyFill="1" applyBorder="1" applyAlignment="1">
      <alignment horizontal="center" vertical="center"/>
    </xf>
    <xf numFmtId="0" fontId="5" fillId="57" borderId="43" xfId="0" applyFont="1" applyFill="1" applyBorder="1" applyAlignment="1">
      <alignment vertical="top"/>
    </xf>
    <xf numFmtId="181" fontId="21" fillId="57" borderId="297" xfId="1" quotePrefix="1" applyNumberFormat="1" applyFont="1" applyFill="1" applyBorder="1" applyAlignment="1">
      <alignment horizontal="right" vertical="center" wrapText="1"/>
    </xf>
    <xf numFmtId="40" fontId="21" fillId="57" borderId="80" xfId="1" quotePrefix="1" applyNumberFormat="1" applyFont="1" applyFill="1" applyBorder="1" applyAlignment="1">
      <alignment horizontal="left" vertical="center" wrapText="1"/>
    </xf>
    <xf numFmtId="181" fontId="21" fillId="57" borderId="37" xfId="1" quotePrefix="1" applyNumberFormat="1" applyFont="1" applyFill="1" applyBorder="1" applyAlignment="1">
      <alignment horizontal="right" vertical="center" wrapText="1"/>
    </xf>
    <xf numFmtId="40" fontId="21" fillId="57" borderId="34" xfId="1" quotePrefix="1" applyNumberFormat="1" applyFont="1" applyFill="1" applyBorder="1" applyAlignment="1">
      <alignment horizontal="left" vertical="center" wrapText="1"/>
    </xf>
    <xf numFmtId="181" fontId="21" fillId="57" borderId="43" xfId="0" quotePrefix="1" applyNumberFormat="1" applyFont="1" applyFill="1" applyBorder="1" applyAlignment="1">
      <alignment horizontal="right" vertical="center" wrapText="1"/>
    </xf>
    <xf numFmtId="3" fontId="21" fillId="57" borderId="38" xfId="0" applyNumberFormat="1" applyFont="1" applyFill="1" applyBorder="1" applyAlignment="1">
      <alignment horizontal="center" vertical="center" wrapText="1"/>
    </xf>
    <xf numFmtId="0" fontId="5" fillId="57" borderId="38" xfId="0" applyFont="1" applyFill="1" applyBorder="1" applyAlignment="1">
      <alignment horizontal="left" vertical="top" wrapText="1"/>
    </xf>
    <xf numFmtId="3" fontId="5" fillId="57" borderId="38" xfId="0" applyNumberFormat="1" applyFont="1" applyFill="1" applyBorder="1" applyAlignment="1">
      <alignment horizontal="center" vertical="center"/>
    </xf>
    <xf numFmtId="3" fontId="0" fillId="57" borderId="38" xfId="0" applyNumberFormat="1" applyFill="1" applyBorder="1">
      <alignment vertical="center"/>
    </xf>
    <xf numFmtId="0" fontId="5" fillId="57" borderId="38" xfId="0" applyFont="1" applyFill="1" applyBorder="1">
      <alignment vertical="center"/>
    </xf>
    <xf numFmtId="0" fontId="5" fillId="57" borderId="38" xfId="0" applyFont="1" applyFill="1" applyBorder="1" applyAlignment="1">
      <alignment horizontal="center" vertical="center"/>
    </xf>
    <xf numFmtId="0" fontId="5" fillId="57" borderId="79" xfId="0" applyFont="1" applyFill="1" applyBorder="1" applyAlignment="1">
      <alignment horizontal="center" vertical="center"/>
    </xf>
    <xf numFmtId="0" fontId="5" fillId="57" borderId="59" xfId="0" applyFont="1" applyFill="1" applyBorder="1" applyAlignment="1">
      <alignment horizontal="center" vertical="center"/>
    </xf>
    <xf numFmtId="0" fontId="5" fillId="57" borderId="60" xfId="0" applyFont="1" applyFill="1" applyBorder="1" applyAlignment="1">
      <alignment horizontal="center" vertical="top" wrapText="1"/>
    </xf>
    <xf numFmtId="0" fontId="70" fillId="57" borderId="0" xfId="0" applyFont="1" applyFill="1" applyAlignment="1">
      <alignment horizontal="left" vertical="top" wrapText="1"/>
    </xf>
    <xf numFmtId="0" fontId="5" fillId="57" borderId="301" xfId="0" applyFont="1" applyFill="1" applyBorder="1" applyAlignment="1">
      <alignment horizontal="center" vertical="top"/>
    </xf>
    <xf numFmtId="0" fontId="5" fillId="57" borderId="37" xfId="0" applyFont="1" applyFill="1" applyBorder="1">
      <alignment vertical="center"/>
    </xf>
    <xf numFmtId="181" fontId="21" fillId="57" borderId="303" xfId="8" quotePrefix="1" applyNumberFormat="1" applyFont="1" applyFill="1" applyBorder="1" applyAlignment="1">
      <alignment horizontal="right" vertical="center" wrapText="1"/>
    </xf>
    <xf numFmtId="9" fontId="21" fillId="57" borderId="80" xfId="8" quotePrefix="1" applyFont="1" applyFill="1" applyBorder="1" applyAlignment="1">
      <alignment horizontal="left" vertical="center" wrapText="1"/>
    </xf>
    <xf numFmtId="181" fontId="21" fillId="57" borderId="37" xfId="8" quotePrefix="1" applyNumberFormat="1" applyFont="1" applyFill="1" applyBorder="1" applyAlignment="1">
      <alignment horizontal="right" vertical="center" wrapText="1"/>
    </xf>
    <xf numFmtId="40" fontId="21" fillId="57" borderId="38" xfId="1" quotePrefix="1" applyNumberFormat="1" applyFont="1" applyFill="1" applyBorder="1" applyAlignment="1">
      <alignment horizontal="left" vertical="top" wrapText="1"/>
    </xf>
    <xf numFmtId="0" fontId="5" fillId="57" borderId="80" xfId="0" applyFont="1" applyFill="1" applyBorder="1" applyAlignment="1">
      <alignment horizontal="left" vertical="top" wrapText="1"/>
    </xf>
    <xf numFmtId="0" fontId="5" fillId="57" borderId="37" xfId="0" applyFont="1" applyFill="1" applyBorder="1" applyAlignment="1">
      <alignment horizontal="left" vertical="top" wrapText="1"/>
    </xf>
    <xf numFmtId="3" fontId="5" fillId="57" borderId="38" xfId="0" applyNumberFormat="1" applyFont="1" applyFill="1" applyBorder="1">
      <alignment vertical="center"/>
    </xf>
    <xf numFmtId="0" fontId="5" fillId="57" borderId="79" xfId="0" applyFont="1" applyFill="1" applyBorder="1" applyAlignment="1">
      <alignment horizontal="center" vertical="center" wrapText="1"/>
    </xf>
    <xf numFmtId="9" fontId="21" fillId="57" borderId="37" xfId="8" quotePrefix="1" applyFont="1" applyFill="1" applyBorder="1" applyAlignment="1">
      <alignment horizontal="left" vertical="center" wrapText="1"/>
    </xf>
    <xf numFmtId="40" fontId="21" fillId="57" borderId="38" xfId="1" quotePrefix="1" applyNumberFormat="1" applyFont="1" applyFill="1" applyBorder="1" applyAlignment="1">
      <alignment horizontal="left" vertical="center" wrapText="1"/>
    </xf>
    <xf numFmtId="40" fontId="21" fillId="57" borderId="80" xfId="1" quotePrefix="1" applyNumberFormat="1" applyFont="1" applyFill="1" applyBorder="1" applyAlignment="1">
      <alignment horizontal="center" vertical="center" wrapText="1"/>
    </xf>
    <xf numFmtId="181" fontId="21" fillId="32" borderId="38" xfId="8" applyNumberFormat="1" applyFont="1" applyFill="1" applyBorder="1" applyAlignment="1">
      <alignment horizontal="right" vertical="center" wrapText="1"/>
    </xf>
    <xf numFmtId="181" fontId="21" fillId="32" borderId="38" xfId="8" applyNumberFormat="1" applyFont="1" applyFill="1" applyBorder="1" applyAlignment="1">
      <alignment vertical="center" wrapText="1"/>
    </xf>
    <xf numFmtId="0" fontId="5" fillId="52" borderId="54" xfId="0" applyFont="1" applyFill="1" applyBorder="1" applyAlignment="1">
      <alignment vertical="top"/>
    </xf>
    <xf numFmtId="0" fontId="5" fillId="52" borderId="57" xfId="0" applyFont="1" applyFill="1" applyBorder="1" applyAlignment="1">
      <alignment vertical="top"/>
    </xf>
    <xf numFmtId="181" fontId="21" fillId="52" borderId="307" xfId="0" quotePrefix="1" applyNumberFormat="1" applyFont="1" applyFill="1" applyBorder="1">
      <alignment vertical="center"/>
    </xf>
    <xf numFmtId="178" fontId="21" fillId="52" borderId="42" xfId="0" quotePrefix="1" applyNumberFormat="1" applyFont="1" applyFill="1" applyBorder="1" applyAlignment="1">
      <alignment horizontal="left" vertical="center"/>
    </xf>
    <xf numFmtId="181" fontId="21" fillId="52" borderId="42" xfId="0" quotePrefix="1" applyNumberFormat="1" applyFont="1" applyFill="1" applyBorder="1">
      <alignment vertical="center"/>
    </xf>
    <xf numFmtId="182" fontId="21" fillId="32" borderId="37" xfId="1" quotePrefix="1" applyNumberFormat="1" applyFont="1" applyFill="1" applyBorder="1" applyAlignment="1">
      <alignment horizontal="right" vertical="center" wrapText="1"/>
    </xf>
    <xf numFmtId="182" fontId="21" fillId="32" borderId="52" xfId="0" applyNumberFormat="1" applyFont="1" applyFill="1" applyBorder="1" applyAlignment="1">
      <alignment vertical="center" wrapText="1"/>
    </xf>
    <xf numFmtId="0" fontId="5" fillId="52" borderId="42" xfId="0" applyFont="1" applyFill="1" applyBorder="1" applyAlignment="1">
      <alignment vertical="center" wrapText="1"/>
    </xf>
    <xf numFmtId="0" fontId="5" fillId="52" borderId="42" xfId="0" applyFont="1" applyFill="1" applyBorder="1" applyAlignment="1">
      <alignment vertical="top"/>
    </xf>
    <xf numFmtId="0" fontId="5" fillId="52" borderId="45" xfId="0" applyFont="1" applyFill="1" applyBorder="1" applyAlignment="1">
      <alignment vertical="top"/>
    </xf>
    <xf numFmtId="182" fontId="21" fillId="52" borderId="234" xfId="0" quotePrefix="1" applyNumberFormat="1" applyFont="1" applyFill="1" applyBorder="1" applyAlignment="1">
      <alignment horizontal="left" vertical="center"/>
    </xf>
    <xf numFmtId="182" fontId="21" fillId="52" borderId="38" xfId="0" quotePrefix="1" applyNumberFormat="1" applyFont="1" applyFill="1" applyBorder="1" applyAlignment="1">
      <alignment horizontal="left" vertical="top"/>
    </xf>
    <xf numFmtId="182" fontId="21" fillId="52" borderId="38" xfId="0" quotePrefix="1" applyNumberFormat="1" applyFont="1" applyFill="1" applyBorder="1" applyAlignment="1">
      <alignment horizontal="left" vertical="center"/>
    </xf>
    <xf numFmtId="182" fontId="21" fillId="32" borderId="303" xfId="1" quotePrefix="1" applyNumberFormat="1" applyFont="1" applyFill="1" applyBorder="1" applyAlignment="1">
      <alignment horizontal="right" vertical="center" wrapText="1"/>
    </xf>
    <xf numFmtId="182" fontId="26" fillId="48" borderId="303" xfId="1" quotePrefix="1" applyNumberFormat="1" applyFont="1" applyFill="1" applyBorder="1" applyAlignment="1">
      <alignment horizontal="right" vertical="center" wrapText="1"/>
    </xf>
    <xf numFmtId="182" fontId="26" fillId="48" borderId="38" xfId="1" quotePrefix="1" applyNumberFormat="1" applyFont="1" applyFill="1" applyBorder="1" applyAlignment="1">
      <alignment horizontal="left" vertical="top" wrapText="1"/>
    </xf>
    <xf numFmtId="182" fontId="26" fillId="48" borderId="38" xfId="1" quotePrefix="1" applyNumberFormat="1" applyFont="1" applyFill="1" applyBorder="1" applyAlignment="1">
      <alignment horizontal="right" vertical="center" wrapText="1"/>
    </xf>
    <xf numFmtId="40" fontId="26" fillId="48" borderId="38" xfId="1" quotePrefix="1" applyNumberFormat="1" applyFont="1" applyFill="1" applyBorder="1" applyAlignment="1">
      <alignment horizontal="left" vertical="center" wrapText="1"/>
    </xf>
    <xf numFmtId="0" fontId="15" fillId="52" borderId="45" xfId="0" applyFont="1" applyFill="1" applyBorder="1" applyAlignment="1">
      <alignment horizontal="left" vertical="top" wrapText="1"/>
    </xf>
    <xf numFmtId="182" fontId="21" fillId="32" borderId="38" xfId="1" quotePrefix="1" applyNumberFormat="1" applyFont="1" applyFill="1" applyBorder="1" applyAlignment="1">
      <alignment horizontal="right" vertical="top" wrapText="1"/>
    </xf>
    <xf numFmtId="177" fontId="2" fillId="57" borderId="302" xfId="0" quotePrefix="1" applyNumberFormat="1" applyFont="1" applyFill="1" applyBorder="1">
      <alignment vertical="center"/>
    </xf>
    <xf numFmtId="177" fontId="2" fillId="57" borderId="45" xfId="0" quotePrefix="1" applyNumberFormat="1" applyFont="1" applyFill="1" applyBorder="1">
      <alignment vertical="center"/>
    </xf>
    <xf numFmtId="182" fontId="4" fillId="57" borderId="303" xfId="1" quotePrefix="1" applyNumberFormat="1" applyFont="1" applyFill="1" applyBorder="1" applyAlignment="1">
      <alignment horizontal="center" vertical="center" wrapText="1"/>
    </xf>
    <xf numFmtId="182" fontId="4" fillId="57" borderId="38" xfId="1" quotePrefix="1" applyNumberFormat="1" applyFont="1" applyFill="1" applyBorder="1" applyAlignment="1">
      <alignment horizontal="center" vertical="top" wrapText="1"/>
    </xf>
    <xf numFmtId="0" fontId="5" fillId="57" borderId="34" xfId="0" applyFont="1" applyFill="1" applyBorder="1">
      <alignment vertical="center"/>
    </xf>
    <xf numFmtId="182" fontId="21" fillId="57" borderId="38" xfId="1" quotePrefix="1" applyNumberFormat="1" applyFont="1" applyFill="1" applyBorder="1" applyAlignment="1">
      <alignment horizontal="left" vertical="top" wrapText="1"/>
    </xf>
    <xf numFmtId="40" fontId="21" fillId="57" borderId="80" xfId="1" quotePrefix="1" applyNumberFormat="1" applyFont="1" applyFill="1" applyBorder="1" applyAlignment="1">
      <alignment horizontal="center" vertical="top" wrapText="1"/>
    </xf>
    <xf numFmtId="40" fontId="21" fillId="57" borderId="45" xfId="1" quotePrefix="1" applyNumberFormat="1" applyFont="1" applyFill="1" applyBorder="1" applyAlignment="1">
      <alignment horizontal="left" vertical="center" wrapText="1"/>
    </xf>
    <xf numFmtId="0" fontId="5" fillId="57" borderId="90" xfId="0" applyFont="1" applyFill="1" applyBorder="1" applyAlignment="1">
      <alignment horizontal="center" vertical="center" wrapText="1"/>
    </xf>
    <xf numFmtId="0" fontId="5" fillId="57" borderId="90" xfId="0" applyFont="1" applyFill="1" applyBorder="1" applyAlignment="1">
      <alignment horizontal="center" vertical="center"/>
    </xf>
    <xf numFmtId="0" fontId="5" fillId="57" borderId="47" xfId="0" applyFont="1" applyFill="1" applyBorder="1" applyAlignment="1">
      <alignment horizontal="center" vertical="top" wrapText="1"/>
    </xf>
    <xf numFmtId="182" fontId="15" fillId="52" borderId="42" xfId="0" quotePrefix="1" applyNumberFormat="1" applyFont="1" applyFill="1" applyBorder="1">
      <alignment vertical="center"/>
    </xf>
    <xf numFmtId="182" fontId="15" fillId="52" borderId="42" xfId="0" quotePrefix="1" applyNumberFormat="1" applyFont="1" applyFill="1" applyBorder="1" applyAlignment="1">
      <alignment horizontal="left" vertical="center"/>
    </xf>
    <xf numFmtId="177" fontId="15" fillId="52" borderId="302" xfId="0" quotePrefix="1" applyNumberFormat="1" applyFont="1" applyFill="1" applyBorder="1">
      <alignment vertical="center"/>
    </xf>
    <xf numFmtId="177" fontId="15" fillId="52" borderId="42" xfId="0" quotePrefix="1" applyNumberFormat="1" applyFont="1" applyFill="1" applyBorder="1">
      <alignment vertical="center"/>
    </xf>
    <xf numFmtId="0" fontId="2" fillId="57" borderId="0" xfId="0" applyFont="1" applyFill="1">
      <alignment vertical="center"/>
    </xf>
    <xf numFmtId="0" fontId="2" fillId="57" borderId="127" xfId="0" applyFont="1" applyFill="1" applyBorder="1" applyAlignment="1">
      <alignment horizontal="center" vertical="top"/>
    </xf>
    <xf numFmtId="3" fontId="2" fillId="57" borderId="45" xfId="0" applyNumberFormat="1" applyFont="1" applyFill="1" applyBorder="1" applyAlignment="1">
      <alignment horizontal="center" vertical="center" wrapText="1"/>
    </xf>
    <xf numFmtId="177" fontId="4" fillId="57" borderId="45" xfId="0" quotePrefix="1" applyNumberFormat="1" applyFont="1" applyFill="1" applyBorder="1" applyAlignment="1">
      <alignment horizontal="left" vertical="center"/>
    </xf>
    <xf numFmtId="0" fontId="2" fillId="57" borderId="45" xfId="0" applyFont="1" applyFill="1" applyBorder="1" applyAlignment="1">
      <alignment horizontal="left" vertical="top" wrapText="1"/>
    </xf>
    <xf numFmtId="3" fontId="2" fillId="57" borderId="38" xfId="0" applyNumberFormat="1" applyFont="1" applyFill="1" applyBorder="1" applyAlignment="1">
      <alignment horizontal="center" vertical="center"/>
    </xf>
    <xf numFmtId="0" fontId="2" fillId="57" borderId="38" xfId="0" applyFont="1" applyFill="1" applyBorder="1">
      <alignment vertical="center"/>
    </xf>
    <xf numFmtId="0" fontId="2" fillId="57" borderId="90" xfId="0" applyFont="1" applyFill="1" applyBorder="1" applyAlignment="1">
      <alignment horizontal="center" vertical="center"/>
    </xf>
    <xf numFmtId="0" fontId="2" fillId="57" borderId="47" xfId="0" applyFont="1" applyFill="1" applyBorder="1" applyAlignment="1">
      <alignment horizontal="center" vertical="top" wrapText="1"/>
    </xf>
    <xf numFmtId="0" fontId="77" fillId="57" borderId="0" xfId="0" applyFont="1" applyFill="1" applyAlignment="1">
      <alignment horizontal="left" vertical="top" wrapText="1"/>
    </xf>
    <xf numFmtId="177" fontId="2" fillId="57" borderId="49" xfId="0" quotePrefix="1" applyNumberFormat="1" applyFont="1" applyFill="1" applyBorder="1" applyAlignment="1">
      <alignment horizontal="center" vertical="center"/>
    </xf>
    <xf numFmtId="0" fontId="2" fillId="57" borderId="43" xfId="0" applyFont="1" applyFill="1" applyBorder="1" applyAlignment="1">
      <alignment horizontal="center" vertical="center"/>
    </xf>
    <xf numFmtId="0" fontId="2" fillId="57" borderId="45" xfId="0" applyFont="1" applyFill="1" applyBorder="1">
      <alignment vertical="center"/>
    </xf>
    <xf numFmtId="181" fontId="2" fillId="57" borderId="297" xfId="1" quotePrefix="1" applyNumberFormat="1" applyFont="1" applyFill="1" applyBorder="1" applyAlignment="1">
      <alignment horizontal="right" vertical="center" wrapText="1"/>
    </xf>
    <xf numFmtId="40" fontId="2" fillId="57" borderId="80" xfId="1" quotePrefix="1" applyNumberFormat="1" applyFont="1" applyFill="1" applyBorder="1" applyAlignment="1">
      <alignment horizontal="left" vertical="center" wrapText="1"/>
    </xf>
    <xf numFmtId="181" fontId="2" fillId="57" borderId="37" xfId="1" quotePrefix="1" applyNumberFormat="1" applyFont="1" applyFill="1" applyBorder="1" applyAlignment="1">
      <alignment horizontal="right" vertical="center" wrapText="1"/>
    </xf>
    <xf numFmtId="40" fontId="2" fillId="57" borderId="34" xfId="1" quotePrefix="1" applyNumberFormat="1" applyFont="1" applyFill="1" applyBorder="1" applyAlignment="1">
      <alignment horizontal="left" vertical="center" wrapText="1"/>
    </xf>
    <xf numFmtId="181" fontId="2" fillId="57" borderId="43" xfId="0" quotePrefix="1" applyNumberFormat="1" applyFont="1" applyFill="1" applyBorder="1" applyAlignment="1">
      <alignment horizontal="right" vertical="center" wrapText="1"/>
    </xf>
    <xf numFmtId="3" fontId="2" fillId="57" borderId="38" xfId="0" applyNumberFormat="1" applyFont="1" applyFill="1" applyBorder="1" applyAlignment="1">
      <alignment horizontal="left" vertical="center" wrapText="1"/>
    </xf>
    <xf numFmtId="3" fontId="2" fillId="57" borderId="45" xfId="0" applyNumberFormat="1" applyFont="1" applyFill="1" applyBorder="1" applyAlignment="1">
      <alignment horizontal="left" vertical="center" wrapText="1"/>
    </xf>
    <xf numFmtId="0" fontId="2" fillId="57" borderId="57" xfId="0" applyFont="1" applyFill="1" applyBorder="1" applyAlignment="1">
      <alignment vertical="top"/>
    </xf>
    <xf numFmtId="0" fontId="2" fillId="57" borderId="38" xfId="0" applyFont="1" applyFill="1" applyBorder="1" applyAlignment="1">
      <alignment horizontal="left" vertical="top"/>
    </xf>
    <xf numFmtId="0" fontId="2" fillId="57" borderId="45" xfId="0" applyFont="1" applyFill="1" applyBorder="1" applyAlignment="1">
      <alignment horizontal="left" vertical="top"/>
    </xf>
    <xf numFmtId="181" fontId="2" fillId="57" borderId="219" xfId="8" applyNumberFormat="1" applyFont="1" applyFill="1" applyBorder="1" applyAlignment="1">
      <alignment vertical="center" wrapText="1"/>
    </xf>
    <xf numFmtId="9" fontId="2" fillId="57" borderId="45" xfId="8" applyFont="1" applyFill="1" applyBorder="1" applyAlignment="1">
      <alignment horizontal="left" vertical="center" wrapText="1"/>
    </xf>
    <xf numFmtId="181" fontId="4" fillId="57" borderId="38" xfId="8" quotePrefix="1" applyNumberFormat="1" applyFont="1" applyFill="1" applyBorder="1" applyAlignment="1">
      <alignment horizontal="right" vertical="center" wrapText="1"/>
    </xf>
    <xf numFmtId="9" fontId="2" fillId="57" borderId="52" xfId="8" quotePrefix="1" applyFont="1" applyFill="1" applyBorder="1" applyAlignment="1">
      <alignment horizontal="left" vertical="center" wrapText="1"/>
    </xf>
    <xf numFmtId="181" fontId="2" fillId="57" borderId="52" xfId="8" applyNumberFormat="1" applyFont="1" applyFill="1" applyBorder="1" applyAlignment="1">
      <alignment vertical="center" wrapText="1"/>
    </xf>
    <xf numFmtId="178" fontId="2" fillId="57" borderId="37" xfId="8" quotePrefix="1" applyNumberFormat="1" applyFont="1" applyFill="1" applyBorder="1" applyAlignment="1">
      <alignment horizontal="left" vertical="center" wrapText="1"/>
    </xf>
    <xf numFmtId="178" fontId="2" fillId="57" borderId="80" xfId="8" quotePrefix="1" applyNumberFormat="1" applyFont="1" applyFill="1" applyBorder="1" applyAlignment="1">
      <alignment horizontal="left" vertical="center" wrapText="1"/>
    </xf>
    <xf numFmtId="3" fontId="2" fillId="57" borderId="37" xfId="0" applyNumberFormat="1" applyFont="1" applyFill="1" applyBorder="1" applyAlignment="1">
      <alignment horizontal="center" vertical="top" wrapText="1"/>
    </xf>
    <xf numFmtId="3" fontId="2" fillId="57" borderId="80" xfId="0" applyNumberFormat="1" applyFont="1" applyFill="1" applyBorder="1" applyAlignment="1">
      <alignment horizontal="center" vertical="top" wrapText="1"/>
    </xf>
    <xf numFmtId="0" fontId="2" fillId="57" borderId="79" xfId="0" applyFont="1" applyFill="1" applyBorder="1" applyAlignment="1">
      <alignment horizontal="center" vertical="center"/>
    </xf>
    <xf numFmtId="0" fontId="2" fillId="57" borderId="60" xfId="0" applyFont="1" applyFill="1" applyBorder="1" applyAlignment="1">
      <alignment horizontal="center" vertical="top" wrapText="1"/>
    </xf>
    <xf numFmtId="181" fontId="2" fillId="57" borderId="38" xfId="8" quotePrefix="1" applyNumberFormat="1" applyFont="1" applyFill="1" applyBorder="1" applyAlignment="1">
      <alignment horizontal="right" vertical="center" wrapText="1"/>
    </xf>
    <xf numFmtId="181" fontId="4" fillId="57" borderId="52" xfId="8" applyNumberFormat="1" applyFont="1" applyFill="1" applyBorder="1" applyAlignment="1">
      <alignment vertical="center" wrapText="1"/>
    </xf>
    <xf numFmtId="9" fontId="2" fillId="57" borderId="45" xfId="8" applyFont="1" applyFill="1" applyBorder="1" applyAlignment="1">
      <alignment horizontal="left" vertical="top" wrapText="1"/>
    </xf>
    <xf numFmtId="9" fontId="2" fillId="57" borderId="52" xfId="8" quotePrefix="1" applyFont="1" applyFill="1" applyBorder="1" applyAlignment="1">
      <alignment horizontal="left" vertical="top" wrapText="1"/>
    </xf>
    <xf numFmtId="181" fontId="2" fillId="57" borderId="38" xfId="8" applyNumberFormat="1" applyFont="1" applyFill="1" applyBorder="1" applyAlignment="1">
      <alignment horizontal="right" vertical="center" wrapText="1"/>
    </xf>
    <xf numFmtId="178" fontId="2" fillId="57" borderId="37" xfId="8" applyNumberFormat="1" applyFont="1" applyFill="1" applyBorder="1" applyAlignment="1">
      <alignment horizontal="left" vertical="center" wrapText="1"/>
    </xf>
    <xf numFmtId="178" fontId="2" fillId="57" borderId="80" xfId="8" applyNumberFormat="1" applyFont="1" applyFill="1" applyBorder="1" applyAlignment="1">
      <alignment horizontal="left" vertical="center" wrapText="1"/>
    </xf>
    <xf numFmtId="9" fontId="2" fillId="57" borderId="52" xfId="8" applyFont="1" applyFill="1" applyBorder="1" applyAlignment="1">
      <alignment horizontal="left" vertical="center" wrapText="1"/>
    </xf>
    <xf numFmtId="0" fontId="2" fillId="57" borderId="37" xfId="0" applyFont="1" applyFill="1" applyBorder="1" applyAlignment="1">
      <alignment horizontal="left" vertical="top" wrapText="1"/>
    </xf>
    <xf numFmtId="0" fontId="2" fillId="57" borderId="74" xfId="0" applyFont="1" applyFill="1" applyBorder="1" applyAlignment="1">
      <alignment horizontal="left" vertical="top"/>
    </xf>
    <xf numFmtId="0" fontId="2" fillId="57" borderId="53" xfId="0" applyFont="1" applyFill="1" applyBorder="1" applyAlignment="1">
      <alignment horizontal="left" vertical="top"/>
    </xf>
    <xf numFmtId="178" fontId="2" fillId="57" borderId="64" xfId="8" applyNumberFormat="1" applyFont="1" applyFill="1" applyBorder="1" applyAlignment="1">
      <alignment horizontal="center" vertical="center" wrapText="1"/>
    </xf>
    <xf numFmtId="178" fontId="2" fillId="57" borderId="64" xfId="8" applyNumberFormat="1" applyFont="1" applyFill="1" applyBorder="1" applyAlignment="1">
      <alignment horizontal="left" vertical="center" wrapText="1"/>
    </xf>
    <xf numFmtId="178" fontId="2" fillId="57" borderId="52" xfId="8" quotePrefix="1" applyNumberFormat="1" applyFont="1" applyFill="1" applyBorder="1" applyAlignment="1">
      <alignment horizontal="left" vertical="center" wrapText="1"/>
    </xf>
    <xf numFmtId="178" fontId="2" fillId="57" borderId="52" xfId="8" quotePrefix="1" applyNumberFormat="1" applyFont="1" applyFill="1" applyBorder="1" applyAlignment="1">
      <alignment horizontal="left" vertical="top" wrapText="1"/>
    </xf>
    <xf numFmtId="178" fontId="2" fillId="57" borderId="45" xfId="8" applyNumberFormat="1" applyFont="1" applyFill="1" applyBorder="1" applyAlignment="1">
      <alignment horizontal="left" vertical="center" wrapText="1"/>
    </xf>
    <xf numFmtId="181" fontId="15" fillId="52" borderId="297" xfId="0" quotePrefix="1" applyNumberFormat="1" applyFont="1" applyFill="1" applyBorder="1">
      <alignment vertical="center"/>
    </xf>
    <xf numFmtId="177" fontId="15" fillId="52" borderId="38" xfId="0" quotePrefix="1" applyNumberFormat="1" applyFont="1" applyFill="1" applyBorder="1" applyAlignment="1">
      <alignment horizontal="left" vertical="center"/>
    </xf>
    <xf numFmtId="181" fontId="15" fillId="52" borderId="38" xfId="0" quotePrefix="1" applyNumberFormat="1" applyFont="1" applyFill="1" applyBorder="1">
      <alignment vertical="center"/>
    </xf>
    <xf numFmtId="3" fontId="21" fillId="52" borderId="80" xfId="0" applyNumberFormat="1" applyFont="1" applyFill="1" applyBorder="1" applyAlignment="1">
      <alignment horizontal="center" vertical="center" wrapText="1"/>
    </xf>
    <xf numFmtId="177" fontId="15" fillId="52" borderId="38" xfId="0" quotePrefix="1" applyNumberFormat="1" applyFont="1" applyFill="1" applyBorder="1">
      <alignment vertical="center"/>
    </xf>
    <xf numFmtId="182" fontId="15" fillId="52" borderId="297" xfId="0" quotePrefix="1" applyNumberFormat="1" applyFont="1" applyFill="1" applyBorder="1">
      <alignment vertical="center"/>
    </xf>
    <xf numFmtId="182" fontId="15" fillId="52" borderId="38" xfId="0" quotePrefix="1" applyNumberFormat="1" applyFont="1" applyFill="1" applyBorder="1" applyAlignment="1">
      <alignment horizontal="left" vertical="center"/>
    </xf>
    <xf numFmtId="182" fontId="15" fillId="52" borderId="38" xfId="0" quotePrefix="1" applyNumberFormat="1" applyFont="1" applyFill="1" applyBorder="1">
      <alignment vertical="center"/>
    </xf>
    <xf numFmtId="177" fontId="15" fillId="52" borderId="43" xfId="0" quotePrefix="1" applyNumberFormat="1" applyFont="1" applyFill="1" applyBorder="1" applyAlignment="1">
      <alignment horizontal="center" vertical="center"/>
    </xf>
    <xf numFmtId="0" fontId="5" fillId="52" borderId="38" xfId="0" applyFont="1" applyFill="1" applyBorder="1" applyAlignment="1">
      <alignment horizontal="left" vertical="top" wrapText="1"/>
    </xf>
    <xf numFmtId="178" fontId="26" fillId="3" borderId="80" xfId="1" quotePrefix="1" applyNumberFormat="1" applyFont="1" applyFill="1" applyBorder="1" applyAlignment="1">
      <alignment horizontal="left" vertical="top" wrapText="1"/>
    </xf>
    <xf numFmtId="0" fontId="21" fillId="3" borderId="43" xfId="0" applyFont="1" applyFill="1" applyBorder="1" applyAlignment="1">
      <alignment horizontal="center" vertical="center"/>
    </xf>
    <xf numFmtId="177" fontId="15" fillId="52" borderId="80" xfId="0" quotePrefix="1" applyNumberFormat="1" applyFont="1" applyFill="1" applyBorder="1" applyAlignment="1">
      <alignment horizontal="center" vertical="center"/>
    </xf>
    <xf numFmtId="177" fontId="15" fillId="52" borderId="80" xfId="0" quotePrefix="1" applyNumberFormat="1" applyFont="1" applyFill="1" applyBorder="1" applyAlignment="1">
      <alignment horizontal="left" vertical="center"/>
    </xf>
    <xf numFmtId="0" fontId="0" fillId="52" borderId="80" xfId="0" applyFill="1" applyBorder="1" applyAlignment="1">
      <alignment horizontal="left" vertical="top"/>
    </xf>
    <xf numFmtId="177" fontId="66" fillId="21" borderId="45" xfId="0" quotePrefix="1" applyNumberFormat="1" applyFont="1" applyFill="1" applyBorder="1" applyAlignment="1">
      <alignment horizontal="left" vertical="center"/>
    </xf>
    <xf numFmtId="181" fontId="21" fillId="32" borderId="38" xfId="0" quotePrefix="1" applyNumberFormat="1" applyFont="1" applyFill="1" applyBorder="1" applyAlignment="1">
      <alignment horizontal="right" vertical="top" wrapText="1"/>
    </xf>
    <xf numFmtId="177" fontId="5" fillId="0" borderId="345" xfId="0" quotePrefix="1" applyNumberFormat="1" applyFont="1" applyBorder="1" applyAlignment="1">
      <alignment horizontal="center" vertical="center"/>
    </xf>
    <xf numFmtId="182" fontId="21" fillId="4" borderId="37" xfId="8" applyNumberFormat="1" applyFont="1" applyFill="1" applyBorder="1" applyAlignment="1">
      <alignment horizontal="right" vertical="center" wrapText="1"/>
    </xf>
    <xf numFmtId="40" fontId="21" fillId="4" borderId="38" xfId="1" quotePrefix="1" applyNumberFormat="1" applyFont="1" applyFill="1" applyBorder="1" applyAlignment="1">
      <alignment horizontal="left" vertical="center"/>
    </xf>
    <xf numFmtId="3" fontId="26" fillId="48" borderId="80" xfId="0" applyNumberFormat="1" applyFont="1" applyFill="1" applyBorder="1" applyAlignment="1">
      <alignment horizontal="left" vertical="center" wrapText="1"/>
    </xf>
    <xf numFmtId="181" fontId="21" fillId="32" borderId="38" xfId="8" quotePrefix="1" applyNumberFormat="1" applyFont="1" applyFill="1" applyBorder="1" applyAlignment="1">
      <alignment horizontal="right" vertical="top" wrapText="1"/>
    </xf>
    <xf numFmtId="0" fontId="5" fillId="52" borderId="80" xfId="0" applyFont="1" applyFill="1" applyBorder="1" applyAlignment="1">
      <alignment horizontal="left" vertical="top" wrapText="1"/>
    </xf>
    <xf numFmtId="181" fontId="21" fillId="32" borderId="52" xfId="8" applyNumberFormat="1" applyFont="1" applyFill="1" applyBorder="1" applyAlignment="1">
      <alignment horizontal="right" vertical="top" wrapText="1"/>
    </xf>
    <xf numFmtId="181" fontId="5" fillId="4" borderId="219" xfId="8" applyNumberFormat="1" applyFont="1" applyFill="1" applyBorder="1" applyAlignment="1">
      <alignment horizontal="right" vertical="center" wrapText="1"/>
    </xf>
    <xf numFmtId="181" fontId="21" fillId="4" borderId="45" xfId="8" applyNumberFormat="1" applyFont="1" applyFill="1" applyBorder="1" applyAlignment="1">
      <alignment horizontal="right" vertical="top" wrapText="1"/>
    </xf>
    <xf numFmtId="181" fontId="5" fillId="32" borderId="52" xfId="1" applyNumberFormat="1" applyFont="1" applyFill="1" applyBorder="1" applyAlignment="1">
      <alignment horizontal="right" vertical="top" wrapText="1"/>
    </xf>
    <xf numFmtId="178" fontId="66" fillId="21" borderId="80" xfId="1" quotePrefix="1" applyNumberFormat="1" applyFont="1" applyFill="1" applyBorder="1" applyAlignment="1">
      <alignment horizontal="left" vertical="top" wrapText="1"/>
    </xf>
    <xf numFmtId="181" fontId="15" fillId="11" borderId="217" xfId="0" applyNumberFormat="1" applyFont="1" applyFill="1" applyBorder="1" applyAlignment="1">
      <alignment horizontal="left" vertical="top"/>
    </xf>
    <xf numFmtId="181" fontId="15" fillId="11" borderId="28" xfId="0" applyNumberFormat="1" applyFont="1" applyFill="1" applyBorder="1" applyAlignment="1">
      <alignment horizontal="left" vertical="top"/>
    </xf>
    <xf numFmtId="178" fontId="21" fillId="32" borderId="37" xfId="1" quotePrefix="1" applyNumberFormat="1" applyFont="1" applyFill="1" applyBorder="1" applyAlignment="1">
      <alignment horizontal="left" vertical="top" wrapText="1"/>
    </xf>
    <xf numFmtId="182" fontId="21" fillId="32" borderId="37" xfId="1" quotePrefix="1" applyNumberFormat="1" applyFont="1" applyFill="1" applyBorder="1" applyAlignment="1">
      <alignment horizontal="right" vertical="top" wrapText="1"/>
    </xf>
    <xf numFmtId="178" fontId="5" fillId="4" borderId="38" xfId="8" applyNumberFormat="1" applyFont="1" applyFill="1" applyBorder="1" applyAlignment="1">
      <alignment horizontal="left" vertical="top" wrapText="1"/>
    </xf>
    <xf numFmtId="182" fontId="20" fillId="32" borderId="52" xfId="1" applyNumberFormat="1" applyFont="1" applyFill="1" applyBorder="1" applyAlignment="1">
      <alignment horizontal="right" vertical="top" wrapText="1"/>
    </xf>
    <xf numFmtId="182" fontId="21" fillId="32" borderId="52" xfId="8" applyNumberFormat="1" applyFont="1" applyFill="1" applyBorder="1" applyAlignment="1">
      <alignment horizontal="right" vertical="top" wrapText="1"/>
    </xf>
    <xf numFmtId="0" fontId="5" fillId="3" borderId="346" xfId="0" applyFont="1" applyFill="1" applyBorder="1" applyAlignment="1">
      <alignment horizontal="center" vertical="top"/>
    </xf>
    <xf numFmtId="0" fontId="5" fillId="0" borderId="290" xfId="0" applyFont="1" applyBorder="1" applyAlignment="1">
      <alignment vertical="top" wrapText="1"/>
    </xf>
    <xf numFmtId="0" fontId="5" fillId="0" borderId="259" xfId="0" applyFont="1" applyBorder="1" applyAlignment="1">
      <alignment horizontal="center" vertical="center"/>
    </xf>
    <xf numFmtId="0" fontId="5" fillId="3" borderId="108" xfId="0" applyFont="1" applyFill="1" applyBorder="1" applyAlignment="1">
      <alignment vertical="top"/>
    </xf>
    <xf numFmtId="0" fontId="5" fillId="3" borderId="259" xfId="0" applyFont="1" applyFill="1" applyBorder="1" applyAlignment="1">
      <alignment vertical="top" wrapText="1"/>
    </xf>
    <xf numFmtId="0" fontId="5" fillId="3" borderId="91" xfId="0" applyFont="1" applyFill="1" applyBorder="1" applyAlignment="1">
      <alignment vertical="top" wrapText="1"/>
    </xf>
    <xf numFmtId="0" fontId="5" fillId="3" borderId="290" xfId="0" applyFont="1" applyFill="1" applyBorder="1" applyAlignment="1">
      <alignment vertical="top" wrapText="1"/>
    </xf>
    <xf numFmtId="0" fontId="5" fillId="3" borderId="259" xfId="0" applyFont="1" applyFill="1" applyBorder="1" applyAlignment="1">
      <alignment horizontal="center" vertical="center"/>
    </xf>
    <xf numFmtId="182" fontId="21" fillId="32" borderId="347" xfId="0" applyNumberFormat="1" applyFont="1" applyFill="1" applyBorder="1" applyAlignment="1">
      <alignment vertical="center" wrapText="1"/>
    </xf>
    <xf numFmtId="182" fontId="21" fillId="4" borderId="290" xfId="0" applyNumberFormat="1" applyFont="1" applyFill="1" applyBorder="1" applyAlignment="1">
      <alignment horizontal="left" vertical="center" wrapText="1"/>
    </xf>
    <xf numFmtId="182" fontId="21" fillId="32" borderId="108" xfId="0" quotePrefix="1" applyNumberFormat="1" applyFont="1" applyFill="1" applyBorder="1" applyAlignment="1">
      <alignment horizontal="right" vertical="center" wrapText="1"/>
    </xf>
    <xf numFmtId="182" fontId="21" fillId="4" borderId="259" xfId="0" quotePrefix="1" applyNumberFormat="1" applyFont="1" applyFill="1" applyBorder="1" applyAlignment="1">
      <alignment horizontal="left" vertical="center" wrapText="1"/>
    </xf>
    <xf numFmtId="182" fontId="21" fillId="32" borderId="259" xfId="0" applyNumberFormat="1" applyFont="1" applyFill="1" applyBorder="1" applyAlignment="1">
      <alignment horizontal="right" vertical="center" wrapText="1"/>
    </xf>
    <xf numFmtId="3" fontId="21" fillId="4" borderId="108" xfId="0" quotePrefix="1" applyNumberFormat="1" applyFont="1" applyFill="1" applyBorder="1" applyAlignment="1">
      <alignment horizontal="left" vertical="center" wrapText="1"/>
    </xf>
    <xf numFmtId="3" fontId="21" fillId="3" borderId="290" xfId="0" quotePrefix="1" applyNumberFormat="1" applyFont="1" applyFill="1" applyBorder="1" applyAlignment="1">
      <alignment horizontal="center" vertical="center" wrapText="1"/>
    </xf>
    <xf numFmtId="3" fontId="21" fillId="3" borderId="290" xfId="0" quotePrefix="1" applyNumberFormat="1" applyFont="1" applyFill="1" applyBorder="1" applyAlignment="1">
      <alignment horizontal="left" vertical="center" wrapText="1"/>
    </xf>
    <xf numFmtId="0" fontId="5" fillId="3" borderId="290" xfId="0" applyFont="1" applyFill="1" applyBorder="1" applyAlignment="1">
      <alignment horizontal="left" vertical="top" wrapText="1"/>
    </xf>
    <xf numFmtId="0" fontId="5" fillId="3" borderId="108" xfId="0" applyFont="1" applyFill="1" applyBorder="1" applyAlignment="1">
      <alignment horizontal="left" vertical="top" wrapText="1"/>
    </xf>
    <xf numFmtId="0" fontId="5" fillId="0" borderId="108" xfId="0" applyFont="1" applyBorder="1" applyAlignment="1">
      <alignment horizontal="center" vertical="center"/>
    </xf>
    <xf numFmtId="0" fontId="5" fillId="4" borderId="108" xfId="0" applyFont="1" applyFill="1" applyBorder="1">
      <alignment vertical="center"/>
    </xf>
    <xf numFmtId="0" fontId="5" fillId="17" borderId="348" xfId="0" applyFont="1" applyFill="1" applyBorder="1" applyAlignment="1">
      <alignment horizontal="center" vertical="center"/>
    </xf>
    <xf numFmtId="0" fontId="5" fillId="17" borderId="349" xfId="0" applyFont="1" applyFill="1" applyBorder="1" applyAlignment="1">
      <alignment horizontal="center" vertical="center"/>
    </xf>
    <xf numFmtId="3" fontId="26" fillId="3" borderId="57" xfId="0" quotePrefix="1" applyNumberFormat="1" applyFont="1" applyFill="1" applyBorder="1" applyAlignment="1">
      <alignment horizontal="center" vertical="center" wrapText="1"/>
    </xf>
    <xf numFmtId="3" fontId="26" fillId="3" borderId="54" xfId="0" quotePrefix="1" applyNumberFormat="1" applyFont="1" applyFill="1" applyBorder="1" applyAlignment="1">
      <alignment horizontal="center" vertical="center" wrapText="1"/>
    </xf>
    <xf numFmtId="3" fontId="26" fillId="3" borderId="73" xfId="0" quotePrefix="1" applyNumberFormat="1" applyFont="1" applyFill="1" applyBorder="1" applyAlignment="1">
      <alignment horizontal="center" vertical="center" wrapText="1"/>
    </xf>
    <xf numFmtId="0" fontId="15" fillId="52" borderId="28" xfId="0" applyFont="1" applyFill="1" applyBorder="1" applyAlignment="1">
      <alignment horizontal="left" vertical="center"/>
    </xf>
    <xf numFmtId="0" fontId="15" fillId="52" borderId="28" xfId="0" applyFont="1" applyFill="1" applyBorder="1" applyAlignment="1">
      <alignment horizontal="center" vertical="center"/>
    </xf>
    <xf numFmtId="0" fontId="0" fillId="48" borderId="42" xfId="0" quotePrefix="1" applyFill="1" applyBorder="1" applyAlignment="1">
      <alignment vertical="top"/>
    </xf>
    <xf numFmtId="0" fontId="0" fillId="48" borderId="42" xfId="0" quotePrefix="1" applyFill="1" applyBorder="1" applyAlignment="1">
      <alignment vertical="top" wrapText="1"/>
    </xf>
    <xf numFmtId="0" fontId="0" fillId="48" borderId="42" xfId="0" quotePrefix="1" applyFill="1" applyBorder="1" applyAlignment="1">
      <alignment horizontal="left" vertical="top" wrapText="1"/>
    </xf>
    <xf numFmtId="181" fontId="21" fillId="48" borderId="42" xfId="0" applyNumberFormat="1" applyFont="1" applyFill="1" applyBorder="1" applyAlignment="1">
      <alignment horizontal="right" vertical="center" wrapText="1"/>
    </xf>
    <xf numFmtId="181" fontId="21" fillId="48" borderId="307" xfId="0" applyNumberFormat="1" applyFont="1" applyFill="1" applyBorder="1" applyAlignment="1">
      <alignment horizontal="right" vertical="center" wrapText="1"/>
    </xf>
    <xf numFmtId="185" fontId="21" fillId="48" borderId="38" xfId="0" applyNumberFormat="1" applyFont="1" applyFill="1" applyBorder="1" applyAlignment="1">
      <alignment horizontal="left" vertical="center" wrapText="1"/>
    </xf>
    <xf numFmtId="0" fontId="21" fillId="52" borderId="45" xfId="0" applyFont="1" applyFill="1" applyBorder="1" applyAlignment="1">
      <alignment horizontal="center" vertical="center"/>
    </xf>
    <xf numFmtId="0" fontId="21" fillId="52" borderId="45" xfId="0" applyFont="1" applyFill="1" applyBorder="1" applyAlignment="1">
      <alignment horizontal="left" vertical="center"/>
    </xf>
    <xf numFmtId="0" fontId="15" fillId="19" borderId="42" xfId="0" applyFont="1" applyFill="1" applyBorder="1">
      <alignment vertical="center"/>
    </xf>
    <xf numFmtId="0" fontId="19" fillId="58" borderId="30" xfId="0" applyFont="1" applyFill="1" applyBorder="1">
      <alignment vertical="center"/>
    </xf>
    <xf numFmtId="0" fontId="15" fillId="58" borderId="28" xfId="0" applyFont="1" applyFill="1" applyBorder="1">
      <alignment vertical="center"/>
    </xf>
    <xf numFmtId="0" fontId="15" fillId="58" borderId="28" xfId="0" applyFont="1" applyFill="1" applyBorder="1" applyAlignment="1">
      <alignment horizontal="center" vertical="center"/>
    </xf>
    <xf numFmtId="0" fontId="19" fillId="58" borderId="75" xfId="0" applyFont="1" applyFill="1" applyBorder="1">
      <alignment vertical="center"/>
    </xf>
    <xf numFmtId="0" fontId="15" fillId="58" borderId="22" xfId="0" applyFont="1" applyFill="1" applyBorder="1">
      <alignment vertical="center"/>
    </xf>
    <xf numFmtId="0" fontId="15" fillId="58" borderId="121" xfId="0" applyFont="1" applyFill="1" applyBorder="1">
      <alignment vertical="center"/>
    </xf>
    <xf numFmtId="0" fontId="15" fillId="58" borderId="22" xfId="0" applyFont="1" applyFill="1" applyBorder="1" applyAlignment="1">
      <alignment horizontal="center" vertical="center"/>
    </xf>
    <xf numFmtId="181" fontId="21" fillId="58" borderId="225" xfId="0" applyNumberFormat="1" applyFont="1" applyFill="1" applyBorder="1" applyAlignment="1">
      <alignment horizontal="right" vertical="center"/>
    </xf>
    <xf numFmtId="0" fontId="21" fillId="58" borderId="22" xfId="0" applyFont="1" applyFill="1" applyBorder="1" applyAlignment="1">
      <alignment horizontal="left" vertical="center"/>
    </xf>
    <xf numFmtId="181" fontId="21" fillId="58" borderId="22" xfId="0" applyNumberFormat="1" applyFont="1" applyFill="1" applyBorder="1" applyAlignment="1">
      <alignment horizontal="right" vertical="center"/>
    </xf>
    <xf numFmtId="0" fontId="15" fillId="58" borderId="28" xfId="0" applyFont="1" applyFill="1" applyBorder="1" applyAlignment="1">
      <alignment horizontal="left" vertical="top"/>
    </xf>
    <xf numFmtId="0" fontId="15" fillId="58" borderId="22" xfId="0" applyFont="1" applyFill="1" applyBorder="1" applyAlignment="1">
      <alignment horizontal="left" vertical="top"/>
    </xf>
    <xf numFmtId="0" fontId="19" fillId="58" borderId="28" xfId="0" applyFont="1" applyFill="1" applyBorder="1" applyAlignment="1">
      <alignment horizontal="center" vertical="center"/>
    </xf>
    <xf numFmtId="0" fontId="19" fillId="58" borderId="28" xfId="0" applyFont="1" applyFill="1" applyBorder="1">
      <alignment vertical="center"/>
    </xf>
    <xf numFmtId="0" fontId="9" fillId="58" borderId="28" xfId="0" applyFont="1" applyFill="1" applyBorder="1" applyAlignment="1">
      <alignment horizontal="center" vertical="center"/>
    </xf>
    <xf numFmtId="0" fontId="9" fillId="58" borderId="29" xfId="0" applyFont="1" applyFill="1" applyBorder="1" applyAlignment="1">
      <alignment horizontal="center" vertical="center"/>
    </xf>
    <xf numFmtId="177" fontId="15" fillId="58" borderId="80" xfId="0" quotePrefix="1" applyNumberFormat="1" applyFont="1" applyFill="1" applyBorder="1" applyAlignment="1">
      <alignment horizontal="center" vertical="center"/>
    </xf>
    <xf numFmtId="177" fontId="15" fillId="58" borderId="80" xfId="0" quotePrefix="1" applyNumberFormat="1" applyFont="1" applyFill="1" applyBorder="1" applyAlignment="1">
      <alignment horizontal="left" vertical="center"/>
    </xf>
    <xf numFmtId="3" fontId="5" fillId="58" borderId="78" xfId="0" applyNumberFormat="1" applyFont="1" applyFill="1" applyBorder="1" applyAlignment="1">
      <alignment vertical="center" wrapText="1"/>
    </xf>
    <xf numFmtId="3" fontId="21" fillId="58" borderId="37" xfId="0" quotePrefix="1" applyNumberFormat="1" applyFont="1" applyFill="1" applyBorder="1" applyAlignment="1">
      <alignment horizontal="center" vertical="center" wrapText="1"/>
    </xf>
    <xf numFmtId="3" fontId="5" fillId="58" borderId="38" xfId="0" applyNumberFormat="1" applyFont="1" applyFill="1" applyBorder="1" applyAlignment="1">
      <alignment vertical="center" wrapText="1"/>
    </xf>
    <xf numFmtId="181" fontId="15" fillId="58" borderId="217" xfId="0" applyNumberFormat="1" applyFont="1" applyFill="1" applyBorder="1" applyAlignment="1">
      <alignment horizontal="center" vertical="center"/>
    </xf>
    <xf numFmtId="0" fontId="15" fillId="58" borderId="28" xfId="0" applyFont="1" applyFill="1" applyBorder="1" applyAlignment="1">
      <alignment horizontal="left" vertical="center"/>
    </xf>
    <xf numFmtId="181" fontId="15" fillId="58" borderId="28" xfId="0" applyNumberFormat="1" applyFont="1" applyFill="1" applyBorder="1" applyAlignment="1">
      <alignment horizontal="center" vertical="center"/>
    </xf>
    <xf numFmtId="0" fontId="15" fillId="58" borderId="42" xfId="0" applyFont="1" applyFill="1" applyBorder="1">
      <alignment vertical="center"/>
    </xf>
    <xf numFmtId="0" fontId="15" fillId="58" borderId="45" xfId="0" applyFont="1" applyFill="1" applyBorder="1" applyAlignment="1">
      <alignment horizontal="center" vertical="center"/>
    </xf>
    <xf numFmtId="0" fontId="15" fillId="58" borderId="38" xfId="0" applyFont="1" applyFill="1" applyBorder="1" applyAlignment="1">
      <alignment vertical="top"/>
    </xf>
    <xf numFmtId="0" fontId="15" fillId="58" borderId="42" xfId="0" applyFont="1" applyFill="1" applyBorder="1" applyAlignment="1">
      <alignment vertical="top"/>
    </xf>
    <xf numFmtId="0" fontId="15" fillId="58" borderId="45" xfId="0" applyFont="1" applyFill="1" applyBorder="1" applyAlignment="1">
      <alignment vertical="top"/>
    </xf>
    <xf numFmtId="0" fontId="15" fillId="58" borderId="43" xfId="0" applyFont="1" applyFill="1" applyBorder="1" applyAlignment="1">
      <alignment horizontal="center" vertical="center"/>
    </xf>
    <xf numFmtId="181" fontId="26" fillId="58" borderId="221" xfId="0" applyNumberFormat="1" applyFont="1" applyFill="1" applyBorder="1" applyAlignment="1">
      <alignment horizontal="right" vertical="center"/>
    </xf>
    <xf numFmtId="0" fontId="26" fillId="58" borderId="57" xfId="0" applyFont="1" applyFill="1" applyBorder="1" applyAlignment="1">
      <alignment horizontal="left" vertical="center"/>
    </xf>
    <xf numFmtId="181" fontId="26" fillId="58" borderId="54" xfId="0" applyNumberFormat="1" applyFont="1" applyFill="1" applyBorder="1" applyAlignment="1">
      <alignment horizontal="right" vertical="center"/>
    </xf>
    <xf numFmtId="0" fontId="26" fillId="58" borderId="52" xfId="0" applyFont="1" applyFill="1" applyBorder="1" applyAlignment="1">
      <alignment horizontal="left" vertical="center"/>
    </xf>
    <xf numFmtId="181" fontId="26" fillId="58" borderId="52" xfId="0" applyNumberFormat="1" applyFont="1" applyFill="1" applyBorder="1" applyAlignment="1">
      <alignment horizontal="right" vertical="center"/>
    </xf>
    <xf numFmtId="0" fontId="26" fillId="58" borderId="65" xfId="0" applyFont="1" applyFill="1" applyBorder="1" applyAlignment="1">
      <alignment horizontal="center" vertical="center"/>
    </xf>
    <xf numFmtId="0" fontId="26" fillId="58" borderId="65" xfId="0" applyFont="1" applyFill="1" applyBorder="1" applyAlignment="1">
      <alignment horizontal="left" vertical="center"/>
    </xf>
    <xf numFmtId="3" fontId="15" fillId="58" borderId="78" xfId="0" applyNumberFormat="1" applyFont="1" applyFill="1" applyBorder="1" applyAlignment="1">
      <alignment vertical="center" wrapText="1"/>
    </xf>
    <xf numFmtId="0" fontId="15" fillId="52" borderId="42" xfId="0" applyFont="1" applyFill="1" applyBorder="1" applyAlignment="1">
      <alignment vertical="top"/>
    </xf>
    <xf numFmtId="0" fontId="15" fillId="52" borderId="45" xfId="0" applyFont="1" applyFill="1" applyBorder="1" applyAlignment="1">
      <alignment horizontal="center" vertical="center"/>
    </xf>
    <xf numFmtId="0" fontId="15" fillId="52" borderId="45" xfId="0" applyFont="1" applyFill="1" applyBorder="1" applyAlignment="1">
      <alignment vertical="top"/>
    </xf>
    <xf numFmtId="181" fontId="26" fillId="52" borderId="219" xfId="0" applyNumberFormat="1" applyFont="1" applyFill="1" applyBorder="1" applyAlignment="1">
      <alignment horizontal="right" vertical="center"/>
    </xf>
    <xf numFmtId="0" fontId="26" fillId="52" borderId="45" xfId="0" applyFont="1" applyFill="1" applyBorder="1" applyAlignment="1">
      <alignment horizontal="left" vertical="center"/>
    </xf>
    <xf numFmtId="181" fontId="26" fillId="52" borderId="38" xfId="0" applyNumberFormat="1" applyFont="1" applyFill="1" applyBorder="1" applyAlignment="1">
      <alignment horizontal="right" vertical="center"/>
    </xf>
    <xf numFmtId="0" fontId="26" fillId="52" borderId="43" xfId="0" applyFont="1" applyFill="1" applyBorder="1" applyAlignment="1">
      <alignment horizontal="left" vertical="center"/>
    </xf>
    <xf numFmtId="181" fontId="26" fillId="52" borderId="43" xfId="0" applyNumberFormat="1" applyFont="1" applyFill="1" applyBorder="1" applyAlignment="1">
      <alignment horizontal="right" vertical="center"/>
    </xf>
    <xf numFmtId="3" fontId="26" fillId="52" borderId="43" xfId="0" quotePrefix="1" applyNumberFormat="1" applyFont="1" applyFill="1" applyBorder="1" applyAlignment="1">
      <alignment horizontal="center" vertical="center" wrapText="1"/>
    </xf>
    <xf numFmtId="182" fontId="26" fillId="52" borderId="219" xfId="0" applyNumberFormat="1" applyFont="1" applyFill="1" applyBorder="1" applyAlignment="1">
      <alignment horizontal="right" vertical="center"/>
    </xf>
    <xf numFmtId="182" fontId="26" fillId="52" borderId="45" xfId="0" applyNumberFormat="1" applyFont="1" applyFill="1" applyBorder="1" applyAlignment="1">
      <alignment horizontal="left" vertical="center"/>
    </xf>
    <xf numFmtId="182" fontId="26" fillId="52" borderId="38" xfId="0" applyNumberFormat="1" applyFont="1" applyFill="1" applyBorder="1" applyAlignment="1">
      <alignment horizontal="right" vertical="center"/>
    </xf>
    <xf numFmtId="182" fontId="26" fillId="52" borderId="43" xfId="0" applyNumberFormat="1" applyFont="1" applyFill="1" applyBorder="1" applyAlignment="1">
      <alignment horizontal="left" vertical="center"/>
    </xf>
    <xf numFmtId="182" fontId="26" fillId="52" borderId="43" xfId="0" applyNumberFormat="1" applyFont="1" applyFill="1" applyBorder="1" applyAlignment="1">
      <alignment horizontal="right" vertical="center"/>
    </xf>
    <xf numFmtId="0" fontId="15" fillId="48" borderId="42" xfId="0" applyFont="1" applyFill="1" applyBorder="1" applyAlignment="1">
      <alignment vertical="top"/>
    </xf>
    <xf numFmtId="182" fontId="26" fillId="48" borderId="219" xfId="0" applyNumberFormat="1" applyFont="1" applyFill="1" applyBorder="1" applyAlignment="1">
      <alignment vertical="center" wrapText="1"/>
    </xf>
    <xf numFmtId="182" fontId="26" fillId="48" borderId="45" xfId="0" applyNumberFormat="1" applyFont="1" applyFill="1" applyBorder="1" applyAlignment="1">
      <alignment horizontal="left" vertical="center" wrapText="1"/>
    </xf>
    <xf numFmtId="182" fontId="26" fillId="48" borderId="38" xfId="0" quotePrefix="1" applyNumberFormat="1" applyFont="1" applyFill="1" applyBorder="1" applyAlignment="1">
      <alignment horizontal="right" vertical="center" wrapText="1"/>
    </xf>
    <xf numFmtId="182" fontId="26" fillId="48" borderId="43" xfId="0" quotePrefix="1" applyNumberFormat="1" applyFont="1" applyFill="1" applyBorder="1" applyAlignment="1">
      <alignment horizontal="left" vertical="center" wrapText="1"/>
    </xf>
    <xf numFmtId="182" fontId="26" fillId="48" borderId="43" xfId="0" applyNumberFormat="1" applyFont="1" applyFill="1" applyBorder="1" applyAlignment="1">
      <alignment horizontal="right" vertical="center" wrapText="1"/>
    </xf>
    <xf numFmtId="3" fontId="26" fillId="48" borderId="43" xfId="0" quotePrefix="1" applyNumberFormat="1" applyFont="1" applyFill="1" applyBorder="1" applyAlignment="1">
      <alignment horizontal="center" vertical="center" wrapText="1"/>
    </xf>
    <xf numFmtId="3" fontId="26" fillId="48" borderId="43" xfId="0" applyNumberFormat="1" applyFont="1" applyFill="1" applyBorder="1" applyAlignment="1">
      <alignment horizontal="left" vertical="center" wrapText="1"/>
    </xf>
    <xf numFmtId="0" fontId="15" fillId="48" borderId="38" xfId="0" applyFont="1" applyFill="1" applyBorder="1" applyAlignment="1">
      <alignment horizontal="left" vertical="top" wrapText="1"/>
    </xf>
    <xf numFmtId="0" fontId="15" fillId="58" borderId="78" xfId="0" applyFont="1" applyFill="1" applyBorder="1" applyAlignment="1">
      <alignment vertical="top"/>
    </xf>
    <xf numFmtId="181" fontId="21" fillId="58" borderId="227" xfId="0" applyNumberFormat="1" applyFont="1" applyFill="1" applyBorder="1" applyAlignment="1">
      <alignment horizontal="right" vertical="center"/>
    </xf>
    <xf numFmtId="0" fontId="21" fillId="58" borderId="36" xfId="0" applyFont="1" applyFill="1" applyBorder="1" applyAlignment="1">
      <alignment horizontal="left" vertical="center"/>
    </xf>
    <xf numFmtId="181" fontId="21" fillId="58" borderId="78" xfId="0" applyNumberFormat="1" applyFont="1" applyFill="1" applyBorder="1" applyAlignment="1">
      <alignment horizontal="right" vertical="center"/>
    </xf>
    <xf numFmtId="0" fontId="21" fillId="58" borderId="77" xfId="0" applyFont="1" applyFill="1" applyBorder="1" applyAlignment="1">
      <alignment horizontal="left" vertical="center"/>
    </xf>
    <xf numFmtId="181" fontId="21" fillId="58" borderId="77" xfId="0" applyNumberFormat="1" applyFont="1" applyFill="1" applyBorder="1" applyAlignment="1">
      <alignment horizontal="right" vertical="center"/>
    </xf>
    <xf numFmtId="0" fontId="21" fillId="58" borderId="77" xfId="0" applyFont="1" applyFill="1" applyBorder="1" applyAlignment="1">
      <alignment horizontal="center" vertical="center"/>
    </xf>
    <xf numFmtId="0" fontId="19" fillId="58" borderId="75" xfId="0" applyFont="1" applyFill="1" applyBorder="1" applyAlignment="1">
      <alignment vertical="top"/>
    </xf>
    <xf numFmtId="0" fontId="15" fillId="58" borderId="22" xfId="0" applyFont="1" applyFill="1" applyBorder="1" applyAlignment="1">
      <alignment vertical="top"/>
    </xf>
    <xf numFmtId="0" fontId="21" fillId="58" borderId="245" xfId="0" applyFont="1" applyFill="1" applyBorder="1" applyAlignment="1">
      <alignment horizontal="left" vertical="center"/>
    </xf>
    <xf numFmtId="0" fontId="19" fillId="58" borderId="22" xfId="0" applyFont="1" applyFill="1" applyBorder="1" applyAlignment="1">
      <alignment horizontal="center" vertical="center"/>
    </xf>
    <xf numFmtId="0" fontId="19" fillId="58" borderId="22" xfId="0" applyFont="1" applyFill="1" applyBorder="1">
      <alignment vertical="center"/>
    </xf>
    <xf numFmtId="0" fontId="9" fillId="58" borderId="22" xfId="0" applyFont="1" applyFill="1" applyBorder="1" applyAlignment="1">
      <alignment horizontal="center" vertical="center"/>
    </xf>
    <xf numFmtId="0" fontId="9" fillId="58" borderId="76" xfId="0" applyFont="1" applyFill="1" applyBorder="1" applyAlignment="1">
      <alignment horizontal="center" vertical="center"/>
    </xf>
    <xf numFmtId="0" fontId="15" fillId="58" borderId="245" xfId="0" applyFont="1" applyFill="1" applyBorder="1" applyAlignment="1">
      <alignment horizontal="left" vertical="top"/>
    </xf>
    <xf numFmtId="0" fontId="0" fillId="58" borderId="323" xfId="0" applyFill="1" applyBorder="1" applyAlignment="1">
      <alignment vertical="top"/>
    </xf>
    <xf numFmtId="0" fontId="5" fillId="58" borderId="44" xfId="0" applyFont="1" applyFill="1" applyBorder="1" applyAlignment="1">
      <alignment vertical="top"/>
    </xf>
    <xf numFmtId="0" fontId="5" fillId="58" borderId="33" xfId="0" quotePrefix="1" applyFont="1" applyFill="1" applyBorder="1">
      <alignment vertical="center"/>
    </xf>
    <xf numFmtId="0" fontId="5" fillId="58" borderId="77" xfId="0" applyFont="1" applyFill="1" applyBorder="1" applyAlignment="1">
      <alignment horizontal="center" vertical="center"/>
    </xf>
    <xf numFmtId="0" fontId="21" fillId="58" borderId="78" xfId="0" applyFont="1" applyFill="1" applyBorder="1" applyAlignment="1">
      <alignment horizontal="left" vertical="center"/>
    </xf>
    <xf numFmtId="3" fontId="21" fillId="58" borderId="45" xfId="0" quotePrefix="1" applyNumberFormat="1" applyFont="1" applyFill="1" applyBorder="1" applyAlignment="1">
      <alignment horizontal="center" vertical="center" wrapText="1"/>
    </xf>
    <xf numFmtId="3" fontId="21" fillId="58" borderId="45" xfId="0" applyNumberFormat="1" applyFont="1" applyFill="1" applyBorder="1" applyAlignment="1">
      <alignment horizontal="left" vertical="center" wrapText="1"/>
    </xf>
    <xf numFmtId="3" fontId="5" fillId="58" borderId="80" xfId="0" applyNumberFormat="1" applyFont="1" applyFill="1" applyBorder="1" applyAlignment="1">
      <alignment vertical="center" wrapText="1"/>
    </xf>
    <xf numFmtId="0" fontId="19" fillId="58" borderId="245" xfId="0" applyFont="1" applyFill="1" applyBorder="1" applyAlignment="1">
      <alignment horizontal="center" vertical="center"/>
    </xf>
    <xf numFmtId="0" fontId="19" fillId="58" borderId="245" xfId="0" applyFont="1" applyFill="1" applyBorder="1">
      <alignment vertical="center"/>
    </xf>
    <xf numFmtId="0" fontId="9" fillId="58" borderId="245" xfId="0" applyFont="1" applyFill="1" applyBorder="1" applyAlignment="1">
      <alignment horizontal="center" vertical="center"/>
    </xf>
    <xf numFmtId="0" fontId="9" fillId="58" borderId="246" xfId="0" applyFont="1" applyFill="1" applyBorder="1" applyAlignment="1">
      <alignment horizontal="center" vertical="center"/>
    </xf>
    <xf numFmtId="0" fontId="5" fillId="58" borderId="37" xfId="0" applyFont="1" applyFill="1" applyBorder="1" applyAlignment="1">
      <alignment horizontal="center" vertical="center"/>
    </xf>
    <xf numFmtId="0" fontId="5" fillId="58" borderId="37" xfId="0" applyFont="1" applyFill="1" applyBorder="1">
      <alignment vertical="center"/>
    </xf>
    <xf numFmtId="0" fontId="5" fillId="58" borderId="90" xfId="0" applyFont="1" applyFill="1" applyBorder="1" applyAlignment="1">
      <alignment horizontal="center" vertical="center"/>
    </xf>
    <xf numFmtId="177" fontId="2" fillId="59" borderId="43" xfId="0" quotePrefix="1" applyNumberFormat="1" applyFont="1" applyFill="1" applyBorder="1">
      <alignment vertical="center"/>
    </xf>
    <xf numFmtId="177" fontId="15" fillId="52" borderId="43" xfId="0" quotePrefix="1" applyNumberFormat="1" applyFont="1" applyFill="1" applyBorder="1">
      <alignment vertical="center"/>
    </xf>
    <xf numFmtId="177" fontId="0" fillId="57" borderId="43" xfId="0" applyNumberFormat="1" applyFill="1" applyBorder="1" applyAlignment="1">
      <alignment vertical="top"/>
    </xf>
    <xf numFmtId="177" fontId="0" fillId="57" borderId="42" xfId="0" applyNumberFormat="1" applyFill="1" applyBorder="1" applyAlignment="1">
      <alignment vertical="top"/>
    </xf>
    <xf numFmtId="177" fontId="0" fillId="57" borderId="45" xfId="0" applyNumberFormat="1" applyFill="1" applyBorder="1" applyAlignment="1">
      <alignment vertical="top"/>
    </xf>
    <xf numFmtId="177" fontId="15" fillId="52" borderId="42" xfId="0" quotePrefix="1" applyNumberFormat="1" applyFont="1" applyFill="1" applyBorder="1" applyAlignment="1">
      <alignment horizontal="left" vertical="center"/>
    </xf>
    <xf numFmtId="177" fontId="15" fillId="52" borderId="45" xfId="0" quotePrefix="1" applyNumberFormat="1" applyFont="1" applyFill="1" applyBorder="1" applyAlignment="1">
      <alignment horizontal="left" vertical="center"/>
    </xf>
    <xf numFmtId="177" fontId="0" fillId="48" borderId="42" xfId="0" applyNumberFormat="1" applyFill="1" applyBorder="1" applyAlignment="1">
      <alignment vertical="top"/>
    </xf>
    <xf numFmtId="177" fontId="0" fillId="0" borderId="34" xfId="0" applyNumberFormat="1" applyBorder="1" applyAlignment="1">
      <alignment vertical="top"/>
    </xf>
    <xf numFmtId="177" fontId="0" fillId="0" borderId="80" xfId="0" applyNumberFormat="1" applyBorder="1" applyAlignment="1">
      <alignment vertical="top"/>
    </xf>
    <xf numFmtId="177" fontId="15" fillId="58" borderId="341" xfId="0" quotePrefix="1" applyNumberFormat="1" applyFont="1" applyFill="1" applyBorder="1">
      <alignment vertical="center"/>
    </xf>
    <xf numFmtId="178" fontId="21" fillId="3" borderId="37" xfId="1" quotePrefix="1" applyNumberFormat="1" applyFont="1" applyFill="1" applyBorder="1" applyAlignment="1">
      <alignment horizontal="left" vertical="top" wrapText="1"/>
    </xf>
    <xf numFmtId="177" fontId="15" fillId="19" borderId="42" xfId="0" quotePrefix="1" applyNumberFormat="1" applyFont="1" applyFill="1" applyBorder="1" applyAlignment="1">
      <alignment horizontal="left" vertical="center"/>
    </xf>
    <xf numFmtId="177" fontId="15" fillId="19" borderId="45" xfId="0" quotePrefix="1" applyNumberFormat="1" applyFont="1" applyFill="1" applyBorder="1" applyAlignment="1">
      <alignment horizontal="left" vertical="center"/>
    </xf>
    <xf numFmtId="177" fontId="0" fillId="0" borderId="49" xfId="0" applyNumberFormat="1" applyBorder="1" applyAlignment="1">
      <alignment vertical="top"/>
    </xf>
    <xf numFmtId="0" fontId="21" fillId="3" borderId="43" xfId="0" applyFont="1" applyFill="1" applyBorder="1" applyAlignment="1">
      <alignment horizontal="left" vertical="center"/>
    </xf>
    <xf numFmtId="0" fontId="71" fillId="5" borderId="0" xfId="0" applyFont="1" applyFill="1">
      <alignment vertical="center"/>
    </xf>
    <xf numFmtId="0" fontId="66" fillId="3" borderId="0" xfId="0" applyFont="1" applyFill="1">
      <alignment vertical="center"/>
    </xf>
    <xf numFmtId="0" fontId="78" fillId="0" borderId="0" xfId="0" applyFont="1">
      <alignment vertical="center"/>
    </xf>
    <xf numFmtId="0" fontId="80" fillId="0" borderId="0" xfId="0" applyFont="1">
      <alignment vertical="center"/>
    </xf>
    <xf numFmtId="0" fontId="81" fillId="0" borderId="0" xfId="0" applyFont="1">
      <alignment vertical="center"/>
    </xf>
    <xf numFmtId="185" fontId="81" fillId="0" borderId="0" xfId="0" applyNumberFormat="1" applyFont="1">
      <alignment vertical="center"/>
    </xf>
    <xf numFmtId="0" fontId="81" fillId="0" borderId="327" xfId="0" applyFont="1" applyBorder="1" applyAlignment="1">
      <alignment horizontal="center" vertical="center" wrapText="1"/>
    </xf>
    <xf numFmtId="185" fontId="81" fillId="0" borderId="327" xfId="0" applyNumberFormat="1" applyFont="1" applyBorder="1" applyAlignment="1">
      <alignment horizontal="center" vertical="center" wrapText="1"/>
    </xf>
    <xf numFmtId="185" fontId="81" fillId="0" borderId="0" xfId="0" applyNumberFormat="1" applyFont="1" applyAlignment="1">
      <alignment horizontal="center" vertical="center" wrapText="1"/>
    </xf>
    <xf numFmtId="0" fontId="81" fillId="0" borderId="327" xfId="0" applyFont="1" applyBorder="1" applyAlignment="1">
      <alignment horizontal="left" vertical="center" wrapText="1" indent="1"/>
    </xf>
    <xf numFmtId="0" fontId="81" fillId="21" borderId="327" xfId="0" applyFont="1" applyFill="1" applyBorder="1" applyAlignment="1">
      <alignment horizontal="left" vertical="center" wrapText="1" indent="1"/>
    </xf>
    <xf numFmtId="185" fontId="81" fillId="0" borderId="327" xfId="0" applyNumberFormat="1" applyFont="1" applyBorder="1" applyAlignment="1">
      <alignment horizontal="right" vertical="center" wrapText="1" indent="3"/>
    </xf>
    <xf numFmtId="185" fontId="81" fillId="0" borderId="0" xfId="0" applyNumberFormat="1" applyFont="1" applyAlignment="1">
      <alignment horizontal="right" vertical="center" wrapText="1" indent="3"/>
    </xf>
    <xf numFmtId="0" fontId="83" fillId="0" borderId="0" xfId="0" applyFont="1" applyAlignment="1">
      <alignment horizontal="center" vertical="center" wrapText="1"/>
    </xf>
    <xf numFmtId="0" fontId="83" fillId="67" borderId="0" xfId="0" applyFont="1" applyFill="1" applyAlignment="1">
      <alignment horizontal="center" vertical="center" wrapText="1"/>
    </xf>
    <xf numFmtId="0" fontId="83" fillId="67" borderId="0" xfId="0" applyFont="1" applyFill="1" applyAlignment="1">
      <alignment horizontal="center" vertical="center"/>
    </xf>
    <xf numFmtId="0" fontId="84" fillId="67" borderId="0" xfId="0" applyFont="1" applyFill="1" applyAlignment="1">
      <alignment horizontal="center" vertical="center" wrapText="1"/>
    </xf>
    <xf numFmtId="181" fontId="84" fillId="67" borderId="0" xfId="0" applyNumberFormat="1" applyFont="1" applyFill="1" applyAlignment="1">
      <alignment vertical="center" wrapText="1"/>
    </xf>
    <xf numFmtId="3" fontId="84" fillId="67" borderId="0" xfId="0" applyNumberFormat="1" applyFont="1" applyFill="1" applyAlignment="1">
      <alignment horizontal="left" vertical="center" wrapText="1"/>
    </xf>
    <xf numFmtId="0" fontId="81" fillId="3" borderId="0" xfId="0" applyFont="1" applyFill="1">
      <alignment vertical="center"/>
    </xf>
    <xf numFmtId="0" fontId="85" fillId="0" borderId="0" xfId="0" applyFont="1" applyAlignment="1">
      <alignment horizontal="center" vertical="center" wrapText="1"/>
    </xf>
    <xf numFmtId="0" fontId="86" fillId="67" borderId="0" xfId="0" applyFont="1" applyFill="1" applyAlignment="1">
      <alignment horizontal="left" vertical="center"/>
    </xf>
    <xf numFmtId="0" fontId="84" fillId="67" borderId="0" xfId="0" applyFont="1" applyFill="1" applyAlignment="1">
      <alignment horizontal="left" vertical="center"/>
    </xf>
    <xf numFmtId="0" fontId="87" fillId="67" borderId="0" xfId="0" applyFont="1" applyFill="1" applyAlignment="1">
      <alignment horizontal="center" vertical="center" wrapText="1"/>
    </xf>
    <xf numFmtId="0" fontId="87" fillId="67" borderId="0" xfId="0" applyFont="1" applyFill="1" applyAlignment="1">
      <alignment horizontal="center" vertical="center"/>
    </xf>
    <xf numFmtId="0" fontId="88" fillId="3" borderId="0" xfId="0" applyFont="1" applyFill="1">
      <alignment vertical="center"/>
    </xf>
    <xf numFmtId="0" fontId="88" fillId="0" borderId="0" xfId="0" applyFont="1">
      <alignment vertical="center"/>
    </xf>
    <xf numFmtId="0" fontId="81" fillId="67" borderId="0" xfId="0" applyFont="1" applyFill="1" applyAlignment="1">
      <alignment horizontal="center" vertical="center"/>
    </xf>
    <xf numFmtId="0" fontId="81" fillId="0" borderId="0" xfId="0" applyFont="1" applyAlignment="1">
      <alignment horizontal="center" vertical="center"/>
    </xf>
    <xf numFmtId="0" fontId="81" fillId="0" borderId="0" xfId="0" applyFont="1" applyAlignment="1">
      <alignment vertical="center" wrapText="1"/>
    </xf>
    <xf numFmtId="3" fontId="90" fillId="3" borderId="0" xfId="0" applyNumberFormat="1" applyFont="1" applyFill="1" applyAlignment="1">
      <alignment horizontal="left" vertical="center"/>
    </xf>
    <xf numFmtId="0" fontId="91" fillId="3" borderId="0" xfId="0" applyFont="1" applyFill="1" applyAlignment="1">
      <alignment horizontal="center" vertical="center"/>
    </xf>
    <xf numFmtId="0" fontId="90" fillId="3" borderId="0" xfId="0" applyFont="1" applyFill="1" applyAlignment="1">
      <alignment horizontal="center" vertical="center"/>
    </xf>
    <xf numFmtId="3" fontId="90" fillId="3" borderId="0" xfId="0" applyNumberFormat="1" applyFont="1" applyFill="1">
      <alignment vertical="center"/>
    </xf>
    <xf numFmtId="3" fontId="81" fillId="3" borderId="0" xfId="0" applyNumberFormat="1" applyFont="1" applyFill="1">
      <alignment vertical="center"/>
    </xf>
    <xf numFmtId="0" fontId="90" fillId="3" borderId="0" xfId="0" applyFont="1" applyFill="1" applyAlignment="1">
      <alignment vertical="top" wrapText="1"/>
    </xf>
    <xf numFmtId="0" fontId="90" fillId="3" borderId="0" xfId="0" applyFont="1" applyFill="1">
      <alignment vertical="center"/>
    </xf>
    <xf numFmtId="181" fontId="81" fillId="0" borderId="0" xfId="0" applyNumberFormat="1" applyFont="1" applyAlignment="1">
      <alignment horizontal="left" vertical="center"/>
    </xf>
    <xf numFmtId="0" fontId="81" fillId="0" borderId="0" xfId="0" applyFont="1" applyAlignment="1">
      <alignment horizontal="left" vertical="center"/>
    </xf>
    <xf numFmtId="0" fontId="81" fillId="0" borderId="0" xfId="0" applyFont="1" applyAlignment="1">
      <alignment horizontal="center" vertical="center" wrapText="1"/>
    </xf>
    <xf numFmtId="181" fontId="81" fillId="0" borderId="0" xfId="0" applyNumberFormat="1" applyFont="1" applyAlignment="1">
      <alignment vertical="center" wrapText="1"/>
    </xf>
    <xf numFmtId="3" fontId="81" fillId="3" borderId="0" xfId="0" applyNumberFormat="1" applyFont="1" applyFill="1" applyAlignment="1">
      <alignment horizontal="left" vertical="center" wrapText="1"/>
    </xf>
    <xf numFmtId="0" fontId="92" fillId="0" borderId="0" xfId="0" applyFont="1">
      <alignment vertical="center"/>
    </xf>
    <xf numFmtId="0" fontId="94" fillId="61" borderId="331" xfId="0" applyFont="1" applyFill="1" applyBorder="1" applyAlignment="1">
      <alignment horizontal="center" vertical="center" wrapText="1"/>
    </xf>
    <xf numFmtId="0" fontId="84" fillId="61" borderId="332" xfId="0" applyFont="1" applyFill="1" applyBorder="1" applyAlignment="1">
      <alignment horizontal="center" vertical="center"/>
    </xf>
    <xf numFmtId="0" fontId="84" fillId="6" borderId="332" xfId="0" applyFont="1" applyFill="1" applyBorder="1" applyAlignment="1">
      <alignment horizontal="center" vertical="center"/>
    </xf>
    <xf numFmtId="0" fontId="84" fillId="7" borderId="151" xfId="0" applyFont="1" applyFill="1" applyBorder="1" applyAlignment="1">
      <alignment horizontal="center" vertical="center"/>
    </xf>
    <xf numFmtId="181" fontId="84" fillId="61" borderId="365" xfId="0" applyNumberFormat="1" applyFont="1" applyFill="1" applyBorder="1" applyAlignment="1">
      <alignment horizontal="center" vertical="center" wrapText="1"/>
    </xf>
    <xf numFmtId="181" fontId="84" fillId="61" borderId="334" xfId="1" applyNumberFormat="1" applyFont="1" applyFill="1" applyBorder="1" applyAlignment="1">
      <alignment horizontal="center" vertical="center" wrapText="1"/>
    </xf>
    <xf numFmtId="181" fontId="84" fillId="61" borderId="366" xfId="1" applyNumberFormat="1" applyFont="1" applyFill="1" applyBorder="1" applyAlignment="1">
      <alignment horizontal="center" vertical="center" wrapText="1"/>
    </xf>
    <xf numFmtId="0" fontId="89" fillId="10" borderId="362" xfId="2" applyFont="1" applyFill="1" applyBorder="1" applyAlignment="1">
      <alignment horizontal="center" vertical="center" wrapText="1"/>
    </xf>
    <xf numFmtId="0" fontId="89" fillId="10" borderId="363" xfId="2" applyFont="1" applyFill="1" applyBorder="1" applyAlignment="1">
      <alignment horizontal="center" vertical="center" wrapText="1"/>
    </xf>
    <xf numFmtId="0" fontId="95" fillId="11" borderId="30" xfId="0" applyFont="1" applyFill="1" applyBorder="1" applyAlignment="1">
      <alignment horizontal="left" vertical="center"/>
    </xf>
    <xf numFmtId="0" fontId="80" fillId="11" borderId="28" xfId="0" applyFont="1" applyFill="1" applyBorder="1" applyAlignment="1">
      <alignment horizontal="left" vertical="center"/>
    </xf>
    <xf numFmtId="0" fontId="80" fillId="12" borderId="28" xfId="0" applyFont="1" applyFill="1" applyBorder="1" applyAlignment="1">
      <alignment horizontal="center" vertical="center"/>
    </xf>
    <xf numFmtId="0" fontId="80" fillId="58" borderId="28" xfId="0" applyFont="1" applyFill="1" applyBorder="1" applyAlignment="1">
      <alignment horizontal="center" vertical="center"/>
    </xf>
    <xf numFmtId="0" fontId="80" fillId="58" borderId="22" xfId="0" applyFont="1" applyFill="1" applyBorder="1" applyAlignment="1">
      <alignment horizontal="center" vertical="center"/>
    </xf>
    <xf numFmtId="181" fontId="96" fillId="58" borderId="27" xfId="0" applyNumberFormat="1" applyFont="1" applyFill="1" applyBorder="1" applyAlignment="1">
      <alignment horizontal="right" vertical="center"/>
    </xf>
    <xf numFmtId="181" fontId="96" fillId="58" borderId="22" xfId="0" applyNumberFormat="1" applyFont="1" applyFill="1" applyBorder="1" applyAlignment="1">
      <alignment horizontal="right" vertical="center"/>
    </xf>
    <xf numFmtId="181" fontId="97" fillId="58" borderId="367" xfId="0" applyNumberFormat="1" applyFont="1" applyFill="1" applyBorder="1" applyAlignment="1">
      <alignment horizontal="right" vertical="center"/>
    </xf>
    <xf numFmtId="0" fontId="88" fillId="58" borderId="28" xfId="0" applyFont="1" applyFill="1" applyBorder="1" applyAlignment="1">
      <alignment horizontal="center" vertical="center"/>
    </xf>
    <xf numFmtId="0" fontId="88" fillId="58" borderId="29" xfId="0" applyFont="1" applyFill="1" applyBorder="1" applyAlignment="1">
      <alignment horizontal="center" vertical="center"/>
    </xf>
    <xf numFmtId="0" fontId="98" fillId="3" borderId="0" xfId="0" applyFont="1" applyFill="1" applyAlignment="1">
      <alignment horizontal="left" vertical="top" wrapText="1"/>
    </xf>
    <xf numFmtId="177" fontId="80" fillId="58" borderId="42" xfId="0" quotePrefix="1" applyNumberFormat="1" applyFont="1" applyFill="1" applyBorder="1">
      <alignment vertical="center"/>
    </xf>
    <xf numFmtId="0" fontId="81" fillId="17" borderId="79" xfId="0" applyFont="1" applyFill="1" applyBorder="1" applyAlignment="1">
      <alignment horizontal="center" vertical="center"/>
    </xf>
    <xf numFmtId="0" fontId="81" fillId="3" borderId="298" xfId="0" applyFont="1" applyFill="1" applyBorder="1" applyAlignment="1">
      <alignment horizontal="center" vertical="center"/>
    </xf>
    <xf numFmtId="0" fontId="81" fillId="3" borderId="34" xfId="0" applyFont="1" applyFill="1" applyBorder="1" applyAlignment="1">
      <alignment horizontal="center" vertical="center"/>
    </xf>
    <xf numFmtId="182" fontId="96" fillId="4" borderId="175" xfId="0" applyNumberFormat="1" applyFont="1" applyFill="1" applyBorder="1" applyAlignment="1">
      <alignment vertical="center" wrapText="1"/>
    </xf>
    <xf numFmtId="182" fontId="96" fillId="4" borderId="38" xfId="0" quotePrefix="1" applyNumberFormat="1" applyFont="1" applyFill="1" applyBorder="1" applyAlignment="1">
      <alignment horizontal="right" vertical="center" wrapText="1"/>
    </xf>
    <xf numFmtId="182" fontId="97" fillId="22" borderId="368" xfId="0" applyNumberFormat="1" applyFont="1" applyFill="1" applyBorder="1" applyAlignment="1">
      <alignment horizontal="right" vertical="center" wrapText="1"/>
    </xf>
    <xf numFmtId="0" fontId="81" fillId="17" borderId="60" xfId="0" applyFont="1" applyFill="1" applyBorder="1" applyAlignment="1">
      <alignment horizontal="center" vertical="center"/>
    </xf>
    <xf numFmtId="177" fontId="81" fillId="0" borderId="49" xfId="0" quotePrefix="1" applyNumberFormat="1" applyFont="1" applyBorder="1" applyAlignment="1">
      <alignment horizontal="center" vertical="center"/>
    </xf>
    <xf numFmtId="177" fontId="81" fillId="0" borderId="49" xfId="0" applyNumberFormat="1" applyFont="1" applyBorder="1" applyAlignment="1">
      <alignment horizontal="center" vertical="center"/>
    </xf>
    <xf numFmtId="0" fontId="81" fillId="3" borderId="43" xfId="0" applyFont="1" applyFill="1" applyBorder="1" applyAlignment="1">
      <alignment horizontal="center" vertical="center"/>
    </xf>
    <xf numFmtId="181" fontId="96" fillId="4" borderId="175" xfId="0" applyNumberFormat="1" applyFont="1" applyFill="1" applyBorder="1" applyAlignment="1">
      <alignment vertical="center" wrapText="1"/>
    </xf>
    <xf numFmtId="181" fontId="96" fillId="4" borderId="38" xfId="0" applyNumberFormat="1" applyFont="1" applyFill="1" applyBorder="1" applyAlignment="1">
      <alignment vertical="center" wrapText="1"/>
    </xf>
    <xf numFmtId="181" fontId="97" fillId="4" borderId="368" xfId="0" applyNumberFormat="1" applyFont="1" applyFill="1" applyBorder="1" applyAlignment="1">
      <alignment vertical="center" wrapText="1"/>
    </xf>
    <xf numFmtId="0" fontId="81" fillId="3" borderId="67" xfId="0" applyFont="1" applyFill="1" applyBorder="1" applyAlignment="1">
      <alignment horizontal="center" vertical="center"/>
    </xf>
    <xf numFmtId="181" fontId="97" fillId="4" borderId="369" xfId="0" applyNumberFormat="1" applyFont="1" applyFill="1" applyBorder="1" applyAlignment="1">
      <alignment vertical="center" wrapText="1"/>
    </xf>
    <xf numFmtId="181" fontId="80" fillId="58" borderId="30" xfId="0" applyNumberFormat="1" applyFont="1" applyFill="1" applyBorder="1" applyAlignment="1">
      <alignment horizontal="center" vertical="center"/>
    </xf>
    <xf numFmtId="181" fontId="80" fillId="58" borderId="28" xfId="0" applyNumberFormat="1" applyFont="1" applyFill="1" applyBorder="1" applyAlignment="1">
      <alignment horizontal="center" vertical="center"/>
    </xf>
    <xf numFmtId="181" fontId="80" fillId="58" borderId="355" xfId="0" applyNumberFormat="1" applyFont="1" applyFill="1" applyBorder="1" applyAlignment="1">
      <alignment horizontal="center" vertical="center"/>
    </xf>
    <xf numFmtId="0" fontId="80" fillId="58" borderId="28" xfId="0" applyFont="1" applyFill="1" applyBorder="1" applyAlignment="1">
      <alignment horizontal="left" vertical="center"/>
    </xf>
    <xf numFmtId="0" fontId="81" fillId="0" borderId="38" xfId="0" applyFont="1" applyBorder="1" applyAlignment="1">
      <alignment vertical="top"/>
    </xf>
    <xf numFmtId="0" fontId="81" fillId="0" borderId="34" xfId="0" applyFont="1" applyBorder="1" applyAlignment="1">
      <alignment horizontal="center" vertical="center"/>
    </xf>
    <xf numFmtId="0" fontId="81" fillId="0" borderId="43" xfId="0" applyFont="1" applyBorder="1" applyAlignment="1">
      <alignment horizontal="center" vertical="center"/>
    </xf>
    <xf numFmtId="3" fontId="96" fillId="3" borderId="42" xfId="0" quotePrefix="1" applyNumberFormat="1" applyFont="1" applyFill="1" applyBorder="1" applyAlignment="1">
      <alignment horizontal="left" vertical="center" wrapText="1"/>
    </xf>
    <xf numFmtId="0" fontId="81" fillId="17" borderId="59" xfId="0" applyFont="1" applyFill="1" applyBorder="1" applyAlignment="1">
      <alignment horizontal="center" vertical="center"/>
    </xf>
    <xf numFmtId="181" fontId="97" fillId="52" borderId="368" xfId="0" applyNumberFormat="1" applyFont="1" applyFill="1" applyBorder="1" applyAlignment="1">
      <alignment horizontal="right" vertical="center"/>
    </xf>
    <xf numFmtId="0" fontId="81" fillId="48" borderId="43" xfId="0" applyFont="1" applyFill="1" applyBorder="1" applyAlignment="1">
      <alignment horizontal="center" vertical="center"/>
    </xf>
    <xf numFmtId="0" fontId="80" fillId="48" borderId="43" xfId="0" applyFont="1" applyFill="1" applyBorder="1" applyAlignment="1">
      <alignment horizontal="center" vertical="center"/>
    </xf>
    <xf numFmtId="182" fontId="96" fillId="48" borderId="175" xfId="0" applyNumberFormat="1" applyFont="1" applyFill="1" applyBorder="1" applyAlignment="1">
      <alignment vertical="center" wrapText="1"/>
    </xf>
    <xf numFmtId="182" fontId="96" fillId="48" borderId="38" xfId="0" quotePrefix="1" applyNumberFormat="1" applyFont="1" applyFill="1" applyBorder="1" applyAlignment="1">
      <alignment horizontal="right" vertical="center" wrapText="1"/>
    </xf>
    <xf numFmtId="182" fontId="97" fillId="48" borderId="368" xfId="0" applyNumberFormat="1" applyFont="1" applyFill="1" applyBorder="1" applyAlignment="1">
      <alignment horizontal="right" vertical="center" wrapText="1"/>
    </xf>
    <xf numFmtId="0" fontId="81" fillId="17" borderId="66" xfId="0" applyFont="1" applyFill="1" applyBorder="1" applyAlignment="1">
      <alignment horizontal="center" vertical="center"/>
    </xf>
    <xf numFmtId="0" fontId="81" fillId="17" borderId="63" xfId="0" applyFont="1" applyFill="1" applyBorder="1" applyAlignment="1">
      <alignment horizontal="center" vertical="center"/>
    </xf>
    <xf numFmtId="182" fontId="96" fillId="48" borderId="371" xfId="0" applyNumberFormat="1" applyFont="1" applyFill="1" applyBorder="1" applyAlignment="1">
      <alignment vertical="center" wrapText="1"/>
    </xf>
    <xf numFmtId="182" fontId="96" fillId="48" borderId="73" xfId="0" quotePrefix="1" applyNumberFormat="1" applyFont="1" applyFill="1" applyBorder="1" applyAlignment="1">
      <alignment horizontal="right" vertical="center" wrapText="1"/>
    </xf>
    <xf numFmtId="182" fontId="97" fillId="48" borderId="372" xfId="0" applyNumberFormat="1" applyFont="1" applyFill="1" applyBorder="1" applyAlignment="1">
      <alignment horizontal="right" vertical="center" wrapText="1"/>
    </xf>
    <xf numFmtId="181" fontId="96" fillId="58" borderId="179" xfId="0" applyNumberFormat="1" applyFont="1" applyFill="1" applyBorder="1" applyAlignment="1">
      <alignment horizontal="right" vertical="center"/>
    </xf>
    <xf numFmtId="181" fontId="96" fillId="58" borderId="78" xfId="0" applyNumberFormat="1" applyFont="1" applyFill="1" applyBorder="1" applyAlignment="1">
      <alignment horizontal="right" vertical="center"/>
    </xf>
    <xf numFmtId="181" fontId="97" fillId="58" borderId="373" xfId="0" applyNumberFormat="1" applyFont="1" applyFill="1" applyBorder="1" applyAlignment="1">
      <alignment horizontal="right" vertical="center"/>
    </xf>
    <xf numFmtId="0" fontId="81" fillId="17" borderId="62" xfId="0" applyFont="1" applyFill="1" applyBorder="1" applyAlignment="1">
      <alignment horizontal="center" vertical="center"/>
    </xf>
    <xf numFmtId="0" fontId="81" fillId="17" borderId="116" xfId="0" applyFont="1" applyFill="1" applyBorder="1" applyAlignment="1">
      <alignment horizontal="center" vertical="center"/>
    </xf>
    <xf numFmtId="0" fontId="81" fillId="3" borderId="45" xfId="0" quotePrefix="1" applyFont="1" applyFill="1" applyBorder="1" applyAlignment="1">
      <alignment horizontal="left" vertical="center"/>
    </xf>
    <xf numFmtId="0" fontId="81" fillId="3" borderId="45" xfId="0" applyFont="1" applyFill="1" applyBorder="1" applyAlignment="1">
      <alignment horizontal="left" vertical="center"/>
    </xf>
    <xf numFmtId="0" fontId="81" fillId="3" borderId="57" xfId="0" quotePrefix="1" applyFont="1" applyFill="1" applyBorder="1" applyAlignment="1">
      <alignment horizontal="left" vertical="center"/>
    </xf>
    <xf numFmtId="0" fontId="81" fillId="3" borderId="57" xfId="0" applyFont="1" applyFill="1" applyBorder="1" applyAlignment="1">
      <alignment horizontal="left" vertical="center"/>
    </xf>
    <xf numFmtId="0" fontId="81" fillId="0" borderId="52" xfId="0" applyFont="1" applyBorder="1" applyAlignment="1">
      <alignment horizontal="center" vertical="center"/>
    </xf>
    <xf numFmtId="181" fontId="96" fillId="48" borderId="175" xfId="0" applyNumberFormat="1" applyFont="1" applyFill="1" applyBorder="1" applyAlignment="1">
      <alignment horizontal="right" vertical="center" wrapText="1"/>
    </xf>
    <xf numFmtId="181" fontId="96" fillId="48" borderId="38" xfId="0" applyNumberFormat="1" applyFont="1" applyFill="1" applyBorder="1" applyAlignment="1">
      <alignment horizontal="right" vertical="center" wrapText="1"/>
    </xf>
    <xf numFmtId="181" fontId="97" fillId="48" borderId="368" xfId="0" applyNumberFormat="1" applyFont="1" applyFill="1" applyBorder="1" applyAlignment="1">
      <alignment horizontal="right" vertical="center" wrapText="1"/>
    </xf>
    <xf numFmtId="0" fontId="81" fillId="3" borderId="80" xfId="0" applyFont="1" applyFill="1" applyBorder="1" applyAlignment="1">
      <alignment horizontal="left" vertical="center"/>
    </xf>
    <xf numFmtId="0" fontId="81" fillId="3" borderId="87" xfId="0" applyFont="1" applyFill="1" applyBorder="1" applyAlignment="1">
      <alignment horizontal="center" vertical="center"/>
    </xf>
    <xf numFmtId="0" fontId="81" fillId="3" borderId="74" xfId="0" applyFont="1" applyFill="1" applyBorder="1" applyAlignment="1">
      <alignment horizontal="left" vertical="center"/>
    </xf>
    <xf numFmtId="0" fontId="81" fillId="0" borderId="67" xfId="0" applyFont="1" applyBorder="1" applyAlignment="1">
      <alignment horizontal="center" vertical="center"/>
    </xf>
    <xf numFmtId="182" fontId="96" fillId="4" borderId="371" xfId="0" applyNumberFormat="1" applyFont="1" applyFill="1" applyBorder="1" applyAlignment="1">
      <alignment vertical="center" wrapText="1"/>
    </xf>
    <xf numFmtId="182" fontId="96" fillId="4" borderId="73" xfId="0" quotePrefix="1" applyNumberFormat="1" applyFont="1" applyFill="1" applyBorder="1" applyAlignment="1">
      <alignment horizontal="right" vertical="center" wrapText="1"/>
    </xf>
    <xf numFmtId="182" fontId="97" fillId="22" borderId="372" xfId="0" applyNumberFormat="1" applyFont="1" applyFill="1" applyBorder="1" applyAlignment="1">
      <alignment horizontal="right" vertical="center" wrapText="1"/>
    </xf>
    <xf numFmtId="0" fontId="81" fillId="17" borderId="112" xfId="0" applyFont="1" applyFill="1" applyBorder="1" applyAlignment="1">
      <alignment horizontal="center" vertical="center"/>
    </xf>
    <xf numFmtId="0" fontId="81" fillId="17" borderId="115" xfId="0" applyFont="1" applyFill="1" applyBorder="1" applyAlignment="1">
      <alignment horizontal="center" vertical="center"/>
    </xf>
    <xf numFmtId="0" fontId="88" fillId="58" borderId="22" xfId="0" applyFont="1" applyFill="1" applyBorder="1" applyAlignment="1">
      <alignment horizontal="center" vertical="center"/>
    </xf>
    <xf numFmtId="0" fontId="88" fillId="58" borderId="76" xfId="0" applyFont="1" applyFill="1" applyBorder="1" applyAlignment="1">
      <alignment horizontal="center" vertical="center"/>
    </xf>
    <xf numFmtId="0" fontId="81" fillId="48" borderId="77" xfId="0" applyFont="1" applyFill="1" applyBorder="1" applyAlignment="1">
      <alignment horizontal="center" vertical="center"/>
    </xf>
    <xf numFmtId="0" fontId="81" fillId="17" borderId="46" xfId="0" applyFont="1" applyFill="1" applyBorder="1" applyAlignment="1">
      <alignment horizontal="center" vertical="center"/>
    </xf>
    <xf numFmtId="0" fontId="81" fillId="17" borderId="47" xfId="0" applyFont="1" applyFill="1" applyBorder="1" applyAlignment="1">
      <alignment horizontal="center" vertical="center"/>
    </xf>
    <xf numFmtId="0" fontId="96" fillId="3" borderId="38" xfId="0" applyFont="1" applyFill="1" applyBorder="1" applyAlignment="1">
      <alignment horizontal="left" vertical="center"/>
    </xf>
    <xf numFmtId="182" fontId="96" fillId="4" borderId="174" xfId="0" applyNumberFormat="1" applyFont="1" applyFill="1" applyBorder="1" applyAlignment="1">
      <alignment vertical="center" wrapText="1"/>
    </xf>
    <xf numFmtId="182" fontId="96" fillId="4" borderId="54" xfId="0" quotePrefix="1" applyNumberFormat="1" applyFont="1" applyFill="1" applyBorder="1" applyAlignment="1">
      <alignment horizontal="right" vertical="center" wrapText="1"/>
    </xf>
    <xf numFmtId="182" fontId="97" fillId="22" borderId="370" xfId="0" applyNumberFormat="1" applyFont="1" applyFill="1" applyBorder="1" applyAlignment="1">
      <alignment horizontal="right" vertical="center" wrapText="1"/>
    </xf>
    <xf numFmtId="0" fontId="81" fillId="48" borderId="34" xfId="0" applyFont="1" applyFill="1" applyBorder="1" applyAlignment="1">
      <alignment horizontal="center" vertical="center"/>
    </xf>
    <xf numFmtId="0" fontId="81" fillId="17" borderId="117" xfId="0" applyFont="1" applyFill="1" applyBorder="1" applyAlignment="1">
      <alignment horizontal="center" vertical="center"/>
    </xf>
    <xf numFmtId="181" fontId="96" fillId="48" borderId="172" xfId="0" applyNumberFormat="1" applyFont="1" applyFill="1" applyBorder="1" applyAlignment="1">
      <alignment horizontal="right" vertical="center" wrapText="1"/>
    </xf>
    <xf numFmtId="182" fontId="96" fillId="4" borderId="38" xfId="0" applyNumberFormat="1" applyFont="1" applyFill="1" applyBorder="1" applyAlignment="1">
      <alignment horizontal="right" vertical="center" wrapText="1"/>
    </xf>
    <xf numFmtId="182" fontId="97" fillId="50" borderId="368" xfId="0" applyNumberFormat="1" applyFont="1" applyFill="1" applyBorder="1" applyAlignment="1">
      <alignment horizontal="right" vertical="center" wrapText="1"/>
    </xf>
    <xf numFmtId="0" fontId="81" fillId="3" borderId="38" xfId="0" applyFont="1" applyFill="1" applyBorder="1" applyAlignment="1">
      <alignment horizontal="center" vertical="center"/>
    </xf>
    <xf numFmtId="0" fontId="81" fillId="3" borderId="38" xfId="0" quotePrefix="1" applyFont="1" applyFill="1" applyBorder="1" applyAlignment="1">
      <alignment horizontal="left" vertical="center"/>
    </xf>
    <xf numFmtId="0" fontId="81" fillId="3" borderId="74" xfId="0" quotePrefix="1" applyFont="1" applyFill="1" applyBorder="1" applyAlignment="1">
      <alignment horizontal="left" vertical="center"/>
    </xf>
    <xf numFmtId="0" fontId="88" fillId="58" borderId="245" xfId="0" applyFont="1" applyFill="1" applyBorder="1" applyAlignment="1">
      <alignment horizontal="center" vertical="center"/>
    </xf>
    <xf numFmtId="0" fontId="88" fillId="58" borderId="246" xfId="0" applyFont="1" applyFill="1" applyBorder="1" applyAlignment="1">
      <alignment horizontal="center" vertical="center"/>
    </xf>
    <xf numFmtId="0" fontId="81" fillId="58" borderId="77" xfId="0" applyFont="1" applyFill="1" applyBorder="1" applyAlignment="1">
      <alignment horizontal="center" vertical="center"/>
    </xf>
    <xf numFmtId="0" fontId="81" fillId="19" borderId="90" xfId="0" applyFont="1" applyFill="1" applyBorder="1" applyAlignment="1">
      <alignment horizontal="center" vertical="center"/>
    </xf>
    <xf numFmtId="0" fontId="81" fillId="19" borderId="47" xfId="0" applyFont="1" applyFill="1" applyBorder="1" applyAlignment="1">
      <alignment horizontal="center" vertical="center"/>
    </xf>
    <xf numFmtId="0" fontId="80" fillId="48" borderId="34" xfId="0" applyFont="1" applyFill="1" applyBorder="1" applyAlignment="1">
      <alignment horizontal="center" vertical="center"/>
    </xf>
    <xf numFmtId="182" fontId="96" fillId="48" borderId="176" xfId="1" quotePrefix="1" applyNumberFormat="1" applyFont="1" applyFill="1" applyBorder="1" applyAlignment="1">
      <alignment horizontal="right" vertical="center" wrapText="1"/>
    </xf>
    <xf numFmtId="182" fontId="96" fillId="48" borderId="37" xfId="1" quotePrefix="1" applyNumberFormat="1" applyFont="1" applyFill="1" applyBorder="1" applyAlignment="1">
      <alignment horizontal="right" vertical="center" wrapText="1"/>
    </xf>
    <xf numFmtId="182" fontId="97" fillId="48" borderId="374" xfId="1" quotePrefix="1" applyNumberFormat="1" applyFont="1" applyFill="1" applyBorder="1" applyAlignment="1">
      <alignment horizontal="right" vertical="center" wrapText="1"/>
    </xf>
    <xf numFmtId="0" fontId="81" fillId="17" borderId="90" xfId="0" applyFont="1" applyFill="1" applyBorder="1" applyAlignment="1">
      <alignment horizontal="center" vertical="center"/>
    </xf>
    <xf numFmtId="177" fontId="81" fillId="15" borderId="43" xfId="0" quotePrefix="1" applyNumberFormat="1" applyFont="1" applyFill="1" applyBorder="1">
      <alignment vertical="center"/>
    </xf>
    <xf numFmtId="177" fontId="81" fillId="15" borderId="45" xfId="0" quotePrefix="1" applyNumberFormat="1" applyFont="1" applyFill="1" applyBorder="1">
      <alignment vertical="center"/>
    </xf>
    <xf numFmtId="181" fontId="96" fillId="4" borderId="38" xfId="0" quotePrefix="1" applyNumberFormat="1" applyFont="1" applyFill="1" applyBorder="1" applyAlignment="1">
      <alignment horizontal="right" vertical="center" wrapText="1"/>
    </xf>
    <xf numFmtId="181" fontId="97" fillId="4" borderId="368" xfId="0" quotePrefix="1" applyNumberFormat="1" applyFont="1" applyFill="1" applyBorder="1" applyAlignment="1">
      <alignment horizontal="right" vertical="center" wrapText="1"/>
    </xf>
    <xf numFmtId="181" fontId="97" fillId="22" borderId="368" xfId="0" applyNumberFormat="1" applyFont="1" applyFill="1" applyBorder="1" applyAlignment="1">
      <alignment horizontal="right" vertical="center" wrapText="1"/>
    </xf>
    <xf numFmtId="181" fontId="97" fillId="50" borderId="368" xfId="0" applyNumberFormat="1" applyFont="1" applyFill="1" applyBorder="1" applyAlignment="1">
      <alignment horizontal="right" vertical="center" wrapText="1"/>
    </xf>
    <xf numFmtId="182" fontId="96" fillId="4" borderId="175" xfId="0" applyNumberFormat="1" applyFont="1" applyFill="1" applyBorder="1" applyAlignment="1">
      <alignment horizontal="right" vertical="center" wrapText="1"/>
    </xf>
    <xf numFmtId="182" fontId="97" fillId="4" borderId="368" xfId="0" quotePrefix="1" applyNumberFormat="1" applyFont="1" applyFill="1" applyBorder="1" applyAlignment="1">
      <alignment horizontal="right" vertical="center" wrapText="1"/>
    </xf>
    <xf numFmtId="0" fontId="81" fillId="0" borderId="42" xfId="0" applyFont="1" applyBorder="1" applyAlignment="1">
      <alignment horizontal="center" vertical="center"/>
    </xf>
    <xf numFmtId="0" fontId="81" fillId="19" borderId="43" xfId="0" applyFont="1" applyFill="1" applyBorder="1" applyAlignment="1">
      <alignment horizontal="center" vertical="center"/>
    </xf>
    <xf numFmtId="181" fontId="96" fillId="19" borderId="175" xfId="0" applyNumberFormat="1" applyFont="1" applyFill="1" applyBorder="1" applyAlignment="1">
      <alignment horizontal="right" vertical="center"/>
    </xf>
    <xf numFmtId="181" fontId="96" fillId="19" borderId="38" xfId="0" applyNumberFormat="1" applyFont="1" applyFill="1" applyBorder="1" applyAlignment="1">
      <alignment horizontal="right" vertical="center"/>
    </xf>
    <xf numFmtId="181" fontId="97" fillId="19" borderId="368" xfId="0" applyNumberFormat="1" applyFont="1" applyFill="1" applyBorder="1" applyAlignment="1">
      <alignment horizontal="right" vertical="center"/>
    </xf>
    <xf numFmtId="182" fontId="97" fillId="48" borderId="176" xfId="1" quotePrefix="1" applyNumberFormat="1" applyFont="1" applyFill="1" applyBorder="1" applyAlignment="1">
      <alignment horizontal="right" vertical="center" wrapText="1"/>
    </xf>
    <xf numFmtId="182" fontId="97" fillId="48" borderId="37" xfId="1" quotePrefix="1" applyNumberFormat="1" applyFont="1" applyFill="1" applyBorder="1" applyAlignment="1">
      <alignment horizontal="right" vertical="center" wrapText="1"/>
    </xf>
    <xf numFmtId="182" fontId="96" fillId="4" borderId="175" xfId="0" quotePrefix="1" applyNumberFormat="1" applyFont="1" applyFill="1" applyBorder="1" applyAlignment="1">
      <alignment horizontal="right" vertical="center" wrapText="1"/>
    </xf>
    <xf numFmtId="182" fontId="97" fillId="4" borderId="368" xfId="0" applyNumberFormat="1" applyFont="1" applyFill="1" applyBorder="1" applyAlignment="1">
      <alignment horizontal="right" vertical="center" wrapText="1"/>
    </xf>
    <xf numFmtId="0" fontId="81" fillId="0" borderId="49" xfId="0" applyFont="1" applyBorder="1" applyAlignment="1">
      <alignment vertical="center" wrapText="1"/>
    </xf>
    <xf numFmtId="0" fontId="81" fillId="48" borderId="49" xfId="0" applyFont="1" applyFill="1" applyBorder="1" applyAlignment="1">
      <alignment vertical="center" wrapText="1"/>
    </xf>
    <xf numFmtId="181" fontId="96" fillId="48" borderId="175" xfId="1" quotePrefix="1" applyNumberFormat="1" applyFont="1" applyFill="1" applyBorder="1" applyAlignment="1">
      <alignment horizontal="right" vertical="center" wrapText="1"/>
    </xf>
    <xf numFmtId="181" fontId="96" fillId="48" borderId="37" xfId="1" quotePrefix="1" applyNumberFormat="1" applyFont="1" applyFill="1" applyBorder="1" applyAlignment="1">
      <alignment horizontal="right" vertical="center" wrapText="1"/>
    </xf>
    <xf numFmtId="181" fontId="97" fillId="48" borderId="368" xfId="0" quotePrefix="1" applyNumberFormat="1" applyFont="1" applyFill="1" applyBorder="1" applyAlignment="1">
      <alignment horizontal="right" vertical="center" wrapText="1"/>
    </xf>
    <xf numFmtId="182" fontId="96" fillId="19" borderId="175" xfId="0" applyNumberFormat="1" applyFont="1" applyFill="1" applyBorder="1" applyAlignment="1">
      <alignment horizontal="right" vertical="center"/>
    </xf>
    <xf numFmtId="182" fontId="96" fillId="19" borderId="38" xfId="0" applyNumberFormat="1" applyFont="1" applyFill="1" applyBorder="1" applyAlignment="1">
      <alignment horizontal="right" vertical="center"/>
    </xf>
    <xf numFmtId="182" fontId="97" fillId="19" borderId="368" xfId="0" applyNumberFormat="1" applyFont="1" applyFill="1" applyBorder="1" applyAlignment="1">
      <alignment horizontal="right" vertical="center"/>
    </xf>
    <xf numFmtId="0" fontId="96" fillId="3" borderId="45" xfId="0" applyFont="1" applyFill="1" applyBorder="1" applyAlignment="1">
      <alignment horizontal="left" vertical="center"/>
    </xf>
    <xf numFmtId="181" fontId="96" fillId="48" borderId="176" xfId="1" quotePrefix="1" applyNumberFormat="1" applyFont="1" applyFill="1" applyBorder="1" applyAlignment="1">
      <alignment horizontal="right" vertical="center" wrapText="1"/>
    </xf>
    <xf numFmtId="181" fontId="97" fillId="48" borderId="374" xfId="1" quotePrefix="1" applyNumberFormat="1" applyFont="1" applyFill="1" applyBorder="1" applyAlignment="1">
      <alignment horizontal="right" vertical="center" wrapText="1"/>
    </xf>
    <xf numFmtId="0" fontId="81" fillId="0" borderId="49" xfId="0" quotePrefix="1" applyFont="1" applyBorder="1" applyAlignment="1">
      <alignment vertical="center" wrapText="1"/>
    </xf>
    <xf numFmtId="0" fontId="81" fillId="0" borderId="259" xfId="0" applyFont="1" applyBorder="1" applyAlignment="1">
      <alignment horizontal="center" vertical="center"/>
    </xf>
    <xf numFmtId="182" fontId="96" fillId="4" borderId="375" xfId="0" quotePrefix="1" applyNumberFormat="1" applyFont="1" applyFill="1" applyBorder="1" applyAlignment="1">
      <alignment horizontal="right" vertical="center" wrapText="1"/>
    </xf>
    <xf numFmtId="182" fontId="96" fillId="4" borderId="108" xfId="0" quotePrefix="1" applyNumberFormat="1" applyFont="1" applyFill="1" applyBorder="1" applyAlignment="1">
      <alignment horizontal="right" vertical="center" wrapText="1"/>
    </xf>
    <xf numFmtId="182" fontId="97" fillId="4" borderId="376" xfId="0" quotePrefix="1" applyNumberFormat="1" applyFont="1" applyFill="1" applyBorder="1" applyAlignment="1">
      <alignment horizontal="right" vertical="center" wrapText="1"/>
    </xf>
    <xf numFmtId="0" fontId="81" fillId="17" borderId="348" xfId="0" applyFont="1" applyFill="1" applyBorder="1" applyAlignment="1">
      <alignment horizontal="center" vertical="center"/>
    </xf>
    <xf numFmtId="0" fontId="81" fillId="17" borderId="349" xfId="0" applyFont="1" applyFill="1" applyBorder="1" applyAlignment="1">
      <alignment horizontal="center" vertical="center"/>
    </xf>
    <xf numFmtId="0" fontId="96" fillId="3" borderId="0" xfId="0" applyFont="1" applyFill="1">
      <alignment vertical="center"/>
    </xf>
    <xf numFmtId="0" fontId="96" fillId="3" borderId="0" xfId="0" applyFont="1" applyFill="1" applyAlignment="1">
      <alignment vertical="top"/>
    </xf>
    <xf numFmtId="181" fontId="81" fillId="3" borderId="0" xfId="0" applyNumberFormat="1" applyFont="1" applyFill="1" applyAlignment="1">
      <alignment horizontal="right" vertical="center"/>
    </xf>
    <xf numFmtId="3" fontId="81" fillId="3" borderId="0" xfId="0" applyNumberFormat="1" applyFont="1" applyFill="1" applyAlignment="1">
      <alignment horizontal="left" vertical="center"/>
    </xf>
    <xf numFmtId="0" fontId="81" fillId="3" borderId="0" xfId="0" applyFont="1" applyFill="1" applyAlignment="1">
      <alignment horizontal="center" vertical="center"/>
    </xf>
    <xf numFmtId="0" fontId="81" fillId="3" borderId="0" xfId="0" applyFont="1" applyFill="1" applyAlignment="1">
      <alignment vertical="top"/>
    </xf>
    <xf numFmtId="0" fontId="81" fillId="3" borderId="0" xfId="0" applyFont="1" applyFill="1" applyAlignment="1">
      <alignment horizontal="left" vertical="center"/>
    </xf>
    <xf numFmtId="181" fontId="81" fillId="3" borderId="0" xfId="0" applyNumberFormat="1" applyFont="1" applyFill="1" applyAlignment="1">
      <alignment horizontal="left" vertical="center"/>
    </xf>
    <xf numFmtId="0" fontId="99" fillId="21" borderId="0" xfId="0" applyFont="1" applyFill="1" applyAlignment="1">
      <alignment horizontal="center" vertical="center" wrapText="1"/>
    </xf>
    <xf numFmtId="0" fontId="100" fillId="21" borderId="0" xfId="0" applyFont="1" applyFill="1" applyAlignment="1">
      <alignment horizontal="center" vertical="center" wrapText="1"/>
    </xf>
    <xf numFmtId="181" fontId="100" fillId="21" borderId="0" xfId="0" applyNumberFormat="1" applyFont="1" applyFill="1" applyAlignment="1">
      <alignment vertical="center" wrapText="1"/>
    </xf>
    <xf numFmtId="0" fontId="99" fillId="21" borderId="0" xfId="0" applyFont="1" applyFill="1" applyAlignment="1">
      <alignment horizontal="center" vertical="center"/>
    </xf>
    <xf numFmtId="0" fontId="101" fillId="21" borderId="0" xfId="0" applyFont="1" applyFill="1" applyAlignment="1">
      <alignment horizontal="left" vertical="center"/>
    </xf>
    <xf numFmtId="0" fontId="100" fillId="21" borderId="0" xfId="0" applyFont="1" applyFill="1" applyAlignment="1">
      <alignment horizontal="left" vertical="center"/>
    </xf>
    <xf numFmtId="0" fontId="102" fillId="21" borderId="0" xfId="0" applyFont="1" applyFill="1" applyAlignment="1">
      <alignment horizontal="center" vertical="center" wrapText="1"/>
    </xf>
    <xf numFmtId="0" fontId="102" fillId="21" borderId="0" xfId="0" applyFont="1" applyFill="1" applyAlignment="1">
      <alignment horizontal="center" vertical="center"/>
    </xf>
    <xf numFmtId="0" fontId="81" fillId="0" borderId="0" xfId="0" applyFont="1" applyAlignment="1">
      <alignment horizontal="left" vertical="center" wrapText="1"/>
    </xf>
    <xf numFmtId="0" fontId="89" fillId="10" borderId="25" xfId="2" applyFont="1" applyFill="1" applyBorder="1" applyAlignment="1">
      <alignment horizontal="center" vertical="center" wrapText="1"/>
    </xf>
    <xf numFmtId="0" fontId="89" fillId="10" borderId="354" xfId="2" applyFont="1" applyFill="1" applyBorder="1" applyAlignment="1">
      <alignment horizontal="center" vertical="center" wrapText="1"/>
    </xf>
    <xf numFmtId="0" fontId="95" fillId="11" borderId="27" xfId="0" applyFont="1" applyFill="1" applyBorder="1" applyAlignment="1">
      <alignment horizontal="left" vertical="center"/>
    </xf>
    <xf numFmtId="0" fontId="80" fillId="11" borderId="22" xfId="0" applyFont="1" applyFill="1" applyBorder="1" applyAlignment="1">
      <alignment horizontal="left" vertical="center"/>
    </xf>
    <xf numFmtId="0" fontId="80" fillId="12" borderId="22" xfId="0" applyFont="1" applyFill="1" applyBorder="1" applyAlignment="1">
      <alignment horizontal="center" vertical="center"/>
    </xf>
    <xf numFmtId="0" fontId="95" fillId="14" borderId="30" xfId="0" applyFont="1" applyFill="1" applyBorder="1">
      <alignment vertical="center"/>
    </xf>
    <xf numFmtId="0" fontId="80" fillId="14" borderId="28" xfId="0" applyFont="1" applyFill="1" applyBorder="1">
      <alignment vertical="center"/>
    </xf>
    <xf numFmtId="0" fontId="80" fillId="14" borderId="28" xfId="0" applyFont="1" applyFill="1" applyBorder="1" applyAlignment="1">
      <alignment horizontal="center" vertical="center"/>
    </xf>
    <xf numFmtId="0" fontId="95" fillId="14" borderId="55" xfId="0" applyFont="1" applyFill="1" applyBorder="1" applyAlignment="1">
      <alignment vertical="top"/>
    </xf>
    <xf numFmtId="0" fontId="80" fillId="14" borderId="28" xfId="0" applyFont="1" applyFill="1" applyBorder="1" applyAlignment="1">
      <alignment vertical="top"/>
    </xf>
    <xf numFmtId="181" fontId="96" fillId="14" borderId="30" xfId="0" applyNumberFormat="1" applyFont="1" applyFill="1" applyBorder="1" applyAlignment="1">
      <alignment horizontal="left" vertical="center"/>
    </xf>
    <xf numFmtId="181" fontId="96" fillId="14" borderId="28" xfId="0" applyNumberFormat="1" applyFont="1" applyFill="1" applyBorder="1" applyAlignment="1">
      <alignment horizontal="left" vertical="center"/>
    </xf>
    <xf numFmtId="0" fontId="88" fillId="14" borderId="28" xfId="0" applyFont="1" applyFill="1" applyBorder="1" applyAlignment="1">
      <alignment horizontal="center" vertical="center"/>
    </xf>
    <xf numFmtId="0" fontId="88" fillId="14" borderId="355" xfId="0" applyFont="1" applyFill="1" applyBorder="1" applyAlignment="1">
      <alignment horizontal="center" vertical="top" wrapText="1"/>
    </xf>
    <xf numFmtId="177" fontId="81" fillId="49" borderId="77" xfId="0" quotePrefix="1" applyNumberFormat="1" applyFont="1" applyFill="1" applyBorder="1" applyAlignment="1">
      <alignment horizontal="center" vertical="center"/>
    </xf>
    <xf numFmtId="0" fontId="81" fillId="17" borderId="357" xfId="0" applyFont="1" applyFill="1" applyBorder="1" applyAlignment="1">
      <alignment horizontal="center" vertical="top" wrapText="1"/>
    </xf>
    <xf numFmtId="177" fontId="81" fillId="0" borderId="34" xfId="0" quotePrefix="1" applyNumberFormat="1" applyFont="1" applyBorder="1" applyAlignment="1">
      <alignment horizontal="center" vertical="center"/>
    </xf>
    <xf numFmtId="182" fontId="96" fillId="4" borderId="176" xfId="1" applyNumberFormat="1" applyFont="1" applyFill="1" applyBorder="1" applyAlignment="1">
      <alignment horizontal="right" vertical="center" wrapText="1"/>
    </xf>
    <xf numFmtId="182" fontId="96" fillId="4" borderId="37" xfId="1" applyNumberFormat="1" applyFont="1" applyFill="1" applyBorder="1" applyAlignment="1">
      <alignment horizontal="right" vertical="center" wrapText="1"/>
    </xf>
    <xf numFmtId="182" fontId="97" fillId="4" borderId="374" xfId="1" applyNumberFormat="1" applyFont="1" applyFill="1" applyBorder="1" applyAlignment="1">
      <alignment horizontal="right" vertical="center" wrapText="1"/>
    </xf>
    <xf numFmtId="0" fontId="81" fillId="17" borderId="79" xfId="0" applyFont="1" applyFill="1" applyBorder="1" applyAlignment="1">
      <alignment horizontal="center" vertical="center" wrapText="1"/>
    </xf>
    <xf numFmtId="177" fontId="81" fillId="48" borderId="43" xfId="0" quotePrefix="1" applyNumberFormat="1" applyFont="1" applyFill="1" applyBorder="1" applyAlignment="1">
      <alignment horizontal="center" vertical="center"/>
    </xf>
    <xf numFmtId="177" fontId="81" fillId="0" borderId="43" xfId="0" quotePrefix="1" applyNumberFormat="1" applyFont="1" applyBorder="1" applyAlignment="1">
      <alignment horizontal="center" vertical="center"/>
    </xf>
    <xf numFmtId="182" fontId="97" fillId="4" borderId="368" xfId="1" quotePrefix="1" applyNumberFormat="1" applyFont="1" applyFill="1" applyBorder="1" applyAlignment="1">
      <alignment horizontal="right" vertical="center" wrapText="1"/>
    </xf>
    <xf numFmtId="182" fontId="97" fillId="4" borderId="368" xfId="0" applyNumberFormat="1" applyFont="1" applyFill="1" applyBorder="1" applyAlignment="1">
      <alignment vertical="center" wrapText="1"/>
    </xf>
    <xf numFmtId="0" fontId="81" fillId="48" borderId="43" xfId="0" quotePrefix="1" applyFont="1" applyFill="1" applyBorder="1" applyAlignment="1">
      <alignment horizontal="center" vertical="center"/>
    </xf>
    <xf numFmtId="177" fontId="81" fillId="52" borderId="65" xfId="0" quotePrefix="1" applyNumberFormat="1" applyFont="1" applyFill="1" applyBorder="1" applyAlignment="1">
      <alignment horizontal="center" vertical="center"/>
    </xf>
    <xf numFmtId="182" fontId="96" fillId="52" borderId="183" xfId="0" quotePrefix="1" applyNumberFormat="1" applyFont="1" applyFill="1" applyBorder="1" applyAlignment="1">
      <alignment horizontal="right" vertical="center"/>
    </xf>
    <xf numFmtId="182" fontId="96" fillId="52" borderId="38" xfId="0" quotePrefix="1" applyNumberFormat="1" applyFont="1" applyFill="1" applyBorder="1" applyAlignment="1">
      <alignment horizontal="right" vertical="center"/>
    </xf>
    <xf numFmtId="182" fontId="96" fillId="48" borderId="175" xfId="1" quotePrefix="1" applyNumberFormat="1" applyFont="1" applyFill="1" applyBorder="1" applyAlignment="1">
      <alignment horizontal="right" vertical="center" wrapText="1"/>
    </xf>
    <xf numFmtId="182" fontId="96" fillId="4" borderId="175" xfId="1" applyNumberFormat="1" applyFont="1" applyFill="1" applyBorder="1" applyAlignment="1">
      <alignment vertical="center" wrapText="1"/>
    </xf>
    <xf numFmtId="182" fontId="96" fillId="4" borderId="38" xfId="1" quotePrefix="1" applyNumberFormat="1" applyFont="1" applyFill="1" applyBorder="1" applyAlignment="1">
      <alignment horizontal="right" vertical="center" wrapText="1"/>
    </xf>
    <xf numFmtId="182" fontId="97" fillId="4" borderId="368" xfId="1" applyNumberFormat="1" applyFont="1" applyFill="1" applyBorder="1" applyAlignment="1">
      <alignment horizontal="right" vertical="center" wrapText="1"/>
    </xf>
    <xf numFmtId="177" fontId="81" fillId="52" borderId="42" xfId="0" quotePrefix="1" applyNumberFormat="1" applyFont="1" applyFill="1" applyBorder="1" applyAlignment="1">
      <alignment vertical="center" wrapText="1"/>
    </xf>
    <xf numFmtId="177" fontId="81" fillId="52" borderId="45" xfId="0" quotePrefix="1" applyNumberFormat="1" applyFont="1" applyFill="1" applyBorder="1" applyAlignment="1">
      <alignment horizontal="center" vertical="center"/>
    </xf>
    <xf numFmtId="0" fontId="81" fillId="52" borderId="54" xfId="0" applyFont="1" applyFill="1" applyBorder="1" applyAlignment="1">
      <alignment vertical="top"/>
    </xf>
    <xf numFmtId="181" fontId="96" fillId="52" borderId="183" xfId="0" quotePrefix="1" applyNumberFormat="1" applyFont="1" applyFill="1" applyBorder="1" applyAlignment="1">
      <alignment horizontal="left" vertical="center"/>
    </xf>
    <xf numFmtId="181" fontId="96" fillId="52" borderId="38" xfId="0" quotePrefix="1" applyNumberFormat="1" applyFont="1" applyFill="1" applyBorder="1" applyAlignment="1">
      <alignment horizontal="left" vertical="center"/>
    </xf>
    <xf numFmtId="181" fontId="96" fillId="4" borderId="175" xfId="8" applyNumberFormat="1" applyFont="1" applyFill="1" applyBorder="1" applyAlignment="1">
      <alignment vertical="center" wrapText="1"/>
    </xf>
    <xf numFmtId="181" fontId="96" fillId="4" borderId="38" xfId="8" applyNumberFormat="1" applyFont="1" applyFill="1" applyBorder="1" applyAlignment="1">
      <alignment horizontal="right" vertical="center" wrapText="1"/>
    </xf>
    <xf numFmtId="181" fontId="97" fillId="4" borderId="368" xfId="8" applyNumberFormat="1" applyFont="1" applyFill="1" applyBorder="1" applyAlignment="1">
      <alignment horizontal="right" vertical="center" wrapText="1"/>
    </xf>
    <xf numFmtId="181" fontId="96" fillId="4" borderId="38" xfId="8" quotePrefix="1" applyNumberFormat="1" applyFont="1" applyFill="1" applyBorder="1" applyAlignment="1">
      <alignment horizontal="right" vertical="center" wrapText="1"/>
    </xf>
    <xf numFmtId="181" fontId="96" fillId="4" borderId="38" xfId="8" applyNumberFormat="1" applyFont="1" applyFill="1" applyBorder="1" applyAlignment="1">
      <alignment vertical="center" wrapText="1"/>
    </xf>
    <xf numFmtId="0" fontId="81" fillId="35" borderId="59" xfId="0" applyFont="1" applyFill="1" applyBorder="1" applyAlignment="1">
      <alignment horizontal="center" vertical="center"/>
    </xf>
    <xf numFmtId="181" fontId="96" fillId="4" borderId="175" xfId="0" quotePrefix="1" applyNumberFormat="1" applyFont="1" applyFill="1" applyBorder="1" applyAlignment="1">
      <alignment horizontal="right" vertical="center" wrapText="1"/>
    </xf>
    <xf numFmtId="181" fontId="97" fillId="4" borderId="368" xfId="1" quotePrefix="1" applyNumberFormat="1" applyFont="1" applyFill="1" applyBorder="1" applyAlignment="1">
      <alignment horizontal="right" vertical="center" wrapText="1"/>
    </xf>
    <xf numFmtId="182" fontId="97" fillId="48" borderId="368" xfId="0" quotePrefix="1" applyNumberFormat="1" applyFont="1" applyFill="1" applyBorder="1" applyAlignment="1">
      <alignment horizontal="right" vertical="center" wrapText="1"/>
    </xf>
    <xf numFmtId="0" fontId="80" fillId="0" borderId="49" xfId="0" applyFont="1" applyBorder="1" applyAlignment="1">
      <alignment vertical="center" wrapText="1"/>
    </xf>
    <xf numFmtId="182" fontId="97" fillId="4" borderId="374" xfId="1" quotePrefix="1" applyNumberFormat="1" applyFont="1" applyFill="1" applyBorder="1" applyAlignment="1">
      <alignment horizontal="right" vertical="center" wrapText="1"/>
    </xf>
    <xf numFmtId="182" fontId="96" fillId="48" borderId="38" xfId="1" quotePrefix="1" applyNumberFormat="1" applyFont="1" applyFill="1" applyBorder="1" applyAlignment="1">
      <alignment horizontal="right" vertical="center" wrapText="1"/>
    </xf>
    <xf numFmtId="0" fontId="81" fillId="52" borderId="45" xfId="0" applyFont="1" applyFill="1" applyBorder="1" applyAlignment="1">
      <alignment horizontal="left" vertical="center"/>
    </xf>
    <xf numFmtId="181" fontId="97" fillId="14" borderId="355" xfId="0" applyNumberFormat="1" applyFont="1" applyFill="1" applyBorder="1" applyAlignment="1">
      <alignment horizontal="left" vertical="center"/>
    </xf>
    <xf numFmtId="177" fontId="81" fillId="48" borderId="77" xfId="0" quotePrefix="1" applyNumberFormat="1" applyFont="1" applyFill="1" applyBorder="1" applyAlignment="1">
      <alignment horizontal="center" vertical="center"/>
    </xf>
    <xf numFmtId="177" fontId="81" fillId="48" borderId="200" xfId="0" quotePrefix="1" applyNumberFormat="1" applyFont="1" applyFill="1" applyBorder="1" applyAlignment="1">
      <alignment horizontal="center" vertical="center"/>
    </xf>
    <xf numFmtId="177" fontId="81" fillId="15" borderId="52" xfId="0" quotePrefix="1" applyNumberFormat="1" applyFont="1" applyFill="1" applyBorder="1" applyAlignment="1">
      <alignment horizontal="center" vertical="center"/>
    </xf>
    <xf numFmtId="182" fontId="96" fillId="4" borderId="45" xfId="0" applyNumberFormat="1" applyFont="1" applyFill="1" applyBorder="1" applyAlignment="1">
      <alignment vertical="center" wrapText="1"/>
    </xf>
    <xf numFmtId="177" fontId="81" fillId="15" borderId="43" xfId="0" quotePrefix="1" applyNumberFormat="1" applyFont="1" applyFill="1" applyBorder="1" applyAlignment="1">
      <alignment horizontal="center" vertical="center"/>
    </xf>
    <xf numFmtId="177" fontId="81" fillId="0" borderId="49" xfId="0" quotePrefix="1" applyNumberFormat="1" applyFont="1" applyBorder="1" applyAlignment="1">
      <alignment vertical="center" wrapText="1"/>
    </xf>
    <xf numFmtId="182" fontId="96" fillId="14" borderId="30" xfId="0" applyNumberFormat="1" applyFont="1" applyFill="1" applyBorder="1" applyAlignment="1">
      <alignment horizontal="left" vertical="center"/>
    </xf>
    <xf numFmtId="182" fontId="96" fillId="14" borderId="28" xfId="0" applyNumberFormat="1" applyFont="1" applyFill="1" applyBorder="1" applyAlignment="1">
      <alignment horizontal="left" vertical="center"/>
    </xf>
    <xf numFmtId="0" fontId="81" fillId="0" borderId="45" xfId="0" applyFont="1" applyBorder="1" applyAlignment="1">
      <alignment horizontal="left" vertical="center" wrapText="1"/>
    </xf>
    <xf numFmtId="181" fontId="96" fillId="4" borderId="175" xfId="8" applyNumberFormat="1" applyFont="1" applyFill="1" applyBorder="1" applyAlignment="1">
      <alignment horizontal="right" vertical="center" wrapText="1"/>
    </xf>
    <xf numFmtId="181" fontId="96" fillId="4" borderId="52" xfId="8" applyNumberFormat="1" applyFont="1" applyFill="1" applyBorder="1" applyAlignment="1">
      <alignment horizontal="right" vertical="center" wrapText="1"/>
    </xf>
    <xf numFmtId="181" fontId="96" fillId="4" borderId="175" xfId="1" applyNumberFormat="1" applyFont="1" applyFill="1" applyBorder="1" applyAlignment="1">
      <alignment horizontal="right" vertical="center" wrapText="1"/>
    </xf>
    <xf numFmtId="181" fontId="96" fillId="4" borderId="38" xfId="1" quotePrefix="1" applyNumberFormat="1" applyFont="1" applyFill="1" applyBorder="1" applyAlignment="1">
      <alignment horizontal="right" vertical="center" wrapText="1"/>
    </xf>
    <xf numFmtId="181" fontId="96" fillId="4" borderId="175" xfId="8" quotePrefix="1" applyNumberFormat="1" applyFont="1" applyFill="1" applyBorder="1" applyAlignment="1">
      <alignment horizontal="right" vertical="center" wrapText="1"/>
    </xf>
    <xf numFmtId="182" fontId="96" fillId="18" borderId="175" xfId="1" applyNumberFormat="1" applyFont="1" applyFill="1" applyBorder="1" applyAlignment="1">
      <alignment vertical="center" wrapText="1"/>
    </xf>
    <xf numFmtId="182" fontId="96" fillId="18" borderId="38" xfId="1" applyNumberFormat="1" applyFont="1" applyFill="1" applyBorder="1" applyAlignment="1">
      <alignment vertical="center" wrapText="1"/>
    </xf>
    <xf numFmtId="0" fontId="81" fillId="3" borderId="43" xfId="0" quotePrefix="1" applyFont="1" applyFill="1" applyBorder="1" applyAlignment="1">
      <alignment horizontal="center" vertical="center"/>
    </xf>
    <xf numFmtId="0" fontId="81" fillId="35" borderId="79" xfId="0" applyFont="1" applyFill="1" applyBorder="1" applyAlignment="1">
      <alignment horizontal="center" vertical="center"/>
    </xf>
    <xf numFmtId="177" fontId="80" fillId="52" borderId="43" xfId="0" quotePrefix="1" applyNumberFormat="1" applyFont="1" applyFill="1" applyBorder="1" applyAlignment="1">
      <alignment horizontal="center" vertical="center"/>
    </xf>
    <xf numFmtId="0" fontId="81" fillId="3" borderId="42" xfId="0" quotePrefix="1" applyFont="1" applyFill="1" applyBorder="1" applyAlignment="1">
      <alignment horizontal="center" vertical="center"/>
    </xf>
    <xf numFmtId="182" fontId="96" fillId="4" borderId="175" xfId="8" applyNumberFormat="1" applyFont="1" applyFill="1" applyBorder="1" applyAlignment="1">
      <alignment vertical="center" wrapText="1"/>
    </xf>
    <xf numFmtId="0" fontId="80" fillId="14" borderId="28" xfId="0" applyFont="1" applyFill="1" applyBorder="1" applyAlignment="1">
      <alignment horizontal="left" vertical="top"/>
    </xf>
    <xf numFmtId="3" fontId="81" fillId="48" borderId="77" xfId="0" quotePrefix="1" applyNumberFormat="1" applyFont="1" applyFill="1" applyBorder="1" applyAlignment="1">
      <alignment horizontal="center" vertical="center"/>
    </xf>
    <xf numFmtId="181" fontId="96" fillId="4" borderId="80" xfId="1" quotePrefix="1" applyNumberFormat="1" applyFont="1" applyFill="1" applyBorder="1" applyAlignment="1">
      <alignment horizontal="right" vertical="center" wrapText="1"/>
    </xf>
    <xf numFmtId="181" fontId="96" fillId="4" borderId="37" xfId="1" quotePrefix="1" applyNumberFormat="1" applyFont="1" applyFill="1" applyBorder="1" applyAlignment="1">
      <alignment horizontal="right" vertical="center" wrapText="1"/>
    </xf>
    <xf numFmtId="181" fontId="97" fillId="4" borderId="374" xfId="1" quotePrefix="1" applyNumberFormat="1" applyFont="1" applyFill="1" applyBorder="1" applyAlignment="1">
      <alignment horizontal="right" vertical="center" wrapText="1"/>
    </xf>
    <xf numFmtId="3" fontId="81" fillId="15" borderId="43" xfId="0" quotePrefix="1" applyNumberFormat="1" applyFont="1" applyFill="1" applyBorder="1" applyAlignment="1">
      <alignment horizontal="center" vertical="center"/>
    </xf>
    <xf numFmtId="3" fontId="81" fillId="48" borderId="43" xfId="0" quotePrefix="1" applyNumberFormat="1" applyFont="1" applyFill="1" applyBorder="1" applyAlignment="1">
      <alignment horizontal="center" vertical="center"/>
    </xf>
    <xf numFmtId="181" fontId="96" fillId="4" borderId="175" xfId="1" applyNumberFormat="1" applyFont="1" applyFill="1" applyBorder="1" applyAlignment="1">
      <alignment vertical="center" wrapText="1"/>
    </xf>
    <xf numFmtId="182" fontId="96" fillId="4" borderId="175" xfId="8" quotePrefix="1" applyNumberFormat="1" applyFont="1" applyFill="1" applyBorder="1" applyAlignment="1">
      <alignment horizontal="right" vertical="center" wrapText="1"/>
    </xf>
    <xf numFmtId="3" fontId="81" fillId="0" borderId="43" xfId="0" applyNumberFormat="1" applyFont="1" applyBorder="1" applyAlignment="1">
      <alignment horizontal="center" vertical="center"/>
    </xf>
    <xf numFmtId="0" fontId="96" fillId="3" borderId="43" xfId="0" applyFont="1" applyFill="1" applyBorder="1" applyAlignment="1">
      <alignment horizontal="center" vertical="center"/>
    </xf>
    <xf numFmtId="0" fontId="90" fillId="0" borderId="0" xfId="0" applyFont="1">
      <alignment vertical="center"/>
    </xf>
    <xf numFmtId="0" fontId="90" fillId="17" borderId="59" xfId="0" applyFont="1" applyFill="1" applyBorder="1" applyAlignment="1">
      <alignment horizontal="center" vertical="center"/>
    </xf>
    <xf numFmtId="181" fontId="96" fillId="4" borderId="175" xfId="0" applyNumberFormat="1" applyFont="1" applyFill="1" applyBorder="1" applyAlignment="1">
      <alignment horizontal="right" vertical="center" wrapText="1"/>
    </xf>
    <xf numFmtId="0" fontId="81" fillId="17" borderId="59" xfId="0" quotePrefix="1" applyFont="1" applyFill="1" applyBorder="1" applyAlignment="1">
      <alignment horizontal="center" vertical="center"/>
    </xf>
    <xf numFmtId="177" fontId="81" fillId="0" borderId="312" xfId="0" quotePrefix="1" applyNumberFormat="1" applyFont="1" applyBorder="1" applyAlignment="1">
      <alignment horizontal="center" vertical="center"/>
    </xf>
    <xf numFmtId="177" fontId="81" fillId="0" borderId="345" xfId="0" quotePrefix="1" applyNumberFormat="1" applyFont="1" applyBorder="1" applyAlignment="1">
      <alignment horizontal="center" vertical="center"/>
    </xf>
    <xf numFmtId="182" fontId="96" fillId="4" borderId="176" xfId="1" quotePrefix="1" applyNumberFormat="1" applyFont="1" applyFill="1" applyBorder="1" applyAlignment="1">
      <alignment horizontal="right" vertical="center" wrapText="1"/>
    </xf>
    <xf numFmtId="182" fontId="96" fillId="4" borderId="37" xfId="1" quotePrefix="1" applyNumberFormat="1" applyFont="1" applyFill="1" applyBorder="1" applyAlignment="1">
      <alignment horizontal="right" vertical="center" wrapText="1"/>
    </xf>
    <xf numFmtId="182" fontId="96" fillId="4" borderId="37" xfId="8" applyNumberFormat="1" applyFont="1" applyFill="1" applyBorder="1" applyAlignment="1">
      <alignment horizontal="right" vertical="center" wrapText="1"/>
    </xf>
    <xf numFmtId="181" fontId="81" fillId="4" borderId="175" xfId="8" applyNumberFormat="1" applyFont="1" applyFill="1" applyBorder="1" applyAlignment="1">
      <alignment vertical="center" wrapText="1"/>
    </xf>
    <xf numFmtId="181" fontId="81" fillId="4" borderId="175" xfId="0" applyNumberFormat="1" applyFont="1" applyFill="1" applyBorder="1" applyAlignment="1">
      <alignment vertical="center" wrapText="1"/>
    </xf>
    <xf numFmtId="181" fontId="81" fillId="4" borderId="175" xfId="8" applyNumberFormat="1" applyFont="1" applyFill="1" applyBorder="1" applyAlignment="1">
      <alignment horizontal="right" vertical="center" wrapText="1"/>
    </xf>
    <xf numFmtId="181" fontId="96" fillId="48" borderId="80" xfId="1" applyNumberFormat="1" applyFont="1" applyFill="1" applyBorder="1" applyAlignment="1">
      <alignment horizontal="right" vertical="center" wrapText="1"/>
    </xf>
    <xf numFmtId="181" fontId="81" fillId="4" borderId="175" xfId="1" applyNumberFormat="1" applyFont="1" applyFill="1" applyBorder="1" applyAlignment="1">
      <alignment vertical="center" wrapText="1"/>
    </xf>
    <xf numFmtId="181" fontId="81" fillId="4" borderId="175" xfId="1" applyNumberFormat="1" applyFont="1" applyFill="1" applyBorder="1" applyAlignment="1">
      <alignment horizontal="right" vertical="center" wrapText="1"/>
    </xf>
    <xf numFmtId="182" fontId="81" fillId="4" borderId="175" xfId="1" applyNumberFormat="1" applyFont="1" applyFill="1" applyBorder="1" applyAlignment="1">
      <alignment vertical="center" wrapText="1"/>
    </xf>
    <xf numFmtId="181" fontId="96" fillId="4" borderId="176" xfId="8" applyNumberFormat="1" applyFont="1" applyFill="1" applyBorder="1" applyAlignment="1">
      <alignment horizontal="right" vertical="center" wrapText="1"/>
    </xf>
    <xf numFmtId="181" fontId="96" fillId="4" borderId="37" xfId="8" applyNumberFormat="1" applyFont="1" applyFill="1" applyBorder="1" applyAlignment="1">
      <alignment horizontal="right" vertical="center" wrapText="1"/>
    </xf>
    <xf numFmtId="181" fontId="96" fillId="4" borderId="37" xfId="8" quotePrefix="1" applyNumberFormat="1" applyFont="1" applyFill="1" applyBorder="1" applyAlignment="1">
      <alignment horizontal="right" vertical="center" wrapText="1"/>
    </xf>
    <xf numFmtId="0" fontId="81" fillId="60" borderId="43" xfId="0" applyFont="1" applyFill="1" applyBorder="1" applyAlignment="1">
      <alignment horizontal="center" vertical="center"/>
    </xf>
    <xf numFmtId="182" fontId="96" fillId="60" borderId="175" xfId="1" quotePrefix="1" applyNumberFormat="1" applyFont="1" applyFill="1" applyBorder="1" applyAlignment="1">
      <alignment horizontal="right" vertical="center" wrapText="1"/>
    </xf>
    <xf numFmtId="182" fontId="96" fillId="60" borderId="37" xfId="1" quotePrefix="1" applyNumberFormat="1" applyFont="1" applyFill="1" applyBorder="1" applyAlignment="1">
      <alignment horizontal="right" vertical="center" wrapText="1"/>
    </xf>
    <xf numFmtId="182" fontId="96" fillId="4" borderId="176" xfId="8" applyNumberFormat="1" applyFont="1" applyFill="1" applyBorder="1" applyAlignment="1">
      <alignment horizontal="right" vertical="center" wrapText="1"/>
    </xf>
    <xf numFmtId="0" fontId="81" fillId="17" borderId="100" xfId="0" applyFont="1" applyFill="1" applyBorder="1" applyAlignment="1">
      <alignment horizontal="center" vertical="center"/>
    </xf>
    <xf numFmtId="0" fontId="81" fillId="17" borderId="359" xfId="0" applyFont="1" applyFill="1" applyBorder="1" applyAlignment="1">
      <alignment horizontal="center" vertical="center"/>
    </xf>
    <xf numFmtId="0" fontId="81" fillId="48" borderId="42" xfId="0" applyFont="1" applyFill="1" applyBorder="1" applyAlignment="1">
      <alignment horizontal="center" vertical="center"/>
    </xf>
    <xf numFmtId="181" fontId="96" fillId="4" borderId="176" xfId="1" quotePrefix="1" applyNumberFormat="1" applyFont="1" applyFill="1" applyBorder="1" applyAlignment="1">
      <alignment horizontal="right" vertical="center" wrapText="1"/>
    </xf>
    <xf numFmtId="181" fontId="96" fillId="4" borderId="45" xfId="0" applyNumberFormat="1" applyFont="1" applyFill="1" applyBorder="1" applyAlignment="1">
      <alignment vertical="center" wrapText="1"/>
    </xf>
    <xf numFmtId="181" fontId="97" fillId="4" borderId="295" xfId="0" applyNumberFormat="1" applyFont="1" applyFill="1" applyBorder="1" applyAlignment="1">
      <alignment vertical="center" wrapText="1"/>
    </xf>
    <xf numFmtId="182" fontId="96" fillId="4" borderId="175" xfId="8" applyNumberFormat="1" applyFont="1" applyFill="1" applyBorder="1" applyAlignment="1">
      <alignment horizontal="right" vertical="center" wrapText="1"/>
    </xf>
    <xf numFmtId="0" fontId="81" fillId="0" borderId="45" xfId="0" quotePrefix="1" applyFont="1" applyBorder="1" applyAlignment="1">
      <alignment horizontal="left" vertical="center"/>
    </xf>
    <xf numFmtId="0" fontId="81" fillId="0" borderId="57" xfId="0" quotePrefix="1" applyFont="1" applyBorder="1" applyAlignment="1">
      <alignment horizontal="left" vertical="center"/>
    </xf>
    <xf numFmtId="177" fontId="81" fillId="48" borderId="34" xfId="0" quotePrefix="1" applyNumberFormat="1" applyFont="1" applyFill="1" applyBorder="1" applyAlignment="1">
      <alignment horizontal="center" vertical="center"/>
    </xf>
    <xf numFmtId="177" fontId="81" fillId="15" borderId="34" xfId="0" quotePrefix="1" applyNumberFormat="1" applyFont="1" applyFill="1" applyBorder="1" applyAlignment="1">
      <alignment horizontal="center" vertical="center"/>
    </xf>
    <xf numFmtId="181" fontId="96" fillId="48" borderId="176" xfId="1" applyNumberFormat="1" applyFont="1" applyFill="1" applyBorder="1" applyAlignment="1">
      <alignment horizontal="right" vertical="center" wrapText="1"/>
    </xf>
    <xf numFmtId="181" fontId="96" fillId="48" borderId="43" xfId="0" applyNumberFormat="1" applyFont="1" applyFill="1" applyBorder="1" applyAlignment="1">
      <alignment horizontal="right" vertical="center" wrapText="1"/>
    </xf>
    <xf numFmtId="197" fontId="96" fillId="4" borderId="175" xfId="0" applyNumberFormat="1" applyFont="1" applyFill="1" applyBorder="1" applyAlignment="1">
      <alignment vertical="center" wrapText="1"/>
    </xf>
    <xf numFmtId="0" fontId="81" fillId="3" borderId="31" xfId="0" applyFont="1" applyFill="1" applyBorder="1" applyAlignment="1">
      <alignment horizontal="center" vertical="top"/>
    </xf>
    <xf numFmtId="182" fontId="96" fillId="48" borderId="176" xfId="1" applyNumberFormat="1" applyFont="1" applyFill="1" applyBorder="1" applyAlignment="1">
      <alignment horizontal="right" vertical="center" wrapText="1"/>
    </xf>
    <xf numFmtId="182" fontId="96" fillId="48" borderId="37" xfId="1" applyNumberFormat="1" applyFont="1" applyFill="1" applyBorder="1" applyAlignment="1">
      <alignment horizontal="right" vertical="center" wrapText="1"/>
    </xf>
    <xf numFmtId="177" fontId="81" fillId="48" borderId="49" xfId="0" quotePrefix="1" applyNumberFormat="1" applyFont="1" applyFill="1" applyBorder="1" applyAlignment="1">
      <alignment horizontal="center" vertical="center"/>
    </xf>
    <xf numFmtId="0" fontId="81" fillId="17" borderId="387" xfId="0" applyFont="1" applyFill="1" applyBorder="1" applyAlignment="1">
      <alignment horizontal="center" vertical="center"/>
    </xf>
    <xf numFmtId="0" fontId="81" fillId="17" borderId="384" xfId="0" applyFont="1" applyFill="1" applyBorder="1" applyAlignment="1">
      <alignment horizontal="center" vertical="center"/>
    </xf>
    <xf numFmtId="182" fontId="97" fillId="64" borderId="175" xfId="8" applyNumberFormat="1" applyFont="1" applyFill="1" applyBorder="1" applyAlignment="1">
      <alignment vertical="center" wrapText="1"/>
    </xf>
    <xf numFmtId="0" fontId="81" fillId="3" borderId="42" xfId="0" quotePrefix="1" applyFont="1" applyFill="1" applyBorder="1" applyAlignment="1">
      <alignment vertical="center" wrapText="1"/>
    </xf>
    <xf numFmtId="0" fontId="96" fillId="0" borderId="45" xfId="0" quotePrefix="1" applyFont="1" applyBorder="1" applyAlignment="1">
      <alignment vertical="center" wrapText="1"/>
    </xf>
    <xf numFmtId="0" fontId="96" fillId="0" borderId="57" xfId="0" quotePrefix="1" applyFont="1" applyBorder="1" applyAlignment="1">
      <alignment vertical="center" wrapText="1"/>
    </xf>
    <xf numFmtId="0" fontId="96" fillId="0" borderId="82" xfId="0" quotePrefix="1" applyFont="1" applyBorder="1" applyAlignment="1">
      <alignment vertical="center" wrapText="1"/>
    </xf>
    <xf numFmtId="0" fontId="81" fillId="3" borderId="52" xfId="0" applyFont="1" applyFill="1" applyBorder="1" applyAlignment="1">
      <alignment horizontal="center" vertical="center"/>
    </xf>
    <xf numFmtId="0" fontId="81" fillId="0" borderId="320" xfId="0" applyFont="1" applyBorder="1" applyAlignment="1">
      <alignment horizontal="center" vertical="center"/>
    </xf>
    <xf numFmtId="182" fontId="96" fillId="4" borderId="174" xfId="0" quotePrefix="1" applyNumberFormat="1" applyFont="1" applyFill="1" applyBorder="1" applyAlignment="1">
      <alignment horizontal="right" vertical="center" wrapText="1"/>
    </xf>
    <xf numFmtId="0" fontId="81" fillId="0" borderId="298" xfId="0" applyFont="1" applyBorder="1" applyAlignment="1">
      <alignment horizontal="center" vertical="center"/>
    </xf>
    <xf numFmtId="0" fontId="80" fillId="48" borderId="38" xfId="0" applyFont="1" applyFill="1" applyBorder="1" applyAlignment="1">
      <alignment horizontal="left" vertical="center"/>
    </xf>
    <xf numFmtId="182" fontId="97" fillId="48" borderId="368" xfId="1" quotePrefix="1" applyNumberFormat="1" applyFont="1" applyFill="1" applyBorder="1" applyAlignment="1">
      <alignment horizontal="right" vertical="center" wrapText="1"/>
    </xf>
    <xf numFmtId="0" fontId="81" fillId="0" borderId="222" xfId="0" applyFont="1" applyBorder="1" applyAlignment="1">
      <alignment horizontal="center" vertical="center"/>
    </xf>
    <xf numFmtId="0" fontId="96" fillId="0" borderId="53" xfId="0" quotePrefix="1" applyFont="1" applyBorder="1" applyAlignment="1">
      <alignment vertical="center" wrapText="1"/>
    </xf>
    <xf numFmtId="0" fontId="96" fillId="0" borderId="95" xfId="0" quotePrefix="1" applyFont="1" applyBorder="1" applyAlignment="1">
      <alignment vertical="center" wrapText="1"/>
    </xf>
    <xf numFmtId="0" fontId="81" fillId="3" borderId="236" xfId="0" applyFont="1" applyFill="1" applyBorder="1" applyAlignment="1">
      <alignment horizontal="center" vertical="center"/>
    </xf>
    <xf numFmtId="182" fontId="96" fillId="4" borderId="371" xfId="0" quotePrefix="1" applyNumberFormat="1" applyFont="1" applyFill="1" applyBorder="1" applyAlignment="1">
      <alignment horizontal="right" vertical="center" wrapText="1"/>
    </xf>
    <xf numFmtId="0" fontId="81" fillId="17" borderId="122" xfId="0" applyFont="1" applyFill="1" applyBorder="1" applyAlignment="1">
      <alignment horizontal="center" vertical="center"/>
    </xf>
    <xf numFmtId="0" fontId="81" fillId="17" borderId="393" xfId="0" applyFont="1" applyFill="1" applyBorder="1" applyAlignment="1">
      <alignment horizontal="center" vertical="center"/>
    </xf>
    <xf numFmtId="181" fontId="96" fillId="14" borderId="30" xfId="0" applyNumberFormat="1" applyFont="1" applyFill="1" applyBorder="1" applyAlignment="1">
      <alignment horizontal="right" vertical="center"/>
    </xf>
    <xf numFmtId="181" fontId="96" fillId="14" borderId="28" xfId="0" applyNumberFormat="1" applyFont="1" applyFill="1" applyBorder="1" applyAlignment="1">
      <alignment horizontal="right" vertical="center"/>
    </xf>
    <xf numFmtId="0" fontId="88" fillId="14" borderId="355" xfId="0" applyFont="1" applyFill="1" applyBorder="1" applyAlignment="1">
      <alignment horizontal="center" vertical="center"/>
    </xf>
    <xf numFmtId="181" fontId="97" fillId="4" borderId="370" xfId="0" applyNumberFormat="1" applyFont="1" applyFill="1" applyBorder="1" applyAlignment="1">
      <alignment vertical="center" wrapText="1"/>
    </xf>
    <xf numFmtId="181" fontId="96" fillId="4" borderId="38" xfId="0" applyNumberFormat="1" applyFont="1" applyFill="1" applyBorder="1" applyAlignment="1">
      <alignment horizontal="right" vertical="center" wrapText="1"/>
    </xf>
    <xf numFmtId="181" fontId="97" fillId="48" borderId="368" xfId="1" quotePrefix="1" applyNumberFormat="1" applyFont="1" applyFill="1" applyBorder="1" applyAlignment="1">
      <alignment horizontal="right" vertical="center" wrapText="1"/>
    </xf>
    <xf numFmtId="182" fontId="96" fillId="4" borderId="38" xfId="8" quotePrefix="1" applyNumberFormat="1" applyFont="1" applyFill="1" applyBorder="1" applyAlignment="1">
      <alignment horizontal="right" vertical="center" wrapText="1"/>
    </xf>
    <xf numFmtId="177" fontId="81" fillId="0" borderId="275" xfId="0" applyNumberFormat="1" applyFont="1" applyBorder="1" applyAlignment="1">
      <alignment horizontal="center" vertical="center"/>
    </xf>
    <xf numFmtId="0" fontId="81" fillId="17" borderId="350" xfId="0" applyFont="1" applyFill="1" applyBorder="1" applyAlignment="1">
      <alignment horizontal="center" vertical="center"/>
    </xf>
    <xf numFmtId="0" fontId="83" fillId="66" borderId="0" xfId="0" applyFont="1" applyFill="1" applyAlignment="1">
      <alignment horizontal="center" vertical="center" wrapText="1"/>
    </xf>
    <xf numFmtId="0" fontId="84" fillId="66" borderId="0" xfId="0" applyFont="1" applyFill="1" applyAlignment="1">
      <alignment horizontal="center" vertical="center" wrapText="1"/>
    </xf>
    <xf numFmtId="181" fontId="84" fillId="66" borderId="0" xfId="0" applyNumberFormat="1" applyFont="1" applyFill="1" applyAlignment="1">
      <alignment vertical="center" wrapText="1"/>
    </xf>
    <xf numFmtId="3" fontId="84" fillId="66" borderId="0" xfId="0" applyNumberFormat="1" applyFont="1" applyFill="1" applyAlignment="1">
      <alignment horizontal="left" vertical="center" wrapText="1"/>
    </xf>
    <xf numFmtId="0" fontId="83" fillId="66" borderId="0" xfId="0" applyFont="1" applyFill="1" applyAlignment="1">
      <alignment horizontal="center" vertical="center"/>
    </xf>
    <xf numFmtId="0" fontId="86" fillId="66" borderId="0" xfId="0" applyFont="1" applyFill="1" applyAlignment="1">
      <alignment horizontal="left" vertical="center"/>
    </xf>
    <xf numFmtId="0" fontId="84" fillId="66" borderId="0" xfId="0" applyFont="1" applyFill="1" applyAlignment="1">
      <alignment horizontal="left" vertical="center"/>
    </xf>
    <xf numFmtId="0" fontId="87" fillId="66" borderId="0" xfId="0" applyFont="1" applyFill="1" applyAlignment="1">
      <alignment horizontal="center" vertical="center" wrapText="1"/>
    </xf>
    <xf numFmtId="0" fontId="87" fillId="66" borderId="0" xfId="0" applyFont="1" applyFill="1" applyAlignment="1">
      <alignment horizontal="center" vertical="center"/>
    </xf>
    <xf numFmtId="0" fontId="81" fillId="66" borderId="0" xfId="0" applyFont="1" applyFill="1" applyAlignment="1">
      <alignment horizontal="center" vertical="center"/>
    </xf>
    <xf numFmtId="3" fontId="90" fillId="3" borderId="0" xfId="0" applyNumberFormat="1" applyFont="1" applyFill="1" applyAlignment="1">
      <alignment horizontal="left" vertical="center" wrapText="1"/>
    </xf>
    <xf numFmtId="181" fontId="80" fillId="14" borderId="30" xfId="0" applyNumberFormat="1" applyFont="1" applyFill="1" applyBorder="1" applyAlignment="1">
      <alignment horizontal="left" vertical="center"/>
    </xf>
    <xf numFmtId="181" fontId="80" fillId="14" borderId="28" xfId="0" applyNumberFormat="1" applyFont="1" applyFill="1" applyBorder="1" applyAlignment="1">
      <alignment horizontal="left" vertical="center"/>
    </xf>
    <xf numFmtId="181" fontId="80" fillId="14" borderId="355" xfId="0" applyNumberFormat="1" applyFont="1" applyFill="1" applyBorder="1" applyAlignment="1">
      <alignment horizontal="left" vertical="center"/>
    </xf>
    <xf numFmtId="0" fontId="88" fillId="14" borderId="28" xfId="0" applyFont="1" applyFill="1" applyBorder="1" applyAlignment="1">
      <alignment horizontal="center" vertical="top"/>
    </xf>
    <xf numFmtId="181" fontId="81" fillId="4" borderId="175" xfId="0" quotePrefix="1" applyNumberFormat="1" applyFont="1" applyFill="1" applyBorder="1" applyAlignment="1">
      <alignment horizontal="right" vertical="center" wrapText="1"/>
    </xf>
    <xf numFmtId="181" fontId="81" fillId="4" borderId="38" xfId="0" applyNumberFormat="1" applyFont="1" applyFill="1" applyBorder="1" applyAlignment="1">
      <alignment horizontal="right" vertical="center" wrapText="1"/>
    </xf>
    <xf numFmtId="181" fontId="97" fillId="4" borderId="368" xfId="1" applyNumberFormat="1" applyFont="1" applyFill="1" applyBorder="1" applyAlignment="1">
      <alignment horizontal="right" vertical="center" wrapText="1"/>
    </xf>
    <xf numFmtId="177" fontId="81" fillId="49" borderId="43" xfId="0" quotePrefix="1" applyNumberFormat="1" applyFont="1" applyFill="1" applyBorder="1" applyAlignment="1">
      <alignment horizontal="center" vertical="center"/>
    </xf>
    <xf numFmtId="181" fontId="96" fillId="48" borderId="38" xfId="1" quotePrefix="1" applyNumberFormat="1" applyFont="1" applyFill="1" applyBorder="1" applyAlignment="1">
      <alignment horizontal="right" vertical="center" wrapText="1"/>
    </xf>
    <xf numFmtId="181" fontId="96" fillId="4" borderId="176" xfId="1" applyNumberFormat="1" applyFont="1" applyFill="1" applyBorder="1" applyAlignment="1">
      <alignment horizontal="right" vertical="center" wrapText="1"/>
    </xf>
    <xf numFmtId="181" fontId="96" fillId="4" borderId="38" xfId="1" applyNumberFormat="1" applyFont="1" applyFill="1" applyBorder="1" applyAlignment="1">
      <alignment horizontal="right" vertical="center" wrapText="1"/>
    </xf>
    <xf numFmtId="181" fontId="96" fillId="48" borderId="38" xfId="1" applyNumberFormat="1" applyFont="1" applyFill="1" applyBorder="1" applyAlignment="1">
      <alignment horizontal="right" vertical="center" wrapText="1"/>
    </xf>
    <xf numFmtId="181" fontId="97" fillId="48" borderId="379" xfId="1" applyNumberFormat="1" applyFont="1" applyFill="1" applyBorder="1" applyAlignment="1">
      <alignment horizontal="right" vertical="center" wrapText="1"/>
    </xf>
    <xf numFmtId="181" fontId="97" fillId="4" borderId="379" xfId="1" applyNumberFormat="1" applyFont="1" applyFill="1" applyBorder="1" applyAlignment="1">
      <alignment horizontal="right" vertical="center" wrapText="1"/>
    </xf>
    <xf numFmtId="181" fontId="97" fillId="4" borderId="295" xfId="1" quotePrefix="1" applyNumberFormat="1" applyFont="1" applyFill="1" applyBorder="1" applyAlignment="1">
      <alignment horizontal="right" vertical="center" wrapText="1"/>
    </xf>
    <xf numFmtId="0" fontId="81" fillId="0" borderId="43" xfId="0" quotePrefix="1" applyFont="1" applyBorder="1" applyAlignment="1">
      <alignment horizontal="center" vertical="center"/>
    </xf>
    <xf numFmtId="181" fontId="81" fillId="4" borderId="38" xfId="0" applyNumberFormat="1" applyFont="1" applyFill="1" applyBorder="1" applyAlignment="1">
      <alignment vertical="center" wrapText="1"/>
    </xf>
    <xf numFmtId="181" fontId="81" fillId="4" borderId="175" xfId="0" applyNumberFormat="1" applyFont="1" applyFill="1" applyBorder="1" applyAlignment="1">
      <alignment horizontal="right" vertical="center" wrapText="1"/>
    </xf>
    <xf numFmtId="181" fontId="97" fillId="48" borderId="176" xfId="1" quotePrefix="1" applyNumberFormat="1" applyFont="1" applyFill="1" applyBorder="1" applyAlignment="1">
      <alignment horizontal="right" vertical="center" wrapText="1"/>
    </xf>
    <xf numFmtId="181" fontId="97" fillId="48" borderId="38" xfId="1" quotePrefix="1" applyNumberFormat="1" applyFont="1" applyFill="1" applyBorder="1" applyAlignment="1">
      <alignment horizontal="right" vertical="center" wrapText="1"/>
    </xf>
    <xf numFmtId="177" fontId="81" fillId="15" borderId="42" xfId="0" applyNumberFormat="1" applyFont="1" applyFill="1" applyBorder="1">
      <alignment vertical="center"/>
    </xf>
    <xf numFmtId="177" fontId="81" fillId="15" borderId="42" xfId="0" quotePrefix="1" applyNumberFormat="1" applyFont="1" applyFill="1" applyBorder="1">
      <alignment vertical="center"/>
    </xf>
    <xf numFmtId="181" fontId="97" fillId="4" borderId="368" xfId="0" applyNumberFormat="1" applyFont="1" applyFill="1" applyBorder="1" applyAlignment="1">
      <alignment horizontal="right" vertical="center" wrapText="1"/>
    </xf>
    <xf numFmtId="177" fontId="81" fillId="49" borderId="34" xfId="0" quotePrefix="1" applyNumberFormat="1" applyFont="1" applyFill="1" applyBorder="1" applyAlignment="1">
      <alignment horizontal="center" vertical="center"/>
    </xf>
    <xf numFmtId="181" fontId="81" fillId="4" borderId="176" xfId="1" quotePrefix="1" applyNumberFormat="1" applyFont="1" applyFill="1" applyBorder="1" applyAlignment="1">
      <alignment horizontal="right" vertical="center" wrapText="1"/>
    </xf>
    <xf numFmtId="181" fontId="81" fillId="4" borderId="37" xfId="1" quotePrefix="1" applyNumberFormat="1" applyFont="1" applyFill="1" applyBorder="1" applyAlignment="1">
      <alignment horizontal="right" vertical="center" wrapText="1"/>
    </xf>
    <xf numFmtId="181" fontId="80" fillId="4" borderId="368" xfId="0" quotePrefix="1" applyNumberFormat="1" applyFont="1" applyFill="1" applyBorder="1" applyAlignment="1">
      <alignment vertical="center" wrapText="1"/>
    </xf>
    <xf numFmtId="181" fontId="96" fillId="4" borderId="175" xfId="1" quotePrefix="1" applyNumberFormat="1" applyFont="1" applyFill="1" applyBorder="1" applyAlignment="1">
      <alignment horizontal="right" vertical="center" wrapText="1"/>
    </xf>
    <xf numFmtId="177" fontId="81" fillId="49" borderId="49" xfId="0" applyNumberFormat="1" applyFont="1" applyFill="1" applyBorder="1" applyAlignment="1">
      <alignment horizontal="center" vertical="center"/>
    </xf>
    <xf numFmtId="181" fontId="96" fillId="49" borderId="176" xfId="1" quotePrefix="1" applyNumberFormat="1" applyFont="1" applyFill="1" applyBorder="1" applyAlignment="1">
      <alignment horizontal="right" vertical="center" wrapText="1"/>
    </xf>
    <xf numFmtId="181" fontId="96" fillId="49" borderId="37" xfId="1" quotePrefix="1" applyNumberFormat="1" applyFont="1" applyFill="1" applyBorder="1" applyAlignment="1">
      <alignment horizontal="right" vertical="center" wrapText="1"/>
    </xf>
    <xf numFmtId="181" fontId="97" fillId="49" borderId="368" xfId="0" quotePrefix="1" applyNumberFormat="1" applyFont="1" applyFill="1" applyBorder="1" applyAlignment="1">
      <alignment horizontal="right" vertical="center" wrapText="1"/>
    </xf>
    <xf numFmtId="181" fontId="96" fillId="4" borderId="37" xfId="1" applyNumberFormat="1" applyFont="1" applyFill="1" applyBorder="1" applyAlignment="1">
      <alignment horizontal="right" vertical="center" wrapText="1"/>
    </xf>
    <xf numFmtId="181" fontId="97" fillId="4" borderId="374" xfId="1" applyNumberFormat="1" applyFont="1" applyFill="1" applyBorder="1" applyAlignment="1">
      <alignment horizontal="right" vertical="center" wrapText="1"/>
    </xf>
    <xf numFmtId="0" fontId="81" fillId="49" borderId="43" xfId="0" quotePrefix="1" applyFont="1" applyFill="1" applyBorder="1" applyAlignment="1">
      <alignment horizontal="center" vertical="center"/>
    </xf>
    <xf numFmtId="0" fontId="81" fillId="49" borderId="43" xfId="0" applyFont="1" applyFill="1" applyBorder="1" applyAlignment="1">
      <alignment horizontal="center" vertical="center"/>
    </xf>
    <xf numFmtId="197" fontId="96" fillId="49" borderId="176" xfId="1" applyNumberFormat="1" applyFont="1" applyFill="1" applyBorder="1" applyAlignment="1">
      <alignment horizontal="right" vertical="center" wrapText="1"/>
    </xf>
    <xf numFmtId="197" fontId="96" fillId="49" borderId="37" xfId="1" applyNumberFormat="1" applyFont="1" applyFill="1" applyBorder="1" applyAlignment="1">
      <alignment horizontal="right" vertical="center" wrapText="1"/>
    </xf>
    <xf numFmtId="197" fontId="97" fillId="49" borderId="368" xfId="0" applyNumberFormat="1" applyFont="1" applyFill="1" applyBorder="1" applyAlignment="1">
      <alignment horizontal="right" vertical="center" wrapText="1"/>
    </xf>
    <xf numFmtId="197" fontId="96" fillId="4" borderId="176" xfId="1" applyNumberFormat="1" applyFont="1" applyFill="1" applyBorder="1" applyAlignment="1">
      <alignment horizontal="right" vertical="center" wrapText="1"/>
    </xf>
    <xf numFmtId="197" fontId="96" fillId="4" borderId="37" xfId="1" applyNumberFormat="1" applyFont="1" applyFill="1" applyBorder="1" applyAlignment="1">
      <alignment horizontal="right" vertical="center" wrapText="1"/>
    </xf>
    <xf numFmtId="197" fontId="97" fillId="4" borderId="368" xfId="0" applyNumberFormat="1" applyFont="1" applyFill="1" applyBorder="1" applyAlignment="1">
      <alignment vertical="center" wrapText="1"/>
    </xf>
    <xf numFmtId="197" fontId="97" fillId="4" borderId="374" xfId="1" applyNumberFormat="1" applyFont="1" applyFill="1" applyBorder="1" applyAlignment="1">
      <alignment horizontal="right" vertical="center" wrapText="1"/>
    </xf>
    <xf numFmtId="177" fontId="81" fillId="63" borderId="34" xfId="0" quotePrefix="1" applyNumberFormat="1" applyFont="1" applyFill="1" applyBorder="1" applyAlignment="1">
      <alignment horizontal="center" vertical="center"/>
    </xf>
    <xf numFmtId="181" fontId="96" fillId="60" borderId="176" xfId="1" quotePrefix="1" applyNumberFormat="1" applyFont="1" applyFill="1" applyBorder="1" applyAlignment="1">
      <alignment horizontal="right" vertical="center" wrapText="1"/>
    </xf>
    <xf numFmtId="181" fontId="96" fillId="60" borderId="37" xfId="1" quotePrefix="1" applyNumberFormat="1" applyFont="1" applyFill="1" applyBorder="1" applyAlignment="1">
      <alignment horizontal="right" vertical="center" wrapText="1"/>
    </xf>
    <xf numFmtId="181" fontId="97" fillId="60" borderId="368" xfId="0" quotePrefix="1" applyNumberFormat="1" applyFont="1" applyFill="1" applyBorder="1" applyAlignment="1">
      <alignment horizontal="right" vertical="center" wrapText="1"/>
    </xf>
    <xf numFmtId="181" fontId="80" fillId="4" borderId="368" xfId="0" applyNumberFormat="1" applyFont="1" applyFill="1" applyBorder="1" applyAlignment="1">
      <alignment vertical="center" wrapText="1"/>
    </xf>
    <xf numFmtId="182" fontId="96" fillId="49" borderId="176" xfId="1" quotePrefix="1" applyNumberFormat="1" applyFont="1" applyFill="1" applyBorder="1" applyAlignment="1">
      <alignment horizontal="right" vertical="center" wrapText="1"/>
    </xf>
    <xf numFmtId="182" fontId="96" fillId="49" borderId="43" xfId="0" quotePrefix="1" applyNumberFormat="1" applyFont="1" applyFill="1" applyBorder="1" applyAlignment="1">
      <alignment horizontal="right" vertical="center" wrapText="1"/>
    </xf>
    <xf numFmtId="182" fontId="97" fillId="49" borderId="368" xfId="0" quotePrefix="1" applyNumberFormat="1" applyFont="1" applyFill="1" applyBorder="1" applyAlignment="1">
      <alignment horizontal="right" vertical="center" wrapText="1"/>
    </xf>
    <xf numFmtId="181" fontId="96" fillId="49" borderId="176" xfId="1" applyNumberFormat="1" applyFont="1" applyFill="1" applyBorder="1" applyAlignment="1">
      <alignment horizontal="right" vertical="center" wrapText="1"/>
    </xf>
    <xf numFmtId="181" fontId="96" fillId="49" borderId="37" xfId="1" applyNumberFormat="1" applyFont="1" applyFill="1" applyBorder="1" applyAlignment="1">
      <alignment horizontal="right" vertical="center" wrapText="1"/>
    </xf>
    <xf numFmtId="181" fontId="97" fillId="49" borderId="368" xfId="0" applyNumberFormat="1" applyFont="1" applyFill="1" applyBorder="1" applyAlignment="1">
      <alignment horizontal="right" vertical="center" wrapText="1"/>
    </xf>
    <xf numFmtId="0" fontId="80" fillId="14" borderId="83" xfId="0" applyFont="1" applyFill="1" applyBorder="1" applyAlignment="1">
      <alignment horizontal="center" vertical="center"/>
    </xf>
    <xf numFmtId="181" fontId="96" fillId="14" borderId="30" xfId="0" applyNumberFormat="1" applyFont="1" applyFill="1" applyBorder="1" applyAlignment="1">
      <alignment vertical="center" wrapText="1"/>
    </xf>
    <xf numFmtId="181" fontId="96" fillId="14" borderId="28" xfId="0" applyNumberFormat="1" applyFont="1" applyFill="1" applyBorder="1" applyAlignment="1">
      <alignment vertical="center" wrapText="1"/>
    </xf>
    <xf numFmtId="181" fontId="97" fillId="14" borderId="355" xfId="0" applyNumberFormat="1" applyFont="1" applyFill="1" applyBorder="1" applyAlignment="1">
      <alignment vertical="center" wrapText="1"/>
    </xf>
    <xf numFmtId="182" fontId="96" fillId="48" borderId="43" xfId="0" quotePrefix="1" applyNumberFormat="1" applyFont="1" applyFill="1" applyBorder="1" applyAlignment="1">
      <alignment horizontal="right" vertical="center" wrapText="1"/>
    </xf>
    <xf numFmtId="177" fontId="96" fillId="48" borderId="43" xfId="0" quotePrefix="1" applyNumberFormat="1" applyFont="1" applyFill="1" applyBorder="1" applyAlignment="1">
      <alignment horizontal="center" vertical="center"/>
    </xf>
    <xf numFmtId="177" fontId="96" fillId="3" borderId="43" xfId="0" quotePrefix="1" applyNumberFormat="1" applyFont="1" applyFill="1" applyBorder="1" applyAlignment="1">
      <alignment horizontal="center" vertical="center"/>
    </xf>
    <xf numFmtId="181" fontId="96" fillId="48" borderId="43" xfId="0" quotePrefix="1" applyNumberFormat="1" applyFont="1" applyFill="1" applyBorder="1" applyAlignment="1">
      <alignment horizontal="right" vertical="center" wrapText="1"/>
    </xf>
    <xf numFmtId="181" fontId="96" fillId="49" borderId="43" xfId="0" quotePrefix="1" applyNumberFormat="1" applyFont="1" applyFill="1" applyBorder="1" applyAlignment="1">
      <alignment horizontal="right" vertical="center" wrapText="1"/>
    </xf>
    <xf numFmtId="182" fontId="96" fillId="48" borderId="43" xfId="0" applyNumberFormat="1" applyFont="1" applyFill="1" applyBorder="1" applyAlignment="1">
      <alignment horizontal="right" vertical="center" wrapText="1"/>
    </xf>
    <xf numFmtId="181" fontId="97" fillId="4" borderId="370" xfId="0" quotePrefix="1" applyNumberFormat="1" applyFont="1" applyFill="1" applyBorder="1" applyAlignment="1">
      <alignment horizontal="right" vertical="center" wrapText="1"/>
    </xf>
    <xf numFmtId="182" fontId="96" fillId="4" borderId="175" xfId="1" quotePrefix="1" applyNumberFormat="1" applyFont="1" applyFill="1" applyBorder="1" applyAlignment="1">
      <alignment horizontal="right" vertical="center" wrapText="1"/>
    </xf>
    <xf numFmtId="181" fontId="96" fillId="4" borderId="381" xfId="1" quotePrefix="1" applyNumberFormat="1" applyFont="1" applyFill="1" applyBorder="1" applyAlignment="1">
      <alignment horizontal="right" vertical="center" wrapText="1"/>
    </xf>
    <xf numFmtId="181" fontId="96" fillId="4" borderId="260" xfId="1" quotePrefix="1" applyNumberFormat="1" applyFont="1" applyFill="1" applyBorder="1" applyAlignment="1">
      <alignment horizontal="right" vertical="center" wrapText="1"/>
    </xf>
    <xf numFmtId="181" fontId="97" fillId="4" borderId="382" xfId="1" quotePrefix="1" applyNumberFormat="1" applyFont="1" applyFill="1" applyBorder="1" applyAlignment="1">
      <alignment horizontal="right" vertical="center" wrapText="1"/>
    </xf>
    <xf numFmtId="0" fontId="83" fillId="65" borderId="0" xfId="0" applyFont="1" applyFill="1" applyAlignment="1">
      <alignment horizontal="center" vertical="center" wrapText="1"/>
    </xf>
    <xf numFmtId="0" fontId="84" fillId="65" borderId="0" xfId="0" applyFont="1" applyFill="1" applyAlignment="1">
      <alignment horizontal="center" vertical="center" wrapText="1"/>
    </xf>
    <xf numFmtId="0" fontId="84" fillId="65" borderId="0" xfId="0" applyFont="1" applyFill="1" applyAlignment="1">
      <alignment vertical="top"/>
    </xf>
    <xf numFmtId="0" fontId="84" fillId="65" borderId="0" xfId="0" applyFont="1" applyFill="1" applyAlignment="1">
      <alignment vertical="top" wrapText="1"/>
    </xf>
    <xf numFmtId="181" fontId="84" fillId="65" borderId="0" xfId="0" applyNumberFormat="1" applyFont="1" applyFill="1" applyAlignment="1">
      <alignment vertical="center" wrapText="1"/>
    </xf>
    <xf numFmtId="3" fontId="84" fillId="65" borderId="0" xfId="0" applyNumberFormat="1" applyFont="1" applyFill="1" applyAlignment="1">
      <alignment horizontal="left" vertical="center" wrapText="1"/>
    </xf>
    <xf numFmtId="0" fontId="83" fillId="65" borderId="0" xfId="0" applyFont="1" applyFill="1" applyAlignment="1">
      <alignment horizontal="center" vertical="center"/>
    </xf>
    <xf numFmtId="0" fontId="86" fillId="65" borderId="0" xfId="0" applyFont="1" applyFill="1" applyAlignment="1">
      <alignment horizontal="left" vertical="center"/>
    </xf>
    <xf numFmtId="0" fontId="84" fillId="65" borderId="0" xfId="0" applyFont="1" applyFill="1" applyAlignment="1">
      <alignment horizontal="left" vertical="center"/>
    </xf>
    <xf numFmtId="0" fontId="87" fillId="65" borderId="0" xfId="0" applyFont="1" applyFill="1" applyAlignment="1">
      <alignment horizontal="center" vertical="center" wrapText="1"/>
    </xf>
    <xf numFmtId="0" fontId="87" fillId="65" borderId="0" xfId="0" applyFont="1" applyFill="1" applyAlignment="1">
      <alignment horizontal="center" vertical="center"/>
    </xf>
    <xf numFmtId="0" fontId="81" fillId="65" borderId="0" xfId="0" applyFont="1" applyFill="1">
      <alignment vertical="center"/>
    </xf>
    <xf numFmtId="0" fontId="81" fillId="65" borderId="0" xfId="0" applyFont="1" applyFill="1" applyAlignment="1">
      <alignment horizontal="center" vertical="center"/>
    </xf>
    <xf numFmtId="181" fontId="84" fillId="61" borderId="333" xfId="0" applyNumberFormat="1" applyFont="1" applyFill="1" applyBorder="1" applyAlignment="1">
      <alignment horizontal="center" vertical="center" wrapText="1"/>
    </xf>
    <xf numFmtId="0" fontId="95" fillId="11" borderId="244" xfId="0" applyFont="1" applyFill="1" applyBorder="1" applyAlignment="1">
      <alignment horizontal="left" vertical="center"/>
    </xf>
    <xf numFmtId="0" fontId="80" fillId="11" borderId="245" xfId="0" applyFont="1" applyFill="1" applyBorder="1" applyAlignment="1">
      <alignment horizontal="left" vertical="center"/>
    </xf>
    <xf numFmtId="0" fontId="80" fillId="12" borderId="245" xfId="0" applyFont="1" applyFill="1" applyBorder="1" applyAlignment="1">
      <alignment horizontal="center" vertical="center"/>
    </xf>
    <xf numFmtId="0" fontId="95" fillId="11" borderId="245" xfId="0" applyFont="1" applyFill="1" applyBorder="1" applyAlignment="1">
      <alignment horizontal="left" vertical="center"/>
    </xf>
    <xf numFmtId="181" fontId="80" fillId="12" borderId="244" xfId="0" applyNumberFormat="1" applyFont="1" applyFill="1" applyBorder="1" applyAlignment="1">
      <alignment horizontal="center" vertical="center"/>
    </xf>
    <xf numFmtId="181" fontId="80" fillId="12" borderId="245" xfId="0" applyNumberFormat="1" applyFont="1" applyFill="1" applyBorder="1" applyAlignment="1">
      <alignment horizontal="center" vertical="center"/>
    </xf>
    <xf numFmtId="181" fontId="80" fillId="12" borderId="386" xfId="0" applyNumberFormat="1" applyFont="1" applyFill="1" applyBorder="1" applyAlignment="1">
      <alignment horizontal="center" vertical="center"/>
    </xf>
    <xf numFmtId="0" fontId="89" fillId="13" borderId="245" xfId="2" applyFont="1" applyFill="1" applyBorder="1" applyAlignment="1">
      <alignment horizontal="center" vertical="center" wrapText="1"/>
    </xf>
    <xf numFmtId="0" fontId="89" fillId="13" borderId="386" xfId="2" applyFont="1" applyFill="1" applyBorder="1" applyAlignment="1">
      <alignment horizontal="center" vertical="center" wrapText="1"/>
    </xf>
    <xf numFmtId="0" fontId="81" fillId="17" borderId="46" xfId="0" applyFont="1" applyFill="1" applyBorder="1" applyAlignment="1">
      <alignment horizontal="center" vertical="top"/>
    </xf>
    <xf numFmtId="3" fontId="81" fillId="48" borderId="42" xfId="0" applyNumberFormat="1" applyFont="1" applyFill="1" applyBorder="1" applyAlignment="1">
      <alignment horizontal="center" vertical="center"/>
    </xf>
    <xf numFmtId="182" fontId="96" fillId="48" borderId="219" xfId="1" quotePrefix="1" applyNumberFormat="1" applyFont="1" applyFill="1" applyBorder="1" applyAlignment="1">
      <alignment horizontal="right" vertical="center" wrapText="1"/>
    </xf>
    <xf numFmtId="181" fontId="96" fillId="4" borderId="303" xfId="1" applyNumberFormat="1" applyFont="1" applyFill="1" applyBorder="1" applyAlignment="1">
      <alignment horizontal="right" vertical="center" wrapText="1"/>
    </xf>
    <xf numFmtId="181" fontId="81" fillId="4" borderId="219" xfId="0" applyNumberFormat="1" applyFont="1" applyFill="1" applyBorder="1" applyAlignment="1">
      <alignment horizontal="right" vertical="center" wrapText="1"/>
    </xf>
    <xf numFmtId="181" fontId="80" fillId="4" borderId="368" xfId="0" applyNumberFormat="1" applyFont="1" applyFill="1" applyBorder="1" applyAlignment="1">
      <alignment horizontal="right" vertical="center" wrapText="1"/>
    </xf>
    <xf numFmtId="181" fontId="81" fillId="4" borderId="219" xfId="0" applyNumberFormat="1" applyFont="1" applyFill="1" applyBorder="1" applyAlignment="1">
      <alignment vertical="center" wrapText="1"/>
    </xf>
    <xf numFmtId="181" fontId="96" fillId="4" borderId="219" xfId="0" applyNumberFormat="1" applyFont="1" applyFill="1" applyBorder="1" applyAlignment="1">
      <alignment vertical="center" wrapText="1"/>
    </xf>
    <xf numFmtId="181" fontId="96" fillId="4" borderId="303" xfId="1" quotePrefix="1" applyNumberFormat="1" applyFont="1" applyFill="1" applyBorder="1" applyAlignment="1">
      <alignment horizontal="right" vertical="center" wrapText="1"/>
    </xf>
    <xf numFmtId="181" fontId="96" fillId="4" borderId="44" xfId="1" quotePrefix="1" applyNumberFormat="1" applyFont="1" applyFill="1" applyBorder="1" applyAlignment="1">
      <alignment horizontal="right" vertical="center" wrapText="1"/>
    </xf>
    <xf numFmtId="181" fontId="97" fillId="4" borderId="390" xfId="1" quotePrefix="1" applyNumberFormat="1" applyFont="1" applyFill="1" applyBorder="1" applyAlignment="1">
      <alignment horizontal="right" vertical="center" wrapText="1"/>
    </xf>
    <xf numFmtId="3" fontId="81" fillId="49" borderId="42" xfId="0" applyNumberFormat="1" applyFont="1" applyFill="1" applyBorder="1" applyAlignment="1">
      <alignment horizontal="center" vertical="center"/>
    </xf>
    <xf numFmtId="182" fontId="81" fillId="4" borderId="219" xfId="0" applyNumberFormat="1" applyFont="1" applyFill="1" applyBorder="1" applyAlignment="1">
      <alignment vertical="center" wrapText="1"/>
    </xf>
    <xf numFmtId="182" fontId="81" fillId="4" borderId="38" xfId="0" applyNumberFormat="1" applyFont="1" applyFill="1" applyBorder="1" applyAlignment="1">
      <alignment vertical="center" wrapText="1"/>
    </xf>
    <xf numFmtId="182" fontId="80" fillId="4" borderId="368" xfId="0" applyNumberFormat="1" applyFont="1" applyFill="1" applyBorder="1" applyAlignment="1">
      <alignment vertical="center" wrapText="1"/>
    </xf>
    <xf numFmtId="182" fontId="96" fillId="4" borderId="303" xfId="1" quotePrefix="1" applyNumberFormat="1" applyFont="1" applyFill="1" applyBorder="1" applyAlignment="1">
      <alignment horizontal="right" vertical="center" wrapText="1"/>
    </xf>
    <xf numFmtId="182" fontId="96" fillId="4" borderId="38" xfId="0" applyNumberFormat="1" applyFont="1" applyFill="1" applyBorder="1" applyAlignment="1">
      <alignment vertical="center" wrapText="1"/>
    </xf>
    <xf numFmtId="182" fontId="97" fillId="4" borderId="368" xfId="0" quotePrefix="1" applyNumberFormat="1" applyFont="1" applyFill="1" applyBorder="1" applyAlignment="1">
      <alignment vertical="center" wrapText="1"/>
    </xf>
    <xf numFmtId="182" fontId="96" fillId="4" borderId="219" xfId="0" applyNumberFormat="1" applyFont="1" applyFill="1" applyBorder="1" applyAlignment="1">
      <alignment vertical="center" wrapText="1"/>
    </xf>
    <xf numFmtId="182" fontId="97" fillId="4" borderId="370" xfId="1" quotePrefix="1" applyNumberFormat="1" applyFont="1" applyFill="1" applyBorder="1" applyAlignment="1">
      <alignment horizontal="right" vertical="center" wrapText="1"/>
    </xf>
    <xf numFmtId="181" fontId="96" fillId="48" borderId="219" xfId="1" quotePrefix="1" applyNumberFormat="1" applyFont="1" applyFill="1" applyBorder="1" applyAlignment="1">
      <alignment horizontal="right" vertical="center" wrapText="1"/>
    </xf>
    <xf numFmtId="181" fontId="96" fillId="4" borderId="219" xfId="0" quotePrefix="1" applyNumberFormat="1" applyFont="1" applyFill="1" applyBorder="1" applyAlignment="1">
      <alignment horizontal="right" vertical="center" wrapText="1"/>
    </xf>
    <xf numFmtId="181" fontId="96" fillId="4" borderId="219" xfId="8" applyNumberFormat="1" applyFont="1" applyFill="1" applyBorder="1" applyAlignment="1">
      <alignment horizontal="right" vertical="center" wrapText="1"/>
    </xf>
    <xf numFmtId="181" fontId="96" fillId="49" borderId="219" xfId="1" quotePrefix="1" applyNumberFormat="1" applyFont="1" applyFill="1" applyBorder="1" applyAlignment="1">
      <alignment horizontal="right" vertical="center" wrapText="1"/>
    </xf>
    <xf numFmtId="181" fontId="96" fillId="49" borderId="38" xfId="1" quotePrefix="1" applyNumberFormat="1" applyFont="1" applyFill="1" applyBorder="1" applyAlignment="1">
      <alignment horizontal="right" vertical="center" wrapText="1"/>
    </xf>
    <xf numFmtId="181" fontId="97" fillId="49" borderId="368" xfId="1" quotePrefix="1" applyNumberFormat="1" applyFont="1" applyFill="1" applyBorder="1" applyAlignment="1">
      <alignment horizontal="right" vertical="center" wrapText="1"/>
    </xf>
    <xf numFmtId="0" fontId="81" fillId="17" borderId="146" xfId="0" applyFont="1" applyFill="1" applyBorder="1" applyAlignment="1">
      <alignment horizontal="center" vertical="center"/>
    </xf>
    <xf numFmtId="181" fontId="96" fillId="4" borderId="219" xfId="0" applyNumberFormat="1" applyFont="1" applyFill="1" applyBorder="1" applyAlignment="1">
      <alignment horizontal="right" vertical="center" wrapText="1"/>
    </xf>
    <xf numFmtId="0" fontId="83" fillId="3" borderId="0" xfId="0" applyFont="1" applyFill="1" applyAlignment="1">
      <alignment horizontal="center" vertical="center" wrapText="1"/>
    </xf>
    <xf numFmtId="3" fontId="84" fillId="65" borderId="0" xfId="0" applyNumberFormat="1" applyFont="1" applyFill="1" applyAlignment="1">
      <alignment vertical="center" wrapText="1"/>
    </xf>
    <xf numFmtId="0" fontId="85" fillId="3" borderId="0" xfId="0" applyFont="1" applyFill="1" applyAlignment="1">
      <alignment horizontal="center" vertical="center" wrapText="1"/>
    </xf>
    <xf numFmtId="3" fontId="84" fillId="65" borderId="0" xfId="0" applyNumberFormat="1" applyFont="1" applyFill="1">
      <alignment vertical="center"/>
    </xf>
    <xf numFmtId="0" fontId="89" fillId="3" borderId="150" xfId="0" quotePrefix="1" applyFont="1" applyFill="1" applyBorder="1">
      <alignment vertical="center"/>
    </xf>
    <xf numFmtId="0" fontId="81" fillId="3" borderId="1" xfId="0" quotePrefix="1" applyFont="1" applyFill="1" applyBorder="1">
      <alignment vertical="center"/>
    </xf>
    <xf numFmtId="0" fontId="81" fillId="3" borderId="2" xfId="0" quotePrefix="1" applyFont="1" applyFill="1" applyBorder="1">
      <alignment vertical="center"/>
    </xf>
    <xf numFmtId="0" fontId="81" fillId="3" borderId="0" xfId="0" quotePrefix="1" applyFont="1" applyFill="1">
      <alignment vertical="center"/>
    </xf>
    <xf numFmtId="0" fontId="81" fillId="3" borderId="0" xfId="0" applyFont="1" applyFill="1" applyAlignment="1">
      <alignment vertical="center" wrapText="1"/>
    </xf>
    <xf numFmtId="0" fontId="92" fillId="3" borderId="151" xfId="0" quotePrefix="1" applyFont="1" applyFill="1" applyBorder="1">
      <alignment vertical="center"/>
    </xf>
    <xf numFmtId="0" fontId="81" fillId="3" borderId="3" xfId="0" quotePrefix="1" applyFont="1" applyFill="1" applyBorder="1">
      <alignment vertical="center"/>
    </xf>
    <xf numFmtId="0" fontId="92" fillId="3" borderId="152" xfId="0" quotePrefix="1" applyFont="1" applyFill="1" applyBorder="1">
      <alignment vertical="center"/>
    </xf>
    <xf numFmtId="0" fontId="81" fillId="3" borderId="4" xfId="0" applyFont="1" applyFill="1" applyBorder="1">
      <alignment vertical="center"/>
    </xf>
    <xf numFmtId="0" fontId="81" fillId="3" borderId="4" xfId="0" quotePrefix="1" applyFont="1" applyFill="1" applyBorder="1">
      <alignment vertical="center"/>
    </xf>
    <xf numFmtId="0" fontId="81" fillId="3" borderId="5" xfId="0" quotePrefix="1" applyFont="1" applyFill="1" applyBorder="1">
      <alignment vertical="center"/>
    </xf>
    <xf numFmtId="0" fontId="81" fillId="3" borderId="0" xfId="0" applyFont="1" applyFill="1" applyAlignment="1">
      <alignment horizontal="left" vertical="center" wrapText="1"/>
    </xf>
    <xf numFmtId="0" fontId="81" fillId="3" borderId="0" xfId="0" applyFont="1" applyFill="1" applyAlignment="1">
      <alignment horizontal="center" vertical="center" wrapText="1"/>
    </xf>
    <xf numFmtId="0" fontId="81" fillId="3" borderId="0" xfId="0" applyFont="1" applyFill="1" applyAlignment="1">
      <alignment horizontal="left" vertical="top"/>
    </xf>
    <xf numFmtId="0" fontId="81" fillId="3" borderId="0" xfId="0" applyFont="1" applyFill="1" applyAlignment="1">
      <alignment horizontal="left" vertical="top" wrapText="1"/>
    </xf>
    <xf numFmtId="3" fontId="81" fillId="3" borderId="0" xfId="0" applyNumberFormat="1" applyFont="1" applyFill="1" applyAlignment="1">
      <alignment vertical="center" wrapText="1"/>
    </xf>
    <xf numFmtId="3" fontId="81" fillId="3" borderId="0" xfId="0" quotePrefix="1" applyNumberFormat="1" applyFont="1" applyFill="1">
      <alignment vertical="center"/>
    </xf>
    <xf numFmtId="0" fontId="92" fillId="3" borderId="0" xfId="0" applyFont="1" applyFill="1">
      <alignment vertical="center"/>
    </xf>
    <xf numFmtId="0" fontId="84" fillId="62" borderId="8" xfId="0" applyFont="1" applyFill="1" applyBorder="1">
      <alignment vertical="center"/>
    </xf>
    <xf numFmtId="0" fontId="94" fillId="62" borderId="125" xfId="0" applyFont="1" applyFill="1" applyBorder="1" applyAlignment="1">
      <alignment horizontal="center" vertical="center" wrapText="1"/>
    </xf>
    <xf numFmtId="0" fontId="84" fillId="61" borderId="18" xfId="0" applyFont="1" applyFill="1" applyBorder="1" applyAlignment="1">
      <alignment horizontal="center" vertical="center"/>
    </xf>
    <xf numFmtId="0" fontId="84" fillId="62" borderId="151" xfId="0" applyFont="1" applyFill="1" applyBorder="1" applyAlignment="1">
      <alignment horizontal="center" vertical="center"/>
    </xf>
    <xf numFmtId="0" fontId="84" fillId="62" borderId="213" xfId="0" applyFont="1" applyFill="1" applyBorder="1" applyAlignment="1">
      <alignment horizontal="center" vertical="center" wrapText="1"/>
    </xf>
    <xf numFmtId="0" fontId="84" fillId="62" borderId="20" xfId="1" applyNumberFormat="1" applyFont="1" applyFill="1" applyBorder="1" applyAlignment="1">
      <alignment horizontal="center" vertical="center" wrapText="1"/>
    </xf>
    <xf numFmtId="0" fontId="84" fillId="62" borderId="208" xfId="1" applyNumberFormat="1" applyFont="1" applyFill="1" applyBorder="1" applyAlignment="1">
      <alignment horizontal="center" vertical="center" wrapText="1"/>
    </xf>
    <xf numFmtId="0" fontId="80" fillId="11" borderId="0" xfId="0" applyFont="1" applyFill="1" applyAlignment="1">
      <alignment horizontal="left" vertical="center"/>
    </xf>
    <xf numFmtId="0" fontId="80" fillId="12" borderId="0" xfId="0" applyFont="1" applyFill="1" applyAlignment="1">
      <alignment horizontal="center" vertical="center"/>
    </xf>
    <xf numFmtId="0" fontId="95" fillId="11" borderId="0" xfId="0" applyFont="1" applyFill="1" applyAlignment="1">
      <alignment horizontal="left" vertical="center"/>
    </xf>
    <xf numFmtId="0" fontId="80" fillId="11" borderId="0" xfId="0" applyFont="1" applyFill="1" applyAlignment="1">
      <alignment horizontal="left" vertical="top"/>
    </xf>
    <xf numFmtId="3" fontId="80" fillId="12" borderId="215" xfId="0" applyNumberFormat="1" applyFont="1" applyFill="1" applyBorder="1" applyAlignment="1">
      <alignment horizontal="center" vertical="center"/>
    </xf>
    <xf numFmtId="3" fontId="80" fillId="12" borderId="0" xfId="0" applyNumberFormat="1" applyFont="1" applyFill="1" applyAlignment="1">
      <alignment horizontal="center" vertical="center"/>
    </xf>
    <xf numFmtId="0" fontId="89" fillId="13" borderId="28" xfId="2" applyFont="1" applyFill="1" applyBorder="1" applyAlignment="1">
      <alignment horizontal="center" vertical="center" wrapText="1"/>
    </xf>
    <xf numFmtId="0" fontId="89" fillId="13" borderId="355" xfId="2" applyFont="1" applyFill="1" applyBorder="1" applyAlignment="1">
      <alignment horizontal="center" vertical="center" wrapText="1"/>
    </xf>
    <xf numFmtId="0" fontId="95" fillId="14" borderId="30" xfId="0" applyFont="1" applyFill="1" applyBorder="1" applyAlignment="1">
      <alignment horizontal="left" vertical="center"/>
    </xf>
    <xf numFmtId="0" fontId="80" fillId="14" borderId="28" xfId="0" applyFont="1" applyFill="1" applyBorder="1" applyAlignment="1">
      <alignment horizontal="left" vertical="center"/>
    </xf>
    <xf numFmtId="0" fontId="95" fillId="14" borderId="28" xfId="0" applyFont="1" applyFill="1" applyBorder="1" applyAlignment="1">
      <alignment horizontal="left" vertical="top"/>
    </xf>
    <xf numFmtId="3" fontId="80" fillId="14" borderId="217" xfId="0" applyNumberFormat="1" applyFont="1" applyFill="1" applyBorder="1" applyAlignment="1">
      <alignment horizontal="left" vertical="center"/>
    </xf>
    <xf numFmtId="3" fontId="80" fillId="14" borderId="28" xfId="0" applyNumberFormat="1" applyFont="1" applyFill="1" applyBorder="1" applyAlignment="1">
      <alignment horizontal="left" vertical="center"/>
    </xf>
    <xf numFmtId="0" fontId="95" fillId="14" borderId="28" xfId="0" applyFont="1" applyFill="1" applyBorder="1" applyAlignment="1">
      <alignment horizontal="center" vertical="center"/>
    </xf>
    <xf numFmtId="0" fontId="95" fillId="14" borderId="355" xfId="0" applyFont="1" applyFill="1" applyBorder="1" applyAlignment="1">
      <alignment horizontal="center" vertical="center"/>
    </xf>
    <xf numFmtId="0" fontId="81" fillId="3" borderId="31" xfId="0" applyFont="1" applyFill="1" applyBorder="1" applyAlignment="1">
      <alignment vertical="top"/>
    </xf>
    <xf numFmtId="177" fontId="81" fillId="15" borderId="32" xfId="0" quotePrefix="1" applyNumberFormat="1" applyFont="1" applyFill="1" applyBorder="1">
      <alignment vertical="center"/>
    </xf>
    <xf numFmtId="177" fontId="81" fillId="15" borderId="33" xfId="0" quotePrefix="1" applyNumberFormat="1" applyFont="1" applyFill="1" applyBorder="1">
      <alignment vertical="center"/>
    </xf>
    <xf numFmtId="0" fontId="81" fillId="0" borderId="78" xfId="0" applyFont="1" applyBorder="1" applyAlignment="1">
      <alignment vertical="top"/>
    </xf>
    <xf numFmtId="3" fontId="81" fillId="4" borderId="219" xfId="0" applyNumberFormat="1" applyFont="1" applyFill="1" applyBorder="1" applyAlignment="1">
      <alignment vertical="center" wrapText="1"/>
    </xf>
    <xf numFmtId="3" fontId="81" fillId="4" borderId="38" xfId="0" applyNumberFormat="1" applyFont="1" applyFill="1" applyBorder="1" applyAlignment="1">
      <alignment vertical="center" wrapText="1"/>
    </xf>
    <xf numFmtId="38" fontId="81" fillId="4" borderId="43" xfId="1" applyNumberFormat="1" applyFont="1" applyFill="1" applyBorder="1" applyAlignment="1">
      <alignment horizontal="right" vertical="center" wrapText="1"/>
    </xf>
    <xf numFmtId="0" fontId="81" fillId="17" borderId="39" xfId="0" applyFont="1" applyFill="1" applyBorder="1" applyAlignment="1">
      <alignment horizontal="center" vertical="top"/>
    </xf>
    <xf numFmtId="0" fontId="81" fillId="17" borderId="356" xfId="0" applyFont="1" applyFill="1" applyBorder="1" applyAlignment="1">
      <alignment horizontal="center" vertical="top" wrapText="1"/>
    </xf>
    <xf numFmtId="177" fontId="81" fillId="15" borderId="41" xfId="0" quotePrefix="1" applyNumberFormat="1" applyFont="1" applyFill="1" applyBorder="1">
      <alignment vertical="center"/>
    </xf>
    <xf numFmtId="0" fontId="81" fillId="3" borderId="31" xfId="0" quotePrefix="1" applyFont="1" applyFill="1" applyBorder="1">
      <alignment vertical="center"/>
    </xf>
    <xf numFmtId="177" fontId="80" fillId="58" borderId="41" xfId="0" quotePrefix="1" applyNumberFormat="1" applyFont="1" applyFill="1" applyBorder="1">
      <alignment vertical="center"/>
    </xf>
    <xf numFmtId="0" fontId="81" fillId="52" borderId="43" xfId="0" applyFont="1" applyFill="1" applyBorder="1" applyAlignment="1">
      <alignment horizontal="center" vertical="center"/>
    </xf>
    <xf numFmtId="0" fontId="81" fillId="52" borderId="38" xfId="0" applyFont="1" applyFill="1" applyBorder="1" applyAlignment="1">
      <alignment vertical="top"/>
    </xf>
    <xf numFmtId="3" fontId="81" fillId="52" borderId="219" xfId="0" applyNumberFormat="1" applyFont="1" applyFill="1" applyBorder="1" applyAlignment="1">
      <alignment vertical="center" wrapText="1"/>
    </xf>
    <xf numFmtId="3" fontId="81" fillId="52" borderId="38" xfId="0" applyNumberFormat="1" applyFont="1" applyFill="1" applyBorder="1" applyAlignment="1">
      <alignment vertical="center" wrapText="1"/>
    </xf>
    <xf numFmtId="38" fontId="80" fillId="52" borderId="43" xfId="1" applyNumberFormat="1" applyFont="1" applyFill="1" applyBorder="1" applyAlignment="1">
      <alignment horizontal="right" vertical="center" wrapText="1"/>
    </xf>
    <xf numFmtId="0" fontId="81" fillId="17" borderId="46" xfId="0" quotePrefix="1" applyFont="1" applyFill="1" applyBorder="1" applyAlignment="1">
      <alignment horizontal="center" vertical="top"/>
    </xf>
    <xf numFmtId="177" fontId="80" fillId="58" borderId="50" xfId="0" quotePrefix="1" applyNumberFormat="1" applyFont="1" applyFill="1" applyBorder="1">
      <alignment vertical="center"/>
    </xf>
    <xf numFmtId="177" fontId="80" fillId="58" borderId="51" xfId="0" quotePrefix="1" applyNumberFormat="1" applyFont="1" applyFill="1" applyBorder="1">
      <alignment vertical="center"/>
    </xf>
    <xf numFmtId="0" fontId="81" fillId="52" borderId="52" xfId="0" applyFont="1" applyFill="1" applyBorder="1" applyAlignment="1">
      <alignment horizontal="center" vertical="center"/>
    </xf>
    <xf numFmtId="178" fontId="80" fillId="14" borderId="217" xfId="0" applyNumberFormat="1" applyFont="1" applyFill="1" applyBorder="1" applyAlignment="1">
      <alignment horizontal="right" vertical="center" wrapText="1"/>
    </xf>
    <xf numFmtId="178" fontId="80" fillId="14" borderId="28" xfId="0" applyNumberFormat="1" applyFont="1" applyFill="1" applyBorder="1" applyAlignment="1">
      <alignment horizontal="right" vertical="center" wrapText="1"/>
    </xf>
    <xf numFmtId="0" fontId="88" fillId="3" borderId="78" xfId="0" applyFont="1" applyFill="1" applyBorder="1">
      <alignment vertical="center"/>
    </xf>
    <xf numFmtId="37" fontId="81" fillId="4" borderId="219" xfId="0" quotePrefix="1" applyNumberFormat="1" applyFont="1" applyFill="1" applyBorder="1" applyAlignment="1">
      <alignment horizontal="right" vertical="center" wrapText="1"/>
    </xf>
    <xf numFmtId="37" fontId="81" fillId="4" borderId="38" xfId="0" quotePrefix="1" applyNumberFormat="1" applyFont="1" applyFill="1" applyBorder="1" applyAlignment="1">
      <alignment horizontal="right" vertical="center" wrapText="1"/>
    </xf>
    <xf numFmtId="37" fontId="97" fillId="4" borderId="43" xfId="1" applyNumberFormat="1" applyFont="1" applyFill="1" applyBorder="1" applyAlignment="1">
      <alignment horizontal="right" vertical="center" wrapText="1"/>
    </xf>
    <xf numFmtId="0" fontId="88" fillId="0" borderId="38" xfId="0" applyFont="1" applyBorder="1" applyAlignment="1">
      <alignment vertical="top"/>
    </xf>
    <xf numFmtId="37" fontId="97" fillId="4" borderId="43" xfId="1" quotePrefix="1" applyNumberFormat="1" applyFont="1" applyFill="1" applyBorder="1" applyAlignment="1">
      <alignment horizontal="right" vertical="top" wrapText="1"/>
    </xf>
    <xf numFmtId="0" fontId="88" fillId="3" borderId="38" xfId="0" applyFont="1" applyFill="1" applyBorder="1">
      <alignment vertical="center"/>
    </xf>
    <xf numFmtId="37" fontId="81" fillId="4" borderId="38" xfId="0" applyNumberFormat="1" applyFont="1" applyFill="1" applyBorder="1" applyAlignment="1">
      <alignment horizontal="right" vertical="center" wrapText="1"/>
    </xf>
    <xf numFmtId="37" fontId="97" fillId="4" borderId="43" xfId="1" quotePrefix="1" applyNumberFormat="1" applyFont="1" applyFill="1" applyBorder="1" applyAlignment="1">
      <alignment horizontal="right" vertical="center" wrapText="1"/>
    </xf>
    <xf numFmtId="37" fontId="81" fillId="4" borderId="219" xfId="0" applyNumberFormat="1" applyFont="1" applyFill="1" applyBorder="1" applyAlignment="1">
      <alignment horizontal="right" vertical="center" wrapText="1"/>
    </xf>
    <xf numFmtId="177" fontId="81" fillId="15" borderId="50" xfId="0" quotePrefix="1" applyNumberFormat="1" applyFont="1" applyFill="1" applyBorder="1">
      <alignment vertical="center"/>
    </xf>
    <xf numFmtId="177" fontId="81" fillId="15" borderId="51" xfId="0" quotePrefix="1" applyNumberFormat="1" applyFont="1" applyFill="1" applyBorder="1">
      <alignment vertical="center"/>
    </xf>
    <xf numFmtId="0" fontId="88" fillId="0" borderId="54" xfId="0" applyFont="1" applyBorder="1" applyAlignment="1">
      <alignment vertical="top"/>
    </xf>
    <xf numFmtId="3" fontId="80" fillId="14" borderId="231" xfId="0" applyNumberFormat="1" applyFont="1" applyFill="1" applyBorder="1" applyAlignment="1">
      <alignment horizontal="left" vertical="center" wrapText="1"/>
    </xf>
    <xf numFmtId="3" fontId="80" fillId="14" borderId="28" xfId="0" applyNumberFormat="1" applyFont="1" applyFill="1" applyBorder="1" applyAlignment="1">
      <alignment horizontal="left" vertical="center" wrapText="1"/>
    </xf>
    <xf numFmtId="0" fontId="81" fillId="3" borderId="78" xfId="0" applyFont="1" applyFill="1" applyBorder="1" applyAlignment="1">
      <alignment horizontal="center" vertical="center"/>
    </xf>
    <xf numFmtId="0" fontId="88" fillId="0" borderId="78" xfId="0" applyFont="1" applyBorder="1" applyAlignment="1">
      <alignment vertical="top"/>
    </xf>
    <xf numFmtId="37" fontId="81" fillId="4" borderId="299" xfId="0" applyNumberFormat="1" applyFont="1" applyFill="1" applyBorder="1" applyAlignment="1">
      <alignment vertical="center" wrapText="1"/>
    </xf>
    <xf numFmtId="37" fontId="81" fillId="4" borderId="45" xfId="0" applyNumberFormat="1" applyFont="1" applyFill="1" applyBorder="1" applyAlignment="1">
      <alignment vertical="center" wrapText="1"/>
    </xf>
    <xf numFmtId="37" fontId="80" fillId="4" borderId="45" xfId="0" applyNumberFormat="1" applyFont="1" applyFill="1" applyBorder="1" applyAlignment="1">
      <alignment vertical="center" wrapText="1"/>
    </xf>
    <xf numFmtId="37" fontId="81" fillId="4" borderId="297" xfId="0" applyNumberFormat="1" applyFont="1" applyFill="1" applyBorder="1" applyAlignment="1">
      <alignment vertical="center" wrapText="1"/>
    </xf>
    <xf numFmtId="0" fontId="81" fillId="52" borderId="38" xfId="0" applyFont="1" applyFill="1" applyBorder="1" applyAlignment="1">
      <alignment horizontal="center" vertical="center"/>
    </xf>
    <xf numFmtId="0" fontId="88" fillId="52" borderId="38" xfId="0" applyFont="1" applyFill="1" applyBorder="1" applyAlignment="1">
      <alignment vertical="top"/>
    </xf>
    <xf numFmtId="37" fontId="81" fillId="52" borderId="297" xfId="0" applyNumberFormat="1" applyFont="1" applyFill="1" applyBorder="1" applyAlignment="1">
      <alignment vertical="center" wrapText="1"/>
    </xf>
    <xf numFmtId="37" fontId="81" fillId="52" borderId="45" xfId="0" applyNumberFormat="1" applyFont="1" applyFill="1" applyBorder="1" applyAlignment="1">
      <alignment vertical="center" wrapText="1"/>
    </xf>
    <xf numFmtId="37" fontId="80" fillId="52" borderId="45" xfId="0" applyNumberFormat="1" applyFont="1" applyFill="1" applyBorder="1" applyAlignment="1">
      <alignment vertical="center" wrapText="1"/>
    </xf>
    <xf numFmtId="177" fontId="81" fillId="58" borderId="38" xfId="0" quotePrefix="1" applyNumberFormat="1" applyFont="1" applyFill="1" applyBorder="1" applyAlignment="1">
      <alignment horizontal="center" vertical="center"/>
    </xf>
    <xf numFmtId="177" fontId="81" fillId="58" borderId="43" xfId="0" quotePrefix="1" applyNumberFormat="1" applyFont="1" applyFill="1" applyBorder="1" applyAlignment="1">
      <alignment horizontal="center" vertical="center"/>
    </xf>
    <xf numFmtId="37" fontId="81" fillId="52" borderId="304" xfId="0" applyNumberFormat="1" applyFont="1" applyFill="1" applyBorder="1" applyAlignment="1">
      <alignment vertical="center" wrapText="1"/>
    </xf>
    <xf numFmtId="0" fontId="81" fillId="0" borderId="200" xfId="0" applyFont="1" applyBorder="1" applyAlignment="1">
      <alignment vertical="top"/>
    </xf>
    <xf numFmtId="0" fontId="81" fillId="3" borderId="300" xfId="0" applyFont="1" applyFill="1" applyBorder="1" applyAlignment="1">
      <alignment horizontal="center" vertical="center"/>
    </xf>
    <xf numFmtId="37" fontId="81" fillId="4" borderId="45" xfId="0" applyNumberFormat="1" applyFont="1" applyFill="1" applyBorder="1" applyAlignment="1">
      <alignment horizontal="right" vertical="center" wrapText="1"/>
    </xf>
    <xf numFmtId="37" fontId="80" fillId="4" borderId="45" xfId="0" applyNumberFormat="1" applyFont="1" applyFill="1" applyBorder="1" applyAlignment="1">
      <alignment horizontal="right" vertical="center" wrapText="1"/>
    </xf>
    <xf numFmtId="0" fontId="81" fillId="0" borderId="43" xfId="0" applyFont="1" applyBorder="1" applyAlignment="1">
      <alignment vertical="top"/>
    </xf>
    <xf numFmtId="37" fontId="80" fillId="4" borderId="45" xfId="0" quotePrefix="1" applyNumberFormat="1" applyFont="1" applyFill="1" applyBorder="1" applyAlignment="1">
      <alignment horizontal="right" vertical="center" wrapText="1"/>
    </xf>
    <xf numFmtId="37" fontId="81" fillId="4" borderId="45" xfId="0" quotePrefix="1" applyNumberFormat="1" applyFont="1" applyFill="1" applyBorder="1" applyAlignment="1">
      <alignment horizontal="right" vertical="center" wrapText="1"/>
    </xf>
    <xf numFmtId="177" fontId="81" fillId="0" borderId="298" xfId="0" quotePrefix="1" applyNumberFormat="1" applyFont="1" applyBorder="1" applyAlignment="1">
      <alignment horizontal="center" vertical="center"/>
    </xf>
    <xf numFmtId="0" fontId="81" fillId="3" borderId="328" xfId="0" applyFont="1" applyFill="1" applyBorder="1" applyAlignment="1">
      <alignment horizontal="center" vertical="top"/>
    </xf>
    <xf numFmtId="177" fontId="81" fillId="15" borderId="91" xfId="0" quotePrefix="1" applyNumberFormat="1" applyFont="1" applyFill="1" applyBorder="1">
      <alignment vertical="center"/>
    </xf>
    <xf numFmtId="0" fontId="81" fillId="0" borderId="329" xfId="0" applyFont="1" applyBorder="1" applyAlignment="1">
      <alignment horizontal="center" vertical="center"/>
    </xf>
    <xf numFmtId="0" fontId="81" fillId="4" borderId="290" xfId="0" quotePrefix="1" applyFont="1" applyFill="1" applyBorder="1" applyAlignment="1">
      <alignment horizontal="right" vertical="center" wrapText="1"/>
    </xf>
    <xf numFmtId="3" fontId="80" fillId="4" borderId="290" xfId="0" quotePrefix="1" applyNumberFormat="1" applyFont="1" applyFill="1" applyBorder="1" applyAlignment="1">
      <alignment horizontal="right" vertical="center" wrapText="1"/>
    </xf>
    <xf numFmtId="0" fontId="81" fillId="17" borderId="330" xfId="0" applyFont="1" applyFill="1" applyBorder="1" applyAlignment="1">
      <alignment horizontal="center" vertical="center"/>
    </xf>
    <xf numFmtId="0" fontId="81" fillId="17" borderId="358" xfId="0" applyFont="1" applyFill="1" applyBorder="1" applyAlignment="1">
      <alignment horizontal="center" vertical="top" wrapText="1"/>
    </xf>
    <xf numFmtId="3" fontId="105" fillId="21" borderId="0" xfId="0" applyNumberFormat="1" applyFont="1" applyFill="1" applyAlignment="1">
      <alignment horizontal="left" vertical="center" wrapText="1"/>
    </xf>
    <xf numFmtId="3" fontId="104" fillId="3" borderId="0" xfId="0" applyNumberFormat="1" applyFont="1" applyFill="1" applyAlignment="1">
      <alignment horizontal="left" vertical="center"/>
    </xf>
    <xf numFmtId="3" fontId="104" fillId="3" borderId="0" xfId="0" applyNumberFormat="1" applyFont="1" applyFill="1" applyAlignment="1">
      <alignment horizontal="left" vertical="center" wrapText="1"/>
    </xf>
    <xf numFmtId="0" fontId="100" fillId="21" borderId="0" xfId="0" applyFont="1" applyFill="1">
      <alignment vertical="center"/>
    </xf>
    <xf numFmtId="0" fontId="100" fillId="21" borderId="0" xfId="0" applyFont="1" applyFill="1" applyAlignment="1">
      <alignment vertical="center" wrapText="1"/>
    </xf>
    <xf numFmtId="181" fontId="100" fillId="21" borderId="0" xfId="0" applyNumberFormat="1" applyFont="1" applyFill="1">
      <alignment vertical="center"/>
    </xf>
    <xf numFmtId="0" fontId="99" fillId="21" borderId="0" xfId="0" applyFont="1" applyFill="1">
      <alignment vertical="center"/>
    </xf>
    <xf numFmtId="181" fontId="81" fillId="0" borderId="0" xfId="0" applyNumberFormat="1" applyFont="1">
      <alignment vertical="center"/>
    </xf>
    <xf numFmtId="0" fontId="89" fillId="0" borderId="150" xfId="0" quotePrefix="1" applyFont="1" applyBorder="1">
      <alignment vertical="center"/>
    </xf>
    <xf numFmtId="0" fontId="81" fillId="0" borderId="1" xfId="0" quotePrefix="1" applyFont="1" applyBorder="1">
      <alignment vertical="center"/>
    </xf>
    <xf numFmtId="0" fontId="81" fillId="0" borderId="2" xfId="0" quotePrefix="1" applyFont="1" applyBorder="1">
      <alignment vertical="center"/>
    </xf>
    <xf numFmtId="0" fontId="81" fillId="0" borderId="0" xfId="0" quotePrefix="1" applyFont="1">
      <alignment vertical="center"/>
    </xf>
    <xf numFmtId="181" fontId="90" fillId="3" borderId="0" xfId="0" applyNumberFormat="1" applyFont="1" applyFill="1">
      <alignment vertical="center"/>
    </xf>
    <xf numFmtId="0" fontId="92" fillId="0" borderId="151" xfId="0" quotePrefix="1" applyFont="1" applyBorder="1">
      <alignment vertical="center"/>
    </xf>
    <xf numFmtId="0" fontId="81" fillId="0" borderId="3" xfId="0" quotePrefix="1" applyFont="1" applyBorder="1">
      <alignment vertical="center"/>
    </xf>
    <xf numFmtId="181" fontId="81" fillId="3" borderId="0" xfId="0" applyNumberFormat="1" applyFont="1" applyFill="1">
      <alignment vertical="center"/>
    </xf>
    <xf numFmtId="181" fontId="90" fillId="3" borderId="0" xfId="0" applyNumberFormat="1" applyFont="1" applyFill="1" applyAlignment="1">
      <alignment vertical="center" wrapText="1"/>
    </xf>
    <xf numFmtId="0" fontId="90" fillId="3" borderId="0" xfId="0" applyFont="1" applyFill="1" applyAlignment="1">
      <alignment vertical="center" wrapText="1"/>
    </xf>
    <xf numFmtId="3" fontId="90" fillId="4" borderId="0" xfId="0" applyNumberFormat="1" applyFont="1" applyFill="1">
      <alignment vertical="center"/>
    </xf>
    <xf numFmtId="0" fontId="92" fillId="0" borderId="152" xfId="0" quotePrefix="1" applyFont="1" applyBorder="1">
      <alignment vertical="center"/>
    </xf>
    <xf numFmtId="0" fontId="81" fillId="0" borderId="4" xfId="0" applyFont="1" applyBorder="1">
      <alignment vertical="center"/>
    </xf>
    <xf numFmtId="0" fontId="81" fillId="0" borderId="4" xfId="0" quotePrefix="1" applyFont="1" applyBorder="1">
      <alignment vertical="center"/>
    </xf>
    <xf numFmtId="0" fontId="81" fillId="0" borderId="5" xfId="0" quotePrefix="1" applyFont="1" applyBorder="1">
      <alignment vertical="center"/>
    </xf>
    <xf numFmtId="3" fontId="90" fillId="5" borderId="0" xfId="0" applyNumberFormat="1" applyFont="1" applyFill="1">
      <alignment vertical="center"/>
    </xf>
    <xf numFmtId="181" fontId="81" fillId="0" borderId="0" xfId="0" quotePrefix="1" applyNumberFormat="1" applyFont="1">
      <alignment vertical="center"/>
    </xf>
    <xf numFmtId="0" fontId="84" fillId="7" borderId="8" xfId="0" applyFont="1" applyFill="1" applyBorder="1">
      <alignment vertical="center"/>
    </xf>
    <xf numFmtId="0" fontId="95" fillId="11" borderId="75" xfId="0" applyFont="1" applyFill="1" applyBorder="1" applyAlignment="1">
      <alignment horizontal="left" vertical="center"/>
    </xf>
    <xf numFmtId="181" fontId="80" fillId="11" borderId="27" xfId="0" applyNumberFormat="1" applyFont="1" applyFill="1" applyBorder="1" applyAlignment="1">
      <alignment horizontal="left" vertical="center"/>
    </xf>
    <xf numFmtId="181" fontId="80" fillId="11" borderId="22" xfId="0" applyNumberFormat="1" applyFont="1" applyFill="1" applyBorder="1" applyAlignment="1">
      <alignment horizontal="left" vertical="center"/>
    </xf>
    <xf numFmtId="0" fontId="92" fillId="13" borderId="22" xfId="2" applyFont="1" applyFill="1" applyBorder="1" applyAlignment="1">
      <alignment horizontal="center" vertical="center" wrapText="1"/>
    </xf>
    <xf numFmtId="0" fontId="92" fillId="13" borderId="367" xfId="2" applyFont="1" applyFill="1" applyBorder="1" applyAlignment="1">
      <alignment horizontal="center" vertical="center" wrapText="1"/>
    </xf>
    <xf numFmtId="0" fontId="95" fillId="14" borderId="55" xfId="0" applyFont="1" applyFill="1" applyBorder="1">
      <alignment vertical="center"/>
    </xf>
    <xf numFmtId="0" fontId="88" fillId="14" borderId="355" xfId="0" applyFont="1" applyFill="1" applyBorder="1" applyAlignment="1">
      <alignment horizontal="center" vertical="center" wrapText="1"/>
    </xf>
    <xf numFmtId="0" fontId="81" fillId="3" borderId="126" xfId="0" applyFont="1" applyFill="1" applyBorder="1" applyAlignment="1">
      <alignment horizontal="center" vertical="center"/>
    </xf>
    <xf numFmtId="177" fontId="80" fillId="48" borderId="33" xfId="0" quotePrefix="1" applyNumberFormat="1" applyFont="1" applyFill="1" applyBorder="1">
      <alignment vertical="center"/>
    </xf>
    <xf numFmtId="177" fontId="81" fillId="48" borderId="78" xfId="0" quotePrefix="1" applyNumberFormat="1" applyFont="1" applyFill="1" applyBorder="1">
      <alignment vertical="center"/>
    </xf>
    <xf numFmtId="0" fontId="81" fillId="17" borderId="357" xfId="0" applyFont="1" applyFill="1" applyBorder="1" applyAlignment="1">
      <alignment horizontal="center" vertical="center" wrapText="1"/>
    </xf>
    <xf numFmtId="0" fontId="81" fillId="3" borderId="301" xfId="0" applyFont="1" applyFill="1" applyBorder="1" applyAlignment="1">
      <alignment horizontal="center" vertical="center"/>
    </xf>
    <xf numFmtId="177" fontId="81" fillId="0" borderId="302" xfId="0" quotePrefix="1" applyNumberFormat="1" applyFont="1" applyBorder="1">
      <alignment vertical="center"/>
    </xf>
    <xf numFmtId="177" fontId="81" fillId="0" borderId="42" xfId="0" quotePrefix="1" applyNumberFormat="1" applyFont="1" applyBorder="1">
      <alignment vertical="center"/>
    </xf>
    <xf numFmtId="177" fontId="81" fillId="0" borderId="45" xfId="0" quotePrefix="1" applyNumberFormat="1" applyFont="1" applyBorder="1">
      <alignment vertical="center"/>
    </xf>
    <xf numFmtId="0" fontId="81" fillId="3" borderId="38" xfId="0" applyFont="1" applyFill="1" applyBorder="1">
      <alignment vertical="center"/>
    </xf>
    <xf numFmtId="177" fontId="81" fillId="0" borderId="43" xfId="0" applyNumberFormat="1" applyFont="1" applyBorder="1">
      <alignment vertical="center"/>
    </xf>
    <xf numFmtId="177" fontId="81" fillId="0" borderId="42" xfId="0" applyNumberFormat="1" applyFont="1" applyBorder="1">
      <alignment vertical="center"/>
    </xf>
    <xf numFmtId="177" fontId="81" fillId="0" borderId="45" xfId="0" applyNumberFormat="1" applyFont="1" applyBorder="1">
      <alignment vertical="center"/>
    </xf>
    <xf numFmtId="0" fontId="81" fillId="17" borderId="384" xfId="0" applyFont="1" applyFill="1" applyBorder="1" applyAlignment="1">
      <alignment horizontal="center" vertical="center" wrapText="1"/>
    </xf>
    <xf numFmtId="0" fontId="81" fillId="3" borderId="127" xfId="0" applyFont="1" applyFill="1" applyBorder="1" applyAlignment="1">
      <alignment horizontal="center" vertical="center"/>
    </xf>
    <xf numFmtId="177" fontId="80" fillId="48" borderId="43" xfId="0" quotePrefix="1" applyNumberFormat="1" applyFont="1" applyFill="1" applyBorder="1">
      <alignment vertical="center"/>
    </xf>
    <xf numFmtId="177" fontId="80" fillId="48" borderId="45" xfId="0" quotePrefix="1" applyNumberFormat="1" applyFont="1" applyFill="1" applyBorder="1">
      <alignment vertical="center"/>
    </xf>
    <xf numFmtId="0" fontId="81" fillId="48" borderId="38" xfId="0" applyFont="1" applyFill="1" applyBorder="1">
      <alignment vertical="center"/>
    </xf>
    <xf numFmtId="0" fontId="81" fillId="0" borderId="38" xfId="0" applyFont="1" applyBorder="1" applyAlignment="1">
      <alignment horizontal="left" vertical="center"/>
    </xf>
    <xf numFmtId="0" fontId="81" fillId="3" borderId="43" xfId="0" applyFont="1" applyFill="1" applyBorder="1" applyAlignment="1">
      <alignment vertical="center" wrapText="1"/>
    </xf>
    <xf numFmtId="0" fontId="81" fillId="3" borderId="45" xfId="0" applyFont="1" applyFill="1" applyBorder="1" applyAlignment="1">
      <alignment vertical="center" wrapText="1"/>
    </xf>
    <xf numFmtId="177" fontId="80" fillId="52" borderId="302" xfId="0" quotePrefix="1" applyNumberFormat="1" applyFont="1" applyFill="1" applyBorder="1">
      <alignment vertical="center"/>
    </xf>
    <xf numFmtId="177" fontId="80" fillId="52" borderId="42" xfId="0" quotePrefix="1" applyNumberFormat="1" applyFont="1" applyFill="1" applyBorder="1">
      <alignment vertical="center"/>
    </xf>
    <xf numFmtId="177" fontId="80" fillId="52" borderId="45" xfId="0" quotePrefix="1" applyNumberFormat="1" applyFont="1" applyFill="1" applyBorder="1">
      <alignment vertical="center"/>
    </xf>
    <xf numFmtId="0" fontId="81" fillId="52" borderId="45" xfId="0" applyFont="1" applyFill="1" applyBorder="1">
      <alignment vertical="center"/>
    </xf>
    <xf numFmtId="177" fontId="81" fillId="52" borderId="54" xfId="0" quotePrefix="1" applyNumberFormat="1" applyFont="1" applyFill="1" applyBorder="1">
      <alignment vertical="center"/>
    </xf>
    <xf numFmtId="177" fontId="80" fillId="52" borderId="43" xfId="0" quotePrefix="1" applyNumberFormat="1" applyFont="1" applyFill="1" applyBorder="1">
      <alignment vertical="center"/>
    </xf>
    <xf numFmtId="0" fontId="81" fillId="17" borderId="90" xfId="0" applyFont="1" applyFill="1" applyBorder="1" applyAlignment="1">
      <alignment horizontal="center" vertical="center" wrapText="1"/>
    </xf>
    <xf numFmtId="0" fontId="80" fillId="48" borderId="43" xfId="0" applyFont="1" applyFill="1" applyBorder="1">
      <alignment vertical="center"/>
    </xf>
    <xf numFmtId="0" fontId="80" fillId="48" borderId="45" xfId="0" applyFont="1" applyFill="1" applyBorder="1">
      <alignment vertical="center"/>
    </xf>
    <xf numFmtId="177" fontId="81" fillId="48" borderId="38" xfId="0" quotePrefix="1" applyNumberFormat="1" applyFont="1" applyFill="1" applyBorder="1">
      <alignment vertical="center"/>
    </xf>
    <xf numFmtId="177" fontId="81" fillId="48" borderId="45" xfId="0" quotePrefix="1" applyNumberFormat="1" applyFont="1" applyFill="1" applyBorder="1">
      <alignment vertical="center"/>
    </xf>
    <xf numFmtId="0" fontId="81" fillId="0" borderId="45" xfId="0" applyFont="1" applyBorder="1" applyAlignment="1">
      <alignment horizontal="left" vertical="center"/>
    </xf>
    <xf numFmtId="0" fontId="81" fillId="52" borderId="42" xfId="0" applyFont="1" applyFill="1" applyBorder="1">
      <alignment vertical="center"/>
    </xf>
    <xf numFmtId="0" fontId="81" fillId="52" borderId="54" xfId="0" applyFont="1" applyFill="1" applyBorder="1">
      <alignment vertical="center"/>
    </xf>
    <xf numFmtId="0" fontId="81" fillId="52" borderId="57" xfId="0" applyFont="1" applyFill="1" applyBorder="1">
      <alignment vertical="center"/>
    </xf>
    <xf numFmtId="0" fontId="81" fillId="52" borderId="43" xfId="0" applyFont="1" applyFill="1" applyBorder="1" applyAlignment="1">
      <alignment horizontal="left" vertical="center"/>
    </xf>
    <xf numFmtId="0" fontId="81" fillId="48" borderId="45" xfId="0" applyFont="1" applyFill="1" applyBorder="1">
      <alignment vertical="center"/>
    </xf>
    <xf numFmtId="177" fontId="81" fillId="3" borderId="31" xfId="0" applyNumberFormat="1" applyFont="1" applyFill="1" applyBorder="1" applyAlignment="1">
      <alignment horizontal="left" vertical="center"/>
    </xf>
    <xf numFmtId="0" fontId="80" fillId="52" borderId="43" xfId="0" applyFont="1" applyFill="1" applyBorder="1">
      <alignment vertical="center"/>
    </xf>
    <xf numFmtId="0" fontId="81" fillId="3" borderId="127" xfId="0" applyFont="1" applyFill="1" applyBorder="1" applyAlignment="1">
      <alignment horizontal="left" vertical="center"/>
    </xf>
    <xf numFmtId="0" fontId="80" fillId="52" borderId="302" xfId="0" applyFont="1" applyFill="1" applyBorder="1">
      <alignment vertical="center"/>
    </xf>
    <xf numFmtId="0" fontId="80" fillId="52" borderId="42" xfId="0" applyFont="1" applyFill="1" applyBorder="1">
      <alignment vertical="center"/>
    </xf>
    <xf numFmtId="0" fontId="80" fillId="52" borderId="45" xfId="0" quotePrefix="1" applyFont="1" applyFill="1" applyBorder="1">
      <alignment vertical="center"/>
    </xf>
    <xf numFmtId="0" fontId="81" fillId="52" borderId="42" xfId="0" quotePrefix="1" applyFont="1" applyFill="1" applyBorder="1">
      <alignment vertical="center"/>
    </xf>
    <xf numFmtId="181" fontId="96" fillId="52" borderId="172" xfId="0" quotePrefix="1" applyNumberFormat="1" applyFont="1" applyFill="1" applyBorder="1">
      <alignment vertical="center"/>
    </xf>
    <xf numFmtId="181" fontId="96" fillId="52" borderId="42" xfId="0" quotePrefix="1" applyNumberFormat="1" applyFont="1" applyFill="1" applyBorder="1">
      <alignment vertical="center"/>
    </xf>
    <xf numFmtId="177" fontId="81" fillId="0" borderId="49" xfId="0" quotePrefix="1" applyNumberFormat="1" applyFont="1" applyBorder="1">
      <alignment vertical="center"/>
    </xf>
    <xf numFmtId="0" fontId="81" fillId="48" borderId="38" xfId="0" applyFont="1" applyFill="1" applyBorder="1" applyAlignment="1">
      <alignment horizontal="left" vertical="center"/>
    </xf>
    <xf numFmtId="0" fontId="81" fillId="0" borderId="45" xfId="0" applyFont="1" applyBorder="1">
      <alignment vertical="center"/>
    </xf>
    <xf numFmtId="0" fontId="81" fillId="48" borderId="45" xfId="0" applyFont="1" applyFill="1" applyBorder="1" applyAlignment="1">
      <alignment horizontal="left" vertical="center"/>
    </xf>
    <xf numFmtId="0" fontId="80" fillId="52" borderId="172" xfId="0" applyFont="1" applyFill="1" applyBorder="1">
      <alignment vertical="center"/>
    </xf>
    <xf numFmtId="177" fontId="80" fillId="48" borderId="302" xfId="0" quotePrefix="1" applyNumberFormat="1" applyFont="1" applyFill="1" applyBorder="1">
      <alignment vertical="center"/>
    </xf>
    <xf numFmtId="177" fontId="80" fillId="48" borderId="42" xfId="0" quotePrefix="1" applyNumberFormat="1" applyFont="1" applyFill="1" applyBorder="1">
      <alignment vertical="center"/>
    </xf>
    <xf numFmtId="177" fontId="80" fillId="48" borderId="77" xfId="0" quotePrefix="1" applyNumberFormat="1" applyFont="1" applyFill="1" applyBorder="1">
      <alignment vertical="center"/>
    </xf>
    <xf numFmtId="177" fontId="80" fillId="48" borderId="36" xfId="0" quotePrefix="1" applyNumberFormat="1" applyFont="1" applyFill="1" applyBorder="1">
      <alignment vertical="center"/>
    </xf>
    <xf numFmtId="182" fontId="80" fillId="52" borderId="172" xfId="0" quotePrefix="1" applyNumberFormat="1" applyFont="1" applyFill="1" applyBorder="1">
      <alignment vertical="center"/>
    </xf>
    <xf numFmtId="182" fontId="80" fillId="52" borderId="42" xfId="0" quotePrefix="1" applyNumberFormat="1" applyFont="1" applyFill="1" applyBorder="1">
      <alignment vertical="center"/>
    </xf>
    <xf numFmtId="0" fontId="81" fillId="0" borderId="54" xfId="0" applyFont="1" applyBorder="1" applyAlignment="1">
      <alignment horizontal="left" vertical="center"/>
    </xf>
    <xf numFmtId="0" fontId="81" fillId="48" borderId="43" xfId="0" applyFont="1" applyFill="1" applyBorder="1">
      <alignment vertical="center"/>
    </xf>
    <xf numFmtId="177" fontId="80" fillId="48" borderId="42" xfId="0" applyNumberFormat="1" applyFont="1" applyFill="1" applyBorder="1">
      <alignment vertical="center"/>
    </xf>
    <xf numFmtId="177" fontId="80" fillId="48" borderId="45" xfId="0" applyNumberFormat="1" applyFont="1" applyFill="1" applyBorder="1">
      <alignment vertical="center"/>
    </xf>
    <xf numFmtId="177" fontId="81" fillId="0" borderId="34" xfId="0" applyNumberFormat="1" applyFont="1" applyBorder="1">
      <alignment vertical="center"/>
    </xf>
    <xf numFmtId="177" fontId="81" fillId="0" borderId="49" xfId="0" applyNumberFormat="1" applyFont="1" applyBorder="1">
      <alignment vertical="center"/>
    </xf>
    <xf numFmtId="177" fontId="81" fillId="0" borderId="80" xfId="0" applyNumberFormat="1" applyFont="1" applyBorder="1">
      <alignment vertical="center"/>
    </xf>
    <xf numFmtId="182" fontId="96" fillId="4" borderId="45" xfId="0" applyNumberFormat="1" applyFont="1" applyFill="1" applyBorder="1" applyAlignment="1">
      <alignment horizontal="right" vertical="center" wrapText="1"/>
    </xf>
    <xf numFmtId="0" fontId="81" fillId="0" borderId="57" xfId="0" applyFont="1" applyBorder="1" applyAlignment="1">
      <alignment horizontal="left" vertical="center"/>
    </xf>
    <xf numFmtId="177" fontId="80" fillId="52" borderId="172" xfId="0" quotePrefix="1" applyNumberFormat="1" applyFont="1" applyFill="1" applyBorder="1">
      <alignment vertical="center"/>
    </xf>
    <xf numFmtId="0" fontId="81" fillId="0" borderId="49" xfId="0" quotePrefix="1" applyFont="1" applyBorder="1">
      <alignment vertical="center"/>
    </xf>
    <xf numFmtId="0" fontId="81" fillId="0" borderId="74" xfId="0" applyFont="1" applyBorder="1" applyAlignment="1">
      <alignment horizontal="left" vertical="center"/>
    </xf>
    <xf numFmtId="0" fontId="81" fillId="0" borderId="53" xfId="0" applyFont="1" applyBorder="1" applyAlignment="1">
      <alignment horizontal="left" vertical="center"/>
    </xf>
    <xf numFmtId="0" fontId="81" fillId="3" borderId="67" xfId="0" applyFont="1" applyFill="1" applyBorder="1" applyAlignment="1">
      <alignment vertical="center" wrapText="1"/>
    </xf>
    <xf numFmtId="0" fontId="81" fillId="3" borderId="53" xfId="0" applyFont="1" applyFill="1" applyBorder="1" applyAlignment="1">
      <alignment vertical="center" wrapText="1"/>
    </xf>
    <xf numFmtId="181" fontId="80" fillId="52" borderId="175" xfId="0" quotePrefix="1" applyNumberFormat="1" applyFont="1" applyFill="1" applyBorder="1">
      <alignment vertical="center"/>
    </xf>
    <xf numFmtId="181" fontId="80" fillId="52" borderId="38" xfId="0" quotePrefix="1" applyNumberFormat="1" applyFont="1" applyFill="1" applyBorder="1">
      <alignment vertical="center"/>
    </xf>
    <xf numFmtId="0" fontId="80" fillId="48" borderId="38" xfId="0" applyFont="1" applyFill="1" applyBorder="1">
      <alignment vertical="center"/>
    </xf>
    <xf numFmtId="0" fontId="81" fillId="48" borderId="38" xfId="0" applyFont="1" applyFill="1" applyBorder="1" applyAlignment="1">
      <alignment vertical="center" wrapText="1"/>
    </xf>
    <xf numFmtId="0" fontId="81" fillId="0" borderId="42" xfId="0" applyFont="1" applyBorder="1" applyAlignment="1">
      <alignment horizontal="left" vertical="center"/>
    </xf>
    <xf numFmtId="0" fontId="81" fillId="0" borderId="38" xfId="0" applyFont="1" applyBorder="1" applyAlignment="1">
      <alignment horizontal="left" vertical="center" wrapText="1"/>
    </xf>
    <xf numFmtId="177" fontId="81" fillId="15" borderId="38" xfId="0" quotePrefix="1" applyNumberFormat="1" applyFont="1" applyFill="1" applyBorder="1" applyAlignment="1">
      <alignment horizontal="left" vertical="center" wrapText="1"/>
    </xf>
    <xf numFmtId="177" fontId="80" fillId="52" borderId="38" xfId="0" quotePrefix="1" applyNumberFormat="1" applyFont="1" applyFill="1" applyBorder="1">
      <alignment vertical="center"/>
    </xf>
    <xf numFmtId="182" fontId="80" fillId="52" borderId="175" xfId="0" quotePrefix="1" applyNumberFormat="1" applyFont="1" applyFill="1" applyBorder="1">
      <alignment vertical="center"/>
    </xf>
    <xf numFmtId="182" fontId="80" fillId="52" borderId="38" xfId="0" quotePrefix="1" applyNumberFormat="1" applyFont="1" applyFill="1" applyBorder="1">
      <alignment vertical="center"/>
    </xf>
    <xf numFmtId="0" fontId="81" fillId="0" borderId="34" xfId="0" quotePrefix="1" applyFont="1" applyBorder="1">
      <alignment vertical="center"/>
    </xf>
    <xf numFmtId="0" fontId="81" fillId="48" borderId="37" xfId="0" applyFont="1" applyFill="1" applyBorder="1">
      <alignment vertical="center"/>
    </xf>
    <xf numFmtId="0" fontId="81" fillId="48" borderId="80" xfId="0" applyFont="1" applyFill="1" applyBorder="1">
      <alignment vertical="center"/>
    </xf>
    <xf numFmtId="177" fontId="80" fillId="19" borderId="302" xfId="0" quotePrefix="1" applyNumberFormat="1" applyFont="1" applyFill="1" applyBorder="1">
      <alignment vertical="center"/>
    </xf>
    <xf numFmtId="0" fontId="81" fillId="0" borderId="38" xfId="0" applyFont="1" applyBorder="1">
      <alignment vertical="center"/>
    </xf>
    <xf numFmtId="0" fontId="81" fillId="0" borderId="37" xfId="0" applyFont="1" applyBorder="1">
      <alignment vertical="center"/>
    </xf>
    <xf numFmtId="0" fontId="80" fillId="48" borderId="42" xfId="0" applyFont="1" applyFill="1" applyBorder="1">
      <alignment vertical="center"/>
    </xf>
    <xf numFmtId="0" fontId="90" fillId="17" borderId="384" xfId="0" applyFont="1" applyFill="1" applyBorder="1" applyAlignment="1">
      <alignment horizontal="center" vertical="center" wrapText="1"/>
    </xf>
    <xf numFmtId="177" fontId="80" fillId="19" borderId="33" xfId="0" quotePrefix="1" applyNumberFormat="1" applyFont="1" applyFill="1" applyBorder="1">
      <alignment vertical="center"/>
    </xf>
    <xf numFmtId="181" fontId="80" fillId="19" borderId="171" xfId="0" quotePrefix="1" applyNumberFormat="1" applyFont="1" applyFill="1" applyBorder="1">
      <alignment vertical="center"/>
    </xf>
    <xf numFmtId="181" fontId="80" fillId="19" borderId="33" xfId="0" quotePrefix="1" applyNumberFormat="1" applyFont="1" applyFill="1" applyBorder="1">
      <alignment vertical="center"/>
    </xf>
    <xf numFmtId="177" fontId="81" fillId="0" borderId="38" xfId="0" quotePrefix="1" applyNumberFormat="1" applyFont="1" applyBorder="1">
      <alignment vertical="center"/>
    </xf>
    <xf numFmtId="177" fontId="80" fillId="48" borderId="38" xfId="0" quotePrefix="1" applyNumberFormat="1" applyFont="1" applyFill="1" applyBorder="1">
      <alignment vertical="center"/>
    </xf>
    <xf numFmtId="0" fontId="81" fillId="0" borderId="37" xfId="0" applyFont="1" applyBorder="1" applyAlignment="1">
      <alignment horizontal="left" vertical="center"/>
    </xf>
    <xf numFmtId="177" fontId="80" fillId="19" borderId="42" xfId="0" quotePrefix="1" applyNumberFormat="1" applyFont="1" applyFill="1" applyBorder="1">
      <alignment vertical="center"/>
    </xf>
    <xf numFmtId="177" fontId="80" fillId="19" borderId="38" xfId="0" quotePrefix="1" applyNumberFormat="1" applyFont="1" applyFill="1" applyBorder="1">
      <alignment vertical="center"/>
    </xf>
    <xf numFmtId="177" fontId="80" fillId="19" borderId="43" xfId="0" quotePrefix="1" applyNumberFormat="1" applyFont="1" applyFill="1" applyBorder="1">
      <alignment vertical="center"/>
    </xf>
    <xf numFmtId="177" fontId="80" fillId="19" borderId="45" xfId="0" quotePrefix="1" applyNumberFormat="1" applyFont="1" applyFill="1" applyBorder="1">
      <alignment vertical="center"/>
    </xf>
    <xf numFmtId="181" fontId="80" fillId="19" borderId="175" xfId="0" quotePrefix="1" applyNumberFormat="1" applyFont="1" applyFill="1" applyBorder="1">
      <alignment vertical="center"/>
    </xf>
    <xf numFmtId="181" fontId="80" fillId="19" borderId="38" xfId="0" quotePrefix="1" applyNumberFormat="1" applyFont="1" applyFill="1" applyBorder="1">
      <alignment vertical="center"/>
    </xf>
    <xf numFmtId="0" fontId="81" fillId="48" borderId="38" xfId="0" quotePrefix="1" applyFont="1" applyFill="1" applyBorder="1">
      <alignment vertical="center"/>
    </xf>
    <xf numFmtId="0" fontId="81" fillId="48" borderId="45" xfId="0" quotePrefix="1" applyFont="1" applyFill="1" applyBorder="1">
      <alignment vertical="center"/>
    </xf>
    <xf numFmtId="0" fontId="81" fillId="48" borderId="43" xfId="0" quotePrefix="1" applyFont="1" applyFill="1" applyBorder="1">
      <alignment vertical="center"/>
    </xf>
    <xf numFmtId="181" fontId="96" fillId="4" borderId="45" xfId="8" applyNumberFormat="1" applyFont="1" applyFill="1" applyBorder="1" applyAlignment="1">
      <alignment horizontal="right" vertical="center" wrapText="1"/>
    </xf>
    <xf numFmtId="181" fontId="81" fillId="4" borderId="45" xfId="1" applyNumberFormat="1" applyFont="1" applyFill="1" applyBorder="1" applyAlignment="1">
      <alignment horizontal="right" vertical="center" wrapText="1"/>
    </xf>
    <xf numFmtId="181" fontId="81" fillId="4" borderId="38" xfId="1" quotePrefix="1" applyNumberFormat="1" applyFont="1" applyFill="1" applyBorder="1" applyAlignment="1">
      <alignment horizontal="right" vertical="center" wrapText="1"/>
    </xf>
    <xf numFmtId="181" fontId="81" fillId="4" borderId="38" xfId="1" applyNumberFormat="1" applyFont="1" applyFill="1" applyBorder="1" applyAlignment="1">
      <alignment horizontal="right" vertical="center" wrapText="1"/>
    </xf>
    <xf numFmtId="182" fontId="81" fillId="4" borderId="38" xfId="1" quotePrefix="1" applyNumberFormat="1" applyFont="1" applyFill="1" applyBorder="1" applyAlignment="1">
      <alignment horizontal="right" vertical="center" wrapText="1"/>
    </xf>
    <xf numFmtId="182" fontId="81" fillId="4" borderId="38" xfId="1" applyNumberFormat="1" applyFont="1" applyFill="1" applyBorder="1" applyAlignment="1">
      <alignment horizontal="right" vertical="center" wrapText="1"/>
    </xf>
    <xf numFmtId="182" fontId="81" fillId="4" borderId="45" xfId="1" applyNumberFormat="1" applyFont="1" applyFill="1" applyBorder="1" applyAlignment="1">
      <alignment horizontal="right" vertical="center" wrapText="1"/>
    </xf>
    <xf numFmtId="0" fontId="81" fillId="17" borderId="66" xfId="0" applyFont="1" applyFill="1" applyBorder="1" applyAlignment="1">
      <alignment horizontal="center" vertical="center" wrapText="1"/>
    </xf>
    <xf numFmtId="0" fontId="81" fillId="17" borderId="387" xfId="0" applyFont="1" applyFill="1" applyBorder="1" applyAlignment="1">
      <alignment horizontal="center" vertical="center" wrapText="1"/>
    </xf>
    <xf numFmtId="0" fontId="81" fillId="3" borderId="45" xfId="0" applyFont="1" applyFill="1" applyBorder="1">
      <alignment vertical="center"/>
    </xf>
    <xf numFmtId="0" fontId="81" fillId="3" borderId="42" xfId="0" quotePrefix="1" applyFont="1" applyFill="1" applyBorder="1">
      <alignment vertical="center"/>
    </xf>
    <xf numFmtId="0" fontId="80" fillId="60" borderId="43" xfId="0" applyFont="1" applyFill="1" applyBorder="1">
      <alignment vertical="center"/>
    </xf>
    <xf numFmtId="0" fontId="80" fillId="60" borderId="45" xfId="0" applyFont="1" applyFill="1" applyBorder="1">
      <alignment vertical="center"/>
    </xf>
    <xf numFmtId="0" fontId="81" fillId="60" borderId="38" xfId="0" applyFont="1" applyFill="1" applyBorder="1">
      <alignment vertical="center"/>
    </xf>
    <xf numFmtId="177" fontId="80" fillId="60" borderId="43" xfId="0" quotePrefix="1" applyNumberFormat="1" applyFont="1" applyFill="1" applyBorder="1">
      <alignment vertical="center"/>
    </xf>
    <xf numFmtId="177" fontId="80" fillId="60" borderId="42" xfId="0" quotePrefix="1" applyNumberFormat="1" applyFont="1" applyFill="1" applyBorder="1">
      <alignment vertical="center"/>
    </xf>
    <xf numFmtId="177" fontId="80" fillId="60" borderId="45" xfId="0" quotePrefix="1" applyNumberFormat="1" applyFont="1" applyFill="1" applyBorder="1">
      <alignment vertical="center"/>
    </xf>
    <xf numFmtId="0" fontId="81" fillId="48" borderId="43" xfId="0" quotePrefix="1" applyFont="1" applyFill="1" applyBorder="1" applyAlignment="1">
      <alignment horizontal="left" vertical="center"/>
    </xf>
    <xf numFmtId="0" fontId="81" fillId="17" borderId="391" xfId="0" applyFont="1" applyFill="1" applyBorder="1" applyAlignment="1">
      <alignment horizontal="center" vertical="center" wrapText="1"/>
    </xf>
    <xf numFmtId="0" fontId="81" fillId="0" borderId="44" xfId="0" applyFont="1" applyBorder="1" applyAlignment="1">
      <alignment horizontal="left" vertical="center"/>
    </xf>
    <xf numFmtId="177" fontId="80" fillId="48" borderId="80" xfId="0" quotePrefix="1" applyNumberFormat="1" applyFont="1" applyFill="1" applyBorder="1">
      <alignment vertical="center"/>
    </xf>
    <xf numFmtId="0" fontId="81" fillId="17" borderId="392" xfId="0" applyFont="1" applyFill="1" applyBorder="1" applyAlignment="1">
      <alignment horizontal="center" vertical="center" wrapText="1"/>
    </xf>
    <xf numFmtId="0" fontId="81" fillId="48" borderId="38" xfId="0" quotePrefix="1" applyFont="1" applyFill="1" applyBorder="1" applyAlignment="1">
      <alignment horizontal="left" vertical="center"/>
    </xf>
    <xf numFmtId="0" fontId="81" fillId="48" borderId="45" xfId="0" quotePrefix="1" applyFont="1" applyFill="1" applyBorder="1" applyAlignment="1">
      <alignment horizontal="left" vertical="center"/>
    </xf>
    <xf numFmtId="177" fontId="81" fillId="48" borderId="43" xfId="0" quotePrefix="1" applyNumberFormat="1" applyFont="1" applyFill="1" applyBorder="1">
      <alignment vertical="center"/>
    </xf>
    <xf numFmtId="177" fontId="81" fillId="48" borderId="38" xfId="0" quotePrefix="1" applyNumberFormat="1" applyFont="1" applyFill="1" applyBorder="1" applyAlignment="1">
      <alignment horizontal="left" vertical="center"/>
    </xf>
    <xf numFmtId="177" fontId="81" fillId="48" borderId="43" xfId="0" quotePrefix="1" applyNumberFormat="1" applyFont="1" applyFill="1" applyBorder="1" applyAlignment="1">
      <alignment horizontal="left" vertical="center"/>
    </xf>
    <xf numFmtId="177" fontId="81" fillId="0" borderId="43" xfId="0" quotePrefix="1" applyNumberFormat="1" applyFont="1" applyBorder="1">
      <alignment vertical="center"/>
    </xf>
    <xf numFmtId="0" fontId="81" fillId="35" borderId="384" xfId="0" applyFont="1" applyFill="1" applyBorder="1" applyAlignment="1">
      <alignment horizontal="center" vertical="center" wrapText="1"/>
    </xf>
    <xf numFmtId="197" fontId="96" fillId="4" borderId="38" xfId="0" applyNumberFormat="1" applyFont="1" applyFill="1" applyBorder="1" applyAlignment="1">
      <alignment horizontal="right" vertical="center" wrapText="1"/>
    </xf>
    <xf numFmtId="177" fontId="81" fillId="0" borderId="361" xfId="0" quotePrefix="1" applyNumberFormat="1" applyFont="1" applyBorder="1">
      <alignment vertical="center"/>
    </xf>
    <xf numFmtId="0" fontId="81" fillId="3" borderId="31" xfId="0" applyFont="1" applyFill="1" applyBorder="1" applyAlignment="1">
      <alignment horizontal="center" vertical="center"/>
    </xf>
    <xf numFmtId="177" fontId="80" fillId="3" borderId="38" xfId="0" quotePrefix="1" applyNumberFormat="1" applyFont="1" applyFill="1" applyBorder="1">
      <alignment vertical="center"/>
    </xf>
    <xf numFmtId="177" fontId="81" fillId="3" borderId="38" xfId="0" quotePrefix="1" applyNumberFormat="1" applyFont="1" applyFill="1" applyBorder="1">
      <alignment vertical="center"/>
    </xf>
    <xf numFmtId="0" fontId="81" fillId="48" borderId="80" xfId="0" quotePrefix="1" applyFont="1" applyFill="1" applyBorder="1">
      <alignment vertical="center"/>
    </xf>
    <xf numFmtId="181" fontId="96" fillId="4" borderId="80" xfId="1" applyNumberFormat="1" applyFont="1" applyFill="1" applyBorder="1" applyAlignment="1">
      <alignment horizontal="right" vertical="center" wrapText="1"/>
    </xf>
    <xf numFmtId="0" fontId="81" fillId="3" borderId="80" xfId="0" quotePrefix="1" applyFont="1" applyFill="1" applyBorder="1">
      <alignment vertical="center"/>
    </xf>
    <xf numFmtId="0" fontId="81" fillId="3" borderId="57" xfId="0" quotePrefix="1" applyFont="1" applyFill="1" applyBorder="1">
      <alignment vertical="center"/>
    </xf>
    <xf numFmtId="182" fontId="97" fillId="64" borderId="38" xfId="8" quotePrefix="1" applyNumberFormat="1" applyFont="1" applyFill="1" applyBorder="1" applyAlignment="1">
      <alignment horizontal="right" vertical="center" wrapText="1"/>
    </xf>
    <xf numFmtId="0" fontId="80" fillId="48" borderId="43" xfId="0" quotePrefix="1" applyFont="1" applyFill="1" applyBorder="1">
      <alignment vertical="center"/>
    </xf>
    <xf numFmtId="0" fontId="80" fillId="48" borderId="42" xfId="0" quotePrefix="1" applyFont="1" applyFill="1" applyBorder="1">
      <alignment vertical="center"/>
    </xf>
    <xf numFmtId="0" fontId="81" fillId="48" borderId="57" xfId="0" applyFont="1" applyFill="1" applyBorder="1">
      <alignment vertical="center"/>
    </xf>
    <xf numFmtId="0" fontId="81" fillId="0" borderId="42" xfId="0" applyFont="1" applyBorder="1" applyAlignment="1">
      <alignment vertical="center" wrapText="1"/>
    </xf>
    <xf numFmtId="0" fontId="81" fillId="3" borderId="57" xfId="0" applyFont="1" applyFill="1" applyBorder="1">
      <alignment vertical="center"/>
    </xf>
    <xf numFmtId="0" fontId="80" fillId="48" borderId="80" xfId="0" applyFont="1" applyFill="1" applyBorder="1">
      <alignment vertical="center"/>
    </xf>
    <xf numFmtId="0" fontId="81" fillId="0" borderId="42" xfId="0" applyFont="1" applyBorder="1">
      <alignment vertical="center"/>
    </xf>
    <xf numFmtId="0" fontId="81" fillId="3" borderId="42" xfId="0" applyFont="1" applyFill="1" applyBorder="1" applyAlignment="1">
      <alignment vertical="center" wrapText="1"/>
    </xf>
    <xf numFmtId="0" fontId="81" fillId="3" borderId="38" xfId="0" quotePrefix="1" applyFont="1" applyFill="1" applyBorder="1">
      <alignment vertical="center"/>
    </xf>
    <xf numFmtId="0" fontId="81" fillId="3" borderId="131" xfId="0" applyFont="1" applyFill="1" applyBorder="1" applyAlignment="1">
      <alignment horizontal="center" vertical="center"/>
    </xf>
    <xf numFmtId="0" fontId="96" fillId="0" borderId="52" xfId="0" quotePrefix="1" applyFont="1" applyBorder="1">
      <alignment vertical="center"/>
    </xf>
    <xf numFmtId="0" fontId="96" fillId="3" borderId="38" xfId="0" quotePrefix="1" applyFont="1" applyFill="1" applyBorder="1">
      <alignment vertical="center"/>
    </xf>
    <xf numFmtId="0" fontId="96" fillId="3" borderId="45" xfId="0" quotePrefix="1" applyFont="1" applyFill="1" applyBorder="1">
      <alignment vertical="center"/>
    </xf>
    <xf numFmtId="0" fontId="80" fillId="48" borderId="45" xfId="0" quotePrefix="1" applyFont="1" applyFill="1" applyBorder="1" applyAlignment="1">
      <alignment vertical="center" wrapText="1"/>
    </xf>
    <xf numFmtId="0" fontId="80" fillId="48" borderId="37" xfId="0" applyFont="1" applyFill="1" applyBorder="1">
      <alignment vertical="center"/>
    </xf>
    <xf numFmtId="0" fontId="96" fillId="0" borderId="45" xfId="0" quotePrefix="1" applyFont="1" applyBorder="1">
      <alignment vertical="center"/>
    </xf>
    <xf numFmtId="0" fontId="96" fillId="0" borderId="38" xfId="0" quotePrefix="1" applyFont="1" applyBorder="1">
      <alignment vertical="center"/>
    </xf>
    <xf numFmtId="0" fontId="81" fillId="3" borderId="128" xfId="0" applyFont="1" applyFill="1" applyBorder="1" applyAlignment="1">
      <alignment horizontal="center" vertical="center"/>
    </xf>
    <xf numFmtId="0" fontId="96" fillId="0" borderId="87" xfId="0" quotePrefix="1" applyFont="1" applyBorder="1">
      <alignment vertical="center"/>
    </xf>
    <xf numFmtId="0" fontId="96" fillId="0" borderId="53" xfId="0" quotePrefix="1" applyFont="1" applyBorder="1">
      <alignment vertical="center"/>
    </xf>
    <xf numFmtId="0" fontId="96" fillId="0" borderId="74" xfId="0" quotePrefix="1" applyFont="1" applyBorder="1">
      <alignment vertical="center"/>
    </xf>
    <xf numFmtId="177" fontId="81" fillId="48" borderId="34" xfId="0" quotePrefix="1" applyNumberFormat="1" applyFont="1" applyFill="1" applyBorder="1" applyAlignment="1">
      <alignment horizontal="center" vertical="center" wrapText="1"/>
    </xf>
    <xf numFmtId="177" fontId="81" fillId="0" borderId="34" xfId="0" quotePrefix="1" applyNumberFormat="1" applyFont="1" applyBorder="1" applyAlignment="1">
      <alignment horizontal="center" vertical="center" wrapText="1"/>
    </xf>
    <xf numFmtId="0" fontId="81" fillId="48" borderId="82" xfId="0" applyFont="1" applyFill="1" applyBorder="1">
      <alignment vertical="center"/>
    </xf>
    <xf numFmtId="0" fontId="81" fillId="48" borderId="49" xfId="0" applyFont="1" applyFill="1" applyBorder="1">
      <alignment vertical="center"/>
    </xf>
    <xf numFmtId="0" fontId="81" fillId="3" borderId="346" xfId="0" applyFont="1" applyFill="1" applyBorder="1" applyAlignment="1">
      <alignment horizontal="center" vertical="center"/>
    </xf>
    <xf numFmtId="177" fontId="81" fillId="0" borderId="351" xfId="0" quotePrefix="1" applyNumberFormat="1" applyFont="1" applyBorder="1">
      <alignment vertical="center"/>
    </xf>
    <xf numFmtId="177" fontId="81" fillId="0" borderId="91" xfId="0" quotePrefix="1" applyNumberFormat="1" applyFont="1" applyBorder="1">
      <alignment vertical="center"/>
    </xf>
    <xf numFmtId="177" fontId="81" fillId="0" borderId="290" xfId="0" quotePrefix="1" applyNumberFormat="1" applyFont="1" applyBorder="1">
      <alignment vertical="center"/>
    </xf>
    <xf numFmtId="177" fontId="81" fillId="0" borderId="352" xfId="0" quotePrefix="1" applyNumberFormat="1" applyFont="1" applyBorder="1" applyAlignment="1">
      <alignment horizontal="center" vertical="center" wrapText="1"/>
    </xf>
    <xf numFmtId="0" fontId="81" fillId="0" borderId="108" xfId="0" applyFont="1" applyBorder="1" applyAlignment="1">
      <alignment horizontal="left" vertical="center"/>
    </xf>
    <xf numFmtId="0" fontId="81" fillId="3" borderId="259" xfId="0" applyFont="1" applyFill="1" applyBorder="1" applyAlignment="1">
      <alignment vertical="center" wrapText="1"/>
    </xf>
    <xf numFmtId="0" fontId="81" fillId="3" borderId="290" xfId="0" applyFont="1" applyFill="1" applyBorder="1" applyAlignment="1">
      <alignment vertical="center" wrapText="1"/>
    </xf>
    <xf numFmtId="0" fontId="81" fillId="17" borderId="385" xfId="0" applyFont="1" applyFill="1" applyBorder="1" applyAlignment="1">
      <alignment horizontal="center" vertical="center" wrapText="1"/>
    </xf>
    <xf numFmtId="0" fontId="84" fillId="66" borderId="0" xfId="0" applyFont="1" applyFill="1">
      <alignment vertical="center"/>
    </xf>
    <xf numFmtId="0" fontId="84" fillId="66" borderId="0" xfId="0" applyFont="1" applyFill="1" applyAlignment="1">
      <alignment vertical="center" wrapText="1"/>
    </xf>
    <xf numFmtId="181" fontId="84" fillId="66" borderId="0" xfId="0" applyNumberFormat="1" applyFont="1" applyFill="1">
      <alignment vertical="center"/>
    </xf>
    <xf numFmtId="0" fontId="81" fillId="66" borderId="0" xfId="0" applyFont="1" applyFill="1">
      <alignment vertical="center"/>
    </xf>
    <xf numFmtId="0" fontId="95" fillId="11" borderId="55" xfId="0" applyFont="1" applyFill="1" applyBorder="1" applyAlignment="1">
      <alignment horizontal="left" vertical="center"/>
    </xf>
    <xf numFmtId="181" fontId="80" fillId="11" borderId="377" xfId="0" applyNumberFormat="1" applyFont="1" applyFill="1" applyBorder="1" applyAlignment="1">
      <alignment horizontal="left" vertical="center"/>
    </xf>
    <xf numFmtId="181" fontId="80" fillId="11" borderId="316" xfId="0" applyNumberFormat="1" applyFont="1" applyFill="1" applyBorder="1" applyAlignment="1">
      <alignment horizontal="left" vertical="center"/>
    </xf>
    <xf numFmtId="181" fontId="80" fillId="11" borderId="378" xfId="0" applyNumberFormat="1" applyFont="1" applyFill="1" applyBorder="1" applyAlignment="1">
      <alignment horizontal="left" vertical="center"/>
    </xf>
    <xf numFmtId="0" fontId="92" fillId="13" borderId="316" xfId="2" applyFont="1" applyFill="1" applyBorder="1" applyAlignment="1">
      <alignment horizontal="center" vertical="center" wrapText="1"/>
    </xf>
    <xf numFmtId="0" fontId="92" fillId="13" borderId="378" xfId="2" applyFont="1" applyFill="1" applyBorder="1" applyAlignment="1">
      <alignment horizontal="center" vertical="center" wrapText="1"/>
    </xf>
    <xf numFmtId="177" fontId="80" fillId="49" borderId="43" xfId="0" quotePrefix="1" applyNumberFormat="1" applyFont="1" applyFill="1" applyBorder="1">
      <alignment vertical="center"/>
    </xf>
    <xf numFmtId="177" fontId="81" fillId="48" borderId="38" xfId="0" applyNumberFormat="1" applyFont="1" applyFill="1" applyBorder="1">
      <alignment vertical="center"/>
    </xf>
    <xf numFmtId="0" fontId="81" fillId="0" borderId="38" xfId="0" quotePrefix="1" applyFont="1" applyBorder="1">
      <alignment vertical="center"/>
    </xf>
    <xf numFmtId="177" fontId="81" fillId="0" borderId="38" xfId="0" applyNumberFormat="1" applyFont="1" applyBorder="1">
      <alignment vertical="center"/>
    </xf>
    <xf numFmtId="177" fontId="81" fillId="0" borderId="80" xfId="0" quotePrefix="1" applyNumberFormat="1" applyFont="1" applyBorder="1">
      <alignment vertical="center"/>
    </xf>
    <xf numFmtId="177" fontId="81" fillId="15" borderId="302" xfId="0" quotePrefix="1" applyNumberFormat="1" applyFont="1" applyFill="1" applyBorder="1">
      <alignment vertical="center"/>
    </xf>
    <xf numFmtId="0" fontId="81" fillId="3" borderId="37" xfId="0" applyFont="1" applyFill="1" applyBorder="1">
      <alignment vertical="center"/>
    </xf>
    <xf numFmtId="0" fontId="81" fillId="0" borderId="74" xfId="0" applyFont="1" applyBorder="1">
      <alignment vertical="center"/>
    </xf>
    <xf numFmtId="177" fontId="81" fillId="0" borderId="57" xfId="0" quotePrefix="1" applyNumberFormat="1" applyFont="1" applyBorder="1">
      <alignment vertical="center"/>
    </xf>
    <xf numFmtId="177" fontId="81" fillId="48" borderId="54" xfId="0" quotePrefix="1" applyNumberFormat="1" applyFont="1" applyFill="1" applyBorder="1">
      <alignment vertical="center"/>
    </xf>
    <xf numFmtId="177" fontId="80" fillId="49" borderId="38" xfId="0" quotePrefix="1" applyNumberFormat="1" applyFont="1" applyFill="1" applyBorder="1">
      <alignment vertical="center"/>
    </xf>
    <xf numFmtId="0" fontId="81" fillId="49" borderId="44" xfId="0" applyFont="1" applyFill="1" applyBorder="1">
      <alignment vertical="center"/>
    </xf>
    <xf numFmtId="177" fontId="81" fillId="15" borderId="38" xfId="0" quotePrefix="1" applyNumberFormat="1" applyFont="1" applyFill="1" applyBorder="1">
      <alignment vertical="center"/>
    </xf>
    <xf numFmtId="177" fontId="81" fillId="48" borderId="37" xfId="0" quotePrefix="1" applyNumberFormat="1" applyFont="1" applyFill="1" applyBorder="1">
      <alignment vertical="center"/>
    </xf>
    <xf numFmtId="0" fontId="81" fillId="49" borderId="54" xfId="0" applyFont="1" applyFill="1" applyBorder="1">
      <alignment vertical="center"/>
    </xf>
    <xf numFmtId="0" fontId="81" fillId="49" borderId="38" xfId="0" applyFont="1" applyFill="1" applyBorder="1">
      <alignment vertical="center"/>
    </xf>
    <xf numFmtId="0" fontId="81" fillId="49" borderId="37" xfId="0" applyFont="1" applyFill="1" applyBorder="1">
      <alignment vertical="center"/>
    </xf>
    <xf numFmtId="177" fontId="81" fillId="49" borderId="43" xfId="0" quotePrefix="1" applyNumberFormat="1" applyFont="1" applyFill="1" applyBorder="1">
      <alignment vertical="center"/>
    </xf>
    <xf numFmtId="0" fontId="81" fillId="17" borderId="59" xfId="0" applyFont="1" applyFill="1" applyBorder="1" applyAlignment="1">
      <alignment horizontal="center" vertical="center" wrapText="1"/>
    </xf>
    <xf numFmtId="0" fontId="81" fillId="48" borderId="54" xfId="0" applyFont="1" applyFill="1" applyBorder="1">
      <alignment vertical="center"/>
    </xf>
    <xf numFmtId="177" fontId="80" fillId="49" borderId="312" xfId="0" quotePrefix="1" applyNumberFormat="1" applyFont="1" applyFill="1" applyBorder="1">
      <alignment vertical="center"/>
    </xf>
    <xf numFmtId="177" fontId="81" fillId="0" borderId="312" xfId="0" quotePrefix="1" applyNumberFormat="1" applyFont="1" applyBorder="1">
      <alignment vertical="center"/>
    </xf>
    <xf numFmtId="0" fontId="81" fillId="3" borderId="383" xfId="0" applyFont="1" applyFill="1" applyBorder="1" applyAlignment="1">
      <alignment horizontal="center" vertical="center"/>
    </xf>
    <xf numFmtId="177" fontId="80" fillId="60" borderId="34" xfId="0" quotePrefix="1" applyNumberFormat="1" applyFont="1" applyFill="1" applyBorder="1">
      <alignment vertical="center"/>
    </xf>
    <xf numFmtId="177" fontId="80" fillId="60" borderId="80" xfId="0" quotePrefix="1" applyNumberFormat="1" applyFont="1" applyFill="1" applyBorder="1">
      <alignment vertical="center"/>
    </xf>
    <xf numFmtId="177" fontId="81" fillId="60" borderId="78" xfId="0" quotePrefix="1" applyNumberFormat="1" applyFont="1" applyFill="1" applyBorder="1">
      <alignment vertical="center"/>
    </xf>
    <xf numFmtId="0" fontId="81" fillId="49" borderId="65" xfId="0" applyFont="1" applyFill="1" applyBorder="1">
      <alignment vertical="center"/>
    </xf>
    <xf numFmtId="0" fontId="81" fillId="3" borderId="43" xfId="0" applyFont="1" applyFill="1" applyBorder="1">
      <alignment vertical="center"/>
    </xf>
    <xf numFmtId="177" fontId="81" fillId="49" borderId="38" xfId="0" quotePrefix="1" applyNumberFormat="1" applyFont="1" applyFill="1" applyBorder="1">
      <alignment vertical="center"/>
    </xf>
    <xf numFmtId="0" fontId="80" fillId="14" borderId="84" xfId="0" applyFont="1" applyFill="1" applyBorder="1">
      <alignment vertical="center"/>
    </xf>
    <xf numFmtId="0" fontId="95" fillId="14" borderId="35" xfId="0" applyFont="1" applyFill="1" applyBorder="1">
      <alignment vertical="center"/>
    </xf>
    <xf numFmtId="0" fontId="80" fillId="14" borderId="83" xfId="0" applyFont="1" applyFill="1" applyBorder="1">
      <alignment vertical="center"/>
    </xf>
    <xf numFmtId="0" fontId="81" fillId="48" borderId="78" xfId="0" applyFont="1" applyFill="1" applyBorder="1">
      <alignment vertical="center"/>
    </xf>
    <xf numFmtId="0" fontId="81" fillId="0" borderId="38" xfId="0" quotePrefix="1" applyFont="1" applyBorder="1" applyAlignment="1">
      <alignment horizontal="left" vertical="center" wrapText="1"/>
    </xf>
    <xf numFmtId="0" fontId="81" fillId="48" borderId="38" xfId="0" applyFont="1" applyFill="1" applyBorder="1" applyAlignment="1">
      <alignment horizontal="left" vertical="center" wrapText="1"/>
    </xf>
    <xf numFmtId="0" fontId="81" fillId="0" borderId="38" xfId="0" quotePrefix="1" applyFont="1" applyBorder="1" applyAlignment="1">
      <alignment horizontal="left" vertical="center"/>
    </xf>
    <xf numFmtId="0" fontId="81" fillId="49" borderId="38" xfId="0" applyFont="1" applyFill="1" applyBorder="1" applyAlignment="1">
      <alignment horizontal="left" vertical="center" wrapText="1"/>
    </xf>
    <xf numFmtId="177" fontId="81" fillId="48" borderId="38" xfId="0" applyNumberFormat="1" applyFont="1" applyFill="1" applyBorder="1" applyAlignment="1">
      <alignment horizontal="left" vertical="center"/>
    </xf>
    <xf numFmtId="177" fontId="81" fillId="48" borderId="45" xfId="0" applyNumberFormat="1" applyFont="1" applyFill="1" applyBorder="1" applyAlignment="1">
      <alignment horizontal="left" vertical="center"/>
    </xf>
    <xf numFmtId="177" fontId="81" fillId="15" borderId="53" xfId="0" quotePrefix="1" applyNumberFormat="1" applyFont="1" applyFill="1" applyBorder="1">
      <alignment vertical="center"/>
    </xf>
    <xf numFmtId="177" fontId="81" fillId="48" borderId="77" xfId="0" quotePrefix="1" applyNumberFormat="1" applyFont="1" applyFill="1" applyBorder="1">
      <alignment vertical="center"/>
    </xf>
    <xf numFmtId="0" fontId="81" fillId="3" borderId="380" xfId="0" applyFont="1" applyFill="1" applyBorder="1" applyAlignment="1">
      <alignment horizontal="center" vertical="center"/>
    </xf>
    <xf numFmtId="0" fontId="81" fillId="3" borderId="108" xfId="0" applyFont="1" applyFill="1" applyBorder="1">
      <alignment vertical="center"/>
    </xf>
    <xf numFmtId="0" fontId="84" fillId="65" borderId="0" xfId="0" applyFont="1" applyFill="1">
      <alignment vertical="center"/>
    </xf>
    <xf numFmtId="0" fontId="84" fillId="65" borderId="0" xfId="0" applyFont="1" applyFill="1" applyAlignment="1">
      <alignment vertical="center" wrapText="1"/>
    </xf>
    <xf numFmtId="181" fontId="84" fillId="65" borderId="0" xfId="0" applyNumberFormat="1" applyFont="1" applyFill="1">
      <alignment vertical="center"/>
    </xf>
    <xf numFmtId="177" fontId="81" fillId="3" borderId="133" xfId="0" applyNumberFormat="1" applyFont="1" applyFill="1" applyBorder="1" applyAlignment="1">
      <alignment horizontal="left" vertical="center"/>
    </xf>
    <xf numFmtId="177" fontId="80" fillId="58" borderId="360" xfId="0" quotePrefix="1" applyNumberFormat="1" applyFont="1" applyFill="1" applyBorder="1">
      <alignment vertical="center"/>
    </xf>
    <xf numFmtId="177" fontId="80" fillId="58" borderId="339" xfId="0" quotePrefix="1" applyNumberFormat="1" applyFont="1" applyFill="1" applyBorder="1">
      <alignment vertical="center"/>
    </xf>
    <xf numFmtId="177" fontId="80" fillId="58" borderId="342" xfId="0" quotePrefix="1" applyNumberFormat="1" applyFont="1" applyFill="1" applyBorder="1">
      <alignment vertical="center"/>
    </xf>
    <xf numFmtId="181" fontId="80" fillId="58" borderId="344" xfId="0" quotePrefix="1" applyNumberFormat="1" applyFont="1" applyFill="1" applyBorder="1">
      <alignment vertical="center"/>
    </xf>
    <xf numFmtId="181" fontId="80" fillId="58" borderId="339" xfId="0" quotePrefix="1" applyNumberFormat="1" applyFont="1" applyFill="1" applyBorder="1">
      <alignment vertical="center"/>
    </xf>
    <xf numFmtId="181" fontId="80" fillId="58" borderId="389" xfId="0" quotePrefix="1" applyNumberFormat="1" applyFont="1" applyFill="1" applyBorder="1">
      <alignment vertical="center"/>
    </xf>
    <xf numFmtId="0" fontId="81" fillId="48" borderId="42" xfId="0" applyFont="1" applyFill="1" applyBorder="1">
      <alignment vertical="center"/>
    </xf>
    <xf numFmtId="177" fontId="81" fillId="48" borderId="42" xfId="0" applyNumberFormat="1" applyFont="1" applyFill="1" applyBorder="1">
      <alignment vertical="center"/>
    </xf>
    <xf numFmtId="177" fontId="80" fillId="58" borderId="341" xfId="0" quotePrefix="1" applyNumberFormat="1" applyFont="1" applyFill="1" applyBorder="1">
      <alignment vertical="center"/>
    </xf>
    <xf numFmtId="181" fontId="80" fillId="58" borderId="307" xfId="0" quotePrefix="1" applyNumberFormat="1" applyFont="1" applyFill="1" applyBorder="1">
      <alignment vertical="center"/>
    </xf>
    <xf numFmtId="181" fontId="80" fillId="58" borderId="42" xfId="0" quotePrefix="1" applyNumberFormat="1" applyFont="1" applyFill="1" applyBorder="1">
      <alignment vertical="center"/>
    </xf>
    <xf numFmtId="181" fontId="80" fillId="58" borderId="295" xfId="0" quotePrefix="1" applyNumberFormat="1" applyFont="1" applyFill="1" applyBorder="1">
      <alignment vertical="center"/>
    </xf>
    <xf numFmtId="177" fontId="81" fillId="49" borderId="42" xfId="0" applyNumberFormat="1" applyFont="1" applyFill="1" applyBorder="1">
      <alignment vertical="center"/>
    </xf>
    <xf numFmtId="0" fontId="81" fillId="0" borderId="54" xfId="0" applyFont="1" applyBorder="1">
      <alignment vertical="center"/>
    </xf>
    <xf numFmtId="0" fontId="81" fillId="17" borderId="388" xfId="0" applyFont="1" applyFill="1" applyBorder="1" applyAlignment="1">
      <alignment horizontal="center" vertical="center" wrapText="1"/>
    </xf>
    <xf numFmtId="0" fontId="109" fillId="3" borderId="0" xfId="0" applyFont="1" applyFill="1">
      <alignment vertical="center"/>
    </xf>
    <xf numFmtId="0" fontId="110" fillId="0" borderId="0" xfId="0" applyFont="1" applyAlignment="1">
      <alignment horizontal="left" vertical="center"/>
    </xf>
    <xf numFmtId="0" fontId="84" fillId="67" borderId="0" xfId="0" applyFont="1" applyFill="1">
      <alignment vertical="center"/>
    </xf>
    <xf numFmtId="0" fontId="84" fillId="67" borderId="0" xfId="0" applyFont="1" applyFill="1" applyAlignment="1">
      <alignment vertical="center" wrapText="1"/>
    </xf>
    <xf numFmtId="181" fontId="84" fillId="67" borderId="0" xfId="0" applyNumberFormat="1" applyFont="1" applyFill="1">
      <alignment vertical="center"/>
    </xf>
    <xf numFmtId="0" fontId="81" fillId="67" borderId="0" xfId="0" applyFont="1" applyFill="1">
      <alignment vertical="center"/>
    </xf>
    <xf numFmtId="181" fontId="80" fillId="11" borderId="30" xfId="0" applyNumberFormat="1" applyFont="1" applyFill="1" applyBorder="1" applyAlignment="1">
      <alignment horizontal="left" vertical="center"/>
    </xf>
    <xf numFmtId="181" fontId="80" fillId="11" borderId="28" xfId="0" applyNumberFormat="1" applyFont="1" applyFill="1" applyBorder="1" applyAlignment="1">
      <alignment horizontal="left" vertical="center"/>
    </xf>
    <xf numFmtId="181" fontId="80" fillId="11" borderId="355" xfId="0" applyNumberFormat="1" applyFont="1" applyFill="1" applyBorder="1" applyAlignment="1">
      <alignment horizontal="left" vertical="center"/>
    </xf>
    <xf numFmtId="0" fontId="92" fillId="13" borderId="28" xfId="2" applyFont="1" applyFill="1" applyBorder="1" applyAlignment="1">
      <alignment horizontal="center" vertical="center" wrapText="1"/>
    </xf>
    <xf numFmtId="0" fontId="92" fillId="13" borderId="29" xfId="2" applyFont="1" applyFill="1" applyBorder="1" applyAlignment="1">
      <alignment horizontal="center" vertical="center" wrapText="1"/>
    </xf>
    <xf numFmtId="0" fontId="95" fillId="58" borderId="30" xfId="0" applyFont="1" applyFill="1" applyBorder="1">
      <alignment vertical="center"/>
    </xf>
    <xf numFmtId="0" fontId="80" fillId="58" borderId="28" xfId="0" applyFont="1" applyFill="1" applyBorder="1">
      <alignment vertical="center"/>
    </xf>
    <xf numFmtId="0" fontId="95" fillId="58" borderId="75" xfId="0" applyFont="1" applyFill="1" applyBorder="1">
      <alignment vertical="center"/>
    </xf>
    <xf numFmtId="0" fontId="80" fillId="58" borderId="22" xfId="0" applyFont="1" applyFill="1" applyBorder="1">
      <alignment vertical="center"/>
    </xf>
    <xf numFmtId="0" fontId="80" fillId="58" borderId="121" xfId="0" applyFont="1" applyFill="1" applyBorder="1">
      <alignment vertical="center"/>
    </xf>
    <xf numFmtId="0" fontId="98" fillId="3" borderId="0" xfId="0" applyFont="1" applyFill="1" applyAlignment="1">
      <alignment horizontal="left" vertical="center" wrapText="1"/>
    </xf>
    <xf numFmtId="0" fontId="81" fillId="17" borderId="60" xfId="0" applyFont="1" applyFill="1" applyBorder="1" applyAlignment="1">
      <alignment horizontal="center" vertical="center" wrapText="1"/>
    </xf>
    <xf numFmtId="0" fontId="81" fillId="0" borderId="43" xfId="0" quotePrefix="1" applyFont="1" applyBorder="1">
      <alignment vertical="center"/>
    </xf>
    <xf numFmtId="0" fontId="81" fillId="0" borderId="42" xfId="0" quotePrefix="1" applyFont="1" applyBorder="1">
      <alignment vertical="center"/>
    </xf>
    <xf numFmtId="0" fontId="80" fillId="48" borderId="73" xfId="0" applyFont="1" applyFill="1" applyBorder="1">
      <alignment vertical="center"/>
    </xf>
    <xf numFmtId="0" fontId="80" fillId="48" borderId="138" xfId="0" applyFont="1" applyFill="1" applyBorder="1">
      <alignment vertical="center"/>
    </xf>
    <xf numFmtId="0" fontId="80" fillId="48" borderId="95" xfId="0" applyFont="1" applyFill="1" applyBorder="1">
      <alignment vertical="center"/>
    </xf>
    <xf numFmtId="0" fontId="81" fillId="3" borderId="43" xfId="0" quotePrefix="1" applyFont="1" applyFill="1" applyBorder="1">
      <alignment vertical="center"/>
    </xf>
    <xf numFmtId="0" fontId="81" fillId="3" borderId="95" xfId="0" quotePrefix="1" applyFont="1" applyFill="1" applyBorder="1">
      <alignment vertical="center"/>
    </xf>
    <xf numFmtId="0" fontId="81" fillId="3" borderId="87" xfId="0" quotePrefix="1" applyFont="1" applyFill="1" applyBorder="1">
      <alignment vertical="center"/>
    </xf>
    <xf numFmtId="0" fontId="81" fillId="3" borderId="38" xfId="0" applyFont="1" applyFill="1" applyBorder="1" applyAlignment="1">
      <alignment horizontal="left" vertical="center"/>
    </xf>
    <xf numFmtId="0" fontId="81" fillId="3" borderId="45" xfId="0" quotePrefix="1" applyFont="1" applyFill="1" applyBorder="1">
      <alignment vertical="center"/>
    </xf>
    <xf numFmtId="0" fontId="81" fillId="3" borderId="45" xfId="0" quotePrefix="1" applyFont="1" applyFill="1" applyBorder="1" applyAlignment="1">
      <alignment horizontal="left" vertical="center" wrapText="1"/>
    </xf>
    <xf numFmtId="0" fontId="96" fillId="3" borderId="43" xfId="0" applyFont="1" applyFill="1" applyBorder="1">
      <alignment vertical="center"/>
    </xf>
    <xf numFmtId="0" fontId="96" fillId="3" borderId="42" xfId="0" applyFont="1" applyFill="1" applyBorder="1">
      <alignment vertical="center"/>
    </xf>
    <xf numFmtId="0" fontId="96" fillId="3" borderId="45" xfId="0" applyFont="1" applyFill="1" applyBorder="1" applyAlignment="1">
      <alignment horizontal="left" vertical="center" wrapText="1"/>
    </xf>
    <xf numFmtId="0" fontId="81" fillId="48" borderId="42" xfId="0" quotePrefix="1" applyFont="1" applyFill="1" applyBorder="1" applyAlignment="1">
      <alignment vertical="center" wrapText="1"/>
    </xf>
    <xf numFmtId="0" fontId="81" fillId="48" borderId="42" xfId="0" quotePrefix="1" applyFont="1" applyFill="1" applyBorder="1" applyAlignment="1">
      <alignment horizontal="left" vertical="center" wrapText="1"/>
    </xf>
    <xf numFmtId="0" fontId="81" fillId="3" borderId="54" xfId="0" quotePrefix="1" applyFont="1" applyFill="1" applyBorder="1">
      <alignment vertical="center"/>
    </xf>
    <xf numFmtId="0" fontId="81" fillId="3" borderId="321" xfId="0" applyFont="1" applyFill="1" applyBorder="1" applyAlignment="1">
      <alignment horizontal="center" vertical="center"/>
    </xf>
    <xf numFmtId="0" fontId="96" fillId="3" borderId="42" xfId="0" applyFont="1" applyFill="1" applyBorder="1" applyAlignment="1">
      <alignment vertical="center" wrapText="1"/>
    </xf>
    <xf numFmtId="0" fontId="96" fillId="3" borderId="67" xfId="0" applyFont="1" applyFill="1" applyBorder="1">
      <alignment vertical="center"/>
    </xf>
    <xf numFmtId="0" fontId="81" fillId="3" borderId="74" xfId="0" applyFont="1" applyFill="1" applyBorder="1" applyAlignment="1">
      <alignment horizontal="center" vertical="center"/>
    </xf>
    <xf numFmtId="0" fontId="96" fillId="3" borderId="51" xfId="0" applyFont="1" applyFill="1" applyBorder="1">
      <alignment vertical="center"/>
    </xf>
    <xf numFmtId="0" fontId="81" fillId="48" borderId="78" xfId="0" quotePrefix="1" applyFont="1" applyFill="1" applyBorder="1">
      <alignment vertical="center"/>
    </xf>
    <xf numFmtId="0" fontId="81" fillId="3" borderId="43" xfId="0" quotePrefix="1" applyFont="1" applyFill="1" applyBorder="1" applyAlignment="1">
      <alignment vertical="center" wrapText="1"/>
    </xf>
    <xf numFmtId="0" fontId="96" fillId="3" borderId="54" xfId="0" applyFont="1" applyFill="1" applyBorder="1" applyAlignment="1">
      <alignment horizontal="left" vertical="center"/>
    </xf>
    <xf numFmtId="0" fontId="96" fillId="3" borderId="57" xfId="0" applyFont="1" applyFill="1" applyBorder="1" applyAlignment="1">
      <alignment horizontal="left" vertical="center"/>
    </xf>
    <xf numFmtId="0" fontId="96" fillId="3" borderId="67" xfId="0" applyFont="1" applyFill="1" applyBorder="1" applyAlignment="1">
      <alignment vertical="center" wrapText="1"/>
    </xf>
    <xf numFmtId="0" fontId="96" fillId="3" borderId="57" xfId="0" applyFont="1" applyFill="1" applyBorder="1" applyAlignment="1">
      <alignment horizontal="left" vertical="center" wrapText="1"/>
    </xf>
    <xf numFmtId="0" fontId="81" fillId="58" borderId="44" xfId="0" applyFont="1" applyFill="1" applyBorder="1">
      <alignment vertical="center"/>
    </xf>
    <xf numFmtId="0" fontId="81" fillId="58" borderId="33" xfId="0" quotePrefix="1" applyFont="1" applyFill="1" applyBorder="1">
      <alignment vertical="center"/>
    </xf>
    <xf numFmtId="0" fontId="80" fillId="19" borderId="42" xfId="0" applyFont="1" applyFill="1" applyBorder="1">
      <alignment vertical="center"/>
    </xf>
    <xf numFmtId="0" fontId="81" fillId="19" borderId="42" xfId="0" applyFont="1" applyFill="1" applyBorder="1">
      <alignment vertical="center"/>
    </xf>
    <xf numFmtId="0" fontId="81" fillId="19" borderId="38" xfId="0" applyFont="1" applyFill="1" applyBorder="1">
      <alignment vertical="center"/>
    </xf>
    <xf numFmtId="0" fontId="81" fillId="19" borderId="43" xfId="0" applyFont="1" applyFill="1" applyBorder="1">
      <alignment vertical="center"/>
    </xf>
    <xf numFmtId="0" fontId="81" fillId="19" borderId="45" xfId="0" applyFont="1" applyFill="1" applyBorder="1">
      <alignment vertical="center"/>
    </xf>
    <xf numFmtId="0" fontId="83" fillId="3" borderId="0" xfId="0" applyFont="1" applyFill="1">
      <alignment vertical="center"/>
    </xf>
    <xf numFmtId="0" fontId="81" fillId="17" borderId="187" xfId="0" applyFont="1" applyFill="1" applyBorder="1" applyAlignment="1">
      <alignment horizontal="center" vertical="center"/>
    </xf>
    <xf numFmtId="0" fontId="81" fillId="17" borderId="394" xfId="0" applyFont="1" applyFill="1" applyBorder="1" applyAlignment="1">
      <alignment horizontal="center" vertical="center"/>
    </xf>
    <xf numFmtId="0" fontId="82" fillId="48" borderId="43" xfId="0" applyFont="1" applyFill="1" applyBorder="1" applyAlignment="1">
      <alignment horizontal="center" vertical="center"/>
    </xf>
    <xf numFmtId="0" fontId="113" fillId="48" borderId="43" xfId="0" applyFont="1" applyFill="1" applyBorder="1" applyAlignment="1">
      <alignment horizontal="center" vertical="center"/>
    </xf>
    <xf numFmtId="177" fontId="82" fillId="48" borderId="38" xfId="0" quotePrefix="1" applyNumberFormat="1" applyFont="1" applyFill="1" applyBorder="1">
      <alignment vertical="center"/>
    </xf>
    <xf numFmtId="0" fontId="112" fillId="48" borderId="42" xfId="0" applyFont="1" applyFill="1" applyBorder="1">
      <alignment vertical="center"/>
    </xf>
    <xf numFmtId="0" fontId="112" fillId="48" borderId="45" xfId="0" applyFont="1" applyFill="1" applyBorder="1">
      <alignment vertical="center"/>
    </xf>
    <xf numFmtId="181" fontId="115" fillId="4" borderId="175" xfId="0" applyNumberFormat="1" applyFont="1" applyFill="1" applyBorder="1" applyAlignment="1">
      <alignment horizontal="right" vertical="center" wrapText="1"/>
    </xf>
    <xf numFmtId="181" fontId="115" fillId="4" borderId="38" xfId="0" applyNumberFormat="1" applyFont="1" applyFill="1" applyBorder="1" applyAlignment="1">
      <alignment horizontal="right" vertical="center" wrapText="1"/>
    </xf>
    <xf numFmtId="181" fontId="116" fillId="4" borderId="368" xfId="0" applyNumberFormat="1" applyFont="1" applyFill="1" applyBorder="1" applyAlignment="1">
      <alignment horizontal="right" vertical="center" wrapText="1"/>
    </xf>
    <xf numFmtId="181" fontId="115" fillId="4" borderId="175" xfId="1" quotePrefix="1" applyNumberFormat="1" applyFont="1" applyFill="1" applyBorder="1" applyAlignment="1">
      <alignment horizontal="right" vertical="center" wrapText="1"/>
    </xf>
    <xf numFmtId="181" fontId="115" fillId="4" borderId="37" xfId="1" quotePrefix="1" applyNumberFormat="1" applyFont="1" applyFill="1" applyBorder="1" applyAlignment="1">
      <alignment horizontal="right" vertical="center" wrapText="1"/>
    </xf>
    <xf numFmtId="181" fontId="116" fillId="4" borderId="374" xfId="1" quotePrefix="1" applyNumberFormat="1" applyFont="1" applyFill="1" applyBorder="1" applyAlignment="1">
      <alignment horizontal="right" vertical="center" wrapText="1"/>
    </xf>
    <xf numFmtId="181" fontId="115" fillId="4" borderId="37" xfId="1" applyNumberFormat="1" applyFont="1" applyFill="1" applyBorder="1" applyAlignment="1">
      <alignment horizontal="right" vertical="center" wrapText="1"/>
    </xf>
    <xf numFmtId="181" fontId="116" fillId="4" borderId="374" xfId="1" applyNumberFormat="1" applyFont="1" applyFill="1" applyBorder="1" applyAlignment="1">
      <alignment horizontal="right" vertical="center" wrapText="1"/>
    </xf>
    <xf numFmtId="181" fontId="115" fillId="4" borderId="176" xfId="1" applyNumberFormat="1" applyFont="1" applyFill="1" applyBorder="1" applyAlignment="1">
      <alignment horizontal="right" vertical="center" wrapText="1"/>
    </xf>
    <xf numFmtId="177" fontId="97" fillId="52" borderId="42" xfId="0" quotePrefix="1" applyNumberFormat="1" applyFont="1" applyFill="1" applyBorder="1" applyAlignment="1">
      <alignment horizontal="left" vertical="center"/>
    </xf>
    <xf numFmtId="177" fontId="97" fillId="52" borderId="302" xfId="0" quotePrefix="1" applyNumberFormat="1" applyFont="1" applyFill="1" applyBorder="1">
      <alignment vertical="center"/>
    </xf>
    <xf numFmtId="181" fontId="25" fillId="4" borderId="368" xfId="0" applyNumberFormat="1" applyFont="1" applyFill="1" applyBorder="1" applyAlignment="1">
      <alignment horizontal="right" vertical="center" wrapText="1"/>
    </xf>
    <xf numFmtId="177" fontId="97" fillId="19" borderId="302" xfId="0" quotePrefix="1" applyNumberFormat="1" applyFont="1" applyFill="1" applyBorder="1">
      <alignment vertical="center"/>
    </xf>
    <xf numFmtId="177" fontId="96" fillId="15" borderId="43" xfId="0" quotePrefix="1" applyNumberFormat="1" applyFont="1" applyFill="1" applyBorder="1">
      <alignment vertical="center"/>
    </xf>
    <xf numFmtId="41" fontId="96" fillId="4" borderId="175" xfId="1" applyFont="1" applyFill="1" applyBorder="1" applyAlignment="1">
      <alignment vertical="center" wrapText="1"/>
    </xf>
    <xf numFmtId="41" fontId="96" fillId="4" borderId="38" xfId="1" quotePrefix="1" applyFont="1" applyFill="1" applyBorder="1" applyAlignment="1">
      <alignment horizontal="right" vertical="center" wrapText="1"/>
    </xf>
    <xf numFmtId="177" fontId="96" fillId="0" borderId="302" xfId="0" quotePrefix="1" applyNumberFormat="1" applyFont="1" applyBorder="1">
      <alignment vertical="center"/>
    </xf>
    <xf numFmtId="0" fontId="97" fillId="48" borderId="43" xfId="0" applyFont="1" applyFill="1" applyBorder="1">
      <alignment vertical="center"/>
    </xf>
    <xf numFmtId="40" fontId="96" fillId="3" borderId="292" xfId="1" quotePrefix="1" applyNumberFormat="1" applyFont="1" applyFill="1" applyBorder="1" applyAlignment="1">
      <alignment horizontal="left" vertical="center" wrapText="1"/>
    </xf>
    <xf numFmtId="182" fontId="115" fillId="4" borderId="38" xfId="0" quotePrefix="1" applyNumberFormat="1" applyFont="1" applyFill="1" applyBorder="1" applyAlignment="1">
      <alignment horizontal="right" vertical="center" wrapText="1"/>
    </xf>
    <xf numFmtId="182" fontId="115" fillId="4" borderId="175" xfId="0" applyNumberFormat="1" applyFont="1" applyFill="1" applyBorder="1" applyAlignment="1">
      <alignment vertical="center" wrapText="1"/>
    </xf>
    <xf numFmtId="181" fontId="115" fillId="4" borderId="175" xfId="0" quotePrefix="1" applyNumberFormat="1" applyFont="1" applyFill="1" applyBorder="1" applyAlignment="1">
      <alignment horizontal="right" vertical="center" wrapText="1"/>
    </xf>
    <xf numFmtId="181" fontId="115" fillId="4" borderId="38" xfId="0" quotePrefix="1" applyNumberFormat="1" applyFont="1" applyFill="1" applyBorder="1" applyAlignment="1">
      <alignment horizontal="right" vertical="center" wrapText="1"/>
    </xf>
    <xf numFmtId="177" fontId="97" fillId="48" borderId="302" xfId="0" quotePrefix="1" applyNumberFormat="1" applyFont="1" applyFill="1" applyBorder="1">
      <alignment vertical="center"/>
    </xf>
    <xf numFmtId="177" fontId="96" fillId="0" borderId="38" xfId="0" applyNumberFormat="1" applyFont="1" applyBorder="1">
      <alignment vertical="center"/>
    </xf>
    <xf numFmtId="0" fontId="96" fillId="49" borderId="43" xfId="0" applyFont="1" applyFill="1" applyBorder="1" applyAlignment="1">
      <alignment horizontal="center" vertical="center"/>
    </xf>
    <xf numFmtId="0" fontId="96" fillId="0" borderId="38" xfId="0" applyFont="1" applyBorder="1">
      <alignment vertical="center"/>
    </xf>
    <xf numFmtId="0" fontId="96" fillId="0" borderId="43" xfId="0" applyFont="1" applyBorder="1" applyAlignment="1">
      <alignment horizontal="center" vertical="center"/>
    </xf>
    <xf numFmtId="177" fontId="97" fillId="58" borderId="42" xfId="0" quotePrefix="1" applyNumberFormat="1" applyFont="1" applyFill="1" applyBorder="1">
      <alignment vertical="center"/>
    </xf>
    <xf numFmtId="177" fontId="97" fillId="58" borderId="233" xfId="0" quotePrefix="1" applyNumberFormat="1" applyFont="1" applyFill="1" applyBorder="1">
      <alignment vertical="center"/>
    </xf>
    <xf numFmtId="181" fontId="97" fillId="58" borderId="307" xfId="0" quotePrefix="1" applyNumberFormat="1" applyFont="1" applyFill="1" applyBorder="1">
      <alignment vertical="center"/>
    </xf>
    <xf numFmtId="181" fontId="97" fillId="58" borderId="42" xfId="0" quotePrefix="1" applyNumberFormat="1" applyFont="1" applyFill="1" applyBorder="1">
      <alignment vertical="center"/>
    </xf>
    <xf numFmtId="181" fontId="97" fillId="58" borderId="295" xfId="0" quotePrefix="1" applyNumberFormat="1" applyFont="1" applyFill="1" applyBorder="1">
      <alignment vertical="center"/>
    </xf>
    <xf numFmtId="0" fontId="96" fillId="48" borderId="43" xfId="0" applyFont="1" applyFill="1" applyBorder="1" applyAlignment="1">
      <alignment horizontal="center" vertical="center"/>
    </xf>
    <xf numFmtId="0" fontId="96" fillId="48" borderId="42" xfId="0" applyFont="1" applyFill="1" applyBorder="1">
      <alignment vertical="center"/>
    </xf>
    <xf numFmtId="0" fontId="96" fillId="0" borderId="38" xfId="0" applyFont="1" applyBorder="1" applyAlignment="1">
      <alignment horizontal="left" vertical="center"/>
    </xf>
    <xf numFmtId="0" fontId="96" fillId="0" borderId="45" xfId="0" applyFont="1" applyBorder="1" applyAlignment="1">
      <alignment horizontal="left" vertical="center"/>
    </xf>
    <xf numFmtId="177" fontId="96" fillId="0" borderId="42" xfId="0" applyNumberFormat="1" applyFont="1" applyBorder="1">
      <alignment vertical="center"/>
    </xf>
    <xf numFmtId="177" fontId="96" fillId="0" borderId="45" xfId="0" applyNumberFormat="1" applyFont="1" applyBorder="1">
      <alignment vertical="center"/>
    </xf>
    <xf numFmtId="181" fontId="96" fillId="4" borderId="80" xfId="0" applyNumberFormat="1" applyFont="1" applyFill="1" applyBorder="1" applyAlignment="1">
      <alignment vertical="center" wrapText="1"/>
    </xf>
    <xf numFmtId="181" fontId="97" fillId="4" borderId="379" xfId="0" applyNumberFormat="1" applyFont="1" applyFill="1" applyBorder="1" applyAlignment="1">
      <alignment vertical="center" wrapText="1"/>
    </xf>
    <xf numFmtId="0" fontId="96" fillId="3" borderId="45" xfId="0" applyFont="1" applyFill="1" applyBorder="1" applyAlignment="1">
      <alignment vertical="center" wrapText="1"/>
    </xf>
    <xf numFmtId="0" fontId="96" fillId="49" borderId="42" xfId="0" applyFont="1" applyFill="1" applyBorder="1">
      <alignment vertical="center"/>
    </xf>
    <xf numFmtId="3" fontId="96" fillId="49" borderId="42" xfId="0" applyNumberFormat="1" applyFont="1" applyFill="1" applyBorder="1" applyAlignment="1">
      <alignment horizontal="center" vertical="center"/>
    </xf>
    <xf numFmtId="0" fontId="96" fillId="21" borderId="54" xfId="0" applyFont="1" applyFill="1" applyBorder="1">
      <alignment vertical="center"/>
    </xf>
    <xf numFmtId="177" fontId="96" fillId="45" borderId="52" xfId="0" quotePrefix="1" applyNumberFormat="1" applyFont="1" applyFill="1" applyBorder="1" applyAlignment="1">
      <alignment horizontal="center" vertical="center"/>
    </xf>
    <xf numFmtId="0" fontId="96" fillId="19" borderId="42" xfId="0" applyFont="1" applyFill="1" applyBorder="1">
      <alignment vertical="center"/>
    </xf>
    <xf numFmtId="0" fontId="96" fillId="19" borderId="42" xfId="0" applyFont="1" applyFill="1" applyBorder="1" applyAlignment="1">
      <alignment horizontal="center" vertical="center"/>
    </xf>
    <xf numFmtId="0" fontId="97" fillId="48" borderId="38" xfId="0" applyFont="1" applyFill="1" applyBorder="1">
      <alignment vertical="center"/>
    </xf>
    <xf numFmtId="0" fontId="96" fillId="48" borderId="57" xfId="0" applyFont="1" applyFill="1" applyBorder="1">
      <alignment vertical="center"/>
    </xf>
    <xf numFmtId="0" fontId="97" fillId="48" borderId="43" xfId="0" applyFont="1" applyFill="1" applyBorder="1" applyAlignment="1">
      <alignment horizontal="center" vertical="center"/>
    </xf>
    <xf numFmtId="0" fontId="96" fillId="3" borderId="45" xfId="0" applyFont="1" applyFill="1" applyBorder="1">
      <alignment vertical="center"/>
    </xf>
    <xf numFmtId="0" fontId="96" fillId="3" borderId="38" xfId="0" applyFont="1" applyFill="1" applyBorder="1">
      <alignment vertical="center"/>
    </xf>
    <xf numFmtId="177" fontId="96" fillId="0" borderId="43" xfId="0" applyNumberFormat="1" applyFont="1" applyBorder="1">
      <alignment vertical="center"/>
    </xf>
    <xf numFmtId="0" fontId="96" fillId="3" borderId="57" xfId="0" applyFont="1" applyFill="1" applyBorder="1">
      <alignment vertical="center"/>
    </xf>
    <xf numFmtId="0" fontId="96" fillId="3" borderId="43" xfId="0" applyFont="1" applyFill="1" applyBorder="1" applyAlignment="1">
      <alignment vertical="center" wrapText="1"/>
    </xf>
    <xf numFmtId="0" fontId="96" fillId="19" borderId="45" xfId="0" applyFont="1" applyFill="1" applyBorder="1" applyAlignment="1">
      <alignment horizontal="center" vertical="center"/>
    </xf>
    <xf numFmtId="0" fontId="96" fillId="19" borderId="38" xfId="0" applyFont="1" applyFill="1" applyBorder="1">
      <alignment vertical="center"/>
    </xf>
    <xf numFmtId="0" fontId="96" fillId="19" borderId="43" xfId="0" applyFont="1" applyFill="1" applyBorder="1" applyAlignment="1">
      <alignment horizontal="center" vertical="center"/>
    </xf>
    <xf numFmtId="0" fontId="97" fillId="48" borderId="43" xfId="0" quotePrefix="1" applyFont="1" applyFill="1" applyBorder="1">
      <alignment vertical="center"/>
    </xf>
    <xf numFmtId="0" fontId="97" fillId="48" borderId="42" xfId="0" quotePrefix="1" applyFont="1" applyFill="1" applyBorder="1">
      <alignment vertical="center"/>
    </xf>
    <xf numFmtId="0" fontId="96" fillId="48" borderId="45" xfId="0" applyFont="1" applyFill="1" applyBorder="1">
      <alignment vertical="center"/>
    </xf>
    <xf numFmtId="0" fontId="96" fillId="0" borderId="49" xfId="0" quotePrefix="1" applyFont="1" applyBorder="1" applyAlignment="1">
      <alignment vertical="center" wrapText="1"/>
    </xf>
    <xf numFmtId="0" fontId="96" fillId="0" borderId="49" xfId="0" applyFont="1" applyBorder="1" applyAlignment="1">
      <alignment vertical="center" wrapText="1"/>
    </xf>
    <xf numFmtId="0" fontId="97" fillId="48" borderId="80" xfId="0" applyFont="1" applyFill="1" applyBorder="1">
      <alignment vertical="center"/>
    </xf>
    <xf numFmtId="0" fontId="96" fillId="0" borderId="42" xfId="0" applyFont="1" applyBorder="1">
      <alignment vertical="center"/>
    </xf>
    <xf numFmtId="0" fontId="96" fillId="0" borderId="45" xfId="0" applyFont="1" applyBorder="1">
      <alignment vertical="center"/>
    </xf>
    <xf numFmtId="0" fontId="96" fillId="0" borderId="91" xfId="0" applyFont="1" applyBorder="1">
      <alignment vertical="center"/>
    </xf>
    <xf numFmtId="0" fontId="96" fillId="0" borderId="290" xfId="0" applyFont="1" applyBorder="1">
      <alignment vertical="center"/>
    </xf>
    <xf numFmtId="0" fontId="96" fillId="0" borderId="259" xfId="0" applyFont="1" applyBorder="1" applyAlignment="1">
      <alignment horizontal="center" vertical="center"/>
    </xf>
    <xf numFmtId="0" fontId="96" fillId="3" borderId="108" xfId="0" applyFont="1" applyFill="1" applyBorder="1">
      <alignment vertical="center"/>
    </xf>
    <xf numFmtId="0" fontId="96" fillId="3" borderId="259" xfId="0" applyFont="1" applyFill="1" applyBorder="1" applyAlignment="1">
      <alignment vertical="center" wrapText="1"/>
    </xf>
    <xf numFmtId="0" fontId="96" fillId="3" borderId="91" xfId="0" applyFont="1" applyFill="1" applyBorder="1" applyAlignment="1">
      <alignment vertical="center" wrapText="1"/>
    </xf>
    <xf numFmtId="0" fontId="96" fillId="3" borderId="290" xfId="0" applyFont="1" applyFill="1" applyBorder="1" applyAlignment="1">
      <alignment vertical="center" wrapText="1"/>
    </xf>
    <xf numFmtId="0" fontId="96" fillId="3" borderId="259" xfId="0" applyFont="1" applyFill="1" applyBorder="1" applyAlignment="1">
      <alignment horizontal="center" vertical="center"/>
    </xf>
    <xf numFmtId="0" fontId="96" fillId="0" borderId="34" xfId="0" applyFont="1" applyBorder="1" applyAlignment="1">
      <alignment horizontal="center" vertical="center"/>
    </xf>
    <xf numFmtId="177" fontId="96" fillId="0" borderId="49" xfId="0" quotePrefix="1" applyNumberFormat="1" applyFont="1" applyBorder="1" applyAlignment="1">
      <alignment horizontal="center" vertical="center"/>
    </xf>
    <xf numFmtId="177" fontId="97" fillId="48" borderId="43" xfId="0" quotePrefix="1" applyNumberFormat="1" applyFont="1" applyFill="1" applyBorder="1">
      <alignment vertical="center"/>
    </xf>
    <xf numFmtId="0" fontId="96" fillId="48" borderId="38" xfId="0" applyFont="1" applyFill="1" applyBorder="1" applyAlignment="1">
      <alignment horizontal="left" vertical="center"/>
    </xf>
    <xf numFmtId="0" fontId="96" fillId="48" borderId="38" xfId="0" applyFont="1" applyFill="1" applyBorder="1">
      <alignment vertical="center"/>
    </xf>
    <xf numFmtId="0" fontId="96" fillId="48" borderId="38" xfId="0" applyFont="1" applyFill="1" applyBorder="1" applyAlignment="1">
      <alignment horizontal="left" vertical="center" wrapText="1"/>
    </xf>
    <xf numFmtId="177" fontId="96" fillId="48" borderId="49" xfId="0" applyNumberFormat="1" applyFont="1" applyFill="1" applyBorder="1" applyAlignment="1">
      <alignment horizontal="center" vertical="center"/>
    </xf>
    <xf numFmtId="0" fontId="81" fillId="3" borderId="395" xfId="0" applyFont="1" applyFill="1" applyBorder="1" applyAlignment="1">
      <alignment horizontal="center" vertical="center"/>
    </xf>
    <xf numFmtId="177" fontId="81" fillId="0" borderId="396" xfId="0" quotePrefix="1" applyNumberFormat="1" applyFont="1" applyBorder="1" applyAlignment="1">
      <alignment horizontal="center" vertical="center"/>
    </xf>
    <xf numFmtId="177" fontId="97" fillId="48" borderId="33" xfId="0" quotePrefix="1" applyNumberFormat="1" applyFont="1" applyFill="1" applyBorder="1">
      <alignment vertical="center"/>
    </xf>
    <xf numFmtId="177" fontId="97" fillId="19" borderId="306" xfId="0" quotePrefix="1" applyNumberFormat="1" applyFont="1" applyFill="1" applyBorder="1">
      <alignment vertical="center"/>
    </xf>
    <xf numFmtId="177" fontId="97" fillId="48" borderId="49" xfId="0" quotePrefix="1" applyNumberFormat="1" applyFont="1" applyFill="1" applyBorder="1">
      <alignment vertical="center"/>
    </xf>
    <xf numFmtId="177" fontId="96" fillId="0" borderId="42" xfId="0" quotePrefix="1" applyNumberFormat="1" applyFont="1" applyBorder="1">
      <alignment vertical="center"/>
    </xf>
    <xf numFmtId="182" fontId="81" fillId="4" borderId="175" xfId="0" applyNumberFormat="1" applyFont="1" applyFill="1" applyBorder="1" applyAlignment="1">
      <alignment vertical="center" wrapText="1"/>
    </xf>
    <xf numFmtId="182" fontId="81" fillId="4" borderId="175" xfId="0" applyNumberFormat="1" applyFont="1" applyFill="1" applyBorder="1" applyAlignment="1">
      <alignment horizontal="right" vertical="center" wrapText="1"/>
    </xf>
    <xf numFmtId="182" fontId="81" fillId="4" borderId="38" xfId="0" applyNumberFormat="1" applyFont="1" applyFill="1" applyBorder="1" applyAlignment="1">
      <alignment horizontal="right" vertical="center" wrapText="1"/>
    </xf>
    <xf numFmtId="182" fontId="96" fillId="4" borderId="38" xfId="1" applyNumberFormat="1" applyFont="1" applyFill="1" applyBorder="1" applyAlignment="1">
      <alignment horizontal="right" vertical="center" wrapText="1"/>
    </xf>
    <xf numFmtId="182" fontId="96" fillId="4" borderId="175" xfId="1" applyNumberFormat="1" applyFont="1" applyFill="1" applyBorder="1" applyAlignment="1">
      <alignment horizontal="right" vertical="center" wrapText="1"/>
    </xf>
    <xf numFmtId="197" fontId="97" fillId="48" borderId="368" xfId="0" applyNumberFormat="1" applyFont="1" applyFill="1" applyBorder="1" applyAlignment="1">
      <alignment horizontal="right" vertical="center" wrapText="1"/>
    </xf>
    <xf numFmtId="182" fontId="96" fillId="4" borderId="314" xfId="1" quotePrefix="1" applyNumberFormat="1" applyFont="1" applyFill="1" applyBorder="1" applyAlignment="1">
      <alignment horizontal="right" vertical="center" wrapText="1"/>
    </xf>
    <xf numFmtId="182" fontId="96" fillId="4" borderId="54" xfId="1" quotePrefix="1" applyNumberFormat="1" applyFont="1" applyFill="1" applyBorder="1" applyAlignment="1">
      <alignment horizontal="right" vertical="center" wrapText="1"/>
    </xf>
    <xf numFmtId="182" fontId="96" fillId="4" borderId="43" xfId="0" applyNumberFormat="1" applyFont="1" applyFill="1" applyBorder="1" applyAlignment="1">
      <alignment horizontal="right" vertical="center" wrapText="1"/>
    </xf>
    <xf numFmtId="0" fontId="97" fillId="36" borderId="43" xfId="0" quotePrefix="1" applyFont="1" applyFill="1" applyBorder="1">
      <alignment vertical="center"/>
    </xf>
    <xf numFmtId="0" fontId="97" fillId="36" borderId="42" xfId="0" quotePrefix="1" applyFont="1" applyFill="1" applyBorder="1">
      <alignment vertical="center"/>
    </xf>
    <xf numFmtId="0" fontId="96" fillId="36" borderId="43" xfId="0" applyFont="1" applyFill="1" applyBorder="1" applyAlignment="1">
      <alignment horizontal="center" vertical="center"/>
    </xf>
    <xf numFmtId="0" fontId="97" fillId="36" borderId="38" xfId="0" applyFont="1" applyFill="1" applyBorder="1">
      <alignment vertical="center"/>
    </xf>
    <xf numFmtId="0" fontId="96" fillId="36" borderId="57" xfId="0" applyFont="1" applyFill="1" applyBorder="1">
      <alignment vertical="center"/>
    </xf>
    <xf numFmtId="0" fontId="97" fillId="36" borderId="43" xfId="0" applyFont="1" applyFill="1" applyBorder="1" applyAlignment="1">
      <alignment horizontal="center" vertical="center"/>
    </xf>
    <xf numFmtId="181" fontId="96" fillId="36" borderId="176" xfId="1" quotePrefix="1" applyNumberFormat="1" applyFont="1" applyFill="1" applyBorder="1" applyAlignment="1">
      <alignment horizontal="right" vertical="center" wrapText="1"/>
    </xf>
    <xf numFmtId="181" fontId="96" fillId="36" borderId="37" xfId="1" quotePrefix="1" applyNumberFormat="1" applyFont="1" applyFill="1" applyBorder="1" applyAlignment="1">
      <alignment horizontal="right" vertical="center" wrapText="1"/>
    </xf>
    <xf numFmtId="181" fontId="97" fillId="36" borderId="374" xfId="1" quotePrefix="1" applyNumberFormat="1" applyFont="1" applyFill="1" applyBorder="1" applyAlignment="1">
      <alignment horizontal="right" vertical="center" wrapText="1"/>
    </xf>
    <xf numFmtId="177" fontId="96" fillId="69" borderId="43" xfId="0" quotePrefix="1" applyNumberFormat="1" applyFont="1" applyFill="1" applyBorder="1">
      <alignment vertical="center"/>
    </xf>
    <xf numFmtId="177" fontId="96" fillId="69" borderId="45" xfId="0" quotePrefix="1" applyNumberFormat="1" applyFont="1" applyFill="1" applyBorder="1">
      <alignment vertical="center"/>
    </xf>
    <xf numFmtId="0" fontId="96" fillId="36" borderId="38" xfId="0" applyFont="1" applyFill="1" applyBorder="1">
      <alignment vertical="center"/>
    </xf>
    <xf numFmtId="0" fontId="96" fillId="36" borderId="45" xfId="0" applyFont="1" applyFill="1" applyBorder="1">
      <alignment vertical="center"/>
    </xf>
    <xf numFmtId="181" fontId="96" fillId="36" borderId="175" xfId="0" applyNumberFormat="1" applyFont="1" applyFill="1" applyBorder="1" applyAlignment="1">
      <alignment vertical="center" wrapText="1"/>
    </xf>
    <xf numFmtId="181" fontId="96" fillId="36" borderId="38" xfId="0" quotePrefix="1" applyNumberFormat="1" applyFont="1" applyFill="1" applyBorder="1" applyAlignment="1">
      <alignment horizontal="right" vertical="center" wrapText="1"/>
    </xf>
    <xf numFmtId="181" fontId="97" fillId="36" borderId="368" xfId="0" quotePrefix="1" applyNumberFormat="1" applyFont="1" applyFill="1" applyBorder="1" applyAlignment="1">
      <alignment horizontal="right" vertical="center" wrapText="1"/>
    </xf>
    <xf numFmtId="181" fontId="96" fillId="4" borderId="52" xfId="1" applyNumberFormat="1" applyFont="1" applyFill="1" applyBorder="1" applyAlignment="1">
      <alignment horizontal="right" vertical="center" wrapText="1"/>
    </xf>
    <xf numFmtId="181" fontId="96" fillId="21" borderId="303" xfId="1" applyNumberFormat="1" applyFont="1" applyFill="1" applyBorder="1" applyAlignment="1">
      <alignment horizontal="right" vertical="center" wrapText="1"/>
    </xf>
    <xf numFmtId="181" fontId="96" fillId="21" borderId="38" xfId="1" applyNumberFormat="1" applyFont="1" applyFill="1" applyBorder="1" applyAlignment="1">
      <alignment horizontal="right" vertical="center" wrapText="1"/>
    </xf>
    <xf numFmtId="181" fontId="97" fillId="21" borderId="368" xfId="1" quotePrefix="1" applyNumberFormat="1" applyFont="1" applyFill="1" applyBorder="1" applyAlignment="1">
      <alignment horizontal="right" vertical="center" wrapText="1"/>
    </xf>
    <xf numFmtId="182" fontId="96" fillId="21" borderId="303" xfId="1" quotePrefix="1" applyNumberFormat="1" applyFont="1" applyFill="1" applyBorder="1" applyAlignment="1">
      <alignment horizontal="right" vertical="center" wrapText="1"/>
    </xf>
    <xf numFmtId="182" fontId="96" fillId="21" borderId="38" xfId="0" applyNumberFormat="1" applyFont="1" applyFill="1" applyBorder="1" applyAlignment="1">
      <alignment horizontal="right" vertical="center" wrapText="1"/>
    </xf>
    <xf numFmtId="182" fontId="97" fillId="21" borderId="368" xfId="0" quotePrefix="1" applyNumberFormat="1" applyFont="1" applyFill="1" applyBorder="1" applyAlignment="1">
      <alignment vertical="center" wrapText="1"/>
    </xf>
    <xf numFmtId="0" fontId="120" fillId="48" borderId="43" xfId="0" applyFont="1" applyFill="1" applyBorder="1" applyAlignment="1">
      <alignment horizontal="center" vertical="center"/>
    </xf>
    <xf numFmtId="0" fontId="89" fillId="10" borderId="3" xfId="2" applyFont="1" applyFill="1" applyBorder="1" applyAlignment="1">
      <alignment horizontal="center" vertical="center" wrapText="1"/>
    </xf>
    <xf numFmtId="0" fontId="81" fillId="17" borderId="399" xfId="0" applyFont="1" applyFill="1" applyBorder="1" applyAlignment="1">
      <alignment horizontal="center" vertical="top"/>
    </xf>
    <xf numFmtId="0" fontId="81" fillId="17" borderId="90" xfId="0" applyFont="1" applyFill="1" applyBorder="1" applyAlignment="1">
      <alignment horizontal="center" vertical="top"/>
    </xf>
    <xf numFmtId="0" fontId="81" fillId="17" borderId="400" xfId="0" applyFont="1" applyFill="1" applyBorder="1" applyAlignment="1">
      <alignment horizontal="center" vertical="top"/>
    </xf>
    <xf numFmtId="3" fontId="80" fillId="12" borderId="263" xfId="0" applyNumberFormat="1" applyFont="1" applyFill="1" applyBorder="1" applyAlignment="1">
      <alignment horizontal="left" vertical="center"/>
    </xf>
    <xf numFmtId="3" fontId="80" fillId="14" borderId="29" xfId="0" applyNumberFormat="1" applyFont="1" applyFill="1" applyBorder="1" applyAlignment="1">
      <alignment horizontal="left" vertical="center"/>
    </xf>
    <xf numFmtId="3" fontId="81" fillId="3" borderId="401" xfId="0" applyNumberFormat="1" applyFont="1" applyFill="1" applyBorder="1" applyAlignment="1">
      <alignment horizontal="left" vertical="center" wrapText="1"/>
    </xf>
    <xf numFmtId="3" fontId="81" fillId="3" borderId="271" xfId="0" applyNumberFormat="1" applyFont="1" applyFill="1" applyBorder="1" applyAlignment="1">
      <alignment horizontal="left" vertical="center" wrapText="1"/>
    </xf>
    <xf numFmtId="3" fontId="81" fillId="3" borderId="402" xfId="0" applyNumberFormat="1" applyFont="1" applyFill="1" applyBorder="1" applyAlignment="1">
      <alignment horizontal="left" vertical="center" wrapText="1"/>
    </xf>
    <xf numFmtId="178" fontId="80" fillId="14" borderId="29" xfId="0" applyNumberFormat="1" applyFont="1" applyFill="1" applyBorder="1" applyAlignment="1">
      <alignment horizontal="left" vertical="center" wrapText="1"/>
    </xf>
    <xf numFmtId="37" fontId="81" fillId="3" borderId="401" xfId="0" applyNumberFormat="1" applyFont="1" applyFill="1" applyBorder="1" applyAlignment="1">
      <alignment horizontal="left" vertical="center" wrapText="1"/>
    </xf>
    <xf numFmtId="37" fontId="81" fillId="3" borderId="271" xfId="0" applyNumberFormat="1" applyFont="1" applyFill="1" applyBorder="1" applyAlignment="1">
      <alignment horizontal="left" vertical="center" wrapText="1"/>
    </xf>
    <xf numFmtId="37" fontId="81" fillId="3" borderId="402" xfId="0" applyNumberFormat="1" applyFont="1" applyFill="1" applyBorder="1" applyAlignment="1">
      <alignment horizontal="left" vertical="center" wrapText="1"/>
    </xf>
    <xf numFmtId="0" fontId="81" fillId="3" borderId="403" xfId="0" applyFont="1" applyFill="1" applyBorder="1" applyAlignment="1">
      <alignment horizontal="left" vertical="center" wrapText="1"/>
    </xf>
    <xf numFmtId="0" fontId="81" fillId="17" borderId="136" xfId="0" applyFont="1" applyFill="1" applyBorder="1" applyAlignment="1">
      <alignment horizontal="center" vertical="center"/>
    </xf>
    <xf numFmtId="0" fontId="81" fillId="17" borderId="105" xfId="0" applyFont="1" applyFill="1" applyBorder="1" applyAlignment="1">
      <alignment horizontal="center" vertical="center"/>
    </xf>
    <xf numFmtId="0" fontId="81" fillId="17" borderId="404" xfId="0" applyFont="1" applyFill="1" applyBorder="1" applyAlignment="1">
      <alignment horizontal="center" vertical="center"/>
    </xf>
    <xf numFmtId="40" fontId="96" fillId="48" borderId="407" xfId="1" quotePrefix="1" applyNumberFormat="1" applyFont="1" applyFill="1" applyBorder="1" applyAlignment="1">
      <alignment horizontal="left" vertical="center" wrapText="1"/>
    </xf>
    <xf numFmtId="180" fontId="96" fillId="3" borderId="407" xfId="0" applyNumberFormat="1" applyFont="1" applyFill="1" applyBorder="1" applyAlignment="1">
      <alignment horizontal="left" vertical="center" wrapText="1"/>
    </xf>
    <xf numFmtId="180" fontId="96" fillId="3" borderId="407" xfId="1" quotePrefix="1" applyNumberFormat="1" applyFont="1" applyFill="1" applyBorder="1" applyAlignment="1">
      <alignment horizontal="left" vertical="center" wrapText="1"/>
    </xf>
    <xf numFmtId="40" fontId="96" fillId="3" borderId="407" xfId="1" quotePrefix="1" applyNumberFormat="1" applyFont="1" applyFill="1" applyBorder="1" applyAlignment="1">
      <alignment horizontal="left" vertical="center" wrapText="1"/>
    </xf>
    <xf numFmtId="0" fontId="81" fillId="17" borderId="350" xfId="0" applyFont="1" applyFill="1" applyBorder="1" applyAlignment="1">
      <alignment horizontal="center" vertical="center" wrapText="1"/>
    </xf>
    <xf numFmtId="0" fontId="80" fillId="11" borderId="411" xfId="0" applyFont="1" applyFill="1" applyBorder="1" applyAlignment="1">
      <alignment horizontal="left" vertical="center" wrapText="1"/>
    </xf>
    <xf numFmtId="0" fontId="80" fillId="14" borderId="412" xfId="0" applyFont="1" applyFill="1" applyBorder="1" applyAlignment="1">
      <alignment horizontal="left" vertical="center" wrapText="1"/>
    </xf>
    <xf numFmtId="40" fontId="96" fillId="48" borderId="413" xfId="1" quotePrefix="1" applyNumberFormat="1" applyFont="1" applyFill="1" applyBorder="1" applyAlignment="1">
      <alignment horizontal="left" vertical="center" wrapText="1"/>
    </xf>
    <xf numFmtId="40" fontId="96" fillId="3" borderId="410" xfId="1" quotePrefix="1" applyNumberFormat="1" applyFont="1" applyFill="1" applyBorder="1" applyAlignment="1">
      <alignment horizontal="left" vertical="center" wrapText="1"/>
    </xf>
    <xf numFmtId="180" fontId="96" fillId="3" borderId="407" xfId="0" quotePrefix="1" applyNumberFormat="1" applyFont="1" applyFill="1" applyBorder="1" applyAlignment="1">
      <alignment horizontal="left" vertical="center" wrapText="1"/>
    </xf>
    <xf numFmtId="40" fontId="96" fillId="3" borderId="407" xfId="0" applyNumberFormat="1" applyFont="1" applyFill="1" applyBorder="1" applyAlignment="1">
      <alignment horizontal="left" vertical="center" wrapText="1"/>
    </xf>
    <xf numFmtId="40" fontId="81" fillId="3" borderId="407" xfId="0" applyNumberFormat="1" applyFont="1" applyFill="1" applyBorder="1" applyAlignment="1">
      <alignment horizontal="left" vertical="center" wrapText="1"/>
    </xf>
    <xf numFmtId="3" fontId="96" fillId="3" borderId="407" xfId="0" quotePrefix="1" applyNumberFormat="1" applyFont="1" applyFill="1" applyBorder="1" applyAlignment="1">
      <alignment horizontal="left" vertical="center" wrapText="1"/>
    </xf>
    <xf numFmtId="0" fontId="96" fillId="14" borderId="412" xfId="0" applyFont="1" applyFill="1" applyBorder="1" applyAlignment="1">
      <alignment horizontal="left" vertical="center" wrapText="1"/>
    </xf>
    <xf numFmtId="40" fontId="96" fillId="48" borderId="410" xfId="1" quotePrefix="1" applyNumberFormat="1" applyFont="1" applyFill="1" applyBorder="1" applyAlignment="1">
      <alignment horizontal="left" vertical="center" wrapText="1"/>
    </xf>
    <xf numFmtId="40" fontId="96" fillId="49" borderId="410" xfId="1" quotePrefix="1" applyNumberFormat="1" applyFont="1" applyFill="1" applyBorder="1" applyAlignment="1">
      <alignment horizontal="left" vertical="center" wrapText="1"/>
    </xf>
    <xf numFmtId="3" fontId="96" fillId="3" borderId="407" xfId="0" applyNumberFormat="1" applyFont="1" applyFill="1" applyBorder="1" applyAlignment="1">
      <alignment horizontal="left" vertical="center" wrapText="1"/>
    </xf>
    <xf numFmtId="187" fontId="81" fillId="3" borderId="407" xfId="0" applyNumberFormat="1" applyFont="1" applyFill="1" applyBorder="1" applyAlignment="1">
      <alignment horizontal="left" vertical="center" wrapText="1"/>
    </xf>
    <xf numFmtId="4" fontId="96" fillId="3" borderId="407" xfId="0" applyNumberFormat="1" applyFont="1" applyFill="1" applyBorder="1" applyAlignment="1">
      <alignment horizontal="left" vertical="center" wrapText="1"/>
    </xf>
    <xf numFmtId="4" fontId="96" fillId="3" borderId="410" xfId="1" quotePrefix="1" applyNumberFormat="1" applyFont="1" applyFill="1" applyBorder="1" applyAlignment="1">
      <alignment horizontal="left" vertical="center" wrapText="1"/>
    </xf>
    <xf numFmtId="3" fontId="96" fillId="49" borderId="407" xfId="0" applyNumberFormat="1" applyFont="1" applyFill="1" applyBorder="1" applyAlignment="1">
      <alignment horizontal="left" vertical="center" wrapText="1"/>
    </xf>
    <xf numFmtId="3" fontId="96" fillId="48" borderId="407" xfId="0" applyNumberFormat="1" applyFont="1" applyFill="1" applyBorder="1" applyAlignment="1">
      <alignment horizontal="left" vertical="center" wrapText="1"/>
    </xf>
    <xf numFmtId="40" fontId="96" fillId="60" borderId="410" xfId="1" quotePrefix="1" applyNumberFormat="1" applyFont="1" applyFill="1" applyBorder="1" applyAlignment="1">
      <alignment horizontal="left" vertical="center" wrapText="1"/>
    </xf>
    <xf numFmtId="40" fontId="90" fillId="3" borderId="410" xfId="1" quotePrefix="1" applyNumberFormat="1" applyFont="1" applyFill="1" applyBorder="1" applyAlignment="1">
      <alignment horizontal="left" vertical="center" wrapText="1"/>
    </xf>
    <xf numFmtId="0" fontId="97" fillId="68" borderId="412" xfId="0" applyFont="1" applyFill="1" applyBorder="1" applyAlignment="1">
      <alignment vertical="center" wrapText="1"/>
    </xf>
    <xf numFmtId="40" fontId="24" fillId="48" borderId="410" xfId="1" quotePrefix="1" applyNumberFormat="1" applyFont="1" applyFill="1" applyBorder="1" applyAlignment="1">
      <alignment horizontal="left" vertical="center" wrapText="1"/>
    </xf>
    <xf numFmtId="3" fontId="96" fillId="48" borderId="410" xfId="0" applyNumberFormat="1" applyFont="1" applyFill="1" applyBorder="1" applyAlignment="1">
      <alignment horizontal="left" vertical="center" wrapText="1"/>
    </xf>
    <xf numFmtId="3" fontId="24" fillId="48" borderId="410" xfId="0" applyNumberFormat="1" applyFont="1" applyFill="1" applyBorder="1" applyAlignment="1">
      <alignment horizontal="left" vertical="center" wrapText="1"/>
    </xf>
    <xf numFmtId="3" fontId="81" fillId="3" borderId="408" xfId="0" applyNumberFormat="1" applyFont="1" applyFill="1" applyBorder="1" applyAlignment="1">
      <alignment horizontal="left" vertical="center" wrapText="1"/>
    </xf>
    <xf numFmtId="3" fontId="90" fillId="3" borderId="407" xfId="0" applyNumberFormat="1" applyFont="1" applyFill="1" applyBorder="1" applyAlignment="1">
      <alignment horizontal="left" vertical="center" wrapText="1"/>
    </xf>
    <xf numFmtId="3" fontId="96" fillId="3" borderId="410" xfId="0" applyNumberFormat="1" applyFont="1" applyFill="1" applyBorder="1" applyAlignment="1">
      <alignment horizontal="left" vertical="center" wrapText="1"/>
    </xf>
    <xf numFmtId="3" fontId="90" fillId="48" borderId="407" xfId="0" applyNumberFormat="1" applyFont="1" applyFill="1" applyBorder="1" applyAlignment="1">
      <alignment horizontal="left" vertical="center" wrapText="1"/>
    </xf>
    <xf numFmtId="4" fontId="96" fillId="3" borderId="407" xfId="0" quotePrefix="1" applyNumberFormat="1" applyFont="1" applyFill="1" applyBorder="1" applyAlignment="1">
      <alignment horizontal="left" vertical="center" wrapText="1"/>
    </xf>
    <xf numFmtId="3" fontId="90" fillId="3" borderId="407" xfId="0" quotePrefix="1" applyNumberFormat="1" applyFont="1" applyFill="1" applyBorder="1" applyAlignment="1">
      <alignment horizontal="left" vertical="center" wrapText="1"/>
    </xf>
    <xf numFmtId="3" fontId="96" fillId="48" borderId="407" xfId="0" quotePrefix="1" applyNumberFormat="1" applyFont="1" applyFill="1" applyBorder="1" applyAlignment="1">
      <alignment horizontal="left" vertical="center" wrapText="1"/>
    </xf>
    <xf numFmtId="3" fontId="96" fillId="3" borderId="409" xfId="0" quotePrefix="1" applyNumberFormat="1" applyFont="1" applyFill="1" applyBorder="1" applyAlignment="1">
      <alignment horizontal="left" vertical="center" wrapText="1"/>
    </xf>
    <xf numFmtId="3" fontId="96" fillId="49" borderId="407" xfId="0" quotePrefix="1" applyNumberFormat="1" applyFont="1" applyFill="1" applyBorder="1" applyAlignment="1">
      <alignment horizontal="left" vertical="center" wrapText="1"/>
    </xf>
    <xf numFmtId="40" fontId="96" fillId="3" borderId="414" xfId="1" quotePrefix="1" applyNumberFormat="1" applyFont="1" applyFill="1" applyBorder="1" applyAlignment="1">
      <alignment horizontal="left" vertical="center" wrapText="1"/>
    </xf>
    <xf numFmtId="3" fontId="81" fillId="14" borderId="28" xfId="0" applyNumberFormat="1" applyFont="1" applyFill="1" applyBorder="1" applyAlignment="1">
      <alignment horizontal="center" vertical="center"/>
    </xf>
    <xf numFmtId="0" fontId="96" fillId="17" borderId="90" xfId="0" applyFont="1" applyFill="1" applyBorder="1" applyAlignment="1">
      <alignment horizontal="center" vertical="center"/>
    </xf>
    <xf numFmtId="0" fontId="81" fillId="14" borderId="28" xfId="0" applyFont="1" applyFill="1" applyBorder="1" applyAlignment="1">
      <alignment horizontal="center" vertical="center"/>
    </xf>
    <xf numFmtId="0" fontId="81" fillId="17" borderId="415" xfId="0" applyFont="1" applyFill="1" applyBorder="1" applyAlignment="1">
      <alignment horizontal="center" vertical="center"/>
    </xf>
    <xf numFmtId="0" fontId="81" fillId="17" borderId="416" xfId="0" applyFont="1" applyFill="1" applyBorder="1" applyAlignment="1">
      <alignment horizontal="center" vertical="center"/>
    </xf>
    <xf numFmtId="0" fontId="81" fillId="17" borderId="417" xfId="0" applyFont="1" applyFill="1" applyBorder="1" applyAlignment="1">
      <alignment horizontal="center" vertical="center"/>
    </xf>
    <xf numFmtId="0" fontId="81" fillId="35" borderId="105" xfId="0" applyFont="1" applyFill="1" applyBorder="1" applyAlignment="1">
      <alignment horizontal="center" vertical="center"/>
    </xf>
    <xf numFmtId="0" fontId="81" fillId="17" borderId="418" xfId="0" applyFont="1" applyFill="1" applyBorder="1" applyAlignment="1">
      <alignment horizontal="center" vertical="center"/>
    </xf>
    <xf numFmtId="0" fontId="105" fillId="11" borderId="76" xfId="0" applyFont="1" applyFill="1" applyBorder="1" applyAlignment="1">
      <alignment horizontal="left" vertical="center"/>
    </xf>
    <xf numFmtId="0" fontId="104" fillId="14" borderId="29" xfId="0" applyFont="1" applyFill="1" applyBorder="1" applyAlignment="1">
      <alignment horizontal="left" vertical="center"/>
    </xf>
    <xf numFmtId="40" fontId="96" fillId="3" borderId="421" xfId="1" quotePrefix="1" applyNumberFormat="1" applyFont="1" applyFill="1" applyBorder="1" applyAlignment="1">
      <alignment horizontal="left" vertical="center" wrapText="1"/>
    </xf>
    <xf numFmtId="3" fontId="96" fillId="48" borderId="422" xfId="0" applyNumberFormat="1" applyFont="1" applyFill="1" applyBorder="1" applyAlignment="1">
      <alignment horizontal="left" vertical="center" wrapText="1"/>
    </xf>
    <xf numFmtId="40" fontId="96" fillId="3" borderId="422" xfId="1" quotePrefix="1" applyNumberFormat="1" applyFont="1" applyFill="1" applyBorder="1" applyAlignment="1">
      <alignment horizontal="left" vertical="center" wrapText="1"/>
    </xf>
    <xf numFmtId="38" fontId="96" fillId="48" borderId="422" xfId="0" applyNumberFormat="1" applyFont="1" applyFill="1" applyBorder="1" applyAlignment="1">
      <alignment horizontal="left" vertical="center" wrapText="1"/>
    </xf>
    <xf numFmtId="178" fontId="96" fillId="52" borderId="422" xfId="0" applyNumberFormat="1" applyFont="1" applyFill="1" applyBorder="1" applyAlignment="1">
      <alignment horizontal="left" vertical="center"/>
    </xf>
    <xf numFmtId="178" fontId="96" fillId="52" borderId="422" xfId="0" quotePrefix="1" applyNumberFormat="1" applyFont="1" applyFill="1" applyBorder="1" applyAlignment="1">
      <alignment horizontal="left" vertical="center"/>
    </xf>
    <xf numFmtId="178" fontId="104" fillId="48" borderId="422" xfId="0" quotePrefix="1" applyNumberFormat="1" applyFont="1" applyFill="1" applyBorder="1" applyAlignment="1">
      <alignment horizontal="left" vertical="center"/>
    </xf>
    <xf numFmtId="178" fontId="104" fillId="3" borderId="422" xfId="0" quotePrefix="1" applyNumberFormat="1" applyFont="1" applyFill="1" applyBorder="1" applyAlignment="1">
      <alignment horizontal="left" vertical="center"/>
    </xf>
    <xf numFmtId="3" fontId="104" fillId="48" borderId="422" xfId="0" applyNumberFormat="1" applyFont="1" applyFill="1" applyBorder="1" applyAlignment="1">
      <alignment horizontal="left" vertical="center" wrapText="1"/>
    </xf>
    <xf numFmtId="0" fontId="96" fillId="52" borderId="422" xfId="0" applyFont="1" applyFill="1" applyBorder="1" applyAlignment="1">
      <alignment horizontal="left" vertical="center"/>
    </xf>
    <xf numFmtId="178" fontId="96" fillId="14" borderId="29" xfId="0" applyNumberFormat="1" applyFont="1" applyFill="1" applyBorder="1" applyAlignment="1">
      <alignment horizontal="left" vertical="center"/>
    </xf>
    <xf numFmtId="3" fontId="96" fillId="3" borderId="422" xfId="0" applyNumberFormat="1" applyFont="1" applyFill="1" applyBorder="1" applyAlignment="1">
      <alignment horizontal="left" vertical="center" wrapText="1"/>
    </xf>
    <xf numFmtId="40" fontId="104" fillId="3" borderId="421" xfId="1" quotePrefix="1" applyNumberFormat="1" applyFont="1" applyFill="1" applyBorder="1" applyAlignment="1">
      <alignment horizontal="left" vertical="center" wrapText="1"/>
    </xf>
    <xf numFmtId="177" fontId="105" fillId="52" borderId="422" xfId="0" quotePrefix="1" applyNumberFormat="1" applyFont="1" applyFill="1" applyBorder="1" applyAlignment="1">
      <alignment horizontal="left" vertical="center"/>
    </xf>
    <xf numFmtId="177" fontId="97" fillId="52" borderId="422" xfId="0" quotePrefix="1" applyNumberFormat="1" applyFont="1" applyFill="1" applyBorder="1" applyAlignment="1">
      <alignment horizontal="left" vertical="center"/>
    </xf>
    <xf numFmtId="3" fontId="104" fillId="3" borderId="422" xfId="0" applyNumberFormat="1" applyFont="1" applyFill="1" applyBorder="1" applyAlignment="1">
      <alignment horizontal="left" vertical="center" wrapText="1"/>
    </xf>
    <xf numFmtId="177" fontId="96" fillId="52" borderId="422" xfId="0" quotePrefix="1" applyNumberFormat="1" applyFont="1" applyFill="1" applyBorder="1" applyAlignment="1">
      <alignment horizontal="left" vertical="center" wrapText="1"/>
    </xf>
    <xf numFmtId="177" fontId="96" fillId="52" borderId="422" xfId="0" quotePrefix="1" applyNumberFormat="1" applyFont="1" applyFill="1" applyBorder="1" applyAlignment="1">
      <alignment horizontal="left" vertical="center"/>
    </xf>
    <xf numFmtId="178" fontId="96" fillId="3" borderId="422" xfId="0" quotePrefix="1" applyNumberFormat="1" applyFont="1" applyFill="1" applyBorder="1" applyAlignment="1">
      <alignment horizontal="left" vertical="center" wrapText="1"/>
    </xf>
    <xf numFmtId="178" fontId="104" fillId="3" borderId="422" xfId="8" quotePrefix="1" applyNumberFormat="1" applyFont="1" applyFill="1" applyBorder="1" applyAlignment="1">
      <alignment horizontal="left" vertical="center" wrapText="1"/>
    </xf>
    <xf numFmtId="178" fontId="104" fillId="3" borderId="422" xfId="0" quotePrefix="1" applyNumberFormat="1" applyFont="1" applyFill="1" applyBorder="1" applyAlignment="1">
      <alignment horizontal="left" vertical="center" wrapText="1"/>
    </xf>
    <xf numFmtId="178" fontId="96" fillId="3" borderId="422" xfId="8" quotePrefix="1" applyNumberFormat="1" applyFont="1" applyFill="1" applyBorder="1" applyAlignment="1">
      <alignment horizontal="left" vertical="center" wrapText="1"/>
    </xf>
    <xf numFmtId="178" fontId="104" fillId="3" borderId="421" xfId="1" quotePrefix="1" applyNumberFormat="1" applyFont="1" applyFill="1" applyBorder="1" applyAlignment="1">
      <alignment horizontal="left" vertical="center" wrapText="1"/>
    </xf>
    <xf numFmtId="178" fontId="96" fillId="3" borderId="421" xfId="8" quotePrefix="1" applyNumberFormat="1" applyFont="1" applyFill="1" applyBorder="1" applyAlignment="1">
      <alignment horizontal="left" vertical="center" wrapText="1"/>
    </xf>
    <xf numFmtId="0" fontId="96" fillId="3" borderId="421" xfId="1" quotePrefix="1" applyNumberFormat="1" applyFont="1" applyFill="1" applyBorder="1" applyAlignment="1">
      <alignment horizontal="left" vertical="center" wrapText="1"/>
    </xf>
    <xf numFmtId="178" fontId="96" fillId="3" borderId="421" xfId="1" quotePrefix="1" applyNumberFormat="1" applyFont="1" applyFill="1" applyBorder="1" applyAlignment="1">
      <alignment horizontal="left" vertical="center" wrapText="1"/>
    </xf>
    <xf numFmtId="178" fontId="96" fillId="48" borderId="421" xfId="1" quotePrefix="1" applyNumberFormat="1" applyFont="1" applyFill="1" applyBorder="1" applyAlignment="1">
      <alignment horizontal="left" vertical="center" wrapText="1"/>
    </xf>
    <xf numFmtId="177" fontId="105" fillId="52" borderId="421" xfId="0" quotePrefix="1" applyNumberFormat="1" applyFont="1" applyFill="1" applyBorder="1" applyAlignment="1">
      <alignment horizontal="left" vertical="center"/>
    </xf>
    <xf numFmtId="185" fontId="104" fillId="3" borderId="421" xfId="1" quotePrefix="1" applyNumberFormat="1" applyFont="1" applyFill="1" applyBorder="1" applyAlignment="1">
      <alignment horizontal="left" vertical="center" wrapText="1"/>
    </xf>
    <xf numFmtId="40" fontId="104" fillId="3" borderId="421" xfId="1" quotePrefix="1" applyNumberFormat="1" applyFont="1" applyFill="1" applyBorder="1" applyAlignment="1">
      <alignment horizontal="left" vertical="center"/>
    </xf>
    <xf numFmtId="3" fontId="96" fillId="48" borderId="421" xfId="0" applyNumberFormat="1" applyFont="1" applyFill="1" applyBorder="1" applyAlignment="1">
      <alignment horizontal="left" vertical="center" wrapText="1"/>
    </xf>
    <xf numFmtId="178" fontId="104" fillId="3" borderId="421" xfId="8" applyNumberFormat="1" applyFont="1" applyFill="1" applyBorder="1" applyAlignment="1">
      <alignment horizontal="left" vertical="center" wrapText="1"/>
    </xf>
    <xf numFmtId="178" fontId="105" fillId="3" borderId="421" xfId="1" quotePrefix="1" applyNumberFormat="1" applyFont="1" applyFill="1" applyBorder="1" applyAlignment="1">
      <alignment horizontal="left" vertical="center" wrapText="1"/>
    </xf>
    <xf numFmtId="3" fontId="96" fillId="48" borderId="422" xfId="0" quotePrefix="1" applyNumberFormat="1" applyFont="1" applyFill="1" applyBorder="1" applyAlignment="1">
      <alignment horizontal="left" vertical="center" wrapText="1"/>
    </xf>
    <xf numFmtId="178" fontId="104" fillId="48" borderId="421" xfId="1" applyNumberFormat="1" applyFont="1" applyFill="1" applyBorder="1" applyAlignment="1">
      <alignment horizontal="left" vertical="center" wrapText="1"/>
    </xf>
    <xf numFmtId="177" fontId="96" fillId="3" borderId="422" xfId="0" quotePrefix="1" applyNumberFormat="1" applyFont="1" applyFill="1" applyBorder="1" applyAlignment="1">
      <alignment horizontal="left" vertical="center"/>
    </xf>
    <xf numFmtId="177" fontId="96" fillId="48" borderId="422" xfId="0" quotePrefix="1" applyNumberFormat="1" applyFont="1" applyFill="1" applyBorder="1" applyAlignment="1">
      <alignment horizontal="left" vertical="center"/>
    </xf>
    <xf numFmtId="3" fontId="96" fillId="3" borderId="421" xfId="0" applyNumberFormat="1" applyFont="1" applyFill="1" applyBorder="1" applyAlignment="1">
      <alignment horizontal="left" vertical="center" wrapText="1"/>
    </xf>
    <xf numFmtId="0" fontId="96" fillId="48" borderId="422" xfId="0" applyFont="1" applyFill="1" applyBorder="1" applyAlignment="1">
      <alignment horizontal="left" vertical="center" wrapText="1"/>
    </xf>
    <xf numFmtId="185" fontId="96" fillId="3" borderId="421" xfId="1" quotePrefix="1" applyNumberFormat="1" applyFont="1" applyFill="1" applyBorder="1" applyAlignment="1">
      <alignment horizontal="left" vertical="center" wrapText="1"/>
    </xf>
    <xf numFmtId="185" fontId="96" fillId="3" borderId="421" xfId="0" applyNumberFormat="1" applyFont="1" applyFill="1" applyBorder="1" applyAlignment="1">
      <alignment horizontal="left" vertical="center" wrapText="1"/>
    </xf>
    <xf numFmtId="3" fontId="96" fillId="60" borderId="422" xfId="0" applyNumberFormat="1" applyFont="1" applyFill="1" applyBorder="1" applyAlignment="1">
      <alignment horizontal="left" vertical="center" wrapText="1"/>
    </xf>
    <xf numFmtId="3" fontId="104" fillId="48" borderId="421" xfId="0" applyNumberFormat="1" applyFont="1" applyFill="1" applyBorder="1" applyAlignment="1">
      <alignment horizontal="left" vertical="center" wrapText="1"/>
    </xf>
    <xf numFmtId="40" fontId="96" fillId="3" borderId="421" xfId="1" applyNumberFormat="1" applyFont="1" applyFill="1" applyBorder="1" applyAlignment="1">
      <alignment horizontal="left" vertical="center" wrapText="1"/>
    </xf>
    <xf numFmtId="3" fontId="96" fillId="3" borderId="421" xfId="1" quotePrefix="1" applyNumberFormat="1" applyFont="1" applyFill="1" applyBorder="1" applyAlignment="1">
      <alignment horizontal="left" vertical="center" wrapText="1"/>
    </xf>
    <xf numFmtId="178" fontId="104" fillId="3" borderId="422" xfId="8" applyNumberFormat="1" applyFont="1" applyFill="1" applyBorder="1" applyAlignment="1">
      <alignment horizontal="left" vertical="center" wrapText="1"/>
    </xf>
    <xf numFmtId="3" fontId="105" fillId="48" borderId="422" xfId="0" quotePrefix="1" applyNumberFormat="1" applyFont="1" applyFill="1" applyBorder="1" applyAlignment="1">
      <alignment horizontal="left" vertical="center" wrapText="1"/>
    </xf>
    <xf numFmtId="3" fontId="104" fillId="3" borderId="422" xfId="0" quotePrefix="1" applyNumberFormat="1" applyFont="1" applyFill="1" applyBorder="1" applyAlignment="1">
      <alignment horizontal="left" vertical="center" wrapText="1"/>
    </xf>
    <xf numFmtId="0" fontId="104" fillId="3" borderId="263" xfId="0" applyFont="1" applyFill="1" applyBorder="1">
      <alignment vertical="center"/>
    </xf>
    <xf numFmtId="178" fontId="104" fillId="3" borderId="422" xfId="0" applyNumberFormat="1" applyFont="1" applyFill="1" applyBorder="1" applyAlignment="1">
      <alignment horizontal="left" vertical="center" wrapText="1"/>
    </xf>
    <xf numFmtId="3" fontId="104" fillId="3" borderId="423" xfId="0" quotePrefix="1" applyNumberFormat="1" applyFont="1" applyFill="1" applyBorder="1" applyAlignment="1">
      <alignment horizontal="left" vertical="center" wrapText="1"/>
    </xf>
    <xf numFmtId="3" fontId="104" fillId="48" borderId="423" xfId="0" quotePrefix="1" applyNumberFormat="1" applyFont="1" applyFill="1" applyBorder="1" applyAlignment="1">
      <alignment horizontal="left" vertical="center" wrapText="1"/>
    </xf>
    <xf numFmtId="3" fontId="104" fillId="3" borderId="424" xfId="0" quotePrefix="1" applyNumberFormat="1" applyFont="1" applyFill="1" applyBorder="1" applyAlignment="1">
      <alignment horizontal="left" vertical="center" wrapText="1"/>
    </xf>
    <xf numFmtId="40" fontId="96" fillId="3" borderId="425" xfId="1" quotePrefix="1" applyNumberFormat="1" applyFont="1" applyFill="1" applyBorder="1" applyAlignment="1">
      <alignment horizontal="left" vertical="center" wrapText="1"/>
    </xf>
    <xf numFmtId="0" fontId="89" fillId="10" borderId="426" xfId="2" applyFont="1" applyFill="1" applyBorder="1" applyAlignment="1">
      <alignment horizontal="center" vertical="center" wrapText="1"/>
    </xf>
    <xf numFmtId="0" fontId="81" fillId="17" borderId="427" xfId="0" applyFont="1" applyFill="1" applyBorder="1" applyAlignment="1">
      <alignment horizontal="center" vertical="center"/>
    </xf>
    <xf numFmtId="0" fontId="81" fillId="58" borderId="90" xfId="0" applyFont="1" applyFill="1" applyBorder="1" applyAlignment="1">
      <alignment horizontal="center" vertical="center"/>
    </xf>
    <xf numFmtId="0" fontId="80" fillId="11" borderId="412" xfId="0" applyFont="1" applyFill="1" applyBorder="1" applyAlignment="1">
      <alignment horizontal="left" vertical="center"/>
    </xf>
    <xf numFmtId="0" fontId="96" fillId="58" borderId="406" xfId="0" applyFont="1" applyFill="1" applyBorder="1" applyAlignment="1">
      <alignment horizontal="left" vertical="center"/>
    </xf>
    <xf numFmtId="3" fontId="96" fillId="3" borderId="410" xfId="0" quotePrefix="1" applyNumberFormat="1" applyFont="1" applyFill="1" applyBorder="1" applyAlignment="1">
      <alignment horizontal="left" vertical="center" wrapText="1"/>
    </xf>
    <xf numFmtId="185" fontId="96" fillId="3" borderId="407" xfId="0" applyNumberFormat="1" applyFont="1" applyFill="1" applyBorder="1" applyAlignment="1">
      <alignment horizontal="left" vertical="center" wrapText="1"/>
    </xf>
    <xf numFmtId="0" fontId="80" fillId="58" borderId="412" xfId="0" applyFont="1" applyFill="1" applyBorder="1" applyAlignment="1">
      <alignment horizontal="left" vertical="center"/>
    </xf>
    <xf numFmtId="0" fontId="97" fillId="52" borderId="407" xfId="0" applyFont="1" applyFill="1" applyBorder="1" applyAlignment="1">
      <alignment horizontal="left" vertical="center"/>
    </xf>
    <xf numFmtId="3" fontId="97" fillId="48" borderId="407" xfId="0" applyNumberFormat="1" applyFont="1" applyFill="1" applyBorder="1" applyAlignment="1">
      <alignment horizontal="left" vertical="center" wrapText="1"/>
    </xf>
    <xf numFmtId="0" fontId="80" fillId="52" borderId="412" xfId="0" applyFont="1" applyFill="1" applyBorder="1" applyAlignment="1">
      <alignment horizontal="left" vertical="center"/>
    </xf>
    <xf numFmtId="4" fontId="96" fillId="48" borderId="407" xfId="0" applyNumberFormat="1" applyFont="1" applyFill="1" applyBorder="1" applyAlignment="1">
      <alignment horizontal="left" vertical="center" wrapText="1"/>
    </xf>
    <xf numFmtId="3" fontId="96" fillId="3" borderId="428" xfId="0" quotePrefix="1" applyNumberFormat="1" applyFont="1" applyFill="1" applyBorder="1" applyAlignment="1">
      <alignment horizontal="left" vertical="center" wrapText="1"/>
    </xf>
    <xf numFmtId="185" fontId="96" fillId="48" borderId="410" xfId="0" applyNumberFormat="1" applyFont="1" applyFill="1" applyBorder="1" applyAlignment="1">
      <alignment horizontal="left" vertical="center" wrapText="1"/>
    </xf>
    <xf numFmtId="185" fontId="96" fillId="48" borderId="407" xfId="0" applyNumberFormat="1" applyFont="1" applyFill="1" applyBorder="1" applyAlignment="1">
      <alignment horizontal="left" vertical="center" wrapText="1"/>
    </xf>
    <xf numFmtId="3" fontId="96" fillId="48" borderId="409" xfId="0" applyNumberFormat="1" applyFont="1" applyFill="1" applyBorder="1" applyAlignment="1">
      <alignment horizontal="left" vertical="center" wrapText="1"/>
    </xf>
    <xf numFmtId="178" fontId="96" fillId="48" borderId="413" xfId="0" applyNumberFormat="1" applyFont="1" applyFill="1" applyBorder="1" applyAlignment="1">
      <alignment horizontal="left" vertical="center" wrapText="1"/>
    </xf>
    <xf numFmtId="178" fontId="96" fillId="48" borderId="407" xfId="0" applyNumberFormat="1" applyFont="1" applyFill="1" applyBorder="1" applyAlignment="1">
      <alignment horizontal="left" vertical="center" wrapText="1"/>
    </xf>
    <xf numFmtId="3" fontId="96" fillId="58" borderId="407" xfId="0" applyNumberFormat="1" applyFont="1" applyFill="1" applyBorder="1" applyAlignment="1">
      <alignment horizontal="left" vertical="center" wrapText="1"/>
    </xf>
    <xf numFmtId="3" fontId="96" fillId="3" borderId="408" xfId="0" quotePrefix="1" applyNumberFormat="1" applyFont="1" applyFill="1" applyBorder="1" applyAlignment="1">
      <alignment horizontal="left" vertical="center" wrapText="1"/>
    </xf>
    <xf numFmtId="3" fontId="97" fillId="48" borderId="407" xfId="0" quotePrefix="1" applyNumberFormat="1" applyFont="1" applyFill="1" applyBorder="1" applyAlignment="1">
      <alignment horizontal="left" vertical="center" wrapText="1"/>
    </xf>
    <xf numFmtId="3" fontId="96" fillId="36" borderId="407" xfId="0" quotePrefix="1" applyNumberFormat="1" applyFont="1" applyFill="1" applyBorder="1" applyAlignment="1">
      <alignment horizontal="left" vertical="center" wrapText="1"/>
    </xf>
    <xf numFmtId="0" fontId="79" fillId="0" borderId="0" xfId="0" applyFont="1">
      <alignment vertical="center"/>
    </xf>
    <xf numFmtId="0" fontId="123" fillId="0" borderId="0" xfId="0" applyFont="1" applyAlignment="1">
      <alignment horizontal="center" vertical="center"/>
    </xf>
    <xf numFmtId="0" fontId="122" fillId="0" borderId="0" xfId="0" applyFont="1">
      <alignment vertical="center"/>
    </xf>
    <xf numFmtId="0" fontId="79" fillId="0" borderId="0" xfId="0" applyFont="1" applyAlignment="1">
      <alignment horizontal="left" vertical="center" indent="1"/>
    </xf>
    <xf numFmtId="177" fontId="97" fillId="52" borderId="172" xfId="0" quotePrefix="1" applyNumberFormat="1" applyFont="1" applyFill="1" applyBorder="1">
      <alignment vertical="center"/>
    </xf>
    <xf numFmtId="177" fontId="97" fillId="52" borderId="42" xfId="0" quotePrefix="1" applyNumberFormat="1" applyFont="1" applyFill="1" applyBorder="1">
      <alignment vertical="center"/>
    </xf>
    <xf numFmtId="182" fontId="97" fillId="70" borderId="372" xfId="0" applyNumberFormat="1" applyFont="1" applyFill="1" applyBorder="1" applyAlignment="1">
      <alignment horizontal="right" vertical="center" wrapText="1"/>
    </xf>
    <xf numFmtId="0" fontId="84" fillId="7" borderId="432" xfId="0" applyFont="1" applyFill="1" applyBorder="1">
      <alignment vertical="center"/>
    </xf>
    <xf numFmtId="0" fontId="94" fillId="62" borderId="435" xfId="0" applyFont="1" applyFill="1" applyBorder="1" applyAlignment="1">
      <alignment horizontal="center" vertical="center" wrapText="1"/>
    </xf>
    <xf numFmtId="3" fontId="80" fillId="12" borderId="437" xfId="0" applyNumberFormat="1" applyFont="1" applyFill="1" applyBorder="1" applyAlignment="1">
      <alignment horizontal="left" vertical="center"/>
    </xf>
    <xf numFmtId="177" fontId="80" fillId="58" borderId="439" xfId="0" quotePrefix="1" applyNumberFormat="1" applyFont="1" applyFill="1" applyBorder="1" applyAlignment="1">
      <alignment horizontal="left" vertical="center"/>
    </xf>
    <xf numFmtId="0" fontId="81" fillId="3" borderId="440" xfId="0" applyFont="1" applyFill="1" applyBorder="1" applyAlignment="1">
      <alignment horizontal="center" vertical="center"/>
    </xf>
    <xf numFmtId="40" fontId="96" fillId="48" borderId="441" xfId="1" quotePrefix="1" applyNumberFormat="1" applyFont="1" applyFill="1" applyBorder="1" applyAlignment="1">
      <alignment horizontal="left" vertical="center" wrapText="1"/>
    </xf>
    <xf numFmtId="40" fontId="96" fillId="3" borderId="441" xfId="1" applyNumberFormat="1" applyFont="1" applyFill="1" applyBorder="1" applyAlignment="1">
      <alignment horizontal="left" vertical="center" wrapText="1"/>
    </xf>
    <xf numFmtId="180" fontId="96" fillId="3" borderId="441" xfId="0" applyNumberFormat="1" applyFont="1" applyFill="1" applyBorder="1" applyAlignment="1">
      <alignment horizontal="left" vertical="center" wrapText="1"/>
    </xf>
    <xf numFmtId="40" fontId="96" fillId="49" borderId="441" xfId="1" quotePrefix="1" applyNumberFormat="1" applyFont="1" applyFill="1" applyBorder="1" applyAlignment="1">
      <alignment horizontal="left" vertical="center" wrapText="1"/>
    </xf>
    <xf numFmtId="0" fontId="81" fillId="0" borderId="442" xfId="0" applyFont="1" applyBorder="1">
      <alignment vertical="center"/>
    </xf>
    <xf numFmtId="180" fontId="96" fillId="3" borderId="441" xfId="1" quotePrefix="1" applyNumberFormat="1" applyFont="1" applyFill="1" applyBorder="1" applyAlignment="1">
      <alignment horizontal="left" vertical="center" wrapText="1"/>
    </xf>
    <xf numFmtId="0" fontId="96" fillId="3" borderId="441" xfId="1" quotePrefix="1" applyNumberFormat="1" applyFont="1" applyFill="1" applyBorder="1" applyAlignment="1">
      <alignment horizontal="left" vertical="center" wrapText="1"/>
    </xf>
    <xf numFmtId="38" fontId="96" fillId="3" borderId="441" xfId="1" applyNumberFormat="1" applyFont="1" applyFill="1" applyBorder="1" applyAlignment="1">
      <alignment horizontal="left" vertical="center" wrapText="1"/>
    </xf>
    <xf numFmtId="38" fontId="96" fillId="3" borderId="441" xfId="1" quotePrefix="1" applyNumberFormat="1" applyFont="1" applyFill="1" applyBorder="1" applyAlignment="1">
      <alignment horizontal="left" vertical="center" wrapText="1"/>
    </xf>
    <xf numFmtId="38" fontId="81" fillId="3" borderId="441" xfId="0" applyNumberFormat="1" applyFont="1" applyFill="1" applyBorder="1" applyAlignment="1">
      <alignment horizontal="left" vertical="center" wrapText="1"/>
    </xf>
    <xf numFmtId="40" fontId="96" fillId="3" borderId="441" xfId="1" quotePrefix="1" applyNumberFormat="1" applyFont="1" applyFill="1" applyBorder="1" applyAlignment="1">
      <alignment horizontal="left" vertical="center" wrapText="1"/>
    </xf>
    <xf numFmtId="40" fontId="96" fillId="21" borderId="441" xfId="1" quotePrefix="1" applyNumberFormat="1" applyFont="1" applyFill="1" applyBorder="1" applyAlignment="1">
      <alignment horizontal="left" vertical="center" wrapText="1"/>
    </xf>
    <xf numFmtId="180" fontId="96" fillId="3" borderId="443" xfId="1" quotePrefix="1" applyNumberFormat="1" applyFont="1" applyFill="1" applyBorder="1" applyAlignment="1">
      <alignment horizontal="left" vertical="center" wrapText="1"/>
    </xf>
    <xf numFmtId="177" fontId="97" fillId="58" borderId="441" xfId="0" quotePrefix="1" applyNumberFormat="1" applyFont="1" applyFill="1" applyBorder="1" applyAlignment="1">
      <alignment horizontal="left" vertical="center"/>
    </xf>
    <xf numFmtId="0" fontId="81" fillId="3" borderId="444" xfId="0" applyFont="1" applyFill="1" applyBorder="1" applyAlignment="1">
      <alignment horizontal="center" vertical="center"/>
    </xf>
    <xf numFmtId="185" fontId="96" fillId="3" borderId="445" xfId="0" applyNumberFormat="1" applyFont="1" applyFill="1" applyBorder="1" applyAlignment="1">
      <alignment horizontal="left" vertical="center" wrapText="1"/>
    </xf>
    <xf numFmtId="185" fontId="96" fillId="3" borderId="441" xfId="1" quotePrefix="1" applyNumberFormat="1" applyFont="1" applyFill="1" applyBorder="1" applyAlignment="1">
      <alignment horizontal="left" vertical="center" wrapText="1"/>
    </xf>
    <xf numFmtId="185" fontId="96" fillId="3" borderId="441" xfId="1" applyNumberFormat="1" applyFont="1" applyFill="1" applyBorder="1" applyAlignment="1">
      <alignment horizontal="left" vertical="center" wrapText="1"/>
    </xf>
    <xf numFmtId="0" fontId="81" fillId="3" borderId="446" xfId="0" applyFont="1" applyFill="1" applyBorder="1" applyAlignment="1">
      <alignment horizontal="center" vertical="center"/>
    </xf>
    <xf numFmtId="177" fontId="81" fillId="0" borderId="121" xfId="0" quotePrefix="1" applyNumberFormat="1" applyFont="1" applyBorder="1" applyAlignment="1">
      <alignment horizontal="center" vertical="center"/>
    </xf>
    <xf numFmtId="0" fontId="81" fillId="0" borderId="87" xfId="0" applyFont="1" applyBorder="1" applyAlignment="1">
      <alignment horizontal="center" vertical="center"/>
    </xf>
    <xf numFmtId="0" fontId="81" fillId="0" borderId="73" xfId="0" applyFont="1" applyBorder="1" applyAlignment="1">
      <alignment horizontal="left" vertical="center"/>
    </xf>
    <xf numFmtId="0" fontId="81" fillId="0" borderId="95" xfId="0" applyFont="1" applyBorder="1" applyAlignment="1">
      <alignment horizontal="left" vertical="center"/>
    </xf>
    <xf numFmtId="181" fontId="96" fillId="4" borderId="223" xfId="0" quotePrefix="1" applyNumberFormat="1" applyFont="1" applyFill="1" applyBorder="1" applyAlignment="1">
      <alignment horizontal="right" vertical="center" wrapText="1"/>
    </xf>
    <xf numFmtId="181" fontId="96" fillId="4" borderId="73" xfId="0" quotePrefix="1" applyNumberFormat="1" applyFont="1" applyFill="1" applyBorder="1" applyAlignment="1">
      <alignment horizontal="right" vertical="center" wrapText="1"/>
    </xf>
    <xf numFmtId="181" fontId="97" fillId="4" borderId="372" xfId="0" quotePrefix="1" applyNumberFormat="1" applyFont="1" applyFill="1" applyBorder="1" applyAlignment="1">
      <alignment horizontal="right" vertical="center" wrapText="1"/>
    </xf>
    <xf numFmtId="185" fontId="96" fillId="3" borderId="447" xfId="1" applyNumberFormat="1" applyFont="1" applyFill="1" applyBorder="1" applyAlignment="1">
      <alignment horizontal="left" vertical="center" wrapText="1"/>
    </xf>
    <xf numFmtId="0" fontId="80" fillId="49" borderId="42" xfId="0" applyFont="1" applyFill="1" applyBorder="1">
      <alignment vertical="center"/>
    </xf>
    <xf numFmtId="0" fontId="80" fillId="49" borderId="45" xfId="0" applyFont="1" applyFill="1" applyBorder="1" applyAlignment="1">
      <alignment horizontal="center" vertical="center"/>
    </xf>
    <xf numFmtId="0" fontId="80" fillId="49" borderId="38" xfId="0" applyFont="1" applyFill="1" applyBorder="1">
      <alignment vertical="center"/>
    </xf>
    <xf numFmtId="0" fontId="80" fillId="49" borderId="45" xfId="0" applyFont="1" applyFill="1" applyBorder="1">
      <alignment vertical="center"/>
    </xf>
    <xf numFmtId="0" fontId="80" fillId="49" borderId="43" xfId="0" applyFont="1" applyFill="1" applyBorder="1" applyAlignment="1">
      <alignment horizontal="center" vertical="center"/>
    </xf>
    <xf numFmtId="181" fontId="97" fillId="49" borderId="174" xfId="0" applyNumberFormat="1" applyFont="1" applyFill="1" applyBorder="1" applyAlignment="1">
      <alignment horizontal="right" vertical="center"/>
    </xf>
    <xf numFmtId="181" fontId="97" fillId="49" borderId="54" xfId="0" applyNumberFormat="1" applyFont="1" applyFill="1" applyBorder="1" applyAlignment="1">
      <alignment horizontal="right" vertical="center"/>
    </xf>
    <xf numFmtId="181" fontId="97" fillId="49" borderId="370" xfId="0" applyNumberFormat="1" applyFont="1" applyFill="1" applyBorder="1" applyAlignment="1">
      <alignment horizontal="right" vertical="center"/>
    </xf>
    <xf numFmtId="0" fontId="96" fillId="49" borderId="413" xfId="0" applyFont="1" applyFill="1" applyBorder="1" applyAlignment="1">
      <alignment horizontal="left" vertical="center"/>
    </xf>
    <xf numFmtId="0" fontId="80" fillId="48" borderId="45" xfId="0" applyFont="1" applyFill="1" applyBorder="1" applyAlignment="1">
      <alignment horizontal="center" vertical="center"/>
    </xf>
    <xf numFmtId="182" fontId="97" fillId="48" borderId="175" xfId="0" applyNumberFormat="1" applyFont="1" applyFill="1" applyBorder="1" applyAlignment="1">
      <alignment horizontal="right" vertical="center"/>
    </xf>
    <xf numFmtId="182" fontId="97" fillId="48" borderId="38" xfId="0" applyNumberFormat="1" applyFont="1" applyFill="1" applyBorder="1" applyAlignment="1">
      <alignment horizontal="right" vertical="center"/>
    </xf>
    <xf numFmtId="182" fontId="97" fillId="48" borderId="368" xfId="0" applyNumberFormat="1" applyFont="1" applyFill="1" applyBorder="1" applyAlignment="1">
      <alignment horizontal="right" vertical="center"/>
    </xf>
    <xf numFmtId="0" fontId="97" fillId="48" borderId="407" xfId="0" applyFont="1" applyFill="1" applyBorder="1" applyAlignment="1">
      <alignment horizontal="left" vertical="center"/>
    </xf>
    <xf numFmtId="181" fontId="97" fillId="48" borderId="175" xfId="0" applyNumberFormat="1" applyFont="1" applyFill="1" applyBorder="1" applyAlignment="1">
      <alignment horizontal="right" vertical="center"/>
    </xf>
    <xf numFmtId="181" fontId="97" fillId="48" borderId="38" xfId="0" applyNumberFormat="1" applyFont="1" applyFill="1" applyBorder="1" applyAlignment="1">
      <alignment horizontal="right" vertical="center"/>
    </xf>
    <xf numFmtId="181" fontId="97" fillId="48" borderId="368" xfId="0" applyNumberFormat="1" applyFont="1" applyFill="1" applyBorder="1" applyAlignment="1">
      <alignment horizontal="right" vertical="center"/>
    </xf>
    <xf numFmtId="0" fontId="80" fillId="49" borderId="78" xfId="0" applyFont="1" applyFill="1" applyBorder="1">
      <alignment vertical="center"/>
    </xf>
    <xf numFmtId="181" fontId="96" fillId="49" borderId="179" xfId="0" applyNumberFormat="1" applyFont="1" applyFill="1" applyBorder="1" applyAlignment="1">
      <alignment horizontal="right" vertical="center"/>
    </xf>
    <xf numFmtId="181" fontId="96" fillId="49" borderId="78" xfId="0" applyNumberFormat="1" applyFont="1" applyFill="1" applyBorder="1" applyAlignment="1">
      <alignment horizontal="right" vertical="center"/>
    </xf>
    <xf numFmtId="181" fontId="97" fillId="49" borderId="373" xfId="0" applyNumberFormat="1" applyFont="1" applyFill="1" applyBorder="1" applyAlignment="1">
      <alignment horizontal="right" vertical="center"/>
    </xf>
    <xf numFmtId="0" fontId="98" fillId="3" borderId="408" xfId="0" applyFont="1" applyFill="1" applyBorder="1" applyAlignment="1">
      <alignment horizontal="left" vertical="center" wrapText="1"/>
    </xf>
    <xf numFmtId="0" fontId="96" fillId="52" borderId="407" xfId="0" applyFont="1" applyFill="1" applyBorder="1" applyAlignment="1">
      <alignment horizontal="left" vertical="center"/>
    </xf>
    <xf numFmtId="181" fontId="96" fillId="52" borderId="38" xfId="0" applyNumberFormat="1" applyFont="1" applyFill="1" applyBorder="1" applyAlignment="1">
      <alignment horizontal="right" vertical="center"/>
    </xf>
    <xf numFmtId="181" fontId="96" fillId="52" borderId="175" xfId="0" applyNumberFormat="1" applyFont="1" applyFill="1" applyBorder="1" applyAlignment="1">
      <alignment horizontal="right" vertical="center"/>
    </xf>
    <xf numFmtId="0" fontId="97" fillId="48" borderId="49" xfId="0" quotePrefix="1" applyFont="1" applyFill="1" applyBorder="1">
      <alignment vertical="center"/>
    </xf>
    <xf numFmtId="0" fontId="81" fillId="3" borderId="448" xfId="0" quotePrefix="1" applyFont="1" applyFill="1" applyBorder="1">
      <alignment vertical="center"/>
    </xf>
    <xf numFmtId="0" fontId="97" fillId="0" borderId="0" xfId="0" applyFont="1">
      <alignment vertical="center"/>
    </xf>
    <xf numFmtId="187" fontId="96" fillId="3" borderId="407" xfId="0" quotePrefix="1" applyNumberFormat="1" applyFont="1" applyFill="1" applyBorder="1" applyAlignment="1">
      <alignment horizontal="left" vertical="center" wrapText="1"/>
    </xf>
    <xf numFmtId="177" fontId="81" fillId="3" borderId="34" xfId="0" quotePrefix="1" applyNumberFormat="1" applyFont="1" applyFill="1" applyBorder="1" applyAlignment="1">
      <alignment horizontal="center" vertical="center"/>
    </xf>
    <xf numFmtId="187" fontId="121" fillId="3" borderId="407" xfId="0" applyNumberFormat="1" applyFont="1" applyFill="1" applyBorder="1" applyAlignment="1">
      <alignment horizontal="left" vertical="center" wrapText="1"/>
    </xf>
    <xf numFmtId="0" fontId="96" fillId="3" borderId="422" xfId="0" applyFont="1" applyFill="1" applyBorder="1">
      <alignment vertical="center"/>
    </xf>
    <xf numFmtId="177" fontId="97" fillId="3" borderId="422" xfId="0" quotePrefix="1" applyNumberFormat="1" applyFont="1" applyFill="1" applyBorder="1" applyAlignment="1">
      <alignment horizontal="left" vertical="center"/>
    </xf>
    <xf numFmtId="178" fontId="96" fillId="3" borderId="422" xfId="1" quotePrefix="1" applyNumberFormat="1" applyFont="1" applyFill="1" applyBorder="1" applyAlignment="1">
      <alignment horizontal="left" vertical="center" wrapText="1"/>
    </xf>
    <xf numFmtId="177" fontId="97" fillId="52" borderId="449" xfId="0" quotePrefix="1" applyNumberFormat="1" applyFont="1" applyFill="1" applyBorder="1" applyAlignment="1">
      <alignment horizontal="left" vertical="center"/>
    </xf>
    <xf numFmtId="40" fontId="96" fillId="3" borderId="450" xfId="1" quotePrefix="1" applyNumberFormat="1" applyFont="1" applyFill="1" applyBorder="1" applyAlignment="1">
      <alignment horizontal="left" vertical="center" wrapText="1"/>
    </xf>
    <xf numFmtId="197" fontId="96" fillId="4" borderId="175" xfId="1" applyNumberFormat="1" applyFont="1" applyFill="1" applyBorder="1" applyAlignment="1">
      <alignment horizontal="right" vertical="center" wrapText="1"/>
    </xf>
    <xf numFmtId="3" fontId="96" fillId="48" borderId="421" xfId="0" quotePrefix="1" applyNumberFormat="1" applyFont="1" applyFill="1" applyBorder="1" applyAlignment="1">
      <alignment horizontal="left" vertical="center" wrapText="1"/>
    </xf>
    <xf numFmtId="0" fontId="81" fillId="52" borderId="67" xfId="0" applyFont="1" applyFill="1" applyBorder="1" applyAlignment="1">
      <alignment horizontal="center" vertical="center"/>
    </xf>
    <xf numFmtId="0" fontId="81" fillId="3" borderId="33" xfId="0" applyFont="1" applyFill="1" applyBorder="1" applyAlignment="1">
      <alignment horizontal="center" vertical="center"/>
    </xf>
    <xf numFmtId="0" fontId="81" fillId="3" borderId="42" xfId="0" applyFont="1" applyFill="1" applyBorder="1" applyAlignment="1">
      <alignment horizontal="center" vertical="center"/>
    </xf>
    <xf numFmtId="0" fontId="81" fillId="52" borderId="452" xfId="0" applyFont="1" applyFill="1" applyBorder="1" applyAlignment="1">
      <alignment vertical="top"/>
    </xf>
    <xf numFmtId="0" fontId="95" fillId="14" borderId="453" xfId="0" applyFont="1" applyFill="1" applyBorder="1" applyAlignment="1">
      <alignment vertical="top"/>
    </xf>
    <xf numFmtId="0" fontId="81" fillId="0" borderId="454" xfId="0" applyFont="1" applyBorder="1" applyAlignment="1">
      <alignment vertical="top"/>
    </xf>
    <xf numFmtId="0" fontId="81" fillId="0" borderId="455" xfId="0" applyFont="1" applyBorder="1" applyAlignment="1">
      <alignment vertical="top"/>
    </xf>
    <xf numFmtId="0" fontId="81" fillId="0" borderId="451" xfId="0" applyFont="1" applyBorder="1" applyAlignment="1">
      <alignment vertical="top"/>
    </xf>
    <xf numFmtId="0" fontId="96" fillId="21" borderId="57" xfId="0" applyFont="1" applyFill="1" applyBorder="1">
      <alignment vertical="center"/>
    </xf>
    <xf numFmtId="177" fontId="80" fillId="58" borderId="38" xfId="0" quotePrefix="1" applyNumberFormat="1" applyFont="1" applyFill="1" applyBorder="1">
      <alignment vertical="center"/>
    </xf>
    <xf numFmtId="0" fontId="96" fillId="52" borderId="42" xfId="0" applyFont="1" applyFill="1" applyBorder="1">
      <alignment vertical="center"/>
    </xf>
    <xf numFmtId="0" fontId="97" fillId="52" borderId="42" xfId="0" applyFont="1" applyFill="1" applyBorder="1">
      <alignment vertical="center"/>
    </xf>
    <xf numFmtId="0" fontId="96" fillId="48" borderId="42" xfId="0" applyFont="1" applyFill="1" applyBorder="1" applyAlignment="1">
      <alignment horizontal="center" vertical="center"/>
    </xf>
    <xf numFmtId="3" fontId="96" fillId="48" borderId="233" xfId="0" applyNumberFormat="1" applyFont="1" applyFill="1" applyBorder="1" applyAlignment="1">
      <alignment horizontal="center" vertical="center"/>
    </xf>
    <xf numFmtId="0" fontId="95" fillId="11" borderId="28" xfId="0" applyFont="1" applyFill="1" applyBorder="1" applyAlignment="1">
      <alignment horizontal="left" vertical="center"/>
    </xf>
    <xf numFmtId="0" fontId="80" fillId="11" borderId="355" xfId="0" applyFont="1" applyFill="1" applyBorder="1" applyAlignment="1">
      <alignment horizontal="left" vertical="center"/>
    </xf>
    <xf numFmtId="0" fontId="95" fillId="14" borderId="28" xfId="0" applyFont="1" applyFill="1" applyBorder="1">
      <alignment vertical="center"/>
    </xf>
    <xf numFmtId="0" fontId="80" fillId="14" borderId="355" xfId="0" applyFont="1" applyFill="1" applyBorder="1" applyAlignment="1">
      <alignment horizontal="center" vertical="center"/>
    </xf>
    <xf numFmtId="177" fontId="81" fillId="3" borderId="49" xfId="0" applyNumberFormat="1" applyFont="1" applyFill="1" applyBorder="1" applyAlignment="1">
      <alignment horizontal="center" vertical="center"/>
    </xf>
    <xf numFmtId="0" fontId="81" fillId="3" borderId="54" xfId="0" applyFont="1" applyFill="1" applyBorder="1">
      <alignment vertical="center"/>
    </xf>
    <xf numFmtId="0" fontId="81" fillId="3" borderId="52" xfId="0" applyFont="1" applyFill="1" applyBorder="1" applyAlignment="1">
      <alignment vertical="center" wrapText="1"/>
    </xf>
    <xf numFmtId="177" fontId="81" fillId="0" borderId="52" xfId="0" quotePrefix="1" applyNumberFormat="1" applyFont="1" applyBorder="1" applyAlignment="1">
      <alignment horizontal="center" vertical="center"/>
    </xf>
    <xf numFmtId="177" fontId="81" fillId="48" borderId="456" xfId="0" quotePrefix="1" applyNumberFormat="1" applyFont="1" applyFill="1" applyBorder="1" applyAlignment="1">
      <alignment horizontal="center" vertical="center"/>
    </xf>
    <xf numFmtId="177" fontId="81" fillId="0" borderId="456" xfId="0" quotePrefix="1" applyNumberFormat="1" applyFont="1" applyBorder="1" applyAlignment="1">
      <alignment horizontal="center" vertical="center"/>
    </xf>
    <xf numFmtId="177" fontId="81" fillId="0" borderId="457" xfId="0" quotePrefix="1" applyNumberFormat="1" applyFont="1" applyBorder="1" applyAlignment="1">
      <alignment horizontal="center" vertical="center"/>
    </xf>
    <xf numFmtId="0" fontId="81" fillId="3" borderId="459" xfId="0" applyFont="1" applyFill="1" applyBorder="1" applyAlignment="1">
      <alignment horizontal="center" vertical="center"/>
    </xf>
    <xf numFmtId="177" fontId="81" fillId="0" borderId="52" xfId="0" applyNumberFormat="1" applyFont="1" applyBorder="1">
      <alignment vertical="center"/>
    </xf>
    <xf numFmtId="181" fontId="96" fillId="4" borderId="183" xfId="1" applyNumberFormat="1" applyFont="1" applyFill="1" applyBorder="1" applyAlignment="1">
      <alignment horizontal="right" vertical="center" wrapText="1"/>
    </xf>
    <xf numFmtId="181" fontId="96" fillId="4" borderId="44" xfId="1" applyNumberFormat="1" applyFont="1" applyFill="1" applyBorder="1" applyAlignment="1">
      <alignment horizontal="right" vertical="center" wrapText="1"/>
    </xf>
    <xf numFmtId="181" fontId="97" fillId="4" borderId="390" xfId="1" applyNumberFormat="1" applyFont="1" applyFill="1" applyBorder="1" applyAlignment="1">
      <alignment horizontal="right" vertical="center" wrapText="1"/>
    </xf>
    <xf numFmtId="40" fontId="96" fillId="3" borderId="408" xfId="1" quotePrefix="1" applyNumberFormat="1" applyFont="1" applyFill="1" applyBorder="1" applyAlignment="1">
      <alignment horizontal="left" vertical="center" wrapText="1"/>
    </xf>
    <xf numFmtId="0" fontId="95" fillId="14" borderId="169" xfId="0" applyFont="1" applyFill="1" applyBorder="1">
      <alignment vertical="center"/>
    </xf>
    <xf numFmtId="0" fontId="80" fillId="14" borderId="92" xfId="0" applyFont="1" applyFill="1" applyBorder="1">
      <alignment vertical="center"/>
    </xf>
    <xf numFmtId="0" fontId="95" fillId="14" borderId="93" xfId="0" applyFont="1" applyFill="1" applyBorder="1">
      <alignment vertical="center"/>
    </xf>
    <xf numFmtId="0" fontId="95" fillId="14" borderId="92" xfId="0" applyFont="1" applyFill="1" applyBorder="1">
      <alignment vertical="center"/>
    </xf>
    <xf numFmtId="0" fontId="95" fillId="14" borderId="92" xfId="0" applyFont="1" applyFill="1" applyBorder="1" applyAlignment="1">
      <alignment vertical="center" wrapText="1"/>
    </xf>
    <xf numFmtId="181" fontId="96" fillId="14" borderId="169" xfId="0" applyNumberFormat="1" applyFont="1" applyFill="1" applyBorder="1" applyAlignment="1">
      <alignment vertical="center" wrapText="1"/>
    </xf>
    <xf numFmtId="181" fontId="96" fillId="14" borderId="92" xfId="0" applyNumberFormat="1" applyFont="1" applyFill="1" applyBorder="1" applyAlignment="1">
      <alignment vertical="center" wrapText="1"/>
    </xf>
    <xf numFmtId="181" fontId="97" fillId="14" borderId="460" xfId="0" applyNumberFormat="1" applyFont="1" applyFill="1" applyBorder="1" applyAlignment="1">
      <alignment vertical="center" wrapText="1"/>
    </xf>
    <xf numFmtId="0" fontId="96" fillId="14" borderId="458" xfId="0" applyFont="1" applyFill="1" applyBorder="1" applyAlignment="1">
      <alignment vertical="center" wrapText="1"/>
    </xf>
    <xf numFmtId="177" fontId="96" fillId="3" borderId="49" xfId="0" applyNumberFormat="1" applyFont="1" applyFill="1" applyBorder="1" applyAlignment="1">
      <alignment horizontal="center" vertical="center"/>
    </xf>
    <xf numFmtId="0" fontId="96" fillId="3" borderId="38" xfId="0" applyFont="1" applyFill="1" applyBorder="1" applyAlignment="1">
      <alignment horizontal="left" vertical="center" wrapText="1"/>
    </xf>
    <xf numFmtId="0" fontId="81" fillId="3" borderId="38" xfId="0" applyFont="1" applyFill="1" applyBorder="1" applyAlignment="1">
      <alignment horizontal="left" vertical="center" wrapText="1"/>
    </xf>
    <xf numFmtId="177" fontId="97" fillId="48" borderId="43" xfId="0" quotePrefix="1" applyNumberFormat="1" applyFont="1" applyFill="1" applyBorder="1" applyAlignment="1">
      <alignment vertical="center" wrapText="1"/>
    </xf>
    <xf numFmtId="0" fontId="96" fillId="3" borderId="43" xfId="0" quotePrefix="1" applyFont="1" applyFill="1" applyBorder="1" applyAlignment="1">
      <alignment horizontal="center" vertical="center"/>
    </xf>
    <xf numFmtId="182" fontId="96" fillId="3" borderId="461" xfId="1" quotePrefix="1" applyNumberFormat="1" applyFont="1" applyFill="1" applyBorder="1" applyAlignment="1">
      <alignment horizontal="left" vertical="center" wrapText="1"/>
    </xf>
    <xf numFmtId="0" fontId="80" fillId="52" borderId="57" xfId="0" applyFont="1" applyFill="1" applyBorder="1">
      <alignment vertical="center"/>
    </xf>
    <xf numFmtId="0" fontId="81" fillId="3" borderId="57" xfId="0" applyFont="1" applyFill="1" applyBorder="1" applyAlignment="1">
      <alignment vertical="center" wrapText="1"/>
    </xf>
    <xf numFmtId="177" fontId="80" fillId="52" borderId="295" xfId="0" quotePrefix="1" applyNumberFormat="1" applyFont="1" applyFill="1" applyBorder="1">
      <alignment vertical="center"/>
    </xf>
    <xf numFmtId="0" fontId="81" fillId="48" borderId="87" xfId="0" applyFont="1" applyFill="1" applyBorder="1" applyAlignment="1">
      <alignment horizontal="center" vertical="center"/>
    </xf>
    <xf numFmtId="0" fontId="80" fillId="58" borderId="33" xfId="0" quotePrefix="1" applyFont="1" applyFill="1" applyBorder="1">
      <alignment vertical="center"/>
    </xf>
    <xf numFmtId="0" fontId="80" fillId="19" borderId="57" xfId="0" applyFont="1" applyFill="1" applyBorder="1">
      <alignment vertical="center"/>
    </xf>
    <xf numFmtId="0" fontId="103" fillId="48" borderId="38" xfId="0" applyFont="1" applyFill="1" applyBorder="1">
      <alignment vertical="center"/>
    </xf>
    <xf numFmtId="0" fontId="124" fillId="0" borderId="0" xfId="0" applyFont="1">
      <alignment vertical="center"/>
    </xf>
    <xf numFmtId="0" fontId="124" fillId="0" borderId="0" xfId="0" applyFont="1" applyAlignment="1">
      <alignment horizontal="left" vertical="center" indent="1"/>
    </xf>
    <xf numFmtId="3" fontId="97" fillId="48" borderId="42" xfId="0" quotePrefix="1" applyNumberFormat="1" applyFont="1" applyFill="1" applyBorder="1" applyAlignment="1">
      <alignment horizontal="left" vertical="center" wrapText="1"/>
    </xf>
    <xf numFmtId="0" fontId="90" fillId="48" borderId="38" xfId="0" applyFont="1" applyFill="1" applyBorder="1" applyAlignment="1">
      <alignment vertical="center" wrapText="1"/>
    </xf>
    <xf numFmtId="3" fontId="97" fillId="48" borderId="420" xfId="0" applyNumberFormat="1" applyFont="1" applyFill="1" applyBorder="1" applyAlignment="1">
      <alignment horizontal="left" vertical="center" wrapText="1"/>
    </xf>
    <xf numFmtId="178" fontId="104" fillId="52" borderId="422" xfId="0" quotePrefix="1" applyNumberFormat="1" applyFont="1" applyFill="1" applyBorder="1" applyAlignment="1">
      <alignment horizontal="left" vertical="center"/>
    </xf>
    <xf numFmtId="0" fontId="103" fillId="14" borderId="29" xfId="0" applyFont="1" applyFill="1" applyBorder="1" applyAlignment="1">
      <alignment horizontal="left" vertical="center"/>
    </xf>
    <xf numFmtId="181" fontId="96" fillId="48" borderId="465" xfId="0" quotePrefix="1" applyNumberFormat="1" applyFont="1" applyFill="1" applyBorder="1" applyAlignment="1">
      <alignment horizontal="left" vertical="center" wrapText="1"/>
    </xf>
    <xf numFmtId="0" fontId="81" fillId="3" borderId="463" xfId="0" applyFont="1" applyFill="1" applyBorder="1">
      <alignment vertical="center"/>
    </xf>
    <xf numFmtId="177" fontId="81" fillId="0" borderId="0" xfId="0" quotePrefix="1" applyNumberFormat="1" applyFont="1" applyAlignment="1">
      <alignment horizontal="center" vertical="center"/>
    </xf>
    <xf numFmtId="177" fontId="81" fillId="0" borderId="52" xfId="0" quotePrefix="1" applyNumberFormat="1" applyFont="1" applyBorder="1">
      <alignment vertical="center"/>
    </xf>
    <xf numFmtId="3" fontId="81" fillId="15" borderId="52" xfId="0" quotePrefix="1" applyNumberFormat="1" applyFont="1" applyFill="1" applyBorder="1" applyAlignment="1">
      <alignment horizontal="center" vertical="center"/>
    </xf>
    <xf numFmtId="177" fontId="81" fillId="0" borderId="82" xfId="0" applyNumberFormat="1" applyFont="1" applyBorder="1">
      <alignment vertical="center"/>
    </xf>
    <xf numFmtId="177" fontId="81" fillId="0" borderId="57" xfId="0" applyNumberFormat="1" applyFont="1" applyBorder="1">
      <alignment vertical="center"/>
    </xf>
    <xf numFmtId="182" fontId="96" fillId="4" borderId="54" xfId="8" quotePrefix="1" applyNumberFormat="1" applyFont="1" applyFill="1" applyBorder="1" applyAlignment="1">
      <alignment horizontal="right" vertical="center" wrapText="1"/>
    </xf>
    <xf numFmtId="40" fontId="96" fillId="3" borderId="263" xfId="1" quotePrefix="1" applyNumberFormat="1" applyFont="1" applyFill="1" applyBorder="1" applyAlignment="1">
      <alignment horizontal="left" vertical="center" wrapText="1"/>
    </xf>
    <xf numFmtId="177" fontId="81" fillId="15" borderId="52" xfId="0" quotePrefix="1" applyNumberFormat="1" applyFont="1" applyFill="1" applyBorder="1">
      <alignment vertical="center"/>
    </xf>
    <xf numFmtId="177" fontId="81" fillId="15" borderId="57" xfId="0" quotePrefix="1" applyNumberFormat="1" applyFont="1" applyFill="1" applyBorder="1">
      <alignment vertical="center"/>
    </xf>
    <xf numFmtId="182" fontId="96" fillId="4" borderId="174" xfId="1" applyNumberFormat="1" applyFont="1" applyFill="1" applyBorder="1" applyAlignment="1">
      <alignment vertical="center" wrapText="1"/>
    </xf>
    <xf numFmtId="178" fontId="104" fillId="3" borderId="263" xfId="1" quotePrefix="1" applyNumberFormat="1" applyFont="1" applyFill="1" applyBorder="1" applyAlignment="1">
      <alignment horizontal="left" vertical="center" wrapText="1"/>
    </xf>
    <xf numFmtId="0" fontId="125" fillId="14" borderId="29" xfId="0" applyFont="1" applyFill="1" applyBorder="1" applyAlignment="1">
      <alignment horizontal="left" vertical="center"/>
    </xf>
    <xf numFmtId="177" fontId="81" fillId="0" borderId="0" xfId="0" quotePrefix="1" applyNumberFormat="1" applyFont="1">
      <alignment vertical="center"/>
    </xf>
    <xf numFmtId="182" fontId="96" fillId="4" borderId="183" xfId="8" applyNumberFormat="1" applyFont="1" applyFill="1" applyBorder="1" applyAlignment="1">
      <alignment horizontal="right" vertical="center" wrapText="1"/>
    </xf>
    <xf numFmtId="182" fontId="96" fillId="4" borderId="44" xfId="8" applyNumberFormat="1" applyFont="1" applyFill="1" applyBorder="1" applyAlignment="1">
      <alignment horizontal="right" vertical="center" wrapText="1"/>
    </xf>
    <xf numFmtId="40" fontId="104" fillId="3" borderId="263" xfId="1" quotePrefix="1" applyNumberFormat="1" applyFont="1" applyFill="1" applyBorder="1" applyAlignment="1">
      <alignment horizontal="left" vertical="center" wrapText="1"/>
    </xf>
    <xf numFmtId="177" fontId="97" fillId="58" borderId="339" xfId="0" quotePrefix="1" applyNumberFormat="1" applyFont="1" applyFill="1" applyBorder="1">
      <alignment vertical="center"/>
    </xf>
    <xf numFmtId="177" fontId="96" fillId="15" borderId="38" xfId="0" quotePrefix="1" applyNumberFormat="1" applyFont="1" applyFill="1" applyBorder="1" applyAlignment="1">
      <alignment horizontal="left" vertical="center" wrapText="1"/>
    </xf>
    <xf numFmtId="3" fontId="126" fillId="48" borderId="407" xfId="0" applyNumberFormat="1" applyFont="1" applyFill="1" applyBorder="1" applyAlignment="1">
      <alignment horizontal="left" vertical="center" wrapText="1"/>
    </xf>
    <xf numFmtId="181" fontId="84" fillId="61" borderId="467" xfId="1" applyNumberFormat="1" applyFont="1" applyFill="1" applyBorder="1" applyAlignment="1">
      <alignment horizontal="center" vertical="center" wrapText="1"/>
    </xf>
    <xf numFmtId="181" fontId="80" fillId="11" borderId="76" xfId="0" applyNumberFormat="1" applyFont="1" applyFill="1" applyBorder="1" applyAlignment="1">
      <alignment horizontal="left" vertical="center"/>
    </xf>
    <xf numFmtId="181" fontId="96" fillId="14" borderId="29" xfId="0" applyNumberFormat="1" applyFont="1" applyFill="1" applyBorder="1" applyAlignment="1">
      <alignment horizontal="left" vertical="center"/>
    </xf>
    <xf numFmtId="182" fontId="97" fillId="48" borderId="468" xfId="1" quotePrefix="1" applyNumberFormat="1" applyFont="1" applyFill="1" applyBorder="1" applyAlignment="1">
      <alignment horizontal="right" vertical="center" wrapText="1"/>
    </xf>
    <xf numFmtId="182" fontId="97" fillId="4" borderId="468" xfId="1" applyNumberFormat="1" applyFont="1" applyFill="1" applyBorder="1" applyAlignment="1">
      <alignment horizontal="right" vertical="center" wrapText="1"/>
    </xf>
    <xf numFmtId="182" fontId="97" fillId="4" borderId="271" xfId="1" quotePrefix="1" applyNumberFormat="1" applyFont="1" applyFill="1" applyBorder="1" applyAlignment="1">
      <alignment horizontal="right" vertical="center" wrapText="1"/>
    </xf>
    <xf numFmtId="182" fontId="97" fillId="4" borderId="271" xfId="0" applyNumberFormat="1" applyFont="1" applyFill="1" applyBorder="1" applyAlignment="1">
      <alignment vertical="center" wrapText="1"/>
    </xf>
    <xf numFmtId="182" fontId="97" fillId="4" borderId="271" xfId="0" applyNumberFormat="1" applyFont="1" applyFill="1" applyBorder="1" applyAlignment="1">
      <alignment horizontal="right" vertical="center" wrapText="1"/>
    </xf>
    <xf numFmtId="182" fontId="97" fillId="52" borderId="271" xfId="0" quotePrefix="1" applyNumberFormat="1" applyFont="1" applyFill="1" applyBorder="1" applyAlignment="1">
      <alignment horizontal="right" vertical="center"/>
    </xf>
    <xf numFmtId="182" fontId="97" fillId="4" borderId="271" xfId="1" applyNumberFormat="1" applyFont="1" applyFill="1" applyBorder="1" applyAlignment="1">
      <alignment horizontal="right" vertical="center" wrapText="1"/>
    </xf>
    <xf numFmtId="182" fontId="97" fillId="4" borderId="271" xfId="0" quotePrefix="1" applyNumberFormat="1" applyFont="1" applyFill="1" applyBorder="1" applyAlignment="1">
      <alignment horizontal="right" vertical="center" wrapText="1"/>
    </xf>
    <xf numFmtId="181" fontId="97" fillId="52" borderId="271" xfId="0" quotePrefix="1" applyNumberFormat="1" applyFont="1" applyFill="1" applyBorder="1" applyAlignment="1">
      <alignment horizontal="left" vertical="center"/>
    </xf>
    <xf numFmtId="181" fontId="97" fillId="4" borderId="271" xfId="8" applyNumberFormat="1" applyFont="1" applyFill="1" applyBorder="1" applyAlignment="1">
      <alignment vertical="center" wrapText="1"/>
    </xf>
    <xf numFmtId="181" fontId="97" fillId="4" borderId="271" xfId="8" applyNumberFormat="1" applyFont="1" applyFill="1" applyBorder="1" applyAlignment="1">
      <alignment horizontal="right" vertical="center" wrapText="1"/>
    </xf>
    <xf numFmtId="181" fontId="97" fillId="4" borderId="271" xfId="8" quotePrefix="1" applyNumberFormat="1" applyFont="1" applyFill="1" applyBorder="1" applyAlignment="1">
      <alignment horizontal="right" vertical="center" wrapText="1"/>
    </xf>
    <xf numFmtId="181" fontId="97" fillId="48" borderId="271" xfId="0" quotePrefix="1" applyNumberFormat="1" applyFont="1" applyFill="1" applyBorder="1" applyAlignment="1">
      <alignment horizontal="right" vertical="center" wrapText="1"/>
    </xf>
    <xf numFmtId="181" fontId="97" fillId="4" borderId="271" xfId="0" quotePrefix="1" applyNumberFormat="1" applyFont="1" applyFill="1" applyBorder="1" applyAlignment="1">
      <alignment horizontal="right" vertical="center" wrapText="1"/>
    </xf>
    <xf numFmtId="181" fontId="97" fillId="4" borderId="271" xfId="1" quotePrefix="1" applyNumberFormat="1" applyFont="1" applyFill="1" applyBorder="1" applyAlignment="1">
      <alignment horizontal="right" vertical="center" wrapText="1"/>
    </xf>
    <xf numFmtId="181" fontId="97" fillId="52" borderId="422" xfId="0" quotePrefix="1" applyNumberFormat="1" applyFont="1" applyFill="1" applyBorder="1">
      <alignment vertical="center"/>
    </xf>
    <xf numFmtId="182" fontId="97" fillId="48" borderId="271" xfId="0" quotePrefix="1" applyNumberFormat="1" applyFont="1" applyFill="1" applyBorder="1" applyAlignment="1">
      <alignment horizontal="right" vertical="center" wrapText="1"/>
    </xf>
    <xf numFmtId="182" fontId="97" fillId="4" borderId="469" xfId="0" applyNumberFormat="1" applyFont="1" applyFill="1" applyBorder="1" applyAlignment="1">
      <alignment vertical="center" wrapText="1"/>
    </xf>
    <xf numFmtId="182" fontId="97" fillId="4" borderId="468" xfId="1" quotePrefix="1" applyNumberFormat="1" applyFont="1" applyFill="1" applyBorder="1" applyAlignment="1">
      <alignment horizontal="right" vertical="center" wrapText="1"/>
    </xf>
    <xf numFmtId="0" fontId="80" fillId="52" borderId="422" xfId="0" applyFont="1" applyFill="1" applyBorder="1">
      <alignment vertical="center"/>
    </xf>
    <xf numFmtId="181" fontId="97" fillId="14" borderId="29" xfId="0" applyNumberFormat="1" applyFont="1" applyFill="1" applyBorder="1" applyAlignment="1">
      <alignment horizontal="left" vertical="center"/>
    </xf>
    <xf numFmtId="182" fontId="97" fillId="4" borderId="422" xfId="0" applyNumberFormat="1" applyFont="1" applyFill="1" applyBorder="1" applyAlignment="1">
      <alignment vertical="center" wrapText="1"/>
    </xf>
    <xf numFmtId="182" fontId="97" fillId="4" borderId="469" xfId="0" applyNumberFormat="1" applyFont="1" applyFill="1" applyBorder="1" applyAlignment="1">
      <alignment horizontal="right" vertical="center" wrapText="1"/>
    </xf>
    <xf numFmtId="182" fontId="80" fillId="52" borderId="422" xfId="0" quotePrefix="1" applyNumberFormat="1" applyFont="1" applyFill="1" applyBorder="1">
      <alignment vertical="center"/>
    </xf>
    <xf numFmtId="182" fontId="97" fillId="14" borderId="29" xfId="0" applyNumberFormat="1" applyFont="1" applyFill="1" applyBorder="1" applyAlignment="1">
      <alignment horizontal="left" vertical="center"/>
    </xf>
    <xf numFmtId="182" fontId="97" fillId="4" borderId="422" xfId="0" applyNumberFormat="1" applyFont="1" applyFill="1" applyBorder="1" applyAlignment="1">
      <alignment horizontal="right" vertical="center" wrapText="1"/>
    </xf>
    <xf numFmtId="177" fontId="80" fillId="52" borderId="422" xfId="0" quotePrefix="1" applyNumberFormat="1" applyFont="1" applyFill="1" applyBorder="1">
      <alignment vertical="center"/>
    </xf>
    <xf numFmtId="181" fontId="97" fillId="4" borderId="469" xfId="8" applyNumberFormat="1" applyFont="1" applyFill="1" applyBorder="1" applyAlignment="1">
      <alignment horizontal="right" vertical="center" wrapText="1"/>
    </xf>
    <xf numFmtId="181" fontId="97" fillId="4" borderId="469" xfId="1" applyNumberFormat="1" applyFont="1" applyFill="1" applyBorder="1" applyAlignment="1">
      <alignment horizontal="right" vertical="center" wrapText="1"/>
    </xf>
    <xf numFmtId="177" fontId="97" fillId="52" borderId="422" xfId="0" quotePrefix="1" applyNumberFormat="1" applyFont="1" applyFill="1" applyBorder="1">
      <alignment vertical="center"/>
    </xf>
    <xf numFmtId="181" fontId="97" fillId="4" borderId="469" xfId="8" applyNumberFormat="1" applyFont="1" applyFill="1" applyBorder="1" applyAlignment="1">
      <alignment vertical="center" wrapText="1"/>
    </xf>
    <xf numFmtId="181" fontId="80" fillId="52" borderId="271" xfId="0" quotePrefix="1" applyNumberFormat="1" applyFont="1" applyFill="1" applyBorder="1">
      <alignment vertical="center"/>
    </xf>
    <xf numFmtId="182" fontId="80" fillId="52" borderId="271" xfId="0" quotePrefix="1" applyNumberFormat="1" applyFont="1" applyFill="1" applyBorder="1">
      <alignment vertical="center"/>
    </xf>
    <xf numFmtId="182" fontId="97" fillId="4" borderId="271" xfId="1" applyNumberFormat="1" applyFont="1" applyFill="1" applyBorder="1" applyAlignment="1">
      <alignment vertical="center" wrapText="1"/>
    </xf>
    <xf numFmtId="182" fontId="97" fillId="4" borderId="469" xfId="0" quotePrefix="1" applyNumberFormat="1" applyFont="1" applyFill="1" applyBorder="1" applyAlignment="1">
      <alignment horizontal="right" vertical="center" wrapText="1"/>
    </xf>
    <xf numFmtId="181" fontId="97" fillId="4" borderId="469" xfId="0" applyNumberFormat="1" applyFont="1" applyFill="1" applyBorder="1" applyAlignment="1">
      <alignment horizontal="right" vertical="center" wrapText="1"/>
    </xf>
    <xf numFmtId="182" fontId="97" fillId="4" borderId="469" xfId="8" applyNumberFormat="1" applyFont="1" applyFill="1" applyBorder="1" applyAlignment="1">
      <alignment horizontal="right" vertical="center" wrapText="1"/>
    </xf>
    <xf numFmtId="182" fontId="80" fillId="4" borderId="271" xfId="0" applyNumberFormat="1" applyFont="1" applyFill="1" applyBorder="1" applyAlignment="1">
      <alignment horizontal="right" vertical="center" wrapText="1"/>
    </xf>
    <xf numFmtId="182" fontId="97" fillId="4" borderId="271" xfId="8" quotePrefix="1" applyNumberFormat="1" applyFont="1" applyFill="1" applyBorder="1" applyAlignment="1">
      <alignment horizontal="right" vertical="center" wrapText="1"/>
    </xf>
    <xf numFmtId="181" fontId="97" fillId="4" borderId="421" xfId="1" quotePrefix="1" applyNumberFormat="1" applyFont="1" applyFill="1" applyBorder="1" applyAlignment="1">
      <alignment horizontal="right" vertical="center" wrapText="1"/>
    </xf>
    <xf numFmtId="181" fontId="97" fillId="4" borderId="468" xfId="1" quotePrefix="1" applyNumberFormat="1" applyFont="1" applyFill="1" applyBorder="1" applyAlignment="1">
      <alignment horizontal="right" vertical="center" wrapText="1"/>
    </xf>
    <xf numFmtId="181" fontId="97" fillId="4" borderId="469" xfId="1" quotePrefix="1" applyNumberFormat="1" applyFont="1" applyFill="1" applyBorder="1" applyAlignment="1">
      <alignment horizontal="right" vertical="center" wrapText="1"/>
    </xf>
    <xf numFmtId="182" fontId="97" fillId="4" borderId="469" xfId="1" applyNumberFormat="1" applyFont="1" applyFill="1" applyBorder="1" applyAlignment="1">
      <alignment horizontal="right" vertical="center" wrapText="1"/>
    </xf>
    <xf numFmtId="182" fontId="97" fillId="4" borderId="469" xfId="1" quotePrefix="1" applyNumberFormat="1" applyFont="1" applyFill="1" applyBorder="1" applyAlignment="1">
      <alignment horizontal="right" vertical="center" wrapText="1"/>
    </xf>
    <xf numFmtId="41" fontId="97" fillId="4" borderId="271" xfId="1" quotePrefix="1" applyFont="1" applyFill="1" applyBorder="1" applyAlignment="1">
      <alignment horizontal="right" vertical="center" wrapText="1"/>
    </xf>
    <xf numFmtId="41" fontId="97" fillId="4" borderId="469" xfId="1" applyFont="1" applyFill="1" applyBorder="1" applyAlignment="1">
      <alignment horizontal="right" vertical="center" wrapText="1"/>
    </xf>
    <xf numFmtId="181" fontId="97" fillId="48" borderId="271" xfId="1" quotePrefix="1" applyNumberFormat="1" applyFont="1" applyFill="1" applyBorder="1" applyAlignment="1">
      <alignment horizontal="right" vertical="center" wrapText="1"/>
    </xf>
    <xf numFmtId="181" fontId="80" fillId="19" borderId="420" xfId="0" quotePrefix="1" applyNumberFormat="1" applyFont="1" applyFill="1" applyBorder="1">
      <alignment vertical="center"/>
    </xf>
    <xf numFmtId="182" fontId="97" fillId="4" borderId="468" xfId="8" applyNumberFormat="1" applyFont="1" applyFill="1" applyBorder="1" applyAlignment="1">
      <alignment horizontal="right" vertical="center" wrapText="1"/>
    </xf>
    <xf numFmtId="181" fontId="80" fillId="19" borderId="271" xfId="0" quotePrefix="1" applyNumberFormat="1" applyFont="1" applyFill="1" applyBorder="1">
      <alignment vertical="center"/>
    </xf>
    <xf numFmtId="182" fontId="97" fillId="4" borderId="271" xfId="8" applyNumberFormat="1" applyFont="1" applyFill="1" applyBorder="1" applyAlignment="1">
      <alignment horizontal="right" vertical="center" wrapText="1"/>
    </xf>
    <xf numFmtId="181" fontId="97" fillId="48" borderId="468" xfId="1" quotePrefix="1" applyNumberFormat="1" applyFont="1" applyFill="1" applyBorder="1" applyAlignment="1">
      <alignment horizontal="right" vertical="center" wrapText="1"/>
    </xf>
    <xf numFmtId="181" fontId="97" fillId="32" borderId="469" xfId="8" applyNumberFormat="1" applyFont="1" applyFill="1" applyBorder="1" applyAlignment="1">
      <alignment horizontal="right" vertical="center" wrapText="1"/>
    </xf>
    <xf numFmtId="181" fontId="80" fillId="4" borderId="469" xfId="8" applyNumberFormat="1" applyFont="1" applyFill="1" applyBorder="1" applyAlignment="1">
      <alignment horizontal="right" vertical="center" wrapText="1"/>
    </xf>
    <xf numFmtId="181" fontId="80" fillId="32" borderId="469" xfId="1" applyNumberFormat="1" applyFont="1" applyFill="1" applyBorder="1" applyAlignment="1">
      <alignment horizontal="right" vertical="center" wrapText="1"/>
    </xf>
    <xf numFmtId="181" fontId="80" fillId="4" borderId="469" xfId="1" applyNumberFormat="1" applyFont="1" applyFill="1" applyBorder="1" applyAlignment="1">
      <alignment horizontal="right" vertical="center" wrapText="1"/>
    </xf>
    <xf numFmtId="181" fontId="80" fillId="4" borderId="271" xfId="1" quotePrefix="1" applyNumberFormat="1" applyFont="1" applyFill="1" applyBorder="1" applyAlignment="1">
      <alignment horizontal="right" vertical="center" wrapText="1"/>
    </xf>
    <xf numFmtId="182" fontId="80" fillId="4" borderId="469" xfId="1" applyNumberFormat="1" applyFont="1" applyFill="1" applyBorder="1" applyAlignment="1">
      <alignment horizontal="right" vertical="center" wrapText="1"/>
    </xf>
    <xf numFmtId="182" fontId="80" fillId="4" borderId="469" xfId="1" quotePrefix="1" applyNumberFormat="1" applyFont="1" applyFill="1" applyBorder="1" applyAlignment="1">
      <alignment horizontal="right" vertical="center" wrapText="1"/>
    </xf>
    <xf numFmtId="182" fontId="80" fillId="4" borderId="271" xfId="1" quotePrefix="1" applyNumberFormat="1" applyFont="1" applyFill="1" applyBorder="1" applyAlignment="1">
      <alignment horizontal="right" vertical="center" wrapText="1"/>
    </xf>
    <xf numFmtId="181" fontId="97" fillId="4" borderId="468" xfId="8" applyNumberFormat="1" applyFont="1" applyFill="1" applyBorder="1" applyAlignment="1">
      <alignment horizontal="right" vertical="center" wrapText="1"/>
    </xf>
    <xf numFmtId="181" fontId="97" fillId="4" borderId="468" xfId="8" quotePrefix="1" applyNumberFormat="1" applyFont="1" applyFill="1" applyBorder="1" applyAlignment="1">
      <alignment horizontal="right" vertical="center" wrapText="1"/>
    </xf>
    <xf numFmtId="182" fontId="97" fillId="60" borderId="468" xfId="1" quotePrefix="1" applyNumberFormat="1" applyFont="1" applyFill="1" applyBorder="1" applyAlignment="1">
      <alignment horizontal="right" vertical="center" wrapText="1"/>
    </xf>
    <xf numFmtId="182" fontId="97" fillId="4" borderId="470" xfId="8" applyNumberFormat="1" applyFont="1" applyFill="1" applyBorder="1" applyAlignment="1">
      <alignment horizontal="right" vertical="center" wrapText="1"/>
    </xf>
    <xf numFmtId="181" fontId="97" fillId="4" borderId="422" xfId="0" applyNumberFormat="1" applyFont="1" applyFill="1" applyBorder="1" applyAlignment="1">
      <alignment vertical="center" wrapText="1"/>
    </xf>
    <xf numFmtId="181" fontId="116" fillId="4" borderId="469" xfId="0" applyNumberFormat="1" applyFont="1" applyFill="1" applyBorder="1" applyAlignment="1">
      <alignment horizontal="right" vertical="center" wrapText="1"/>
    </xf>
    <xf numFmtId="182" fontId="116" fillId="4" borderId="271" xfId="0" quotePrefix="1" applyNumberFormat="1" applyFont="1" applyFill="1" applyBorder="1" applyAlignment="1">
      <alignment horizontal="right" vertical="center" wrapText="1"/>
    </xf>
    <xf numFmtId="182" fontId="97" fillId="4" borderId="469" xfId="8" quotePrefix="1" applyNumberFormat="1" applyFont="1" applyFill="1" applyBorder="1" applyAlignment="1">
      <alignment horizontal="right" vertical="center" wrapText="1"/>
    </xf>
    <xf numFmtId="181" fontId="97" fillId="48" borderId="271" xfId="0" applyNumberFormat="1" applyFont="1" applyFill="1" applyBorder="1" applyAlignment="1">
      <alignment horizontal="right" vertical="center" wrapText="1"/>
    </xf>
    <xf numFmtId="197" fontId="97" fillId="4" borderId="271" xfId="0" applyNumberFormat="1" applyFont="1" applyFill="1" applyBorder="1" applyAlignment="1">
      <alignment horizontal="right" vertical="center" wrapText="1"/>
    </xf>
    <xf numFmtId="181" fontId="97" fillId="4" borderId="271" xfId="0" applyNumberFormat="1" applyFont="1" applyFill="1" applyBorder="1" applyAlignment="1">
      <alignment horizontal="right" vertical="center" wrapText="1"/>
    </xf>
    <xf numFmtId="182" fontId="97" fillId="48" borderId="468" xfId="1" applyNumberFormat="1" applyFont="1" applyFill="1" applyBorder="1" applyAlignment="1">
      <alignment horizontal="right" vertical="center" wrapText="1"/>
    </xf>
    <xf numFmtId="181" fontId="97" fillId="4" borderId="421" xfId="1" applyNumberFormat="1" applyFont="1" applyFill="1" applyBorder="1" applyAlignment="1">
      <alignment horizontal="right" vertical="center" wrapText="1"/>
    </xf>
    <xf numFmtId="181" fontId="97" fillId="4" borderId="468" xfId="1" applyNumberFormat="1" applyFont="1" applyFill="1" applyBorder="1" applyAlignment="1">
      <alignment horizontal="right" vertical="center" wrapText="1"/>
    </xf>
    <xf numFmtId="182" fontId="97" fillId="64" borderId="469" xfId="1" applyNumberFormat="1" applyFont="1" applyFill="1" applyBorder="1" applyAlignment="1">
      <alignment horizontal="right" vertical="center" wrapText="1"/>
    </xf>
    <xf numFmtId="182" fontId="97" fillId="32" borderId="469" xfId="8" applyNumberFormat="1" applyFont="1" applyFill="1" applyBorder="1" applyAlignment="1">
      <alignment horizontal="right" vertical="center" wrapText="1"/>
    </xf>
    <xf numFmtId="182" fontId="97" fillId="22" borderId="271" xfId="0" applyNumberFormat="1" applyFont="1" applyFill="1" applyBorder="1" applyAlignment="1">
      <alignment horizontal="right" vertical="center" wrapText="1"/>
    </xf>
    <xf numFmtId="182" fontId="97" fillId="50" borderId="271" xfId="0" applyNumberFormat="1" applyFont="1" applyFill="1" applyBorder="1" applyAlignment="1">
      <alignment horizontal="right" vertical="center" wrapText="1"/>
    </xf>
    <xf numFmtId="182" fontId="97" fillId="22" borderId="469" xfId="0" applyNumberFormat="1" applyFont="1" applyFill="1" applyBorder="1" applyAlignment="1">
      <alignment horizontal="right" vertical="center" wrapText="1"/>
    </xf>
    <xf numFmtId="182" fontId="97" fillId="48" borderId="271" xfId="1" quotePrefix="1" applyNumberFormat="1" applyFont="1" applyFill="1" applyBorder="1" applyAlignment="1">
      <alignment horizontal="right" vertical="center" wrapText="1"/>
    </xf>
    <xf numFmtId="182" fontId="97" fillId="4" borderId="471" xfId="0" quotePrefix="1" applyNumberFormat="1" applyFont="1" applyFill="1" applyBorder="1" applyAlignment="1">
      <alignment horizontal="right" vertical="center" wrapText="1"/>
    </xf>
    <xf numFmtId="181" fontId="97" fillId="14" borderId="29" xfId="0" applyNumberFormat="1" applyFont="1" applyFill="1" applyBorder="1" applyAlignment="1">
      <alignment horizontal="right" vertical="center"/>
    </xf>
    <xf numFmtId="181" fontId="97" fillId="4" borderId="469" xfId="0" applyNumberFormat="1" applyFont="1" applyFill="1" applyBorder="1" applyAlignment="1">
      <alignment vertical="center" wrapText="1"/>
    </xf>
    <xf numFmtId="181" fontId="97" fillId="4" borderId="271" xfId="0" applyNumberFormat="1" applyFont="1" applyFill="1" applyBorder="1" applyAlignment="1">
      <alignment vertical="center" wrapText="1"/>
    </xf>
    <xf numFmtId="182" fontId="97" fillId="4" borderId="271" xfId="8" applyNumberFormat="1" applyFont="1" applyFill="1" applyBorder="1" applyAlignment="1">
      <alignment vertical="center" wrapText="1"/>
    </xf>
    <xf numFmtId="182" fontId="97" fillId="4" borderId="469" xfId="8" applyNumberFormat="1" applyFont="1" applyFill="1" applyBorder="1" applyAlignment="1">
      <alignment vertical="center" wrapText="1"/>
    </xf>
    <xf numFmtId="182" fontId="97" fillId="4" borderId="472" xfId="0" quotePrefix="1" applyNumberFormat="1" applyFont="1" applyFill="1" applyBorder="1" applyAlignment="1">
      <alignment horizontal="right" vertical="center" wrapText="1"/>
    </xf>
    <xf numFmtId="0" fontId="127" fillId="14" borderId="55" xfId="0" applyFont="1" applyFill="1" applyBorder="1">
      <alignment vertical="center"/>
    </xf>
    <xf numFmtId="177" fontId="97" fillId="52" borderId="42" xfId="0" quotePrefix="1" applyNumberFormat="1" applyFont="1" applyFill="1" applyBorder="1" applyAlignment="1">
      <alignment vertical="center" wrapText="1"/>
    </xf>
    <xf numFmtId="177" fontId="97" fillId="52" borderId="38" xfId="0" quotePrefix="1" applyNumberFormat="1" applyFont="1" applyFill="1" applyBorder="1">
      <alignment vertical="center"/>
    </xf>
    <xf numFmtId="177" fontId="96" fillId="0" borderId="43" xfId="0" quotePrefix="1" applyNumberFormat="1" applyFont="1" applyBorder="1" applyAlignment="1">
      <alignment horizontal="center" vertical="center"/>
    </xf>
    <xf numFmtId="0" fontId="128" fillId="48" borderId="43" xfId="0" applyFont="1" applyFill="1" applyBorder="1">
      <alignment vertical="center"/>
    </xf>
    <xf numFmtId="0" fontId="97" fillId="14" borderId="28" xfId="0" applyFont="1" applyFill="1" applyBorder="1" applyAlignment="1">
      <alignment horizontal="center" vertical="center"/>
    </xf>
    <xf numFmtId="0" fontId="97" fillId="14" borderId="28" xfId="0" applyFont="1" applyFill="1" applyBorder="1" applyAlignment="1">
      <alignment horizontal="left" vertical="center"/>
    </xf>
    <xf numFmtId="177" fontId="97" fillId="19" borderId="33" xfId="0" quotePrefix="1" applyNumberFormat="1" applyFont="1" applyFill="1" applyBorder="1">
      <alignment vertical="center"/>
    </xf>
    <xf numFmtId="3" fontId="96" fillId="48" borderId="43" xfId="0" applyNumberFormat="1" applyFont="1" applyFill="1" applyBorder="1" applyAlignment="1">
      <alignment horizontal="center" vertical="center"/>
    </xf>
    <xf numFmtId="177" fontId="96" fillId="15" borderId="43" xfId="0" quotePrefix="1" applyNumberFormat="1" applyFont="1" applyFill="1" applyBorder="1" applyAlignment="1">
      <alignment horizontal="center" vertical="center"/>
    </xf>
    <xf numFmtId="0" fontId="97" fillId="58" borderId="28" xfId="0" applyFont="1" applyFill="1" applyBorder="1" applyAlignment="1">
      <alignment horizontal="left" vertical="center"/>
    </xf>
    <xf numFmtId="3" fontId="126" fillId="3" borderId="407" xfId="0" applyNumberFormat="1" applyFont="1" applyFill="1" applyBorder="1" applyAlignment="1">
      <alignment horizontal="left" vertical="center" wrapText="1"/>
    </xf>
    <xf numFmtId="0" fontId="83" fillId="67" borderId="0" xfId="0" applyFont="1" applyFill="1" applyAlignment="1">
      <alignment horizontal="left" vertical="center" wrapText="1"/>
    </xf>
    <xf numFmtId="0" fontId="81" fillId="67" borderId="0" xfId="0" applyFont="1" applyFill="1" applyAlignment="1">
      <alignment horizontal="left" vertical="center"/>
    </xf>
    <xf numFmtId="0" fontId="89" fillId="0" borderId="150" xfId="0" quotePrefix="1" applyFont="1" applyBorder="1" applyAlignment="1">
      <alignment horizontal="left" vertical="center"/>
    </xf>
    <xf numFmtId="0" fontId="92" fillId="0" borderId="151" xfId="0" quotePrefix="1" applyFont="1" applyBorder="1" applyAlignment="1">
      <alignment horizontal="left" vertical="center"/>
    </xf>
    <xf numFmtId="0" fontId="92" fillId="0" borderId="152" xfId="0" quotePrefix="1" applyFont="1" applyBorder="1" applyAlignment="1">
      <alignment horizontal="left" vertical="center"/>
    </xf>
    <xf numFmtId="0" fontId="109" fillId="3" borderId="0" xfId="0" applyFont="1" applyFill="1" applyAlignment="1">
      <alignment horizontal="left" vertical="center"/>
    </xf>
    <xf numFmtId="0" fontId="94" fillId="61" borderId="331" xfId="0" applyFont="1" applyFill="1" applyBorder="1" applyAlignment="1">
      <alignment horizontal="left" vertical="center" wrapText="1"/>
    </xf>
    <xf numFmtId="0" fontId="95" fillId="58" borderId="30" xfId="0" applyFont="1" applyFill="1" applyBorder="1" applyAlignment="1">
      <alignment horizontal="left" vertical="center"/>
    </xf>
    <xf numFmtId="0" fontId="81" fillId="3" borderId="126" xfId="0" applyFont="1" applyFill="1" applyBorder="1" applyAlignment="1">
      <alignment horizontal="left" vertical="center" wrapText="1"/>
    </xf>
    <xf numFmtId="0" fontId="131" fillId="3" borderId="127" xfId="0" applyFont="1" applyFill="1" applyBorder="1" applyAlignment="1">
      <alignment horizontal="left" vertical="center"/>
    </xf>
    <xf numFmtId="0" fontId="81" fillId="3" borderId="127" xfId="0" applyFont="1" applyFill="1" applyBorder="1" applyAlignment="1">
      <alignment horizontal="left" vertical="center" wrapText="1"/>
    </xf>
    <xf numFmtId="0" fontId="81" fillId="0" borderId="130" xfId="0" applyFont="1" applyBorder="1" applyAlignment="1">
      <alignment horizontal="left" vertical="center" wrapText="1"/>
    </xf>
    <xf numFmtId="0" fontId="81" fillId="3" borderId="128" xfId="0" applyFont="1" applyFill="1" applyBorder="1" applyAlignment="1">
      <alignment horizontal="left" vertical="center"/>
    </xf>
    <xf numFmtId="0" fontId="90" fillId="3" borderId="127" xfId="0" applyFont="1" applyFill="1" applyBorder="1" applyAlignment="1">
      <alignment horizontal="left" vertical="center"/>
    </xf>
    <xf numFmtId="0" fontId="81" fillId="3" borderId="324" xfId="0" applyFont="1" applyFill="1" applyBorder="1" applyAlignment="1">
      <alignment horizontal="left" vertical="center"/>
    </xf>
    <xf numFmtId="0" fontId="81" fillId="3" borderId="346" xfId="0" applyFont="1" applyFill="1" applyBorder="1" applyAlignment="1">
      <alignment horizontal="left" vertical="center"/>
    </xf>
    <xf numFmtId="0" fontId="132" fillId="3" borderId="127" xfId="0" applyFont="1" applyFill="1" applyBorder="1" applyAlignment="1">
      <alignment horizontal="left" vertical="center"/>
    </xf>
    <xf numFmtId="0" fontId="113" fillId="0" borderId="410" xfId="0" applyFont="1" applyBorder="1" applyAlignment="1">
      <alignment horizontal="left" vertical="center" wrapText="1"/>
    </xf>
    <xf numFmtId="0" fontId="96" fillId="0" borderId="0" xfId="0" applyFont="1">
      <alignment vertical="center"/>
    </xf>
    <xf numFmtId="177" fontId="96" fillId="0" borderId="45" xfId="0" quotePrefix="1" applyNumberFormat="1" applyFont="1" applyBorder="1">
      <alignment vertical="center"/>
    </xf>
    <xf numFmtId="0" fontId="96" fillId="0" borderId="42" xfId="0" quotePrefix="1" applyFont="1" applyBorder="1">
      <alignment vertical="center"/>
    </xf>
    <xf numFmtId="0" fontId="96" fillId="3" borderId="67" xfId="0" applyFont="1" applyFill="1" applyBorder="1" applyAlignment="1">
      <alignment horizontal="center" vertical="center"/>
    </xf>
    <xf numFmtId="0" fontId="96" fillId="0" borderId="464" xfId="0" applyFont="1" applyBorder="1">
      <alignment vertical="center"/>
    </xf>
    <xf numFmtId="177" fontId="96" fillId="0" borderId="53" xfId="0" applyNumberFormat="1" applyFont="1" applyBorder="1">
      <alignment vertical="center"/>
    </xf>
    <xf numFmtId="0" fontId="96" fillId="3" borderId="53" xfId="0" applyFont="1" applyFill="1" applyBorder="1">
      <alignment vertical="center"/>
    </xf>
    <xf numFmtId="0" fontId="96" fillId="3" borderId="369" xfId="0" applyFont="1" applyFill="1" applyBorder="1" applyAlignment="1">
      <alignment horizontal="center" vertical="center"/>
    </xf>
    <xf numFmtId="0" fontId="96" fillId="17" borderId="79" xfId="0" applyFont="1" applyFill="1" applyBorder="1" applyAlignment="1">
      <alignment horizontal="center" vertical="center"/>
    </xf>
    <xf numFmtId="0" fontId="96" fillId="17" borderId="60" xfId="0" applyFont="1" applyFill="1" applyBorder="1" applyAlignment="1">
      <alignment horizontal="center" vertical="center"/>
    </xf>
    <xf numFmtId="0" fontId="133" fillId="3" borderId="0" xfId="0" applyFont="1" applyFill="1" applyAlignment="1">
      <alignment horizontal="left" vertical="center" wrapText="1"/>
    </xf>
    <xf numFmtId="0" fontId="121" fillId="0" borderId="0" xfId="0" applyFont="1">
      <alignment vertical="center"/>
    </xf>
    <xf numFmtId="0" fontId="131" fillId="3" borderId="301" xfId="0" applyFont="1" applyFill="1" applyBorder="1" applyAlignment="1">
      <alignment horizontal="left" vertical="center"/>
    </xf>
    <xf numFmtId="177" fontId="90" fillId="3" borderId="438" xfId="0" applyNumberFormat="1" applyFont="1" applyFill="1" applyBorder="1" applyAlignment="1">
      <alignment horizontal="left" vertical="center"/>
    </xf>
    <xf numFmtId="177" fontId="90" fillId="3" borderId="440" xfId="0" applyNumberFormat="1" applyFont="1" applyFill="1" applyBorder="1" applyAlignment="1">
      <alignment horizontal="left" vertical="center"/>
    </xf>
    <xf numFmtId="177" fontId="96" fillId="15" borderId="45" xfId="0" quotePrefix="1" applyNumberFormat="1" applyFont="1" applyFill="1" applyBorder="1">
      <alignment vertical="center"/>
    </xf>
    <xf numFmtId="177" fontId="97" fillId="49" borderId="42" xfId="0" quotePrefix="1" applyNumberFormat="1" applyFont="1" applyFill="1" applyBorder="1">
      <alignment vertical="center"/>
    </xf>
    <xf numFmtId="0" fontId="97" fillId="19" borderId="42" xfId="0" applyFont="1" applyFill="1" applyBorder="1">
      <alignment vertical="center"/>
    </xf>
    <xf numFmtId="177" fontId="81" fillId="3" borderId="473" xfId="0" applyNumberFormat="1" applyFont="1" applyFill="1" applyBorder="1" applyAlignment="1">
      <alignment horizontal="left" vertical="center"/>
    </xf>
    <xf numFmtId="177" fontId="136" fillId="0" borderId="49" xfId="0" quotePrefix="1" applyNumberFormat="1" applyFont="1" applyBorder="1" applyAlignment="1">
      <alignment horizontal="center" vertical="center"/>
    </xf>
    <xf numFmtId="0" fontId="135" fillId="0" borderId="49" xfId="0" applyFont="1" applyBorder="1" applyAlignment="1">
      <alignment vertical="center" wrapText="1"/>
    </xf>
    <xf numFmtId="0" fontId="96" fillId="52" borderId="42" xfId="0" applyFont="1" applyFill="1" applyBorder="1" applyAlignment="1">
      <alignment vertical="center" wrapText="1"/>
    </xf>
    <xf numFmtId="177" fontId="96" fillId="52" borderId="45" xfId="0" quotePrefix="1" applyNumberFormat="1" applyFont="1" applyFill="1" applyBorder="1" applyAlignment="1">
      <alignment horizontal="center" vertical="center"/>
    </xf>
    <xf numFmtId="0" fontId="96" fillId="52" borderId="54" xfId="0" applyFont="1" applyFill="1" applyBorder="1">
      <alignment vertical="center"/>
    </xf>
    <xf numFmtId="0" fontId="97" fillId="52" borderId="57" xfId="0" applyFont="1" applyFill="1" applyBorder="1">
      <alignment vertical="center"/>
    </xf>
    <xf numFmtId="0" fontId="96" fillId="52" borderId="45" xfId="0" applyFont="1" applyFill="1" applyBorder="1">
      <alignment vertical="center"/>
    </xf>
    <xf numFmtId="177" fontId="96" fillId="52" borderId="65" xfId="0" quotePrefix="1" applyNumberFormat="1" applyFont="1" applyFill="1" applyBorder="1" applyAlignment="1">
      <alignment horizontal="center" vertical="center"/>
    </xf>
    <xf numFmtId="182" fontId="96" fillId="52" borderId="183" xfId="0" quotePrefix="1" applyNumberFormat="1" applyFont="1" applyFill="1" applyBorder="1" applyAlignment="1">
      <alignment horizontal="left" vertical="center"/>
    </xf>
    <xf numFmtId="182" fontId="96" fillId="52" borderId="38" xfId="0" quotePrefix="1" applyNumberFormat="1" applyFont="1" applyFill="1" applyBorder="1" applyAlignment="1">
      <alignment horizontal="left" vertical="center"/>
    </xf>
    <xf numFmtId="182" fontId="97" fillId="52" borderId="271" xfId="0" quotePrefix="1" applyNumberFormat="1" applyFont="1" applyFill="1" applyBorder="1" applyAlignment="1">
      <alignment horizontal="left" vertical="center"/>
    </xf>
    <xf numFmtId="0" fontId="97" fillId="48" borderId="45" xfId="0" applyFont="1" applyFill="1" applyBorder="1">
      <alignment vertical="center"/>
    </xf>
    <xf numFmtId="0" fontId="96" fillId="48" borderId="43" xfId="0" applyFont="1" applyFill="1" applyBorder="1">
      <alignment vertical="center"/>
    </xf>
    <xf numFmtId="0" fontId="133" fillId="3" borderId="0" xfId="0" applyFont="1" applyFill="1" applyAlignment="1">
      <alignment horizontal="left" vertical="top" wrapText="1"/>
    </xf>
    <xf numFmtId="177" fontId="97" fillId="49" borderId="302" xfId="0" quotePrefix="1" applyNumberFormat="1" applyFont="1" applyFill="1" applyBorder="1">
      <alignment vertical="center"/>
    </xf>
    <xf numFmtId="177" fontId="97" fillId="49" borderId="33" xfId="0" quotePrefix="1" applyNumberFormat="1" applyFont="1" applyFill="1" applyBorder="1">
      <alignment vertical="center"/>
    </xf>
    <xf numFmtId="177" fontId="97" fillId="49" borderId="462" xfId="0" quotePrefix="1" applyNumberFormat="1" applyFont="1" applyFill="1" applyBorder="1">
      <alignment vertical="center"/>
    </xf>
    <xf numFmtId="177" fontId="97" fillId="49" borderId="295" xfId="0" quotePrefix="1" applyNumberFormat="1" applyFont="1" applyFill="1" applyBorder="1">
      <alignment vertical="center"/>
    </xf>
    <xf numFmtId="177" fontId="97" fillId="49" borderId="172" xfId="0" quotePrefix="1" applyNumberFormat="1" applyFont="1" applyFill="1" applyBorder="1">
      <alignment vertical="center"/>
    </xf>
    <xf numFmtId="177" fontId="97" fillId="49" borderId="410" xfId="0" quotePrefix="1" applyNumberFormat="1" applyFont="1" applyFill="1" applyBorder="1" applyAlignment="1">
      <alignment horizontal="left" vertical="center"/>
    </xf>
    <xf numFmtId="0" fontId="96" fillId="0" borderId="43" xfId="0" quotePrefix="1" applyFont="1" applyBorder="1">
      <alignment vertical="center"/>
    </xf>
    <xf numFmtId="0" fontId="96" fillId="0" borderId="463" xfId="0" applyFont="1" applyBorder="1">
      <alignment vertical="center"/>
    </xf>
    <xf numFmtId="0" fontId="96" fillId="3" borderId="37" xfId="0" applyFont="1" applyFill="1" applyBorder="1">
      <alignment vertical="center"/>
    </xf>
    <xf numFmtId="0" fontId="96" fillId="3" borderId="374" xfId="0" applyFont="1" applyFill="1" applyBorder="1" applyAlignment="1">
      <alignment horizontal="center" vertical="center"/>
    </xf>
    <xf numFmtId="177" fontId="96" fillId="0" borderId="49" xfId="0" applyNumberFormat="1" applyFont="1" applyBorder="1" applyAlignment="1">
      <alignment horizontal="center" vertical="center"/>
    </xf>
    <xf numFmtId="0" fontId="96" fillId="3" borderId="368" xfId="0" applyFont="1" applyFill="1" applyBorder="1" applyAlignment="1">
      <alignment horizontal="center" vertical="center"/>
    </xf>
    <xf numFmtId="177" fontId="97" fillId="58" borderId="302" xfId="0" quotePrefix="1" applyNumberFormat="1" applyFont="1" applyFill="1" applyBorder="1">
      <alignment vertical="center"/>
    </xf>
    <xf numFmtId="177" fontId="97" fillId="49" borderId="407" xfId="0" quotePrefix="1" applyNumberFormat="1" applyFont="1" applyFill="1" applyBorder="1" applyAlignment="1">
      <alignment horizontal="left" vertical="center"/>
    </xf>
    <xf numFmtId="0" fontId="96" fillId="0" borderId="34" xfId="0" quotePrefix="1" applyFont="1" applyBorder="1">
      <alignment vertical="center"/>
    </xf>
    <xf numFmtId="0" fontId="127" fillId="58" borderId="30" xfId="0" applyFont="1" applyFill="1" applyBorder="1" applyAlignment="1">
      <alignment horizontal="left" vertical="center"/>
    </xf>
    <xf numFmtId="0" fontId="97" fillId="58" borderId="22" xfId="0" applyFont="1" applyFill="1" applyBorder="1">
      <alignment vertical="center"/>
    </xf>
    <xf numFmtId="0" fontId="127" fillId="58" borderId="75" xfId="0" applyFont="1" applyFill="1" applyBorder="1">
      <alignment vertical="center"/>
    </xf>
    <xf numFmtId="0" fontId="97" fillId="58" borderId="22" xfId="0" applyFont="1" applyFill="1" applyBorder="1" applyAlignment="1">
      <alignment horizontal="center" vertical="center"/>
    </xf>
    <xf numFmtId="0" fontId="97" fillId="58" borderId="412" xfId="0" applyFont="1" applyFill="1" applyBorder="1" applyAlignment="1">
      <alignment horizontal="left" vertical="center"/>
    </xf>
    <xf numFmtId="0" fontId="115" fillId="3" borderId="126" xfId="0" applyFont="1" applyFill="1" applyBorder="1" applyAlignment="1">
      <alignment horizontal="left" vertical="center"/>
    </xf>
    <xf numFmtId="0" fontId="96" fillId="48" borderId="77" xfId="0" applyFont="1" applyFill="1" applyBorder="1" applyAlignment="1">
      <alignment horizontal="center" vertical="center"/>
    </xf>
    <xf numFmtId="0" fontId="96" fillId="48" borderId="78" xfId="0" applyFont="1" applyFill="1" applyBorder="1">
      <alignment vertical="center"/>
    </xf>
    <xf numFmtId="0" fontId="96" fillId="3" borderId="127" xfId="0" applyFont="1" applyFill="1" applyBorder="1" applyAlignment="1">
      <alignment horizontal="left" vertical="center"/>
    </xf>
    <xf numFmtId="0" fontId="96" fillId="3" borderId="45" xfId="0" quotePrefix="1" applyFont="1" applyFill="1" applyBorder="1" applyAlignment="1">
      <alignment horizontal="left" vertical="center"/>
    </xf>
    <xf numFmtId="0" fontId="96" fillId="3" borderId="57" xfId="0" quotePrefix="1" applyFont="1" applyFill="1" applyBorder="1" applyAlignment="1">
      <alignment horizontal="left" vertical="center"/>
    </xf>
    <xf numFmtId="0" fontId="115" fillId="3" borderId="127" xfId="0" applyFont="1" applyFill="1" applyBorder="1" applyAlignment="1">
      <alignment horizontal="left" vertical="center"/>
    </xf>
    <xf numFmtId="0" fontId="96" fillId="3" borderId="43" xfId="0" quotePrefix="1" applyFont="1" applyFill="1" applyBorder="1">
      <alignment vertical="center"/>
    </xf>
    <xf numFmtId="0" fontId="96" fillId="3" borderId="42" xfId="0" quotePrefix="1" applyFont="1" applyFill="1" applyBorder="1">
      <alignment vertical="center"/>
    </xf>
    <xf numFmtId="0" fontId="96" fillId="3" borderId="45" xfId="0" quotePrefix="1" applyFont="1" applyFill="1" applyBorder="1" applyAlignment="1">
      <alignment horizontal="left" vertical="center" wrapText="1"/>
    </xf>
    <xf numFmtId="0" fontId="96" fillId="48" borderId="34" xfId="0" applyFont="1" applyFill="1" applyBorder="1" applyAlignment="1">
      <alignment horizontal="center" vertical="center"/>
    </xf>
    <xf numFmtId="0" fontId="96" fillId="48" borderId="38" xfId="0" quotePrefix="1" applyFont="1" applyFill="1" applyBorder="1">
      <alignment vertical="center"/>
    </xf>
    <xf numFmtId="0" fontId="81" fillId="15" borderId="323" xfId="0" applyFont="1" applyFill="1" applyBorder="1" applyAlignment="1">
      <alignment horizontal="left" vertical="center"/>
    </xf>
    <xf numFmtId="0" fontId="134" fillId="3" borderId="127" xfId="0" applyFont="1" applyFill="1" applyBorder="1" applyAlignment="1">
      <alignment horizontal="left" vertical="center"/>
    </xf>
    <xf numFmtId="180" fontId="96" fillId="52" borderId="441" xfId="0" applyNumberFormat="1" applyFont="1" applyFill="1" applyBorder="1" applyAlignment="1">
      <alignment horizontal="left" vertical="center" wrapText="1"/>
    </xf>
    <xf numFmtId="0" fontId="81" fillId="3" borderId="80" xfId="0" quotePrefix="1" applyFont="1" applyFill="1" applyBorder="1" applyAlignment="1">
      <alignment horizontal="left" vertical="center"/>
    </xf>
    <xf numFmtId="0" fontId="81" fillId="3" borderId="34" xfId="0" quotePrefix="1" applyFont="1" applyFill="1" applyBorder="1">
      <alignment vertical="center"/>
    </xf>
    <xf numFmtId="0" fontId="81" fillId="3" borderId="49" xfId="0" quotePrefix="1" applyFont="1" applyFill="1" applyBorder="1">
      <alignment vertical="center"/>
    </xf>
    <xf numFmtId="182" fontId="96" fillId="4" borderId="176" xfId="0" applyNumberFormat="1" applyFont="1" applyFill="1" applyBorder="1" applyAlignment="1">
      <alignment vertical="center" wrapText="1"/>
    </xf>
    <xf numFmtId="182" fontId="96" fillId="4" borderId="37" xfId="0" quotePrefix="1" applyNumberFormat="1" applyFont="1" applyFill="1" applyBorder="1" applyAlignment="1">
      <alignment horizontal="right" vertical="center" wrapText="1"/>
    </xf>
    <xf numFmtId="182" fontId="97" fillId="22" borderId="374" xfId="0" applyNumberFormat="1" applyFont="1" applyFill="1" applyBorder="1" applyAlignment="1">
      <alignment horizontal="right" vertical="center" wrapText="1"/>
    </xf>
    <xf numFmtId="0" fontId="96" fillId="3" borderId="474" xfId="0" applyFont="1" applyFill="1" applyBorder="1" applyAlignment="1">
      <alignment horizontal="left" vertical="center"/>
    </xf>
    <xf numFmtId="0" fontId="81" fillId="48" borderId="87" xfId="0" applyFont="1" applyFill="1" applyBorder="1">
      <alignment vertical="center"/>
    </xf>
    <xf numFmtId="181" fontId="96" fillId="48" borderId="371" xfId="0" applyNumberFormat="1" applyFont="1" applyFill="1" applyBorder="1" applyAlignment="1">
      <alignment horizontal="right" vertical="center" wrapText="1"/>
    </xf>
    <xf numFmtId="181" fontId="96" fillId="48" borderId="73" xfId="0" applyNumberFormat="1" applyFont="1" applyFill="1" applyBorder="1" applyAlignment="1">
      <alignment horizontal="right" vertical="center" wrapText="1"/>
    </xf>
    <xf numFmtId="181" fontId="97" fillId="48" borderId="372" xfId="0" applyNumberFormat="1" applyFont="1" applyFill="1" applyBorder="1" applyAlignment="1">
      <alignment horizontal="right" vertical="center" wrapText="1"/>
    </xf>
    <xf numFmtId="0" fontId="111" fillId="0" borderId="0" xfId="0" applyFont="1" applyAlignment="1">
      <alignment horizontal="center" vertical="center"/>
    </xf>
    <xf numFmtId="0" fontId="81" fillId="3" borderId="43" xfId="0" applyFont="1" applyFill="1" applyBorder="1" applyAlignment="1">
      <alignment vertical="top"/>
    </xf>
    <xf numFmtId="0" fontId="81" fillId="3" borderId="42" xfId="0" applyFont="1" applyFill="1" applyBorder="1" applyAlignment="1">
      <alignment vertical="top"/>
    </xf>
    <xf numFmtId="0" fontId="81" fillId="3" borderId="45" xfId="0" applyFont="1" applyFill="1" applyBorder="1" applyAlignment="1">
      <alignment vertical="top"/>
    </xf>
    <xf numFmtId="0" fontId="81" fillId="3" borderId="259" xfId="0" applyFont="1" applyFill="1" applyBorder="1" applyAlignment="1">
      <alignment vertical="top"/>
    </xf>
    <xf numFmtId="0" fontId="81" fillId="3" borderId="91" xfId="0" applyFont="1" applyFill="1" applyBorder="1" applyAlignment="1">
      <alignment vertical="top"/>
    </xf>
    <xf numFmtId="0" fontId="81" fillId="3" borderId="290" xfId="0" applyFont="1" applyFill="1" applyBorder="1" applyAlignment="1">
      <alignment vertical="top"/>
    </xf>
    <xf numFmtId="0" fontId="81" fillId="0" borderId="43" xfId="0" applyFont="1" applyBorder="1" applyAlignment="1">
      <alignment vertical="top"/>
    </xf>
    <xf numFmtId="0" fontId="81" fillId="0" borderId="42" xfId="0" applyFont="1" applyBorder="1" applyAlignment="1">
      <alignment vertical="top"/>
    </xf>
    <xf numFmtId="0" fontId="81" fillId="0" borderId="45" xfId="0" applyFont="1" applyBorder="1" applyAlignment="1">
      <alignment vertical="top"/>
    </xf>
    <xf numFmtId="177" fontId="81" fillId="15" borderId="43" xfId="0" quotePrefix="1" applyNumberFormat="1" applyFont="1" applyFill="1" applyBorder="1">
      <alignment vertical="center"/>
    </xf>
    <xf numFmtId="177" fontId="81" fillId="15" borderId="42" xfId="0" quotePrefix="1" applyNumberFormat="1" applyFont="1" applyFill="1" applyBorder="1">
      <alignment vertical="center"/>
    </xf>
    <xf numFmtId="177" fontId="81" fillId="15" borderId="45" xfId="0" quotePrefix="1" applyNumberFormat="1" applyFont="1" applyFill="1" applyBorder="1">
      <alignment vertical="center"/>
    </xf>
    <xf numFmtId="177" fontId="81" fillId="58" borderId="43" xfId="0" quotePrefix="1" applyNumberFormat="1" applyFont="1" applyFill="1" applyBorder="1">
      <alignment vertical="center"/>
    </xf>
    <xf numFmtId="177" fontId="81" fillId="58" borderId="42" xfId="0" quotePrefix="1" applyNumberFormat="1" applyFont="1" applyFill="1" applyBorder="1">
      <alignment vertical="center"/>
    </xf>
    <xf numFmtId="177" fontId="81" fillId="58" borderId="45" xfId="0" quotePrefix="1" applyNumberFormat="1" applyFont="1" applyFill="1" applyBorder="1">
      <alignment vertical="center"/>
    </xf>
    <xf numFmtId="177" fontId="81" fillId="15" borderId="83" xfId="0" applyNumberFormat="1" applyFont="1" applyFill="1" applyBorder="1">
      <alignment vertical="center"/>
    </xf>
    <xf numFmtId="177" fontId="81" fillId="15" borderId="199" xfId="0" quotePrefix="1" applyNumberFormat="1" applyFont="1" applyFill="1" applyBorder="1">
      <alignment vertical="center"/>
    </xf>
    <xf numFmtId="177" fontId="81" fillId="15" borderId="77" xfId="0" quotePrefix="1" applyNumberFormat="1" applyFont="1" applyFill="1" applyBorder="1">
      <alignment vertical="center"/>
    </xf>
    <xf numFmtId="177" fontId="81" fillId="15" borderId="33" xfId="0" quotePrefix="1" applyNumberFormat="1" applyFont="1" applyFill="1" applyBorder="1">
      <alignment vertical="center"/>
    </xf>
    <xf numFmtId="177" fontId="81" fillId="15" borderId="36" xfId="0" quotePrefix="1" applyNumberFormat="1" applyFont="1" applyFill="1" applyBorder="1">
      <alignment vertical="center"/>
    </xf>
    <xf numFmtId="177" fontId="81" fillId="15" borderId="42" xfId="0" applyNumberFormat="1" applyFont="1" applyFill="1" applyBorder="1">
      <alignment vertical="center"/>
    </xf>
    <xf numFmtId="177" fontId="81" fillId="15" borderId="45" xfId="0" applyNumberFormat="1" applyFont="1" applyFill="1" applyBorder="1">
      <alignment vertical="center"/>
    </xf>
    <xf numFmtId="177" fontId="81" fillId="0" borderId="43" xfId="0" quotePrefix="1" applyNumberFormat="1" applyFont="1" applyBorder="1" applyAlignment="1">
      <alignment vertical="top"/>
    </xf>
    <xf numFmtId="177" fontId="81" fillId="0" borderId="42" xfId="0" quotePrefix="1" applyNumberFormat="1" applyFont="1" applyBorder="1" applyAlignment="1">
      <alignment vertical="top"/>
    </xf>
    <xf numFmtId="177" fontId="81" fillId="0" borderId="45" xfId="0" quotePrefix="1" applyNumberFormat="1" applyFont="1" applyBorder="1" applyAlignment="1">
      <alignment vertical="top"/>
    </xf>
    <xf numFmtId="177" fontId="81" fillId="15" borderId="41" xfId="0" quotePrefix="1" applyNumberFormat="1" applyFont="1" applyFill="1" applyBorder="1">
      <alignment vertical="center"/>
    </xf>
    <xf numFmtId="177" fontId="81" fillId="15" borderId="43" xfId="0" quotePrefix="1" applyNumberFormat="1" applyFont="1" applyFill="1" applyBorder="1" applyAlignment="1">
      <alignment vertical="top" wrapText="1"/>
    </xf>
    <xf numFmtId="177" fontId="81" fillId="15" borderId="42" xfId="0" quotePrefix="1" applyNumberFormat="1" applyFont="1" applyFill="1" applyBorder="1" applyAlignment="1">
      <alignment vertical="top" wrapText="1"/>
    </xf>
    <xf numFmtId="177" fontId="81" fillId="15" borderId="45" xfId="0" quotePrefix="1" applyNumberFormat="1" applyFont="1" applyFill="1" applyBorder="1" applyAlignment="1">
      <alignment vertical="top" wrapText="1"/>
    </xf>
    <xf numFmtId="177" fontId="81" fillId="58" borderId="43" xfId="0" quotePrefix="1" applyNumberFormat="1" applyFont="1" applyFill="1" applyBorder="1" applyAlignment="1">
      <alignment vertical="top" wrapText="1"/>
    </xf>
    <xf numFmtId="177" fontId="81" fillId="58" borderId="42" xfId="0" quotePrefix="1" applyNumberFormat="1" applyFont="1" applyFill="1" applyBorder="1" applyAlignment="1">
      <alignment vertical="top" wrapText="1"/>
    </xf>
    <xf numFmtId="177" fontId="81" fillId="58" borderId="45" xfId="0" quotePrefix="1" applyNumberFormat="1" applyFont="1" applyFill="1" applyBorder="1" applyAlignment="1">
      <alignment vertical="top" wrapText="1"/>
    </xf>
    <xf numFmtId="177" fontId="81" fillId="15" borderId="32" xfId="0" quotePrefix="1" applyNumberFormat="1" applyFont="1" applyFill="1" applyBorder="1">
      <alignment vertical="center"/>
    </xf>
    <xf numFmtId="177" fontId="81" fillId="15" borderId="77" xfId="0" quotePrefix="1" applyNumberFormat="1" applyFont="1" applyFill="1" applyBorder="1" applyAlignment="1">
      <alignment vertical="top"/>
    </xf>
    <xf numFmtId="177" fontId="81" fillId="15" borderId="33" xfId="0" quotePrefix="1" applyNumberFormat="1" applyFont="1" applyFill="1" applyBorder="1" applyAlignment="1">
      <alignment vertical="top"/>
    </xf>
    <xf numFmtId="177" fontId="81" fillId="15" borderId="36" xfId="0" quotePrefix="1" applyNumberFormat="1" applyFont="1" applyFill="1" applyBorder="1" applyAlignment="1">
      <alignment vertical="top"/>
    </xf>
    <xf numFmtId="0" fontId="84" fillId="61" borderId="124" xfId="0" applyFont="1" applyFill="1" applyBorder="1" applyAlignment="1">
      <alignment horizontal="center" vertical="center"/>
    </xf>
    <xf numFmtId="0" fontId="84" fillId="61" borderId="8" xfId="0" applyFont="1" applyFill="1" applyBorder="1" applyAlignment="1">
      <alignment horizontal="center" vertical="center"/>
    </xf>
    <xf numFmtId="0" fontId="80" fillId="9" borderId="6" xfId="0" applyFont="1" applyFill="1" applyBorder="1" applyAlignment="1">
      <alignment horizontal="center" vertical="center"/>
    </xf>
    <xf numFmtId="0" fontId="80" fillId="9" borderId="16" xfId="0" applyFont="1" applyFill="1" applyBorder="1" applyAlignment="1">
      <alignment horizontal="center" vertical="center"/>
    </xf>
    <xf numFmtId="0" fontId="80" fillId="9" borderId="353" xfId="0" applyFont="1" applyFill="1" applyBorder="1" applyAlignment="1">
      <alignment horizontal="center" vertical="center"/>
    </xf>
    <xf numFmtId="177" fontId="81" fillId="15" borderId="77" xfId="0" quotePrefix="1" applyNumberFormat="1" applyFont="1" applyFill="1" applyBorder="1" applyAlignment="1">
      <alignment vertical="top" wrapText="1"/>
    </xf>
    <xf numFmtId="177" fontId="81" fillId="15" borderId="33" xfId="0" quotePrefix="1" applyNumberFormat="1" applyFont="1" applyFill="1" applyBorder="1" applyAlignment="1">
      <alignment vertical="top" wrapText="1"/>
    </xf>
    <xf numFmtId="177" fontId="81" fillId="15" borderId="36" xfId="0" quotePrefix="1" applyNumberFormat="1" applyFont="1" applyFill="1" applyBorder="1" applyAlignment="1">
      <alignment vertical="top" wrapText="1"/>
    </xf>
    <xf numFmtId="0" fontId="114" fillId="6" borderId="248" xfId="0" applyFont="1" applyFill="1" applyBorder="1" applyAlignment="1">
      <alignment horizontal="center" vertical="center"/>
    </xf>
    <xf numFmtId="0" fontId="114" fillId="6" borderId="253" xfId="0" applyFont="1" applyFill="1" applyBorder="1" applyAlignment="1">
      <alignment horizontal="center" vertical="center"/>
    </xf>
    <xf numFmtId="177" fontId="80" fillId="49" borderId="38" xfId="0" quotePrefix="1" applyNumberFormat="1" applyFont="1" applyFill="1" applyBorder="1">
      <alignment vertical="center"/>
    </xf>
    <xf numFmtId="177" fontId="80" fillId="49" borderId="42" xfId="0" quotePrefix="1" applyNumberFormat="1" applyFont="1" applyFill="1" applyBorder="1">
      <alignment vertical="center"/>
    </xf>
    <xf numFmtId="177" fontId="81" fillId="0" borderId="43" xfId="0" quotePrefix="1" applyNumberFormat="1" applyFont="1" applyBorder="1" applyAlignment="1">
      <alignment horizontal="left" vertical="center"/>
    </xf>
    <xf numFmtId="177" fontId="81" fillId="0" borderId="45" xfId="0" applyNumberFormat="1" applyFont="1" applyBorder="1" applyAlignment="1">
      <alignment horizontal="left" vertical="center"/>
    </xf>
    <xf numFmtId="177" fontId="81" fillId="0" borderId="43" xfId="0" applyNumberFormat="1" applyFont="1" applyBorder="1">
      <alignment vertical="center"/>
    </xf>
    <xf numFmtId="177" fontId="81" fillId="0" borderId="45" xfId="0" applyNumberFormat="1" applyFont="1" applyBorder="1">
      <alignment vertical="center"/>
    </xf>
    <xf numFmtId="0" fontId="84" fillId="61" borderId="429" xfId="0" applyFont="1" applyFill="1" applyBorder="1" applyAlignment="1">
      <alignment horizontal="center" vertical="center"/>
    </xf>
    <xf numFmtId="0" fontId="84" fillId="61" borderId="430" xfId="0" applyFont="1" applyFill="1" applyBorder="1" applyAlignment="1">
      <alignment horizontal="center" vertical="center"/>
    </xf>
    <xf numFmtId="0" fontId="84" fillId="61" borderId="431" xfId="0" applyFont="1" applyFill="1" applyBorder="1" applyAlignment="1">
      <alignment horizontal="center" vertical="center"/>
    </xf>
    <xf numFmtId="0" fontId="84" fillId="6" borderId="432" xfId="0" applyFont="1" applyFill="1" applyBorder="1" applyAlignment="1">
      <alignment horizontal="center" vertical="center"/>
    </xf>
    <xf numFmtId="0" fontId="84" fillId="61" borderId="433" xfId="0" applyFont="1" applyFill="1" applyBorder="1" applyAlignment="1">
      <alignment horizontal="center" vertical="center"/>
    </xf>
    <xf numFmtId="0" fontId="84" fillId="61" borderId="434" xfId="0" applyFont="1" applyFill="1" applyBorder="1" applyAlignment="1">
      <alignment horizontal="center" vertical="center"/>
    </xf>
    <xf numFmtId="0" fontId="84" fillId="61" borderId="436" xfId="0" applyFont="1" applyFill="1" applyBorder="1" applyAlignment="1">
      <alignment horizontal="center" vertical="center"/>
    </xf>
    <xf numFmtId="177" fontId="97" fillId="58" borderId="220" xfId="0" quotePrefix="1" applyNumberFormat="1" applyFont="1" applyFill="1" applyBorder="1">
      <alignment vertical="center"/>
    </xf>
    <xf numFmtId="177" fontId="97" fillId="58" borderId="341" xfId="0" quotePrefix="1" applyNumberFormat="1" applyFont="1" applyFill="1" applyBorder="1">
      <alignment vertical="center"/>
    </xf>
    <xf numFmtId="177" fontId="97" fillId="58" borderId="307" xfId="0" quotePrefix="1" applyNumberFormat="1" applyFont="1" applyFill="1" applyBorder="1">
      <alignment vertical="center"/>
    </xf>
    <xf numFmtId="177" fontId="80" fillId="58" borderId="233" xfId="0" quotePrefix="1" applyNumberFormat="1" applyFont="1" applyFill="1" applyBorder="1">
      <alignment vertical="center"/>
    </xf>
    <xf numFmtId="177" fontId="80" fillId="58" borderId="341" xfId="0" quotePrefix="1" applyNumberFormat="1" applyFont="1" applyFill="1" applyBorder="1">
      <alignment vertical="center"/>
    </xf>
    <xf numFmtId="177" fontId="97" fillId="49" borderId="38" xfId="0" quotePrefix="1" applyNumberFormat="1" applyFont="1" applyFill="1" applyBorder="1">
      <alignment vertical="center"/>
    </xf>
    <xf numFmtId="177" fontId="96" fillId="15" borderId="43" xfId="0" quotePrefix="1" applyNumberFormat="1" applyFont="1" applyFill="1" applyBorder="1">
      <alignment vertical="center"/>
    </xf>
    <xf numFmtId="177" fontId="96" fillId="15" borderId="45" xfId="0" quotePrefix="1" applyNumberFormat="1" applyFont="1" applyFill="1" applyBorder="1">
      <alignment vertical="center"/>
    </xf>
    <xf numFmtId="177" fontId="96" fillId="0" borderId="43" xfId="0" quotePrefix="1" applyNumberFormat="1" applyFont="1" applyBorder="1" applyAlignment="1">
      <alignment horizontal="left" vertical="center"/>
    </xf>
    <xf numFmtId="177" fontId="96" fillId="0" borderId="45" xfId="0" applyNumberFormat="1" applyFont="1" applyBorder="1" applyAlignment="1">
      <alignment horizontal="left" vertical="center"/>
    </xf>
    <xf numFmtId="0" fontId="81" fillId="3" borderId="43" xfId="0" applyFont="1" applyFill="1" applyBorder="1" applyAlignment="1">
      <alignment vertical="center" wrapText="1"/>
    </xf>
    <xf numFmtId="0" fontId="81" fillId="3" borderId="45" xfId="0" applyFont="1" applyFill="1" applyBorder="1" applyAlignment="1">
      <alignment vertical="center" wrapText="1"/>
    </xf>
    <xf numFmtId="0" fontId="96" fillId="21" borderId="52" xfId="0" applyFont="1" applyFill="1" applyBorder="1" applyAlignment="1">
      <alignment vertical="center" wrapText="1"/>
    </xf>
    <xf numFmtId="0" fontId="96" fillId="21" borderId="57" xfId="0" applyFont="1" applyFill="1" applyBorder="1" applyAlignment="1">
      <alignment vertical="center" wrapText="1"/>
    </xf>
    <xf numFmtId="177" fontId="97" fillId="49" borderId="43" xfId="0" quotePrefix="1" applyNumberFormat="1" applyFont="1" applyFill="1" applyBorder="1">
      <alignment vertical="center"/>
    </xf>
    <xf numFmtId="177" fontId="97" fillId="49" borderId="42" xfId="0" quotePrefix="1" applyNumberFormat="1" applyFont="1" applyFill="1" applyBorder="1">
      <alignment vertical="center"/>
    </xf>
    <xf numFmtId="177" fontId="97" fillId="49" borderId="42" xfId="0" applyNumberFormat="1" applyFont="1" applyFill="1" applyBorder="1">
      <alignment vertical="center"/>
    </xf>
    <xf numFmtId="177" fontId="97" fillId="49" borderId="38" xfId="0" quotePrefix="1" applyNumberFormat="1" applyFont="1" applyFill="1" applyBorder="1" applyAlignment="1">
      <alignment vertical="center" wrapText="1"/>
    </xf>
    <xf numFmtId="177" fontId="81" fillId="0" borderId="42" xfId="0" applyNumberFormat="1" applyFont="1" applyBorder="1">
      <alignment vertical="center"/>
    </xf>
    <xf numFmtId="177" fontId="81" fillId="15" borderId="87" xfId="0" quotePrefix="1" applyNumberFormat="1" applyFont="1" applyFill="1" applyBorder="1">
      <alignment vertical="center"/>
    </xf>
    <xf numFmtId="177" fontId="81" fillId="15" borderId="95" xfId="0" quotePrefix="1" applyNumberFormat="1" applyFont="1" applyFill="1" applyBorder="1">
      <alignment vertical="center"/>
    </xf>
    <xf numFmtId="0" fontId="81" fillId="3" borderId="138" xfId="0" applyFont="1" applyFill="1" applyBorder="1" applyAlignment="1">
      <alignment vertical="center" wrapText="1"/>
    </xf>
    <xf numFmtId="0" fontId="81" fillId="3" borderId="95" xfId="0" applyFont="1" applyFill="1" applyBorder="1" applyAlignment="1">
      <alignment vertical="center" wrapText="1"/>
    </xf>
    <xf numFmtId="0" fontId="81" fillId="3" borderId="42" xfId="0" applyFont="1" applyFill="1" applyBorder="1" applyAlignment="1">
      <alignment vertical="center" wrapText="1"/>
    </xf>
    <xf numFmtId="177" fontId="96" fillId="0" borderId="42" xfId="0" applyNumberFormat="1" applyFont="1" applyBorder="1">
      <alignment vertical="center"/>
    </xf>
    <xf numFmtId="177" fontId="96" fillId="0" borderId="45" xfId="0" applyNumberFormat="1" applyFont="1" applyBorder="1">
      <alignment vertical="center"/>
    </xf>
    <xf numFmtId="0" fontId="96" fillId="3" borderId="42" xfId="0" applyFont="1" applyFill="1" applyBorder="1" applyAlignment="1">
      <alignment vertical="center" wrapText="1"/>
    </xf>
    <xf numFmtId="0" fontId="96" fillId="3" borderId="45" xfId="0" applyFont="1" applyFill="1" applyBorder="1" applyAlignment="1">
      <alignment vertical="center" wrapText="1"/>
    </xf>
    <xf numFmtId="0" fontId="84" fillId="6" borderId="8" xfId="0" applyFont="1" applyFill="1" applyBorder="1" applyAlignment="1">
      <alignment horizontal="center" vertical="center"/>
    </xf>
    <xf numFmtId="0" fontId="84" fillId="61" borderId="364" xfId="0" applyFont="1" applyFill="1" applyBorder="1" applyAlignment="1">
      <alignment horizontal="center" vertical="center"/>
    </xf>
    <xf numFmtId="177" fontId="80" fillId="49" borderId="43" xfId="0" quotePrefix="1" applyNumberFormat="1" applyFont="1" applyFill="1" applyBorder="1">
      <alignment vertical="center"/>
    </xf>
    <xf numFmtId="0" fontId="84" fillId="61" borderId="405" xfId="0" applyFont="1" applyFill="1" applyBorder="1" applyAlignment="1">
      <alignment horizontal="center" vertical="center" wrapText="1"/>
    </xf>
    <xf numFmtId="177" fontId="80" fillId="48" borderId="33" xfId="0" quotePrefix="1" applyNumberFormat="1" applyFont="1" applyFill="1" applyBorder="1">
      <alignment vertical="center"/>
    </xf>
    <xf numFmtId="177" fontId="81" fillId="0" borderId="302" xfId="0" quotePrefix="1" applyNumberFormat="1" applyFont="1" applyBorder="1" applyAlignment="1">
      <alignment horizontal="left" vertical="center"/>
    </xf>
    <xf numFmtId="177" fontId="80" fillId="49" borderId="302" xfId="0" quotePrefix="1" applyNumberFormat="1" applyFont="1" applyFill="1" applyBorder="1">
      <alignment vertical="center"/>
    </xf>
    <xf numFmtId="177" fontId="80" fillId="48" borderId="43" xfId="0" quotePrefix="1" applyNumberFormat="1" applyFont="1" applyFill="1" applyBorder="1">
      <alignment vertical="center"/>
    </xf>
    <xf numFmtId="177" fontId="81" fillId="3" borderId="302" xfId="0" quotePrefix="1" applyNumberFormat="1" applyFont="1" applyFill="1" applyBorder="1" applyAlignment="1">
      <alignment horizontal="left" vertical="center"/>
    </xf>
    <xf numFmtId="177" fontId="81" fillId="3" borderId="43" xfId="0" applyNumberFormat="1" applyFont="1" applyFill="1" applyBorder="1">
      <alignment vertical="center"/>
    </xf>
    <xf numFmtId="177" fontId="80" fillId="48" borderId="302" xfId="0" quotePrefix="1" applyNumberFormat="1" applyFont="1" applyFill="1" applyBorder="1">
      <alignment vertical="center"/>
    </xf>
    <xf numFmtId="177" fontId="80" fillId="48" borderId="309" xfId="0" quotePrefix="1" applyNumberFormat="1" applyFont="1" applyFill="1" applyBorder="1" applyAlignment="1">
      <alignment horizontal="left" vertical="center"/>
    </xf>
    <xf numFmtId="177" fontId="81" fillId="0" borderId="34" xfId="0" applyNumberFormat="1" applyFont="1" applyBorder="1">
      <alignment vertical="center"/>
    </xf>
    <xf numFmtId="177" fontId="81" fillId="0" borderId="38" xfId="0" applyNumberFormat="1" applyFont="1" applyBorder="1">
      <alignment vertical="center"/>
    </xf>
    <xf numFmtId="177" fontId="80" fillId="48" borderId="33" xfId="0" quotePrefix="1" applyNumberFormat="1" applyFont="1" applyFill="1" applyBorder="1" applyAlignment="1">
      <alignment horizontal="left" vertical="center"/>
    </xf>
    <xf numFmtId="177" fontId="80" fillId="48" borderId="43" xfId="0" quotePrefix="1" applyNumberFormat="1" applyFont="1" applyFill="1" applyBorder="1" applyAlignment="1">
      <alignment horizontal="left" vertical="center"/>
    </xf>
    <xf numFmtId="177" fontId="80" fillId="49" borderId="43" xfId="0" quotePrefix="1" applyNumberFormat="1" applyFont="1" applyFill="1" applyBorder="1" applyAlignment="1">
      <alignment vertical="center" wrapText="1"/>
    </xf>
    <xf numFmtId="177" fontId="119" fillId="48" borderId="42" xfId="0" quotePrefix="1" applyNumberFormat="1" applyFont="1" applyFill="1" applyBorder="1" applyAlignment="1">
      <alignment horizontal="left" vertical="center" wrapText="1"/>
    </xf>
    <xf numFmtId="177" fontId="80" fillId="48" borderId="42" xfId="0" quotePrefix="1" applyNumberFormat="1" applyFont="1" applyFill="1" applyBorder="1" applyAlignment="1">
      <alignment horizontal="left" vertical="center"/>
    </xf>
    <xf numFmtId="177" fontId="80" fillId="49" borderId="43" xfId="0" quotePrefix="1" applyNumberFormat="1" applyFont="1" applyFill="1" applyBorder="1" applyAlignment="1">
      <alignment horizontal="left" vertical="center"/>
    </xf>
    <xf numFmtId="177" fontId="80" fillId="49" borderId="302" xfId="0" quotePrefix="1" applyNumberFormat="1" applyFont="1" applyFill="1" applyBorder="1" applyAlignment="1">
      <alignment horizontal="left" vertical="center"/>
    </xf>
    <xf numFmtId="177" fontId="80" fillId="60" borderId="33" xfId="0" quotePrefix="1" applyNumberFormat="1" applyFont="1" applyFill="1" applyBorder="1" applyAlignment="1">
      <alignment horizontal="left" vertical="center"/>
    </xf>
    <xf numFmtId="177" fontId="80" fillId="49" borderId="42" xfId="0" quotePrefix="1" applyNumberFormat="1" applyFont="1" applyFill="1" applyBorder="1" applyAlignment="1">
      <alignment horizontal="left" vertical="center"/>
    </xf>
    <xf numFmtId="177" fontId="96" fillId="0" borderId="302" xfId="0" quotePrefix="1" applyNumberFormat="1" applyFont="1" applyBorder="1" applyAlignment="1">
      <alignment horizontal="left" vertical="center"/>
    </xf>
    <xf numFmtId="0" fontId="80" fillId="48" borderId="33" xfId="0" applyFont="1" applyFill="1" applyBorder="1" applyAlignment="1">
      <alignment horizontal="left" vertical="center"/>
    </xf>
    <xf numFmtId="0" fontId="80" fillId="48" borderId="43" xfId="0" applyFont="1" applyFill="1" applyBorder="1" applyAlignment="1">
      <alignment vertical="center" wrapText="1"/>
    </xf>
    <xf numFmtId="0" fontId="80" fillId="48" borderId="43" xfId="0" applyFont="1" applyFill="1" applyBorder="1" applyAlignment="1">
      <alignment horizontal="left" vertical="center" wrapText="1"/>
    </xf>
    <xf numFmtId="177" fontId="97" fillId="48" borderId="306" xfId="0" quotePrefix="1" applyNumberFormat="1" applyFont="1" applyFill="1" applyBorder="1" applyAlignment="1">
      <alignment horizontal="left" vertical="center"/>
    </xf>
    <xf numFmtId="177" fontId="97" fillId="48" borderId="33" xfId="0" quotePrefix="1" applyNumberFormat="1" applyFont="1" applyFill="1" applyBorder="1" applyAlignment="1">
      <alignment horizontal="left" vertical="center"/>
    </xf>
    <xf numFmtId="177" fontId="97" fillId="48" borderId="36" xfId="0" quotePrefix="1" applyNumberFormat="1" applyFont="1" applyFill="1" applyBorder="1" applyAlignment="1">
      <alignment horizontal="left" vertical="center"/>
    </xf>
    <xf numFmtId="177" fontId="80" fillId="48" borderId="77" xfId="0" quotePrefix="1" applyNumberFormat="1" applyFont="1" applyFill="1" applyBorder="1" applyAlignment="1">
      <alignment horizontal="left" vertical="center"/>
    </xf>
    <xf numFmtId="177" fontId="80" fillId="48" borderId="36" xfId="0" quotePrefix="1" applyNumberFormat="1" applyFont="1" applyFill="1" applyBorder="1" applyAlignment="1">
      <alignment horizontal="left" vertical="center"/>
    </xf>
    <xf numFmtId="177" fontId="96" fillId="0" borderId="42" xfId="0" quotePrefix="1" applyNumberFormat="1" applyFont="1" applyBorder="1" applyAlignment="1">
      <alignment horizontal="left" vertical="center"/>
    </xf>
    <xf numFmtId="177" fontId="96" fillId="0" borderId="45" xfId="0" quotePrefix="1" applyNumberFormat="1" applyFont="1" applyBorder="1" applyAlignment="1">
      <alignment horizontal="left" vertical="center"/>
    </xf>
    <xf numFmtId="177" fontId="81" fillId="15" borderId="397" xfId="0" quotePrefix="1" applyNumberFormat="1" applyFont="1" applyFill="1" applyBorder="1">
      <alignment vertical="center"/>
    </xf>
    <xf numFmtId="177" fontId="81" fillId="15" borderId="398" xfId="0" quotePrefix="1" applyNumberFormat="1" applyFont="1" applyFill="1" applyBorder="1">
      <alignment vertical="center"/>
    </xf>
    <xf numFmtId="0" fontId="81" fillId="3" borderId="52" xfId="0" applyFont="1" applyFill="1" applyBorder="1" applyAlignment="1">
      <alignment vertical="center" wrapText="1"/>
    </xf>
    <xf numFmtId="0" fontId="80" fillId="48" borderId="49" xfId="0" applyFont="1" applyFill="1" applyBorder="1" applyAlignment="1">
      <alignment horizontal="left" vertical="center"/>
    </xf>
    <xf numFmtId="0" fontId="80" fillId="48" borderId="42" xfId="0" applyFont="1" applyFill="1" applyBorder="1" applyAlignment="1">
      <alignment horizontal="left" vertical="center"/>
    </xf>
    <xf numFmtId="177" fontId="96" fillId="3" borderId="43" xfId="0" applyNumberFormat="1" applyFont="1" applyFill="1" applyBorder="1">
      <alignment vertical="center"/>
    </xf>
    <xf numFmtId="177" fontId="96" fillId="3" borderId="42" xfId="0" applyNumberFormat="1" applyFont="1" applyFill="1" applyBorder="1">
      <alignment vertical="center"/>
    </xf>
    <xf numFmtId="177" fontId="96" fillId="3" borderId="45" xfId="0" applyNumberFormat="1" applyFont="1" applyFill="1" applyBorder="1">
      <alignment vertical="center"/>
    </xf>
    <xf numFmtId="177" fontId="80" fillId="48" borderId="45" xfId="0" applyNumberFormat="1" applyFont="1" applyFill="1" applyBorder="1" applyAlignment="1">
      <alignment horizontal="left" vertical="center"/>
    </xf>
    <xf numFmtId="177" fontId="81" fillId="0" borderId="42" xfId="0" quotePrefix="1" applyNumberFormat="1" applyFont="1" applyBorder="1" applyAlignment="1">
      <alignment horizontal="left" vertical="center"/>
    </xf>
    <xf numFmtId="177" fontId="81" fillId="0" borderId="45" xfId="0" quotePrefix="1" applyNumberFormat="1" applyFont="1" applyBorder="1" applyAlignment="1">
      <alignment horizontal="left" vertical="center"/>
    </xf>
    <xf numFmtId="177" fontId="80" fillId="49" borderId="45" xfId="0" quotePrefix="1" applyNumberFormat="1" applyFont="1" applyFill="1" applyBorder="1">
      <alignment vertical="center"/>
    </xf>
    <xf numFmtId="177" fontId="80" fillId="48" borderId="42" xfId="0" quotePrefix="1" applyNumberFormat="1" applyFont="1" applyFill="1" applyBorder="1">
      <alignment vertical="center"/>
    </xf>
    <xf numFmtId="177" fontId="80" fillId="48" borderId="45" xfId="0" quotePrefix="1" applyNumberFormat="1" applyFont="1" applyFill="1" applyBorder="1">
      <alignment vertical="center"/>
    </xf>
    <xf numFmtId="0" fontId="80" fillId="48" borderId="43" xfId="0" applyFont="1" applyFill="1" applyBorder="1">
      <alignment vertical="center"/>
    </xf>
    <xf numFmtId="0" fontId="80" fillId="48" borderId="45" xfId="0" applyFont="1" applyFill="1" applyBorder="1">
      <alignment vertical="center"/>
    </xf>
    <xf numFmtId="177" fontId="80" fillId="48" borderId="306" xfId="0" quotePrefix="1" applyNumberFormat="1" applyFont="1" applyFill="1" applyBorder="1">
      <alignment vertical="center"/>
    </xf>
    <xf numFmtId="177" fontId="80" fillId="48" borderId="36" xfId="0" quotePrefix="1" applyNumberFormat="1" applyFont="1" applyFill="1" applyBorder="1">
      <alignment vertical="center"/>
    </xf>
    <xf numFmtId="177" fontId="80" fillId="48" borderId="77" xfId="0" quotePrefix="1" applyNumberFormat="1" applyFont="1" applyFill="1" applyBorder="1">
      <alignment vertical="center"/>
    </xf>
    <xf numFmtId="177" fontId="80" fillId="48" borderId="43" xfId="0" quotePrefix="1" applyNumberFormat="1" applyFont="1" applyFill="1" applyBorder="1" applyAlignment="1">
      <alignment vertical="center" wrapText="1"/>
    </xf>
    <xf numFmtId="177" fontId="80" fillId="48" borderId="42" xfId="0" quotePrefix="1" applyNumberFormat="1" applyFont="1" applyFill="1" applyBorder="1" applyAlignment="1">
      <alignment vertical="center" wrapText="1"/>
    </xf>
    <xf numFmtId="177" fontId="80" fillId="48" borderId="45" xfId="0" quotePrefix="1" applyNumberFormat="1" applyFont="1" applyFill="1" applyBorder="1" applyAlignment="1">
      <alignment vertical="center" wrapText="1"/>
    </xf>
    <xf numFmtId="177" fontId="81" fillId="0" borderId="361" xfId="0" quotePrefix="1" applyNumberFormat="1" applyFont="1" applyBorder="1" applyAlignment="1">
      <alignment horizontal="left" vertical="center"/>
    </xf>
    <xf numFmtId="177" fontId="81" fillId="0" borderId="52" xfId="0" applyNumberFormat="1" applyFont="1" applyBorder="1">
      <alignment vertical="center"/>
    </xf>
    <xf numFmtId="177" fontId="81" fillId="0" borderId="351" xfId="0" quotePrefix="1" applyNumberFormat="1" applyFont="1" applyBorder="1" applyAlignment="1">
      <alignment horizontal="left" vertical="center"/>
    </xf>
    <xf numFmtId="177" fontId="81" fillId="0" borderId="91" xfId="0" quotePrefix="1" applyNumberFormat="1" applyFont="1" applyBorder="1" applyAlignment="1">
      <alignment horizontal="left" vertical="center"/>
    </xf>
    <xf numFmtId="177" fontId="81" fillId="0" borderId="290" xfId="0" quotePrefix="1" applyNumberFormat="1" applyFont="1" applyBorder="1" applyAlignment="1">
      <alignment horizontal="left" vertical="center"/>
    </xf>
    <xf numFmtId="177" fontId="81" fillId="0" borderId="259" xfId="0" applyNumberFormat="1" applyFont="1" applyBorder="1">
      <alignment vertical="center"/>
    </xf>
    <xf numFmtId="177" fontId="81" fillId="0" borderId="91" xfId="0" applyNumberFormat="1" applyFont="1" applyBorder="1">
      <alignment vertical="center"/>
    </xf>
    <xf numFmtId="177" fontId="81" fillId="0" borderId="290" xfId="0" applyNumberFormat="1" applyFont="1" applyBorder="1">
      <alignment vertical="center"/>
    </xf>
    <xf numFmtId="177" fontId="0" fillId="0" borderId="43" xfId="0" applyNumberFormat="1" applyBorder="1" applyAlignment="1">
      <alignment vertical="top"/>
    </xf>
    <xf numFmtId="177" fontId="0" fillId="0" borderId="42" xfId="0" applyNumberFormat="1" applyBorder="1" applyAlignment="1">
      <alignment vertical="top"/>
    </xf>
    <xf numFmtId="177" fontId="0" fillId="0" borderId="45" xfId="0" applyNumberFormat="1" applyBorder="1" applyAlignment="1">
      <alignment vertical="top"/>
    </xf>
    <xf numFmtId="0" fontId="5" fillId="3" borderId="43" xfId="0" applyFont="1" applyFill="1" applyBorder="1" applyAlignment="1">
      <alignment vertical="top" wrapText="1"/>
    </xf>
    <xf numFmtId="0" fontId="5" fillId="3" borderId="45" xfId="0" applyFont="1" applyFill="1" applyBorder="1" applyAlignment="1">
      <alignment vertical="top" wrapText="1"/>
    </xf>
    <xf numFmtId="0" fontId="15" fillId="48" borderId="43" xfId="0" applyFont="1" applyFill="1" applyBorder="1">
      <alignment vertical="center"/>
    </xf>
    <xf numFmtId="0" fontId="15" fillId="48" borderId="45" xfId="0" applyFont="1" applyFill="1" applyBorder="1">
      <alignment vertical="center"/>
    </xf>
    <xf numFmtId="177" fontId="15" fillId="48" borderId="43" xfId="0" quotePrefix="1" applyNumberFormat="1" applyFont="1" applyFill="1" applyBorder="1">
      <alignment vertical="center"/>
    </xf>
    <xf numFmtId="177" fontId="15" fillId="48" borderId="42" xfId="0" quotePrefix="1" applyNumberFormat="1" applyFont="1" applyFill="1" applyBorder="1">
      <alignment vertical="center"/>
    </xf>
    <xf numFmtId="177" fontId="15" fillId="48" borderId="45" xfId="0" quotePrefix="1" applyNumberFormat="1" applyFont="1" applyFill="1" applyBorder="1">
      <alignment vertical="center"/>
    </xf>
    <xf numFmtId="0" fontId="5" fillId="3" borderId="67" xfId="0" applyFont="1" applyFill="1" applyBorder="1" applyAlignment="1">
      <alignment vertical="top" wrapText="1"/>
    </xf>
    <xf numFmtId="0" fontId="5" fillId="3" borderId="53" xfId="0" applyFont="1" applyFill="1" applyBorder="1" applyAlignment="1">
      <alignment vertical="top" wrapText="1"/>
    </xf>
    <xf numFmtId="177" fontId="15" fillId="49" borderId="43" xfId="0" quotePrefix="1" applyNumberFormat="1" applyFont="1" applyFill="1" applyBorder="1">
      <alignment vertical="center"/>
    </xf>
    <xf numFmtId="177" fontId="15" fillId="49" borderId="45" xfId="0" quotePrefix="1" applyNumberFormat="1" applyFont="1" applyFill="1" applyBorder="1">
      <alignment vertical="center"/>
    </xf>
    <xf numFmtId="177" fontId="15" fillId="49" borderId="43" xfId="0" quotePrefix="1" applyNumberFormat="1" applyFont="1" applyFill="1" applyBorder="1" applyAlignment="1">
      <alignment horizontal="left" vertical="center"/>
    </xf>
    <xf numFmtId="177" fontId="15" fillId="49" borderId="42" xfId="0" quotePrefix="1" applyNumberFormat="1" applyFont="1" applyFill="1" applyBorder="1" applyAlignment="1">
      <alignment horizontal="left" vertical="center"/>
    </xf>
    <xf numFmtId="177" fontId="15" fillId="49" borderId="45" xfId="0" quotePrefix="1" applyNumberFormat="1" applyFont="1" applyFill="1" applyBorder="1" applyAlignment="1">
      <alignment horizontal="left" vertical="center"/>
    </xf>
    <xf numFmtId="177" fontId="15" fillId="49" borderId="302" xfId="0" quotePrefix="1" applyNumberFormat="1" applyFont="1" applyFill="1" applyBorder="1">
      <alignment vertical="center"/>
    </xf>
    <xf numFmtId="177" fontId="15" fillId="49" borderId="42" xfId="0" quotePrefix="1" applyNumberFormat="1" applyFont="1" applyFill="1" applyBorder="1">
      <alignment vertical="center"/>
    </xf>
    <xf numFmtId="177" fontId="5" fillId="15" borderId="43" xfId="0" quotePrefix="1" applyNumberFormat="1" applyFont="1" applyFill="1" applyBorder="1">
      <alignment vertical="center"/>
    </xf>
    <xf numFmtId="177" fontId="5" fillId="15" borderId="42" xfId="0" quotePrefix="1" applyNumberFormat="1" applyFont="1" applyFill="1" applyBorder="1">
      <alignment vertical="center"/>
    </xf>
    <xf numFmtId="177" fontId="5" fillId="15" borderId="45" xfId="0" quotePrefix="1" applyNumberFormat="1" applyFont="1" applyFill="1" applyBorder="1">
      <alignment vertical="center"/>
    </xf>
    <xf numFmtId="177" fontId="5" fillId="15" borderId="77" xfId="0" quotePrefix="1" applyNumberFormat="1" applyFont="1" applyFill="1" applyBorder="1">
      <alignment vertical="center"/>
    </xf>
    <xf numFmtId="177" fontId="5" fillId="15" borderId="33" xfId="0" quotePrefix="1" applyNumberFormat="1" applyFont="1" applyFill="1" applyBorder="1">
      <alignment vertical="center"/>
    </xf>
    <xf numFmtId="177" fontId="5" fillId="15" borderId="36" xfId="0" quotePrefix="1" applyNumberFormat="1" applyFont="1" applyFill="1" applyBorder="1">
      <alignment vertical="center"/>
    </xf>
    <xf numFmtId="177" fontId="5" fillId="15" borderId="77" xfId="0" quotePrefix="1" applyNumberFormat="1" applyFont="1" applyFill="1" applyBorder="1" applyAlignment="1">
      <alignment vertical="top" wrapText="1"/>
    </xf>
    <xf numFmtId="177" fontId="5" fillId="15" borderId="33" xfId="0" quotePrefix="1" applyNumberFormat="1" applyFont="1" applyFill="1" applyBorder="1" applyAlignment="1">
      <alignment vertical="top" wrapText="1"/>
    </xf>
    <xf numFmtId="177" fontId="5" fillId="15" borderId="36" xfId="0" quotePrefix="1" applyNumberFormat="1" applyFont="1" applyFill="1" applyBorder="1" applyAlignment="1">
      <alignment vertical="top" wrapText="1"/>
    </xf>
    <xf numFmtId="177" fontId="5" fillId="15" borderId="43" xfId="0" quotePrefix="1" applyNumberFormat="1" applyFont="1" applyFill="1" applyBorder="1" applyAlignment="1">
      <alignment vertical="top" wrapText="1"/>
    </xf>
    <xf numFmtId="177" fontId="5" fillId="15" borderId="42" xfId="0" quotePrefix="1" applyNumberFormat="1" applyFont="1" applyFill="1" applyBorder="1" applyAlignment="1">
      <alignment vertical="top" wrapText="1"/>
    </xf>
    <xf numFmtId="177" fontId="5" fillId="15" borderId="45" xfId="0" quotePrefix="1" applyNumberFormat="1" applyFont="1" applyFill="1" applyBorder="1" applyAlignment="1">
      <alignment vertical="top" wrapText="1"/>
    </xf>
    <xf numFmtId="177" fontId="5" fillId="15" borderId="77" xfId="0" quotePrefix="1" applyNumberFormat="1" applyFont="1" applyFill="1" applyBorder="1" applyAlignment="1">
      <alignment vertical="top"/>
    </xf>
    <xf numFmtId="177" fontId="5" fillId="15" borderId="33" xfId="0" quotePrefix="1" applyNumberFormat="1" applyFont="1" applyFill="1" applyBorder="1" applyAlignment="1">
      <alignment vertical="top"/>
    </xf>
    <xf numFmtId="177" fontId="5" fillId="15" borderId="36" xfId="0" quotePrefix="1" applyNumberFormat="1" applyFont="1" applyFill="1" applyBorder="1" applyAlignment="1">
      <alignment vertical="top"/>
    </xf>
    <xf numFmtId="177" fontId="5" fillId="0" borderId="43" xfId="0" quotePrefix="1" applyNumberFormat="1" applyFont="1" applyBorder="1" applyAlignment="1">
      <alignment vertical="top"/>
    </xf>
    <xf numFmtId="177" fontId="5" fillId="0" borderId="42" xfId="0" quotePrefix="1" applyNumberFormat="1" applyFont="1" applyBorder="1" applyAlignment="1">
      <alignment vertical="top"/>
    </xf>
    <xf numFmtId="177" fontId="5" fillId="0" borderId="45" xfId="0" quotePrefix="1" applyNumberFormat="1" applyFont="1" applyBorder="1" applyAlignment="1">
      <alignment vertical="top"/>
    </xf>
    <xf numFmtId="177" fontId="0" fillId="15" borderId="42" xfId="0" quotePrefix="1" applyNumberFormat="1" applyFill="1" applyBorder="1">
      <alignment vertical="center"/>
    </xf>
    <xf numFmtId="177" fontId="0" fillId="15" borderId="45" xfId="0" applyNumberFormat="1" applyFill="1" applyBorder="1">
      <alignment vertical="center"/>
    </xf>
    <xf numFmtId="177" fontId="15" fillId="48" borderId="34" xfId="0" quotePrefix="1" applyNumberFormat="1" applyFont="1" applyFill="1" applyBorder="1">
      <alignment vertical="center"/>
    </xf>
    <xf numFmtId="0" fontId="15" fillId="48" borderId="42" xfId="0" applyFont="1" applyFill="1" applyBorder="1">
      <alignment vertical="center"/>
    </xf>
    <xf numFmtId="0" fontId="0" fillId="3" borderId="43" xfId="0" applyFill="1" applyBorder="1" applyAlignment="1">
      <alignment vertical="top" wrapText="1"/>
    </xf>
    <xf numFmtId="0" fontId="0" fillId="3" borderId="45" xfId="0" applyFill="1" applyBorder="1" applyAlignment="1">
      <alignment vertical="top" wrapText="1"/>
    </xf>
    <xf numFmtId="177" fontId="15" fillId="21" borderId="43" xfId="0" quotePrefix="1" applyNumberFormat="1" applyFont="1" applyFill="1" applyBorder="1">
      <alignment vertical="center"/>
    </xf>
    <xf numFmtId="177" fontId="15" fillId="21" borderId="42" xfId="0" quotePrefix="1" applyNumberFormat="1" applyFont="1" applyFill="1" applyBorder="1">
      <alignment vertical="center"/>
    </xf>
    <xf numFmtId="177" fontId="15" fillId="21" borderId="45" xfId="0" quotePrefix="1" applyNumberFormat="1" applyFont="1" applyFill="1" applyBorder="1">
      <alignment vertical="center"/>
    </xf>
    <xf numFmtId="177" fontId="15" fillId="48" borderId="42" xfId="0" applyNumberFormat="1" applyFont="1" applyFill="1" applyBorder="1">
      <alignment vertical="center"/>
    </xf>
    <xf numFmtId="177" fontId="15" fillId="48" borderId="45" xfId="0" applyNumberFormat="1" applyFont="1" applyFill="1" applyBorder="1">
      <alignment vertical="center"/>
    </xf>
    <xf numFmtId="177" fontId="0" fillId="0" borderId="34" xfId="0" applyNumberFormat="1" applyBorder="1" applyAlignment="1">
      <alignment vertical="top"/>
    </xf>
    <xf numFmtId="177" fontId="0" fillId="0" borderId="49" xfId="0" applyNumberFormat="1" applyBorder="1" applyAlignment="1">
      <alignment vertical="top"/>
    </xf>
    <xf numFmtId="177" fontId="0" fillId="0" borderId="80" xfId="0" applyNumberFormat="1" applyBorder="1" applyAlignment="1">
      <alignment vertical="top"/>
    </xf>
    <xf numFmtId="177" fontId="15" fillId="49" borderId="42" xfId="0" applyNumberFormat="1" applyFont="1" applyFill="1" applyBorder="1">
      <alignment vertical="center"/>
    </xf>
    <xf numFmtId="177" fontId="15" fillId="49" borderId="43" xfId="0" quotePrefix="1" applyNumberFormat="1" applyFont="1" applyFill="1" applyBorder="1" applyAlignment="1">
      <alignment vertical="top"/>
    </xf>
    <xf numFmtId="177" fontId="15" fillId="49" borderId="42" xfId="0" applyNumberFormat="1" applyFont="1" applyFill="1" applyBorder="1" applyAlignment="1">
      <alignment vertical="top"/>
    </xf>
    <xf numFmtId="177" fontId="15" fillId="49" borderId="45" xfId="0" applyNumberFormat="1" applyFont="1" applyFill="1" applyBorder="1" applyAlignment="1">
      <alignment vertical="top"/>
    </xf>
    <xf numFmtId="177" fontId="15" fillId="48" borderId="33" xfId="0" quotePrefix="1" applyNumberFormat="1" applyFont="1" applyFill="1" applyBorder="1" applyAlignment="1">
      <alignment horizontal="left" vertical="center"/>
    </xf>
    <xf numFmtId="177" fontId="15" fillId="48" borderId="43" xfId="0" quotePrefix="1" applyNumberFormat="1" applyFont="1" applyFill="1" applyBorder="1" applyAlignment="1">
      <alignment horizontal="left" vertical="center"/>
    </xf>
    <xf numFmtId="177" fontId="15" fillId="48" borderId="45" xfId="0" quotePrefix="1" applyNumberFormat="1" applyFont="1" applyFill="1" applyBorder="1" applyAlignment="1">
      <alignment horizontal="left" vertical="center"/>
    </xf>
    <xf numFmtId="0" fontId="15" fillId="48" borderId="43" xfId="0" applyFont="1" applyFill="1" applyBorder="1" applyAlignment="1">
      <alignment horizontal="left" vertical="center"/>
    </xf>
    <xf numFmtId="0" fontId="15" fillId="48" borderId="42" xfId="0" applyFont="1" applyFill="1" applyBorder="1" applyAlignment="1">
      <alignment horizontal="left" vertical="center"/>
    </xf>
    <xf numFmtId="177" fontId="15" fillId="49" borderId="33" xfId="0" quotePrefix="1" applyNumberFormat="1" applyFont="1" applyFill="1" applyBorder="1" applyAlignment="1">
      <alignment horizontal="left" vertical="center"/>
    </xf>
    <xf numFmtId="0" fontId="15" fillId="48" borderId="45" xfId="0" applyFont="1" applyFill="1" applyBorder="1" applyAlignment="1">
      <alignment horizontal="left" vertical="center"/>
    </xf>
    <xf numFmtId="0" fontId="15" fillId="48" borderId="43" xfId="0" applyFont="1" applyFill="1" applyBorder="1" applyAlignment="1">
      <alignment vertical="top" wrapText="1"/>
    </xf>
    <xf numFmtId="0" fontId="15" fillId="48" borderId="45" xfId="0" applyFont="1" applyFill="1" applyBorder="1" applyAlignment="1">
      <alignment vertical="top" wrapText="1"/>
    </xf>
    <xf numFmtId="0" fontId="5" fillId="3" borderId="52" xfId="0" applyFont="1" applyFill="1" applyBorder="1" applyAlignment="1">
      <alignment vertical="top" wrapText="1"/>
    </xf>
    <xf numFmtId="0" fontId="5" fillId="3" borderId="57" xfId="0" applyFont="1" applyFill="1" applyBorder="1" applyAlignment="1">
      <alignment vertical="top" wrapText="1"/>
    </xf>
    <xf numFmtId="177" fontId="0" fillId="0" borderId="38" xfId="0" applyNumberFormat="1" applyBorder="1" applyAlignment="1">
      <alignment vertical="top"/>
    </xf>
    <xf numFmtId="177" fontId="15" fillId="48" borderId="42" xfId="0" quotePrefix="1" applyNumberFormat="1" applyFont="1" applyFill="1" applyBorder="1" applyAlignment="1">
      <alignment horizontal="left" vertical="center"/>
    </xf>
    <xf numFmtId="177" fontId="5" fillId="0" borderId="302" xfId="0" quotePrefix="1" applyNumberFormat="1" applyFont="1" applyBorder="1" applyAlignment="1">
      <alignment horizontal="left" vertical="center"/>
    </xf>
    <xf numFmtId="177" fontId="5" fillId="0" borderId="42" xfId="0" quotePrefix="1" applyNumberFormat="1" applyFont="1" applyBorder="1" applyAlignment="1">
      <alignment horizontal="left" vertical="center"/>
    </xf>
    <xf numFmtId="177" fontId="5" fillId="0" borderId="45" xfId="0" quotePrefix="1" applyNumberFormat="1" applyFont="1" applyBorder="1" applyAlignment="1">
      <alignment horizontal="left" vertical="center"/>
    </xf>
    <xf numFmtId="177" fontId="15" fillId="49" borderId="34" xfId="0" quotePrefix="1" applyNumberFormat="1" applyFont="1" applyFill="1" applyBorder="1">
      <alignment vertical="center"/>
    </xf>
    <xf numFmtId="177" fontId="15" fillId="49" borderId="80" xfId="0" applyNumberFormat="1" applyFont="1" applyFill="1" applyBorder="1">
      <alignment vertical="center"/>
    </xf>
    <xf numFmtId="177" fontId="15" fillId="48" borderId="33" xfId="0" quotePrefix="1" applyNumberFormat="1" applyFont="1" applyFill="1" applyBorder="1" applyAlignment="1">
      <alignment horizontal="left" vertical="top"/>
    </xf>
    <xf numFmtId="177" fontId="5" fillId="15" borderId="52" xfId="0" quotePrefix="1" applyNumberFormat="1" applyFont="1" applyFill="1" applyBorder="1">
      <alignment vertical="center"/>
    </xf>
    <xf numFmtId="177" fontId="5" fillId="15" borderId="57" xfId="0" quotePrefix="1" applyNumberFormat="1" applyFont="1" applyFill="1" applyBorder="1">
      <alignment vertical="center"/>
    </xf>
    <xf numFmtId="177" fontId="15" fillId="48" borderId="80" xfId="0" quotePrefix="1" applyNumberFormat="1" applyFont="1" applyFill="1" applyBorder="1">
      <alignment vertical="center"/>
    </xf>
    <xf numFmtId="177" fontId="15" fillId="48" borderId="302" xfId="0" quotePrefix="1" applyNumberFormat="1" applyFont="1" applyFill="1" applyBorder="1">
      <alignment vertical="center"/>
    </xf>
    <xf numFmtId="0" fontId="15" fillId="21" borderId="302" xfId="0" applyFont="1" applyFill="1" applyBorder="1">
      <alignment vertical="center"/>
    </xf>
    <xf numFmtId="0" fontId="15" fillId="21" borderId="42" xfId="0" applyFont="1" applyFill="1" applyBorder="1">
      <alignment vertical="center"/>
    </xf>
    <xf numFmtId="0" fontId="15" fillId="21" borderId="45" xfId="0" applyFont="1" applyFill="1" applyBorder="1">
      <alignment vertical="center"/>
    </xf>
    <xf numFmtId="0" fontId="26" fillId="48" borderId="43" xfId="0" applyFont="1" applyFill="1" applyBorder="1">
      <alignment vertical="center"/>
    </xf>
    <xf numFmtId="0" fontId="26" fillId="48" borderId="45" xfId="0" applyFont="1" applyFill="1" applyBorder="1">
      <alignment vertical="center"/>
    </xf>
    <xf numFmtId="0" fontId="26" fillId="48" borderId="43" xfId="0" applyFont="1" applyFill="1" applyBorder="1" applyAlignment="1">
      <alignment horizontal="left" vertical="center"/>
    </xf>
    <xf numFmtId="0" fontId="26" fillId="48" borderId="45" xfId="0" applyFont="1" applyFill="1" applyBorder="1" applyAlignment="1">
      <alignment horizontal="left" vertical="center"/>
    </xf>
    <xf numFmtId="0" fontId="15" fillId="48" borderId="33" xfId="0" applyFont="1" applyFill="1" applyBorder="1" applyAlignment="1">
      <alignment horizontal="left" vertical="center"/>
    </xf>
    <xf numFmtId="0" fontId="15" fillId="48" borderId="43" xfId="0" applyFont="1" applyFill="1" applyBorder="1" applyAlignment="1">
      <alignment horizontal="left" vertical="top" wrapText="1"/>
    </xf>
    <xf numFmtId="0" fontId="15" fillId="48" borderId="45" xfId="0" applyFont="1" applyFill="1" applyBorder="1" applyAlignment="1">
      <alignment horizontal="left" vertical="top" wrapText="1"/>
    </xf>
    <xf numFmtId="0" fontId="15" fillId="9" borderId="16" xfId="0" applyFont="1" applyFill="1" applyBorder="1" applyAlignment="1">
      <alignment horizontal="center" vertical="center"/>
    </xf>
    <xf numFmtId="0" fontId="4" fillId="6" borderId="124" xfId="0" applyFont="1" applyFill="1" applyBorder="1" applyAlignment="1">
      <alignment horizontal="center" vertical="center"/>
    </xf>
    <xf numFmtId="0" fontId="4" fillId="6" borderId="8" xfId="0" applyFont="1" applyFill="1" applyBorder="1" applyAlignment="1">
      <alignment horizontal="center" vertical="center"/>
    </xf>
    <xf numFmtId="177" fontId="15" fillId="48" borderId="33" xfId="0" quotePrefix="1" applyNumberFormat="1" applyFont="1" applyFill="1" applyBorder="1">
      <alignment vertical="center"/>
    </xf>
    <xf numFmtId="177" fontId="0" fillId="15" borderId="41" xfId="0" quotePrefix="1" applyNumberFormat="1" applyFill="1" applyBorder="1">
      <alignment vertical="center"/>
    </xf>
    <xf numFmtId="177" fontId="0" fillId="15" borderId="42" xfId="0" applyNumberFormat="1" applyFill="1" applyBorder="1">
      <alignment vertical="center"/>
    </xf>
    <xf numFmtId="177" fontId="15" fillId="14" borderId="311" xfId="0" quotePrefix="1" applyNumberFormat="1" applyFont="1" applyFill="1" applyBorder="1">
      <alignment vertical="center"/>
    </xf>
    <xf numFmtId="177" fontId="15" fillId="14" borderId="61" xfId="0" quotePrefix="1" applyNumberFormat="1" applyFont="1" applyFill="1" applyBorder="1">
      <alignment vertical="center"/>
    </xf>
    <xf numFmtId="0" fontId="19" fillId="14" borderId="30" xfId="0" applyFont="1" applyFill="1" applyBorder="1">
      <alignment vertical="center"/>
    </xf>
    <xf numFmtId="0" fontId="19" fillId="14" borderId="322" xfId="0" applyFont="1" applyFill="1" applyBorder="1">
      <alignment vertical="center"/>
    </xf>
    <xf numFmtId="177" fontId="0" fillId="15" borderId="32" xfId="0" quotePrefix="1" applyNumberFormat="1" applyFill="1" applyBorder="1">
      <alignment vertical="center"/>
    </xf>
    <xf numFmtId="177" fontId="0" fillId="0" borderId="43" xfId="0" quotePrefix="1" applyNumberFormat="1" applyBorder="1" applyAlignment="1">
      <alignment horizontal="left" vertical="center"/>
    </xf>
    <xf numFmtId="177" fontId="0" fillId="0" borderId="45" xfId="0" applyNumberFormat="1" applyBorder="1" applyAlignment="1">
      <alignment horizontal="left" vertical="center"/>
    </xf>
    <xf numFmtId="177" fontId="15" fillId="49" borderId="302" xfId="0" quotePrefix="1" applyNumberFormat="1" applyFont="1" applyFill="1" applyBorder="1" applyAlignment="1">
      <alignment horizontal="left" vertical="center"/>
    </xf>
    <xf numFmtId="177" fontId="26" fillId="49" borderId="42" xfId="0" quotePrefix="1" applyNumberFormat="1" applyFont="1" applyFill="1" applyBorder="1">
      <alignment vertical="center"/>
    </xf>
    <xf numFmtId="177" fontId="15" fillId="48" borderId="306" xfId="0" quotePrefix="1" applyNumberFormat="1" applyFont="1" applyFill="1" applyBorder="1">
      <alignment vertical="center"/>
    </xf>
    <xf numFmtId="177" fontId="15" fillId="48" borderId="36" xfId="0" quotePrefix="1" applyNumberFormat="1" applyFont="1" applyFill="1" applyBorder="1">
      <alignment vertical="center"/>
    </xf>
    <xf numFmtId="177" fontId="5" fillId="15" borderId="67" xfId="0" quotePrefix="1" applyNumberFormat="1" applyFont="1" applyFill="1" applyBorder="1">
      <alignment vertical="center"/>
    </xf>
    <xf numFmtId="177" fontId="5" fillId="15" borderId="53" xfId="0" quotePrefix="1" applyNumberFormat="1" applyFont="1" applyFill="1" applyBorder="1">
      <alignment vertical="center"/>
    </xf>
    <xf numFmtId="0" fontId="5" fillId="19" borderId="302" xfId="0" applyFont="1" applyFill="1" applyBorder="1" applyAlignment="1">
      <alignment horizontal="left" vertical="center"/>
    </xf>
    <xf numFmtId="0" fontId="5" fillId="19" borderId="42" xfId="0" applyFont="1" applyFill="1" applyBorder="1" applyAlignment="1">
      <alignment horizontal="left" vertical="center"/>
    </xf>
    <xf numFmtId="0" fontId="5" fillId="19" borderId="45" xfId="0" applyFont="1" applyFill="1" applyBorder="1" applyAlignment="1">
      <alignment horizontal="left" vertical="center"/>
    </xf>
    <xf numFmtId="177" fontId="15" fillId="21" borderId="302" xfId="0" quotePrefix="1" applyNumberFormat="1" applyFont="1" applyFill="1" applyBorder="1">
      <alignment vertical="center"/>
    </xf>
    <xf numFmtId="177" fontId="15" fillId="19" borderId="302" xfId="0" quotePrefix="1" applyNumberFormat="1" applyFont="1" applyFill="1" applyBorder="1">
      <alignment vertical="center"/>
    </xf>
    <xf numFmtId="177" fontId="15" fillId="19" borderId="42" xfId="0" quotePrefix="1" applyNumberFormat="1" applyFont="1" applyFill="1" applyBorder="1">
      <alignment vertical="center"/>
    </xf>
    <xf numFmtId="177" fontId="15" fillId="19" borderId="45" xfId="0" quotePrefix="1" applyNumberFormat="1" applyFont="1" applyFill="1" applyBorder="1">
      <alignment vertical="center"/>
    </xf>
    <xf numFmtId="0" fontId="15" fillId="19" borderId="306" xfId="0" quotePrefix="1" applyFont="1" applyFill="1" applyBorder="1" applyAlignment="1">
      <alignment vertical="top" wrapText="1"/>
    </xf>
    <xf numFmtId="0" fontId="15" fillId="19" borderId="33" xfId="0" quotePrefix="1" applyFont="1" applyFill="1" applyBorder="1" applyAlignment="1">
      <alignment vertical="top" wrapText="1"/>
    </xf>
    <xf numFmtId="0" fontId="15" fillId="19" borderId="36" xfId="0" applyFont="1" applyFill="1" applyBorder="1" applyAlignment="1">
      <alignment vertical="top" wrapText="1"/>
    </xf>
    <xf numFmtId="0" fontId="0" fillId="19" borderId="302" xfId="0" applyFill="1" applyBorder="1">
      <alignment vertical="center"/>
    </xf>
    <xf numFmtId="0" fontId="0" fillId="19" borderId="42" xfId="0" applyFill="1" applyBorder="1">
      <alignment vertical="center"/>
    </xf>
    <xf numFmtId="0" fontId="0" fillId="19" borderId="45" xfId="0" quotePrefix="1" applyFill="1" applyBorder="1">
      <alignment vertical="center"/>
    </xf>
    <xf numFmtId="0" fontId="0" fillId="19" borderId="43" xfId="0" applyFill="1" applyBorder="1" applyAlignment="1">
      <alignment vertical="top"/>
    </xf>
    <xf numFmtId="0" fontId="0" fillId="19" borderId="42" xfId="0" applyFill="1" applyBorder="1" applyAlignment="1">
      <alignment vertical="top"/>
    </xf>
    <xf numFmtId="0" fontId="0" fillId="19" borderId="233" xfId="0" quotePrefix="1" applyFill="1" applyBorder="1" applyAlignment="1">
      <alignment vertical="top"/>
    </xf>
    <xf numFmtId="177" fontId="15" fillId="48" borderId="77" xfId="0" quotePrefix="1" applyNumberFormat="1" applyFont="1" applyFill="1" applyBorder="1">
      <alignment vertical="center"/>
    </xf>
    <xf numFmtId="177" fontId="15" fillId="21" borderId="43" xfId="0" applyNumberFormat="1" applyFont="1" applyFill="1" applyBorder="1" applyAlignment="1">
      <alignment vertical="top"/>
    </xf>
    <xf numFmtId="177" fontId="15" fillId="21" borderId="42" xfId="0" applyNumberFormat="1" applyFont="1" applyFill="1" applyBorder="1" applyAlignment="1">
      <alignment vertical="top"/>
    </xf>
    <xf numFmtId="177" fontId="15" fillId="21" borderId="45" xfId="0" applyNumberFormat="1" applyFont="1" applyFill="1" applyBorder="1" applyAlignment="1">
      <alignment vertical="top"/>
    </xf>
    <xf numFmtId="0" fontId="4" fillId="7" borderId="14" xfId="0" applyFont="1" applyFill="1" applyBorder="1" applyAlignment="1">
      <alignment horizontal="center" vertical="center" wrapText="1"/>
    </xf>
    <xf numFmtId="0" fontId="4" fillId="7" borderId="22" xfId="0" applyFont="1" applyFill="1" applyBorder="1" applyAlignment="1">
      <alignment horizontal="center" vertical="center" wrapText="1"/>
    </xf>
    <xf numFmtId="0" fontId="16" fillId="7" borderId="15" xfId="0" applyFont="1" applyFill="1" applyBorder="1" applyAlignment="1">
      <alignment horizontal="center" vertical="center" wrapText="1"/>
    </xf>
    <xf numFmtId="0" fontId="16" fillId="7" borderId="23" xfId="0" applyFont="1" applyFill="1" applyBorder="1" applyAlignment="1">
      <alignment horizontal="center" vertical="center" wrapText="1"/>
    </xf>
    <xf numFmtId="0" fontId="16" fillId="7" borderId="148" xfId="0" applyFont="1" applyFill="1" applyBorder="1" applyAlignment="1">
      <alignment horizontal="center" vertical="top" wrapText="1"/>
    </xf>
    <xf numFmtId="0" fontId="16" fillId="7" borderId="149" xfId="0" applyFont="1" applyFill="1" applyBorder="1" applyAlignment="1">
      <alignment horizontal="center" vertical="top" wrapText="1"/>
    </xf>
    <xf numFmtId="0" fontId="16" fillId="7" borderId="148" xfId="0" quotePrefix="1" applyFont="1" applyFill="1" applyBorder="1" applyAlignment="1">
      <alignment horizontal="center" vertical="top" wrapText="1"/>
    </xf>
    <xf numFmtId="177" fontId="15" fillId="14" borderId="43" xfId="0" quotePrefix="1" applyNumberFormat="1" applyFont="1" applyFill="1" applyBorder="1">
      <alignment vertical="center"/>
    </xf>
    <xf numFmtId="177" fontId="15" fillId="14" borderId="42" xfId="0" quotePrefix="1" applyNumberFormat="1" applyFont="1" applyFill="1" applyBorder="1">
      <alignment vertical="center"/>
    </xf>
    <xf numFmtId="177" fontId="15" fillId="14" borderId="45" xfId="0" quotePrefix="1" applyNumberFormat="1" applyFont="1" applyFill="1" applyBorder="1">
      <alignment vertical="center"/>
    </xf>
    <xf numFmtId="177" fontId="15" fillId="19" borderId="43" xfId="0" quotePrefix="1" applyNumberFormat="1" applyFont="1" applyFill="1" applyBorder="1">
      <alignment vertical="center"/>
    </xf>
    <xf numFmtId="0" fontId="0" fillId="3" borderId="42" xfId="0" applyFill="1" applyBorder="1" applyAlignment="1">
      <alignment vertical="top" wrapText="1"/>
    </xf>
    <xf numFmtId="177" fontId="0" fillId="15" borderId="43" xfId="0" quotePrefix="1" applyNumberFormat="1" applyFill="1" applyBorder="1">
      <alignment vertical="center"/>
    </xf>
    <xf numFmtId="177" fontId="0" fillId="15" borderId="45" xfId="0" quotePrefix="1" applyNumberFormat="1" applyFill="1" applyBorder="1">
      <alignment vertical="center"/>
    </xf>
    <xf numFmtId="177" fontId="15" fillId="19" borderId="42" xfId="0" applyNumberFormat="1" applyFont="1" applyFill="1" applyBorder="1">
      <alignment vertical="center"/>
    </xf>
    <xf numFmtId="177" fontId="15" fillId="19" borderId="45" xfId="0" applyNumberFormat="1" applyFont="1" applyFill="1" applyBorder="1">
      <alignment vertical="center"/>
    </xf>
    <xf numFmtId="177" fontId="15" fillId="19" borderId="302" xfId="0" quotePrefix="1" applyNumberFormat="1" applyFont="1" applyFill="1" applyBorder="1" applyAlignment="1">
      <alignment horizontal="left" vertical="center"/>
    </xf>
    <xf numFmtId="177" fontId="15" fillId="19" borderId="42" xfId="0" quotePrefix="1" applyNumberFormat="1" applyFont="1" applyFill="1" applyBorder="1" applyAlignment="1">
      <alignment horizontal="left" vertical="center"/>
    </xf>
    <xf numFmtId="177" fontId="15" fillId="19" borderId="45" xfId="0" quotePrefix="1" applyNumberFormat="1" applyFont="1" applyFill="1" applyBorder="1" applyAlignment="1">
      <alignment horizontal="left" vertical="center"/>
    </xf>
    <xf numFmtId="177" fontId="15" fillId="19" borderId="43" xfId="0" quotePrefix="1" applyNumberFormat="1" applyFont="1" applyFill="1" applyBorder="1" applyAlignment="1">
      <alignment vertical="top"/>
    </xf>
    <xf numFmtId="177" fontId="15" fillId="19" borderId="42" xfId="0" quotePrefix="1" applyNumberFormat="1" applyFont="1" applyFill="1" applyBorder="1" applyAlignment="1">
      <alignment vertical="top"/>
    </xf>
    <xf numFmtId="177" fontId="15" fillId="19" borderId="45" xfId="0" quotePrefix="1" applyNumberFormat="1" applyFont="1" applyFill="1" applyBorder="1" applyAlignment="1">
      <alignment vertical="top"/>
    </xf>
    <xf numFmtId="177" fontId="0" fillId="15" borderId="83" xfId="0" applyNumberFormat="1" applyFill="1" applyBorder="1">
      <alignment vertical="center"/>
    </xf>
    <xf numFmtId="177" fontId="0" fillId="15" borderId="199" xfId="0" quotePrefix="1" applyNumberFormat="1" applyFill="1" applyBorder="1">
      <alignment vertical="center"/>
    </xf>
    <xf numFmtId="0" fontId="0" fillId="0" borderId="43" xfId="0" applyBorder="1" applyAlignment="1">
      <alignment vertical="top"/>
    </xf>
    <xf numFmtId="0" fontId="0" fillId="0" borderId="42" xfId="0" applyBorder="1" applyAlignment="1">
      <alignment vertical="top"/>
    </xf>
    <xf numFmtId="0" fontId="0" fillId="0" borderId="45" xfId="0" applyBorder="1" applyAlignment="1">
      <alignment vertical="top"/>
    </xf>
    <xf numFmtId="0" fontId="75" fillId="48" borderId="302" xfId="0" quotePrefix="1" applyFont="1" applyFill="1" applyBorder="1" applyAlignment="1">
      <alignment vertical="top" wrapText="1"/>
    </xf>
    <xf numFmtId="0" fontId="75" fillId="48" borderId="42" xfId="0" quotePrefix="1" applyFont="1" applyFill="1" applyBorder="1" applyAlignment="1">
      <alignment vertical="top" wrapText="1"/>
    </xf>
    <xf numFmtId="0" fontId="75" fillId="48" borderId="45" xfId="0" quotePrefix="1" applyFont="1" applyFill="1" applyBorder="1" applyAlignment="1">
      <alignment vertical="top" wrapText="1"/>
    </xf>
    <xf numFmtId="0" fontId="15" fillId="48" borderId="43" xfId="0" quotePrefix="1" applyFont="1" applyFill="1" applyBorder="1" applyAlignment="1">
      <alignment vertical="top" wrapText="1"/>
    </xf>
    <xf numFmtId="0" fontId="15" fillId="48" borderId="42" xfId="0" applyFont="1" applyFill="1" applyBorder="1" applyAlignment="1">
      <alignment vertical="top" wrapText="1"/>
    </xf>
    <xf numFmtId="0" fontId="15" fillId="19" borderId="36" xfId="0" quotePrefix="1" applyFont="1" applyFill="1" applyBorder="1" applyAlignment="1">
      <alignment vertical="top" wrapText="1"/>
    </xf>
    <xf numFmtId="0" fontId="15" fillId="48" borderId="302" xfId="0" quotePrefix="1" applyFont="1" applyFill="1" applyBorder="1" applyAlignment="1">
      <alignment vertical="top" wrapText="1"/>
    </xf>
    <xf numFmtId="0" fontId="15" fillId="48" borderId="42" xfId="0" quotePrefix="1" applyFont="1" applyFill="1" applyBorder="1" applyAlignment="1">
      <alignment vertical="top" wrapText="1"/>
    </xf>
    <xf numFmtId="0" fontId="15" fillId="48" borderId="45" xfId="0" quotePrefix="1" applyFont="1" applyFill="1" applyBorder="1" applyAlignment="1">
      <alignment vertical="top" wrapText="1"/>
    </xf>
    <xf numFmtId="0" fontId="15" fillId="19" borderId="43" xfId="0" applyFont="1" applyFill="1" applyBorder="1" applyAlignment="1">
      <alignment vertical="top"/>
    </xf>
    <xf numFmtId="0" fontId="15" fillId="19" borderId="42" xfId="0" applyFont="1" applyFill="1" applyBorder="1" applyAlignment="1">
      <alignment vertical="top"/>
    </xf>
    <xf numFmtId="0" fontId="15" fillId="19" borderId="45" xfId="0" applyFont="1" applyFill="1" applyBorder="1" applyAlignment="1">
      <alignment vertical="top"/>
    </xf>
    <xf numFmtId="0" fontId="15" fillId="19" borderId="302" xfId="0" quotePrefix="1" applyFont="1" applyFill="1" applyBorder="1">
      <alignment vertical="center"/>
    </xf>
    <xf numFmtId="0" fontId="15" fillId="19" borderId="42" xfId="0" quotePrefix="1" applyFont="1" applyFill="1" applyBorder="1">
      <alignment vertical="center"/>
    </xf>
    <xf numFmtId="0" fontId="15" fillId="0" borderId="0" xfId="0" applyFont="1" applyAlignment="1">
      <alignment horizontal="left" vertical="center"/>
    </xf>
    <xf numFmtId="0" fontId="0" fillId="0" borderId="0" xfId="0" applyAlignment="1">
      <alignment horizontal="left" vertical="center"/>
    </xf>
    <xf numFmtId="177" fontId="5" fillId="0" borderId="43" xfId="0" quotePrefix="1" applyNumberFormat="1" applyFont="1" applyBorder="1" applyAlignment="1">
      <alignment horizontal="left" vertical="center"/>
    </xf>
    <xf numFmtId="0" fontId="4" fillId="6" borderId="6" xfId="0" applyFont="1" applyFill="1" applyBorder="1" applyAlignment="1">
      <alignment horizontal="center" vertical="center"/>
    </xf>
    <xf numFmtId="0" fontId="4" fillId="6" borderId="7" xfId="0" applyFont="1" applyFill="1" applyBorder="1" applyAlignment="1">
      <alignment horizontal="center" vertical="center"/>
    </xf>
    <xf numFmtId="3" fontId="4" fillId="7" borderId="10" xfId="0" applyNumberFormat="1" applyFont="1" applyFill="1" applyBorder="1" applyAlignment="1">
      <alignment horizontal="center" vertical="center"/>
    </xf>
    <xf numFmtId="3" fontId="4" fillId="7" borderId="11" xfId="0" applyNumberFormat="1" applyFont="1" applyFill="1" applyBorder="1" applyAlignment="1">
      <alignment horizontal="center" vertical="center"/>
    </xf>
    <xf numFmtId="3" fontId="4" fillId="7" borderId="12" xfId="0" applyNumberFormat="1" applyFont="1" applyFill="1" applyBorder="1" applyAlignment="1">
      <alignment horizontal="center" vertical="center"/>
    </xf>
    <xf numFmtId="177" fontId="5" fillId="0" borderId="33" xfId="0" quotePrefix="1" applyNumberFormat="1" applyFont="1" applyBorder="1" applyAlignment="1">
      <alignment horizontal="left" vertical="top"/>
    </xf>
    <xf numFmtId="0" fontId="16" fillId="7" borderId="210" xfId="0" applyFont="1" applyFill="1" applyBorder="1" applyAlignment="1">
      <alignment horizontal="center" vertical="center"/>
    </xf>
    <xf numFmtId="0" fontId="16" fillId="7" borderId="211" xfId="0" applyFont="1" applyFill="1" applyBorder="1" applyAlignment="1">
      <alignment horizontal="center" vertical="center"/>
    </xf>
    <xf numFmtId="0" fontId="16" fillId="7" borderId="212" xfId="0" applyFont="1" applyFill="1" applyBorder="1" applyAlignment="1">
      <alignment horizontal="center" vertical="center"/>
    </xf>
    <xf numFmtId="0" fontId="15" fillId="9" borderId="6" xfId="0" applyFont="1" applyFill="1" applyBorder="1" applyAlignment="1">
      <alignment horizontal="center" vertical="center"/>
    </xf>
    <xf numFmtId="0" fontId="15" fillId="9" borderId="17" xfId="0" applyFont="1" applyFill="1" applyBorder="1" applyAlignment="1">
      <alignment horizontal="center" vertical="center"/>
    </xf>
    <xf numFmtId="0" fontId="4" fillId="7" borderId="10" xfId="0" applyFont="1" applyFill="1" applyBorder="1" applyAlignment="1">
      <alignment horizontal="center" vertical="center"/>
    </xf>
    <xf numFmtId="0" fontId="4" fillId="7" borderId="11" xfId="0" applyFont="1" applyFill="1" applyBorder="1" applyAlignment="1">
      <alignment horizontal="center" vertical="center"/>
    </xf>
    <xf numFmtId="40" fontId="4" fillId="7" borderId="11" xfId="0" applyNumberFormat="1" applyFont="1" applyFill="1" applyBorder="1" applyAlignment="1">
      <alignment horizontal="center" vertical="center"/>
    </xf>
    <xf numFmtId="177" fontId="5" fillId="0" borderId="33" xfId="0" quotePrefix="1" applyNumberFormat="1" applyFont="1" applyBorder="1">
      <alignment vertical="center"/>
    </xf>
    <xf numFmtId="177" fontId="5" fillId="15" borderId="57" xfId="0" quotePrefix="1" applyNumberFormat="1" applyFont="1" applyFill="1" applyBorder="1" applyAlignment="1">
      <alignment horizontal="center" vertical="center"/>
    </xf>
    <xf numFmtId="177" fontId="5" fillId="15" borderId="80" xfId="0" quotePrefix="1" applyNumberFormat="1" applyFont="1" applyFill="1" applyBorder="1" applyAlignment="1">
      <alignment horizontal="center" vertical="center"/>
    </xf>
    <xf numFmtId="177" fontId="5" fillId="0" borderId="57" xfId="0" quotePrefix="1" applyNumberFormat="1" applyFont="1" applyBorder="1" applyAlignment="1">
      <alignment horizontal="center" vertical="center"/>
    </xf>
    <xf numFmtId="177" fontId="5" fillId="0" borderId="80" xfId="0" quotePrefix="1" applyNumberFormat="1" applyFont="1" applyBorder="1" applyAlignment="1">
      <alignment horizontal="center" vertical="center"/>
    </xf>
    <xf numFmtId="177" fontId="5" fillId="15" borderId="42" xfId="0" quotePrefix="1" applyNumberFormat="1" applyFont="1" applyFill="1" applyBorder="1" applyAlignment="1">
      <alignment horizontal="left" vertical="center"/>
    </xf>
    <xf numFmtId="177" fontId="5" fillId="15" borderId="43" xfId="0" quotePrefix="1" applyNumberFormat="1" applyFont="1" applyFill="1" applyBorder="1" applyAlignment="1">
      <alignment horizontal="left" vertical="center"/>
    </xf>
    <xf numFmtId="177" fontId="5" fillId="15" borderId="57" xfId="0" quotePrefix="1" applyNumberFormat="1" applyFont="1" applyFill="1" applyBorder="1" applyAlignment="1">
      <alignment vertical="top"/>
    </xf>
    <xf numFmtId="177" fontId="5" fillId="15" borderId="80" xfId="0" quotePrefix="1" applyNumberFormat="1" applyFont="1" applyFill="1" applyBorder="1" applyAlignment="1">
      <alignment vertical="top"/>
    </xf>
    <xf numFmtId="177" fontId="5" fillId="0" borderId="43" xfId="0" quotePrefix="1" applyNumberFormat="1" applyFont="1" applyBorder="1">
      <alignment vertical="center"/>
    </xf>
    <xf numFmtId="177" fontId="5" fillId="0" borderId="42" xfId="0" quotePrefix="1" applyNumberFormat="1" applyFont="1" applyBorder="1">
      <alignment vertical="center"/>
    </xf>
    <xf numFmtId="177" fontId="5" fillId="15" borderId="64" xfId="0" quotePrefix="1" applyNumberFormat="1" applyFont="1" applyFill="1" applyBorder="1">
      <alignment vertical="center"/>
    </xf>
    <xf numFmtId="177" fontId="5" fillId="15" borderId="80" xfId="0" quotePrefix="1" applyNumberFormat="1" applyFont="1" applyFill="1" applyBorder="1">
      <alignment vertical="center"/>
    </xf>
    <xf numFmtId="0" fontId="5" fillId="3" borderId="33" xfId="0" applyFont="1" applyFill="1" applyBorder="1" applyAlignment="1">
      <alignment horizontal="left" vertical="center"/>
    </xf>
    <xf numFmtId="0" fontId="5" fillId="3" borderId="57" xfId="0" applyFont="1" applyFill="1" applyBorder="1" applyAlignment="1">
      <alignment horizontal="left" vertical="center"/>
    </xf>
    <xf numFmtId="0" fontId="5" fillId="3" borderId="64" xfId="0" applyFont="1" applyFill="1" applyBorder="1" applyAlignment="1">
      <alignment horizontal="left" vertical="center"/>
    </xf>
    <xf numFmtId="0" fontId="5" fillId="3" borderId="80" xfId="0" applyFont="1" applyFill="1" applyBorder="1" applyAlignment="1">
      <alignment horizontal="left" vertical="center"/>
    </xf>
    <xf numFmtId="177" fontId="5" fillId="29" borderId="42" xfId="0" quotePrefix="1" applyNumberFormat="1" applyFont="1" applyFill="1" applyBorder="1">
      <alignment vertical="center"/>
    </xf>
    <xf numFmtId="177" fontId="5" fillId="0" borderId="45" xfId="0" quotePrefix="1" applyNumberFormat="1" applyFont="1" applyBorder="1">
      <alignment vertical="center"/>
    </xf>
    <xf numFmtId="177" fontId="21" fillId="15" borderId="42" xfId="0" quotePrefix="1" applyNumberFormat="1" applyFont="1" applyFill="1" applyBorder="1">
      <alignment vertical="center"/>
    </xf>
    <xf numFmtId="177" fontId="5" fillId="0" borderId="64" xfId="0" quotePrefix="1" applyNumberFormat="1" applyFont="1" applyBorder="1" applyAlignment="1">
      <alignment horizontal="center" vertical="center"/>
    </xf>
    <xf numFmtId="177" fontId="5" fillId="0" borderId="70" xfId="0" quotePrefix="1" applyNumberFormat="1" applyFont="1" applyBorder="1" applyAlignment="1">
      <alignment horizontal="center" vertical="center"/>
    </xf>
    <xf numFmtId="0" fontId="5" fillId="0" borderId="43" xfId="0" applyFont="1" applyBorder="1" applyAlignment="1">
      <alignment horizontal="left" vertical="center"/>
    </xf>
    <xf numFmtId="0" fontId="5" fillId="0" borderId="42" xfId="0" applyFont="1" applyBorder="1" applyAlignment="1">
      <alignment horizontal="left" vertical="center"/>
    </xf>
    <xf numFmtId="0" fontId="5" fillId="0" borderId="67" xfId="0" applyFont="1" applyBorder="1" applyAlignment="1">
      <alignment horizontal="left" vertical="center"/>
    </xf>
    <xf numFmtId="0" fontId="5" fillId="0" borderId="51" xfId="0" applyFont="1" applyBorder="1" applyAlignment="1">
      <alignment horizontal="left" vertical="center"/>
    </xf>
    <xf numFmtId="177" fontId="5" fillId="15" borderId="33" xfId="0" quotePrefix="1" applyNumberFormat="1" applyFont="1" applyFill="1" applyBorder="1" applyAlignment="1">
      <alignment horizontal="left" vertical="center"/>
    </xf>
    <xf numFmtId="0" fontId="21" fillId="0" borderId="87" xfId="0" applyFont="1" applyBorder="1" applyAlignment="1">
      <alignment horizontal="left" vertical="center" wrapText="1"/>
    </xf>
    <xf numFmtId="0" fontId="21" fillId="0" borderId="138" xfId="0" applyFont="1" applyBorder="1" applyAlignment="1">
      <alignment horizontal="left" vertical="center" wrapText="1"/>
    </xf>
    <xf numFmtId="177" fontId="0" fillId="0" borderId="42" xfId="0" quotePrefix="1" applyNumberFormat="1" applyBorder="1">
      <alignment vertical="center"/>
    </xf>
    <xf numFmtId="177" fontId="0" fillId="0" borderId="45" xfId="0" quotePrefix="1" applyNumberFormat="1" applyBorder="1">
      <alignment vertical="center"/>
    </xf>
    <xf numFmtId="0" fontId="21" fillId="0" borderId="43" xfId="0" applyFont="1" applyBorder="1">
      <alignment vertical="center"/>
    </xf>
    <xf numFmtId="0" fontId="21" fillId="0" borderId="45" xfId="0" applyFont="1" applyBorder="1">
      <alignment vertical="center"/>
    </xf>
    <xf numFmtId="0" fontId="21" fillId="0" borderId="43" xfId="0" applyFont="1" applyBorder="1" applyAlignment="1">
      <alignment horizontal="left" vertical="center"/>
    </xf>
    <xf numFmtId="0" fontId="21" fillId="0" borderId="45" xfId="0" applyFont="1" applyBorder="1" applyAlignment="1">
      <alignment horizontal="left" vertical="center"/>
    </xf>
    <xf numFmtId="0" fontId="5" fillId="3" borderId="57" xfId="0" applyFont="1" applyFill="1" applyBorder="1" applyAlignment="1">
      <alignment horizontal="left" vertical="top" wrapText="1"/>
    </xf>
    <xf numFmtId="0" fontId="5" fillId="3" borderId="80" xfId="0" applyFont="1" applyFill="1" applyBorder="1" applyAlignment="1">
      <alignment horizontal="left" vertical="top" wrapText="1"/>
    </xf>
    <xf numFmtId="177" fontId="5" fillId="0" borderId="33" xfId="0" quotePrefix="1" applyNumberFormat="1" applyFont="1" applyBorder="1" applyAlignment="1">
      <alignment horizontal="left" vertical="center"/>
    </xf>
    <xf numFmtId="0" fontId="5" fillId="0" borderId="57" xfId="0" applyFont="1" applyBorder="1" applyAlignment="1">
      <alignment horizontal="center" vertical="center"/>
    </xf>
    <xf numFmtId="0" fontId="5" fillId="0" borderId="64" xfId="0" applyFont="1" applyBorder="1" applyAlignment="1">
      <alignment horizontal="center" vertical="center"/>
    </xf>
    <xf numFmtId="0" fontId="5" fillId="0" borderId="80" xfId="0" applyFont="1" applyBorder="1" applyAlignment="1">
      <alignment horizontal="center" vertical="center"/>
    </xf>
    <xf numFmtId="38" fontId="21" fillId="3" borderId="54" xfId="0" applyNumberFormat="1" applyFont="1" applyFill="1" applyBorder="1" applyAlignment="1">
      <alignment horizontal="center" vertical="top" wrapText="1"/>
    </xf>
    <xf numFmtId="38" fontId="21" fillId="3" borderId="37" xfId="0" applyNumberFormat="1" applyFont="1" applyFill="1" applyBorder="1" applyAlignment="1">
      <alignment horizontal="center" vertical="top" wrapText="1"/>
    </xf>
    <xf numFmtId="38" fontId="21" fillId="3" borderId="54" xfId="0" applyNumberFormat="1" applyFont="1" applyFill="1" applyBorder="1" applyAlignment="1">
      <alignment horizontal="center" vertical="center" wrapText="1"/>
    </xf>
    <xf numFmtId="38" fontId="21" fillId="3" borderId="44" xfId="0" applyNumberFormat="1" applyFont="1" applyFill="1" applyBorder="1" applyAlignment="1">
      <alignment horizontal="center" vertical="center" wrapText="1"/>
    </xf>
    <xf numFmtId="3" fontId="21" fillId="3" borderId="44" xfId="0" applyNumberFormat="1" applyFont="1" applyFill="1" applyBorder="1" applyAlignment="1">
      <alignment horizontal="center" vertical="center" wrapText="1"/>
    </xf>
    <xf numFmtId="3" fontId="21" fillId="3" borderId="37" xfId="0" applyNumberFormat="1" applyFont="1" applyFill="1" applyBorder="1" applyAlignment="1">
      <alignment horizontal="center" vertical="center" wrapText="1"/>
    </xf>
    <xf numFmtId="178" fontId="96" fillId="3" borderId="423" xfId="1" quotePrefix="1" applyNumberFormat="1" applyFont="1" applyFill="1" applyBorder="1" applyAlignment="1">
      <alignment horizontal="left" vertical="center" wrapText="1"/>
    </xf>
    <xf numFmtId="178" fontId="96" fillId="3" borderId="263" xfId="1" quotePrefix="1" applyNumberFormat="1" applyFont="1" applyFill="1" applyBorder="1" applyAlignment="1">
      <alignment horizontal="left" vertical="center" wrapText="1"/>
    </xf>
    <xf numFmtId="178" fontId="96" fillId="3" borderId="421" xfId="1" quotePrefix="1" applyNumberFormat="1" applyFont="1" applyFill="1" applyBorder="1" applyAlignment="1">
      <alignment horizontal="left" vertical="center" wrapText="1"/>
    </xf>
    <xf numFmtId="0" fontId="84" fillId="61" borderId="466" xfId="0" applyFont="1" applyFill="1" applyBorder="1" applyAlignment="1">
      <alignment horizontal="center" vertical="center"/>
    </xf>
    <xf numFmtId="0" fontId="84" fillId="61" borderId="419" xfId="0" applyFont="1" applyFill="1" applyBorder="1" applyAlignment="1">
      <alignment horizontal="center" vertical="center"/>
    </xf>
    <xf numFmtId="0" fontId="84" fillId="61" borderId="76" xfId="0" applyFont="1" applyFill="1" applyBorder="1" applyAlignment="1">
      <alignment horizontal="center" vertical="center"/>
    </xf>
    <xf numFmtId="0" fontId="96" fillId="36" borderId="43" xfId="0" applyFont="1" applyFill="1" applyBorder="1" applyAlignment="1">
      <alignment vertical="center" wrapText="1"/>
    </xf>
    <xf numFmtId="0" fontId="96" fillId="36" borderId="45" xfId="0" applyFont="1" applyFill="1" applyBorder="1" applyAlignment="1">
      <alignment vertical="center" wrapText="1"/>
    </xf>
    <xf numFmtId="0" fontId="97" fillId="48" borderId="302" xfId="0" quotePrefix="1" applyFont="1" applyFill="1" applyBorder="1" applyAlignment="1">
      <alignment vertical="center" wrapText="1"/>
    </xf>
    <xf numFmtId="0" fontId="97" fillId="48" borderId="42" xfId="0" quotePrefix="1" applyFont="1" applyFill="1" applyBorder="1" applyAlignment="1">
      <alignment vertical="center" wrapText="1"/>
    </xf>
    <xf numFmtId="0" fontId="97" fillId="48" borderId="45" xfId="0" quotePrefix="1" applyFont="1" applyFill="1" applyBorder="1" applyAlignment="1">
      <alignment vertical="center" wrapText="1"/>
    </xf>
    <xf numFmtId="0" fontId="97" fillId="48" borderId="43" xfId="0" quotePrefix="1" applyFont="1" applyFill="1" applyBorder="1" applyAlignment="1">
      <alignment vertical="center" wrapText="1"/>
    </xf>
    <xf numFmtId="0" fontId="97" fillId="48" borderId="42" xfId="0" applyFont="1" applyFill="1" applyBorder="1" applyAlignment="1">
      <alignment vertical="center" wrapText="1"/>
    </xf>
    <xf numFmtId="0" fontId="97" fillId="48" borderId="45" xfId="0" applyFont="1" applyFill="1" applyBorder="1" applyAlignment="1">
      <alignment vertical="center" wrapText="1"/>
    </xf>
    <xf numFmtId="0" fontId="97" fillId="48" borderId="302" xfId="0" quotePrefix="1" applyFont="1" applyFill="1" applyBorder="1" applyAlignment="1">
      <alignment horizontal="left" vertical="center" wrapText="1"/>
    </xf>
    <xf numFmtId="0" fontId="97" fillId="48" borderId="42" xfId="0" quotePrefix="1" applyFont="1" applyFill="1" applyBorder="1" applyAlignment="1">
      <alignment horizontal="left" vertical="center" wrapText="1"/>
    </xf>
    <xf numFmtId="0" fontId="97" fillId="48" borderId="45" xfId="0" quotePrefix="1" applyFont="1" applyFill="1" applyBorder="1" applyAlignment="1">
      <alignment horizontal="left" vertical="center" wrapText="1"/>
    </xf>
    <xf numFmtId="0" fontId="80" fillId="49" borderId="306" xfId="0" quotePrefix="1" applyFont="1" applyFill="1" applyBorder="1" applyAlignment="1">
      <alignment vertical="center" wrapText="1"/>
    </xf>
    <xf numFmtId="0" fontId="80" fillId="49" borderId="33" xfId="0" quotePrefix="1" applyFont="1" applyFill="1" applyBorder="1" applyAlignment="1">
      <alignment vertical="center" wrapText="1"/>
    </xf>
    <xf numFmtId="0" fontId="80" fillId="49" borderId="36" xfId="0" applyFont="1" applyFill="1" applyBorder="1" applyAlignment="1">
      <alignment vertical="center" wrapText="1"/>
    </xf>
    <xf numFmtId="0" fontId="80" fillId="48" borderId="475" xfId="0" quotePrefix="1" applyFont="1" applyFill="1" applyBorder="1" applyAlignment="1">
      <alignment vertical="center" wrapText="1"/>
    </xf>
    <xf numFmtId="0" fontId="80" fillId="48" borderId="138" xfId="0" quotePrefix="1" applyFont="1" applyFill="1" applyBorder="1" applyAlignment="1">
      <alignment vertical="center" wrapText="1"/>
    </xf>
    <xf numFmtId="0" fontId="80" fillId="48" borderId="95" xfId="0" quotePrefix="1" applyFont="1" applyFill="1" applyBorder="1" applyAlignment="1">
      <alignment vertical="center" wrapText="1"/>
    </xf>
    <xf numFmtId="0" fontId="80" fillId="48" borderId="87" xfId="0" quotePrefix="1" applyFont="1" applyFill="1" applyBorder="1" applyAlignment="1">
      <alignment vertical="center" wrapText="1"/>
    </xf>
    <xf numFmtId="0" fontId="80" fillId="48" borderId="138" xfId="0" applyFont="1" applyFill="1" applyBorder="1" applyAlignment="1">
      <alignment vertical="center" wrapText="1"/>
    </xf>
    <xf numFmtId="0" fontId="80" fillId="48" borderId="95" xfId="0" applyFont="1" applyFill="1" applyBorder="1" applyAlignment="1">
      <alignment vertical="center" wrapText="1"/>
    </xf>
    <xf numFmtId="0" fontId="80" fillId="48" borderId="302" xfId="0" quotePrefix="1" applyFont="1" applyFill="1" applyBorder="1" applyAlignment="1">
      <alignment vertical="center" wrapText="1"/>
    </xf>
    <xf numFmtId="0" fontId="80" fillId="48" borderId="42" xfId="0" quotePrefix="1" applyFont="1" applyFill="1" applyBorder="1" applyAlignment="1">
      <alignment vertical="center" wrapText="1"/>
    </xf>
    <xf numFmtId="0" fontId="80" fillId="48" borderId="45" xfId="0" quotePrefix="1" applyFont="1" applyFill="1" applyBorder="1" applyAlignment="1">
      <alignment vertical="center" wrapText="1"/>
    </xf>
    <xf numFmtId="0" fontId="80" fillId="48" borderId="43" xfId="0" quotePrefix="1" applyFont="1" applyFill="1" applyBorder="1" applyAlignment="1">
      <alignment vertical="center" wrapText="1"/>
    </xf>
    <xf numFmtId="0" fontId="80" fillId="58" borderId="306" xfId="0" quotePrefix="1" applyFont="1" applyFill="1" applyBorder="1" applyAlignment="1">
      <alignment vertical="center" wrapText="1"/>
    </xf>
    <xf numFmtId="0" fontId="80" fillId="58" borderId="33" xfId="0" quotePrefix="1" applyFont="1" applyFill="1" applyBorder="1" applyAlignment="1">
      <alignment vertical="center" wrapText="1"/>
    </xf>
    <xf numFmtId="0" fontId="80" fillId="58" borderId="36" xfId="0" applyFont="1" applyFill="1" applyBorder="1" applyAlignment="1">
      <alignment vertical="center" wrapText="1"/>
    </xf>
    <xf numFmtId="177" fontId="96" fillId="0" borderId="43" xfId="0" applyNumberFormat="1" applyFont="1" applyBorder="1">
      <alignment vertical="center"/>
    </xf>
    <xf numFmtId="0" fontId="80" fillId="48" borderId="45" xfId="0" applyFont="1" applyFill="1" applyBorder="1" applyAlignment="1">
      <alignment vertical="center" wrapText="1"/>
    </xf>
    <xf numFmtId="0" fontId="81" fillId="3" borderId="43" xfId="0" applyFont="1" applyFill="1" applyBorder="1">
      <alignment vertical="center"/>
    </xf>
    <xf numFmtId="0" fontId="81" fillId="3" borderId="45" xfId="0" applyFont="1" applyFill="1" applyBorder="1">
      <alignment vertical="center"/>
    </xf>
    <xf numFmtId="0" fontId="96" fillId="3" borderId="43" xfId="0" applyFont="1" applyFill="1" applyBorder="1" applyAlignment="1">
      <alignment vertical="center" wrapText="1"/>
    </xf>
    <xf numFmtId="0" fontId="84" fillId="61" borderId="405" xfId="0" applyFont="1" applyFill="1" applyBorder="1" applyAlignment="1">
      <alignment horizontal="center" vertical="center"/>
    </xf>
    <xf numFmtId="0" fontId="84" fillId="61" borderId="406" xfId="0" applyFont="1" applyFill="1" applyBorder="1" applyAlignment="1">
      <alignment horizontal="center" vertical="center"/>
    </xf>
    <xf numFmtId="177" fontId="96" fillId="36" borderId="43" xfId="0" applyNumberFormat="1" applyFont="1" applyFill="1" applyBorder="1">
      <alignment vertical="center"/>
    </xf>
    <xf numFmtId="177" fontId="96" fillId="36" borderId="45" xfId="0" applyNumberFormat="1" applyFont="1" applyFill="1" applyBorder="1">
      <alignment vertical="center"/>
    </xf>
    <xf numFmtId="0" fontId="97" fillId="19" borderId="302" xfId="0" quotePrefix="1" applyFont="1" applyFill="1" applyBorder="1">
      <alignment vertical="center"/>
    </xf>
    <xf numFmtId="0" fontId="97" fillId="19" borderId="42" xfId="0" quotePrefix="1" applyFont="1" applyFill="1" applyBorder="1">
      <alignment vertical="center"/>
    </xf>
    <xf numFmtId="0" fontId="97" fillId="19" borderId="43" xfId="0" applyFont="1" applyFill="1" applyBorder="1">
      <alignment vertical="center"/>
    </xf>
    <xf numFmtId="0" fontId="97" fillId="19" borderId="42" xfId="0" applyFont="1" applyFill="1" applyBorder="1">
      <alignment vertical="center"/>
    </xf>
    <xf numFmtId="0" fontId="97" fillId="19" borderId="45" xfId="0" applyFont="1" applyFill="1" applyBorder="1">
      <alignment vertical="center"/>
    </xf>
    <xf numFmtId="0" fontId="16" fillId="7" borderId="337" xfId="0" applyFont="1" applyFill="1" applyBorder="1" applyAlignment="1">
      <alignment horizontal="center" vertical="top" wrapText="1"/>
    </xf>
    <xf numFmtId="177" fontId="15" fillId="49" borderId="38" xfId="0" quotePrefix="1" applyNumberFormat="1" applyFont="1" applyFill="1" applyBorder="1">
      <alignment vertical="center"/>
    </xf>
    <xf numFmtId="177" fontId="5" fillId="0" borderId="45" xfId="0" applyNumberFormat="1" applyFont="1" applyBorder="1" applyAlignment="1">
      <alignment horizontal="left" vertical="center"/>
    </xf>
    <xf numFmtId="0" fontId="4" fillId="7" borderId="0" xfId="0" applyFont="1" applyFill="1" applyAlignment="1">
      <alignment horizontal="center" vertical="center" wrapText="1"/>
    </xf>
    <xf numFmtId="0" fontId="16" fillId="7" borderId="336" xfId="0" applyFont="1" applyFill="1" applyBorder="1" applyAlignment="1">
      <alignment horizontal="center" vertical="center" wrapText="1"/>
    </xf>
    <xf numFmtId="177" fontId="15" fillId="58" borderId="220" xfId="0" quotePrefix="1" applyNumberFormat="1" applyFont="1" applyFill="1" applyBorder="1">
      <alignment vertical="center"/>
    </xf>
    <xf numFmtId="177" fontId="15" fillId="58" borderId="341" xfId="0" quotePrefix="1" applyNumberFormat="1" applyFont="1" applyFill="1" applyBorder="1">
      <alignment vertical="center"/>
    </xf>
    <xf numFmtId="177" fontId="15" fillId="49" borderId="38" xfId="0" quotePrefix="1" applyNumberFormat="1" applyFont="1" applyFill="1" applyBorder="1" applyAlignment="1">
      <alignment vertical="center" wrapText="1"/>
    </xf>
    <xf numFmtId="177" fontId="0" fillId="0" borderId="302" xfId="0" quotePrefix="1" applyNumberFormat="1" applyBorder="1" applyAlignment="1">
      <alignment horizontal="left" vertical="center"/>
    </xf>
    <xf numFmtId="177" fontId="0" fillId="0" borderId="42" xfId="0" applyNumberFormat="1" applyBorder="1" applyAlignment="1">
      <alignment horizontal="left" vertical="center"/>
    </xf>
    <xf numFmtId="177" fontId="15" fillId="48" borderId="309" xfId="0" quotePrefix="1" applyNumberFormat="1" applyFont="1" applyFill="1" applyBorder="1" applyAlignment="1">
      <alignment horizontal="left" vertical="center"/>
    </xf>
    <xf numFmtId="177" fontId="15" fillId="48" borderId="49" xfId="0" applyNumberFormat="1" applyFont="1" applyFill="1" applyBorder="1" applyAlignment="1">
      <alignment horizontal="left" vertical="center"/>
    </xf>
    <xf numFmtId="177" fontId="15" fillId="48" borderId="80" xfId="0" quotePrefix="1" applyNumberFormat="1" applyFont="1" applyFill="1" applyBorder="1" applyAlignment="1">
      <alignment horizontal="left" vertical="center"/>
    </xf>
    <xf numFmtId="177" fontId="15" fillId="52" borderId="302" xfId="0" quotePrefix="1" applyNumberFormat="1" applyFont="1" applyFill="1" applyBorder="1" applyAlignment="1">
      <alignment horizontal="left" vertical="center"/>
    </xf>
    <xf numFmtId="177" fontId="15" fillId="52" borderId="42" xfId="0" quotePrefix="1" applyNumberFormat="1" applyFont="1" applyFill="1" applyBorder="1" applyAlignment="1">
      <alignment horizontal="left" vertical="center"/>
    </xf>
    <xf numFmtId="177" fontId="15" fillId="52" borderId="45" xfId="0" quotePrefix="1" applyNumberFormat="1" applyFont="1" applyFill="1" applyBorder="1" applyAlignment="1">
      <alignment horizontal="left" vertical="center"/>
    </xf>
    <xf numFmtId="177" fontId="15" fillId="52" borderId="43" xfId="0" quotePrefix="1" applyNumberFormat="1" applyFont="1" applyFill="1" applyBorder="1" applyAlignment="1">
      <alignment vertical="top"/>
    </xf>
    <xf numFmtId="177" fontId="15" fillId="52" borderId="42" xfId="0" quotePrefix="1" applyNumberFormat="1" applyFont="1" applyFill="1" applyBorder="1" applyAlignment="1">
      <alignment vertical="top"/>
    </xf>
    <xf numFmtId="177" fontId="15" fillId="52" borderId="45" xfId="0" quotePrefix="1" applyNumberFormat="1" applyFont="1" applyFill="1" applyBorder="1" applyAlignment="1">
      <alignment vertical="top"/>
    </xf>
    <xf numFmtId="177" fontId="5" fillId="57" borderId="302" xfId="0" quotePrefix="1" applyNumberFormat="1" applyFont="1" applyFill="1" applyBorder="1" applyAlignment="1">
      <alignment horizontal="left" vertical="center"/>
    </xf>
    <xf numFmtId="177" fontId="5" fillId="57" borderId="42" xfId="0" quotePrefix="1" applyNumberFormat="1" applyFont="1" applyFill="1" applyBorder="1" applyAlignment="1">
      <alignment horizontal="left" vertical="center"/>
    </xf>
    <xf numFmtId="177" fontId="5" fillId="57" borderId="45" xfId="0" quotePrefix="1" applyNumberFormat="1" applyFont="1" applyFill="1" applyBorder="1" applyAlignment="1">
      <alignment horizontal="left" vertical="center"/>
    </xf>
    <xf numFmtId="177" fontId="0" fillId="57" borderId="43" xfId="0" applyNumberFormat="1" applyFill="1" applyBorder="1" applyAlignment="1">
      <alignment vertical="top"/>
    </xf>
    <xf numFmtId="177" fontId="0" fillId="57" borderId="42" xfId="0" applyNumberFormat="1" applyFill="1" applyBorder="1" applyAlignment="1">
      <alignment vertical="top"/>
    </xf>
    <xf numFmtId="177" fontId="0" fillId="57" borderId="45" xfId="0" applyNumberFormat="1" applyFill="1" applyBorder="1" applyAlignment="1">
      <alignment vertical="top"/>
    </xf>
    <xf numFmtId="177" fontId="15" fillId="57" borderId="302" xfId="0" quotePrefix="1" applyNumberFormat="1" applyFont="1" applyFill="1" applyBorder="1">
      <alignment vertical="center"/>
    </xf>
    <xf numFmtId="177" fontId="15" fillId="57" borderId="42" xfId="0" quotePrefix="1" applyNumberFormat="1" applyFont="1" applyFill="1" applyBorder="1">
      <alignment vertical="center"/>
    </xf>
    <xf numFmtId="177" fontId="15" fillId="57" borderId="45" xfId="0" quotePrefix="1" applyNumberFormat="1" applyFont="1" applyFill="1" applyBorder="1">
      <alignment vertical="center"/>
    </xf>
    <xf numFmtId="177" fontId="15" fillId="57" borderId="43" xfId="0" quotePrefix="1" applyNumberFormat="1" applyFont="1" applyFill="1" applyBorder="1">
      <alignment vertical="center"/>
    </xf>
    <xf numFmtId="0" fontId="15" fillId="52" borderId="302" xfId="0" applyFont="1" applyFill="1" applyBorder="1">
      <alignment vertical="center"/>
    </xf>
    <xf numFmtId="0" fontId="15" fillId="52" borderId="42" xfId="0" applyFont="1" applyFill="1" applyBorder="1">
      <alignment vertical="center"/>
    </xf>
    <xf numFmtId="0" fontId="15" fillId="52" borderId="45" xfId="0" quotePrefix="1" applyFont="1" applyFill="1" applyBorder="1">
      <alignment vertical="center"/>
    </xf>
    <xf numFmtId="0" fontId="0" fillId="52" borderId="43" xfId="0" applyFill="1" applyBorder="1" applyAlignment="1">
      <alignment vertical="top"/>
    </xf>
    <xf numFmtId="0" fontId="0" fillId="52" borderId="42" xfId="0" applyFill="1" applyBorder="1" applyAlignment="1">
      <alignment vertical="top"/>
    </xf>
    <xf numFmtId="0" fontId="0" fillId="52" borderId="233" xfId="0" quotePrefix="1" applyFill="1" applyBorder="1" applyAlignment="1">
      <alignment vertical="top"/>
    </xf>
    <xf numFmtId="0" fontId="15" fillId="52" borderId="45" xfId="0" applyFont="1" applyFill="1" applyBorder="1">
      <alignment vertical="center"/>
    </xf>
    <xf numFmtId="177" fontId="15" fillId="52" borderId="43" xfId="0" applyNumberFormat="1" applyFont="1" applyFill="1" applyBorder="1" applyAlignment="1">
      <alignment vertical="top"/>
    </xf>
    <xf numFmtId="177" fontId="15" fillId="52" borderId="42" xfId="0" applyNumberFormat="1" applyFont="1" applyFill="1" applyBorder="1" applyAlignment="1">
      <alignment vertical="top"/>
    </xf>
    <xf numFmtId="177" fontId="15" fillId="52" borderId="45" xfId="0" applyNumberFormat="1" applyFont="1" applyFill="1" applyBorder="1" applyAlignment="1">
      <alignment vertical="top"/>
    </xf>
    <xf numFmtId="177" fontId="15" fillId="48" borderId="43" xfId="0" applyNumberFormat="1" applyFont="1" applyFill="1" applyBorder="1" applyAlignment="1">
      <alignment vertical="top"/>
    </xf>
    <xf numFmtId="177" fontId="15" fillId="48" borderId="42" xfId="0" applyNumberFormat="1" applyFont="1" applyFill="1" applyBorder="1" applyAlignment="1">
      <alignment vertical="top"/>
    </xf>
    <xf numFmtId="177" fontId="15" fillId="48" borderId="45" xfId="0" applyNumberFormat="1" applyFont="1" applyFill="1" applyBorder="1" applyAlignment="1">
      <alignment vertical="top"/>
    </xf>
    <xf numFmtId="177" fontId="0" fillId="48" borderId="43" xfId="0" applyNumberFormat="1" applyFill="1" applyBorder="1" applyAlignment="1">
      <alignment vertical="top"/>
    </xf>
    <xf numFmtId="177" fontId="0" fillId="48" borderId="42" xfId="0" applyNumberFormat="1" applyFill="1" applyBorder="1" applyAlignment="1">
      <alignment vertical="top"/>
    </xf>
    <xf numFmtId="177" fontId="0" fillId="48" borderId="45" xfId="0" applyNumberFormat="1" applyFill="1" applyBorder="1" applyAlignment="1">
      <alignment vertical="top"/>
    </xf>
    <xf numFmtId="177" fontId="15" fillId="52" borderId="302" xfId="0" quotePrefix="1" applyNumberFormat="1" applyFont="1" applyFill="1" applyBorder="1">
      <alignment vertical="center"/>
    </xf>
    <xf numFmtId="177" fontId="15" fillId="52" borderId="42" xfId="0" quotePrefix="1" applyNumberFormat="1" applyFont="1" applyFill="1" applyBorder="1">
      <alignment vertical="center"/>
    </xf>
    <xf numFmtId="177" fontId="15" fillId="52" borderId="45" xfId="0" quotePrefix="1" applyNumberFormat="1" applyFont="1" applyFill="1" applyBorder="1">
      <alignment vertical="center"/>
    </xf>
    <xf numFmtId="177" fontId="4" fillId="57" borderId="302" xfId="0" quotePrefix="1" applyNumberFormat="1" applyFont="1" applyFill="1" applyBorder="1">
      <alignment vertical="center"/>
    </xf>
    <xf numFmtId="177" fontId="4" fillId="57" borderId="42" xfId="0" quotePrefix="1" applyNumberFormat="1" applyFont="1" applyFill="1" applyBorder="1">
      <alignment vertical="center"/>
    </xf>
    <xf numFmtId="177" fontId="4" fillId="57" borderId="45" xfId="0" quotePrefix="1" applyNumberFormat="1" applyFont="1" applyFill="1" applyBorder="1">
      <alignment vertical="center"/>
    </xf>
    <xf numFmtId="0" fontId="4" fillId="57" borderId="43" xfId="0" applyFont="1" applyFill="1" applyBorder="1">
      <alignment vertical="center"/>
    </xf>
    <xf numFmtId="0" fontId="4" fillId="57" borderId="45" xfId="0" applyFont="1" applyFill="1" applyBorder="1">
      <alignment vertical="center"/>
    </xf>
    <xf numFmtId="177" fontId="2" fillId="59" borderId="43" xfId="0" quotePrefix="1" applyNumberFormat="1" applyFont="1" applyFill="1" applyBorder="1">
      <alignment vertical="center"/>
    </xf>
    <xf numFmtId="177" fontId="2" fillId="59" borderId="45" xfId="0" quotePrefix="1" applyNumberFormat="1" applyFont="1" applyFill="1" applyBorder="1">
      <alignment vertical="center"/>
    </xf>
    <xf numFmtId="177" fontId="2" fillId="57" borderId="43" xfId="0" applyNumberFormat="1" applyFont="1" applyFill="1" applyBorder="1" applyAlignment="1">
      <alignment vertical="top"/>
    </xf>
    <xf numFmtId="177" fontId="2" fillId="57" borderId="45" xfId="0" applyNumberFormat="1" applyFont="1" applyFill="1" applyBorder="1" applyAlignment="1">
      <alignment vertical="top"/>
    </xf>
    <xf numFmtId="0" fontId="2" fillId="57" borderId="43" xfId="0" applyFont="1" applyFill="1" applyBorder="1" applyAlignment="1">
      <alignment vertical="top" wrapText="1"/>
    </xf>
    <xf numFmtId="0" fontId="2" fillId="57" borderId="45" xfId="0" applyFont="1" applyFill="1" applyBorder="1" applyAlignment="1">
      <alignment vertical="top" wrapText="1"/>
    </xf>
    <xf numFmtId="0" fontId="2" fillId="57" borderId="67" xfId="0" applyFont="1" applyFill="1" applyBorder="1" applyAlignment="1">
      <alignment vertical="top" wrapText="1"/>
    </xf>
    <xf numFmtId="0" fontId="2" fillId="57" borderId="53" xfId="0" applyFont="1" applyFill="1" applyBorder="1" applyAlignment="1">
      <alignment vertical="top" wrapText="1"/>
    </xf>
    <xf numFmtId="177" fontId="15" fillId="52" borderId="43" xfId="0" quotePrefix="1" applyNumberFormat="1" applyFont="1" applyFill="1" applyBorder="1">
      <alignment vertical="center"/>
    </xf>
    <xf numFmtId="178" fontId="21" fillId="3" borderId="54" xfId="1" quotePrefix="1" applyNumberFormat="1" applyFont="1" applyFill="1" applyBorder="1" applyAlignment="1">
      <alignment horizontal="left" vertical="top" wrapText="1"/>
    </xf>
    <xf numFmtId="178" fontId="21" fillId="3" borderId="44" xfId="1" quotePrefix="1" applyNumberFormat="1" applyFont="1" applyFill="1" applyBorder="1" applyAlignment="1">
      <alignment horizontal="left" vertical="top" wrapText="1"/>
    </xf>
    <xf numFmtId="178" fontId="21" fillId="3" borderId="37" xfId="1" quotePrefix="1" applyNumberFormat="1" applyFont="1" applyFill="1" applyBorder="1" applyAlignment="1">
      <alignment horizontal="left" vertical="top" wrapText="1"/>
    </xf>
    <xf numFmtId="177" fontId="0" fillId="0" borderId="42" xfId="0" quotePrefix="1" applyNumberFormat="1" applyBorder="1" applyAlignment="1">
      <alignment horizontal="left" vertical="center"/>
    </xf>
    <xf numFmtId="0" fontId="15" fillId="48" borderId="43" xfId="0" quotePrefix="1" applyFont="1" applyFill="1" applyBorder="1" applyAlignment="1">
      <alignment horizontal="left" vertical="top" wrapText="1"/>
    </xf>
    <xf numFmtId="0" fontId="15" fillId="48" borderId="45" xfId="0" quotePrefix="1" applyFont="1" applyFill="1" applyBorder="1" applyAlignment="1">
      <alignment horizontal="left" vertical="top" wrapText="1"/>
    </xf>
    <xf numFmtId="177" fontId="15" fillId="58" borderId="302" xfId="0" quotePrefix="1" applyNumberFormat="1" applyFont="1" applyFill="1" applyBorder="1">
      <alignment vertical="center"/>
    </xf>
    <xf numFmtId="177" fontId="15" fillId="58" borderId="42" xfId="0" quotePrefix="1" applyNumberFormat="1" applyFont="1" applyFill="1" applyBorder="1">
      <alignment vertical="center"/>
    </xf>
    <xf numFmtId="177" fontId="15" fillId="58" borderId="45" xfId="0" quotePrefix="1" applyNumberFormat="1" applyFont="1" applyFill="1" applyBorder="1">
      <alignment vertical="center"/>
    </xf>
    <xf numFmtId="0" fontId="15" fillId="58" borderId="306" xfId="0" quotePrefix="1" applyFont="1" applyFill="1" applyBorder="1" applyAlignment="1">
      <alignment vertical="top" wrapText="1"/>
    </xf>
    <xf numFmtId="0" fontId="15" fillId="58" borderId="33" xfId="0" quotePrefix="1" applyFont="1" applyFill="1" applyBorder="1" applyAlignment="1">
      <alignment vertical="top" wrapText="1"/>
    </xf>
    <xf numFmtId="0" fontId="15" fillId="58" borderId="36" xfId="0" applyFont="1" applyFill="1" applyBorder="1" applyAlignment="1">
      <alignment vertical="top" wrapText="1"/>
    </xf>
    <xf numFmtId="0" fontId="15" fillId="58" borderId="36" xfId="0" quotePrefix="1" applyFont="1" applyFill="1" applyBorder="1" applyAlignment="1">
      <alignment vertical="top" wrapText="1"/>
    </xf>
    <xf numFmtId="0" fontId="5" fillId="0" borderId="175" xfId="0" quotePrefix="1" applyFont="1" applyBorder="1" applyAlignment="1">
      <alignment horizontal="left" vertical="center" wrapText="1"/>
    </xf>
    <xf numFmtId="0" fontId="5" fillId="0" borderId="38" xfId="0" quotePrefix="1" applyFont="1" applyBorder="1" applyAlignment="1">
      <alignment horizontal="left" vertical="center" wrapText="1"/>
    </xf>
    <xf numFmtId="0" fontId="5" fillId="3" borderId="175" xfId="0" quotePrefix="1" applyFont="1" applyFill="1" applyBorder="1" applyAlignment="1">
      <alignment vertical="center" wrapText="1"/>
    </xf>
    <xf numFmtId="0" fontId="5" fillId="3" borderId="38" xfId="0" quotePrefix="1" applyFont="1" applyFill="1" applyBorder="1" applyAlignment="1">
      <alignment vertical="center" wrapText="1"/>
    </xf>
    <xf numFmtId="0" fontId="21" fillId="3" borderId="74" xfId="0" applyFont="1" applyFill="1" applyBorder="1" applyAlignment="1">
      <alignment horizontal="left" vertical="top" wrapText="1"/>
    </xf>
    <xf numFmtId="177" fontId="5" fillId="15" borderId="172" xfId="0" quotePrefix="1" applyNumberFormat="1" applyFont="1" applyFill="1" applyBorder="1" applyAlignment="1">
      <alignment vertical="center" wrapText="1"/>
    </xf>
    <xf numFmtId="177" fontId="5" fillId="15" borderId="42" xfId="0" quotePrefix="1" applyNumberFormat="1" applyFont="1" applyFill="1" applyBorder="1" applyAlignment="1">
      <alignment vertical="center" wrapText="1"/>
    </xf>
    <xf numFmtId="177" fontId="5" fillId="15" borderId="295" xfId="0" quotePrefix="1" applyNumberFormat="1" applyFont="1" applyFill="1" applyBorder="1" applyAlignment="1">
      <alignment vertical="center" wrapText="1"/>
    </xf>
    <xf numFmtId="0" fontId="21" fillId="3" borderId="38" xfId="0" applyFont="1" applyFill="1" applyBorder="1" applyAlignment="1">
      <alignment horizontal="left" vertical="center" wrapText="1"/>
    </xf>
    <xf numFmtId="0" fontId="21" fillId="3" borderId="54" xfId="0" applyFont="1" applyFill="1" applyBorder="1" applyAlignment="1">
      <alignment horizontal="left" vertical="center" wrapText="1"/>
    </xf>
    <xf numFmtId="0" fontId="5" fillId="0" borderId="179" xfId="0" quotePrefix="1" applyFont="1" applyBorder="1" applyAlignment="1">
      <alignment horizontal="left" vertical="center" wrapText="1"/>
    </xf>
    <xf numFmtId="0" fontId="5" fillId="0" borderId="78" xfId="0" quotePrefix="1" applyFont="1" applyBorder="1" applyAlignment="1">
      <alignment horizontal="left" vertical="center" wrapText="1"/>
    </xf>
    <xf numFmtId="0" fontId="5" fillId="0" borderId="159" xfId="0" applyFont="1" applyBorder="1" applyAlignment="1">
      <alignment horizontal="left" vertical="center" wrapText="1"/>
    </xf>
    <xf numFmtId="0" fontId="5" fillId="0" borderId="0" xfId="0" quotePrefix="1" applyFont="1" applyAlignment="1">
      <alignment horizontal="left" vertical="center" wrapText="1"/>
    </xf>
    <xf numFmtId="0" fontId="5" fillId="0" borderId="64" xfId="0" quotePrefix="1" applyFont="1" applyBorder="1" applyAlignment="1">
      <alignment horizontal="left" vertical="center" wrapText="1"/>
    </xf>
    <xf numFmtId="0" fontId="5" fillId="0" borderId="159" xfId="0" quotePrefix="1" applyFont="1" applyBorder="1" applyAlignment="1">
      <alignment horizontal="left" vertical="center" wrapText="1"/>
    </xf>
    <xf numFmtId="0" fontId="5" fillId="0" borderId="189" xfId="0" quotePrefix="1" applyFont="1" applyBorder="1" applyAlignment="1">
      <alignment horizontal="left" vertical="center" wrapText="1"/>
    </xf>
    <xf numFmtId="0" fontId="5" fillId="0" borderId="49" xfId="0" quotePrefix="1" applyFont="1" applyBorder="1" applyAlignment="1">
      <alignment horizontal="left" vertical="center" wrapText="1"/>
    </xf>
    <xf numFmtId="0" fontId="5" fillId="0" borderId="80" xfId="0" quotePrefix="1" applyFont="1" applyBorder="1" applyAlignment="1">
      <alignment horizontal="left" vertical="center" wrapText="1"/>
    </xf>
    <xf numFmtId="0" fontId="5" fillId="0" borderId="179" xfId="0" quotePrefix="1" applyFont="1" applyBorder="1" applyAlignment="1">
      <alignment vertical="center" wrapText="1"/>
    </xf>
    <xf numFmtId="0" fontId="5" fillId="0" borderId="78" xfId="0" quotePrefix="1" applyFont="1" applyBorder="1" applyAlignment="1">
      <alignment vertical="center" wrapText="1"/>
    </xf>
    <xf numFmtId="0" fontId="21" fillId="3" borderId="43" xfId="0" applyFont="1" applyFill="1" applyBorder="1" applyAlignment="1">
      <alignment horizontal="left" vertical="center"/>
    </xf>
    <xf numFmtId="0" fontId="21" fillId="3" borderId="42" xfId="0" applyFont="1" applyFill="1" applyBorder="1" applyAlignment="1">
      <alignment horizontal="left" vertical="center"/>
    </xf>
    <xf numFmtId="0" fontId="21" fillId="3" borderId="45" xfId="0" applyFont="1" applyFill="1" applyBorder="1" applyAlignment="1">
      <alignment horizontal="left" vertical="center"/>
    </xf>
    <xf numFmtId="0" fontId="5" fillId="3" borderId="80" xfId="0" quotePrefix="1" applyFont="1" applyFill="1" applyBorder="1" applyAlignment="1">
      <alignment vertical="center" wrapText="1"/>
    </xf>
    <xf numFmtId="0" fontId="5" fillId="3" borderId="37" xfId="0" quotePrefix="1" applyFont="1" applyFill="1" applyBorder="1" applyAlignment="1">
      <alignment vertical="center" wrapText="1"/>
    </xf>
    <xf numFmtId="0" fontId="5" fillId="3" borderId="54" xfId="0" quotePrefix="1" applyFont="1" applyFill="1" applyBorder="1" applyAlignment="1">
      <alignment vertical="center" wrapText="1"/>
    </xf>
    <xf numFmtId="0" fontId="5" fillId="3" borderId="172" xfId="0" quotePrefix="1" applyFont="1" applyFill="1" applyBorder="1" applyAlignment="1">
      <alignment vertical="center" wrapText="1"/>
    </xf>
    <xf numFmtId="0" fontId="5" fillId="3" borderId="196" xfId="0" quotePrefix="1" applyFont="1" applyFill="1" applyBorder="1" applyAlignment="1">
      <alignment vertical="center" wrapText="1"/>
    </xf>
    <xf numFmtId="0" fontId="5" fillId="3" borderId="38" xfId="0" quotePrefix="1" applyFont="1" applyFill="1" applyBorder="1" applyAlignment="1">
      <alignment vertical="top" wrapText="1"/>
    </xf>
    <xf numFmtId="0" fontId="21" fillId="3" borderId="38" xfId="0" applyFont="1" applyFill="1" applyBorder="1" applyAlignment="1">
      <alignment horizontal="left" vertical="top" wrapText="1"/>
    </xf>
    <xf numFmtId="0" fontId="21" fillId="3" borderId="67" xfId="0" applyFont="1" applyFill="1" applyBorder="1" applyAlignment="1">
      <alignment horizontal="left" vertical="top" wrapText="1"/>
    </xf>
    <xf numFmtId="0" fontId="21" fillId="3" borderId="51" xfId="0" applyFont="1" applyFill="1" applyBorder="1" applyAlignment="1">
      <alignment horizontal="left" vertical="top" wrapText="1"/>
    </xf>
    <xf numFmtId="0" fontId="5" fillId="0" borderId="173" xfId="0" quotePrefix="1" applyFont="1" applyBorder="1" applyAlignment="1">
      <alignment horizontal="left" vertical="center" wrapText="1"/>
    </xf>
    <xf numFmtId="0" fontId="5" fillId="0" borderId="82" xfId="0" quotePrefix="1" applyFont="1" applyBorder="1" applyAlignment="1">
      <alignment horizontal="left" vertical="center" wrapText="1"/>
    </xf>
    <xf numFmtId="0" fontId="5" fillId="0" borderId="57" xfId="0" quotePrefix="1" applyFont="1" applyBorder="1" applyAlignment="1">
      <alignment horizontal="left" vertical="center" wrapText="1"/>
    </xf>
    <xf numFmtId="0" fontId="5" fillId="0" borderId="27" xfId="0" quotePrefix="1" applyFont="1" applyBorder="1" applyAlignment="1">
      <alignment horizontal="left" vertical="center" wrapText="1"/>
    </xf>
    <xf numFmtId="0" fontId="5" fillId="0" borderId="22" xfId="0" quotePrefix="1" applyFont="1" applyBorder="1" applyAlignment="1">
      <alignment horizontal="left" vertical="center" wrapText="1"/>
    </xf>
    <xf numFmtId="0" fontId="5" fillId="0" borderId="70" xfId="0" quotePrefix="1" applyFont="1" applyBorder="1" applyAlignment="1">
      <alignment horizontal="left" vertical="center" wrapText="1"/>
    </xf>
    <xf numFmtId="0" fontId="5" fillId="0" borderId="36" xfId="0" quotePrefix="1" applyFont="1" applyBorder="1" applyAlignment="1">
      <alignment vertical="center" wrapText="1"/>
    </xf>
    <xf numFmtId="0" fontId="5" fillId="3" borderId="45" xfId="0" quotePrefix="1" applyFont="1" applyFill="1" applyBorder="1" applyAlignment="1">
      <alignment vertical="center" wrapText="1"/>
    </xf>
    <xf numFmtId="0" fontId="5" fillId="3" borderId="175" xfId="0" quotePrefix="1" applyFont="1" applyFill="1" applyBorder="1" applyAlignment="1">
      <alignment horizontal="left" vertical="center" wrapText="1"/>
    </xf>
    <xf numFmtId="0" fontId="5" fillId="3" borderId="57" xfId="0" quotePrefix="1" applyFont="1" applyFill="1" applyBorder="1" applyAlignment="1">
      <alignment horizontal="left" vertical="center" wrapText="1"/>
    </xf>
    <xf numFmtId="0" fontId="5" fillId="3" borderId="174" xfId="0" quotePrefix="1" applyFont="1" applyFill="1" applyBorder="1" applyAlignment="1">
      <alignment horizontal="left" vertical="center" wrapText="1"/>
    </xf>
    <xf numFmtId="0" fontId="5" fillId="3" borderId="43" xfId="0" quotePrefix="1" applyFont="1" applyFill="1" applyBorder="1" applyAlignment="1">
      <alignment horizontal="left" vertical="center" wrapText="1"/>
    </xf>
    <xf numFmtId="0" fontId="5" fillId="3" borderId="42" xfId="0" quotePrefix="1" applyFont="1" applyFill="1" applyBorder="1" applyAlignment="1">
      <alignment horizontal="left" vertical="center" wrapText="1"/>
    </xf>
    <xf numFmtId="0" fontId="5" fillId="3" borderId="45" xfId="0" quotePrefix="1" applyFont="1" applyFill="1" applyBorder="1" applyAlignment="1">
      <alignment horizontal="left" vertical="center" wrapText="1"/>
    </xf>
    <xf numFmtId="0" fontId="5" fillId="3" borderId="67" xfId="0" quotePrefix="1" applyFont="1" applyFill="1" applyBorder="1" applyAlignment="1">
      <alignment horizontal="left" vertical="center" wrapText="1"/>
    </xf>
    <xf numFmtId="0" fontId="5" fillId="3" borderId="51" xfId="0" quotePrefix="1" applyFont="1" applyFill="1" applyBorder="1" applyAlignment="1">
      <alignment horizontal="left" vertical="center" wrapText="1"/>
    </xf>
    <xf numFmtId="0" fontId="5" fillId="3" borderId="53" xfId="0" quotePrefix="1" applyFont="1" applyFill="1" applyBorder="1" applyAlignment="1">
      <alignment horizontal="left" vertical="center" wrapText="1"/>
    </xf>
    <xf numFmtId="0" fontId="5" fillId="0" borderId="83" xfId="0" quotePrefix="1" applyFont="1" applyBorder="1" applyAlignment="1">
      <alignment horizontal="left" vertical="center" wrapText="1"/>
    </xf>
    <xf numFmtId="0" fontId="5" fillId="0" borderId="199" xfId="0" quotePrefix="1" applyFont="1" applyBorder="1" applyAlignment="1">
      <alignment horizontal="left" vertical="center" wrapText="1"/>
    </xf>
    <xf numFmtId="0" fontId="5" fillId="0" borderId="45" xfId="0" quotePrefix="1" applyFont="1" applyBorder="1" applyAlignment="1">
      <alignment horizontal="left" vertical="top" wrapText="1"/>
    </xf>
    <xf numFmtId="0" fontId="5" fillId="3" borderId="179" xfId="0" quotePrefix="1" applyFont="1" applyFill="1" applyBorder="1" applyAlignment="1">
      <alignment horizontal="left" vertical="center" wrapText="1"/>
    </xf>
    <xf numFmtId="0" fontId="5" fillId="3" borderId="172" xfId="0" quotePrefix="1" applyFont="1" applyFill="1" applyBorder="1" applyAlignment="1">
      <alignment horizontal="left" vertical="center"/>
    </xf>
    <xf numFmtId="0" fontId="5" fillId="3" borderId="42" xfId="0" quotePrefix="1" applyFont="1" applyFill="1" applyBorder="1" applyAlignment="1">
      <alignment horizontal="left" vertical="center"/>
    </xf>
    <xf numFmtId="0" fontId="5" fillId="3" borderId="45" xfId="0" quotePrefix="1" applyFont="1" applyFill="1" applyBorder="1" applyAlignment="1">
      <alignment horizontal="left" vertical="center"/>
    </xf>
    <xf numFmtId="177" fontId="5" fillId="15" borderId="171" xfId="0" quotePrefix="1" applyNumberFormat="1" applyFont="1" applyFill="1" applyBorder="1" applyAlignment="1">
      <alignment horizontal="left" vertical="center"/>
    </xf>
    <xf numFmtId="177" fontId="5" fillId="15" borderId="36" xfId="0" quotePrefix="1" applyNumberFormat="1" applyFont="1" applyFill="1" applyBorder="1" applyAlignment="1">
      <alignment horizontal="left" vertical="center"/>
    </xf>
    <xf numFmtId="0" fontId="5" fillId="3" borderId="175" xfId="0" applyFont="1" applyFill="1" applyBorder="1">
      <alignment vertical="center"/>
    </xf>
    <xf numFmtId="0" fontId="5" fillId="0" borderId="175" xfId="0" applyFont="1" applyBorder="1" applyAlignment="1">
      <alignment horizontal="left" vertical="center"/>
    </xf>
    <xf numFmtId="0" fontId="5" fillId="3" borderId="172" xfId="0" applyFont="1" applyFill="1" applyBorder="1" applyAlignment="1">
      <alignment horizontal="left" vertical="center"/>
    </xf>
    <xf numFmtId="0" fontId="5" fillId="3" borderId="42" xfId="0" applyFont="1" applyFill="1" applyBorder="1" applyAlignment="1">
      <alignment horizontal="left" vertical="center"/>
    </xf>
    <xf numFmtId="0" fontId="5" fillId="3" borderId="45" xfId="0" applyFont="1" applyFill="1" applyBorder="1" applyAlignment="1">
      <alignment horizontal="left" vertical="center"/>
    </xf>
    <xf numFmtId="0" fontId="5" fillId="3" borderId="172" xfId="0" applyFont="1" applyFill="1" applyBorder="1" applyAlignment="1">
      <alignment vertical="top"/>
    </xf>
    <xf numFmtId="0" fontId="5" fillId="3" borderId="42" xfId="0" applyFont="1" applyFill="1" applyBorder="1" applyAlignment="1">
      <alignment vertical="top"/>
    </xf>
    <xf numFmtId="0" fontId="5" fillId="3" borderId="45" xfId="0" applyFont="1" applyFill="1" applyBorder="1" applyAlignment="1">
      <alignment vertical="top"/>
    </xf>
    <xf numFmtId="0" fontId="5" fillId="3" borderId="174" xfId="0" quotePrefix="1" applyFont="1" applyFill="1" applyBorder="1" applyAlignment="1">
      <alignment horizontal="center" vertical="center"/>
    </xf>
    <xf numFmtId="0" fontId="5" fillId="3" borderId="176" xfId="0" quotePrefix="1" applyFont="1" applyFill="1" applyBorder="1" applyAlignment="1">
      <alignment horizontal="center" vertical="center"/>
    </xf>
    <xf numFmtId="0" fontId="5" fillId="3" borderId="43" xfId="0" quotePrefix="1" applyFont="1" applyFill="1" applyBorder="1">
      <alignment vertical="center"/>
    </xf>
    <xf numFmtId="0" fontId="5" fillId="3" borderId="42" xfId="0" quotePrefix="1" applyFont="1" applyFill="1" applyBorder="1">
      <alignment vertical="center"/>
    </xf>
    <xf numFmtId="0" fontId="5" fillId="3" borderId="45" xfId="0" quotePrefix="1" applyFont="1" applyFill="1" applyBorder="1">
      <alignment vertical="center"/>
    </xf>
    <xf numFmtId="0" fontId="5" fillId="3" borderId="172" xfId="0" quotePrefix="1" applyFont="1" applyFill="1" applyBorder="1">
      <alignment vertical="center"/>
    </xf>
    <xf numFmtId="0" fontId="5" fillId="3" borderId="43" xfId="0" quotePrefix="1" applyFont="1" applyFill="1" applyBorder="1" applyAlignment="1">
      <alignment vertical="top" wrapText="1"/>
    </xf>
    <xf numFmtId="0" fontId="5" fillId="3" borderId="42" xfId="0" quotePrefix="1" applyFont="1" applyFill="1" applyBorder="1" applyAlignment="1">
      <alignment vertical="top" wrapText="1"/>
    </xf>
    <xf numFmtId="0" fontId="5" fillId="3" borderId="45" xfId="0" quotePrefix="1" applyFont="1" applyFill="1" applyBorder="1" applyAlignment="1">
      <alignment vertical="top" wrapText="1"/>
    </xf>
    <xf numFmtId="0" fontId="5" fillId="3" borderId="175" xfId="0" quotePrefix="1" applyFont="1" applyFill="1" applyBorder="1" applyAlignment="1">
      <alignment horizontal="left" vertical="center"/>
    </xf>
    <xf numFmtId="0" fontId="5" fillId="3" borderId="174" xfId="0" quotePrefix="1" applyFont="1" applyFill="1" applyBorder="1" applyAlignment="1">
      <alignment horizontal="left" vertical="center"/>
    </xf>
    <xf numFmtId="177" fontId="5" fillId="15" borderId="172" xfId="0" quotePrefix="1" applyNumberFormat="1" applyFont="1" applyFill="1" applyBorder="1">
      <alignment vertical="center"/>
    </xf>
    <xf numFmtId="0" fontId="5" fillId="3" borderId="43" xfId="0" quotePrefix="1" applyFont="1" applyFill="1" applyBorder="1" applyAlignment="1">
      <alignment horizontal="left" vertical="center"/>
    </xf>
    <xf numFmtId="0" fontId="5" fillId="3" borderId="175" xfId="0" quotePrefix="1" applyFont="1" applyFill="1" applyBorder="1">
      <alignment vertical="center"/>
    </xf>
    <xf numFmtId="0" fontId="5" fillId="3" borderId="176" xfId="0" quotePrefix="1" applyFont="1" applyFill="1" applyBorder="1">
      <alignment vertical="center"/>
    </xf>
    <xf numFmtId="0" fontId="5" fillId="3" borderId="38" xfId="0" quotePrefix="1" applyFont="1" applyFill="1" applyBorder="1" applyAlignment="1">
      <alignment horizontal="left" vertical="center"/>
    </xf>
    <xf numFmtId="177" fontId="5" fillId="15" borderId="179" xfId="0" quotePrefix="1" applyNumberFormat="1" applyFont="1" applyFill="1" applyBorder="1">
      <alignment vertical="center"/>
    </xf>
    <xf numFmtId="0" fontId="5" fillId="3" borderId="174" xfId="0" applyFont="1" applyFill="1" applyBorder="1" applyAlignment="1">
      <alignment horizontal="center" vertical="center"/>
    </xf>
    <xf numFmtId="0" fontId="5" fillId="3" borderId="176" xfId="0" applyFont="1" applyFill="1" applyBorder="1" applyAlignment="1">
      <alignment horizontal="center" vertical="center"/>
    </xf>
    <xf numFmtId="0" fontId="5" fillId="3" borderId="54" xfId="0" applyFont="1" applyFill="1" applyBorder="1" applyAlignment="1">
      <alignment horizontal="left" vertical="top" wrapText="1"/>
    </xf>
    <xf numFmtId="0" fontId="5" fillId="3" borderId="37" xfId="0" applyFont="1" applyFill="1" applyBorder="1" applyAlignment="1">
      <alignment horizontal="left" vertical="top" wrapText="1"/>
    </xf>
    <xf numFmtId="0" fontId="5" fillId="3" borderId="174" xfId="0" quotePrefix="1" applyFont="1" applyFill="1" applyBorder="1">
      <alignment vertical="center"/>
    </xf>
    <xf numFmtId="177" fontId="5" fillId="15" borderId="38" xfId="0" quotePrefix="1" applyNumberFormat="1" applyFont="1" applyFill="1" applyBorder="1">
      <alignment vertical="center"/>
    </xf>
    <xf numFmtId="177" fontId="5" fillId="0" borderId="175" xfId="0" quotePrefix="1" applyNumberFormat="1" applyFont="1" applyBorder="1">
      <alignment vertical="center"/>
    </xf>
    <xf numFmtId="0" fontId="5" fillId="3" borderId="179" xfId="0" quotePrefix="1" applyFont="1" applyFill="1" applyBorder="1" applyAlignment="1">
      <alignment horizontal="left" vertical="center"/>
    </xf>
    <xf numFmtId="0" fontId="5" fillId="3" borderId="183" xfId="0" applyFont="1" applyFill="1" applyBorder="1" applyAlignment="1">
      <alignment horizontal="left" vertical="center"/>
    </xf>
    <xf numFmtId="0" fontId="5" fillId="3" borderId="176" xfId="0" applyFont="1" applyFill="1" applyBorder="1" applyAlignment="1">
      <alignment horizontal="left" vertical="center"/>
    </xf>
    <xf numFmtId="0" fontId="5" fillId="3" borderId="77" xfId="0" applyFont="1" applyFill="1" applyBorder="1">
      <alignment vertical="center"/>
    </xf>
    <xf numFmtId="0" fontId="5" fillId="3" borderId="33" xfId="0" applyFont="1" applyFill="1" applyBorder="1">
      <alignment vertical="center"/>
    </xf>
    <xf numFmtId="0" fontId="5" fillId="3" borderId="36" xfId="0" applyFont="1" applyFill="1" applyBorder="1">
      <alignment vertical="center"/>
    </xf>
    <xf numFmtId="0" fontId="5" fillId="3" borderId="43" xfId="0" applyFont="1" applyFill="1" applyBorder="1">
      <alignment vertical="center"/>
    </xf>
    <xf numFmtId="0" fontId="5" fillId="3" borderId="42" xfId="0" applyFont="1" applyFill="1" applyBorder="1">
      <alignment vertical="center"/>
    </xf>
    <xf numFmtId="0" fontId="5" fillId="3" borderId="45" xfId="0" applyFont="1" applyFill="1" applyBorder="1">
      <alignment vertical="center"/>
    </xf>
    <xf numFmtId="0" fontId="5" fillId="3" borderId="44" xfId="0" applyFont="1" applyFill="1" applyBorder="1" applyAlignment="1">
      <alignment vertical="center" wrapText="1"/>
    </xf>
    <xf numFmtId="0" fontId="5" fillId="3" borderId="37" xfId="0" applyFont="1" applyFill="1" applyBorder="1" applyAlignment="1">
      <alignment vertical="center" wrapText="1"/>
    </xf>
    <xf numFmtId="0" fontId="5" fillId="3" borderId="43" xfId="0" applyFont="1" applyFill="1" applyBorder="1" applyAlignment="1">
      <alignment horizontal="left" vertical="center"/>
    </xf>
    <xf numFmtId="0" fontId="5" fillId="3" borderId="54" xfId="0" applyFont="1" applyFill="1" applyBorder="1" applyAlignment="1">
      <alignment vertical="top" wrapText="1"/>
    </xf>
    <xf numFmtId="0" fontId="5" fillId="3" borderId="37" xfId="0" applyFont="1" applyFill="1" applyBorder="1" applyAlignment="1">
      <alignment vertical="top" wrapText="1"/>
    </xf>
    <xf numFmtId="177" fontId="5" fillId="15" borderId="172" xfId="0" quotePrefix="1" applyNumberFormat="1" applyFont="1" applyFill="1" applyBorder="1" applyAlignment="1">
      <alignment horizontal="left" vertical="center"/>
    </xf>
    <xf numFmtId="177" fontId="5" fillId="15" borderId="45" xfId="0" quotePrefix="1" applyNumberFormat="1" applyFont="1" applyFill="1" applyBorder="1" applyAlignment="1">
      <alignment horizontal="left" vertical="center"/>
    </xf>
    <xf numFmtId="177" fontId="5" fillId="15" borderId="191" xfId="0" quotePrefix="1" applyNumberFormat="1" applyFont="1" applyFill="1" applyBorder="1" applyAlignment="1">
      <alignment horizontal="left" vertical="top" wrapText="1"/>
    </xf>
    <xf numFmtId="177" fontId="5" fillId="15" borderId="175" xfId="0" quotePrefix="1" applyNumberFormat="1" applyFont="1" applyFill="1" applyBorder="1">
      <alignment vertical="center"/>
    </xf>
    <xf numFmtId="0" fontId="5" fillId="0" borderId="175" xfId="0" quotePrefix="1" applyFont="1" applyBorder="1" applyAlignment="1">
      <alignment horizontal="left" vertical="center"/>
    </xf>
    <xf numFmtId="0" fontId="5" fillId="0" borderId="38" xfId="0" quotePrefix="1" applyFont="1" applyBorder="1" applyAlignment="1">
      <alignment horizontal="left" vertical="center"/>
    </xf>
    <xf numFmtId="0" fontId="5" fillId="0" borderId="43" xfId="0" quotePrefix="1" applyFont="1" applyBorder="1" applyAlignment="1">
      <alignment horizontal="left" vertical="center"/>
    </xf>
    <xf numFmtId="0" fontId="5" fillId="0" borderId="42" xfId="0" quotePrefix="1" applyFont="1" applyBorder="1" applyAlignment="1">
      <alignment horizontal="left" vertical="center"/>
    </xf>
    <xf numFmtId="0" fontId="5" fillId="0" borderId="45" xfId="0" quotePrefix="1" applyFont="1" applyBorder="1" applyAlignment="1">
      <alignment horizontal="left" vertical="center"/>
    </xf>
    <xf numFmtId="177" fontId="5" fillId="15" borderId="176" xfId="0" quotePrefix="1" applyNumberFormat="1" applyFont="1" applyFill="1" applyBorder="1" applyAlignment="1">
      <alignment horizontal="left" vertical="top" wrapText="1"/>
    </xf>
    <xf numFmtId="0" fontId="5" fillId="3" borderId="54" xfId="0" applyFont="1" applyFill="1" applyBorder="1" applyAlignment="1">
      <alignment horizontal="left" vertical="top"/>
    </xf>
    <xf numFmtId="0" fontId="5" fillId="0" borderId="54" xfId="0" applyFont="1" applyBorder="1" applyAlignment="1">
      <alignment horizontal="left" vertical="top"/>
    </xf>
    <xf numFmtId="0" fontId="5" fillId="0" borderId="179" xfId="0" quotePrefix="1" applyFont="1" applyBorder="1" applyAlignment="1">
      <alignment horizontal="left" vertical="center"/>
    </xf>
    <xf numFmtId="0" fontId="5" fillId="0" borderId="172" xfId="0" quotePrefix="1" applyFont="1" applyBorder="1" applyAlignment="1">
      <alignment horizontal="left" vertical="center"/>
    </xf>
    <xf numFmtId="177" fontId="5" fillId="15" borderId="175" xfId="0" quotePrefix="1" applyNumberFormat="1" applyFont="1" applyFill="1" applyBorder="1" applyAlignment="1">
      <alignment horizontal="left" vertical="center" wrapText="1"/>
    </xf>
    <xf numFmtId="0" fontId="5" fillId="3" borderId="175" xfId="0" applyFont="1" applyFill="1" applyBorder="1" applyAlignment="1">
      <alignment horizontal="left" vertical="center" wrapText="1"/>
    </xf>
    <xf numFmtId="0" fontId="5" fillId="3" borderId="38" xfId="0" applyFont="1" applyFill="1" applyBorder="1">
      <alignment vertical="center"/>
    </xf>
    <xf numFmtId="0" fontId="0" fillId="3" borderId="173" xfId="0" quotePrefix="1" applyFill="1" applyBorder="1" applyAlignment="1">
      <alignment horizontal="left" vertical="center" wrapText="1"/>
    </xf>
    <xf numFmtId="0" fontId="5" fillId="3" borderId="173" xfId="0" applyFont="1" applyFill="1" applyBorder="1" applyAlignment="1">
      <alignment horizontal="left" vertical="center" wrapText="1"/>
    </xf>
    <xf numFmtId="0" fontId="5" fillId="3" borderId="172" xfId="0" applyFont="1" applyFill="1" applyBorder="1" applyAlignment="1">
      <alignment horizontal="left" vertical="center" wrapText="1"/>
    </xf>
    <xf numFmtId="177" fontId="5" fillId="15" borderId="179" xfId="0" quotePrefix="1" applyNumberFormat="1" applyFont="1" applyFill="1" applyBorder="1" applyAlignment="1">
      <alignment horizontal="left" vertical="center"/>
    </xf>
    <xf numFmtId="0" fontId="5" fillId="3" borderId="175" xfId="0" applyFont="1" applyFill="1" applyBorder="1" applyAlignment="1">
      <alignment horizontal="center" vertical="center"/>
    </xf>
    <xf numFmtId="0" fontId="21" fillId="0" borderId="38" xfId="0" applyFont="1" applyBorder="1" applyAlignment="1">
      <alignment horizontal="left" vertical="center" wrapText="1"/>
    </xf>
    <xf numFmtId="177" fontId="5" fillId="0" borderId="172" xfId="0" quotePrefix="1" applyNumberFormat="1" applyFont="1" applyBorder="1">
      <alignment vertical="center"/>
    </xf>
    <xf numFmtId="0" fontId="5" fillId="0" borderId="38" xfId="0" applyFont="1" applyBorder="1" applyAlignment="1">
      <alignment horizontal="left" vertical="center" wrapText="1"/>
    </xf>
    <xf numFmtId="0" fontId="5" fillId="0" borderId="74" xfId="0" applyFont="1" applyBorder="1" applyAlignment="1">
      <alignment horizontal="left" vertical="center" wrapText="1"/>
    </xf>
    <xf numFmtId="177" fontId="5" fillId="15" borderId="174" xfId="0" quotePrefix="1" applyNumberFormat="1" applyFont="1" applyFill="1" applyBorder="1" applyAlignment="1">
      <alignment horizontal="center" vertical="center"/>
    </xf>
    <xf numFmtId="177" fontId="5" fillId="15" borderId="176" xfId="0" quotePrefix="1" applyNumberFormat="1" applyFont="1" applyFill="1" applyBorder="1" applyAlignment="1">
      <alignment horizontal="center" vertical="center"/>
    </xf>
    <xf numFmtId="177" fontId="5" fillId="15" borderId="38" xfId="0" quotePrefix="1" applyNumberFormat="1" applyFont="1" applyFill="1" applyBorder="1" applyAlignment="1">
      <alignment horizontal="left" vertical="center"/>
    </xf>
    <xf numFmtId="177" fontId="5" fillId="15" borderId="174" xfId="0" quotePrefix="1" applyNumberFormat="1" applyFont="1" applyFill="1" applyBorder="1" applyAlignment="1">
      <alignment horizontal="left" vertical="center"/>
    </xf>
    <xf numFmtId="177" fontId="5" fillId="0" borderId="175" xfId="0" quotePrefix="1" applyNumberFormat="1" applyFont="1" applyBorder="1" applyAlignment="1">
      <alignment horizontal="left" vertical="center"/>
    </xf>
    <xf numFmtId="177" fontId="5" fillId="0" borderId="174" xfId="0" quotePrefix="1" applyNumberFormat="1" applyFont="1" applyBorder="1" applyAlignment="1">
      <alignment horizontal="center" vertical="center"/>
    </xf>
    <xf numFmtId="177" fontId="5" fillId="0" borderId="183" xfId="0" quotePrefix="1" applyNumberFormat="1" applyFont="1" applyBorder="1" applyAlignment="1">
      <alignment horizontal="center" vertical="center"/>
    </xf>
    <xf numFmtId="177" fontId="5" fillId="0" borderId="177" xfId="0" quotePrefix="1" applyNumberFormat="1" applyFont="1" applyBorder="1" applyAlignment="1">
      <alignment horizontal="center" vertical="center"/>
    </xf>
    <xf numFmtId="177" fontId="5" fillId="15" borderId="175" xfId="0" quotePrefix="1" applyNumberFormat="1" applyFont="1" applyFill="1" applyBorder="1" applyAlignment="1">
      <alignment horizontal="left" vertical="center"/>
    </xf>
    <xf numFmtId="177" fontId="5" fillId="15" borderId="54" xfId="0" quotePrefix="1" applyNumberFormat="1" applyFont="1" applyFill="1" applyBorder="1" applyAlignment="1">
      <alignment horizontal="left" vertical="center"/>
    </xf>
    <xf numFmtId="177" fontId="5" fillId="15" borderId="175" xfId="0" quotePrefix="1" applyNumberFormat="1" applyFont="1" applyFill="1" applyBorder="1" applyAlignment="1">
      <alignment horizontal="center" vertical="center"/>
    </xf>
    <xf numFmtId="177" fontId="5" fillId="15" borderId="38" xfId="0" quotePrefix="1" applyNumberFormat="1" applyFont="1" applyFill="1" applyBorder="1" applyAlignment="1">
      <alignment horizontal="center" vertical="center"/>
    </xf>
    <xf numFmtId="177" fontId="5" fillId="0" borderId="176" xfId="0" quotePrefix="1" applyNumberFormat="1" applyFont="1" applyBorder="1" applyAlignment="1">
      <alignment horizontal="center" vertical="center"/>
    </xf>
    <xf numFmtId="0" fontId="5" fillId="0" borderId="38" xfId="0" applyFont="1" applyBorder="1" applyAlignment="1">
      <alignment horizontal="left" vertical="center"/>
    </xf>
    <xf numFmtId="177" fontId="21" fillId="15" borderId="172" xfId="0" quotePrefix="1" applyNumberFormat="1" applyFont="1" applyFill="1" applyBorder="1">
      <alignment vertical="center"/>
    </xf>
    <xf numFmtId="177" fontId="21" fillId="15" borderId="42" xfId="0" applyNumberFormat="1" applyFont="1" applyFill="1" applyBorder="1">
      <alignment vertical="center"/>
    </xf>
    <xf numFmtId="177" fontId="21" fillId="15" borderId="45" xfId="0" applyNumberFormat="1" applyFont="1" applyFill="1" applyBorder="1">
      <alignment vertical="center"/>
    </xf>
    <xf numFmtId="177" fontId="5" fillId="15" borderId="45" xfId="0" quotePrefix="1" applyNumberFormat="1" applyFont="1" applyFill="1" applyBorder="1" applyAlignment="1">
      <alignment horizontal="center" vertical="center"/>
    </xf>
    <xf numFmtId="0" fontId="5" fillId="3" borderId="171" xfId="0" applyFont="1" applyFill="1" applyBorder="1" applyAlignment="1">
      <alignment horizontal="left" vertical="center"/>
    </xf>
    <xf numFmtId="0" fontId="5" fillId="3" borderId="174" xfId="0" applyFont="1" applyFill="1" applyBorder="1" applyAlignment="1">
      <alignment horizontal="left" vertical="center"/>
    </xf>
    <xf numFmtId="177" fontId="5" fillId="15" borderId="42" xfId="0" applyNumberFormat="1" applyFont="1" applyFill="1" applyBorder="1">
      <alignment vertical="center"/>
    </xf>
    <xf numFmtId="177" fontId="5" fillId="15" borderId="45" xfId="0" applyNumberFormat="1" applyFont="1" applyFill="1" applyBorder="1">
      <alignment vertical="center"/>
    </xf>
    <xf numFmtId="177" fontId="5" fillId="15" borderId="174" xfId="0" quotePrefix="1" applyNumberFormat="1" applyFont="1" applyFill="1" applyBorder="1">
      <alignment vertical="center"/>
    </xf>
    <xf numFmtId="177" fontId="5" fillId="15" borderId="174" xfId="0" quotePrefix="1" applyNumberFormat="1" applyFont="1" applyFill="1" applyBorder="1" applyAlignment="1">
      <alignment vertical="top"/>
    </xf>
    <xf numFmtId="177" fontId="5" fillId="15" borderId="176" xfId="0" quotePrefix="1" applyNumberFormat="1" applyFont="1" applyFill="1" applyBorder="1" applyAlignment="1">
      <alignment horizontal="left" vertical="center"/>
    </xf>
    <xf numFmtId="177" fontId="5" fillId="15" borderId="80" xfId="0" quotePrefix="1" applyNumberFormat="1" applyFont="1" applyFill="1" applyBorder="1" applyAlignment="1">
      <alignment horizontal="left" vertical="center"/>
    </xf>
    <xf numFmtId="177" fontId="5" fillId="15" borderId="177" xfId="0" quotePrefix="1" applyNumberFormat="1" applyFont="1" applyFill="1" applyBorder="1" applyAlignment="1">
      <alignment horizontal="left" vertical="center"/>
    </xf>
    <xf numFmtId="177" fontId="5" fillId="15" borderId="70" xfId="0" quotePrefix="1" applyNumberFormat="1" applyFont="1" applyFill="1" applyBorder="1" applyAlignment="1">
      <alignment horizontal="left" vertical="center"/>
    </xf>
    <xf numFmtId="177" fontId="5" fillId="0" borderId="179" xfId="0" quotePrefix="1" applyNumberFormat="1" applyFont="1" applyBorder="1" applyAlignment="1">
      <alignment horizontal="left" vertical="top"/>
    </xf>
    <xf numFmtId="177" fontId="5" fillId="15" borderId="173" xfId="0" quotePrefix="1" applyNumberFormat="1" applyFont="1" applyFill="1" applyBorder="1">
      <alignment vertical="center"/>
    </xf>
    <xf numFmtId="177" fontId="5" fillId="15" borderId="82" xfId="0" quotePrefix="1" applyNumberFormat="1" applyFont="1" applyFill="1" applyBorder="1">
      <alignment vertical="center"/>
    </xf>
    <xf numFmtId="177" fontId="5" fillId="15" borderId="167" xfId="0" quotePrefix="1" applyNumberFormat="1" applyFont="1" applyFill="1" applyBorder="1" applyAlignment="1">
      <alignment horizontal="left" vertical="top" wrapText="1"/>
    </xf>
    <xf numFmtId="177" fontId="5" fillId="15" borderId="56" xfId="0" quotePrefix="1" applyNumberFormat="1" applyFont="1" applyFill="1" applyBorder="1" applyAlignment="1">
      <alignment horizontal="left" vertical="top" wrapText="1"/>
    </xf>
    <xf numFmtId="177" fontId="5" fillId="15" borderId="58" xfId="0" quotePrefix="1" applyNumberFormat="1" applyFont="1" applyFill="1" applyBorder="1" applyAlignment="1">
      <alignment horizontal="left" vertical="top" wrapText="1"/>
    </xf>
    <xf numFmtId="177" fontId="5" fillId="15" borderId="61" xfId="0" quotePrefix="1" applyNumberFormat="1" applyFont="1" applyFill="1" applyBorder="1" applyAlignment="1">
      <alignment horizontal="left" vertical="top" wrapText="1"/>
    </xf>
    <xf numFmtId="177" fontId="5" fillId="15" borderId="167" xfId="0" quotePrefix="1" applyNumberFormat="1" applyFont="1" applyFill="1" applyBorder="1" applyAlignment="1">
      <alignment vertical="top" wrapText="1"/>
    </xf>
    <xf numFmtId="177" fontId="5" fillId="15" borderId="168" xfId="0" quotePrefix="1" applyNumberFormat="1" applyFont="1" applyFill="1" applyBorder="1" applyAlignment="1">
      <alignment vertical="top" wrapText="1"/>
    </xf>
    <xf numFmtId="177" fontId="5" fillId="15" borderId="74" xfId="0" quotePrefix="1" applyNumberFormat="1" applyFont="1" applyFill="1" applyBorder="1" applyAlignment="1">
      <alignment horizontal="left" vertical="center" wrapText="1"/>
    </xf>
    <xf numFmtId="177" fontId="5" fillId="0" borderId="171" xfId="0" quotePrefix="1" applyNumberFormat="1" applyFont="1" applyBorder="1">
      <alignment vertical="center"/>
    </xf>
    <xf numFmtId="177" fontId="5" fillId="15" borderId="41" xfId="0" quotePrefix="1" applyNumberFormat="1" applyFont="1" applyFill="1" applyBorder="1" applyAlignment="1">
      <alignment horizontal="left" vertical="center"/>
    </xf>
    <xf numFmtId="177" fontId="5" fillId="15" borderId="163" xfId="0" quotePrefix="1" applyNumberFormat="1" applyFont="1" applyFill="1" applyBorder="1" applyAlignment="1">
      <alignment horizontal="left" vertical="center"/>
    </xf>
    <xf numFmtId="177" fontId="5" fillId="15" borderId="164" xfId="0" quotePrefix="1" applyNumberFormat="1" applyFont="1" applyFill="1" applyBorder="1" applyAlignment="1">
      <alignment horizontal="left" vertical="center"/>
    </xf>
    <xf numFmtId="177" fontId="5" fillId="15" borderId="50" xfId="0" quotePrefix="1" applyNumberFormat="1" applyFont="1" applyFill="1" applyBorder="1" applyAlignment="1">
      <alignment horizontal="left" vertical="center"/>
    </xf>
    <xf numFmtId="177" fontId="5" fillId="15" borderId="165" xfId="0" quotePrefix="1" applyNumberFormat="1" applyFont="1" applyFill="1" applyBorder="1" applyAlignment="1">
      <alignment horizontal="left" vertical="center"/>
    </xf>
    <xf numFmtId="177" fontId="5" fillId="15" borderId="166" xfId="0" quotePrefix="1" applyNumberFormat="1" applyFont="1" applyFill="1" applyBorder="1" applyAlignment="1">
      <alignment horizontal="left" vertical="center"/>
    </xf>
    <xf numFmtId="177" fontId="5" fillId="15" borderId="32" xfId="0" quotePrefix="1" applyNumberFormat="1" applyFont="1" applyFill="1" applyBorder="1" applyAlignment="1">
      <alignment horizontal="left" vertical="center"/>
    </xf>
    <xf numFmtId="177" fontId="5" fillId="15" borderId="161" xfId="0" quotePrefix="1" applyNumberFormat="1" applyFont="1" applyFill="1" applyBorder="1" applyAlignment="1">
      <alignment horizontal="left" vertical="center"/>
    </xf>
    <xf numFmtId="177" fontId="5" fillId="15" borderId="162" xfId="0" quotePrefix="1" applyNumberFormat="1" applyFont="1" applyFill="1" applyBorder="1" applyAlignment="1">
      <alignment horizontal="left" vertical="center"/>
    </xf>
    <xf numFmtId="0" fontId="16" fillId="7" borderId="10" xfId="0" applyFont="1" applyFill="1" applyBorder="1" applyAlignment="1">
      <alignment horizontal="center" vertical="center"/>
    </xf>
    <xf numFmtId="0" fontId="16" fillId="7" borderId="11" xfId="0" applyFont="1" applyFill="1" applyBorder="1" applyAlignment="1">
      <alignment horizontal="center" vertical="center"/>
    </xf>
    <xf numFmtId="0" fontId="16" fillId="7" borderId="12" xfId="0" applyFont="1" applyFill="1" applyBorder="1" applyAlignment="1">
      <alignment horizontal="center" vertical="center"/>
    </xf>
    <xf numFmtId="0" fontId="4" fillId="7" borderId="13" xfId="0" applyFont="1" applyFill="1" applyBorder="1" applyAlignment="1">
      <alignment horizontal="center" vertical="center" wrapText="1"/>
    </xf>
    <xf numFmtId="0" fontId="4" fillId="7" borderId="21" xfId="0" applyFont="1" applyFill="1" applyBorder="1" applyAlignment="1">
      <alignment horizontal="center" vertical="center" wrapText="1"/>
    </xf>
    <xf numFmtId="0" fontId="16" fillId="7" borderId="14" xfId="0" applyFont="1" applyFill="1" applyBorder="1" applyAlignment="1">
      <alignment horizontal="center" vertical="center" wrapText="1"/>
    </xf>
    <xf numFmtId="0" fontId="16" fillId="7" borderId="22" xfId="0" applyFont="1" applyFill="1" applyBorder="1" applyAlignment="1">
      <alignment horizontal="center" vertical="center" wrapText="1"/>
    </xf>
    <xf numFmtId="0" fontId="16" fillId="7" borderId="156" xfId="0" applyFont="1" applyFill="1" applyBorder="1" applyAlignment="1">
      <alignment vertical="center" wrapText="1"/>
    </xf>
    <xf numFmtId="0" fontId="16" fillId="7" borderId="159" xfId="0" applyFont="1" applyFill="1" applyBorder="1" applyAlignment="1">
      <alignment vertical="center" wrapText="1"/>
    </xf>
    <xf numFmtId="0" fontId="4" fillId="6" borderId="14" xfId="0" applyFont="1" applyFill="1" applyBorder="1" applyAlignment="1">
      <alignment horizontal="center" vertical="center"/>
    </xf>
    <xf numFmtId="0" fontId="4" fillId="6" borderId="157" xfId="0" applyFont="1" applyFill="1" applyBorder="1" applyAlignment="1">
      <alignment horizontal="center" vertical="center"/>
    </xf>
    <xf numFmtId="0" fontId="4" fillId="6" borderId="4" xfId="0" applyFont="1" applyFill="1" applyBorder="1" applyAlignment="1">
      <alignment horizontal="center" vertical="center"/>
    </xf>
    <xf numFmtId="0" fontId="4" fillId="6" borderId="5" xfId="0" applyFont="1" applyFill="1" applyBorder="1" applyAlignment="1">
      <alignment horizontal="center" vertical="center"/>
    </xf>
    <xf numFmtId="0" fontId="4" fillId="7" borderId="158" xfId="0" applyFont="1" applyFill="1" applyBorder="1" applyAlignment="1">
      <alignment horizontal="center" vertical="center"/>
    </xf>
    <xf numFmtId="0" fontId="4" fillId="7" borderId="160" xfId="0" applyFont="1" applyFill="1" applyBorder="1" applyAlignment="1">
      <alignment horizontal="center" vertical="center"/>
    </xf>
    <xf numFmtId="0" fontId="16" fillId="7" borderId="308" xfId="0" applyFont="1" applyFill="1" applyBorder="1" applyAlignment="1">
      <alignment horizontal="center" vertical="center"/>
    </xf>
    <xf numFmtId="0" fontId="16" fillId="7" borderId="14" xfId="0" applyFont="1" applyFill="1" applyBorder="1" applyAlignment="1">
      <alignment horizontal="center" vertical="top" wrapText="1"/>
    </xf>
    <xf numFmtId="0" fontId="16" fillId="7" borderId="22" xfId="0" applyFont="1" applyFill="1" applyBorder="1" applyAlignment="1">
      <alignment horizontal="center" vertical="top" wrapText="1"/>
    </xf>
    <xf numFmtId="0" fontId="16" fillId="7" borderId="15" xfId="0" quotePrefix="1" applyFont="1" applyFill="1" applyBorder="1" applyAlignment="1">
      <alignment horizontal="center" vertical="top" wrapText="1"/>
    </xf>
    <xf numFmtId="0" fontId="16" fillId="7" borderId="23" xfId="0" applyFont="1" applyFill="1" applyBorder="1" applyAlignment="1">
      <alignment horizontal="center" vertical="top" wrapText="1"/>
    </xf>
    <xf numFmtId="0" fontId="16" fillId="8" borderId="14" xfId="0" applyFont="1" applyFill="1" applyBorder="1" applyAlignment="1">
      <alignment horizontal="center" vertical="center" wrapText="1"/>
    </xf>
    <xf numFmtId="0" fontId="16" fillId="8" borderId="22" xfId="0" applyFont="1" applyFill="1" applyBorder="1" applyAlignment="1">
      <alignment horizontal="center" vertical="center" wrapText="1"/>
    </xf>
    <xf numFmtId="0" fontId="21" fillId="0" borderId="57" xfId="0" applyFont="1" applyBorder="1" applyAlignment="1">
      <alignment horizontal="left" vertical="top" wrapText="1"/>
    </xf>
    <xf numFmtId="0" fontId="21" fillId="0" borderId="80" xfId="0" applyFont="1" applyBorder="1" applyAlignment="1">
      <alignment horizontal="left" vertical="top" wrapText="1"/>
    </xf>
    <xf numFmtId="3" fontId="32" fillId="3" borderId="54" xfId="0" applyNumberFormat="1" applyFont="1" applyFill="1" applyBorder="1" applyAlignment="1">
      <alignment horizontal="center" vertical="top" wrapText="1"/>
    </xf>
    <xf numFmtId="3" fontId="32" fillId="3" borderId="37" xfId="0" applyNumberFormat="1" applyFont="1" applyFill="1" applyBorder="1" applyAlignment="1">
      <alignment horizontal="center" vertical="top" wrapText="1"/>
    </xf>
    <xf numFmtId="3" fontId="32" fillId="3" borderId="54" xfId="0" applyNumberFormat="1" applyFont="1" applyFill="1" applyBorder="1" applyAlignment="1">
      <alignment horizontal="center" vertical="center" wrapText="1"/>
    </xf>
    <xf numFmtId="3" fontId="32" fillId="3" borderId="44" xfId="0" applyNumberFormat="1" applyFont="1" applyFill="1" applyBorder="1" applyAlignment="1">
      <alignment horizontal="center" vertical="center" wrapText="1"/>
    </xf>
    <xf numFmtId="3" fontId="32" fillId="3" borderId="37" xfId="0" applyNumberFormat="1" applyFont="1" applyFill="1" applyBorder="1" applyAlignment="1">
      <alignment horizontal="center" vertical="center" wrapText="1"/>
    </xf>
    <xf numFmtId="0" fontId="5" fillId="0" borderId="45" xfId="0" applyFont="1" applyBorder="1" applyAlignment="1">
      <alignment horizontal="left" vertical="center"/>
    </xf>
    <xf numFmtId="0" fontId="5" fillId="0" borderId="53" xfId="0" applyFont="1" applyBorder="1" applyAlignment="1">
      <alignment horizontal="left" vertical="center"/>
    </xf>
    <xf numFmtId="0" fontId="21" fillId="0" borderId="259" xfId="0" applyFont="1" applyBorder="1" applyAlignment="1">
      <alignment horizontal="left" vertical="center" wrapText="1"/>
    </xf>
    <xf numFmtId="0" fontId="21" fillId="0" borderId="290" xfId="0" applyFont="1" applyBorder="1" applyAlignment="1">
      <alignment horizontal="left" vertical="center" wrapText="1"/>
    </xf>
    <xf numFmtId="177" fontId="5" fillId="0" borderId="171" xfId="0" quotePrefix="1" applyNumberFormat="1" applyFont="1" applyBorder="1" applyAlignment="1">
      <alignment horizontal="left" vertical="center"/>
    </xf>
    <xf numFmtId="177" fontId="5" fillId="0" borderId="172" xfId="0" quotePrefix="1" applyNumberFormat="1" applyFont="1" applyBorder="1" applyAlignment="1">
      <alignment horizontal="left" vertical="center"/>
    </xf>
    <xf numFmtId="0" fontId="5" fillId="3" borderId="36" xfId="0" applyFont="1" applyFill="1" applyBorder="1" applyAlignment="1">
      <alignment horizontal="left" vertical="center"/>
    </xf>
    <xf numFmtId="177" fontId="5" fillId="29" borderId="172" xfId="0" quotePrefix="1" applyNumberFormat="1" applyFont="1" applyFill="1" applyBorder="1">
      <alignment vertical="center"/>
    </xf>
    <xf numFmtId="177" fontId="5" fillId="29" borderId="45" xfId="0" quotePrefix="1" applyNumberFormat="1" applyFont="1" applyFill="1" applyBorder="1">
      <alignment vertical="center"/>
    </xf>
    <xf numFmtId="177" fontId="5" fillId="29" borderId="174" xfId="0" quotePrefix="1" applyNumberFormat="1" applyFont="1" applyFill="1" applyBorder="1" applyAlignment="1">
      <alignment horizontal="center" vertical="center"/>
    </xf>
    <xf numFmtId="177" fontId="5" fillId="29" borderId="176" xfId="0" quotePrefix="1" applyNumberFormat="1" applyFont="1" applyFill="1" applyBorder="1" applyAlignment="1">
      <alignment horizontal="center" vertical="center"/>
    </xf>
    <xf numFmtId="177" fontId="5" fillId="29" borderId="43" xfId="0" quotePrefix="1" applyNumberFormat="1" applyFont="1" applyFill="1" applyBorder="1">
      <alignment vertical="center"/>
    </xf>
    <xf numFmtId="177" fontId="21" fillId="15" borderId="45" xfId="0" quotePrefix="1" applyNumberFormat="1" applyFont="1" applyFill="1" applyBorder="1">
      <alignment vertical="center"/>
    </xf>
    <xf numFmtId="177" fontId="5" fillId="0" borderId="171" xfId="0" quotePrefix="1" applyNumberFormat="1" applyFont="1" applyBorder="1" applyAlignment="1">
      <alignment horizontal="left" vertical="top"/>
    </xf>
    <xf numFmtId="177" fontId="5" fillId="0" borderId="36" xfId="0" quotePrefix="1" applyNumberFormat="1" applyFont="1" applyBorder="1" applyAlignment="1">
      <alignment horizontal="left" vertical="top"/>
    </xf>
    <xf numFmtId="177" fontId="5" fillId="0" borderId="77" xfId="0" quotePrefix="1" applyNumberFormat="1" applyFont="1" applyBorder="1" applyAlignment="1">
      <alignment horizontal="left" vertical="top"/>
    </xf>
    <xf numFmtId="0" fontId="16" fillId="7" borderId="277" xfId="0" applyFont="1" applyFill="1" applyBorder="1" applyAlignment="1">
      <alignment horizontal="center" vertical="center"/>
    </xf>
    <xf numFmtId="177" fontId="5" fillId="0" borderId="36" xfId="0" quotePrefix="1" applyNumberFormat="1" applyFont="1" applyBorder="1">
      <alignment vertical="center"/>
    </xf>
    <xf numFmtId="0" fontId="16" fillId="7" borderId="278" xfId="0" applyFont="1" applyFill="1" applyBorder="1" applyAlignment="1">
      <alignment horizontal="center" vertical="center"/>
    </xf>
    <xf numFmtId="0" fontId="4" fillId="6" borderId="156" xfId="0" applyFont="1" applyFill="1" applyBorder="1" applyAlignment="1">
      <alignment horizontal="center" vertical="center"/>
    </xf>
    <xf numFmtId="177" fontId="57" fillId="21" borderId="54" xfId="3" quotePrefix="1" applyNumberFormat="1" applyFont="1" applyFill="1" applyBorder="1" applyAlignment="1">
      <alignment horizontal="left" vertical="top" wrapText="1"/>
    </xf>
    <xf numFmtId="177" fontId="57" fillId="21" borderId="44" xfId="3" quotePrefix="1" applyNumberFormat="1" applyFont="1" applyFill="1" applyBorder="1" applyAlignment="1">
      <alignment horizontal="left" vertical="top" wrapText="1"/>
    </xf>
    <xf numFmtId="177" fontId="57" fillId="21" borderId="75" xfId="3" quotePrefix="1" applyNumberFormat="1" applyFont="1" applyFill="1" applyBorder="1" applyAlignment="1">
      <alignment horizontal="left" vertical="top" wrapText="1"/>
    </xf>
    <xf numFmtId="177" fontId="57" fillId="15" borderId="43" xfId="3" quotePrefix="1" applyNumberFormat="1" applyFont="1" applyFill="1" applyBorder="1">
      <alignment vertical="center"/>
    </xf>
    <xf numFmtId="177" fontId="57" fillId="15" borderId="42" xfId="3" quotePrefix="1" applyNumberFormat="1" applyFont="1" applyFill="1" applyBorder="1">
      <alignment vertical="center"/>
    </xf>
    <xf numFmtId="177" fontId="5" fillId="15" borderId="171" xfId="3" quotePrefix="1" applyNumberFormat="1" applyFont="1" applyFill="1" applyBorder="1" applyAlignment="1">
      <alignment horizontal="left" vertical="center"/>
    </xf>
    <xf numFmtId="177" fontId="5" fillId="15" borderId="33" xfId="3" quotePrefix="1" applyNumberFormat="1" applyFont="1" applyFill="1" applyBorder="1" applyAlignment="1">
      <alignment horizontal="left" vertical="center"/>
    </xf>
    <xf numFmtId="0" fontId="21" fillId="0" borderId="259" xfId="3" applyFont="1" applyBorder="1" applyAlignment="1">
      <alignment horizontal="left" vertical="center" wrapText="1"/>
    </xf>
    <xf numFmtId="0" fontId="21" fillId="0" borderId="91" xfId="3" applyFont="1" applyBorder="1" applyAlignment="1">
      <alignment horizontal="left" vertical="center" wrapText="1"/>
    </xf>
    <xf numFmtId="177" fontId="5" fillId="0" borderId="171" xfId="3" quotePrefix="1" applyNumberFormat="1" applyFont="1" applyBorder="1" applyAlignment="1">
      <alignment horizontal="left" vertical="center"/>
    </xf>
    <xf numFmtId="177" fontId="5" fillId="0" borderId="33" xfId="3" quotePrefix="1" applyNumberFormat="1" applyFont="1" applyBorder="1" applyAlignment="1">
      <alignment horizontal="left" vertical="center"/>
    </xf>
    <xf numFmtId="177" fontId="5" fillId="21" borderId="35" xfId="3" quotePrefix="1" applyNumberFormat="1" applyFont="1" applyFill="1" applyBorder="1" applyAlignment="1">
      <alignment horizontal="left" vertical="top" wrapText="1"/>
    </xf>
    <xf numFmtId="177" fontId="5" fillId="21" borderId="44" xfId="3" quotePrefix="1" applyNumberFormat="1" applyFont="1" applyFill="1" applyBorder="1" applyAlignment="1">
      <alignment horizontal="left" vertical="top" wrapText="1"/>
    </xf>
    <xf numFmtId="177" fontId="5" fillId="21" borderId="75" xfId="3" quotePrefix="1" applyNumberFormat="1" applyFont="1" applyFill="1" applyBorder="1" applyAlignment="1">
      <alignment horizontal="left" vertical="top" wrapText="1"/>
    </xf>
    <xf numFmtId="177" fontId="5" fillId="0" borderId="43" xfId="3" quotePrefix="1" applyNumberFormat="1" applyFont="1" applyBorder="1">
      <alignment vertical="center"/>
    </xf>
    <xf numFmtId="177" fontId="5" fillId="0" borderId="42" xfId="3" quotePrefix="1" applyNumberFormat="1" applyFont="1" applyBorder="1">
      <alignment vertical="center"/>
    </xf>
    <xf numFmtId="0" fontId="5" fillId="21" borderId="35" xfId="3" quotePrefix="1" applyFont="1" applyFill="1" applyBorder="1" applyAlignment="1">
      <alignment horizontal="left" vertical="top" wrapText="1"/>
    </xf>
    <xf numFmtId="0" fontId="5" fillId="21" borderId="44" xfId="3" applyFont="1" applyFill="1" applyBorder="1" applyAlignment="1">
      <alignment horizontal="left" vertical="top" wrapText="1"/>
    </xf>
    <xf numFmtId="0" fontId="5" fillId="21" borderId="75" xfId="3" applyFont="1" applyFill="1" applyBorder="1" applyAlignment="1">
      <alignment horizontal="left" vertical="top" wrapText="1"/>
    </xf>
    <xf numFmtId="177" fontId="11" fillId="45" borderId="54" xfId="3" quotePrefix="1" applyNumberFormat="1" applyFont="1" applyFill="1" applyBorder="1" applyAlignment="1">
      <alignment horizontal="left" vertical="top" wrapText="1"/>
    </xf>
    <xf numFmtId="177" fontId="11" fillId="45" borderId="37" xfId="3" quotePrefix="1" applyNumberFormat="1" applyFont="1" applyFill="1" applyBorder="1" applyAlignment="1">
      <alignment horizontal="left" vertical="top" wrapText="1"/>
    </xf>
    <xf numFmtId="177" fontId="5" fillId="0" borderId="174" xfId="3" quotePrefix="1" applyNumberFormat="1" applyFont="1" applyBorder="1" applyAlignment="1">
      <alignment horizontal="center" vertical="center"/>
    </xf>
    <xf numFmtId="177" fontId="5" fillId="0" borderId="183" xfId="3" quotePrefix="1" applyNumberFormat="1" applyFont="1" applyBorder="1" applyAlignment="1">
      <alignment horizontal="center" vertical="center"/>
    </xf>
    <xf numFmtId="177" fontId="5" fillId="0" borderId="177" xfId="3" quotePrefix="1" applyNumberFormat="1" applyFont="1" applyBorder="1" applyAlignment="1">
      <alignment horizontal="center" vertical="center"/>
    </xf>
    <xf numFmtId="0" fontId="5" fillId="0" borderId="43" xfId="3" applyFont="1" applyBorder="1" applyAlignment="1">
      <alignment horizontal="left" vertical="center"/>
    </xf>
    <xf numFmtId="0" fontId="5" fillId="0" borderId="42" xfId="3" applyFont="1" applyBorder="1" applyAlignment="1">
      <alignment horizontal="left" vertical="center"/>
    </xf>
    <xf numFmtId="0" fontId="5" fillId="0" borderId="67" xfId="3" applyFont="1" applyBorder="1" applyAlignment="1">
      <alignment horizontal="left" vertical="center"/>
    </xf>
    <xf numFmtId="0" fontId="5" fillId="0" borderId="51" xfId="3" applyFont="1" applyBorder="1" applyAlignment="1">
      <alignment horizontal="left" vertical="center"/>
    </xf>
    <xf numFmtId="0" fontId="5" fillId="3" borderId="171" xfId="3" applyFont="1" applyFill="1" applyBorder="1" applyAlignment="1">
      <alignment horizontal="left" vertical="center"/>
    </xf>
    <xf numFmtId="0" fontId="5" fillId="3" borderId="33" xfId="3" applyFont="1" applyFill="1" applyBorder="1" applyAlignment="1">
      <alignment horizontal="left" vertical="center"/>
    </xf>
    <xf numFmtId="177" fontId="5" fillId="29" borderId="172" xfId="3" quotePrefix="1" applyNumberFormat="1" applyFont="1" applyFill="1" applyBorder="1">
      <alignment vertical="center"/>
    </xf>
    <xf numFmtId="177" fontId="5" fillId="29" borderId="42" xfId="3" quotePrefix="1" applyNumberFormat="1" applyFont="1" applyFill="1" applyBorder="1">
      <alignment vertical="center"/>
    </xf>
    <xf numFmtId="177" fontId="5" fillId="29" borderId="174" xfId="3" quotePrefix="1" applyNumberFormat="1" applyFont="1" applyFill="1" applyBorder="1" applyAlignment="1">
      <alignment horizontal="center" vertical="center"/>
    </xf>
    <xf numFmtId="177" fontId="5" fillId="29" borderId="176" xfId="3" quotePrefix="1" applyNumberFormat="1" applyFont="1" applyFill="1" applyBorder="1" applyAlignment="1">
      <alignment horizontal="center" vertical="center"/>
    </xf>
    <xf numFmtId="177" fontId="5" fillId="29" borderId="43" xfId="3" quotePrefix="1" applyNumberFormat="1" applyFont="1" applyFill="1" applyBorder="1">
      <alignment vertical="center"/>
    </xf>
    <xf numFmtId="177" fontId="21" fillId="15" borderId="172" xfId="3" quotePrefix="1" applyNumberFormat="1" applyFont="1" applyFill="1" applyBorder="1">
      <alignment vertical="center"/>
    </xf>
    <xf numFmtId="177" fontId="21" fillId="15" borderId="42" xfId="3" quotePrefix="1" applyNumberFormat="1" applyFont="1" applyFill="1" applyBorder="1">
      <alignment vertical="center"/>
    </xf>
    <xf numFmtId="177" fontId="5" fillId="0" borderId="172" xfId="3" quotePrefix="1" applyNumberFormat="1" applyFont="1" applyBorder="1">
      <alignment vertical="center"/>
    </xf>
    <xf numFmtId="177" fontId="5" fillId="0" borderId="176" xfId="3" quotePrefix="1" applyNumberFormat="1" applyFont="1" applyBorder="1" applyAlignment="1">
      <alignment horizontal="center" vertical="center"/>
    </xf>
    <xf numFmtId="177" fontId="5" fillId="0" borderId="172" xfId="3" quotePrefix="1" applyNumberFormat="1" applyFont="1" applyBorder="1" applyAlignment="1">
      <alignment horizontal="left" vertical="center"/>
    </xf>
    <xf numFmtId="177" fontId="5" fillId="0" borderId="42" xfId="3" quotePrefix="1" applyNumberFormat="1" applyFont="1" applyBorder="1" applyAlignment="1">
      <alignment horizontal="left" vertical="center"/>
    </xf>
    <xf numFmtId="177" fontId="5" fillId="15" borderId="43" xfId="3" quotePrefix="1" applyNumberFormat="1" applyFont="1" applyFill="1" applyBorder="1">
      <alignment vertical="center"/>
    </xf>
    <xf numFmtId="177" fontId="5" fillId="15" borderId="42" xfId="3" quotePrefix="1" applyNumberFormat="1" applyFont="1" applyFill="1" applyBorder="1">
      <alignment vertical="center"/>
    </xf>
    <xf numFmtId="177" fontId="5" fillId="15" borderId="172" xfId="3" quotePrefix="1" applyNumberFormat="1" applyFont="1" applyFill="1" applyBorder="1" applyAlignment="1">
      <alignment horizontal="left" vertical="center"/>
    </xf>
    <xf numFmtId="177" fontId="5" fillId="15" borderId="42" xfId="3" quotePrefix="1" applyNumberFormat="1" applyFont="1" applyFill="1" applyBorder="1" applyAlignment="1">
      <alignment horizontal="left" vertical="center"/>
    </xf>
    <xf numFmtId="177" fontId="5" fillId="15" borderId="43" xfId="3" quotePrefix="1" applyNumberFormat="1" applyFont="1" applyFill="1" applyBorder="1" applyAlignment="1">
      <alignment horizontal="left" vertical="center"/>
    </xf>
    <xf numFmtId="177" fontId="5" fillId="0" borderId="43" xfId="3" quotePrefix="1" applyNumberFormat="1" applyFont="1" applyBorder="1" applyAlignment="1">
      <alignment horizontal="left" vertical="center"/>
    </xf>
    <xf numFmtId="177" fontId="5" fillId="0" borderId="45" xfId="3" quotePrefix="1" applyNumberFormat="1" applyFont="1" applyBorder="1" applyAlignment="1">
      <alignment horizontal="left" vertical="center"/>
    </xf>
    <xf numFmtId="177" fontId="5" fillId="0" borderId="171" xfId="3" quotePrefix="1" applyNumberFormat="1" applyFont="1" applyBorder="1">
      <alignment vertical="center"/>
    </xf>
    <xf numFmtId="177" fontId="5" fillId="0" borderId="33" xfId="3" quotePrefix="1" applyNumberFormat="1" applyFont="1" applyBorder="1">
      <alignment vertical="center"/>
    </xf>
    <xf numFmtId="177" fontId="5" fillId="15" borderId="174" xfId="3" quotePrefix="1" applyNumberFormat="1" applyFont="1" applyFill="1" applyBorder="1" applyAlignment="1">
      <alignment horizontal="center" vertical="center"/>
    </xf>
    <xf numFmtId="177" fontId="5" fillId="15" borderId="176" xfId="3" quotePrefix="1" applyNumberFormat="1" applyFont="1" applyFill="1" applyBorder="1" applyAlignment="1">
      <alignment horizontal="center" vertical="center"/>
    </xf>
    <xf numFmtId="177" fontId="5" fillId="0" borderId="171" xfId="3" quotePrefix="1" applyNumberFormat="1" applyFont="1" applyBorder="1" applyAlignment="1">
      <alignment horizontal="left" vertical="top"/>
    </xf>
    <xf numFmtId="177" fontId="5" fillId="0" borderId="33" xfId="3" quotePrefix="1" applyNumberFormat="1" applyFont="1" applyBorder="1" applyAlignment="1">
      <alignment horizontal="left" vertical="top"/>
    </xf>
    <xf numFmtId="0" fontId="16" fillId="7" borderId="247" xfId="3" applyFont="1" applyFill="1" applyBorder="1" applyAlignment="1">
      <alignment horizontal="center" vertical="center" wrapText="1"/>
    </xf>
    <xf numFmtId="0" fontId="16" fillId="7" borderId="225" xfId="3" applyFont="1" applyFill="1" applyBorder="1" applyAlignment="1">
      <alignment horizontal="center" vertical="center" wrapText="1"/>
    </xf>
    <xf numFmtId="0" fontId="16" fillId="7" borderId="14" xfId="3" applyFont="1" applyFill="1" applyBorder="1" applyAlignment="1">
      <alignment horizontal="center" vertical="center" wrapText="1"/>
    </xf>
    <xf numFmtId="0" fontId="16" fillId="7" borderId="22" xfId="3" applyFont="1" applyFill="1" applyBorder="1" applyAlignment="1">
      <alignment horizontal="center" vertical="center" wrapText="1"/>
    </xf>
    <xf numFmtId="0" fontId="16" fillId="7" borderId="15" xfId="3" quotePrefix="1" applyFont="1" applyFill="1" applyBorder="1" applyAlignment="1">
      <alignment horizontal="center" vertical="center" wrapText="1"/>
    </xf>
    <xf numFmtId="0" fontId="16" fillId="7" borderId="23" xfId="3" quotePrefix="1" applyFont="1" applyFill="1" applyBorder="1" applyAlignment="1">
      <alignment horizontal="center" vertical="center" wrapText="1"/>
    </xf>
    <xf numFmtId="0" fontId="15" fillId="9" borderId="248" xfId="3" applyFont="1" applyFill="1" applyBorder="1" applyAlignment="1">
      <alignment horizontal="center" vertical="center" wrapText="1"/>
    </xf>
    <xf numFmtId="0" fontId="15" fillId="9" borderId="253" xfId="3" applyFont="1" applyFill="1" applyBorder="1" applyAlignment="1">
      <alignment horizontal="center" vertical="center" wrapText="1"/>
    </xf>
    <xf numFmtId="0" fontId="16" fillId="7" borderId="210" xfId="3" applyFont="1" applyFill="1" applyBorder="1" applyAlignment="1">
      <alignment horizontal="center" vertical="center"/>
    </xf>
    <xf numFmtId="0" fontId="16" fillId="7" borderId="211" xfId="3" applyFont="1" applyFill="1" applyBorder="1" applyAlignment="1">
      <alignment horizontal="center" vertical="center"/>
    </xf>
    <xf numFmtId="0" fontId="16" fillId="7" borderId="212" xfId="3" applyFont="1" applyFill="1" applyBorder="1" applyAlignment="1">
      <alignment horizontal="center" vertical="center"/>
    </xf>
    <xf numFmtId="0" fontId="4" fillId="6" borderId="156" xfId="3" applyFont="1" applyFill="1" applyBorder="1" applyAlignment="1">
      <alignment horizontal="center" vertical="center"/>
    </xf>
    <xf numFmtId="0" fontId="4" fillId="6" borderId="6" xfId="3" applyFont="1" applyFill="1" applyBorder="1" applyAlignment="1">
      <alignment horizontal="center" vertical="center"/>
    </xf>
    <xf numFmtId="0" fontId="4" fillId="6" borderId="7" xfId="3" applyFont="1" applyFill="1" applyBorder="1" applyAlignment="1">
      <alignment horizontal="center" vertical="center"/>
    </xf>
    <xf numFmtId="0" fontId="4" fillId="6" borderId="8" xfId="3" applyFont="1" applyFill="1" applyBorder="1" applyAlignment="1">
      <alignment horizontal="center" vertical="center"/>
    </xf>
    <xf numFmtId="177" fontId="5" fillId="21" borderId="54" xfId="0" quotePrefix="1" applyNumberFormat="1" applyFont="1" applyFill="1" applyBorder="1" applyAlignment="1">
      <alignment horizontal="left" vertical="top" wrapText="1"/>
    </xf>
    <xf numFmtId="177" fontId="5" fillId="21" borderId="44" xfId="0" quotePrefix="1" applyNumberFormat="1" applyFont="1" applyFill="1" applyBorder="1" applyAlignment="1">
      <alignment horizontal="left" vertical="top" wrapText="1"/>
    </xf>
    <xf numFmtId="177" fontId="5" fillId="21" borderId="75" xfId="0" quotePrefix="1" applyNumberFormat="1" applyFont="1" applyFill="1" applyBorder="1" applyAlignment="1">
      <alignment horizontal="left" vertical="top" wrapText="1"/>
    </xf>
    <xf numFmtId="0" fontId="21" fillId="0" borderId="91" xfId="0" applyFont="1" applyBorder="1" applyAlignment="1">
      <alignment horizontal="left" vertical="center" wrapText="1"/>
    </xf>
    <xf numFmtId="177" fontId="5" fillId="21" borderId="35" xfId="0" quotePrefix="1" applyNumberFormat="1" applyFont="1" applyFill="1" applyBorder="1" applyAlignment="1">
      <alignment horizontal="left" vertical="top" wrapText="1"/>
    </xf>
    <xf numFmtId="0" fontId="5" fillId="21" borderId="35" xfId="0" quotePrefix="1" applyFont="1" applyFill="1" applyBorder="1" applyAlignment="1">
      <alignment horizontal="left" vertical="top" wrapText="1"/>
    </xf>
    <xf numFmtId="0" fontId="5" fillId="21" borderId="44" xfId="0" applyFont="1" applyFill="1" applyBorder="1" applyAlignment="1">
      <alignment horizontal="left" vertical="top" wrapText="1"/>
    </xf>
    <xf numFmtId="0" fontId="5" fillId="21" borderId="75" xfId="0" applyFont="1" applyFill="1" applyBorder="1" applyAlignment="1">
      <alignment horizontal="left" vertical="top" wrapText="1"/>
    </xf>
    <xf numFmtId="177" fontId="11" fillId="45" borderId="54" xfId="0" quotePrefix="1" applyNumberFormat="1" applyFont="1" applyFill="1" applyBorder="1" applyAlignment="1">
      <alignment horizontal="left" vertical="top" wrapText="1"/>
    </xf>
    <xf numFmtId="177" fontId="11" fillId="45" borderId="37" xfId="0" quotePrefix="1" applyNumberFormat="1" applyFont="1" applyFill="1" applyBorder="1" applyAlignment="1">
      <alignment horizontal="left" vertical="top" wrapText="1"/>
    </xf>
    <xf numFmtId="0" fontId="16" fillId="7" borderId="247" xfId="0" applyFont="1" applyFill="1" applyBorder="1" applyAlignment="1">
      <alignment horizontal="center" vertical="center" wrapText="1"/>
    </xf>
    <xf numFmtId="0" fontId="16" fillId="7" borderId="225" xfId="0" applyFont="1" applyFill="1" applyBorder="1" applyAlignment="1">
      <alignment horizontal="center" vertical="center" wrapText="1"/>
    </xf>
    <xf numFmtId="0" fontId="16" fillId="7" borderId="15" xfId="0" quotePrefix="1" applyFont="1" applyFill="1" applyBorder="1" applyAlignment="1">
      <alignment horizontal="center" vertical="center" wrapText="1"/>
    </xf>
    <xf numFmtId="0" fontId="16" fillId="7" borderId="23" xfId="0" quotePrefix="1" applyFont="1" applyFill="1" applyBorder="1" applyAlignment="1">
      <alignment horizontal="center" vertical="center" wrapText="1"/>
    </xf>
    <xf numFmtId="0" fontId="15" fillId="9" borderId="248" xfId="0" applyFont="1" applyFill="1" applyBorder="1" applyAlignment="1">
      <alignment horizontal="center" vertical="center" wrapText="1"/>
    </xf>
    <xf numFmtId="0" fontId="15" fillId="9" borderId="253" xfId="0" applyFont="1" applyFill="1" applyBorder="1" applyAlignment="1">
      <alignment horizontal="center" vertical="center" wrapText="1"/>
    </xf>
  </cellXfs>
  <cellStyles count="9">
    <cellStyle name="Comma" xfId="4" xr:uid="{7BB1B4B4-DA93-489C-98B5-A2388D824A13}"/>
    <cellStyle name="Normal 6" xfId="3" xr:uid="{56E892D1-11FC-4719-AEC4-1515452FB1E9}"/>
    <cellStyle name="Percent" xfId="8" xr:uid="{0B8C9FC8-22E9-431A-8981-7648BB282154}"/>
    <cellStyle name="백분율 2" xfId="5" xr:uid="{8CE59A28-4591-4CD4-ACA1-CCC5FCA78F67}"/>
    <cellStyle name="쉼표 [0]" xfId="1" builtinId="6"/>
    <cellStyle name="쉼표 2" xfId="6" xr:uid="{B1BC2F02-C05F-4F9C-9C57-DA34E6A10E11}"/>
    <cellStyle name="쉼표 3" xfId="7" xr:uid="{706F1317-B310-4C02-B8F2-2D106B7E6B2E}"/>
    <cellStyle name="표준" xfId="0" builtinId="0"/>
    <cellStyle name="표준 55" xfId="2" xr:uid="{7593BF20-18A9-45BD-B462-1CD9286C118F}"/>
  </cellStyles>
  <dxfs count="294">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
      <font>
        <b/>
        <i val="0"/>
        <color rgb="FFC00000"/>
      </font>
      <fill>
        <patternFill>
          <bgColor rgb="FFFFE7F5"/>
        </patternFill>
      </fill>
    </dxf>
  </dxfs>
  <tableStyles count="0" defaultTableStyle="TableStyleMedium2" defaultPivotStyle="PivotStyleLight16"/>
  <colors>
    <mruColors>
      <color rgb="FFFFCC66"/>
      <color rgb="FF13EC08"/>
      <color rgb="FFA39382"/>
      <color rgb="FF75FF29"/>
      <color rgb="FFA9EB3D"/>
      <color rgb="FF99FF99"/>
      <color rgb="FF0066FF"/>
      <color rgb="FF66FFFF"/>
      <color rgb="FFFFE7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6.svg"/><Relationship Id="rId2" Type="http://schemas.openxmlformats.org/officeDocument/2006/relationships/image" Target="../media/image5.png"/><Relationship Id="rId1" Type="http://schemas.openxmlformats.org/officeDocument/2006/relationships/hyperlink" Target="#Intro!A1"/></Relationships>
</file>

<file path=xl/drawings/_rels/drawing6.xml.rels><?xml version="1.0" encoding="UTF-8" standalone="yes"?>
<Relationships xmlns="http://schemas.openxmlformats.org/package/2006/relationships"><Relationship Id="rId3" Type="http://schemas.openxmlformats.org/officeDocument/2006/relationships/image" Target="../media/image6.svg"/><Relationship Id="rId2" Type="http://schemas.openxmlformats.org/officeDocument/2006/relationships/image" Target="../media/image5.png"/><Relationship Id="rId1" Type="http://schemas.openxmlformats.org/officeDocument/2006/relationships/hyperlink" Target="#Intro!A1"/></Relationships>
</file>

<file path=xl/drawings/_rels/drawing7.xml.rels><?xml version="1.0" encoding="UTF-8" standalone="yes"?>
<Relationships xmlns="http://schemas.openxmlformats.org/package/2006/relationships"><Relationship Id="rId3" Type="http://schemas.openxmlformats.org/officeDocument/2006/relationships/image" Target="../media/image6.svg"/><Relationship Id="rId2" Type="http://schemas.openxmlformats.org/officeDocument/2006/relationships/image" Target="../media/image5.png"/><Relationship Id="rId1" Type="http://schemas.openxmlformats.org/officeDocument/2006/relationships/hyperlink" Target="#Intro!A1"/></Relationships>
</file>

<file path=xl/drawings/_rels/drawing8.xml.rels><?xml version="1.0" encoding="UTF-8" standalone="yes"?>
<Relationships xmlns="http://schemas.openxmlformats.org/package/2006/relationships"><Relationship Id="rId3" Type="http://schemas.openxmlformats.org/officeDocument/2006/relationships/image" Target="../media/image6.svg"/><Relationship Id="rId2" Type="http://schemas.openxmlformats.org/officeDocument/2006/relationships/image" Target="../media/image5.png"/><Relationship Id="rId1" Type="http://schemas.openxmlformats.org/officeDocument/2006/relationships/hyperlink" Target="#Intro!A1"/></Relationships>
</file>

<file path=xl/drawings/_rels/drawing9.xml.rels><?xml version="1.0" encoding="UTF-8" standalone="yes"?>
<Relationships xmlns="http://schemas.openxmlformats.org/package/2006/relationships"><Relationship Id="rId3" Type="http://schemas.openxmlformats.org/officeDocument/2006/relationships/image" Target="../media/image6.svg"/><Relationship Id="rId2" Type="http://schemas.openxmlformats.org/officeDocument/2006/relationships/image" Target="../media/image5.png"/><Relationship Id="rId1" Type="http://schemas.openxmlformats.org/officeDocument/2006/relationships/hyperlink" Target="#Intro!A1"/></Relationships>
</file>

<file path=xl/drawings/drawing1.xml><?xml version="1.0" encoding="utf-8"?>
<xdr:wsDr xmlns:xdr="http://schemas.openxmlformats.org/drawingml/2006/spreadsheetDrawing" xmlns:a="http://schemas.openxmlformats.org/drawingml/2006/main">
  <xdr:twoCellAnchor editAs="oneCell">
    <xdr:from>
      <xdr:col>1</xdr:col>
      <xdr:colOff>11206</xdr:colOff>
      <xdr:row>0</xdr:row>
      <xdr:rowOff>0</xdr:rowOff>
    </xdr:from>
    <xdr:to>
      <xdr:col>11</xdr:col>
      <xdr:colOff>190500</xdr:colOff>
      <xdr:row>40</xdr:row>
      <xdr:rowOff>22676</xdr:rowOff>
    </xdr:to>
    <xdr:pic>
      <xdr:nvPicPr>
        <xdr:cNvPr id="2" name="그림 1">
          <a:extLst>
            <a:ext uri="{FF2B5EF4-FFF2-40B4-BE49-F238E27FC236}">
              <a16:creationId xmlns:a16="http://schemas.microsoft.com/office/drawing/2014/main" id="{7F9CC456-0754-0647-F5B8-7E44362DEC4F}"/>
            </a:ext>
          </a:extLst>
        </xdr:cNvPr>
        <xdr:cNvPicPr>
          <a:picLocks noChangeAspect="1"/>
        </xdr:cNvPicPr>
      </xdr:nvPicPr>
      <xdr:blipFill>
        <a:blip xmlns:r="http://schemas.openxmlformats.org/officeDocument/2006/relationships" r:embed="rId1"/>
        <a:stretch>
          <a:fillRect/>
        </a:stretch>
      </xdr:blipFill>
      <xdr:spPr>
        <a:xfrm>
          <a:off x="112059" y="0"/>
          <a:ext cx="10914529" cy="6746205"/>
        </a:xfrm>
        <a:prstGeom prst="rect">
          <a:avLst/>
        </a:prstGeom>
        <a:ln w="38100">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2</xdr:row>
      <xdr:rowOff>28575</xdr:rowOff>
    </xdr:from>
    <xdr:to>
      <xdr:col>15</xdr:col>
      <xdr:colOff>141573</xdr:colOff>
      <xdr:row>12</xdr:row>
      <xdr:rowOff>47361</xdr:rowOff>
    </xdr:to>
    <xdr:pic>
      <xdr:nvPicPr>
        <xdr:cNvPr id="3" name="그림 2">
          <a:extLst>
            <a:ext uri="{FF2B5EF4-FFF2-40B4-BE49-F238E27FC236}">
              <a16:creationId xmlns:a16="http://schemas.microsoft.com/office/drawing/2014/main" id="{C29A5E8D-E1D9-AEEC-1291-DCA6E14F5CE4}"/>
            </a:ext>
          </a:extLst>
        </xdr:cNvPr>
        <xdr:cNvPicPr>
          <a:picLocks noChangeAspect="1"/>
        </xdr:cNvPicPr>
      </xdr:nvPicPr>
      <xdr:blipFill>
        <a:blip xmlns:r="http://schemas.openxmlformats.org/officeDocument/2006/relationships" r:embed="rId1"/>
        <a:stretch>
          <a:fillRect/>
        </a:stretch>
      </xdr:blipFill>
      <xdr:spPr>
        <a:xfrm>
          <a:off x="9525" y="447675"/>
          <a:ext cx="10419048" cy="2114286"/>
        </a:xfrm>
        <a:prstGeom prst="rect">
          <a:avLst/>
        </a:prstGeom>
        <a:ln>
          <a:solidFill>
            <a:sysClr val="windowText" lastClr="000000"/>
          </a:solidFill>
        </a:ln>
      </xdr:spPr>
    </xdr:pic>
    <xdr:clientData/>
  </xdr:twoCellAnchor>
  <xdr:twoCellAnchor editAs="oneCell">
    <xdr:from>
      <xdr:col>0</xdr:col>
      <xdr:colOff>0</xdr:colOff>
      <xdr:row>15</xdr:row>
      <xdr:rowOff>0</xdr:rowOff>
    </xdr:from>
    <xdr:to>
      <xdr:col>12</xdr:col>
      <xdr:colOff>46590</xdr:colOff>
      <xdr:row>24</xdr:row>
      <xdr:rowOff>18812</xdr:rowOff>
    </xdr:to>
    <xdr:pic>
      <xdr:nvPicPr>
        <xdr:cNvPr id="4" name="그림 3">
          <a:extLst>
            <a:ext uri="{FF2B5EF4-FFF2-40B4-BE49-F238E27FC236}">
              <a16:creationId xmlns:a16="http://schemas.microsoft.com/office/drawing/2014/main" id="{51AC68B8-2984-DE07-E8E3-7EA924FDC5D3}"/>
            </a:ext>
          </a:extLst>
        </xdr:cNvPr>
        <xdr:cNvPicPr>
          <a:picLocks noChangeAspect="1"/>
        </xdr:cNvPicPr>
      </xdr:nvPicPr>
      <xdr:blipFill>
        <a:blip xmlns:r="http://schemas.openxmlformats.org/officeDocument/2006/relationships" r:embed="rId2"/>
        <a:stretch>
          <a:fillRect/>
        </a:stretch>
      </xdr:blipFill>
      <xdr:spPr>
        <a:xfrm>
          <a:off x="0" y="3143250"/>
          <a:ext cx="8276190" cy="1904762"/>
        </a:xfrm>
        <a:prstGeom prst="rect">
          <a:avLst/>
        </a:prstGeom>
        <a:ln>
          <a:solidFill>
            <a:sysClr val="windowText" lastClr="000000"/>
          </a:solidFill>
        </a:ln>
      </xdr:spPr>
    </xdr:pic>
    <xdr:clientData/>
  </xdr:twoCellAnchor>
  <xdr:twoCellAnchor editAs="oneCell">
    <xdr:from>
      <xdr:col>0</xdr:col>
      <xdr:colOff>0</xdr:colOff>
      <xdr:row>27</xdr:row>
      <xdr:rowOff>38100</xdr:rowOff>
    </xdr:from>
    <xdr:to>
      <xdr:col>17</xdr:col>
      <xdr:colOff>617590</xdr:colOff>
      <xdr:row>35</xdr:row>
      <xdr:rowOff>180748</xdr:rowOff>
    </xdr:to>
    <xdr:pic>
      <xdr:nvPicPr>
        <xdr:cNvPr id="5" name="그림 4">
          <a:extLst>
            <a:ext uri="{FF2B5EF4-FFF2-40B4-BE49-F238E27FC236}">
              <a16:creationId xmlns:a16="http://schemas.microsoft.com/office/drawing/2014/main" id="{8777A523-BB98-5CA6-2A1A-F5FAEAC3C682}"/>
            </a:ext>
          </a:extLst>
        </xdr:cNvPr>
        <xdr:cNvPicPr>
          <a:picLocks noChangeAspect="1"/>
        </xdr:cNvPicPr>
      </xdr:nvPicPr>
      <xdr:blipFill>
        <a:blip xmlns:r="http://schemas.openxmlformats.org/officeDocument/2006/relationships" r:embed="rId3"/>
        <a:stretch>
          <a:fillRect/>
        </a:stretch>
      </xdr:blipFill>
      <xdr:spPr>
        <a:xfrm>
          <a:off x="0" y="5695950"/>
          <a:ext cx="12276190" cy="1819048"/>
        </a:xfrm>
        <a:prstGeom prst="rect">
          <a:avLst/>
        </a:prstGeom>
        <a:ln>
          <a:solidFill>
            <a:sysClr val="windowText" lastClr="000000"/>
          </a:solid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50</xdr:col>
      <xdr:colOff>11206</xdr:colOff>
      <xdr:row>125</xdr:row>
      <xdr:rowOff>22412</xdr:rowOff>
    </xdr:from>
    <xdr:ext cx="1486112" cy="824072"/>
    <xdr:sp macro="" textlink="">
      <xdr:nvSpPr>
        <xdr:cNvPr id="2" name="TextBox 1">
          <a:extLst>
            <a:ext uri="{FF2B5EF4-FFF2-40B4-BE49-F238E27FC236}">
              <a16:creationId xmlns:a16="http://schemas.microsoft.com/office/drawing/2014/main" id="{49F4B7DC-1123-4A87-99FC-234A97A64E37}"/>
            </a:ext>
          </a:extLst>
        </xdr:cNvPr>
        <xdr:cNvSpPr txBox="1"/>
      </xdr:nvSpPr>
      <xdr:spPr>
        <a:xfrm>
          <a:off x="39675211" y="17096927"/>
          <a:ext cx="1486112" cy="824072"/>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ko-KR" altLang="en-US" sz="1100">
              <a:latin typeface="CJ ONLYONE NEW 제목 Bold" panose="00000800000000000000" pitchFamily="2" charset="-127"/>
              <a:ea typeface="CJ ONLYONE NEW 제목 Bold" panose="00000800000000000000" pitchFamily="2" charset="-127"/>
            </a:rPr>
            <a:t>▶</a:t>
          </a:r>
          <a:r>
            <a:rPr lang="ko-KR" altLang="en-US" sz="1100"/>
            <a:t>안전경영담당에서 </a:t>
          </a:r>
          <a:endParaRPr lang="en-US" altLang="ko-KR" sz="1100"/>
        </a:p>
        <a:p>
          <a:r>
            <a:rPr lang="ko-KR" altLang="en-US" sz="1100"/>
            <a:t>용수사용량 </a:t>
          </a:r>
          <a:endParaRPr lang="en-US" altLang="ko-KR" sz="1100"/>
        </a:p>
        <a:p>
          <a:r>
            <a:rPr lang="ko-KR" altLang="en-US" sz="1100"/>
            <a:t>취합하지 않음</a:t>
          </a:r>
        </a:p>
      </xdr:txBody>
    </xdr:sp>
    <xdr:clientData/>
  </xdr:oneCellAnchor>
  <xdr:twoCellAnchor>
    <xdr:from>
      <xdr:col>50</xdr:col>
      <xdr:colOff>0</xdr:colOff>
      <xdr:row>334</xdr:row>
      <xdr:rowOff>0</xdr:rowOff>
    </xdr:from>
    <xdr:to>
      <xdr:col>51</xdr:col>
      <xdr:colOff>589592</xdr:colOff>
      <xdr:row>337</xdr:row>
      <xdr:rowOff>91023</xdr:rowOff>
    </xdr:to>
    <xdr:sp macro="" textlink="">
      <xdr:nvSpPr>
        <xdr:cNvPr id="3" name="TextBox 2">
          <a:extLst>
            <a:ext uri="{FF2B5EF4-FFF2-40B4-BE49-F238E27FC236}">
              <a16:creationId xmlns:a16="http://schemas.microsoft.com/office/drawing/2014/main" id="{3C77B664-6D81-46E0-849E-E7E4EE29FCDF}"/>
            </a:ext>
          </a:extLst>
        </xdr:cNvPr>
        <xdr:cNvSpPr txBox="1"/>
      </xdr:nvSpPr>
      <xdr:spPr>
        <a:xfrm>
          <a:off x="39662100" y="43272075"/>
          <a:ext cx="2117402" cy="837783"/>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ko-KR" altLang="en-US" sz="1100">
              <a:latin typeface="CJ ONLYONE NEW 제목 Bold" panose="00000800000000000000" pitchFamily="2" charset="-127"/>
              <a:ea typeface="CJ ONLYONE NEW 제목 Bold" panose="00000800000000000000" pitchFamily="2" charset="-127"/>
            </a:rPr>
            <a:t>▶</a:t>
          </a:r>
          <a:r>
            <a:rPr lang="ko-KR" altLang="en-US" sz="1100"/>
            <a:t>안전경영담당에서 </a:t>
          </a:r>
          <a:endParaRPr lang="en-US" altLang="ko-KR" sz="1100"/>
        </a:p>
        <a:p>
          <a:r>
            <a:rPr lang="ko-KR" altLang="en-US" sz="1100"/>
            <a:t>고객상해 취합하지 않음</a:t>
          </a:r>
          <a:endParaRPr lang="en-US" altLang="ko-KR" sz="1100"/>
        </a:p>
        <a:p>
          <a:r>
            <a:rPr lang="en-US" altLang="ko-KR" sz="1100"/>
            <a:t>&gt;&gt; </a:t>
          </a:r>
          <a:r>
            <a:rPr lang="ko-KR" altLang="en-US" sz="1100"/>
            <a:t>고객관리 담당부서에 확인要</a:t>
          </a:r>
        </a:p>
      </xdr:txBody>
    </xdr:sp>
    <xdr:clientData/>
  </xdr:twoCellAnchor>
  <xdr:twoCellAnchor>
    <xdr:from>
      <xdr:col>50</xdr:col>
      <xdr:colOff>0</xdr:colOff>
      <xdr:row>350</xdr:row>
      <xdr:rowOff>0</xdr:rowOff>
    </xdr:from>
    <xdr:to>
      <xdr:col>51</xdr:col>
      <xdr:colOff>589592</xdr:colOff>
      <xdr:row>353</xdr:row>
      <xdr:rowOff>91024</xdr:rowOff>
    </xdr:to>
    <xdr:sp macro="" textlink="">
      <xdr:nvSpPr>
        <xdr:cNvPr id="4" name="TextBox 3">
          <a:extLst>
            <a:ext uri="{FF2B5EF4-FFF2-40B4-BE49-F238E27FC236}">
              <a16:creationId xmlns:a16="http://schemas.microsoft.com/office/drawing/2014/main" id="{BA2EEDD1-8661-4260-9B46-1835080308BF}"/>
            </a:ext>
          </a:extLst>
        </xdr:cNvPr>
        <xdr:cNvSpPr txBox="1"/>
      </xdr:nvSpPr>
      <xdr:spPr>
        <a:xfrm>
          <a:off x="39662100" y="46739175"/>
          <a:ext cx="2117402" cy="495300"/>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ko-KR" altLang="en-US" sz="1100">
              <a:latin typeface="CJ ONLYONE NEW 제목 Bold" panose="00000800000000000000" pitchFamily="2" charset="-127"/>
              <a:ea typeface="CJ ONLYONE NEW 제목 Bold" panose="00000800000000000000" pitchFamily="2" charset="-127"/>
            </a:rPr>
            <a:t>▶</a:t>
          </a:r>
          <a:r>
            <a:rPr lang="ko-KR" altLang="en-US" sz="1100"/>
            <a:t>안전경영담당에서 </a:t>
          </a:r>
          <a:endParaRPr lang="en-US" altLang="ko-KR" sz="1100"/>
        </a:p>
        <a:p>
          <a:r>
            <a:rPr lang="ko-KR" altLang="en-US" sz="1100"/>
            <a:t>직원 건강문제 확인어려움</a:t>
          </a:r>
          <a:endParaRPr lang="en-US" altLang="ko-KR" sz="1100"/>
        </a:p>
        <a:p>
          <a:r>
            <a:rPr lang="en-US" altLang="ko-KR" sz="1100"/>
            <a:t>&gt;&gt; </a:t>
          </a:r>
          <a:r>
            <a:rPr lang="ko-KR" altLang="en-US" sz="1100"/>
            <a:t>건강검진 담당부서에 확인要</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27</xdr:col>
      <xdr:colOff>11206</xdr:colOff>
      <xdr:row>125</xdr:row>
      <xdr:rowOff>22412</xdr:rowOff>
    </xdr:from>
    <xdr:ext cx="1486112" cy="824072"/>
    <xdr:sp macro="" textlink="">
      <xdr:nvSpPr>
        <xdr:cNvPr id="2" name="TextBox 1">
          <a:extLst>
            <a:ext uri="{FF2B5EF4-FFF2-40B4-BE49-F238E27FC236}">
              <a16:creationId xmlns:a16="http://schemas.microsoft.com/office/drawing/2014/main" id="{292FED71-7231-4C09-93FD-A0CB02FEFB17}"/>
            </a:ext>
          </a:extLst>
        </xdr:cNvPr>
        <xdr:cNvSpPr txBox="1"/>
      </xdr:nvSpPr>
      <xdr:spPr>
        <a:xfrm>
          <a:off x="21795441" y="13850471"/>
          <a:ext cx="1486112" cy="824072"/>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ko-KR" altLang="en-US" sz="1100">
              <a:latin typeface="CJ ONLYONE NEW 제목 Bold" panose="00000800000000000000" pitchFamily="2" charset="-127"/>
              <a:ea typeface="CJ ONLYONE NEW 제목 Bold" panose="00000800000000000000" pitchFamily="2" charset="-127"/>
            </a:rPr>
            <a:t>▶</a:t>
          </a:r>
          <a:r>
            <a:rPr lang="ko-KR" altLang="en-US" sz="1100"/>
            <a:t>안전경영담당에서 </a:t>
          </a:r>
          <a:endParaRPr lang="en-US" altLang="ko-KR" sz="1100"/>
        </a:p>
        <a:p>
          <a:r>
            <a:rPr lang="ko-KR" altLang="en-US" sz="1100"/>
            <a:t>용수사용량 </a:t>
          </a:r>
          <a:endParaRPr lang="en-US" altLang="ko-KR" sz="1100"/>
        </a:p>
        <a:p>
          <a:r>
            <a:rPr lang="ko-KR" altLang="en-US" sz="1100"/>
            <a:t>취합하지 않음</a:t>
          </a:r>
        </a:p>
      </xdr:txBody>
    </xdr:sp>
    <xdr:clientData/>
  </xdr:oneCellAnchor>
  <xdr:twoCellAnchor>
    <xdr:from>
      <xdr:col>27</xdr:col>
      <xdr:colOff>0</xdr:colOff>
      <xdr:row>334</xdr:row>
      <xdr:rowOff>0</xdr:rowOff>
    </xdr:from>
    <xdr:to>
      <xdr:col>28</xdr:col>
      <xdr:colOff>589592</xdr:colOff>
      <xdr:row>337</xdr:row>
      <xdr:rowOff>91023</xdr:rowOff>
    </xdr:to>
    <xdr:sp macro="" textlink="">
      <xdr:nvSpPr>
        <xdr:cNvPr id="3" name="TextBox 2">
          <a:extLst>
            <a:ext uri="{FF2B5EF4-FFF2-40B4-BE49-F238E27FC236}">
              <a16:creationId xmlns:a16="http://schemas.microsoft.com/office/drawing/2014/main" id="{B232B82F-C84C-47D1-AD49-D5A6FB33DF08}"/>
            </a:ext>
          </a:extLst>
        </xdr:cNvPr>
        <xdr:cNvSpPr txBox="1"/>
      </xdr:nvSpPr>
      <xdr:spPr>
        <a:xfrm>
          <a:off x="21784235" y="19957676"/>
          <a:ext cx="2113592" cy="830612"/>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ko-KR" altLang="en-US" sz="1100">
              <a:latin typeface="CJ ONLYONE NEW 제목 Bold" panose="00000800000000000000" pitchFamily="2" charset="-127"/>
              <a:ea typeface="CJ ONLYONE NEW 제목 Bold" panose="00000800000000000000" pitchFamily="2" charset="-127"/>
            </a:rPr>
            <a:t>▶</a:t>
          </a:r>
          <a:r>
            <a:rPr lang="ko-KR" altLang="en-US" sz="1100"/>
            <a:t>안전경영담당에서 </a:t>
          </a:r>
          <a:endParaRPr lang="en-US" altLang="ko-KR" sz="1100"/>
        </a:p>
        <a:p>
          <a:r>
            <a:rPr lang="ko-KR" altLang="en-US" sz="1100"/>
            <a:t>고객상해 취합하지 않음</a:t>
          </a:r>
          <a:endParaRPr lang="en-US" altLang="ko-KR" sz="1100"/>
        </a:p>
        <a:p>
          <a:r>
            <a:rPr lang="en-US" altLang="ko-KR" sz="1100"/>
            <a:t>&gt;&gt; </a:t>
          </a:r>
          <a:r>
            <a:rPr lang="ko-KR" altLang="en-US" sz="1100"/>
            <a:t>고객관리 담당부서에 확인要</a:t>
          </a:r>
        </a:p>
      </xdr:txBody>
    </xdr:sp>
    <xdr:clientData/>
  </xdr:twoCellAnchor>
  <xdr:twoCellAnchor>
    <xdr:from>
      <xdr:col>27</xdr:col>
      <xdr:colOff>0</xdr:colOff>
      <xdr:row>350</xdr:row>
      <xdr:rowOff>0</xdr:rowOff>
    </xdr:from>
    <xdr:to>
      <xdr:col>28</xdr:col>
      <xdr:colOff>589592</xdr:colOff>
      <xdr:row>353</xdr:row>
      <xdr:rowOff>91024</xdr:rowOff>
    </xdr:to>
    <xdr:sp macro="" textlink="">
      <xdr:nvSpPr>
        <xdr:cNvPr id="4" name="TextBox 3">
          <a:extLst>
            <a:ext uri="{FF2B5EF4-FFF2-40B4-BE49-F238E27FC236}">
              <a16:creationId xmlns:a16="http://schemas.microsoft.com/office/drawing/2014/main" id="{0110B6A6-D13C-43E9-AAC7-05BAD241778F}"/>
            </a:ext>
          </a:extLst>
        </xdr:cNvPr>
        <xdr:cNvSpPr txBox="1"/>
      </xdr:nvSpPr>
      <xdr:spPr>
        <a:xfrm>
          <a:off x="21784235" y="23655618"/>
          <a:ext cx="2113592" cy="830612"/>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ko-KR" altLang="en-US" sz="1100">
              <a:latin typeface="CJ ONLYONE NEW 제목 Bold" panose="00000800000000000000" pitchFamily="2" charset="-127"/>
              <a:ea typeface="CJ ONLYONE NEW 제목 Bold" panose="00000800000000000000" pitchFamily="2" charset="-127"/>
            </a:rPr>
            <a:t>▶</a:t>
          </a:r>
          <a:r>
            <a:rPr lang="ko-KR" altLang="en-US" sz="1100"/>
            <a:t>안전경영담당에서 </a:t>
          </a:r>
          <a:endParaRPr lang="en-US" altLang="ko-KR" sz="1100"/>
        </a:p>
        <a:p>
          <a:r>
            <a:rPr lang="ko-KR" altLang="en-US" sz="1100"/>
            <a:t>직원 건강문제 확인어려움</a:t>
          </a:r>
          <a:endParaRPr lang="en-US" altLang="ko-KR" sz="1100"/>
        </a:p>
        <a:p>
          <a:r>
            <a:rPr lang="en-US" altLang="ko-KR" sz="1100"/>
            <a:t>&gt;&gt; </a:t>
          </a:r>
          <a:r>
            <a:rPr lang="ko-KR" altLang="en-US" sz="1100"/>
            <a:t>건강검진 담당부서에 확인要</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7</xdr:col>
      <xdr:colOff>595175</xdr:colOff>
      <xdr:row>0</xdr:row>
      <xdr:rowOff>168155</xdr:rowOff>
    </xdr:from>
    <xdr:ext cx="493109" cy="502560"/>
    <xdr:pic>
      <xdr:nvPicPr>
        <xdr:cNvPr id="2" name="그래픽 4" descr="주택 단색으로 채워진">
          <a:hlinkClick xmlns:r="http://schemas.openxmlformats.org/officeDocument/2006/relationships" r:id="rId1"/>
          <a:extLst>
            <a:ext uri="{FF2B5EF4-FFF2-40B4-BE49-F238E27FC236}">
              <a16:creationId xmlns:a16="http://schemas.microsoft.com/office/drawing/2014/main" id="{674E7986-CC10-4E6D-8754-9AA6AF5188EE}"/>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6657975" y="171965"/>
          <a:ext cx="493109" cy="502560"/>
        </a:xfrm>
        <a:prstGeom prst="rect">
          <a:avLst/>
        </a:prstGeom>
      </xdr:spPr>
    </xdr:pic>
    <xdr:clientData/>
  </xdr:oneCellAnchor>
  <xdr:oneCellAnchor>
    <xdr:from>
      <xdr:col>7</xdr:col>
      <xdr:colOff>595175</xdr:colOff>
      <xdr:row>0</xdr:row>
      <xdr:rowOff>168155</xdr:rowOff>
    </xdr:from>
    <xdr:ext cx="493109" cy="502560"/>
    <xdr:pic>
      <xdr:nvPicPr>
        <xdr:cNvPr id="3" name="그래픽 4" descr="주택 단색으로 채워진">
          <a:hlinkClick xmlns:r="http://schemas.openxmlformats.org/officeDocument/2006/relationships" r:id="rId1"/>
          <a:extLst>
            <a:ext uri="{FF2B5EF4-FFF2-40B4-BE49-F238E27FC236}">
              <a16:creationId xmlns:a16="http://schemas.microsoft.com/office/drawing/2014/main" id="{8774A35A-F85D-41B1-8CD5-ACA6BD78709A}"/>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6657975" y="171965"/>
          <a:ext cx="493109" cy="50256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22690</xdr:colOff>
      <xdr:row>1</xdr:row>
      <xdr:rowOff>0</xdr:rowOff>
    </xdr:from>
    <xdr:ext cx="493109" cy="502560"/>
    <xdr:pic>
      <xdr:nvPicPr>
        <xdr:cNvPr id="2" name="그래픽 4" descr="주택 단색으로 채워진">
          <a:hlinkClick xmlns:r="http://schemas.openxmlformats.org/officeDocument/2006/relationships" r:id="rId1"/>
          <a:extLst>
            <a:ext uri="{FF2B5EF4-FFF2-40B4-BE49-F238E27FC236}">
              <a16:creationId xmlns:a16="http://schemas.microsoft.com/office/drawing/2014/main" id="{A2638398-8B32-4AAF-A983-E9B8908119B4}"/>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52230" y="66675"/>
          <a:ext cx="493109" cy="50256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22690</xdr:colOff>
      <xdr:row>1</xdr:row>
      <xdr:rowOff>0</xdr:rowOff>
    </xdr:from>
    <xdr:ext cx="493109" cy="502560"/>
    <xdr:pic>
      <xdr:nvPicPr>
        <xdr:cNvPr id="2" name="그래픽 4" descr="주택 단색으로 채워진">
          <a:hlinkClick xmlns:r="http://schemas.openxmlformats.org/officeDocument/2006/relationships" r:id="rId1"/>
          <a:extLst>
            <a:ext uri="{FF2B5EF4-FFF2-40B4-BE49-F238E27FC236}">
              <a16:creationId xmlns:a16="http://schemas.microsoft.com/office/drawing/2014/main" id="{CA34D4D3-5E5F-423F-BE77-D77614A65A85}"/>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52230" y="66675"/>
          <a:ext cx="493109" cy="50256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22690</xdr:colOff>
      <xdr:row>1</xdr:row>
      <xdr:rowOff>0</xdr:rowOff>
    </xdr:from>
    <xdr:ext cx="493109" cy="502560"/>
    <xdr:pic>
      <xdr:nvPicPr>
        <xdr:cNvPr id="2" name="그래픽 4" descr="주택 단색으로 채워진">
          <a:hlinkClick xmlns:r="http://schemas.openxmlformats.org/officeDocument/2006/relationships" r:id="rId1"/>
          <a:extLst>
            <a:ext uri="{FF2B5EF4-FFF2-40B4-BE49-F238E27FC236}">
              <a16:creationId xmlns:a16="http://schemas.microsoft.com/office/drawing/2014/main" id="{EE8E220E-2ABB-40CC-B362-DEC87989522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42705" y="66675"/>
          <a:ext cx="493109" cy="50256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22690</xdr:colOff>
      <xdr:row>1</xdr:row>
      <xdr:rowOff>0</xdr:rowOff>
    </xdr:from>
    <xdr:ext cx="493109" cy="502560"/>
    <xdr:pic>
      <xdr:nvPicPr>
        <xdr:cNvPr id="2" name="그래픽 4" descr="주택 단색으로 채워진">
          <a:hlinkClick xmlns:r="http://schemas.openxmlformats.org/officeDocument/2006/relationships" r:id="rId1"/>
          <a:extLst>
            <a:ext uri="{FF2B5EF4-FFF2-40B4-BE49-F238E27FC236}">
              <a16:creationId xmlns:a16="http://schemas.microsoft.com/office/drawing/2014/main" id="{4712CFEA-033B-4005-82F6-E3F27C84E5A3}"/>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33180" y="66675"/>
          <a:ext cx="493109" cy="50256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44053;&#44288;&#50864;\hj%20kim\My%20document\&#44608;&#54617;&#51452;1\Auto%20macro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조회조건"/>
      <sheetName val="gubun"/>
      <sheetName val="quantiwise"/>
      <sheetName val="Sheet9"/>
      <sheetName val="Sheet5"/>
      <sheetName val="Sheet6"/>
      <sheetName val="Sheet7"/>
      <sheetName val="Sheet8"/>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5"/>
      <sheetName val="Sheet26"/>
      <sheetName val="Sheet30"/>
      <sheetName val="Sheet4"/>
      <sheetName val="Sheet24"/>
      <sheetName val="Sheet33"/>
      <sheetName val="Sheet34"/>
      <sheetName val="Sheet35"/>
      <sheetName val="Sheet31"/>
      <sheetName val="Sheet32"/>
      <sheetName val="Sheet36"/>
      <sheetName val="Sheet37"/>
      <sheetName val="Sheet38"/>
      <sheetName val="SAAR"/>
      <sheetName val="GEMiner"/>
      <sheetName val="1014"/>
      <sheetName val="hjs_main"/>
      <sheetName val="Revenue Analysis"/>
      <sheetName val="적용환율"/>
      <sheetName val="Defaults"/>
      <sheetName val="Revenue_Analysis"/>
      <sheetName val="반품율"/>
      <sheetName val="Revenue_Analysis1"/>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sheetDataSet>
  </externalBook>
</externalLink>
</file>

<file path=xl/persons/person.xml><?xml version="1.0" encoding="utf-8"?>
<personList xmlns="http://schemas.microsoft.com/office/spreadsheetml/2018/threadedcomments" xmlns:x="http://schemas.openxmlformats.org/spreadsheetml/2006/main">
  <person displayName="정다은님" id="{1980A01F-D136-46F1-BD0F-AABEFC6BA1BB}" userId="S::dejeong@cj.net::20952422-f2bc-43c9-93d4-494c87ace1a3" providerId="AD"/>
  <person displayName="임용균님" id="{722C2F4C-CA59-4662-82B6-3C1ECA7C7C2C}" userId="S::iykkyun@cj.net::4fb8c711-5a59-4dea-a53b-7dc528f02f1d" providerId="AD"/>
  <person displayName="이동하님 [LeeDongha]" id="{C227E9E4-1D1F-42FE-A2FA-C70751BA7D38}" userId="S::dldlehdgk@cj.net::19178cce-8d52-4caf-8ef8-2e9a3c95a071" providerId="AD"/>
  <person displayName="Mina Jang (KR - ASR)" id="{BC7419DE-B1F3-4DF2-BC0E-5AD90E4D58B7}" userId="S::mina.jang@pwc.com::11fe012a-cf66-4303-a3d2-04c936da3dfe" providerId="AD"/>
  <person displayName="Jade Moon (KR - ASR)" id="{3AAA3926-9C42-42DD-B028-2B42329B661E}" userId="S::jayung.moon@pwc.com::e030b5b1-99e1-4722-8c35-31c2f333a2a8" providerId="AD"/>
  <person displayName="Seh-Hyun Ryu (KR - ASR)" id="{797FF240-20CB-4992-9A98-C02B1113A701}" userId="S::sehhyun.ryu@pwc.com::b19a070d-42e3-4277-b2b4-4b8ab951d9b2" providerId="AD"/>
  <person displayName="Min-Kyeong Cheon (KR - ASR)" id="{B808345D-74F7-49D3-A1A1-A644F30903D7}" userId="S::minkyeong.cheon@pwc.com::eebeaffe-7324-410c-a4fc-e8c8e2c6f6e4" providerId="AD"/>
</personList>
</file>

<file path=xl/theme/theme1.xml><?xml version="1.0" encoding="utf-8"?>
<a:theme xmlns:a="http://schemas.openxmlformats.org/drawingml/2006/main" name="Office 2013 - 2022 테마">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157" dT="2024-04-23T02:17:09.14" personId="{797FF240-20CB-4992-9A98-C02B1113A701}" id="{60BCFC2D-B364-4F13-BED5-240B61CB4D25}">
    <text>현재 "연결기준 총 매출액" 기입되었으나, 온실가스배출량 산정 범위에 중국 제외되는 경우 중국 매출액도 제외되는 것이 정확합니다.</text>
  </threadedComment>
  <threadedComment ref="D157" dT="2024-04-26T01:37:40.14" personId="{3AAA3926-9C42-42DD-B028-2B42329B661E}" id="{77C06BFC-FC25-4508-BF5B-00EB35EF74EF}" parentId="{60BCFC2D-B364-4F13-BED5-240B61CB4D25}">
    <text>임대리님: 중국 온실가스 배출량 단위 통일로 통합 매출로 적용해도 될 것 같습니다.</text>
  </threadedComment>
  <threadedComment ref="F568" dT="2024-04-23T02:20:33.49" personId="{797FF240-20CB-4992-9A98-C02B1113A701}" id="{C48227DD-EFF8-4185-AE77-3D2E05D0E8B8}">
    <text>톤과 ㎥ 합산되어 있습니다.</text>
  </threadedComment>
  <threadedComment ref="K568" dT="2024-04-23T02:20:33.49" personId="{797FF240-20CB-4992-9A98-C02B1113A701}" id="{66CCC6FB-EBC5-41F5-B934-B1BB910570FC}">
    <text>톤과 ㎥ 합산되어 있습니다.</text>
  </threadedComment>
  <threadedComment ref="F575" dT="2024-04-23T02:20:33.49" personId="{797FF240-20CB-4992-9A98-C02B1113A701}" id="{AB6AF178-7C92-4A8A-A3A1-7E2C9FA6B62E}">
    <text>톤과 ㎥ 합산되어 있습니다.</text>
  </threadedComment>
  <threadedComment ref="K575" dT="2024-04-23T02:20:33.49" personId="{797FF240-20CB-4992-9A98-C02B1113A701}" id="{E237B5D6-95FF-4E08-97A7-84257DA73278}">
    <text>톤과 ㎥ 합산되어 있습니다.</text>
  </threadedComment>
  <threadedComment ref="C1085" dT="2024-04-23T02:21:23.24" personId="{797FF240-20CB-4992-9A98-C02B1113A701}" id="{9E2F5745-B0D4-4312-82B3-596718675D1D}">
    <text>국적별 또는 한국/해외 구분 검토 필요합니다.</text>
  </threadedComment>
  <threadedComment ref="C1201" dT="2024-04-23T02:21:39.46" personId="{797FF240-20CB-4992-9A98-C02B1113A701}" id="{936CB786-947F-4F8F-A9AF-F0BB49A8A531}">
    <text>국적별 또는 한국/해외 구분 검토 필요합니다.</text>
  </threadedComment>
  <threadedComment ref="C1648" dT="2024-02-26T09:23:08.38" personId="{BC7419DE-B1F3-4DF2-BC0E-5AD90E4D58B7}" id="{3926680E-99A6-4CEF-B685-4720F4EAEB08}">
    <text>지속가능성 보고서: 기밀(정책상 미공개)</text>
  </threadedComment>
</ThreadedComments>
</file>

<file path=xl/threadedComments/threadedComment10.xml><?xml version="1.0" encoding="utf-8"?>
<ThreadedComments xmlns="http://schemas.microsoft.com/office/spreadsheetml/2018/threadedcomments" xmlns:x="http://schemas.openxmlformats.org/spreadsheetml/2006/main">
  <threadedComment ref="AE205" dT="2024-04-10T22:25:42.69" personId="{722C2F4C-CA59-4662-82B6-3C1ECA7C7C2C}" id="{0A249F12-5174-455D-9A7D-50A11142B424}">
    <text>CGV:
튀르키예 총 임직원 수와 경영진 구성은 재확인 과정에 있습니다.
튀르키예가 12일까지 바이람 연휴라 차주 확인 가능합니다.</text>
  </threadedComment>
  <threadedComment ref="C324" dT="2024-02-26T09:23:08.38" personId="{BC7419DE-B1F3-4DF2-BC0E-5AD90E4D58B7}" id="{9E5F3947-489F-4BF7-87A9-D606967E6A81}">
    <text>지속가능성 보고서: 기밀(정책상 미공개)</text>
  </threadedComment>
</ThreadedComments>
</file>

<file path=xl/threadedComments/threadedComment2.xml><?xml version="1.0" encoding="utf-8"?>
<ThreadedComments xmlns="http://schemas.microsoft.com/office/spreadsheetml/2018/threadedcomments" xmlns:x="http://schemas.openxmlformats.org/spreadsheetml/2006/main">
  <threadedComment ref="W26" dT="2024-04-02T23:41:07.03" personId="{722C2F4C-CA59-4662-82B6-3C1ECA7C7C2C}" id="{8132D01A-FB2E-46E3-82A8-EAEDD1E0397F}">
    <text>제안주신대로 영업수익/영업비용으로 대체 부탁드립니다.</text>
  </threadedComment>
  <threadedComment ref="W81" dT="2024-04-02T23:41:52.12" personId="{722C2F4C-CA59-4662-82B6-3C1ECA7C7C2C}" id="{601D08F8-0964-46BE-B95A-44265CA8CB26}">
    <text>2023년 기입해 놓았으며, 2022년도 수정사항이 있어 수정 반영했습니다.</text>
  </threadedComment>
  <threadedComment ref="W96" dT="2024-04-02T23:41:59.62" personId="{722C2F4C-CA59-4662-82B6-3C1ECA7C7C2C}" id="{D9E4537F-6D69-409F-BDBE-6EC5BA9377B8}">
    <text>2023년 기입해 놓았으며, 2022년도 수정사항이 있어 수정 반영했습니다.</text>
  </threadedComment>
  <threadedComment ref="V131" dT="2024-02-23T06:24:57.03" personId="{1980A01F-D136-46F1-BD0F-AABEFC6BA1BB}" id="{BAC34630-1996-4F3B-9471-0F8DFAD62E23}">
    <text>취합중. 3월 이후 추가 예정</text>
  </threadedComment>
  <threadedComment ref="V149" dT="2024-02-23T07:23:23.17" personId="{1980A01F-D136-46F1-BD0F-AABEFC6BA1BB}" id="{19A95467-08C1-4023-A455-E4461DF274E8}">
    <text>전국 직영사이트 주요 매점 패키지 무게를 폐기물 배출량으로 산정</text>
  </threadedComment>
  <threadedComment ref="W206" dT="2024-04-02T23:42:38.10" personId="{722C2F4C-CA59-4662-82B6-3C1ECA7C7C2C}" id="{89F39E34-7181-4417-B8E8-A36936A97E2C}">
    <text>미소지기 Data 포함해 재입력했습니다.</text>
  </threadedComment>
  <threadedComment ref="V209" dT="2024-02-13T05:56:02.23" personId="{C227E9E4-1D1F-42FE-A2FA-C70751BA7D38}" id="{D24872B8-BDEE-418D-AD7E-2D2C11C1B6CC}">
    <text>내부 시스템 인력데이터 상 인원으로, 등기/미등기임원 여부는 사업보고서 통해서 별도 확인 필요합니다.</text>
  </threadedComment>
  <threadedComment ref="V221" dT="2024-02-13T08:31:53.71" personId="{C227E9E4-1D1F-42FE-A2FA-C70751BA7D38}" id="{03A8503C-B419-488A-9668-22121EF0784F}">
    <text>허민회님, 조진호님, 최정필님, 손종수님, 이명형님, 정승욱님, 정종민님</text>
  </threadedComment>
  <threadedComment ref="V222" dT="2024-02-13T08:31:59.60" personId="{C227E9E4-1D1F-42FE-A2FA-C70751BA7D38}" id="{06566F2D-5B72-4AD5-9333-9150F4415C87}">
    <text>박정신님</text>
  </threadedComment>
  <threadedComment ref="V306" dT="2024-02-13T07:35:23.57" personId="{C227E9E4-1D1F-42FE-A2FA-C70751BA7D38}" id="{5C8F7234-3D3F-4000-B51C-88FBB7DEC056}">
    <text>22년 11명 복직
23년 14명 복직 예정자
23년 미복직 : 4명</text>
  </threadedComment>
  <threadedComment ref="V307" dT="2024-02-13T07:35:40.97" personId="{C227E9E4-1D1F-42FE-A2FA-C70751BA7D38}" id="{DB4940D9-D353-43F1-A610-8B78F22A14EC}">
    <text xml:space="preserve">22년 32명 복직
23년 44명 복직 예정자
23년 미복직 : 12명
</text>
  </threadedComment>
  <threadedComment ref="V308" dT="2024-02-13T08:03:01.78" personId="{C227E9E4-1D1F-42FE-A2FA-C70751BA7D38}" id="{B6B2482E-76C4-4F6E-B2A6-60A8C87FC979}">
    <text>22년 복직 43명 中 12개월 미만 재직 후 퇴사자 수 : 10</text>
  </threadedComment>
  <threadedComment ref="C325" dT="2024-02-26T09:23:08.38" personId="{BC7419DE-B1F3-4DF2-BC0E-5AD90E4D58B7}" id="{ACCDDCC6-62CD-4CAA-97B0-65059051D0F0}">
    <text>지속가능성 보고서: 기밀(정책상 미공개)</text>
  </threadedComment>
  <threadedComment ref="T374" dT="2024-02-23T06:21:33.86" personId="{1980A01F-D136-46F1-BD0F-AABEFC6BA1BB}" id="{D5FDEF86-2F5F-45C5-85A9-FE9BB4F2510A}">
    <text>작년 수치 수정되었습니다.</text>
  </threadedComment>
</ThreadedComments>
</file>

<file path=xl/threadedComments/threadedComment3.xml><?xml version="1.0" encoding="utf-8"?>
<ThreadedComments xmlns="http://schemas.microsoft.com/office/spreadsheetml/2018/threadedcomments" xmlns:x="http://schemas.openxmlformats.org/spreadsheetml/2006/main">
  <threadedComment ref="C478" dT="2024-02-26T09:23:08.38" personId="{BC7419DE-B1F3-4DF2-BC0E-5AD90E4D58B7}" id="{7C8C963A-332F-4560-AF72-647EA2B2EDBC}">
    <text>지속가능성 보고서: 기밀(정책상 미공개)</text>
  </threadedComment>
  <threadedComment ref="M644" dT="2024-05-20T07:59:45.33" personId="{B808345D-74F7-49D3-A1A1-A644F30903D7}" id="{2A3AAB77-6392-48AE-93B9-62C0A63BDA57}">
    <text>계산식 적용한 값으로 조정함</text>
  </threadedComment>
</ThreadedComments>
</file>

<file path=xl/threadedComments/threadedComment4.xml><?xml version="1.0" encoding="utf-8"?>
<ThreadedComments xmlns="http://schemas.microsoft.com/office/spreadsheetml/2018/threadedcomments" xmlns:x="http://schemas.openxmlformats.org/spreadsheetml/2006/main">
  <threadedComment ref="D113" dT="2024-04-23T02:17:09.14" personId="{797FF240-20CB-4992-9A98-C02B1113A701}" id="{34378274-7CB6-4623-8616-AA7A016970C1}">
    <text>현재 "연결기준 총 매출액" 기입되었으나, 온실가스배출량 산정 범위에 중국 제외되는 경우 중국 매출액도 제외되는 것이 정확합니다.</text>
  </threadedComment>
  <threadedComment ref="D113" dT="2024-04-26T01:37:40.14" personId="{3AAA3926-9C42-42DD-B028-2B42329B661E}" id="{3DF2306E-28C2-4B11-8608-9956EA2F73AF}" parentId="{34378274-7CB6-4623-8616-AA7A016970C1}">
    <text>임대리님: 중국 온실가스 배출량 단위 통일로 통합 매출로 적용해도 될 것 같습니다.</text>
  </threadedComment>
  <threadedComment ref="F502" dT="2024-04-23T02:20:33.49" personId="{797FF240-20CB-4992-9A98-C02B1113A701}" id="{CD7D6FA9-1123-43EA-9FB2-F84F826B7CCF}">
    <text>톤과 ㎥ 합산되어 있습니다.</text>
  </threadedComment>
  <threadedComment ref="K502" dT="2024-04-23T02:20:33.49" personId="{797FF240-20CB-4992-9A98-C02B1113A701}" id="{E42AC722-B04B-4008-B7ED-8F8269FD5E1B}">
    <text>톤과 ㎥ 합산되어 있습니다.</text>
  </threadedComment>
  <threadedComment ref="F509" dT="2024-04-23T02:20:33.49" personId="{797FF240-20CB-4992-9A98-C02B1113A701}" id="{F9023E63-28B4-4CD0-931F-467CCA135B9C}">
    <text>톤과 ㎥ 합산되어 있습니다.</text>
  </threadedComment>
  <threadedComment ref="K509" dT="2024-04-23T02:20:33.49" personId="{797FF240-20CB-4992-9A98-C02B1113A701}" id="{74B831A8-72CE-42BD-8CBE-C30EE1804AF5}">
    <text>톤과 ㎥ 합산되어 있습니다.</text>
  </threadedComment>
  <threadedComment ref="C1154" dT="2024-04-23T02:21:39.46" personId="{797FF240-20CB-4992-9A98-C02B1113A701}" id="{A73017CB-031A-4305-9D20-6005AC2C5737}">
    <text>국적별 또는 한국/해외 구분 검토 필요합니다.</text>
  </threadedComment>
  <threadedComment ref="C1480" dT="2024-02-26T09:23:08.38" personId="{BC7419DE-B1F3-4DF2-BC0E-5AD90E4D58B7}" id="{BE508265-9AC9-44C1-80CB-39C8A32D1788}">
    <text>지속가능성 보고서: 기밀(정책상 미공개)</text>
  </threadedComment>
</ThreadedComments>
</file>

<file path=xl/threadedComments/threadedComment5.xml><?xml version="1.0" encoding="utf-8"?>
<ThreadedComments xmlns="http://schemas.microsoft.com/office/spreadsheetml/2018/threadedcomments" xmlns:x="http://schemas.openxmlformats.org/spreadsheetml/2006/main">
  <threadedComment ref="W26" dT="2024-04-02T23:41:07.03" personId="{722C2F4C-CA59-4662-82B6-3C1ECA7C7C2C}" id="{EA75FC01-CFC9-4272-A86B-2A098BB946F5}">
    <text>제안주신대로 영업수익/영업비용으로 대체 부탁드립니다.</text>
  </threadedComment>
  <threadedComment ref="W81" dT="2024-04-02T23:41:52.12" personId="{722C2F4C-CA59-4662-82B6-3C1ECA7C7C2C}" id="{A0252A13-C26D-4104-8008-094E3B296A35}">
    <text>2023년 기입해 놓았으며, 2022년도 수정사항이 있어 수정 반영했습니다.</text>
  </threadedComment>
  <threadedComment ref="W96" dT="2024-04-02T23:41:59.62" personId="{722C2F4C-CA59-4662-82B6-3C1ECA7C7C2C}" id="{762FB6C1-9FB6-4BF4-B3D4-D061615DD17E}">
    <text>2023년 기입해 놓았으며, 2022년도 수정사항이 있어 수정 반영했습니다.</text>
  </threadedComment>
  <threadedComment ref="V131" dT="2024-02-23T06:24:57.03" personId="{1980A01F-D136-46F1-BD0F-AABEFC6BA1BB}" id="{F03124ED-38B3-4DC1-B3C3-CE7F89D07E16}">
    <text>취합중. 3월 이후 추가 예정</text>
  </threadedComment>
  <threadedComment ref="V149" dT="2024-02-23T07:23:23.17" personId="{1980A01F-D136-46F1-BD0F-AABEFC6BA1BB}" id="{8818BC93-7CBA-497D-89DC-CB53350E2D5E}">
    <text>전국 직영사이트 주요 매점 패키지 무게를 폐기물 배출량으로 산정</text>
  </threadedComment>
  <threadedComment ref="W206" dT="2024-04-02T23:42:38.10" personId="{722C2F4C-CA59-4662-82B6-3C1ECA7C7C2C}" id="{B75B7689-04DE-4280-8522-BAA4F8EEE3CC}">
    <text>미소지기 Data 포함해 재입력했습니다.</text>
  </threadedComment>
  <threadedComment ref="V209" dT="2024-02-13T05:56:02.23" personId="{C227E9E4-1D1F-42FE-A2FA-C70751BA7D38}" id="{A3887FEA-9036-4F82-A002-E04F3EE11DE8}">
    <text>내부 시스템 인력데이터 상 인원으로, 등기/미등기임원 여부는 사업보고서 통해서 별도 확인 필요합니다.</text>
  </threadedComment>
  <threadedComment ref="V221" dT="2024-02-13T08:31:53.71" personId="{C227E9E4-1D1F-42FE-A2FA-C70751BA7D38}" id="{F66D1D63-F51C-4419-B21B-D4C2BEB1F44C}">
    <text>허민회님, 조진호님, 최정필님, 손종수님, 이명형님, 정승욱님, 정종민님</text>
  </threadedComment>
  <threadedComment ref="V222" dT="2024-02-13T08:31:59.60" personId="{C227E9E4-1D1F-42FE-A2FA-C70751BA7D38}" id="{102E4C19-790E-45E2-8CEB-FC017E6B6F47}">
    <text>박정신님</text>
  </threadedComment>
  <threadedComment ref="V306" dT="2024-02-13T07:35:23.57" personId="{C227E9E4-1D1F-42FE-A2FA-C70751BA7D38}" id="{F6AD4601-4C39-48F5-849E-ADF76562B145}">
    <text>22년 11명 복직
23년 14명 복직 예정자
23년 미복직 : 4명</text>
  </threadedComment>
  <threadedComment ref="V307" dT="2024-02-13T07:35:40.97" personId="{C227E9E4-1D1F-42FE-A2FA-C70751BA7D38}" id="{5A48756F-C9DB-47C4-8FF5-45BF5BA4A224}">
    <text xml:space="preserve">22년 32명 복직
23년 44명 복직 예정자
23년 미복직 : 12명
</text>
  </threadedComment>
  <threadedComment ref="V308" dT="2024-02-13T08:03:01.78" personId="{C227E9E4-1D1F-42FE-A2FA-C70751BA7D38}" id="{7996850C-CC6E-45E9-9648-A563F1EE4ACA}">
    <text>22년 복직 43명 中 12개월 미만 재직 후 퇴사자 수 : 10</text>
  </threadedComment>
  <threadedComment ref="C325" dT="2024-02-26T09:23:08.38" personId="{BC7419DE-B1F3-4DF2-BC0E-5AD90E4D58B7}" id="{76BC980F-7D44-4501-8CF7-11D363F19721}">
    <text>지속가능성 보고서: 기밀(정책상 미공개)</text>
  </threadedComment>
  <threadedComment ref="T374" dT="2024-02-23T06:21:33.86" personId="{1980A01F-D136-46F1-BD0F-AABEFC6BA1BB}" id="{F1BF846B-BC5B-456A-8D1F-D373AC7599C2}">
    <text>작년 수치 수정되었습니다.</text>
  </threadedComment>
</ThreadedComments>
</file>

<file path=xl/threadedComments/threadedComment6.xml><?xml version="1.0" encoding="utf-8"?>
<ThreadedComments xmlns="http://schemas.microsoft.com/office/spreadsheetml/2018/threadedcomments" xmlns:x="http://schemas.openxmlformats.org/spreadsheetml/2006/main">
  <threadedComment ref="O83" dT="2024-01-24T00:19:46.33" personId="{3AAA3926-9C42-42DD-B028-2B42329B661E}" id="{06C52E36-A2A2-43E3-BAAA-4813709163D4}">
    <text>CJ그룹 공통 관리지표 파일: 산출 불가</text>
  </threadedComment>
</ThreadedComments>
</file>

<file path=xl/threadedComments/threadedComment7.xml><?xml version="1.0" encoding="utf-8"?>
<ThreadedComments xmlns="http://schemas.microsoft.com/office/spreadsheetml/2018/threadedcomments" xmlns:x="http://schemas.openxmlformats.org/spreadsheetml/2006/main">
  <threadedComment ref="T86" dT="2024-01-24T00:19:46.33" personId="{3AAA3926-9C42-42DD-B028-2B42329B661E}" id="{31FF0D42-66F5-46B0-BFDF-7AB9F7179F8D}">
    <text>CJ그룹 공통 관리지표 파일: 산출 불가</text>
  </threadedComment>
  <threadedComment ref="V130" dT="2024-02-23T06:24:57.03" personId="{1980A01F-D136-46F1-BD0F-AABEFC6BA1BB}" id="{3E3E8598-6231-4F7C-90A8-395515709509}">
    <text>취합중. 3월 이후 추가 예정</text>
  </threadedComment>
  <threadedComment ref="V148" dT="2024-02-23T07:23:23.17" personId="{1980A01F-D136-46F1-BD0F-AABEFC6BA1BB}" id="{765FC481-13EA-4661-B58D-D97A8F74F03E}">
    <text>취합중. 3월 이후 추가 예정</text>
  </threadedComment>
  <threadedComment ref="V180" dT="2024-02-23T06:22:27.57" personId="{1980A01F-D136-46F1-BD0F-AABEFC6BA1BB}" id="{6CC722C2-C300-40A6-903D-15285BB5BC47}">
    <text xml:space="preserve">ISO14001 인증으로 전국 직영사이트 123개 + 본사가 해당됩니다. 사이트(사업장) 수 123개로 넣는게 맞는지, 본사 포함 124개로 넣는게 맞을지 확인 부탁드립니다. </text>
  </threadedComment>
  <threadedComment ref="V208" dT="2024-02-13T05:56:02.23" personId="{C227E9E4-1D1F-42FE-A2FA-C70751BA7D38}" id="{51939ACE-8572-43BD-A00B-36C08E3839F3}">
    <text>내부 시스템 인력데이터 상 인원으로, 등기/미등기임원 여부는 사업보고서 통해서 별도 확인 필요합니다.</text>
  </threadedComment>
  <threadedComment ref="V220" dT="2024-02-13T08:31:53.71" personId="{C227E9E4-1D1F-42FE-A2FA-C70751BA7D38}" id="{6D1D7A76-ECE1-439F-B893-73826DCCB9A0}">
    <text>허민회님, 조진호님, 최정필님, 손종수님, 이명형님, 정승욱님, 정종민님</text>
  </threadedComment>
  <threadedComment ref="V221" dT="2024-02-13T08:31:59.60" personId="{C227E9E4-1D1F-42FE-A2FA-C70751BA7D38}" id="{D10348EE-DA64-4CDB-A1EF-BE4A1E4F942F}">
    <text>박정신님</text>
  </threadedComment>
  <threadedComment ref="V305" dT="2024-02-13T07:35:23.57" personId="{C227E9E4-1D1F-42FE-A2FA-C70751BA7D38}" id="{899101F0-A715-4861-95F4-7DC8A46688D6}">
    <text>22년 11명 복직
23년 14명 복직 예정자
23년 미복직 : 4명</text>
  </threadedComment>
  <threadedComment ref="V306" dT="2024-02-13T07:35:40.97" personId="{C227E9E4-1D1F-42FE-A2FA-C70751BA7D38}" id="{18151453-DC1A-4510-B163-5E0447C9951D}">
    <text xml:space="preserve">22년 32명 복직
23년 44명 복직 예정자
23년 미복직 : 12명
</text>
  </threadedComment>
  <threadedComment ref="V307" dT="2024-02-13T08:03:01.78" personId="{C227E9E4-1D1F-42FE-A2FA-C70751BA7D38}" id="{BF45EAEE-6539-4FA2-BBFD-101B33405A4E}">
    <text>22년 복직 43명 中 12개월 미만 재직 후 퇴사자 수 : 10</text>
  </threadedComment>
  <threadedComment ref="C325" dT="2024-02-26T09:23:08.38" personId="{BC7419DE-B1F3-4DF2-BC0E-5AD90E4D58B7}" id="{547EA158-4F02-47EF-AACB-4DBDFDE375C9}">
    <text>지속가능성 보고서: 기밀(정책상 미공개)</text>
  </threadedComment>
  <threadedComment ref="T374" dT="2024-02-23T06:21:33.86" personId="{1980A01F-D136-46F1-BD0F-AABEFC6BA1BB}" id="{9C760EBC-C432-49EA-9731-12348E6B102D}">
    <text>작년 수치 수정되었습니다.</text>
  </threadedComment>
</ThreadedComments>
</file>

<file path=xl/threadedComments/threadedComment8.xml><?xml version="1.0" encoding="utf-8"?>
<ThreadedComments xmlns="http://schemas.microsoft.com/office/spreadsheetml/2018/threadedcomments" xmlns:x="http://schemas.openxmlformats.org/spreadsheetml/2006/main">
  <threadedComment ref="U63" dT="2024-04-10T22:17:50.86" personId="{722C2F4C-CA59-4662-82B6-3C1ECA7C7C2C}" id="{7AD513D3-F8BD-43A1-AE67-8927CD519D81}">
    <text xml:space="preserve">Vietnam: 
영문-국문 해석 차이때문에 혼동이 있을 수 있으나, 베트남에서 제한적인 조건에 의해 지급하는 퇴직시 지급하는 특수적인 금액은 한국에서 통용되는 퇴직금과 전혀 다른 성질의 내용입니다.
오해없으시기 바라며, 광의의 범주에서 퇴직시 지원하는 혜택으로 이해하시기 바랍니다.
</text>
  </threadedComment>
  <threadedComment ref="U63" dT="2024-04-10T22:18:03.33" personId="{722C2F4C-CA59-4662-82B6-3C1ECA7C7C2C}" id="{DD1539D7-FF5A-41C3-A29F-A91B6D6A166E}" parentId="{7AD513D3-F8BD-43A1-AE67-8927CD519D81}">
    <text>한국과 동일한 형태의 퇴직금은 없음</text>
  </threadedComment>
  <threadedComment ref="U67" dT="2024-04-10T22:15:35.79" personId="{722C2F4C-CA59-4662-82B6-3C1ECA7C7C2C}" id="{815CEFB1-308F-46A3-8830-63222ECF1FE6}">
    <text>23년 별도 지원정책 없음</text>
  </threadedComment>
</ThreadedComments>
</file>

<file path=xl/threadedComments/threadedComment9.xml><?xml version="1.0" encoding="utf-8"?>
<ThreadedComments xmlns="http://schemas.microsoft.com/office/spreadsheetml/2018/threadedcomments" xmlns:x="http://schemas.openxmlformats.org/spreadsheetml/2006/main">
  <threadedComment ref="C324" dT="2024-02-26T09:23:08.38" personId="{BC7419DE-B1F3-4DF2-BC0E-5AD90E4D58B7}" id="{17236C59-7BAD-4590-B108-D5833DE2658E}">
    <text>지속가능성 보고서: 기밀(정책상 미공개)</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11.bin"/><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12.bin"/><Relationship Id="rId5" Type="http://schemas.microsoft.com/office/2017/10/relationships/threadedComment" Target="../threadedComments/threadedComment6.xml"/><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4.bin"/><Relationship Id="rId5" Type="http://schemas.microsoft.com/office/2017/10/relationships/threadedComment" Target="../threadedComments/threadedComment7.xml"/><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5.bin"/><Relationship Id="rId5" Type="http://schemas.microsoft.com/office/2017/10/relationships/threadedComment" Target="../threadedComments/threadedComment8.xml"/><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6.bin"/><Relationship Id="rId5" Type="http://schemas.microsoft.com/office/2017/10/relationships/threadedComment" Target="../threadedComments/threadedComment9.xml"/><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7.bin"/><Relationship Id="rId5" Type="http://schemas.microsoft.com/office/2017/10/relationships/threadedComment" Target="../threadedComments/threadedComment10.xml"/><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7.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324B8-1080-4C63-9353-1856BF795E65}">
  <sheetPr>
    <tabColor theme="1"/>
  </sheetPr>
  <dimension ref="A41:L59"/>
  <sheetViews>
    <sheetView showGridLines="0" tabSelected="1" zoomScale="85" zoomScaleNormal="85" workbookViewId="0">
      <selection activeCell="E35" sqref="E35"/>
    </sheetView>
  </sheetViews>
  <sheetFormatPr defaultRowHeight="13.5"/>
  <cols>
    <col min="1" max="1" width="1.375" style="7870" customWidth="1"/>
    <col min="2" max="2" width="4" style="7870" customWidth="1"/>
    <col min="3" max="3" width="19.25" style="7870" bestFit="1" customWidth="1"/>
    <col min="4" max="4" width="2.375" style="7870" customWidth="1"/>
    <col min="5" max="5" width="33.75" style="7870" customWidth="1"/>
    <col min="6" max="6" width="2.75" style="7870" customWidth="1"/>
    <col min="7" max="7" width="14.75" style="7870" customWidth="1"/>
    <col min="8" max="8" width="7.375" style="7870" customWidth="1"/>
    <col min="9" max="9" width="31.5" style="7870" bestFit="1" customWidth="1"/>
    <col min="10" max="10" width="2.5" style="7870" customWidth="1"/>
    <col min="11" max="11" width="22.625" style="7870" customWidth="1"/>
    <col min="12" max="12" width="2.75" style="7870" customWidth="1"/>
    <col min="13" max="16384" width="9" style="7870"/>
  </cols>
  <sheetData>
    <row r="41" spans="1:12" ht="24">
      <c r="B41" s="9427"/>
      <c r="C41" s="9427"/>
      <c r="D41" s="9427"/>
      <c r="E41" s="9427"/>
      <c r="F41" s="9427"/>
      <c r="G41" s="9427"/>
      <c r="H41" s="9427"/>
      <c r="I41" s="9427"/>
      <c r="J41" s="9427"/>
      <c r="K41" s="9427"/>
      <c r="L41" s="9427"/>
    </row>
    <row r="42" spans="1:12" ht="24">
      <c r="B42" s="9070"/>
      <c r="C42" s="9070"/>
      <c r="D42" s="9070"/>
      <c r="E42" s="9070"/>
      <c r="F42" s="9070"/>
      <c r="G42" s="9071" t="s">
        <v>3673</v>
      </c>
      <c r="H42" s="9070"/>
      <c r="I42" s="9070"/>
      <c r="J42" s="9070"/>
      <c r="K42" s="9070"/>
      <c r="L42" s="9070"/>
    </row>
    <row r="43" spans="1:12">
      <c r="B43" s="9070"/>
      <c r="C43" s="9070"/>
      <c r="D43" s="9070"/>
      <c r="E43" s="9070"/>
      <c r="F43" s="9070"/>
      <c r="G43" s="9072"/>
      <c r="H43" s="9070"/>
      <c r="I43" s="9070"/>
      <c r="J43" s="9070"/>
      <c r="K43" s="9070"/>
      <c r="L43" s="9070"/>
    </row>
    <row r="44" spans="1:12">
      <c r="B44" s="9070"/>
      <c r="C44" s="9070"/>
      <c r="D44" s="9070"/>
      <c r="E44" s="9070"/>
      <c r="F44" s="9070"/>
      <c r="G44" s="9070"/>
      <c r="H44" s="9070"/>
      <c r="I44" s="9070"/>
      <c r="J44" s="9070"/>
      <c r="K44" s="9070"/>
      <c r="L44" s="9070"/>
    </row>
    <row r="45" spans="1:12">
      <c r="B45" s="9070"/>
      <c r="C45" s="9070"/>
      <c r="D45" s="9070"/>
      <c r="E45" s="9070"/>
      <c r="F45" s="9070"/>
      <c r="G45" s="9070"/>
      <c r="H45" s="9070"/>
      <c r="I45" s="9070"/>
      <c r="J45" s="9070"/>
      <c r="K45" s="9070"/>
      <c r="L45" s="9070"/>
    </row>
    <row r="46" spans="1:12" ht="16.5">
      <c r="A46" s="11"/>
      <c r="B46" s="9200"/>
      <c r="C46" s="7871" t="s">
        <v>3517</v>
      </c>
      <c r="D46" s="7872"/>
      <c r="E46" s="7871" t="s">
        <v>3520</v>
      </c>
      <c r="F46" s="7872"/>
      <c r="G46" s="7871" t="s">
        <v>3521</v>
      </c>
      <c r="H46" s="7871"/>
      <c r="I46" s="7871" t="s">
        <v>3522</v>
      </c>
      <c r="J46" s="7871"/>
      <c r="K46" s="7871" t="s">
        <v>3523</v>
      </c>
      <c r="L46" s="9070"/>
    </row>
    <row r="47" spans="1:12" ht="16.5">
      <c r="A47" s="11"/>
      <c r="B47" s="9200"/>
      <c r="C47" s="9200"/>
      <c r="D47" s="9200"/>
      <c r="E47" s="9200"/>
      <c r="F47" s="9200"/>
      <c r="G47" s="9200"/>
      <c r="H47" s="9200"/>
      <c r="I47" s="9200"/>
      <c r="J47" s="9200"/>
      <c r="K47" s="9200"/>
      <c r="L47" s="9070"/>
    </row>
    <row r="48" spans="1:12" ht="16.5">
      <c r="A48" s="11"/>
      <c r="B48" s="9200"/>
      <c r="C48" s="9201" t="s">
        <v>3518</v>
      </c>
      <c r="D48" s="9201"/>
      <c r="E48" s="9201" t="s">
        <v>3524</v>
      </c>
      <c r="F48" s="9201"/>
      <c r="G48" s="9201" t="s">
        <v>3525</v>
      </c>
      <c r="H48" s="9201"/>
      <c r="I48" s="9201" t="s">
        <v>729</v>
      </c>
      <c r="J48" s="9201"/>
      <c r="K48" s="9201" t="s">
        <v>1439</v>
      </c>
      <c r="L48" s="9070"/>
    </row>
    <row r="49" spans="1:12" ht="16.5">
      <c r="A49" s="11"/>
      <c r="B49" s="9200"/>
      <c r="C49" s="9201" t="s">
        <v>3519</v>
      </c>
      <c r="D49" s="9201"/>
      <c r="E49" s="9201" t="s">
        <v>3646</v>
      </c>
      <c r="F49" s="9201"/>
      <c r="G49" s="9201" t="s">
        <v>252</v>
      </c>
      <c r="H49" s="9201"/>
      <c r="I49" s="9201" t="s">
        <v>877</v>
      </c>
      <c r="J49" s="9201"/>
      <c r="K49" s="9201" t="s">
        <v>1468</v>
      </c>
      <c r="L49" s="9070"/>
    </row>
    <row r="50" spans="1:12" ht="16.5">
      <c r="A50" s="11"/>
      <c r="B50" s="9200"/>
      <c r="C50" s="9201" t="s">
        <v>81</v>
      </c>
      <c r="D50" s="9201"/>
      <c r="E50" s="9201"/>
      <c r="F50" s="9201"/>
      <c r="G50" s="9201" t="s">
        <v>341</v>
      </c>
      <c r="H50" s="9201"/>
      <c r="I50" s="9201" t="s">
        <v>1910</v>
      </c>
      <c r="J50" s="9201"/>
      <c r="K50" s="9201" t="s">
        <v>1534</v>
      </c>
      <c r="L50" s="9070"/>
    </row>
    <row r="51" spans="1:12" ht="16.5">
      <c r="A51" s="11"/>
      <c r="B51" s="9200"/>
      <c r="C51" s="9201" t="s">
        <v>91</v>
      </c>
      <c r="D51" s="9201"/>
      <c r="E51" s="9201"/>
      <c r="F51" s="9201"/>
      <c r="G51" s="9201" t="s">
        <v>410</v>
      </c>
      <c r="H51" s="9201"/>
      <c r="I51" s="9201" t="s">
        <v>1918</v>
      </c>
      <c r="J51" s="9201"/>
      <c r="K51" s="9201" t="s">
        <v>1555</v>
      </c>
      <c r="L51" s="9070"/>
    </row>
    <row r="52" spans="1:12" ht="16.5">
      <c r="A52" s="11"/>
      <c r="B52" s="9200"/>
      <c r="C52" s="9201"/>
      <c r="D52" s="9201"/>
      <c r="E52" s="9201"/>
      <c r="F52" s="9201"/>
      <c r="G52" s="9201" t="s">
        <v>521</v>
      </c>
      <c r="H52" s="9201"/>
      <c r="I52" s="9201" t="s">
        <v>1015</v>
      </c>
      <c r="J52" s="9201"/>
      <c r="K52" s="9201" t="s">
        <v>1604</v>
      </c>
      <c r="L52" s="9070"/>
    </row>
    <row r="53" spans="1:12" ht="16.5">
      <c r="A53" s="11"/>
      <c r="B53" s="9200"/>
      <c r="C53" s="9201"/>
      <c r="D53" s="9201"/>
      <c r="E53" s="9201"/>
      <c r="F53" s="9201"/>
      <c r="G53" s="9201" t="s">
        <v>543</v>
      </c>
      <c r="H53" s="9201"/>
      <c r="I53" s="9201" t="s">
        <v>3526</v>
      </c>
      <c r="J53" s="9201"/>
      <c r="K53" s="9201" t="s">
        <v>1632</v>
      </c>
      <c r="L53" s="9070"/>
    </row>
    <row r="54" spans="1:12" ht="16.5">
      <c r="A54" s="11"/>
      <c r="B54" s="9200"/>
      <c r="C54" s="9201"/>
      <c r="D54" s="9201"/>
      <c r="E54" s="9201"/>
      <c r="F54" s="9201"/>
      <c r="G54" s="9201"/>
      <c r="H54" s="9201"/>
      <c r="I54" s="9201" t="s">
        <v>952</v>
      </c>
      <c r="J54" s="9201"/>
      <c r="K54" s="9201"/>
      <c r="L54" s="9070"/>
    </row>
    <row r="55" spans="1:12" ht="16.5">
      <c r="A55" s="11"/>
      <c r="B55" s="9200"/>
      <c r="C55" s="9201"/>
      <c r="D55" s="9201"/>
      <c r="E55" s="9201"/>
      <c r="F55" s="9201"/>
      <c r="G55" s="9201"/>
      <c r="H55" s="9201"/>
      <c r="I55" s="9201" t="s">
        <v>1234</v>
      </c>
      <c r="J55" s="9201"/>
      <c r="K55" s="9201"/>
      <c r="L55" s="9070"/>
    </row>
    <row r="56" spans="1:12" ht="16.5">
      <c r="A56" s="11"/>
      <c r="B56" s="9200"/>
      <c r="C56" s="9201"/>
      <c r="D56" s="9201"/>
      <c r="E56" s="9201"/>
      <c r="F56" s="9201"/>
      <c r="G56" s="9201"/>
      <c r="H56" s="9201"/>
      <c r="I56" s="9201" t="s">
        <v>1993</v>
      </c>
      <c r="J56" s="9201"/>
      <c r="K56" s="9201"/>
      <c r="L56" s="9070"/>
    </row>
    <row r="57" spans="1:12" ht="15">
      <c r="B57" s="9070"/>
      <c r="C57" s="9073"/>
      <c r="D57" s="9073"/>
      <c r="E57" s="9073"/>
      <c r="F57" s="9073"/>
      <c r="G57" s="9073"/>
      <c r="H57" s="9073"/>
      <c r="I57" s="9201" t="s">
        <v>1396</v>
      </c>
      <c r="J57" s="9073"/>
      <c r="K57" s="9073"/>
      <c r="L57" s="9070"/>
    </row>
    <row r="58" spans="1:12">
      <c r="B58" s="9070"/>
      <c r="C58" s="9073"/>
      <c r="D58" s="9073"/>
      <c r="E58" s="9073"/>
      <c r="F58" s="9073"/>
      <c r="G58" s="9073"/>
      <c r="H58" s="9073"/>
      <c r="I58" s="9073"/>
      <c r="J58" s="9073"/>
      <c r="K58" s="9073"/>
      <c r="L58" s="9070"/>
    </row>
    <row r="59" spans="1:12">
      <c r="B59" s="9070"/>
      <c r="C59" s="9070"/>
      <c r="D59" s="9070"/>
      <c r="E59" s="9070"/>
      <c r="F59" s="9070"/>
      <c r="G59" s="9070"/>
      <c r="H59" s="9070"/>
      <c r="I59" s="9070"/>
      <c r="J59" s="9070"/>
      <c r="K59" s="9070"/>
      <c r="L59" s="9070"/>
    </row>
  </sheetData>
  <sheetProtection algorithmName="SHA-512" hashValue="/LmnR1qyIuNFOPlCxL/v1dEMuz7dpfLTDVevoVsX1VgQfc/3A8alOpVPYPQ515lGc0vxlEyZIDGebBvNzTuXJA==" saltValue="scSAQY80Xgpnpewzz6l+QQ==" spinCount="100000" sheet="1" objects="1" scenarios="1"/>
  <mergeCells count="1">
    <mergeCell ref="B41:L41"/>
  </mergeCells>
  <phoneticPr fontId="3" type="noConversion"/>
  <pageMargins left="0.7" right="0.7" top="0.75" bottom="0.75" header="0.3" footer="0.3"/>
  <pageSetup paperSize="9" scale="48"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8A021-D20F-46E3-A859-9C3AED41C4E7}">
  <sheetPr>
    <tabColor theme="7"/>
    <pageSetUpPr fitToPage="1"/>
  </sheetPr>
  <dimension ref="A1:BK1893"/>
  <sheetViews>
    <sheetView showGridLines="0" zoomScale="80" zoomScaleNormal="80" workbookViewId="0">
      <pane xSplit="11" ySplit="13" topLeftCell="L72" activePane="bottomRight" state="frozen"/>
      <selection pane="topRight" activeCell="B3" sqref="B3"/>
      <selection pane="bottomLeft" activeCell="B3" sqref="B3"/>
      <selection pane="bottomRight" activeCell="B3" sqref="B3"/>
    </sheetView>
  </sheetViews>
  <sheetFormatPr defaultColWidth="0" defaultRowHeight="16.5"/>
  <cols>
    <col min="1" max="1" width="1.125" style="139" customWidth="1"/>
    <col min="2" max="2" width="2.375" style="139" customWidth="1"/>
    <col min="3" max="3" width="4.25" style="139" customWidth="1"/>
    <col min="4" max="4" width="9.375" style="139" customWidth="1"/>
    <col min="5" max="5" width="27" style="139" customWidth="1"/>
    <col min="6" max="6" width="16.5" style="139" customWidth="1"/>
    <col min="7" max="7" width="6.125" style="6412" hidden="1" customWidth="1"/>
    <col min="8" max="8" width="9.75" style="6412" hidden="1" customWidth="1"/>
    <col min="9" max="9" width="25.5" style="6412" hidden="1" customWidth="1"/>
    <col min="10" max="10" width="20.875" style="6412" hidden="1" customWidth="1"/>
    <col min="11" max="11" width="16.5" style="139" hidden="1" customWidth="1"/>
    <col min="12" max="12" width="15.625" style="6816" customWidth="1"/>
    <col min="13" max="13" width="8.25" style="6413" customWidth="1"/>
    <col min="14" max="14" width="15.625" style="6816" customWidth="1"/>
    <col min="15" max="15" width="8.25" style="6413" customWidth="1"/>
    <col min="16" max="16" width="15.625" style="6816" customWidth="1"/>
    <col min="17" max="17" width="8.25" style="6413" customWidth="1"/>
    <col min="18" max="18" width="11.5" style="1857" customWidth="1"/>
    <col min="19" max="19" width="60.125" style="6413" customWidth="1"/>
    <col min="20" max="20" width="43.125" style="1287" customWidth="1"/>
    <col min="21" max="21" width="50.625" style="1287" hidden="1" customWidth="1"/>
    <col min="22" max="22" width="20.625" style="139" customWidth="1"/>
    <col min="23" max="23" width="17.125" style="139" customWidth="1"/>
    <col min="24" max="24" width="20" style="139" hidden="1" customWidth="1"/>
    <col min="25" max="25" width="20.625" style="139" customWidth="1"/>
    <col min="26" max="26" width="12.25" style="10" customWidth="1"/>
    <col min="27" max="27" width="11.75" style="10" customWidth="1"/>
    <col min="28" max="28" width="13.875" style="10" customWidth="1"/>
    <col min="29" max="29" width="20.375" style="6301" customWidth="1"/>
    <col min="30" max="30" width="32.125" style="139" customWidth="1"/>
    <col min="31" max="31" width="28.25" style="139" customWidth="1"/>
    <col min="32" max="62" width="0" style="139" hidden="1" customWidth="1"/>
    <col min="63" max="63" width="0" style="11" hidden="1" customWidth="1"/>
    <col min="64" max="16384" width="13" style="11" hidden="1"/>
  </cols>
  <sheetData>
    <row r="1" spans="1:62" ht="10.9" customHeight="1">
      <c r="A1" s="1"/>
      <c r="B1" s="2"/>
      <c r="C1" s="2"/>
      <c r="D1" s="2"/>
      <c r="E1" s="2"/>
      <c r="F1" s="3"/>
      <c r="G1" s="4"/>
      <c r="H1" s="5"/>
      <c r="I1" s="5"/>
      <c r="J1" s="5"/>
      <c r="K1" s="3"/>
      <c r="L1" s="6742"/>
      <c r="M1" s="6534"/>
      <c r="N1" s="6742"/>
      <c r="O1" s="6534"/>
      <c r="P1" s="6742"/>
      <c r="Q1" s="6534"/>
      <c r="R1" s="6641"/>
      <c r="S1" s="6534"/>
      <c r="T1" s="8"/>
      <c r="U1" s="8"/>
      <c r="V1" s="7"/>
      <c r="W1" s="7"/>
      <c r="X1" s="3"/>
      <c r="Y1" s="7"/>
      <c r="Z1" s="6340"/>
      <c r="AA1" s="6340"/>
      <c r="AB1" s="6340"/>
    </row>
    <row r="2" spans="1:62" s="19" customFormat="1" ht="33" customHeight="1">
      <c r="A2" s="12"/>
      <c r="B2" s="13" t="s">
        <v>2035</v>
      </c>
      <c r="C2" s="14"/>
      <c r="D2" s="2"/>
      <c r="E2" s="2"/>
      <c r="F2" s="3"/>
      <c r="G2" s="4"/>
      <c r="H2" s="15"/>
      <c r="I2" s="5"/>
      <c r="J2" s="3"/>
      <c r="K2" s="3"/>
      <c r="L2" s="6742"/>
      <c r="M2" s="6534"/>
      <c r="N2" s="6817"/>
      <c r="O2" s="6534"/>
      <c r="P2" s="6742"/>
      <c r="Q2" s="6534"/>
      <c r="R2" s="6641"/>
      <c r="S2" s="6534"/>
      <c r="T2" s="8"/>
      <c r="U2" s="8"/>
      <c r="V2" s="16"/>
      <c r="W2" s="16"/>
      <c r="X2" s="15"/>
      <c r="Y2" s="16"/>
      <c r="Z2" s="6341"/>
      <c r="AA2" s="6341"/>
      <c r="AB2" s="6341"/>
      <c r="AC2" s="6301"/>
      <c r="AD2" s="6401"/>
      <c r="AE2" s="6401"/>
      <c r="AF2" s="6401"/>
      <c r="AG2" s="6401"/>
      <c r="AH2" s="6401"/>
      <c r="AI2" s="6401"/>
      <c r="AJ2" s="6401"/>
      <c r="AK2" s="6401"/>
      <c r="AL2" s="6401"/>
      <c r="AM2" s="6401"/>
      <c r="AN2" s="6401"/>
      <c r="AO2" s="6401"/>
      <c r="AP2" s="6401"/>
      <c r="AQ2" s="6401"/>
      <c r="AR2" s="6401"/>
      <c r="AS2" s="6401"/>
      <c r="AT2" s="6401"/>
      <c r="AU2" s="6401"/>
      <c r="AV2" s="6401"/>
      <c r="AW2" s="6401"/>
      <c r="AX2" s="6401"/>
      <c r="AY2" s="6401"/>
      <c r="AZ2" s="6401"/>
      <c r="BA2" s="6401"/>
      <c r="BB2" s="6401"/>
      <c r="BC2" s="6401"/>
      <c r="BD2" s="6401"/>
      <c r="BE2" s="6401"/>
      <c r="BF2" s="6401"/>
      <c r="BG2" s="6401"/>
      <c r="BH2" s="6401"/>
      <c r="BI2" s="6401"/>
      <c r="BJ2" s="6401"/>
    </row>
    <row r="3" spans="1:62" ht="11.45" customHeight="1">
      <c r="A3" s="11"/>
      <c r="B3" s="20"/>
      <c r="C3" s="20"/>
      <c r="D3" s="20"/>
      <c r="E3" s="20"/>
      <c r="F3" s="3"/>
      <c r="G3" s="4"/>
      <c r="H3" s="5"/>
      <c r="I3" s="5"/>
      <c r="J3" s="5"/>
      <c r="K3" s="3"/>
      <c r="L3" s="6742"/>
      <c r="M3" s="6534"/>
      <c r="N3" s="6742"/>
      <c r="O3" s="6534"/>
      <c r="P3" s="6742"/>
      <c r="Q3" s="6534"/>
      <c r="R3" s="6641"/>
      <c r="S3" s="6534"/>
      <c r="T3" s="8"/>
      <c r="U3" s="8"/>
      <c r="V3" s="7"/>
      <c r="W3" s="7"/>
      <c r="X3" s="3"/>
      <c r="Y3" s="7"/>
      <c r="Z3" s="6342"/>
      <c r="AA3" s="6342"/>
      <c r="AB3" s="6342"/>
    </row>
    <row r="4" spans="1:62" ht="10.15" customHeight="1">
      <c r="A4" s="11"/>
      <c r="B4" s="11"/>
      <c r="C4" s="11"/>
      <c r="D4" s="11"/>
      <c r="E4" s="11"/>
      <c r="F4" s="21"/>
      <c r="G4" s="22"/>
      <c r="H4" s="22"/>
      <c r="I4" s="22"/>
      <c r="J4" s="22"/>
      <c r="K4" s="21"/>
      <c r="L4" s="6743"/>
      <c r="M4" s="37"/>
      <c r="N4" s="6743"/>
      <c r="O4" s="37"/>
      <c r="P4" s="6743"/>
      <c r="Q4" s="37"/>
      <c r="T4" s="24"/>
      <c r="U4" s="24"/>
      <c r="V4" s="11"/>
      <c r="W4" s="11"/>
      <c r="X4" s="11"/>
      <c r="Y4" s="11"/>
      <c r="Z4" s="21"/>
      <c r="AA4" s="21"/>
      <c r="AB4" s="21"/>
    </row>
    <row r="5" spans="1:62" ht="20.65" hidden="1" customHeight="1">
      <c r="A5" s="11"/>
      <c r="B5" s="1700" t="s">
        <v>111</v>
      </c>
      <c r="C5" s="25"/>
      <c r="D5" s="25"/>
      <c r="E5" s="25"/>
      <c r="F5" s="26"/>
      <c r="G5" s="26"/>
      <c r="H5" s="22"/>
      <c r="I5" s="27"/>
      <c r="J5" s="27"/>
      <c r="K5" s="28"/>
      <c r="L5" s="6744"/>
      <c r="M5" s="6535"/>
      <c r="N5" s="6744"/>
      <c r="O5" s="6535"/>
      <c r="P5" s="6744"/>
      <c r="Q5" s="6535"/>
      <c r="R5" s="6642"/>
      <c r="S5" s="6535"/>
      <c r="T5" s="33"/>
      <c r="U5" s="33"/>
      <c r="V5" s="32"/>
      <c r="W5" s="32"/>
      <c r="X5" s="32"/>
      <c r="Y5" s="32"/>
      <c r="Z5" s="6343"/>
      <c r="AA5" s="6343"/>
      <c r="AB5" s="6343"/>
      <c r="AD5" s="1287"/>
    </row>
    <row r="6" spans="1:62" ht="20.65" hidden="1" customHeight="1" thickBot="1">
      <c r="A6" s="11"/>
      <c r="B6" s="1701" t="s">
        <v>112</v>
      </c>
      <c r="C6" s="11"/>
      <c r="D6" s="11"/>
      <c r="E6" s="27"/>
      <c r="F6" s="34"/>
      <c r="G6" s="34"/>
      <c r="H6" s="27"/>
      <c r="I6" s="27"/>
      <c r="J6" s="27"/>
      <c r="K6" s="28"/>
      <c r="L6" s="6744"/>
      <c r="M6" s="6535"/>
      <c r="N6" s="6818"/>
      <c r="P6" s="6744"/>
      <c r="Q6" s="6535"/>
      <c r="R6" s="6642"/>
      <c r="S6" s="6535"/>
      <c r="T6" s="33"/>
      <c r="U6" s="33"/>
      <c r="V6" s="32"/>
      <c r="W6" s="32"/>
      <c r="X6" s="32"/>
      <c r="Y6" s="32"/>
      <c r="Z6" s="6343"/>
      <c r="AA6" s="6343"/>
      <c r="AB6" s="6343"/>
      <c r="AD6" s="1287"/>
    </row>
    <row r="7" spans="1:62" ht="20.65" hidden="1" customHeight="1" thickBot="1">
      <c r="A7" s="11"/>
      <c r="B7" s="1701" t="s">
        <v>113</v>
      </c>
      <c r="C7" s="11"/>
      <c r="D7" s="11"/>
      <c r="E7" s="27"/>
      <c r="F7" s="34"/>
      <c r="G7" s="34"/>
      <c r="H7" s="27"/>
      <c r="I7" s="27"/>
      <c r="J7" s="27"/>
      <c r="K7" s="36"/>
      <c r="L7" s="6744"/>
      <c r="M7" s="6535"/>
      <c r="N7" s="6819"/>
      <c r="O7" s="7338"/>
      <c r="P7" s="6744"/>
      <c r="Q7" s="6535"/>
      <c r="R7" s="6642"/>
      <c r="S7" s="6535"/>
      <c r="T7" s="33"/>
      <c r="U7" s="33"/>
      <c r="V7" s="32"/>
      <c r="W7" s="32"/>
      <c r="X7" s="32"/>
      <c r="Y7" s="32"/>
      <c r="Z7" s="6343"/>
      <c r="AA7" s="6343"/>
      <c r="AB7" s="6343"/>
      <c r="AD7" s="1287"/>
    </row>
    <row r="8" spans="1:62" ht="20.65" hidden="1" customHeight="1" thickBot="1">
      <c r="A8" s="11"/>
      <c r="B8" s="1701" t="s">
        <v>114</v>
      </c>
      <c r="C8" s="11"/>
      <c r="D8" s="11"/>
      <c r="E8" s="27"/>
      <c r="F8" s="34"/>
      <c r="G8" s="34"/>
      <c r="H8" s="29"/>
      <c r="I8" s="35"/>
      <c r="J8" s="31"/>
      <c r="K8" s="30"/>
      <c r="L8" s="6745"/>
      <c r="M8" s="37"/>
      <c r="N8" s="6745"/>
      <c r="O8" s="37"/>
      <c r="P8" s="6744"/>
      <c r="Q8" s="6535"/>
      <c r="R8" s="6642"/>
      <c r="S8" s="6535"/>
      <c r="T8" s="33"/>
      <c r="U8" s="33"/>
      <c r="V8" s="32"/>
      <c r="W8" s="32"/>
      <c r="X8" s="32"/>
      <c r="Y8" s="32"/>
      <c r="Z8" s="6343"/>
      <c r="AA8" s="6343"/>
      <c r="AB8" s="6343"/>
      <c r="AD8" s="1287"/>
    </row>
    <row r="9" spans="1:62" ht="20.65" hidden="1" customHeight="1" thickBot="1">
      <c r="A9" s="11"/>
      <c r="B9" s="1701" t="s">
        <v>115</v>
      </c>
      <c r="C9" s="11"/>
      <c r="D9" s="11"/>
      <c r="E9" s="27"/>
      <c r="F9" s="34"/>
      <c r="G9" s="34"/>
      <c r="H9" s="38"/>
      <c r="I9" s="35" t="s">
        <v>116</v>
      </c>
      <c r="J9" s="31"/>
      <c r="K9" s="30"/>
      <c r="L9" s="6745"/>
      <c r="M9" s="37"/>
      <c r="N9" s="6745"/>
      <c r="O9" s="37"/>
      <c r="P9" s="6744"/>
      <c r="Q9" s="6535"/>
      <c r="R9" s="6642"/>
      <c r="S9" s="6535"/>
      <c r="T9" s="33"/>
      <c r="U9" s="33"/>
      <c r="V9" s="32"/>
      <c r="W9" s="32"/>
      <c r="X9" s="32"/>
      <c r="Y9" s="32"/>
      <c r="Z9" s="6343"/>
      <c r="AA9" s="6343"/>
      <c r="AB9" s="6343"/>
      <c r="AD9" s="1287"/>
    </row>
    <row r="10" spans="1:62" ht="20.65" hidden="1" customHeight="1" thickBot="1">
      <c r="A10" s="11"/>
      <c r="B10" s="1702" t="s">
        <v>117</v>
      </c>
      <c r="C10" s="39"/>
      <c r="D10" s="39"/>
      <c r="E10" s="40"/>
      <c r="F10" s="41"/>
      <c r="G10" s="41"/>
      <c r="H10" s="42"/>
      <c r="I10" s="35" t="s">
        <v>118</v>
      </c>
      <c r="J10" s="31"/>
      <c r="K10" s="30"/>
      <c r="L10" s="6745"/>
      <c r="M10" s="37"/>
      <c r="N10" s="6745"/>
      <c r="O10" s="37"/>
      <c r="P10" s="6744"/>
      <c r="Q10" s="6535"/>
      <c r="R10" s="6642"/>
      <c r="S10" s="6535"/>
      <c r="T10" s="33"/>
      <c r="U10" s="33"/>
      <c r="V10" s="32"/>
      <c r="W10" s="32"/>
      <c r="X10" s="32"/>
      <c r="Y10" s="32"/>
      <c r="Z10" s="6343"/>
      <c r="AA10" s="6343"/>
      <c r="AB10" s="6343"/>
      <c r="AD10" s="1287"/>
    </row>
    <row r="11" spans="1:62" ht="17.25" customHeight="1" thickBot="1">
      <c r="A11" s="11"/>
      <c r="B11" s="7869" t="s">
        <v>119</v>
      </c>
      <c r="C11" s="24"/>
      <c r="D11" s="43"/>
      <c r="E11" s="43"/>
      <c r="F11" s="44"/>
      <c r="G11" s="45"/>
      <c r="H11" s="46"/>
      <c r="I11" s="46"/>
      <c r="J11" s="46"/>
      <c r="K11" s="44"/>
      <c r="L11" s="6746"/>
      <c r="M11" s="7201"/>
      <c r="N11" s="6743"/>
      <c r="O11" s="7201"/>
      <c r="P11" s="6900"/>
      <c r="Q11" s="7201"/>
      <c r="R11" s="6643"/>
      <c r="S11" s="6536"/>
      <c r="T11" s="49"/>
      <c r="U11" s="49"/>
      <c r="V11" s="24"/>
      <c r="W11" s="24"/>
      <c r="X11" s="24"/>
      <c r="Y11" s="24"/>
      <c r="Z11" s="44"/>
      <c r="AA11" s="44"/>
      <c r="AB11" s="44"/>
      <c r="AD11" s="1287"/>
    </row>
    <row r="12" spans="1:62" ht="26.65" customHeight="1" thickTop="1">
      <c r="A12" s="50"/>
      <c r="B12" s="9668" t="s">
        <v>1</v>
      </c>
      <c r="C12" s="9668"/>
      <c r="D12" s="9668"/>
      <c r="E12" s="9668"/>
      <c r="F12" s="9668"/>
      <c r="G12" s="9669" t="s">
        <v>2</v>
      </c>
      <c r="H12" s="9669"/>
      <c r="I12" s="9669"/>
      <c r="J12" s="9669"/>
      <c r="K12" s="5582"/>
      <c r="L12" s="9668" t="s">
        <v>3</v>
      </c>
      <c r="M12" s="9668"/>
      <c r="N12" s="9668"/>
      <c r="O12" s="9668"/>
      <c r="P12" s="9668"/>
      <c r="Q12" s="7436"/>
      <c r="R12" s="5545" t="s">
        <v>4</v>
      </c>
      <c r="S12" s="5545" t="s">
        <v>5</v>
      </c>
      <c r="T12" s="9706" t="s">
        <v>6</v>
      </c>
      <c r="U12" s="9706" t="s">
        <v>7</v>
      </c>
      <c r="V12" s="9708" t="s">
        <v>8</v>
      </c>
      <c r="W12" s="9710" t="s">
        <v>9</v>
      </c>
      <c r="X12" s="9712" t="s">
        <v>10</v>
      </c>
      <c r="Y12" s="53"/>
      <c r="Z12" s="9667" t="s">
        <v>11</v>
      </c>
      <c r="AA12" s="9667"/>
      <c r="AB12" s="9667"/>
      <c r="AC12" s="6439" t="s">
        <v>120</v>
      </c>
      <c r="AD12" s="6440" t="s">
        <v>121</v>
      </c>
      <c r="AE12" s="7868" t="s">
        <v>122</v>
      </c>
    </row>
    <row r="13" spans="1:62" ht="21.6" customHeight="1" thickBot="1">
      <c r="A13" s="50"/>
      <c r="B13" s="6708"/>
      <c r="C13" s="6709" t="s">
        <v>12</v>
      </c>
      <c r="D13" s="6709" t="s">
        <v>13</v>
      </c>
      <c r="E13" s="6709" t="s">
        <v>14</v>
      </c>
      <c r="F13" s="6709" t="s">
        <v>15</v>
      </c>
      <c r="G13" s="6709" t="s">
        <v>16</v>
      </c>
      <c r="H13" s="6709" t="s">
        <v>12</v>
      </c>
      <c r="I13" s="6709" t="s">
        <v>13</v>
      </c>
      <c r="J13" s="6709" t="s">
        <v>14</v>
      </c>
      <c r="K13" s="5583" t="s">
        <v>17</v>
      </c>
      <c r="L13" s="6747" t="s">
        <v>18</v>
      </c>
      <c r="M13" s="6710" t="s">
        <v>19</v>
      </c>
      <c r="N13" s="6820" t="s">
        <v>20</v>
      </c>
      <c r="O13" s="6710" t="s">
        <v>19</v>
      </c>
      <c r="P13" s="6820" t="s">
        <v>21</v>
      </c>
      <c r="Q13" s="6711" t="s">
        <v>19</v>
      </c>
      <c r="R13" s="6712"/>
      <c r="S13" s="6713"/>
      <c r="T13" s="9861"/>
      <c r="U13" s="9861"/>
      <c r="V13" s="9862"/>
      <c r="W13" s="9858"/>
      <c r="X13" s="9858"/>
      <c r="Y13" s="6714" t="s">
        <v>22</v>
      </c>
      <c r="Z13" s="62" t="s">
        <v>23</v>
      </c>
      <c r="AA13" s="63" t="s">
        <v>24</v>
      </c>
      <c r="AB13" s="64" t="s">
        <v>25</v>
      </c>
      <c r="AD13" s="6402"/>
    </row>
    <row r="14" spans="1:62" ht="27" thickBot="1">
      <c r="A14" s="50"/>
      <c r="B14" s="6717" t="s">
        <v>123</v>
      </c>
      <c r="C14" s="6718"/>
      <c r="D14" s="6718"/>
      <c r="E14" s="6718"/>
      <c r="F14" s="6719"/>
      <c r="G14" s="6720" t="s">
        <v>27</v>
      </c>
      <c r="H14" s="6721"/>
      <c r="I14" s="6721"/>
      <c r="J14" s="6721"/>
      <c r="K14" s="6719"/>
      <c r="L14" s="6748"/>
      <c r="M14" s="6723"/>
      <c r="N14" s="6821"/>
      <c r="O14" s="6723"/>
      <c r="P14" s="6821"/>
      <c r="Q14" s="6723"/>
      <c r="R14" s="6722"/>
      <c r="S14" s="6723"/>
      <c r="T14" s="6724"/>
      <c r="U14" s="6724"/>
      <c r="V14" s="6725"/>
      <c r="W14" s="6725"/>
      <c r="X14" s="6725"/>
      <c r="Y14" s="6725" t="s">
        <v>28</v>
      </c>
      <c r="Z14" s="6726"/>
      <c r="AA14" s="6726"/>
      <c r="AB14" s="6727"/>
      <c r="AD14" s="6402"/>
    </row>
    <row r="15" spans="1:62" ht="20.100000000000001" customHeight="1">
      <c r="A15" s="11"/>
      <c r="B15" s="1553" t="str">
        <f>C15</f>
        <v>확정급여연금제도 의무 및 기타 은퇴지원제도</v>
      </c>
      <c r="C15" s="6728" t="s">
        <v>124</v>
      </c>
      <c r="D15" s="6729"/>
      <c r="E15" s="6729"/>
      <c r="F15" s="7105"/>
      <c r="G15" s="7106"/>
      <c r="H15" s="7106"/>
      <c r="I15" s="7106"/>
      <c r="J15" s="7106"/>
      <c r="K15" s="7106"/>
      <c r="L15" s="7107"/>
      <c r="M15" s="6731"/>
      <c r="N15" s="6749"/>
      <c r="O15" s="6731"/>
      <c r="P15" s="6749"/>
      <c r="Q15" s="6731"/>
      <c r="R15" s="6730" t="s">
        <v>36</v>
      </c>
      <c r="S15" s="6731"/>
      <c r="T15" s="6732"/>
      <c r="U15" s="6715"/>
      <c r="V15" s="808" t="s">
        <v>125</v>
      </c>
      <c r="W15" s="6716"/>
      <c r="X15" s="6716"/>
      <c r="Y15" s="808"/>
      <c r="Z15" s="111"/>
      <c r="AA15" s="154"/>
      <c r="AB15" s="159"/>
    </row>
    <row r="16" spans="1:62" ht="20.100000000000001" customHeight="1">
      <c r="A16" s="11"/>
      <c r="B16" s="1351"/>
      <c r="C16" s="386"/>
      <c r="D16" s="9859" t="s">
        <v>126</v>
      </c>
      <c r="E16" s="9859"/>
      <c r="F16" s="6683" t="s">
        <v>33</v>
      </c>
      <c r="G16" s="6734"/>
      <c r="H16" s="7859"/>
      <c r="I16" s="9597" t="s">
        <v>127</v>
      </c>
      <c r="J16" s="9597"/>
      <c r="K16" s="6735" t="s">
        <v>128</v>
      </c>
      <c r="L16" s="6985"/>
      <c r="M16" s="6988"/>
      <c r="N16" s="6971"/>
      <c r="O16" s="6988"/>
      <c r="P16" s="6971"/>
      <c r="Q16" s="7437"/>
      <c r="R16" s="6696" t="s">
        <v>36</v>
      </c>
      <c r="S16" s="6988" t="s">
        <v>129</v>
      </c>
      <c r="T16" s="6989" t="s">
        <v>130</v>
      </c>
      <c r="U16" s="181" t="s">
        <v>131</v>
      </c>
      <c r="V16" s="99" t="s">
        <v>125</v>
      </c>
      <c r="W16" s="138"/>
      <c r="X16" s="138"/>
      <c r="Y16" s="99"/>
      <c r="Z16" s="111"/>
      <c r="AA16" s="154" t="s">
        <v>132</v>
      </c>
      <c r="AB16" s="159"/>
      <c r="AD16" s="139" t="s">
        <v>133</v>
      </c>
    </row>
    <row r="17" spans="1:62" customFormat="1" ht="20.100000000000001" customHeight="1">
      <c r="B17" s="5851"/>
      <c r="C17" s="358"/>
      <c r="D17" s="9749" t="s">
        <v>134</v>
      </c>
      <c r="E17" s="9860"/>
      <c r="F17" s="2240" t="s">
        <v>33</v>
      </c>
      <c r="G17" s="6165"/>
      <c r="H17" s="6132"/>
      <c r="I17" s="9579" t="s">
        <v>135</v>
      </c>
      <c r="J17" s="9581"/>
      <c r="K17" s="5833" t="s">
        <v>35</v>
      </c>
      <c r="L17" s="6750">
        <v>6363</v>
      </c>
      <c r="M17" s="7202"/>
      <c r="N17" s="6822" t="s">
        <v>2036</v>
      </c>
      <c r="O17" s="7339"/>
      <c r="P17" s="6822">
        <v>4427</v>
      </c>
      <c r="Q17" s="7218"/>
      <c r="R17" s="6617" t="s">
        <v>196</v>
      </c>
      <c r="S17" s="6539" t="s">
        <v>136</v>
      </c>
      <c r="T17" s="5848"/>
      <c r="U17" s="5847"/>
      <c r="V17" s="5846"/>
      <c r="W17" s="5845"/>
      <c r="X17" s="5845"/>
      <c r="Y17" s="5846"/>
      <c r="Z17" s="5844"/>
      <c r="AA17" s="5843"/>
      <c r="AB17" s="4532"/>
      <c r="AC17" s="6301"/>
      <c r="AD17" s="6403"/>
      <c r="AE17" s="6403"/>
      <c r="AF17" s="6403"/>
      <c r="AG17" s="6403"/>
      <c r="AH17" s="6403"/>
      <c r="AI17" s="6403"/>
      <c r="AJ17" s="6403"/>
      <c r="AK17" s="6403"/>
      <c r="AL17" s="6403"/>
      <c r="AM17" s="6403"/>
      <c r="AN17" s="6403"/>
      <c r="AO17" s="6403"/>
      <c r="AP17" s="6403"/>
      <c r="AQ17" s="6403"/>
      <c r="AR17" s="6403"/>
      <c r="AS17" s="6403"/>
      <c r="AT17" s="6403"/>
      <c r="AU17" s="6403"/>
      <c r="AV17" s="6403"/>
      <c r="AW17" s="6403"/>
      <c r="AX17" s="6403"/>
      <c r="AY17" s="6403"/>
      <c r="AZ17" s="6403"/>
      <c r="BA17" s="6403"/>
      <c r="BB17" s="6403"/>
      <c r="BC17" s="6403"/>
      <c r="BD17" s="6403"/>
      <c r="BE17" s="6403"/>
      <c r="BF17" s="6403"/>
      <c r="BG17" s="6403"/>
      <c r="BH17" s="6403"/>
      <c r="BI17" s="6403"/>
      <c r="BJ17" s="6403"/>
    </row>
    <row r="18" spans="1:62" ht="20.100000000000001" customHeight="1">
      <c r="A18" s="11"/>
      <c r="B18" s="5851"/>
      <c r="C18" s="358"/>
      <c r="D18" s="9598" t="s">
        <v>137</v>
      </c>
      <c r="E18" s="9600"/>
      <c r="F18" s="2240" t="s">
        <v>33</v>
      </c>
      <c r="G18" s="643"/>
      <c r="H18" s="6132"/>
      <c r="I18" s="9579" t="s">
        <v>138</v>
      </c>
      <c r="J18" s="9581"/>
      <c r="K18" s="5833" t="s">
        <v>35</v>
      </c>
      <c r="L18" s="6751"/>
      <c r="M18" s="7203"/>
      <c r="N18" s="6823"/>
      <c r="O18" s="7340"/>
      <c r="P18" s="6823"/>
      <c r="Q18" s="7240"/>
      <c r="R18" s="6617" t="s">
        <v>196</v>
      </c>
      <c r="S18" s="6538" t="s">
        <v>139</v>
      </c>
      <c r="T18" s="2465"/>
      <c r="U18" s="163"/>
      <c r="V18" s="99"/>
      <c r="W18" s="138"/>
      <c r="X18" s="138"/>
      <c r="Y18" s="99"/>
      <c r="Z18" s="186"/>
      <c r="AA18" s="154"/>
      <c r="AB18" s="187"/>
    </row>
    <row r="19" spans="1:62" ht="19.899999999999999" customHeight="1">
      <c r="A19" s="11"/>
      <c r="B19" s="5851"/>
      <c r="C19" s="777"/>
      <c r="D19" s="9598" t="s">
        <v>140</v>
      </c>
      <c r="E19" s="9600"/>
      <c r="F19" s="2240" t="s">
        <v>33</v>
      </c>
      <c r="G19" s="742"/>
      <c r="H19" s="6132"/>
      <c r="I19" s="9579" t="s">
        <v>141</v>
      </c>
      <c r="J19" s="9581"/>
      <c r="K19" s="132" t="s">
        <v>142</v>
      </c>
      <c r="L19" s="6752">
        <v>0</v>
      </c>
      <c r="M19" s="7203"/>
      <c r="N19" s="6824">
        <v>0</v>
      </c>
      <c r="O19" s="7340"/>
      <c r="P19" s="6824">
        <v>0</v>
      </c>
      <c r="Q19" s="7219"/>
      <c r="R19" s="6616" t="s">
        <v>36</v>
      </c>
      <c r="S19" s="6628"/>
      <c r="T19" s="2468"/>
      <c r="U19" s="276"/>
      <c r="V19" s="99"/>
      <c r="W19" s="138"/>
      <c r="X19" s="138"/>
      <c r="Y19" s="99"/>
      <c r="Z19" s="264"/>
      <c r="AA19" s="277"/>
      <c r="AB19" s="187"/>
    </row>
    <row r="20" spans="1:62" ht="19.899999999999999" customHeight="1">
      <c r="A20" s="11"/>
      <c r="B20" s="5851"/>
      <c r="C20" s="777"/>
      <c r="D20" s="9598" t="s">
        <v>143</v>
      </c>
      <c r="E20" s="9600"/>
      <c r="F20" s="2240" t="s">
        <v>33</v>
      </c>
      <c r="G20" s="742"/>
      <c r="H20" s="6132"/>
      <c r="I20" s="9579" t="s">
        <v>144</v>
      </c>
      <c r="J20" s="9581"/>
      <c r="K20" s="132" t="s">
        <v>145</v>
      </c>
      <c r="L20" s="6753">
        <f>801874*10*'(참고) 연도별 기말환율'!D27/10^6</f>
        <v>41.777635400000001</v>
      </c>
      <c r="M20" s="7204"/>
      <c r="N20" s="6825">
        <f>405001*10*'(참고) 연도별 기말환율'!C27/10^6</f>
        <v>21.748553699999999</v>
      </c>
      <c r="O20" s="7341"/>
      <c r="P20" s="6901">
        <f>228244*10*'(참고) 연도별 기말환율'!B27/10^6</f>
        <v>12.142580800000001</v>
      </c>
      <c r="Q20" s="7438"/>
      <c r="R20" s="6618" t="s">
        <v>36</v>
      </c>
      <c r="S20" s="6628" t="s">
        <v>2037</v>
      </c>
      <c r="T20" s="2468"/>
      <c r="U20" s="276"/>
      <c r="V20" s="99"/>
      <c r="W20" s="138"/>
      <c r="X20" s="138"/>
      <c r="Y20" s="99"/>
      <c r="Z20" s="264"/>
      <c r="AA20" s="277"/>
      <c r="AB20" s="187"/>
    </row>
    <row r="21" spans="1:62" ht="19.899999999999999" customHeight="1">
      <c r="A21" s="11"/>
      <c r="B21" s="5851"/>
      <c r="C21" s="777"/>
      <c r="D21" s="9598" t="s">
        <v>146</v>
      </c>
      <c r="E21" s="9600"/>
      <c r="F21" s="2240" t="s">
        <v>33</v>
      </c>
      <c r="G21" s="253"/>
      <c r="H21" s="6132"/>
      <c r="I21" s="9579" t="s">
        <v>147</v>
      </c>
      <c r="J21" s="9581"/>
      <c r="K21" s="132" t="s">
        <v>148</v>
      </c>
      <c r="L21" s="6754">
        <f>1845571870/100*'(참고) 연도별 기말환율'!D24/10^6</f>
        <v>153.36702239700003</v>
      </c>
      <c r="M21" s="7205"/>
      <c r="N21" s="6826">
        <f>1525147726/100*'(참고) 연도별 기말환율'!C24/10^6</f>
        <v>123.3844510334</v>
      </c>
      <c r="O21" s="7342"/>
      <c r="P21" s="6826">
        <f>3471845218/100*'(참고) 연도별 기말환율'!B24/10^6</f>
        <v>290.24626022479998</v>
      </c>
      <c r="Q21" s="7439"/>
      <c r="R21" s="6619" t="s">
        <v>36</v>
      </c>
      <c r="S21" s="6628" t="s">
        <v>2038</v>
      </c>
      <c r="T21" s="2468"/>
      <c r="U21" s="276"/>
      <c r="V21" s="99"/>
      <c r="W21" s="138"/>
      <c r="X21" s="138"/>
      <c r="Y21" s="99"/>
      <c r="Z21" s="264"/>
      <c r="AA21" s="277"/>
      <c r="AB21" s="187"/>
    </row>
    <row r="22" spans="1:62" ht="19.899999999999999" customHeight="1">
      <c r="A22" s="11"/>
      <c r="B22" s="5851"/>
      <c r="C22" s="777"/>
      <c r="D22" s="9598" t="s">
        <v>149</v>
      </c>
      <c r="E22" s="9600"/>
      <c r="F22" s="2240" t="s">
        <v>33</v>
      </c>
      <c r="G22" s="253"/>
      <c r="H22" s="6132"/>
      <c r="I22" s="9579" t="s">
        <v>150</v>
      </c>
      <c r="J22" s="9581"/>
      <c r="K22" s="132" t="s">
        <v>151</v>
      </c>
      <c r="L22" s="6754">
        <f>173763.76*'(참고) 연도별 기말환율'!D58/10^6</f>
        <v>15.605723285600002</v>
      </c>
      <c r="M22" s="7206"/>
      <c r="N22" s="6827">
        <f>54826.65*'(참고) 연도별 기말환율'!C58/10^6</f>
        <v>3.7128607379999998</v>
      </c>
      <c r="O22" s="7343"/>
      <c r="P22" s="6827">
        <f>7569641.49*'(참고) 연도별 기말환율'!B58/10^6</f>
        <v>330.71763669809997</v>
      </c>
      <c r="Q22" s="7439"/>
      <c r="R22" s="6619" t="s">
        <v>36</v>
      </c>
      <c r="S22" s="6628" t="s">
        <v>2039</v>
      </c>
      <c r="T22" s="2468"/>
      <c r="U22" s="276"/>
      <c r="V22" s="99"/>
      <c r="W22" s="138"/>
      <c r="X22" s="138"/>
      <c r="Y22" s="99"/>
      <c r="Z22" s="264"/>
      <c r="AA22" s="277"/>
      <c r="AB22" s="187"/>
    </row>
    <row r="23" spans="1:62" ht="19.899999999999999" customHeight="1">
      <c r="A23" s="11"/>
      <c r="B23" s="5851"/>
      <c r="C23" s="777"/>
      <c r="D23" s="9859" t="s">
        <v>152</v>
      </c>
      <c r="E23" s="9859"/>
      <c r="F23" s="6683" t="s">
        <v>156</v>
      </c>
      <c r="G23" s="6734"/>
      <c r="H23" s="6736"/>
      <c r="I23" s="9597" t="s">
        <v>153</v>
      </c>
      <c r="J23" s="9597"/>
      <c r="K23" s="6735" t="s">
        <v>154</v>
      </c>
      <c r="L23" s="6985"/>
      <c r="M23" s="6988"/>
      <c r="N23" s="6971"/>
      <c r="O23" s="6988"/>
      <c r="P23" s="6971"/>
      <c r="Q23" s="7437"/>
      <c r="R23" s="6696" t="s">
        <v>1995</v>
      </c>
      <c r="S23" s="6990" t="s">
        <v>158</v>
      </c>
      <c r="T23" s="6989" t="s">
        <v>130</v>
      </c>
      <c r="U23" s="181" t="s">
        <v>131</v>
      </c>
      <c r="V23" s="99" t="s">
        <v>125</v>
      </c>
      <c r="W23" s="138"/>
      <c r="X23" s="138"/>
      <c r="Y23" s="99"/>
      <c r="Z23" s="186"/>
      <c r="AA23" s="154" t="s">
        <v>132</v>
      </c>
      <c r="AB23" s="187"/>
    </row>
    <row r="24" spans="1:62" customFormat="1" ht="20.100000000000001" customHeight="1">
      <c r="B24" s="5851"/>
      <c r="C24" s="358"/>
      <c r="D24" s="9749" t="s">
        <v>134</v>
      </c>
      <c r="E24" s="9860"/>
      <c r="F24" s="285" t="s">
        <v>156</v>
      </c>
      <c r="G24" s="6132"/>
      <c r="H24" s="6132"/>
      <c r="I24" s="9579" t="s">
        <v>135</v>
      </c>
      <c r="J24" s="9581"/>
      <c r="K24" s="5849" t="s">
        <v>154</v>
      </c>
      <c r="L24" s="6755"/>
      <c r="M24" s="7207"/>
      <c r="N24" s="6828" t="s">
        <v>157</v>
      </c>
      <c r="O24" s="7344"/>
      <c r="P24" s="6828" t="s">
        <v>157</v>
      </c>
      <c r="Q24" s="7440"/>
      <c r="R24" s="6616" t="s">
        <v>1995</v>
      </c>
      <c r="S24" s="6542"/>
      <c r="T24" s="5848"/>
      <c r="U24" s="5847"/>
      <c r="V24" s="5846"/>
      <c r="W24" s="5845"/>
      <c r="X24" s="5845"/>
      <c r="Y24" s="5846"/>
      <c r="Z24" s="5844"/>
      <c r="AA24" s="5843"/>
      <c r="AB24" s="4532"/>
      <c r="AC24" s="6301"/>
      <c r="AD24" s="6403" t="s">
        <v>159</v>
      </c>
      <c r="AE24" s="6403"/>
      <c r="AF24" s="6403"/>
      <c r="AG24" s="6403"/>
      <c r="AH24" s="6403"/>
      <c r="AI24" s="6403"/>
      <c r="AJ24" s="6403"/>
      <c r="AK24" s="6403"/>
      <c r="AL24" s="6403"/>
      <c r="AM24" s="6403"/>
      <c r="AN24" s="6403"/>
      <c r="AO24" s="6403"/>
      <c r="AP24" s="6403"/>
      <c r="AQ24" s="6403"/>
      <c r="AR24" s="6403"/>
      <c r="AS24" s="6403"/>
      <c r="AT24" s="6403"/>
      <c r="AU24" s="6403"/>
      <c r="AV24" s="6403"/>
      <c r="AW24" s="6403"/>
      <c r="AX24" s="6403"/>
      <c r="AY24" s="6403"/>
      <c r="AZ24" s="6403"/>
      <c r="BA24" s="6403"/>
      <c r="BB24" s="6403"/>
      <c r="BC24" s="6403"/>
      <c r="BD24" s="6403"/>
      <c r="BE24" s="6403"/>
      <c r="BF24" s="6403"/>
      <c r="BG24" s="6403"/>
      <c r="BH24" s="6403"/>
      <c r="BI24" s="6403"/>
      <c r="BJ24" s="6403"/>
    </row>
    <row r="25" spans="1:62" ht="20.100000000000001" customHeight="1">
      <c r="A25" s="11"/>
      <c r="B25" s="5851"/>
      <c r="C25" s="358"/>
      <c r="D25" s="9598" t="s">
        <v>137</v>
      </c>
      <c r="E25" s="9600"/>
      <c r="F25" s="285" t="s">
        <v>156</v>
      </c>
      <c r="G25" s="358"/>
      <c r="H25" s="6132"/>
      <c r="I25" s="9579" t="s">
        <v>138</v>
      </c>
      <c r="J25" s="9581"/>
      <c r="K25" s="5589" t="s">
        <v>154</v>
      </c>
      <c r="L25" s="6755"/>
      <c r="M25" s="7208"/>
      <c r="N25" s="6829"/>
      <c r="O25" s="7345"/>
      <c r="P25" s="6829"/>
      <c r="Q25" s="7441"/>
      <c r="R25" s="6616" t="s">
        <v>1995</v>
      </c>
      <c r="S25" s="6543"/>
      <c r="T25" s="2465"/>
      <c r="U25" s="163"/>
      <c r="V25" s="99"/>
      <c r="W25" s="138"/>
      <c r="X25" s="138"/>
      <c r="Y25" s="99"/>
      <c r="Z25" s="186"/>
      <c r="AA25" s="154"/>
      <c r="AB25" s="187"/>
    </row>
    <row r="26" spans="1:62" ht="19.899999999999999" customHeight="1">
      <c r="A26" s="11"/>
      <c r="B26" s="5851"/>
      <c r="C26" s="777"/>
      <c r="D26" s="9598" t="s">
        <v>140</v>
      </c>
      <c r="E26" s="9600"/>
      <c r="F26" s="285" t="s">
        <v>156</v>
      </c>
      <c r="G26" s="253"/>
      <c r="H26" s="6132"/>
      <c r="I26" s="9582" t="s">
        <v>141</v>
      </c>
      <c r="J26" s="9583"/>
      <c r="K26" s="132" t="s">
        <v>154</v>
      </c>
      <c r="L26" s="6756">
        <v>0</v>
      </c>
      <c r="M26" s="7209"/>
      <c r="N26" s="6830">
        <v>0</v>
      </c>
      <c r="O26" s="7346"/>
      <c r="P26" s="6830">
        <v>0</v>
      </c>
      <c r="Q26" s="7442"/>
      <c r="R26" s="6616" t="s">
        <v>1995</v>
      </c>
      <c r="S26" s="6629"/>
      <c r="T26" s="2468"/>
      <c r="U26" s="276"/>
      <c r="V26" s="99"/>
      <c r="W26" s="138"/>
      <c r="X26" s="138"/>
      <c r="Y26" s="99"/>
      <c r="Z26" s="264"/>
      <c r="AA26" s="277"/>
      <c r="AB26" s="187"/>
    </row>
    <row r="27" spans="1:62" ht="19.899999999999999" customHeight="1">
      <c r="A27" s="11"/>
      <c r="B27" s="5851"/>
      <c r="C27" s="777"/>
      <c r="D27" s="9598" t="s">
        <v>143</v>
      </c>
      <c r="E27" s="9600"/>
      <c r="F27" s="285" t="s">
        <v>156</v>
      </c>
      <c r="G27" s="253"/>
      <c r="H27" s="6132"/>
      <c r="I27" s="9582" t="s">
        <v>144</v>
      </c>
      <c r="J27" s="9583"/>
      <c r="K27" s="132" t="s">
        <v>154</v>
      </c>
      <c r="L27" s="6757" t="s">
        <v>160</v>
      </c>
      <c r="M27" s="7210"/>
      <c r="N27" s="6831" t="s">
        <v>160</v>
      </c>
      <c r="O27" s="7210"/>
      <c r="P27" s="6831" t="s">
        <v>160</v>
      </c>
      <c r="Q27" s="7443"/>
      <c r="R27" s="6616" t="s">
        <v>1995</v>
      </c>
      <c r="S27" s="6544"/>
      <c r="T27" s="2468"/>
      <c r="U27" s="276"/>
      <c r="V27" s="99"/>
      <c r="W27" s="138"/>
      <c r="X27" s="138"/>
      <c r="Y27" s="99"/>
      <c r="Z27" s="264"/>
      <c r="AA27" s="277"/>
      <c r="AB27" s="187"/>
    </row>
    <row r="28" spans="1:62" ht="19.899999999999999" customHeight="1">
      <c r="A28" s="11"/>
      <c r="B28" s="5851"/>
      <c r="C28" s="777"/>
      <c r="D28" s="9598" t="s">
        <v>146</v>
      </c>
      <c r="E28" s="9600"/>
      <c r="F28" s="285" t="s">
        <v>156</v>
      </c>
      <c r="G28" s="253"/>
      <c r="H28" s="6132"/>
      <c r="I28" s="9582" t="s">
        <v>147</v>
      </c>
      <c r="J28" s="9583"/>
      <c r="K28" s="132" t="s">
        <v>154</v>
      </c>
      <c r="L28" s="6757" t="s">
        <v>160</v>
      </c>
      <c r="M28" s="7210"/>
      <c r="N28" s="6831" t="s">
        <v>160</v>
      </c>
      <c r="O28" s="7210"/>
      <c r="P28" s="6831" t="s">
        <v>160</v>
      </c>
      <c r="Q28" s="7444"/>
      <c r="R28" s="6616" t="s">
        <v>1995</v>
      </c>
      <c r="S28" s="6545"/>
      <c r="T28" s="2468"/>
      <c r="U28" s="276"/>
      <c r="V28" s="99"/>
      <c r="W28" s="138"/>
      <c r="X28" s="138"/>
      <c r="Y28" s="99"/>
      <c r="Z28" s="264"/>
      <c r="AA28" s="277"/>
      <c r="AB28" s="187"/>
    </row>
    <row r="29" spans="1:62" ht="19.899999999999999" customHeight="1">
      <c r="A29" s="11"/>
      <c r="B29" s="5851"/>
      <c r="C29" s="358"/>
      <c r="D29" s="9598" t="s">
        <v>149</v>
      </c>
      <c r="E29" s="9600"/>
      <c r="F29" s="285" t="s">
        <v>156</v>
      </c>
      <c r="G29" s="253"/>
      <c r="H29" s="6132"/>
      <c r="I29" s="9582" t="s">
        <v>150</v>
      </c>
      <c r="J29" s="9583"/>
      <c r="K29" s="132" t="s">
        <v>154</v>
      </c>
      <c r="L29" s="6757" t="s">
        <v>160</v>
      </c>
      <c r="M29" s="7211"/>
      <c r="N29" s="6832" t="s">
        <v>160</v>
      </c>
      <c r="O29" s="7347"/>
      <c r="P29" s="6832" t="s">
        <v>160</v>
      </c>
      <c r="Q29" s="7441"/>
      <c r="R29" s="6616" t="s">
        <v>1995</v>
      </c>
      <c r="S29" s="6543"/>
      <c r="T29" s="2468"/>
      <c r="U29" s="276"/>
      <c r="V29" s="99"/>
      <c r="W29" s="138"/>
      <c r="X29" s="138"/>
      <c r="Y29" s="99"/>
      <c r="Z29" s="264"/>
      <c r="AA29" s="277"/>
      <c r="AB29" s="187"/>
    </row>
    <row r="30" spans="1:62" ht="20.100000000000001" customHeight="1">
      <c r="A30" s="11"/>
      <c r="B30" s="5851"/>
      <c r="C30" s="777"/>
      <c r="D30" s="9859" t="s">
        <v>162</v>
      </c>
      <c r="E30" s="9859"/>
      <c r="F30" s="6683" t="s">
        <v>638</v>
      </c>
      <c r="G30" s="6734"/>
      <c r="H30" s="6736"/>
      <c r="I30" s="9597" t="s">
        <v>163</v>
      </c>
      <c r="J30" s="9597"/>
      <c r="K30" s="6735" t="s">
        <v>164</v>
      </c>
      <c r="L30" s="6985">
        <f>IF(COUNTBLANK(L31:L36)&gt;0,"미취합법인有",AVERAGE(L31:L36))</f>
        <v>21.446280991735538</v>
      </c>
      <c r="M30" s="7212"/>
      <c r="N30" s="6758">
        <f>IF(COUNTBLANK(N31:N36)&gt;0,"미취합법인有",AVERAGE(N31:N36))</f>
        <v>42.269807280513916</v>
      </c>
      <c r="O30" s="7212"/>
      <c r="P30" s="6902">
        <f>IF(COUNTBLANK(P31:P36)&gt;0,"미취합법인有",AVERAGE(P31:P36))</f>
        <v>42.135523613963038</v>
      </c>
      <c r="Q30" s="6741"/>
      <c r="R30" s="6700" t="s">
        <v>1995</v>
      </c>
      <c r="S30" s="6991" t="s">
        <v>166</v>
      </c>
      <c r="T30" s="6992" t="s">
        <v>165</v>
      </c>
      <c r="U30" s="181" t="s">
        <v>131</v>
      </c>
      <c r="V30" s="99" t="s">
        <v>125</v>
      </c>
      <c r="W30" s="138"/>
      <c r="X30" s="138"/>
      <c r="Y30" s="99"/>
      <c r="Z30" s="186"/>
      <c r="AA30" s="154" t="s">
        <v>132</v>
      </c>
      <c r="AB30" s="187"/>
    </row>
    <row r="31" spans="1:62" customFormat="1" ht="20.100000000000001" customHeight="1">
      <c r="B31" s="5851"/>
      <c r="C31" s="358"/>
      <c r="D31" s="9749" t="s">
        <v>134</v>
      </c>
      <c r="E31" s="9860"/>
      <c r="F31" s="285" t="s">
        <v>156</v>
      </c>
      <c r="G31" s="6132"/>
      <c r="H31" s="6132"/>
      <c r="I31" s="9579" t="s">
        <v>135</v>
      </c>
      <c r="J31" s="9581"/>
      <c r="K31" s="5849" t="s">
        <v>154</v>
      </c>
      <c r="L31" s="6750">
        <v>0</v>
      </c>
      <c r="M31" s="7213"/>
      <c r="N31" s="6833">
        <v>100</v>
      </c>
      <c r="O31" s="7348" t="s">
        <v>167</v>
      </c>
      <c r="P31" s="6833">
        <v>100</v>
      </c>
      <c r="Q31" s="7445" t="s">
        <v>167</v>
      </c>
      <c r="R31" s="6644" t="s">
        <v>1995</v>
      </c>
      <c r="S31" s="6546"/>
      <c r="T31" s="5848"/>
      <c r="U31" s="5847"/>
      <c r="V31" s="5846"/>
      <c r="W31" s="5845"/>
      <c r="X31" s="5845"/>
      <c r="Y31" s="5846"/>
      <c r="Z31" s="5844"/>
      <c r="AA31" s="5843"/>
      <c r="AB31" s="4532"/>
      <c r="AC31" s="6301"/>
      <c r="AD31" s="6403"/>
      <c r="AE31" s="6403"/>
      <c r="AF31" s="6403"/>
      <c r="AG31" s="6403"/>
      <c r="AH31" s="6403"/>
      <c r="AI31" s="6403"/>
      <c r="AJ31" s="6403"/>
      <c r="AK31" s="6403"/>
      <c r="AL31" s="6403"/>
      <c r="AM31" s="6403"/>
      <c r="AN31" s="6403"/>
      <c r="AO31" s="6403"/>
      <c r="AP31" s="6403"/>
      <c r="AQ31" s="6403"/>
      <c r="AR31" s="6403"/>
      <c r="AS31" s="6403"/>
      <c r="AT31" s="6403"/>
      <c r="AU31" s="6403"/>
      <c r="AV31" s="6403"/>
      <c r="AW31" s="6403"/>
      <c r="AX31" s="6403"/>
      <c r="AY31" s="6403"/>
      <c r="AZ31" s="6403"/>
      <c r="BA31" s="6403"/>
      <c r="BB31" s="6403"/>
      <c r="BC31" s="6403"/>
      <c r="BD31" s="6403"/>
      <c r="BE31" s="6403"/>
      <c r="BF31" s="6403"/>
      <c r="BG31" s="6403"/>
      <c r="BH31" s="6403"/>
      <c r="BI31" s="6403"/>
      <c r="BJ31" s="6403"/>
    </row>
    <row r="32" spans="1:62" ht="20.100000000000001" customHeight="1">
      <c r="A32" s="11"/>
      <c r="B32" s="5851"/>
      <c r="C32" s="358"/>
      <c r="D32" s="9598" t="s">
        <v>137</v>
      </c>
      <c r="E32" s="9600"/>
      <c r="F32" s="285" t="s">
        <v>156</v>
      </c>
      <c r="G32" s="358"/>
      <c r="H32" s="6132"/>
      <c r="I32" s="9579" t="s">
        <v>138</v>
      </c>
      <c r="J32" s="9581"/>
      <c r="K32" s="5589" t="s">
        <v>154</v>
      </c>
      <c r="L32" s="6755">
        <v>0</v>
      </c>
      <c r="M32" s="7214"/>
      <c r="N32" s="6834">
        <v>0</v>
      </c>
      <c r="O32" s="7349"/>
      <c r="P32" s="6834">
        <v>0</v>
      </c>
      <c r="Q32" s="7446"/>
      <c r="R32" s="6645" t="s">
        <v>1995</v>
      </c>
      <c r="S32" s="6547"/>
      <c r="T32" s="2465"/>
      <c r="U32" s="163"/>
      <c r="V32" s="99"/>
      <c r="W32" s="138"/>
      <c r="X32" s="138"/>
      <c r="Y32" s="99"/>
      <c r="Z32" s="186"/>
      <c r="AA32" s="154"/>
      <c r="AB32" s="187"/>
    </row>
    <row r="33" spans="1:62" ht="19.899999999999999" customHeight="1">
      <c r="A33" s="11"/>
      <c r="B33" s="5851"/>
      <c r="C33" s="777"/>
      <c r="D33" s="9598" t="s">
        <v>140</v>
      </c>
      <c r="E33" s="9600"/>
      <c r="F33" s="285" t="s">
        <v>156</v>
      </c>
      <c r="G33" s="253"/>
      <c r="H33" s="6132"/>
      <c r="I33" s="9582" t="s">
        <v>141</v>
      </c>
      <c r="J33" s="9583"/>
      <c r="K33" s="132" t="s">
        <v>154</v>
      </c>
      <c r="L33" s="6756">
        <v>0</v>
      </c>
      <c r="M33" s="7215"/>
      <c r="N33" s="6830">
        <v>0</v>
      </c>
      <c r="O33" s="7350"/>
      <c r="P33" s="6830">
        <v>0</v>
      </c>
      <c r="Q33" s="7447"/>
      <c r="R33" s="6640" t="s">
        <v>1995</v>
      </c>
      <c r="S33" s="6627"/>
      <c r="T33" s="2468"/>
      <c r="U33" s="276"/>
      <c r="V33" s="99"/>
      <c r="W33" s="138"/>
      <c r="X33" s="138"/>
      <c r="Y33" s="99"/>
      <c r="Z33" s="264"/>
      <c r="AA33" s="277"/>
      <c r="AB33" s="187"/>
    </row>
    <row r="34" spans="1:62" ht="19.899999999999999" customHeight="1">
      <c r="A34" s="11"/>
      <c r="B34" s="5851"/>
      <c r="C34" s="777"/>
      <c r="D34" s="9598" t="s">
        <v>143</v>
      </c>
      <c r="E34" s="9600"/>
      <c r="F34" s="285" t="s">
        <v>156</v>
      </c>
      <c r="G34" s="253"/>
      <c r="H34" s="6132"/>
      <c r="I34" s="9582" t="s">
        <v>144</v>
      </c>
      <c r="J34" s="9583"/>
      <c r="K34" s="132" t="s">
        <v>154</v>
      </c>
      <c r="L34" s="6759">
        <v>100</v>
      </c>
      <c r="M34" s="7216" t="s">
        <v>639</v>
      </c>
      <c r="N34" s="6833">
        <v>100</v>
      </c>
      <c r="O34" s="7348" t="s">
        <v>167</v>
      </c>
      <c r="P34" s="6833">
        <v>100</v>
      </c>
      <c r="Q34" s="7445" t="s">
        <v>167</v>
      </c>
      <c r="R34" s="6644" t="s">
        <v>1995</v>
      </c>
      <c r="S34" s="6546"/>
      <c r="T34" s="2468"/>
      <c r="U34" s="276"/>
      <c r="V34" s="99"/>
      <c r="W34" s="138"/>
      <c r="X34" s="138"/>
      <c r="Y34" s="99"/>
      <c r="Z34" s="264"/>
      <c r="AA34" s="277"/>
      <c r="AB34" s="187"/>
    </row>
    <row r="35" spans="1:62" ht="19.899999999999999" customHeight="1">
      <c r="A35" s="11"/>
      <c r="B35" s="5851"/>
      <c r="C35" s="777"/>
      <c r="D35" s="9598" t="s">
        <v>146</v>
      </c>
      <c r="E35" s="9600"/>
      <c r="F35" s="285" t="s">
        <v>156</v>
      </c>
      <c r="G35" s="253"/>
      <c r="H35" s="6132"/>
      <c r="I35" s="9582" t="s">
        <v>147</v>
      </c>
      <c r="J35" s="9583"/>
      <c r="K35" s="132" t="s">
        <v>154</v>
      </c>
      <c r="L35" s="6757">
        <v>7.2314049586776852</v>
      </c>
      <c r="M35" s="7217"/>
      <c r="N35" s="6832">
        <v>11.349036402569594</v>
      </c>
      <c r="O35" s="7351"/>
      <c r="P35" s="6832">
        <v>10.677618069815194</v>
      </c>
      <c r="Q35" s="7446"/>
      <c r="R35" s="6645" t="s">
        <v>1995</v>
      </c>
      <c r="S35" s="6547"/>
      <c r="T35" s="2468"/>
      <c r="U35" s="276"/>
      <c r="V35" s="99"/>
      <c r="W35" s="138"/>
      <c r="X35" s="138"/>
      <c r="Y35" s="99"/>
      <c r="Z35" s="264"/>
      <c r="AA35" s="277"/>
      <c r="AB35" s="187"/>
    </row>
    <row r="36" spans="1:62" ht="19.899999999999999" customHeight="1">
      <c r="A36" s="11"/>
      <c r="B36" s="5851"/>
      <c r="C36" s="777"/>
      <c r="D36" s="9598" t="s">
        <v>149</v>
      </c>
      <c r="E36" s="9600"/>
      <c r="F36" s="285" t="s">
        <v>156</v>
      </c>
      <c r="G36" s="253"/>
      <c r="H36" s="6132"/>
      <c r="I36" s="9582" t="s">
        <v>150</v>
      </c>
      <c r="J36" s="9583"/>
      <c r="K36" s="132" t="s">
        <v>154</v>
      </c>
      <c r="L36" s="6757" t="s">
        <v>168</v>
      </c>
      <c r="M36" s="6681" t="s">
        <v>640</v>
      </c>
      <c r="N36" s="6835" t="s">
        <v>169</v>
      </c>
      <c r="O36" s="6681" t="s">
        <v>640</v>
      </c>
      <c r="P36" s="6835" t="s">
        <v>169</v>
      </c>
      <c r="Q36" s="6681" t="s">
        <v>640</v>
      </c>
      <c r="R36" s="6645" t="s">
        <v>1995</v>
      </c>
      <c r="S36" s="6547"/>
      <c r="T36" s="2468"/>
      <c r="U36" s="276"/>
      <c r="V36" s="99"/>
      <c r="W36" s="138"/>
      <c r="X36" s="138"/>
      <c r="Y36" s="99"/>
      <c r="Z36" s="264"/>
      <c r="AA36" s="277"/>
      <c r="AB36" s="187"/>
      <c r="AC36" s="6159" t="s">
        <v>170</v>
      </c>
    </row>
    <row r="37" spans="1:62" ht="20.100000000000001" customHeight="1">
      <c r="A37" s="11"/>
      <c r="B37" s="1353"/>
      <c r="C37" s="9863" t="s">
        <v>171</v>
      </c>
      <c r="D37" s="9864"/>
      <c r="E37" s="9864"/>
      <c r="F37" s="9864"/>
      <c r="G37" s="7862"/>
      <c r="H37" s="9864" t="s">
        <v>172</v>
      </c>
      <c r="I37" s="9864"/>
      <c r="J37" s="9864"/>
      <c r="K37" s="7862"/>
      <c r="L37" s="7104"/>
      <c r="M37" s="6981"/>
      <c r="N37" s="6760"/>
      <c r="O37" s="6981"/>
      <c r="P37" s="6760"/>
      <c r="Q37" s="6706"/>
      <c r="R37" s="6705" t="s">
        <v>31</v>
      </c>
      <c r="S37" s="6706"/>
      <c r="T37" s="6707"/>
      <c r="U37" s="163"/>
      <c r="V37" s="99" t="s">
        <v>125</v>
      </c>
      <c r="W37" s="138"/>
      <c r="X37" s="138"/>
      <c r="Y37" s="99"/>
      <c r="Z37" s="186"/>
      <c r="AA37" s="154" t="s">
        <v>173</v>
      </c>
      <c r="AB37" s="187"/>
    </row>
    <row r="38" spans="1:62" ht="20.100000000000001" customHeight="1">
      <c r="A38" s="11"/>
      <c r="B38" s="1351"/>
      <c r="C38" s="6635"/>
      <c r="D38" s="9859" t="s">
        <v>174</v>
      </c>
      <c r="E38" s="9859"/>
      <c r="F38" s="6699" t="s">
        <v>175</v>
      </c>
      <c r="G38" s="6737"/>
      <c r="H38" s="6740"/>
      <c r="I38" s="9597" t="s">
        <v>176</v>
      </c>
      <c r="J38" s="9597"/>
      <c r="K38" s="6739" t="s">
        <v>128</v>
      </c>
      <c r="L38" s="6984"/>
      <c r="M38" s="6993"/>
      <c r="N38" s="6974"/>
      <c r="O38" s="6993"/>
      <c r="P38" s="6986"/>
      <c r="Q38" s="6987"/>
      <c r="R38" s="6700" t="s">
        <v>36</v>
      </c>
      <c r="S38" s="6993"/>
      <c r="T38" s="6992"/>
      <c r="U38" s="163"/>
      <c r="V38" s="99" t="s">
        <v>125</v>
      </c>
      <c r="W38" s="138"/>
      <c r="X38" s="138"/>
      <c r="Y38" s="99"/>
      <c r="Z38" s="186"/>
      <c r="AA38" s="154" t="s">
        <v>173</v>
      </c>
      <c r="AB38" s="187"/>
      <c r="AD38" s="139" t="s">
        <v>177</v>
      </c>
    </row>
    <row r="39" spans="1:62" customFormat="1" ht="20.100000000000001" customHeight="1">
      <c r="B39" s="5851"/>
      <c r="C39" s="358"/>
      <c r="D39" s="9749" t="s">
        <v>134</v>
      </c>
      <c r="E39" s="9860"/>
      <c r="F39" s="105" t="s">
        <v>33</v>
      </c>
      <c r="G39" s="6132"/>
      <c r="H39" s="6179"/>
      <c r="I39" s="9579" t="s">
        <v>135</v>
      </c>
      <c r="J39" s="9581"/>
      <c r="K39" s="6152" t="s">
        <v>35</v>
      </c>
      <c r="L39" s="6761" t="s">
        <v>178</v>
      </c>
      <c r="M39" s="7218"/>
      <c r="N39" s="6836" t="s">
        <v>178</v>
      </c>
      <c r="O39" s="7218"/>
      <c r="P39" s="6903" t="s">
        <v>178</v>
      </c>
      <c r="Q39" s="7218"/>
      <c r="R39" s="6617" t="s">
        <v>36</v>
      </c>
      <c r="S39" s="6539"/>
      <c r="T39" s="5848"/>
      <c r="U39" s="5847"/>
      <c r="V39" s="5846"/>
      <c r="W39" s="5845"/>
      <c r="X39" s="5845"/>
      <c r="Y39" s="5846"/>
      <c r="Z39" s="5844"/>
      <c r="AA39" s="5843"/>
      <c r="AB39" s="4532"/>
      <c r="AC39" s="6301"/>
      <c r="AD39" s="6403"/>
      <c r="AE39" s="6403"/>
      <c r="AF39" s="6403"/>
      <c r="AG39" s="6403"/>
      <c r="AH39" s="6403"/>
      <c r="AI39" s="6403"/>
      <c r="AJ39" s="6403"/>
      <c r="AK39" s="6403"/>
      <c r="AL39" s="6403"/>
      <c r="AM39" s="6403"/>
      <c r="AN39" s="6403"/>
      <c r="AO39" s="6403"/>
      <c r="AP39" s="6403"/>
      <c r="AQ39" s="6403"/>
      <c r="AR39" s="6403"/>
      <c r="AS39" s="6403"/>
      <c r="AT39" s="6403"/>
      <c r="AU39" s="6403"/>
      <c r="AV39" s="6403"/>
      <c r="AW39" s="6403"/>
      <c r="AX39" s="6403"/>
      <c r="AY39" s="6403"/>
      <c r="AZ39" s="6403"/>
      <c r="BA39" s="6403"/>
      <c r="BB39" s="6403"/>
      <c r="BC39" s="6403"/>
      <c r="BD39" s="6403"/>
      <c r="BE39" s="6403"/>
      <c r="BF39" s="6403"/>
      <c r="BG39" s="6403"/>
      <c r="BH39" s="6403"/>
      <c r="BI39" s="6403"/>
      <c r="BJ39" s="6403"/>
    </row>
    <row r="40" spans="1:62" ht="20.100000000000001" customHeight="1">
      <c r="A40" s="11"/>
      <c r="B40" s="5851"/>
      <c r="C40" s="358"/>
      <c r="D40" s="9598" t="s">
        <v>137</v>
      </c>
      <c r="E40" s="9600"/>
      <c r="F40" s="105" t="s">
        <v>33</v>
      </c>
      <c r="G40" s="358"/>
      <c r="H40" s="6179"/>
      <c r="I40" s="9579" t="s">
        <v>138</v>
      </c>
      <c r="J40" s="9581"/>
      <c r="K40" s="5589" t="s">
        <v>142</v>
      </c>
      <c r="L40" s="6752">
        <f>29536.54*'(참고) 연도별 기말환율'!D7/10^6</f>
        <v>5.5014759403999998</v>
      </c>
      <c r="M40" s="7219"/>
      <c r="N40" s="6824">
        <f>315793.24*'(참고) 연도별 기말환율'!C7/10^6</f>
        <v>57.297525465599996</v>
      </c>
      <c r="O40" s="7219"/>
      <c r="P40" s="6904">
        <f>283243.78*'(참고) 연도별 기말환율'!B7/10^6</f>
        <v>51.221805175200011</v>
      </c>
      <c r="Q40" s="7219"/>
      <c r="R40" s="6646" t="s">
        <v>36</v>
      </c>
      <c r="S40" s="6628" t="s">
        <v>2040</v>
      </c>
      <c r="T40" s="2465"/>
      <c r="U40" s="163"/>
      <c r="V40" s="99"/>
      <c r="W40" s="138"/>
      <c r="X40" s="138"/>
      <c r="Y40" s="99"/>
      <c r="Z40" s="186"/>
      <c r="AA40" s="154"/>
      <c r="AB40" s="187"/>
    </row>
    <row r="41" spans="1:62" ht="19.899999999999999" customHeight="1">
      <c r="A41" s="11"/>
      <c r="B41" s="5851"/>
      <c r="C41" s="931"/>
      <c r="D41" s="9598" t="s">
        <v>140</v>
      </c>
      <c r="E41" s="9600"/>
      <c r="F41" s="105" t="s">
        <v>33</v>
      </c>
      <c r="G41" s="253"/>
      <c r="H41" s="6179"/>
      <c r="I41" s="9582" t="s">
        <v>141</v>
      </c>
      <c r="J41" s="9583"/>
      <c r="K41" s="132" t="s">
        <v>142</v>
      </c>
      <c r="L41" s="6754">
        <v>0</v>
      </c>
      <c r="M41" s="7220"/>
      <c r="N41" s="6825">
        <v>0</v>
      </c>
      <c r="O41" s="7220"/>
      <c r="P41" s="6905">
        <v>0</v>
      </c>
      <c r="Q41" s="7446"/>
      <c r="R41" s="6645" t="s">
        <v>36</v>
      </c>
      <c r="S41" s="6547"/>
      <c r="T41" s="2468"/>
      <c r="U41" s="276"/>
      <c r="V41" s="99"/>
      <c r="W41" s="138"/>
      <c r="X41" s="138"/>
      <c r="Y41" s="99"/>
      <c r="Z41" s="264"/>
      <c r="AA41" s="277"/>
      <c r="AB41" s="187"/>
      <c r="AC41" s="6303" t="s">
        <v>179</v>
      </c>
    </row>
    <row r="42" spans="1:62" ht="19.899999999999999" customHeight="1">
      <c r="A42" s="11"/>
      <c r="B42" s="5851"/>
      <c r="C42" s="931"/>
      <c r="D42" s="9598" t="s">
        <v>143</v>
      </c>
      <c r="E42" s="9600"/>
      <c r="F42" s="105" t="s">
        <v>33</v>
      </c>
      <c r="G42" s="253"/>
      <c r="H42" s="6179"/>
      <c r="I42" s="9582" t="s">
        <v>144</v>
      </c>
      <c r="J42" s="9583"/>
      <c r="K42" s="132" t="s">
        <v>145</v>
      </c>
      <c r="L42" s="6753">
        <v>0</v>
      </c>
      <c r="M42" s="7221"/>
      <c r="N42" s="6825">
        <v>0</v>
      </c>
      <c r="O42" s="7221"/>
      <c r="P42" s="6905">
        <v>0</v>
      </c>
      <c r="Q42" s="7438"/>
      <c r="R42" s="6618" t="s">
        <v>36</v>
      </c>
      <c r="S42" s="6540"/>
      <c r="T42" s="2468"/>
      <c r="U42" s="276"/>
      <c r="V42" s="99"/>
      <c r="W42" s="138"/>
      <c r="X42" s="138"/>
      <c r="Y42" s="99"/>
      <c r="Z42" s="264"/>
      <c r="AA42" s="277"/>
      <c r="AB42" s="187"/>
    </row>
    <row r="43" spans="1:62" ht="19.899999999999999" customHeight="1">
      <c r="A43" s="11"/>
      <c r="B43" s="5851"/>
      <c r="C43" s="931"/>
      <c r="D43" s="9598" t="s">
        <v>146</v>
      </c>
      <c r="E43" s="9600"/>
      <c r="F43" s="105" t="s">
        <v>33</v>
      </c>
      <c r="G43" s="253"/>
      <c r="H43" s="6179"/>
      <c r="I43" s="9582" t="s">
        <v>147</v>
      </c>
      <c r="J43" s="9583"/>
      <c r="K43" s="132" t="s">
        <v>148</v>
      </c>
      <c r="L43" s="6754">
        <v>0</v>
      </c>
      <c r="M43" s="7220"/>
      <c r="N43" s="6837">
        <v>0</v>
      </c>
      <c r="O43" s="7220"/>
      <c r="P43" s="6903">
        <v>0</v>
      </c>
      <c r="Q43" s="7439"/>
      <c r="R43" s="6619" t="s">
        <v>36</v>
      </c>
      <c r="S43" s="6541"/>
      <c r="T43" s="2468"/>
      <c r="U43" s="276"/>
      <c r="V43" s="99"/>
      <c r="W43" s="138"/>
      <c r="X43" s="138"/>
      <c r="Y43" s="99"/>
      <c r="Z43" s="264"/>
      <c r="AA43" s="277"/>
      <c r="AB43" s="187"/>
    </row>
    <row r="44" spans="1:62" ht="19.899999999999999" customHeight="1">
      <c r="A44" s="11"/>
      <c r="B44" s="5851"/>
      <c r="C44" s="931"/>
      <c r="D44" s="9598" t="s">
        <v>149</v>
      </c>
      <c r="E44" s="9600"/>
      <c r="F44" s="105" t="s">
        <v>33</v>
      </c>
      <c r="G44" s="253"/>
      <c r="H44" s="6179"/>
      <c r="I44" s="9582" t="s">
        <v>150</v>
      </c>
      <c r="J44" s="9583"/>
      <c r="K44" s="132" t="s">
        <v>151</v>
      </c>
      <c r="L44" s="6754">
        <v>0</v>
      </c>
      <c r="M44" s="7220"/>
      <c r="N44" s="6837">
        <v>0</v>
      </c>
      <c r="O44" s="7220"/>
      <c r="P44" s="6903">
        <v>0</v>
      </c>
      <c r="Q44" s="7446"/>
      <c r="R44" s="6645" t="s">
        <v>36</v>
      </c>
      <c r="S44" s="6547"/>
      <c r="T44" s="2468"/>
      <c r="U44" s="276"/>
      <c r="V44" s="99"/>
      <c r="W44" s="138"/>
      <c r="X44" s="138"/>
      <c r="Y44" s="99"/>
      <c r="Z44" s="264"/>
      <c r="AA44" s="277"/>
      <c r="AB44" s="187"/>
    </row>
    <row r="45" spans="1:62" ht="20.100000000000001" customHeight="1">
      <c r="A45" s="11"/>
      <c r="B45" s="5851"/>
      <c r="C45" s="777"/>
      <c r="D45" s="9859" t="s">
        <v>180</v>
      </c>
      <c r="E45" s="9859"/>
      <c r="F45" s="6699" t="s">
        <v>175</v>
      </c>
      <c r="G45" s="6737"/>
      <c r="H45" s="6740"/>
      <c r="I45" s="9597" t="s">
        <v>181</v>
      </c>
      <c r="J45" s="9597"/>
      <c r="K45" s="6739" t="s">
        <v>128</v>
      </c>
      <c r="L45" s="6984"/>
      <c r="M45" s="7222"/>
      <c r="N45" s="6974"/>
      <c r="O45" s="7222"/>
      <c r="P45" s="6986"/>
      <c r="Q45" s="6987"/>
      <c r="R45" s="6700" t="s">
        <v>36</v>
      </c>
      <c r="S45" s="6993"/>
      <c r="T45" s="6992"/>
      <c r="U45" s="163"/>
      <c r="V45" s="99" t="s">
        <v>125</v>
      </c>
      <c r="W45" s="138"/>
      <c r="X45" s="138"/>
      <c r="Y45" s="99"/>
      <c r="Z45" s="186"/>
      <c r="AA45" s="154" t="s">
        <v>173</v>
      </c>
      <c r="AB45" s="187"/>
      <c r="AD45" s="139" t="s">
        <v>182</v>
      </c>
    </row>
    <row r="46" spans="1:62" customFormat="1" ht="20.100000000000001" customHeight="1">
      <c r="B46" s="5851"/>
      <c r="C46" s="358"/>
      <c r="D46" s="9749" t="s">
        <v>134</v>
      </c>
      <c r="E46" s="9860"/>
      <c r="F46" s="285" t="s">
        <v>33</v>
      </c>
      <c r="G46" s="6132"/>
      <c r="H46" s="6179"/>
      <c r="I46" s="9579" t="s">
        <v>135</v>
      </c>
      <c r="J46" s="9581"/>
      <c r="K46" s="6152" t="s">
        <v>35</v>
      </c>
      <c r="L46" s="6754">
        <v>0</v>
      </c>
      <c r="M46" s="7220"/>
      <c r="N46" s="6825">
        <v>0</v>
      </c>
      <c r="O46" s="7220"/>
      <c r="P46" s="6905">
        <v>0</v>
      </c>
      <c r="Q46" s="7448"/>
      <c r="R46" s="6647" t="s">
        <v>36</v>
      </c>
      <c r="S46" s="6548"/>
      <c r="T46" s="5848"/>
      <c r="U46" s="5847"/>
      <c r="V46" s="5846"/>
      <c r="W46" s="5845"/>
      <c r="X46" s="5845"/>
      <c r="Y46" s="5846"/>
      <c r="Z46" s="5844"/>
      <c r="AA46" s="5843"/>
      <c r="AB46" s="4532"/>
      <c r="AC46" s="6301"/>
      <c r="AD46" s="6403"/>
      <c r="AE46" s="6403"/>
      <c r="AF46" s="6403"/>
      <c r="AG46" s="6403"/>
      <c r="AH46" s="6403"/>
      <c r="AI46" s="6403"/>
      <c r="AJ46" s="6403"/>
      <c r="AK46" s="6403"/>
      <c r="AL46" s="6403"/>
      <c r="AM46" s="6403"/>
      <c r="AN46" s="6403"/>
      <c r="AO46" s="6403"/>
      <c r="AP46" s="6403"/>
      <c r="AQ46" s="6403"/>
      <c r="AR46" s="6403"/>
      <c r="AS46" s="6403"/>
      <c r="AT46" s="6403"/>
      <c r="AU46" s="6403"/>
      <c r="AV46" s="6403"/>
      <c r="AW46" s="6403"/>
      <c r="AX46" s="6403"/>
      <c r="AY46" s="6403"/>
      <c r="AZ46" s="6403"/>
      <c r="BA46" s="6403"/>
      <c r="BB46" s="6403"/>
      <c r="BC46" s="6403"/>
      <c r="BD46" s="6403"/>
      <c r="BE46" s="6403"/>
      <c r="BF46" s="6403"/>
      <c r="BG46" s="6403"/>
      <c r="BH46" s="6403"/>
      <c r="BI46" s="6403"/>
      <c r="BJ46" s="6403"/>
    </row>
    <row r="47" spans="1:62" ht="20.100000000000001" customHeight="1">
      <c r="A47" s="11"/>
      <c r="B47" s="5851"/>
      <c r="C47" s="253"/>
      <c r="D47" s="9598" t="s">
        <v>137</v>
      </c>
      <c r="E47" s="9600"/>
      <c r="F47" s="285" t="s">
        <v>33</v>
      </c>
      <c r="G47" s="358"/>
      <c r="H47" s="6179"/>
      <c r="I47" s="9579" t="s">
        <v>138</v>
      </c>
      <c r="J47" s="9581"/>
      <c r="K47" s="5589" t="s">
        <v>142</v>
      </c>
      <c r="L47" s="6754">
        <v>0</v>
      </c>
      <c r="M47" s="7220"/>
      <c r="N47" s="6825">
        <v>0</v>
      </c>
      <c r="O47" s="7220"/>
      <c r="P47" s="6905">
        <v>0</v>
      </c>
      <c r="Q47" s="7449"/>
      <c r="R47" s="6648" t="s">
        <v>36</v>
      </c>
      <c r="S47" s="6549"/>
      <c r="T47" s="2465"/>
      <c r="U47" s="163"/>
      <c r="V47" s="99"/>
      <c r="W47" s="138"/>
      <c r="X47" s="138"/>
      <c r="Y47" s="99"/>
      <c r="Z47" s="186"/>
      <c r="AA47" s="154"/>
      <c r="AB47" s="187"/>
    </row>
    <row r="48" spans="1:62" ht="19.899999999999999" customHeight="1">
      <c r="A48" s="11"/>
      <c r="B48" s="5851"/>
      <c r="C48" s="931"/>
      <c r="D48" s="9598" t="s">
        <v>140</v>
      </c>
      <c r="E48" s="9600"/>
      <c r="F48" s="285" t="s">
        <v>33</v>
      </c>
      <c r="G48" s="253"/>
      <c r="H48" s="6179"/>
      <c r="I48" s="9582" t="s">
        <v>141</v>
      </c>
      <c r="J48" s="9583"/>
      <c r="K48" s="132" t="s">
        <v>142</v>
      </c>
      <c r="L48" s="6752">
        <f>32811128*'(참고) 연도별 기말환율'!D7/10^6</f>
        <v>6111.4007012799993</v>
      </c>
      <c r="M48" s="7223"/>
      <c r="N48" s="6824">
        <f>100034173*'(참고) 연도별 기말환율'!C7/10^6</f>
        <v>18150.200349119998</v>
      </c>
      <c r="O48" s="7223"/>
      <c r="P48" s="6904">
        <f>9556832*'(참고) 연도별 기말환율'!B7/10^6</f>
        <v>1728.2574988800002</v>
      </c>
      <c r="Q48" s="7450"/>
      <c r="R48" s="6649" t="s">
        <v>36</v>
      </c>
      <c r="S48" s="6630" t="s">
        <v>2041</v>
      </c>
      <c r="T48" s="2468"/>
      <c r="U48" s="276"/>
      <c r="V48" s="99"/>
      <c r="W48" s="138"/>
      <c r="X48" s="138"/>
      <c r="Y48" s="99"/>
      <c r="Z48" s="264"/>
      <c r="AA48" s="277"/>
      <c r="AB48" s="187"/>
    </row>
    <row r="49" spans="1:62" ht="19.899999999999999" customHeight="1">
      <c r="A49" s="11"/>
      <c r="B49" s="5851"/>
      <c r="C49" s="931"/>
      <c r="D49" s="9598" t="s">
        <v>143</v>
      </c>
      <c r="E49" s="9600"/>
      <c r="F49" s="285" t="s">
        <v>33</v>
      </c>
      <c r="G49" s="253"/>
      <c r="H49" s="6179"/>
      <c r="I49" s="9582" t="s">
        <v>144</v>
      </c>
      <c r="J49" s="9583"/>
      <c r="K49" s="132" t="s">
        <v>145</v>
      </c>
      <c r="L49" s="6754" t="s">
        <v>178</v>
      </c>
      <c r="M49" s="7220"/>
      <c r="N49" s="6838" t="s">
        <v>178</v>
      </c>
      <c r="O49" s="7220"/>
      <c r="P49" s="6906">
        <v>0</v>
      </c>
      <c r="Q49" s="7451"/>
      <c r="R49" s="6650" t="s">
        <v>36</v>
      </c>
      <c r="S49" s="6550"/>
      <c r="T49" s="2468"/>
      <c r="U49" s="276"/>
      <c r="V49" s="99"/>
      <c r="W49" s="138"/>
      <c r="X49" s="138"/>
      <c r="Y49" s="99"/>
      <c r="Z49" s="264"/>
      <c r="AA49" s="277"/>
      <c r="AB49" s="187"/>
    </row>
    <row r="50" spans="1:62" ht="19.899999999999999" customHeight="1">
      <c r="A50" s="11"/>
      <c r="B50" s="5851"/>
      <c r="C50" s="931"/>
      <c r="D50" s="9598" t="s">
        <v>146</v>
      </c>
      <c r="E50" s="9600"/>
      <c r="F50" s="285" t="s">
        <v>33</v>
      </c>
      <c r="G50" s="253"/>
      <c r="H50" s="6179"/>
      <c r="I50" s="9582" t="s">
        <v>147</v>
      </c>
      <c r="J50" s="9583"/>
      <c r="K50" s="132" t="s">
        <v>148</v>
      </c>
      <c r="L50" s="6754">
        <v>0</v>
      </c>
      <c r="M50" s="7220"/>
      <c r="N50" s="6825">
        <v>0</v>
      </c>
      <c r="O50" s="7220"/>
      <c r="P50" s="6905">
        <v>0</v>
      </c>
      <c r="Q50" s="7449"/>
      <c r="R50" s="6648" t="s">
        <v>36</v>
      </c>
      <c r="S50" s="6549"/>
      <c r="T50" s="2468"/>
      <c r="U50" s="276"/>
      <c r="V50" s="99"/>
      <c r="W50" s="138"/>
      <c r="X50" s="138"/>
      <c r="Y50" s="99"/>
      <c r="Z50" s="264"/>
      <c r="AA50" s="277"/>
      <c r="AB50" s="187"/>
    </row>
    <row r="51" spans="1:62" ht="19.899999999999999" customHeight="1">
      <c r="A51" s="11"/>
      <c r="B51" s="5851"/>
      <c r="C51" s="777"/>
      <c r="D51" s="9598" t="s">
        <v>149</v>
      </c>
      <c r="E51" s="9600"/>
      <c r="F51" s="285" t="s">
        <v>33</v>
      </c>
      <c r="G51" s="253"/>
      <c r="H51" s="6179"/>
      <c r="I51" s="9582" t="s">
        <v>150</v>
      </c>
      <c r="J51" s="9583"/>
      <c r="K51" s="132" t="s">
        <v>151</v>
      </c>
      <c r="L51" s="6754">
        <v>0</v>
      </c>
      <c r="M51" s="7220"/>
      <c r="N51" s="6825">
        <v>0</v>
      </c>
      <c r="O51" s="7220"/>
      <c r="P51" s="6905">
        <v>0</v>
      </c>
      <c r="Q51" s="7446"/>
      <c r="R51" s="6645" t="s">
        <v>36</v>
      </c>
      <c r="S51" s="6547"/>
      <c r="T51" s="2468"/>
      <c r="U51" s="276"/>
      <c r="V51" s="99"/>
      <c r="W51" s="138"/>
      <c r="X51" s="138"/>
      <c r="Y51" s="99"/>
      <c r="Z51" s="264"/>
      <c r="AA51" s="277"/>
      <c r="AB51" s="187"/>
    </row>
    <row r="52" spans="1:62" ht="20.100000000000001" customHeight="1">
      <c r="A52" s="11"/>
      <c r="B52" s="5851"/>
      <c r="C52" s="777"/>
      <c r="D52" s="9859" t="s">
        <v>183</v>
      </c>
      <c r="E52" s="9859"/>
      <c r="F52" s="6699" t="s">
        <v>175</v>
      </c>
      <c r="G52" s="6737"/>
      <c r="H52" s="6740"/>
      <c r="I52" s="9597" t="s">
        <v>184</v>
      </c>
      <c r="J52" s="9597"/>
      <c r="K52" s="6739" t="s">
        <v>128</v>
      </c>
      <c r="L52" s="6984"/>
      <c r="M52" s="7222"/>
      <c r="N52" s="6974"/>
      <c r="O52" s="7222"/>
      <c r="P52" s="6986"/>
      <c r="Q52" s="6987"/>
      <c r="R52" s="6700" t="s">
        <v>36</v>
      </c>
      <c r="S52" s="6993"/>
      <c r="T52" s="6992"/>
      <c r="U52" s="98"/>
      <c r="V52" s="99" t="s">
        <v>125</v>
      </c>
      <c r="W52" s="138"/>
      <c r="X52" s="138"/>
      <c r="Y52" s="99"/>
      <c r="Z52" s="186"/>
      <c r="AA52" s="154" t="s">
        <v>173</v>
      </c>
      <c r="AB52" s="187"/>
      <c r="AD52" s="139" t="s">
        <v>185</v>
      </c>
    </row>
    <row r="53" spans="1:62" customFormat="1" ht="20.100000000000001" customHeight="1">
      <c r="B53" s="5851"/>
      <c r="C53" s="931"/>
      <c r="D53" s="9749" t="s">
        <v>134</v>
      </c>
      <c r="E53" s="9860"/>
      <c r="F53" s="285" t="s">
        <v>33</v>
      </c>
      <c r="G53" s="6132"/>
      <c r="H53" s="6179"/>
      <c r="I53" s="9579" t="s">
        <v>135</v>
      </c>
      <c r="J53" s="9581"/>
      <c r="K53" s="6152" t="s">
        <v>35</v>
      </c>
      <c r="L53" s="6754" t="s">
        <v>178</v>
      </c>
      <c r="M53" s="7220"/>
      <c r="N53" s="6838" t="s">
        <v>178</v>
      </c>
      <c r="O53" s="7220"/>
      <c r="P53" s="6905">
        <v>0</v>
      </c>
      <c r="Q53" s="7218"/>
      <c r="R53" s="6617" t="s">
        <v>36</v>
      </c>
      <c r="S53" s="6539"/>
      <c r="T53" s="5848"/>
      <c r="U53" s="5847"/>
      <c r="V53" s="5846"/>
      <c r="W53" s="5845"/>
      <c r="X53" s="5845"/>
      <c r="Y53" s="5846"/>
      <c r="Z53" s="5844"/>
      <c r="AA53" s="5843"/>
      <c r="AB53" s="4532"/>
      <c r="AC53" s="6301"/>
      <c r="AD53" s="6403"/>
      <c r="AE53" s="6403"/>
      <c r="AF53" s="6403"/>
      <c r="AG53" s="6403"/>
      <c r="AH53" s="6403"/>
      <c r="AI53" s="6403"/>
      <c r="AJ53" s="6403"/>
      <c r="AK53" s="6403"/>
      <c r="AL53" s="6403"/>
      <c r="AM53" s="6403"/>
      <c r="AN53" s="6403"/>
      <c r="AO53" s="6403"/>
      <c r="AP53" s="6403"/>
      <c r="AQ53" s="6403"/>
      <c r="AR53" s="6403"/>
      <c r="AS53" s="6403"/>
      <c r="AT53" s="6403"/>
      <c r="AU53" s="6403"/>
      <c r="AV53" s="6403"/>
      <c r="AW53" s="6403"/>
      <c r="AX53" s="6403"/>
      <c r="AY53" s="6403"/>
      <c r="AZ53" s="6403"/>
      <c r="BA53" s="6403"/>
      <c r="BB53" s="6403"/>
      <c r="BC53" s="6403"/>
      <c r="BD53" s="6403"/>
      <c r="BE53" s="6403"/>
      <c r="BF53" s="6403"/>
      <c r="BG53" s="6403"/>
      <c r="BH53" s="6403"/>
      <c r="BI53" s="6403"/>
      <c r="BJ53" s="6403"/>
    </row>
    <row r="54" spans="1:62" ht="20.100000000000001" customHeight="1">
      <c r="A54" s="11"/>
      <c r="B54" s="5851"/>
      <c r="C54" s="253"/>
      <c r="D54" s="9598" t="s">
        <v>137</v>
      </c>
      <c r="E54" s="9600"/>
      <c r="F54" s="285" t="s">
        <v>33</v>
      </c>
      <c r="G54" s="358"/>
      <c r="H54" s="6179"/>
      <c r="I54" s="9579" t="s">
        <v>138</v>
      </c>
      <c r="J54" s="9581"/>
      <c r="K54" s="5589" t="s">
        <v>142</v>
      </c>
      <c r="L54" s="6752">
        <f>'4DPLEX'!W80</f>
        <v>0</v>
      </c>
      <c r="M54" s="7220"/>
      <c r="N54" s="6824">
        <f>'4DPLEX'!Y80</f>
        <v>0</v>
      </c>
      <c r="O54" s="7223"/>
      <c r="P54" s="6904">
        <f>'4DPLEX'!AA80</f>
        <v>0.47699407281964429</v>
      </c>
      <c r="Q54" s="7240"/>
      <c r="R54" s="6616" t="s">
        <v>36</v>
      </c>
      <c r="S54" s="6538"/>
      <c r="T54" s="2465"/>
      <c r="U54" s="163"/>
      <c r="V54" s="99"/>
      <c r="W54" s="138"/>
      <c r="X54" s="138"/>
      <c r="Y54" s="99"/>
      <c r="Z54" s="186"/>
      <c r="AA54" s="154"/>
      <c r="AB54" s="187"/>
    </row>
    <row r="55" spans="1:62" ht="19.899999999999999" customHeight="1">
      <c r="A55" s="11"/>
      <c r="B55" s="5851"/>
      <c r="C55" s="253"/>
      <c r="D55" s="9598" t="s">
        <v>140</v>
      </c>
      <c r="E55" s="9600"/>
      <c r="F55" s="285" t="s">
        <v>33</v>
      </c>
      <c r="G55" s="253"/>
      <c r="H55" s="6179"/>
      <c r="I55" s="9582" t="s">
        <v>141</v>
      </c>
      <c r="J55" s="9583"/>
      <c r="K55" s="132" t="s">
        <v>142</v>
      </c>
      <c r="L55" s="6754" t="s">
        <v>178</v>
      </c>
      <c r="M55" s="7220"/>
      <c r="N55" s="6838" t="s">
        <v>178</v>
      </c>
      <c r="O55" s="7220"/>
      <c r="P55" s="6905">
        <v>0</v>
      </c>
      <c r="Q55" s="7218"/>
      <c r="R55" s="6645" t="s">
        <v>36</v>
      </c>
      <c r="S55" s="6547"/>
      <c r="T55" s="2468"/>
      <c r="U55" s="276"/>
      <c r="V55" s="99"/>
      <c r="W55" s="138"/>
      <c r="X55" s="138"/>
      <c r="Y55" s="99"/>
      <c r="Z55" s="264"/>
      <c r="AA55" s="277"/>
      <c r="AB55" s="187"/>
      <c r="AC55" s="6303" t="s">
        <v>186</v>
      </c>
    </row>
    <row r="56" spans="1:62" ht="19.899999999999999" customHeight="1">
      <c r="A56" s="11"/>
      <c r="B56" s="5851"/>
      <c r="C56" s="931"/>
      <c r="D56" s="9598" t="s">
        <v>143</v>
      </c>
      <c r="E56" s="9600"/>
      <c r="F56" s="285" t="s">
        <v>33</v>
      </c>
      <c r="G56" s="253"/>
      <c r="H56" s="6179"/>
      <c r="I56" s="9582" t="s">
        <v>144</v>
      </c>
      <c r="J56" s="9583"/>
      <c r="K56" s="132" t="s">
        <v>145</v>
      </c>
      <c r="L56" s="6754">
        <v>0</v>
      </c>
      <c r="M56" s="7220"/>
      <c r="N56" s="6825">
        <v>0</v>
      </c>
      <c r="O56" s="7220"/>
      <c r="P56" s="6905">
        <v>0</v>
      </c>
      <c r="Q56" s="7438"/>
      <c r="R56" s="6618" t="s">
        <v>36</v>
      </c>
      <c r="S56" s="6540"/>
      <c r="T56" s="2468"/>
      <c r="U56" s="276"/>
      <c r="V56" s="99"/>
      <c r="W56" s="138"/>
      <c r="X56" s="138"/>
      <c r="Y56" s="99"/>
      <c r="Z56" s="264"/>
      <c r="AA56" s="277"/>
      <c r="AB56" s="187"/>
    </row>
    <row r="57" spans="1:62" ht="19.899999999999999" customHeight="1">
      <c r="A57" s="11"/>
      <c r="B57" s="5851"/>
      <c r="C57" s="777"/>
      <c r="D57" s="9598" t="s">
        <v>146</v>
      </c>
      <c r="E57" s="9600"/>
      <c r="F57" s="285" t="s">
        <v>33</v>
      </c>
      <c r="G57" s="253"/>
      <c r="H57" s="6179"/>
      <c r="I57" s="9582" t="s">
        <v>147</v>
      </c>
      <c r="J57" s="9583"/>
      <c r="K57" s="132" t="s">
        <v>148</v>
      </c>
      <c r="L57" s="6754">
        <v>0</v>
      </c>
      <c r="M57" s="7220"/>
      <c r="N57" s="6825">
        <v>0</v>
      </c>
      <c r="O57" s="7220"/>
      <c r="P57" s="6905">
        <v>0</v>
      </c>
      <c r="Q57" s="7439"/>
      <c r="R57" s="6619" t="s">
        <v>36</v>
      </c>
      <c r="S57" s="6541"/>
      <c r="T57" s="2468"/>
      <c r="U57" s="276"/>
      <c r="V57" s="99"/>
      <c r="W57" s="138"/>
      <c r="X57" s="138"/>
      <c r="Y57" s="99"/>
      <c r="Z57" s="264"/>
      <c r="AA57" s="277"/>
      <c r="AB57" s="187"/>
    </row>
    <row r="58" spans="1:62" ht="19.899999999999999" customHeight="1">
      <c r="A58" s="11"/>
      <c r="B58" s="5851"/>
      <c r="C58" s="777"/>
      <c r="D58" s="9598" t="s">
        <v>149</v>
      </c>
      <c r="E58" s="9600"/>
      <c r="F58" s="285" t="s">
        <v>33</v>
      </c>
      <c r="G58" s="1903"/>
      <c r="H58" s="6200"/>
      <c r="I58" s="9643" t="s">
        <v>150</v>
      </c>
      <c r="J58" s="9644"/>
      <c r="K58" s="6201" t="s">
        <v>151</v>
      </c>
      <c r="L58" s="6762">
        <f>451103.67*'(참고) 연도별 기말환율'!D58/10^6</f>
        <v>40.513620602700001</v>
      </c>
      <c r="M58" s="7224"/>
      <c r="N58" s="6839">
        <f>1244268.16*'(참고) 연도별 기말환율'!C58/10^6</f>
        <v>84.26183979519999</v>
      </c>
      <c r="O58" s="7224"/>
      <c r="P58" s="6907">
        <f>9215440.57*'(참고) 연도별 기말환율'!B58/10^6</f>
        <v>402.62259850330003</v>
      </c>
      <c r="Q58" s="7224"/>
      <c r="R58" s="6651" t="s">
        <v>36</v>
      </c>
      <c r="S58" s="6551" t="s">
        <v>2042</v>
      </c>
      <c r="T58" s="2468"/>
      <c r="U58" s="6050"/>
      <c r="V58" s="99"/>
      <c r="W58" s="138"/>
      <c r="X58" s="138"/>
      <c r="Y58" s="99"/>
      <c r="Z58" s="264"/>
      <c r="AA58" s="277"/>
      <c r="AB58" s="187"/>
    </row>
    <row r="59" spans="1:62" ht="20.100000000000001" customHeight="1">
      <c r="A59" s="11"/>
      <c r="B59" s="5851"/>
      <c r="C59" s="6980" t="s">
        <v>187</v>
      </c>
      <c r="D59" s="6701"/>
      <c r="E59" s="6701"/>
      <c r="F59" s="6977"/>
      <c r="G59" s="7108"/>
      <c r="H59" s="7109" t="s">
        <v>188</v>
      </c>
      <c r="I59" s="7110"/>
      <c r="J59" s="7862"/>
      <c r="K59" s="7862"/>
      <c r="L59" s="7104"/>
      <c r="M59" s="6981"/>
      <c r="N59" s="6760"/>
      <c r="O59" s="6981"/>
      <c r="P59" s="6760"/>
      <c r="Q59" s="6981"/>
      <c r="R59" s="6978" t="s">
        <v>36</v>
      </c>
      <c r="S59" s="6995"/>
      <c r="T59" s="6996"/>
      <c r="U59" s="6050"/>
      <c r="V59" s="6199" t="s">
        <v>189</v>
      </c>
      <c r="W59" s="218"/>
      <c r="X59" s="218"/>
      <c r="Y59" s="219"/>
      <c r="Z59" s="220"/>
      <c r="AA59" s="154" t="s">
        <v>190</v>
      </c>
      <c r="AB59" s="221"/>
    </row>
    <row r="60" spans="1:62" ht="20.100000000000001" customHeight="1">
      <c r="A60" s="11"/>
      <c r="B60" s="1351"/>
      <c r="C60" s="358"/>
      <c r="D60" s="9859" t="s">
        <v>191</v>
      </c>
      <c r="E60" s="9859"/>
      <c r="F60" s="6683" t="s">
        <v>156</v>
      </c>
      <c r="G60" s="6736"/>
      <c r="H60" s="6736"/>
      <c r="I60" s="9597" t="s">
        <v>192</v>
      </c>
      <c r="J60" s="9630"/>
      <c r="K60" s="6982" t="s">
        <v>156</v>
      </c>
      <c r="L60" s="6985">
        <f>AVERAGE(L61:L66)</f>
        <v>41.900000000000006</v>
      </c>
      <c r="M60" s="7225"/>
      <c r="N60" s="6971">
        <f>AVERAGE(N61:N66)</f>
        <v>46.300000000000004</v>
      </c>
      <c r="O60" s="7225"/>
      <c r="P60" s="6972">
        <f>AVERAGE(P61:P66)</f>
        <v>47</v>
      </c>
      <c r="Q60" s="7437"/>
      <c r="R60" s="6696" t="s">
        <v>36</v>
      </c>
      <c r="S60" s="6988"/>
      <c r="T60" s="6997"/>
      <c r="U60" s="6050"/>
      <c r="V60" s="6199" t="s">
        <v>189</v>
      </c>
      <c r="W60" s="218"/>
      <c r="X60" s="218"/>
      <c r="Y60" s="99"/>
      <c r="Z60" s="231"/>
      <c r="AA60" s="154" t="s">
        <v>190</v>
      </c>
      <c r="AB60" s="221"/>
    </row>
    <row r="61" spans="1:62" ht="20.100000000000001" customHeight="1">
      <c r="A61"/>
      <c r="B61" s="6191"/>
      <c r="C61" s="6636"/>
      <c r="D61" s="9598" t="s">
        <v>134</v>
      </c>
      <c r="E61" s="9600"/>
      <c r="F61" s="285" t="s">
        <v>156</v>
      </c>
      <c r="G61" s="6173"/>
      <c r="H61" s="6193"/>
      <c r="I61" s="9580" t="s">
        <v>135</v>
      </c>
      <c r="J61" s="9581"/>
      <c r="K61" s="674" t="s">
        <v>156</v>
      </c>
      <c r="L61" s="6761">
        <v>32</v>
      </c>
      <c r="M61" s="7226"/>
      <c r="N61" s="6841">
        <v>51</v>
      </c>
      <c r="O61" s="7226"/>
      <c r="P61" s="6908">
        <v>47</v>
      </c>
      <c r="Q61" s="7452"/>
      <c r="R61" s="6652" t="s">
        <v>36</v>
      </c>
      <c r="S61" s="6631"/>
      <c r="T61" s="4849"/>
      <c r="U61" s="6050"/>
      <c r="V61" s="6195"/>
      <c r="W61" s="6196"/>
      <c r="X61" s="681"/>
      <c r="Y61" s="299" t="s">
        <v>193</v>
      </c>
      <c r="Z61" s="1243"/>
      <c r="AA61" s="1243"/>
      <c r="AB61" s="4532"/>
      <c r="AD61" s="6403"/>
      <c r="AE61" s="6403"/>
      <c r="AF61" s="6403"/>
      <c r="AG61" s="6403"/>
      <c r="AH61" s="6403"/>
    </row>
    <row r="62" spans="1:62" ht="20.100000000000001" customHeight="1">
      <c r="A62"/>
      <c r="B62" s="6191"/>
      <c r="C62" s="6636"/>
      <c r="D62" s="9598" t="s">
        <v>137</v>
      </c>
      <c r="E62" s="9600"/>
      <c r="F62" s="285" t="s">
        <v>156</v>
      </c>
      <c r="G62" s="6173"/>
      <c r="H62" s="6193"/>
      <c r="I62" s="9580" t="s">
        <v>138</v>
      </c>
      <c r="J62" s="9581"/>
      <c r="K62" s="674" t="s">
        <v>156</v>
      </c>
      <c r="L62" s="6764" t="s">
        <v>168</v>
      </c>
      <c r="M62" s="7227"/>
      <c r="N62" s="6842" t="s">
        <v>168</v>
      </c>
      <c r="O62" s="7227"/>
      <c r="P62" s="6906" t="s">
        <v>168</v>
      </c>
      <c r="Q62" s="7453"/>
      <c r="R62" s="6653" t="s">
        <v>36</v>
      </c>
      <c r="S62" s="6552"/>
      <c r="T62" s="4849"/>
      <c r="U62" s="6050"/>
      <c r="V62" s="6195"/>
      <c r="W62" s="6196"/>
      <c r="X62" s="681"/>
      <c r="Y62" s="299" t="s">
        <v>193</v>
      </c>
      <c r="Z62" s="1243"/>
      <c r="AA62" s="1243"/>
      <c r="AB62" s="4532"/>
      <c r="AD62" s="6403"/>
      <c r="AE62" s="6403"/>
      <c r="AF62" s="6403"/>
      <c r="AG62" s="6403"/>
      <c r="AH62" s="6403"/>
    </row>
    <row r="63" spans="1:62" ht="20.100000000000001" customHeight="1">
      <c r="A63"/>
      <c r="B63" s="6191"/>
      <c r="C63" s="6636"/>
      <c r="D63" s="9598" t="s">
        <v>140</v>
      </c>
      <c r="E63" s="9600"/>
      <c r="F63" s="285" t="s">
        <v>156</v>
      </c>
      <c r="G63" s="6173"/>
      <c r="H63" s="6193"/>
      <c r="I63" s="9717" t="s">
        <v>141</v>
      </c>
      <c r="J63" s="9621"/>
      <c r="K63" s="674" t="s">
        <v>156</v>
      </c>
      <c r="L63" s="6764">
        <v>40.9</v>
      </c>
      <c r="M63" s="7228"/>
      <c r="N63" s="6842">
        <v>41.3</v>
      </c>
      <c r="O63" s="7352"/>
      <c r="P63" s="6909" t="s">
        <v>168</v>
      </c>
      <c r="Q63" s="7454"/>
      <c r="R63" s="6654" t="s">
        <v>196</v>
      </c>
      <c r="S63" s="6553"/>
      <c r="T63" s="4849"/>
      <c r="U63" s="6050"/>
      <c r="V63" s="6195"/>
      <c r="W63" s="6196"/>
      <c r="X63" s="681"/>
      <c r="Y63" s="299" t="s">
        <v>193</v>
      </c>
      <c r="Z63" s="1243"/>
      <c r="AA63" s="1243"/>
      <c r="AB63" s="4532"/>
      <c r="AD63" s="6403"/>
      <c r="AE63" s="6403"/>
      <c r="AF63" s="6403"/>
      <c r="AG63" s="6403"/>
      <c r="AH63" s="6403"/>
    </row>
    <row r="64" spans="1:62" ht="20.100000000000001" customHeight="1">
      <c r="A64"/>
      <c r="B64" s="6191"/>
      <c r="C64" s="6636"/>
      <c r="D64" s="9598" t="s">
        <v>143</v>
      </c>
      <c r="E64" s="9600"/>
      <c r="F64" s="285" t="s">
        <v>156</v>
      </c>
      <c r="G64" s="6173"/>
      <c r="H64" s="6193"/>
      <c r="I64" s="9717" t="s">
        <v>144</v>
      </c>
      <c r="J64" s="9621"/>
      <c r="K64" s="674" t="s">
        <v>156</v>
      </c>
      <c r="L64" s="6765">
        <v>44.7</v>
      </c>
      <c r="M64" s="7228"/>
      <c r="N64" s="6842">
        <v>46.6</v>
      </c>
      <c r="O64" s="7352"/>
      <c r="P64" s="6909" t="s">
        <v>168</v>
      </c>
      <c r="Q64" s="7454"/>
      <c r="R64" s="6654" t="s">
        <v>196</v>
      </c>
      <c r="S64" s="6553"/>
      <c r="T64" s="4849"/>
      <c r="U64" s="6050"/>
      <c r="V64" s="6195"/>
      <c r="W64" s="6196"/>
      <c r="X64" s="681"/>
      <c r="Y64" s="299" t="s">
        <v>193</v>
      </c>
      <c r="Z64" s="1243"/>
      <c r="AA64" s="1243"/>
      <c r="AB64" s="4532"/>
      <c r="AD64" s="6403"/>
      <c r="AE64" s="6403"/>
      <c r="AF64" s="6403"/>
      <c r="AG64" s="6403"/>
      <c r="AH64" s="6403"/>
    </row>
    <row r="65" spans="1:34" ht="20.100000000000001" customHeight="1">
      <c r="A65"/>
      <c r="B65" s="6191"/>
      <c r="C65" s="6636"/>
      <c r="D65" s="9598" t="s">
        <v>146</v>
      </c>
      <c r="E65" s="9600"/>
      <c r="F65" s="285" t="s">
        <v>156</v>
      </c>
      <c r="G65" s="6173"/>
      <c r="H65" s="6193"/>
      <c r="I65" s="9717" t="s">
        <v>147</v>
      </c>
      <c r="J65" s="9621"/>
      <c r="K65" s="674" t="s">
        <v>156</v>
      </c>
      <c r="L65" s="6766">
        <v>50</v>
      </c>
      <c r="M65" s="7221"/>
      <c r="N65" s="6842" t="s">
        <v>168</v>
      </c>
      <c r="O65" s="7221"/>
      <c r="P65" s="6906" t="s">
        <v>168</v>
      </c>
      <c r="Q65" s="7454"/>
      <c r="R65" s="6653" t="s">
        <v>36</v>
      </c>
      <c r="S65" s="6553"/>
      <c r="T65" s="4849"/>
      <c r="U65" s="6050"/>
      <c r="V65" s="6195"/>
      <c r="W65" s="6196"/>
      <c r="X65" s="681"/>
      <c r="Y65" s="299" t="s">
        <v>193</v>
      </c>
      <c r="Z65" s="1243"/>
      <c r="AA65" s="1243"/>
      <c r="AB65" s="4532"/>
      <c r="AD65" s="6403"/>
      <c r="AE65" s="6403"/>
      <c r="AF65" s="6403"/>
      <c r="AG65" s="6403"/>
      <c r="AH65" s="6403"/>
    </row>
    <row r="66" spans="1:34" ht="20.100000000000001" customHeight="1">
      <c r="A66"/>
      <c r="B66" s="6191"/>
      <c r="C66" s="6636"/>
      <c r="D66" s="9598" t="s">
        <v>149</v>
      </c>
      <c r="E66" s="9600"/>
      <c r="F66" s="285" t="s">
        <v>156</v>
      </c>
      <c r="G66" s="6173"/>
      <c r="H66" s="6193"/>
      <c r="I66" s="9717" t="s">
        <v>150</v>
      </c>
      <c r="J66" s="9621"/>
      <c r="K66" s="674" t="s">
        <v>156</v>
      </c>
      <c r="L66" s="6764" t="s">
        <v>168</v>
      </c>
      <c r="M66" s="7221"/>
      <c r="N66" s="6842" t="s">
        <v>168</v>
      </c>
      <c r="O66" s="7221"/>
      <c r="P66" s="6906" t="s">
        <v>168</v>
      </c>
      <c r="Q66" s="7454"/>
      <c r="R66" s="6653" t="s">
        <v>36</v>
      </c>
      <c r="S66" s="6553"/>
      <c r="T66" s="4849"/>
      <c r="U66" s="6050"/>
      <c r="V66" s="6195"/>
      <c r="W66" s="6196"/>
      <c r="X66" s="681"/>
      <c r="Y66" s="299" t="s">
        <v>193</v>
      </c>
      <c r="Z66" s="1243"/>
      <c r="AA66" s="1243"/>
      <c r="AB66" s="4532"/>
      <c r="AD66" s="6403"/>
      <c r="AE66" s="6403"/>
      <c r="AF66" s="6403"/>
      <c r="AG66" s="6403"/>
      <c r="AH66" s="6403"/>
    </row>
    <row r="67" spans="1:34" ht="33" customHeight="1">
      <c r="A67" s="11"/>
      <c r="B67" s="5851"/>
      <c r="C67" s="777"/>
      <c r="D67" s="9865" t="s">
        <v>194</v>
      </c>
      <c r="E67" s="9865"/>
      <c r="F67" s="6699" t="s">
        <v>156</v>
      </c>
      <c r="G67" s="6738"/>
      <c r="H67" s="6738"/>
      <c r="I67" s="9597" t="s">
        <v>195</v>
      </c>
      <c r="J67" s="9630"/>
      <c r="K67" s="6983" t="s">
        <v>156</v>
      </c>
      <c r="L67" s="6984">
        <f>IF(COUNTBLANK(L68:L73)&gt;0,"미취합법인有",AVERAGE(L68:L73))</f>
        <v>98</v>
      </c>
      <c r="M67" s="7229"/>
      <c r="N67" s="6974">
        <f>IF(COUNTBLANK(N68:N73)&gt;0,"미취합법인有",AVERAGE(N68:N73))</f>
        <v>91</v>
      </c>
      <c r="O67" s="7229"/>
      <c r="P67" s="6975">
        <f>IF(COUNTBLANK(P68:P73)&gt;0,"미취합법인有",AVERAGE(P68:P73))</f>
        <v>93.5</v>
      </c>
      <c r="Q67" s="6987"/>
      <c r="R67" s="6976" t="s">
        <v>36</v>
      </c>
      <c r="S67" s="6993"/>
      <c r="T67" s="6998"/>
      <c r="U67" s="6050"/>
      <c r="V67" s="6195" t="s">
        <v>189</v>
      </c>
      <c r="W67" s="6196"/>
      <c r="X67" s="681"/>
      <c r="Y67" s="5846"/>
      <c r="Z67" s="1649"/>
      <c r="AA67" s="1650" t="s">
        <v>190</v>
      </c>
      <c r="AB67" s="1651"/>
    </row>
    <row r="68" spans="1:34" ht="21.6" customHeight="1">
      <c r="A68"/>
      <c r="B68" s="6191"/>
      <c r="C68" s="5598"/>
      <c r="D68" s="9598" t="s">
        <v>134</v>
      </c>
      <c r="E68" s="9600"/>
      <c r="F68" s="285" t="s">
        <v>156</v>
      </c>
      <c r="G68" s="6173"/>
      <c r="H68" s="6193"/>
      <c r="I68" s="9580" t="s">
        <v>135</v>
      </c>
      <c r="J68" s="9581"/>
      <c r="K68" s="674" t="s">
        <v>156</v>
      </c>
      <c r="L68" s="6765">
        <v>100</v>
      </c>
      <c r="M68" s="7230"/>
      <c r="N68" s="6843">
        <v>100</v>
      </c>
      <c r="O68" s="7230"/>
      <c r="P68" s="6910">
        <v>100</v>
      </c>
      <c r="Q68" s="7454"/>
      <c r="R68" s="6653" t="s">
        <v>36</v>
      </c>
      <c r="S68" s="6553"/>
      <c r="T68" s="4849"/>
      <c r="U68" s="6050"/>
      <c r="V68" s="6195"/>
      <c r="W68" s="6196"/>
      <c r="X68" s="681"/>
      <c r="Y68" s="5846"/>
      <c r="Z68" s="1243"/>
      <c r="AA68" s="1243"/>
      <c r="AB68" s="4532"/>
      <c r="AD68" s="6403"/>
      <c r="AE68" s="6403"/>
      <c r="AF68" s="6403"/>
      <c r="AG68" s="6403"/>
      <c r="AH68" s="6403"/>
    </row>
    <row r="69" spans="1:34" ht="21.6" customHeight="1">
      <c r="A69"/>
      <c r="B69" s="6191"/>
      <c r="C69" s="5598"/>
      <c r="D69" s="9598" t="s">
        <v>137</v>
      </c>
      <c r="E69" s="9600"/>
      <c r="F69" s="285" t="s">
        <v>156</v>
      </c>
      <c r="G69" s="6173"/>
      <c r="H69" s="6193"/>
      <c r="I69" s="9580" t="s">
        <v>138</v>
      </c>
      <c r="J69" s="9581"/>
      <c r="K69" s="674" t="s">
        <v>156</v>
      </c>
      <c r="L69" s="6766">
        <v>92</v>
      </c>
      <c r="M69" s="7231"/>
      <c r="N69" s="6838">
        <v>64</v>
      </c>
      <c r="O69" s="7231"/>
      <c r="P69" s="6872">
        <v>87</v>
      </c>
      <c r="Q69" s="7455"/>
      <c r="R69" s="6653" t="s">
        <v>36</v>
      </c>
      <c r="S69" s="6554"/>
      <c r="T69" s="4849"/>
      <c r="U69" s="6050"/>
      <c r="V69" s="6195"/>
      <c r="W69" s="6196"/>
      <c r="X69" s="681"/>
      <c r="Y69" s="5846"/>
      <c r="Z69" s="1243"/>
      <c r="AA69" s="1243"/>
      <c r="AB69" s="4532"/>
      <c r="AD69" s="6403"/>
      <c r="AE69" s="6403"/>
      <c r="AF69" s="6403"/>
      <c r="AG69" s="6403"/>
      <c r="AH69" s="6403"/>
    </row>
    <row r="70" spans="1:34" ht="21.6" customHeight="1">
      <c r="A70"/>
      <c r="B70" s="6191"/>
      <c r="C70" s="5598"/>
      <c r="D70" s="9598" t="s">
        <v>140</v>
      </c>
      <c r="E70" s="9600"/>
      <c r="F70" s="285" t="s">
        <v>156</v>
      </c>
      <c r="G70" s="6173"/>
      <c r="H70" s="6193"/>
      <c r="I70" s="9717" t="s">
        <v>141</v>
      </c>
      <c r="J70" s="9621"/>
      <c r="K70" s="674" t="s">
        <v>156</v>
      </c>
      <c r="L70" s="6765">
        <v>100</v>
      </c>
      <c r="M70" s="7230"/>
      <c r="N70" s="6843">
        <v>100</v>
      </c>
      <c r="O70" s="7352"/>
      <c r="P70" s="6911" t="s">
        <v>168</v>
      </c>
      <c r="Q70" s="7454"/>
      <c r="R70" s="6654" t="s">
        <v>196</v>
      </c>
      <c r="S70" s="6553"/>
      <c r="T70" s="4849"/>
      <c r="U70" s="6050"/>
      <c r="V70" s="6195"/>
      <c r="W70" s="6196"/>
      <c r="X70" s="681"/>
      <c r="Y70" s="5846"/>
      <c r="Z70" s="1243"/>
      <c r="AA70" s="1243"/>
      <c r="AB70" s="4532"/>
      <c r="AD70" s="6403"/>
      <c r="AE70" s="6403"/>
      <c r="AF70" s="6403"/>
      <c r="AG70" s="6403"/>
      <c r="AH70" s="6403"/>
    </row>
    <row r="71" spans="1:34" ht="21.6" customHeight="1">
      <c r="A71"/>
      <c r="B71" s="6191"/>
      <c r="C71" s="5598"/>
      <c r="D71" s="9598" t="s">
        <v>143</v>
      </c>
      <c r="E71" s="9600"/>
      <c r="F71" s="285" t="s">
        <v>156</v>
      </c>
      <c r="G71" s="6173"/>
      <c r="H71" s="6193"/>
      <c r="I71" s="9717" t="s">
        <v>144</v>
      </c>
      <c r="J71" s="9621"/>
      <c r="K71" s="674" t="s">
        <v>156</v>
      </c>
      <c r="L71" s="6764" t="s">
        <v>168</v>
      </c>
      <c r="M71" s="7228"/>
      <c r="N71" s="6842" t="s">
        <v>168</v>
      </c>
      <c r="O71" s="7352"/>
      <c r="P71" s="6906" t="s">
        <v>168</v>
      </c>
      <c r="Q71" s="7454"/>
      <c r="R71" s="6653" t="s">
        <v>36</v>
      </c>
      <c r="S71" s="6553"/>
      <c r="T71" s="4849"/>
      <c r="U71" s="6050"/>
      <c r="V71" s="6195"/>
      <c r="W71" s="6196"/>
      <c r="X71" s="681"/>
      <c r="Y71" s="5846"/>
      <c r="Z71" s="1243"/>
      <c r="AA71" s="1243"/>
      <c r="AB71" s="4532"/>
      <c r="AD71" s="6403"/>
      <c r="AE71" s="6403"/>
      <c r="AF71" s="6403"/>
      <c r="AG71" s="6403"/>
      <c r="AH71" s="6403"/>
    </row>
    <row r="72" spans="1:34" ht="21.6" customHeight="1">
      <c r="A72"/>
      <c r="B72" s="6191"/>
      <c r="C72" s="5598"/>
      <c r="D72" s="9598" t="s">
        <v>146</v>
      </c>
      <c r="E72" s="9600"/>
      <c r="F72" s="285" t="s">
        <v>156</v>
      </c>
      <c r="G72" s="6173"/>
      <c r="H72" s="6193"/>
      <c r="I72" s="9717" t="s">
        <v>147</v>
      </c>
      <c r="J72" s="9621"/>
      <c r="K72" s="674" t="s">
        <v>156</v>
      </c>
      <c r="L72" s="6765">
        <v>100</v>
      </c>
      <c r="M72" s="7230"/>
      <c r="N72" s="6843">
        <v>100</v>
      </c>
      <c r="O72" s="7352"/>
      <c r="P72" s="6911" t="s">
        <v>168</v>
      </c>
      <c r="Q72" s="7454"/>
      <c r="R72" s="6654" t="s">
        <v>196</v>
      </c>
      <c r="S72" s="6553"/>
      <c r="T72" s="4849"/>
      <c r="U72" s="6050"/>
      <c r="V72" s="6195"/>
      <c r="W72" s="6196"/>
      <c r="X72" s="681"/>
      <c r="Y72" s="5846"/>
      <c r="Z72" s="1243"/>
      <c r="AA72" s="1243"/>
      <c r="AB72" s="4532"/>
      <c r="AD72" s="6403"/>
      <c r="AE72" s="6403"/>
      <c r="AF72" s="6403"/>
      <c r="AG72" s="6403"/>
      <c r="AH72" s="6403"/>
    </row>
    <row r="73" spans="1:34" ht="21.6" customHeight="1" thickBot="1">
      <c r="A73"/>
      <c r="B73" s="6191"/>
      <c r="C73" s="5598"/>
      <c r="D73" s="9598" t="s">
        <v>149</v>
      </c>
      <c r="E73" s="9600"/>
      <c r="F73" s="285" t="s">
        <v>156</v>
      </c>
      <c r="G73" s="6173"/>
      <c r="H73" s="6193"/>
      <c r="I73" s="9717" t="s">
        <v>150</v>
      </c>
      <c r="J73" s="9621"/>
      <c r="K73" s="674" t="s">
        <v>156</v>
      </c>
      <c r="L73" s="6767" t="s">
        <v>168</v>
      </c>
      <c r="M73" s="7232"/>
      <c r="N73" s="6844" t="s">
        <v>168</v>
      </c>
      <c r="O73" s="7232"/>
      <c r="P73" s="6912" t="s">
        <v>168</v>
      </c>
      <c r="Q73" s="7456"/>
      <c r="R73" s="6655" t="s">
        <v>31</v>
      </c>
      <c r="S73" s="6555"/>
      <c r="T73" s="6211"/>
      <c r="U73" s="6212"/>
      <c r="V73" s="6213"/>
      <c r="W73" s="6214"/>
      <c r="X73" s="6215"/>
      <c r="Y73" s="6229"/>
      <c r="Z73" s="6216"/>
      <c r="AA73" s="6216"/>
      <c r="AB73" s="6217"/>
      <c r="AD73" s="6403"/>
      <c r="AE73" s="6403"/>
      <c r="AF73" s="6403"/>
      <c r="AG73" s="6403"/>
      <c r="AH73" s="6403"/>
    </row>
    <row r="74" spans="1:34" ht="27" thickBot="1">
      <c r="A74" s="50"/>
      <c r="B74" s="1652" t="s">
        <v>197</v>
      </c>
      <c r="C74" s="1653"/>
      <c r="D74" s="1653"/>
      <c r="E74" s="1653"/>
      <c r="F74" s="1654"/>
      <c r="G74" s="6150" t="s">
        <v>198</v>
      </c>
      <c r="H74" s="1657"/>
      <c r="I74" s="1657"/>
      <c r="J74" s="1657"/>
      <c r="K74" s="6151"/>
      <c r="L74" s="6768"/>
      <c r="M74" s="6219"/>
      <c r="N74" s="6845"/>
      <c r="O74" s="6219"/>
      <c r="P74" s="6845"/>
      <c r="Q74" s="6219"/>
      <c r="R74" s="6656"/>
      <c r="S74" s="6528"/>
      <c r="T74" s="6220"/>
      <c r="U74" s="6220"/>
      <c r="V74" s="6221"/>
      <c r="W74" s="6221"/>
      <c r="X74" s="6221"/>
      <c r="Y74" s="6221"/>
      <c r="Z74" s="6222"/>
      <c r="AA74" s="6222"/>
      <c r="AB74" s="6223"/>
      <c r="AD74" s="6402"/>
    </row>
    <row r="75" spans="1:34" ht="27" thickBot="1">
      <c r="A75" s="11"/>
      <c r="B75" s="123" t="s">
        <v>199</v>
      </c>
      <c r="C75" s="124"/>
      <c r="D75" s="124"/>
      <c r="E75" s="124"/>
      <c r="F75" s="78"/>
      <c r="G75" s="125" t="s">
        <v>200</v>
      </c>
      <c r="H75" s="126"/>
      <c r="I75" s="126"/>
      <c r="J75" s="126"/>
      <c r="K75" s="78"/>
      <c r="L75" s="6769"/>
      <c r="M75" s="77"/>
      <c r="N75" s="6846"/>
      <c r="O75" s="77"/>
      <c r="P75" s="6846"/>
      <c r="Q75" s="77"/>
      <c r="R75" s="6533"/>
      <c r="S75" s="6529"/>
      <c r="T75" s="80"/>
      <c r="U75" s="80"/>
      <c r="V75" s="129"/>
      <c r="W75" s="129"/>
      <c r="X75" s="129"/>
      <c r="Y75" s="129"/>
      <c r="Z75" s="6347"/>
      <c r="AA75" s="6347"/>
      <c r="AB75" s="329"/>
    </row>
    <row r="76" spans="1:34" ht="19.899999999999999" customHeight="1">
      <c r="A76" s="11"/>
      <c r="B76" s="1359"/>
      <c r="C76" s="9670" t="s">
        <v>201</v>
      </c>
      <c r="D76" s="9670"/>
      <c r="E76" s="9670"/>
      <c r="F76" s="252" t="s">
        <v>212</v>
      </c>
      <c r="G76" s="253"/>
      <c r="H76" s="9670" t="s">
        <v>202</v>
      </c>
      <c r="I76" s="9670"/>
      <c r="J76" s="9670"/>
      <c r="K76" s="252" t="s">
        <v>203</v>
      </c>
      <c r="L76" s="6763">
        <f>IF(COUNTBLANK(L77:L82)&gt;0,"미취합법인有",SUM(L77:L82))</f>
        <v>169732.50006197748</v>
      </c>
      <c r="M76" s="7233"/>
      <c r="N76" s="6847">
        <f>IF(COUNTBLANK(N77:N82)&gt;0,"미취합법인有",SUM(N77:N82))</f>
        <v>163824.14137838699</v>
      </c>
      <c r="O76" s="7353"/>
      <c r="P76" s="6913">
        <f>IF(COUNTBLANK(P77:P82)&gt;0,"미취합법인有",SUM(P77:P82))</f>
        <v>164163.04431277458</v>
      </c>
      <c r="Q76" s="7457"/>
      <c r="R76" s="6657" t="s">
        <v>31</v>
      </c>
      <c r="S76" s="6556"/>
      <c r="T76" s="1021" t="s">
        <v>204</v>
      </c>
      <c r="U76" s="263" t="s">
        <v>205</v>
      </c>
      <c r="V76" s="99" t="s">
        <v>206</v>
      </c>
      <c r="W76" s="138"/>
      <c r="X76" s="138"/>
      <c r="Y76" s="99"/>
      <c r="Z76" s="264" t="s">
        <v>207</v>
      </c>
      <c r="AA76" s="265"/>
      <c r="AB76" s="187"/>
    </row>
    <row r="77" spans="1:34" ht="19.899999999999999" customHeight="1">
      <c r="A77" s="11"/>
      <c r="B77" s="5590"/>
      <c r="C77" s="9647" t="s">
        <v>134</v>
      </c>
      <c r="D77" s="9648"/>
      <c r="E77" s="9649"/>
      <c r="F77" s="5591" t="s">
        <v>212</v>
      </c>
      <c r="G77" s="253"/>
      <c r="H77" s="9579" t="s">
        <v>135</v>
      </c>
      <c r="I77" s="9580"/>
      <c r="J77" s="9581"/>
      <c r="K77" s="5591" t="s">
        <v>203</v>
      </c>
      <c r="L77" s="6754">
        <v>60746.3</v>
      </c>
      <c r="M77" s="7234"/>
      <c r="N77" s="6837">
        <v>71421.22</v>
      </c>
      <c r="O77" s="7234"/>
      <c r="P77" s="6903">
        <v>69798.138999999996</v>
      </c>
      <c r="Q77" s="7240"/>
      <c r="R77" s="6658" t="s">
        <v>31</v>
      </c>
      <c r="S77" s="6557"/>
      <c r="T77" s="1033"/>
      <c r="U77" s="263"/>
      <c r="V77" s="99"/>
      <c r="W77" s="138"/>
      <c r="X77" s="138"/>
      <c r="Y77" s="99"/>
      <c r="Z77" s="264"/>
      <c r="AA77" s="277"/>
      <c r="AB77" s="187"/>
    </row>
    <row r="78" spans="1:34" ht="19.899999999999999" customHeight="1">
      <c r="A78" s="11"/>
      <c r="B78" s="5590"/>
      <c r="C78" s="9647" t="s">
        <v>137</v>
      </c>
      <c r="D78" s="9648"/>
      <c r="E78" s="9649"/>
      <c r="F78" s="5591" t="s">
        <v>212</v>
      </c>
      <c r="G78" s="253"/>
      <c r="H78" s="9579" t="s">
        <v>138</v>
      </c>
      <c r="I78" s="9580"/>
      <c r="J78" s="9581"/>
      <c r="K78" s="5591" t="s">
        <v>203</v>
      </c>
      <c r="L78" s="6770" t="s">
        <v>168</v>
      </c>
      <c r="M78" s="7235"/>
      <c r="N78" s="6848" t="s">
        <v>169</v>
      </c>
      <c r="O78" s="7235"/>
      <c r="P78" s="6903">
        <v>556.83400000000006</v>
      </c>
      <c r="Q78" s="7240"/>
      <c r="R78" s="6658" t="s">
        <v>31</v>
      </c>
      <c r="S78" s="6557" t="s">
        <v>208</v>
      </c>
      <c r="T78" s="1033"/>
      <c r="U78" s="263"/>
      <c r="V78" s="99"/>
      <c r="W78" s="138"/>
      <c r="X78" s="138"/>
      <c r="Y78" s="99"/>
      <c r="Z78" s="264"/>
      <c r="AA78" s="277"/>
      <c r="AB78" s="187"/>
    </row>
    <row r="79" spans="1:34" ht="19.899999999999999" customHeight="1">
      <c r="A79" s="11"/>
      <c r="B79" s="5590"/>
      <c r="C79" s="9647" t="s">
        <v>140</v>
      </c>
      <c r="D79" s="9648"/>
      <c r="E79" s="9649"/>
      <c r="F79" s="5591" t="s">
        <v>212</v>
      </c>
      <c r="G79" s="253"/>
      <c r="H79" s="9579" t="s">
        <v>141</v>
      </c>
      <c r="I79" s="9580"/>
      <c r="J79" s="9581"/>
      <c r="K79" s="5591" t="s">
        <v>203</v>
      </c>
      <c r="L79" s="6754">
        <v>108986.20006197746</v>
      </c>
      <c r="M79" s="7234"/>
      <c r="N79" s="6837">
        <v>92402.921378387007</v>
      </c>
      <c r="O79" s="7234"/>
      <c r="P79" s="6903">
        <v>93808.071312774584</v>
      </c>
      <c r="Q79" s="7240"/>
      <c r="R79" s="6658" t="s">
        <v>31</v>
      </c>
      <c r="S79" s="6557"/>
      <c r="T79" s="1033"/>
      <c r="U79" s="263"/>
      <c r="V79" s="99"/>
      <c r="W79" s="138"/>
      <c r="X79" s="138"/>
      <c r="Y79" s="99"/>
      <c r="Z79" s="264"/>
      <c r="AA79" s="277"/>
      <c r="AB79" s="187"/>
    </row>
    <row r="80" spans="1:34" ht="19.899999999999999" customHeight="1">
      <c r="A80" s="11"/>
      <c r="B80" s="5590"/>
      <c r="C80" s="9647" t="s">
        <v>143</v>
      </c>
      <c r="D80" s="9648"/>
      <c r="E80" s="9649"/>
      <c r="F80" s="5591" t="s">
        <v>212</v>
      </c>
      <c r="G80" s="253"/>
      <c r="H80" s="9579" t="s">
        <v>144</v>
      </c>
      <c r="I80" s="9580"/>
      <c r="J80" s="9581"/>
      <c r="K80" s="5591" t="s">
        <v>203</v>
      </c>
      <c r="L80" s="6771" t="s">
        <v>168</v>
      </c>
      <c r="M80" s="7234"/>
      <c r="N80" s="6849" t="s">
        <v>169</v>
      </c>
      <c r="O80" s="7234"/>
      <c r="P80" s="6874" t="s">
        <v>169</v>
      </c>
      <c r="Q80" s="7240"/>
      <c r="R80" s="6658" t="s">
        <v>31</v>
      </c>
      <c r="S80" s="6557" t="s">
        <v>209</v>
      </c>
      <c r="T80" s="1033"/>
      <c r="U80" s="263"/>
      <c r="V80" s="99"/>
      <c r="W80" s="138"/>
      <c r="X80" s="138"/>
      <c r="Y80" s="99"/>
      <c r="Z80" s="264"/>
      <c r="AA80" s="277"/>
      <c r="AB80" s="187"/>
    </row>
    <row r="81" spans="1:28" ht="19.899999999999999" customHeight="1">
      <c r="A81" s="11"/>
      <c r="B81" s="5590"/>
      <c r="C81" s="9647" t="s">
        <v>146</v>
      </c>
      <c r="D81" s="9648"/>
      <c r="E81" s="9649"/>
      <c r="F81" s="5591" t="s">
        <v>212</v>
      </c>
      <c r="G81" s="253"/>
      <c r="H81" s="9579" t="s">
        <v>147</v>
      </c>
      <c r="I81" s="9580"/>
      <c r="J81" s="9581"/>
      <c r="K81" s="5591" t="s">
        <v>203</v>
      </c>
      <c r="L81" s="6754" t="s">
        <v>168</v>
      </c>
      <c r="M81" s="7234"/>
      <c r="N81" s="6837" t="s">
        <v>169</v>
      </c>
      <c r="O81" s="7234"/>
      <c r="P81" s="6903" t="s">
        <v>169</v>
      </c>
      <c r="Q81" s="7242"/>
      <c r="R81" s="6658" t="s">
        <v>31</v>
      </c>
      <c r="S81" s="6557" t="s">
        <v>209</v>
      </c>
      <c r="T81" s="1033"/>
      <c r="U81" s="263"/>
      <c r="V81" s="99"/>
      <c r="W81" s="138"/>
      <c r="X81" s="138"/>
      <c r="Y81" s="99"/>
      <c r="Z81" s="264"/>
      <c r="AA81" s="277"/>
      <c r="AB81" s="187"/>
    </row>
    <row r="82" spans="1:28" ht="19.899999999999999" customHeight="1">
      <c r="A82" s="11"/>
      <c r="B82" s="5590"/>
      <c r="C82" s="9647" t="s">
        <v>149</v>
      </c>
      <c r="D82" s="9648"/>
      <c r="E82" s="9649"/>
      <c r="F82" s="5591" t="s">
        <v>212</v>
      </c>
      <c r="G82" s="253"/>
      <c r="H82" s="9579" t="s">
        <v>150</v>
      </c>
      <c r="I82" s="9580"/>
      <c r="J82" s="9581"/>
      <c r="K82" s="5591" t="s">
        <v>203</v>
      </c>
      <c r="L82" s="6754" t="s">
        <v>168</v>
      </c>
      <c r="M82" s="7234"/>
      <c r="N82" s="6837" t="s">
        <v>169</v>
      </c>
      <c r="O82" s="7234"/>
      <c r="P82" s="6903" t="s">
        <v>169</v>
      </c>
      <c r="Q82" s="7242"/>
      <c r="R82" s="6658" t="s">
        <v>31</v>
      </c>
      <c r="S82" s="6557" t="s">
        <v>209</v>
      </c>
      <c r="T82" s="1033"/>
      <c r="U82" s="263"/>
      <c r="V82" s="99"/>
      <c r="W82" s="138"/>
      <c r="X82" s="138"/>
      <c r="Y82" s="99"/>
      <c r="Z82" s="264"/>
      <c r="AA82" s="277"/>
      <c r="AB82" s="187"/>
    </row>
    <row r="83" spans="1:28" ht="19.899999999999999" customHeight="1">
      <c r="A83" s="11"/>
      <c r="B83" s="5590"/>
      <c r="C83" s="386"/>
      <c r="D83" s="9591" t="s">
        <v>210</v>
      </c>
      <c r="E83" s="9592"/>
      <c r="F83" s="5591" t="s">
        <v>212</v>
      </c>
      <c r="G83" s="253"/>
      <c r="H83" s="6154"/>
      <c r="I83" s="9586" t="s">
        <v>211</v>
      </c>
      <c r="J83" s="9588"/>
      <c r="K83" s="132" t="s">
        <v>212</v>
      </c>
      <c r="L83" s="6763" t="str">
        <f>IF(COUNTBLANK(L84:L89)&gt;0,"미취합법인有",SUM(L84:L89))</f>
        <v>미취합법인有</v>
      </c>
      <c r="M83" s="7236"/>
      <c r="N83" s="6840" t="str">
        <f>IF(COUNTBLANK(N84:N89)&gt;0,"미취합법인有",SUM(N84:N89))</f>
        <v>미취합법인有</v>
      </c>
      <c r="O83" s="7236"/>
      <c r="P83" s="6914" t="str">
        <f>IF(COUNTBLANK(P84:P89)&gt;0,"미취합법인有",SUM(P84:P89))</f>
        <v>미취합법인有</v>
      </c>
      <c r="Q83" s="7236"/>
      <c r="R83" s="6658" t="s">
        <v>31</v>
      </c>
      <c r="S83" s="6538"/>
      <c r="T83" s="2468" t="s">
        <v>213</v>
      </c>
      <c r="U83" s="276" t="s">
        <v>214</v>
      </c>
      <c r="V83" s="99" t="s">
        <v>206</v>
      </c>
      <c r="W83" s="138"/>
      <c r="X83" s="138"/>
      <c r="Y83" s="99"/>
      <c r="Z83" s="264" t="s">
        <v>215</v>
      </c>
      <c r="AA83" s="277" t="s">
        <v>216</v>
      </c>
      <c r="AB83" s="187"/>
    </row>
    <row r="84" spans="1:28" ht="19.899999999999999" customHeight="1">
      <c r="A84" s="11"/>
      <c r="B84" s="5590"/>
      <c r="C84" s="893"/>
      <c r="D84" s="9598" t="s">
        <v>134</v>
      </c>
      <c r="E84" s="9600"/>
      <c r="F84" s="5591" t="s">
        <v>212</v>
      </c>
      <c r="G84" s="253"/>
      <c r="H84" s="6179"/>
      <c r="I84" s="9579" t="s">
        <v>135</v>
      </c>
      <c r="J84" s="9581"/>
      <c r="K84" s="132" t="s">
        <v>212</v>
      </c>
      <c r="L84" s="6761">
        <v>7184.4</v>
      </c>
      <c r="M84" s="7237"/>
      <c r="N84" s="6836">
        <v>7712.3</v>
      </c>
      <c r="O84" s="7234" t="s">
        <v>650</v>
      </c>
      <c r="P84" s="6903">
        <v>7590.4170000000004</v>
      </c>
      <c r="Q84" s="7439" t="s">
        <v>651</v>
      </c>
      <c r="R84" s="6658" t="s">
        <v>31</v>
      </c>
      <c r="S84" s="6541"/>
      <c r="T84" s="2468"/>
      <c r="U84" s="276"/>
      <c r="V84" s="99"/>
      <c r="W84" s="138"/>
      <c r="X84" s="138"/>
      <c r="Y84" s="99"/>
      <c r="Z84" s="264"/>
      <c r="AA84" s="277"/>
      <c r="AB84" s="187"/>
    </row>
    <row r="85" spans="1:28" ht="19.899999999999999" customHeight="1">
      <c r="A85" s="11"/>
      <c r="B85" s="5590"/>
      <c r="C85" s="893"/>
      <c r="D85" s="9598" t="s">
        <v>137</v>
      </c>
      <c r="E85" s="9600"/>
      <c r="F85" s="5591" t="s">
        <v>212</v>
      </c>
      <c r="G85" s="253"/>
      <c r="H85" s="6179"/>
      <c r="I85" s="9579" t="s">
        <v>138</v>
      </c>
      <c r="J85" s="9581"/>
      <c r="K85" s="132" t="s">
        <v>212</v>
      </c>
      <c r="L85" s="6754" t="s">
        <v>168</v>
      </c>
      <c r="M85" s="7234" t="s">
        <v>652</v>
      </c>
      <c r="N85" s="6837" t="s">
        <v>169</v>
      </c>
      <c r="O85" s="7234" t="s">
        <v>652</v>
      </c>
      <c r="P85" s="6903">
        <v>71.001000000000005</v>
      </c>
      <c r="Q85" s="7438"/>
      <c r="R85" s="6658" t="s">
        <v>31</v>
      </c>
      <c r="S85" s="6540"/>
      <c r="T85" s="2468"/>
      <c r="U85" s="276"/>
      <c r="V85" s="99"/>
      <c r="W85" s="138"/>
      <c r="X85" s="138"/>
      <c r="Y85" s="99"/>
      <c r="Z85" s="264"/>
      <c r="AA85" s="277"/>
      <c r="AB85" s="187"/>
    </row>
    <row r="86" spans="1:28" ht="19.899999999999999" customHeight="1">
      <c r="A86" s="11"/>
      <c r="B86" s="5590"/>
      <c r="C86" s="893"/>
      <c r="D86" s="9598" t="s">
        <v>140</v>
      </c>
      <c r="E86" s="9600"/>
      <c r="F86" s="5591" t="s">
        <v>212</v>
      </c>
      <c r="G86" s="253"/>
      <c r="H86" s="6179"/>
      <c r="I86" s="9582" t="s">
        <v>141</v>
      </c>
      <c r="J86" s="9583"/>
      <c r="K86" s="132" t="s">
        <v>212</v>
      </c>
      <c r="L86" s="6761">
        <v>61780.287091847931</v>
      </c>
      <c r="M86" s="7237"/>
      <c r="N86" s="6836">
        <v>50879.003569474</v>
      </c>
      <c r="O86" s="7237"/>
      <c r="P86" s="6874">
        <v>50978.402199850505</v>
      </c>
      <c r="Q86" s="7219"/>
      <c r="R86" s="6658" t="s">
        <v>31</v>
      </c>
      <c r="S86" s="6628"/>
      <c r="T86" s="2468"/>
      <c r="U86" s="276"/>
      <c r="V86" s="99"/>
      <c r="W86" s="138"/>
      <c r="X86" s="138"/>
      <c r="Y86" s="99"/>
      <c r="Z86" s="264"/>
      <c r="AA86" s="277"/>
      <c r="AB86" s="187"/>
    </row>
    <row r="87" spans="1:28" ht="19.899999999999999" customHeight="1">
      <c r="A87" s="11"/>
      <c r="B87" s="5590"/>
      <c r="C87" s="893"/>
      <c r="D87" s="9598" t="s">
        <v>143</v>
      </c>
      <c r="E87" s="9600"/>
      <c r="F87" s="5591" t="s">
        <v>212</v>
      </c>
      <c r="G87" s="253"/>
      <c r="H87" s="6179"/>
      <c r="I87" s="9582" t="s">
        <v>144</v>
      </c>
      <c r="J87" s="9583"/>
      <c r="K87" s="132" t="s">
        <v>212</v>
      </c>
      <c r="L87" s="6761"/>
      <c r="M87" s="7237"/>
      <c r="N87" s="6836"/>
      <c r="O87" s="7237"/>
      <c r="P87" s="6903"/>
      <c r="Q87" s="7438"/>
      <c r="R87" s="6658" t="s">
        <v>31</v>
      </c>
      <c r="S87" s="6540"/>
      <c r="T87" s="2468"/>
      <c r="U87" s="276"/>
      <c r="V87" s="99"/>
      <c r="W87" s="138"/>
      <c r="X87" s="138"/>
      <c r="Y87" s="99"/>
      <c r="Z87" s="264"/>
      <c r="AA87" s="277"/>
      <c r="AB87" s="187"/>
    </row>
    <row r="88" spans="1:28" ht="19.899999999999999" customHeight="1">
      <c r="A88" s="11"/>
      <c r="B88" s="5590"/>
      <c r="C88" s="893"/>
      <c r="D88" s="9598" t="s">
        <v>146</v>
      </c>
      <c r="E88" s="9600"/>
      <c r="F88" s="5591" t="s">
        <v>212</v>
      </c>
      <c r="G88" s="253"/>
      <c r="H88" s="6179"/>
      <c r="I88" s="9582" t="s">
        <v>147</v>
      </c>
      <c r="J88" s="9583"/>
      <c r="K88" s="132" t="s">
        <v>212</v>
      </c>
      <c r="L88" s="6754" t="s">
        <v>168</v>
      </c>
      <c r="M88" s="7234" t="s">
        <v>641</v>
      </c>
      <c r="N88" s="6837" t="s">
        <v>169</v>
      </c>
      <c r="O88" s="7234" t="s">
        <v>641</v>
      </c>
      <c r="P88" s="6903" t="s">
        <v>169</v>
      </c>
      <c r="Q88" s="7242" t="s">
        <v>641</v>
      </c>
      <c r="R88" s="6658" t="s">
        <v>31</v>
      </c>
      <c r="S88" s="6559"/>
      <c r="T88" s="2468"/>
      <c r="U88" s="276"/>
      <c r="V88" s="99"/>
      <c r="W88" s="138"/>
      <c r="X88" s="138"/>
      <c r="Y88" s="99"/>
      <c r="Z88" s="264"/>
      <c r="AA88" s="277"/>
      <c r="AB88" s="187"/>
    </row>
    <row r="89" spans="1:28" ht="19.899999999999999" customHeight="1">
      <c r="A89" s="11"/>
      <c r="B89" s="5590"/>
      <c r="C89" s="286"/>
      <c r="D89" s="9598" t="s">
        <v>149</v>
      </c>
      <c r="E89" s="9600"/>
      <c r="F89" s="5591" t="s">
        <v>212</v>
      </c>
      <c r="G89" s="253"/>
      <c r="H89" s="6179"/>
      <c r="I89" s="9582" t="s">
        <v>150</v>
      </c>
      <c r="J89" s="9583"/>
      <c r="K89" s="132" t="s">
        <v>212</v>
      </c>
      <c r="L89" s="6754" t="s">
        <v>168</v>
      </c>
      <c r="M89" s="7234" t="s">
        <v>641</v>
      </c>
      <c r="N89" s="6837" t="s">
        <v>169</v>
      </c>
      <c r="O89" s="7234" t="s">
        <v>641</v>
      </c>
      <c r="P89" s="6903" t="s">
        <v>169</v>
      </c>
      <c r="Q89" s="7242" t="s">
        <v>641</v>
      </c>
      <c r="R89" s="6658" t="s">
        <v>31</v>
      </c>
      <c r="S89" s="6559"/>
      <c r="T89" s="2468"/>
      <c r="U89" s="276"/>
      <c r="V89" s="99"/>
      <c r="W89" s="138"/>
      <c r="X89" s="138"/>
      <c r="Y89" s="99"/>
      <c r="Z89" s="264"/>
      <c r="AA89" s="277"/>
      <c r="AB89" s="187"/>
    </row>
    <row r="90" spans="1:28" ht="19.899999999999999" customHeight="1">
      <c r="A90" s="11"/>
      <c r="B90" s="1360"/>
      <c r="C90" s="6635"/>
      <c r="D90" s="9586" t="s">
        <v>217</v>
      </c>
      <c r="E90" s="9588"/>
      <c r="F90" s="5591" t="s">
        <v>212</v>
      </c>
      <c r="G90" s="253"/>
      <c r="H90" s="6154"/>
      <c r="I90" s="5606" t="s">
        <v>218</v>
      </c>
      <c r="J90" s="5943"/>
      <c r="K90" s="132" t="s">
        <v>203</v>
      </c>
      <c r="L90" s="6763" t="str">
        <f>IF(COUNTBLANK(L91:L96)&gt;0,"미취합법인有",SUM(L91:L96))</f>
        <v>미취합법인有</v>
      </c>
      <c r="M90" s="7236"/>
      <c r="N90" s="6840" t="str">
        <f>IF(COUNTBLANK(N91:N96)&gt;0,"미취합법인有",SUM(N91:N96))</f>
        <v>미취합법인有</v>
      </c>
      <c r="O90" s="7236"/>
      <c r="P90" s="6914" t="str">
        <f>IF(COUNTBLANK(P91:P96)&gt;0,"미취합법인有",SUM(P91:P96))</f>
        <v>미취합법인有</v>
      </c>
      <c r="Q90" s="7236"/>
      <c r="R90" s="6658" t="s">
        <v>31</v>
      </c>
      <c r="S90" s="6538"/>
      <c r="T90" s="2468" t="s">
        <v>219</v>
      </c>
      <c r="U90" s="276" t="s">
        <v>220</v>
      </c>
      <c r="V90" s="99" t="s">
        <v>206</v>
      </c>
      <c r="W90" s="138"/>
      <c r="X90" s="138"/>
      <c r="Y90" s="99"/>
      <c r="Z90" s="277" t="s">
        <v>221</v>
      </c>
      <c r="AA90" s="264" t="s">
        <v>222</v>
      </c>
      <c r="AB90" s="187"/>
    </row>
    <row r="91" spans="1:28" ht="19.899999999999999" customHeight="1">
      <c r="A91" s="11"/>
      <c r="B91" s="5590"/>
      <c r="C91" s="286"/>
      <c r="D91" s="9598" t="s">
        <v>134</v>
      </c>
      <c r="E91" s="9600"/>
      <c r="F91" s="5591" t="s">
        <v>212</v>
      </c>
      <c r="G91" s="253"/>
      <c r="H91" s="6179"/>
      <c r="I91" s="9579" t="s">
        <v>135</v>
      </c>
      <c r="J91" s="9581"/>
      <c r="K91" s="132" t="s">
        <v>203</v>
      </c>
      <c r="L91" s="6761">
        <v>53561.9</v>
      </c>
      <c r="M91" s="7237"/>
      <c r="N91" s="6836">
        <v>63708.92</v>
      </c>
      <c r="O91" s="7237"/>
      <c r="P91" s="6903">
        <v>62207.722000000002</v>
      </c>
      <c r="Q91" s="7458"/>
      <c r="R91" s="6658" t="s">
        <v>31</v>
      </c>
      <c r="S91" s="6560"/>
      <c r="T91" s="2468"/>
      <c r="U91" s="276"/>
      <c r="V91" s="99"/>
      <c r="W91" s="138"/>
      <c r="X91" s="138"/>
      <c r="Y91" s="99"/>
      <c r="Z91" s="264"/>
      <c r="AA91" s="277"/>
      <c r="AB91" s="187"/>
    </row>
    <row r="92" spans="1:28" ht="19.899999999999999" customHeight="1">
      <c r="A92" s="11"/>
      <c r="B92" s="5590"/>
      <c r="C92" s="286"/>
      <c r="D92" s="9598" t="s">
        <v>137</v>
      </c>
      <c r="E92" s="9600"/>
      <c r="F92" s="5591" t="s">
        <v>212</v>
      </c>
      <c r="G92" s="253"/>
      <c r="H92" s="6179"/>
      <c r="I92" s="9579" t="s">
        <v>138</v>
      </c>
      <c r="J92" s="9581"/>
      <c r="K92" s="132" t="s">
        <v>203</v>
      </c>
      <c r="L92" s="6754" t="s">
        <v>168</v>
      </c>
      <c r="M92" s="7234" t="s">
        <v>652</v>
      </c>
      <c r="N92" s="6837" t="s">
        <v>169</v>
      </c>
      <c r="O92" s="7234" t="s">
        <v>652</v>
      </c>
      <c r="P92" s="6903">
        <v>485.83300000000003</v>
      </c>
      <c r="Q92" s="7245"/>
      <c r="R92" s="6658" t="s">
        <v>31</v>
      </c>
      <c r="S92" s="6561"/>
      <c r="T92" s="2468"/>
      <c r="U92" s="276"/>
      <c r="V92" s="99"/>
      <c r="W92" s="138"/>
      <c r="X92" s="138"/>
      <c r="Y92" s="99"/>
      <c r="Z92" s="264"/>
      <c r="AA92" s="277"/>
      <c r="AB92" s="187"/>
    </row>
    <row r="93" spans="1:28" ht="19.899999999999999" customHeight="1">
      <c r="A93" s="11"/>
      <c r="B93" s="5590"/>
      <c r="C93" s="286"/>
      <c r="D93" s="9598" t="s">
        <v>140</v>
      </c>
      <c r="E93" s="9600"/>
      <c r="F93" s="5591" t="s">
        <v>212</v>
      </c>
      <c r="G93" s="253"/>
      <c r="H93" s="6179"/>
      <c r="I93" s="9582" t="s">
        <v>141</v>
      </c>
      <c r="J93" s="9583"/>
      <c r="K93" s="132" t="s">
        <v>203</v>
      </c>
      <c r="L93" s="6761">
        <v>47205.912970129539</v>
      </c>
      <c r="M93" s="7237"/>
      <c r="N93" s="6836">
        <v>41523.917808913007</v>
      </c>
      <c r="O93" s="7237"/>
      <c r="P93" s="6874">
        <v>42829.669112924086</v>
      </c>
      <c r="Q93" s="7459"/>
      <c r="R93" s="6658" t="s">
        <v>31</v>
      </c>
      <c r="S93" s="6632"/>
      <c r="T93" s="2468"/>
      <c r="U93" s="276"/>
      <c r="V93" s="99"/>
      <c r="W93" s="138"/>
      <c r="X93" s="138"/>
      <c r="Y93" s="99"/>
      <c r="Z93" s="264"/>
      <c r="AA93" s="277"/>
      <c r="AB93" s="187"/>
    </row>
    <row r="94" spans="1:28" ht="19.899999999999999" customHeight="1">
      <c r="A94" s="11"/>
      <c r="B94" s="5590"/>
      <c r="C94" s="286"/>
      <c r="D94" s="9598" t="s">
        <v>143</v>
      </c>
      <c r="E94" s="9600"/>
      <c r="F94" s="5591" t="s">
        <v>212</v>
      </c>
      <c r="G94" s="253"/>
      <c r="H94" s="6179"/>
      <c r="I94" s="9582" t="s">
        <v>144</v>
      </c>
      <c r="J94" s="9583"/>
      <c r="K94" s="132" t="s">
        <v>203</v>
      </c>
      <c r="L94" s="6754"/>
      <c r="M94" s="7234"/>
      <c r="N94" s="6837"/>
      <c r="O94" s="7234"/>
      <c r="P94" s="6903"/>
      <c r="Q94" s="7240"/>
      <c r="R94" s="6658" t="s">
        <v>31</v>
      </c>
      <c r="S94" s="6538"/>
      <c r="T94" s="2468"/>
      <c r="U94" s="276"/>
      <c r="V94" s="99"/>
      <c r="W94" s="138"/>
      <c r="X94" s="138"/>
      <c r="Y94" s="99"/>
      <c r="Z94" s="264"/>
      <c r="AA94" s="277"/>
      <c r="AB94" s="187"/>
    </row>
    <row r="95" spans="1:28" ht="19.899999999999999" customHeight="1">
      <c r="A95" s="11"/>
      <c r="B95" s="5590"/>
      <c r="C95" s="286"/>
      <c r="D95" s="9598" t="s">
        <v>146</v>
      </c>
      <c r="E95" s="9600"/>
      <c r="F95" s="5591" t="s">
        <v>212</v>
      </c>
      <c r="G95" s="253"/>
      <c r="H95" s="6179"/>
      <c r="I95" s="9582" t="s">
        <v>147</v>
      </c>
      <c r="J95" s="9583"/>
      <c r="K95" s="132" t="s">
        <v>203</v>
      </c>
      <c r="L95" s="6754" t="s">
        <v>168</v>
      </c>
      <c r="M95" s="7234" t="s">
        <v>641</v>
      </c>
      <c r="N95" s="6837" t="s">
        <v>169</v>
      </c>
      <c r="O95" s="7234" t="s">
        <v>641</v>
      </c>
      <c r="P95" s="6903" t="s">
        <v>169</v>
      </c>
      <c r="Q95" s="7242" t="s">
        <v>641</v>
      </c>
      <c r="R95" s="6658" t="s">
        <v>31</v>
      </c>
      <c r="S95" s="6559"/>
      <c r="T95" s="2468"/>
      <c r="U95" s="276"/>
      <c r="V95" s="99"/>
      <c r="W95" s="138"/>
      <c r="X95" s="138"/>
      <c r="Y95" s="99"/>
      <c r="Z95" s="264"/>
      <c r="AA95" s="277"/>
      <c r="AB95" s="187"/>
    </row>
    <row r="96" spans="1:28" ht="19.899999999999999" customHeight="1">
      <c r="A96" s="11"/>
      <c r="B96" s="5590"/>
      <c r="C96" s="286"/>
      <c r="D96" s="9598" t="s">
        <v>149</v>
      </c>
      <c r="E96" s="9600"/>
      <c r="F96" s="5591" t="s">
        <v>212</v>
      </c>
      <c r="G96" s="253"/>
      <c r="H96" s="6179"/>
      <c r="I96" s="9582" t="s">
        <v>150</v>
      </c>
      <c r="J96" s="9583"/>
      <c r="K96" s="132" t="s">
        <v>203</v>
      </c>
      <c r="L96" s="6754" t="s">
        <v>168</v>
      </c>
      <c r="M96" s="7234" t="s">
        <v>641</v>
      </c>
      <c r="N96" s="6839" t="s">
        <v>169</v>
      </c>
      <c r="O96" s="7354" t="s">
        <v>641</v>
      </c>
      <c r="P96" s="6903" t="s">
        <v>169</v>
      </c>
      <c r="Q96" s="7242" t="s">
        <v>641</v>
      </c>
      <c r="R96" s="6658" t="s">
        <v>31</v>
      </c>
      <c r="S96" s="6559"/>
      <c r="T96" s="2468"/>
      <c r="U96" s="276"/>
      <c r="V96" s="99"/>
      <c r="W96" s="138"/>
      <c r="X96" s="138"/>
      <c r="Y96" s="99"/>
      <c r="Z96" s="264"/>
      <c r="AA96" s="277"/>
      <c r="AB96" s="187"/>
    </row>
    <row r="97" spans="1:28" ht="20.100000000000001" customHeight="1">
      <c r="A97" s="11"/>
      <c r="B97" s="1360"/>
      <c r="C97" s="9596" t="s">
        <v>223</v>
      </c>
      <c r="D97" s="9597"/>
      <c r="E97" s="9592"/>
      <c r="F97" s="280" t="s">
        <v>653</v>
      </c>
      <c r="G97" s="253"/>
      <c r="H97" s="9591" t="s">
        <v>224</v>
      </c>
      <c r="I97" s="9630"/>
      <c r="J97" s="9592"/>
      <c r="K97" s="6153" t="s">
        <v>225</v>
      </c>
      <c r="L97" s="6772">
        <f>SUM(L105:L110)/SUM(L112:L117)</f>
        <v>4.6023513545787784</v>
      </c>
      <c r="M97" s="7238"/>
      <c r="N97" s="6850">
        <f>SUM(N105:N110)/SUM(N112:N117)</f>
        <v>1.7173107993784336</v>
      </c>
      <c r="O97" s="7251"/>
      <c r="P97" s="6915">
        <f>SUM(P105:P110)/SUM(P112:P117)</f>
        <v>1.2538932472067941</v>
      </c>
      <c r="Q97" s="7236"/>
      <c r="R97" s="6658" t="s">
        <v>31</v>
      </c>
      <c r="S97" s="6538"/>
      <c r="T97" s="2468" t="s">
        <v>226</v>
      </c>
      <c r="U97" s="276" t="s">
        <v>227</v>
      </c>
      <c r="V97" s="99" t="s">
        <v>206</v>
      </c>
      <c r="W97" s="138"/>
      <c r="X97" s="138"/>
      <c r="Y97" s="99"/>
      <c r="Z97" s="264" t="s">
        <v>228</v>
      </c>
      <c r="AA97" s="265" t="s">
        <v>229</v>
      </c>
      <c r="AB97" s="187"/>
    </row>
    <row r="98" spans="1:28" ht="19.899999999999999" customHeight="1">
      <c r="A98" s="11"/>
      <c r="B98" s="5590"/>
      <c r="C98" s="9647" t="s">
        <v>134</v>
      </c>
      <c r="D98" s="9648"/>
      <c r="E98" s="9649"/>
      <c r="F98" s="280" t="s">
        <v>653</v>
      </c>
      <c r="G98" s="253"/>
      <c r="H98" s="9579" t="s">
        <v>135</v>
      </c>
      <c r="I98" s="9580"/>
      <c r="J98" s="9581"/>
      <c r="K98" s="6153" t="s">
        <v>225</v>
      </c>
      <c r="L98" s="6761">
        <f>L105/L112</f>
        <v>18.48566550927687</v>
      </c>
      <c r="M98" s="7239"/>
      <c r="N98" s="6836">
        <f>N105/N112</f>
        <v>10.107544016314446</v>
      </c>
      <c r="O98" s="7240"/>
      <c r="P98" s="6916">
        <f>P105/P112</f>
        <v>9.0257070110147595</v>
      </c>
      <c r="Q98" s="7240"/>
      <c r="R98" s="6658" t="s">
        <v>31</v>
      </c>
      <c r="S98" s="6557"/>
      <c r="T98" s="1033"/>
      <c r="U98" s="263"/>
      <c r="V98" s="99"/>
      <c r="W98" s="138"/>
      <c r="X98" s="138"/>
      <c r="Y98" s="99"/>
      <c r="Z98" s="264"/>
      <c r="AA98" s="277"/>
      <c r="AB98" s="187"/>
    </row>
    <row r="99" spans="1:28" ht="19.899999999999999" customHeight="1">
      <c r="A99" s="11"/>
      <c r="B99" s="5590"/>
      <c r="C99" s="9647" t="s">
        <v>137</v>
      </c>
      <c r="D99" s="9648"/>
      <c r="E99" s="9649"/>
      <c r="F99" s="280" t="s">
        <v>653</v>
      </c>
      <c r="G99" s="253"/>
      <c r="H99" s="9579" t="s">
        <v>138</v>
      </c>
      <c r="I99" s="9580"/>
      <c r="J99" s="9581"/>
      <c r="K99" s="6153" t="s">
        <v>225</v>
      </c>
      <c r="L99" s="6754" t="s">
        <v>169</v>
      </c>
      <c r="M99" s="7239"/>
      <c r="N99" s="6837" t="s">
        <v>169</v>
      </c>
      <c r="O99" s="7240"/>
      <c r="P99" s="6917" t="s">
        <v>169</v>
      </c>
      <c r="Q99" s="7240"/>
      <c r="R99" s="6658" t="s">
        <v>31</v>
      </c>
      <c r="S99" s="6557"/>
      <c r="T99" s="1033"/>
      <c r="U99" s="263"/>
      <c r="V99" s="99"/>
      <c r="W99" s="138"/>
      <c r="X99" s="138"/>
      <c r="Y99" s="99"/>
      <c r="Z99" s="264"/>
      <c r="AA99" s="277"/>
      <c r="AB99" s="187"/>
    </row>
    <row r="100" spans="1:28" ht="19.899999999999999" customHeight="1">
      <c r="A100" s="11"/>
      <c r="B100" s="5590"/>
      <c r="C100" s="9647" t="s">
        <v>140</v>
      </c>
      <c r="D100" s="9648"/>
      <c r="E100" s="9649"/>
      <c r="F100" s="280" t="s">
        <v>653</v>
      </c>
      <c r="G100" s="253"/>
      <c r="H100" s="9579" t="s">
        <v>141</v>
      </c>
      <c r="I100" s="9580"/>
      <c r="J100" s="9581"/>
      <c r="K100" s="6153" t="s">
        <v>225</v>
      </c>
      <c r="L100" s="6761">
        <f>L107/L114</f>
        <v>41.740381297781852</v>
      </c>
      <c r="M100" s="7239"/>
      <c r="N100" s="6836">
        <f>N107/N114</f>
        <v>55.378520092735627</v>
      </c>
      <c r="O100" s="7240"/>
      <c r="P100" s="6916">
        <f>P107/P114</f>
        <v>31.43343024150273</v>
      </c>
      <c r="Q100" s="7240"/>
      <c r="R100" s="6658" t="s">
        <v>31</v>
      </c>
      <c r="S100" s="6557"/>
      <c r="T100" s="1033"/>
      <c r="U100" s="263"/>
      <c r="V100" s="99"/>
      <c r="W100" s="138"/>
      <c r="X100" s="138"/>
      <c r="Y100" s="99"/>
      <c r="Z100" s="264"/>
      <c r="AA100" s="277"/>
      <c r="AB100" s="187"/>
    </row>
    <row r="101" spans="1:28" ht="19.899999999999999" customHeight="1">
      <c r="A101" s="11"/>
      <c r="B101" s="5590"/>
      <c r="C101" s="9647" t="s">
        <v>143</v>
      </c>
      <c r="D101" s="9648"/>
      <c r="E101" s="9649"/>
      <c r="F101" s="280" t="s">
        <v>653</v>
      </c>
      <c r="G101" s="253"/>
      <c r="H101" s="9579" t="s">
        <v>144</v>
      </c>
      <c r="I101" s="9580"/>
      <c r="J101" s="9581"/>
      <c r="K101" s="6153" t="s">
        <v>225</v>
      </c>
      <c r="L101" s="6754" t="s">
        <v>169</v>
      </c>
      <c r="M101" s="7239"/>
      <c r="N101" s="6837" t="s">
        <v>169</v>
      </c>
      <c r="O101" s="7240"/>
      <c r="P101" s="6917" t="s">
        <v>169</v>
      </c>
      <c r="Q101" s="7240"/>
      <c r="R101" s="6658" t="s">
        <v>31</v>
      </c>
      <c r="S101" s="6557"/>
      <c r="T101" s="1033"/>
      <c r="U101" s="263"/>
      <c r="V101" s="99"/>
      <c r="W101" s="138"/>
      <c r="X101" s="138"/>
      <c r="Y101" s="99"/>
      <c r="Z101" s="264"/>
      <c r="AA101" s="277"/>
      <c r="AB101" s="187"/>
    </row>
    <row r="102" spans="1:28" ht="19.899999999999999" customHeight="1">
      <c r="A102" s="11"/>
      <c r="B102" s="5590"/>
      <c r="C102" s="9647" t="s">
        <v>146</v>
      </c>
      <c r="D102" s="9648"/>
      <c r="E102" s="9649"/>
      <c r="F102" s="280" t="s">
        <v>653</v>
      </c>
      <c r="G102" s="253"/>
      <c r="H102" s="9579" t="s">
        <v>147</v>
      </c>
      <c r="I102" s="9580"/>
      <c r="J102" s="9581"/>
      <c r="K102" s="6153" t="s">
        <v>225</v>
      </c>
      <c r="L102" s="6754" t="s">
        <v>169</v>
      </c>
      <c r="M102" s="7240"/>
      <c r="N102" s="6837" t="s">
        <v>169</v>
      </c>
      <c r="O102" s="7240"/>
      <c r="P102" s="6837" t="s">
        <v>169</v>
      </c>
      <c r="Q102" s="7240"/>
      <c r="R102" s="6658" t="s">
        <v>31</v>
      </c>
      <c r="S102" s="6557"/>
      <c r="T102" s="1033"/>
      <c r="U102" s="263"/>
      <c r="V102" s="99"/>
      <c r="W102" s="138"/>
      <c r="X102" s="138"/>
      <c r="Y102" s="99"/>
      <c r="Z102" s="264"/>
      <c r="AA102" s="277"/>
      <c r="AB102" s="187"/>
    </row>
    <row r="103" spans="1:28" ht="19.899999999999999" customHeight="1">
      <c r="A103" s="11"/>
      <c r="B103" s="5590"/>
      <c r="C103" s="9647" t="s">
        <v>149</v>
      </c>
      <c r="D103" s="9648"/>
      <c r="E103" s="9649"/>
      <c r="F103" s="280" t="s">
        <v>653</v>
      </c>
      <c r="G103" s="253"/>
      <c r="H103" s="9579" t="s">
        <v>150</v>
      </c>
      <c r="I103" s="9580"/>
      <c r="J103" s="9581"/>
      <c r="K103" s="6153" t="s">
        <v>225</v>
      </c>
      <c r="L103" s="6754" t="s">
        <v>169</v>
      </c>
      <c r="M103" s="7240"/>
      <c r="N103" s="6837" t="s">
        <v>169</v>
      </c>
      <c r="O103" s="7240"/>
      <c r="P103" s="6837" t="s">
        <v>169</v>
      </c>
      <c r="Q103" s="7240"/>
      <c r="R103" s="6658" t="s">
        <v>31</v>
      </c>
      <c r="S103" s="6557"/>
      <c r="T103" s="1033"/>
      <c r="U103" s="263"/>
      <c r="V103" s="99"/>
      <c r="W103" s="138"/>
      <c r="X103" s="138"/>
      <c r="Y103" s="99"/>
      <c r="Z103" s="264"/>
      <c r="AA103" s="277"/>
      <c r="AB103" s="187"/>
    </row>
    <row r="104" spans="1:28" ht="20.100000000000001" customHeight="1">
      <c r="A104" s="11"/>
      <c r="B104" s="1360"/>
      <c r="C104" s="386"/>
      <c r="D104" s="9586" t="s">
        <v>230</v>
      </c>
      <c r="E104" s="9588"/>
      <c r="F104" s="6683" t="s">
        <v>212</v>
      </c>
      <c r="G104" s="286"/>
      <c r="H104" s="6154"/>
      <c r="I104" s="9586" t="s">
        <v>231</v>
      </c>
      <c r="J104" s="9588"/>
      <c r="K104" s="105" t="s">
        <v>212</v>
      </c>
      <c r="L104" s="6763">
        <f>IF(COUNTBLANK(L105:L110)&gt;0,"미취합법인有",SUM(L105:L110))</f>
        <v>169732.50006197748</v>
      </c>
      <c r="M104" s="7236"/>
      <c r="N104" s="6840">
        <f>IF(COUNTBLANK(N105:N110)&gt;0,"미취합법인有",SUM(N105:N110))</f>
        <v>163824.14137838699</v>
      </c>
      <c r="O104" s="7236"/>
      <c r="P104" s="6914">
        <f>IF(COUNTBLANK(P105:P110)&gt;0,"미취합법인有",SUM(P105:P110))</f>
        <v>163606.21031277458</v>
      </c>
      <c r="Q104" s="7236"/>
      <c r="R104" s="6616" t="s">
        <v>155</v>
      </c>
      <c r="S104" s="6538"/>
      <c r="T104" s="2468"/>
      <c r="U104" s="276"/>
      <c r="V104" s="99" t="s">
        <v>206</v>
      </c>
      <c r="W104" s="138"/>
      <c r="X104" s="138"/>
      <c r="Y104" s="99"/>
      <c r="Z104" s="264" t="s">
        <v>228</v>
      </c>
      <c r="AA104" s="265"/>
      <c r="AB104" s="187"/>
    </row>
    <row r="105" spans="1:28" ht="19.899999999999999" customHeight="1">
      <c r="A105" s="11"/>
      <c r="B105" s="5590"/>
      <c r="C105" s="893"/>
      <c r="D105" s="9598" t="s">
        <v>134</v>
      </c>
      <c r="E105" s="9600"/>
      <c r="F105" s="285" t="s">
        <v>212</v>
      </c>
      <c r="G105" s="253"/>
      <c r="H105" s="6179"/>
      <c r="I105" s="9627" t="s">
        <v>135</v>
      </c>
      <c r="J105" s="9629"/>
      <c r="K105" s="105" t="s">
        <v>212</v>
      </c>
      <c r="L105" s="6753">
        <f>L77</f>
        <v>60746.3</v>
      </c>
      <c r="M105" s="7241"/>
      <c r="N105" s="6825">
        <f>N77</f>
        <v>71421.22</v>
      </c>
      <c r="O105" s="7241"/>
      <c r="P105" s="6918">
        <f>P77</f>
        <v>69798.138999999996</v>
      </c>
      <c r="Q105" s="7241"/>
      <c r="R105" s="6616" t="s">
        <v>155</v>
      </c>
      <c r="S105" s="6562"/>
      <c r="T105" s="2468"/>
      <c r="U105" s="276"/>
      <c r="V105" s="99"/>
      <c r="W105" s="138"/>
      <c r="X105" s="138"/>
      <c r="Y105" s="99"/>
      <c r="Z105" s="264"/>
      <c r="AA105" s="277"/>
      <c r="AB105" s="187"/>
    </row>
    <row r="106" spans="1:28" ht="19.899999999999999" customHeight="1">
      <c r="A106" s="11"/>
      <c r="B106" s="5590"/>
      <c r="C106" s="893"/>
      <c r="D106" s="9598" t="s">
        <v>137</v>
      </c>
      <c r="E106" s="9600"/>
      <c r="F106" s="285" t="s">
        <v>212</v>
      </c>
      <c r="G106" s="253"/>
      <c r="H106" s="6179"/>
      <c r="I106" s="9579" t="s">
        <v>138</v>
      </c>
      <c r="J106" s="9581"/>
      <c r="K106" s="105" t="s">
        <v>212</v>
      </c>
      <c r="L106" s="6754" t="s">
        <v>169</v>
      </c>
      <c r="M106" s="7242"/>
      <c r="N106" s="6837" t="s">
        <v>169</v>
      </c>
      <c r="O106" s="7242"/>
      <c r="P106" s="6903" t="s">
        <v>169</v>
      </c>
      <c r="Q106" s="7242"/>
      <c r="R106" s="6616" t="s">
        <v>155</v>
      </c>
      <c r="S106" s="6559"/>
      <c r="T106" s="2468"/>
      <c r="U106" s="276"/>
      <c r="V106" s="99"/>
      <c r="W106" s="138"/>
      <c r="X106" s="138"/>
      <c r="Y106" s="99"/>
      <c r="Z106" s="264"/>
      <c r="AA106" s="277"/>
      <c r="AB106" s="187"/>
    </row>
    <row r="107" spans="1:28" ht="19.899999999999999" customHeight="1">
      <c r="A107" s="11"/>
      <c r="B107" s="5590"/>
      <c r="C107" s="893"/>
      <c r="D107" s="9598" t="s">
        <v>140</v>
      </c>
      <c r="E107" s="9600"/>
      <c r="F107" s="285" t="s">
        <v>212</v>
      </c>
      <c r="G107" s="253"/>
      <c r="H107" s="6179"/>
      <c r="I107" s="9582" t="s">
        <v>141</v>
      </c>
      <c r="J107" s="9583"/>
      <c r="K107" s="105" t="s">
        <v>212</v>
      </c>
      <c r="L107" s="6753">
        <f>L79</f>
        <v>108986.20006197746</v>
      </c>
      <c r="M107" s="7243"/>
      <c r="N107" s="6851">
        <f>N79</f>
        <v>92402.921378387007</v>
      </c>
      <c r="O107" s="7243"/>
      <c r="P107" s="6919">
        <f>P79</f>
        <v>93808.071312774584</v>
      </c>
      <c r="Q107" s="7242"/>
      <c r="R107" s="6616" t="s">
        <v>155</v>
      </c>
      <c r="S107" s="6559"/>
      <c r="T107" s="2468"/>
      <c r="U107" s="276"/>
      <c r="V107" s="99"/>
      <c r="W107" s="138"/>
      <c r="X107" s="138"/>
      <c r="Y107" s="99"/>
      <c r="Z107" s="264"/>
      <c r="AA107" s="277"/>
      <c r="AB107" s="187"/>
    </row>
    <row r="108" spans="1:28" ht="19.899999999999999" customHeight="1">
      <c r="A108" s="11"/>
      <c r="B108" s="5590"/>
      <c r="C108" s="893"/>
      <c r="D108" s="9598" t="s">
        <v>143</v>
      </c>
      <c r="E108" s="9600"/>
      <c r="F108" s="285" t="s">
        <v>212</v>
      </c>
      <c r="G108" s="253"/>
      <c r="H108" s="6179"/>
      <c r="I108" s="9582" t="s">
        <v>144</v>
      </c>
      <c r="J108" s="9583"/>
      <c r="K108" s="105" t="s">
        <v>212</v>
      </c>
      <c r="L108" s="6754" t="s">
        <v>169</v>
      </c>
      <c r="M108" s="7242"/>
      <c r="N108" s="6837" t="s">
        <v>169</v>
      </c>
      <c r="O108" s="7242"/>
      <c r="P108" s="6903" t="s">
        <v>169</v>
      </c>
      <c r="Q108" s="7242"/>
      <c r="R108" s="6616" t="s">
        <v>155</v>
      </c>
      <c r="S108" s="6559"/>
      <c r="T108" s="2468"/>
      <c r="U108" s="276"/>
      <c r="V108" s="99"/>
      <c r="W108" s="138"/>
      <c r="X108" s="138"/>
      <c r="Y108" s="99"/>
      <c r="Z108" s="264"/>
      <c r="AA108" s="277"/>
      <c r="AB108" s="187"/>
    </row>
    <row r="109" spans="1:28" ht="19.899999999999999" customHeight="1">
      <c r="A109" s="11"/>
      <c r="B109" s="5590"/>
      <c r="C109" s="893"/>
      <c r="D109" s="9598" t="s">
        <v>146</v>
      </c>
      <c r="E109" s="9600"/>
      <c r="F109" s="285" t="s">
        <v>212</v>
      </c>
      <c r="G109" s="253"/>
      <c r="H109" s="6179"/>
      <c r="I109" s="9582" t="s">
        <v>147</v>
      </c>
      <c r="J109" s="9583"/>
      <c r="K109" s="105" t="s">
        <v>212</v>
      </c>
      <c r="L109" s="6754" t="s">
        <v>169</v>
      </c>
      <c r="M109" s="7242"/>
      <c r="N109" s="6837" t="s">
        <v>169</v>
      </c>
      <c r="O109" s="7242"/>
      <c r="P109" s="6903" t="s">
        <v>169</v>
      </c>
      <c r="Q109" s="7242"/>
      <c r="R109" s="6616" t="s">
        <v>155</v>
      </c>
      <c r="S109" s="6559"/>
      <c r="T109" s="2468"/>
      <c r="U109" s="276"/>
      <c r="V109" s="99"/>
      <c r="W109" s="138"/>
      <c r="X109" s="138"/>
      <c r="Y109" s="99"/>
      <c r="Z109" s="264"/>
      <c r="AA109" s="277"/>
      <c r="AB109" s="187"/>
    </row>
    <row r="110" spans="1:28" ht="19.899999999999999" customHeight="1">
      <c r="A110" s="11"/>
      <c r="B110" s="5590"/>
      <c r="C110" s="893"/>
      <c r="D110" s="9598" t="s">
        <v>149</v>
      </c>
      <c r="E110" s="9600"/>
      <c r="F110" s="285" t="s">
        <v>212</v>
      </c>
      <c r="G110" s="253"/>
      <c r="H110" s="6179"/>
      <c r="I110" s="9582" t="s">
        <v>150</v>
      </c>
      <c r="J110" s="9583"/>
      <c r="K110" s="105" t="s">
        <v>212</v>
      </c>
      <c r="L110" s="6754" t="s">
        <v>169</v>
      </c>
      <c r="M110" s="7242"/>
      <c r="N110" s="6837" t="s">
        <v>169</v>
      </c>
      <c r="O110" s="7242"/>
      <c r="P110" s="6903" t="s">
        <v>169</v>
      </c>
      <c r="Q110" s="7242"/>
      <c r="R110" s="6616" t="s">
        <v>155</v>
      </c>
      <c r="S110" s="6559"/>
      <c r="T110" s="2468"/>
      <c r="U110" s="276"/>
      <c r="V110" s="99"/>
      <c r="W110" s="138"/>
      <c r="X110" s="138"/>
      <c r="Y110" s="99"/>
      <c r="Z110" s="264"/>
      <c r="AA110" s="277"/>
      <c r="AB110" s="187"/>
    </row>
    <row r="111" spans="1:28" ht="20.100000000000001" customHeight="1">
      <c r="A111" s="11"/>
      <c r="B111" s="1360"/>
      <c r="C111" s="1355"/>
      <c r="D111" s="9586" t="s">
        <v>232</v>
      </c>
      <c r="E111" s="9588"/>
      <c r="F111" s="6682" t="s">
        <v>233</v>
      </c>
      <c r="G111" s="286"/>
      <c r="H111" s="6154"/>
      <c r="I111" s="9586" t="s">
        <v>234</v>
      </c>
      <c r="J111" s="9588"/>
      <c r="K111" s="280" t="s">
        <v>235</v>
      </c>
      <c r="L111" s="6773">
        <f>IF(COUNTBLANK(L112:L117)&gt;0,"미취합법인有",SUM(L112:L117))</f>
        <v>36879.518095269785</v>
      </c>
      <c r="M111" s="7244"/>
      <c r="N111" s="6852">
        <f>IF(COUNTBLANK(N112:N117)&gt;0,"미취합법인有",SUM(N112:N117))</f>
        <v>95395.743995601602</v>
      </c>
      <c r="O111" s="7244"/>
      <c r="P111" s="6920">
        <f>IF(COUNTBLANK(P112:P117)&gt;0,"미취합법인有",SUM(P112:P117))</f>
        <v>130478.57995664953</v>
      </c>
      <c r="Q111" s="7236"/>
      <c r="R111" s="6616" t="s">
        <v>155</v>
      </c>
      <c r="S111" s="6538" t="s">
        <v>2043</v>
      </c>
      <c r="T111" s="2468"/>
      <c r="U111" s="276"/>
      <c r="V111" s="99" t="s">
        <v>37</v>
      </c>
      <c r="W111" s="138"/>
      <c r="X111" s="138"/>
      <c r="Y111" s="99"/>
      <c r="Z111" s="264" t="s">
        <v>228</v>
      </c>
      <c r="AA111" s="265"/>
      <c r="AB111" s="187"/>
    </row>
    <row r="112" spans="1:28" ht="19.899999999999999" customHeight="1">
      <c r="A112" s="11"/>
      <c r="B112" s="5590"/>
      <c r="C112" s="5598"/>
      <c r="D112" s="9598" t="s">
        <v>134</v>
      </c>
      <c r="E112" s="9600"/>
      <c r="F112" s="295" t="s">
        <v>233</v>
      </c>
      <c r="G112" s="253"/>
      <c r="H112" s="6179"/>
      <c r="I112" s="6133" t="s">
        <v>135</v>
      </c>
      <c r="J112" s="6134"/>
      <c r="K112" s="280" t="s">
        <v>235</v>
      </c>
      <c r="L112" s="6753">
        <v>3286.13</v>
      </c>
      <c r="M112" s="7245"/>
      <c r="N112" s="6825">
        <v>7066.13</v>
      </c>
      <c r="O112" s="7245"/>
      <c r="P112" s="6903">
        <v>7733.26</v>
      </c>
      <c r="Q112" s="7245"/>
      <c r="R112" s="6616" t="s">
        <v>155</v>
      </c>
      <c r="S112" s="6561" t="s">
        <v>139</v>
      </c>
      <c r="T112" s="2468"/>
      <c r="U112" s="276"/>
      <c r="V112" s="99"/>
      <c r="W112" s="138"/>
      <c r="X112" s="138"/>
      <c r="Y112" s="99"/>
      <c r="Z112" s="264"/>
      <c r="AA112" s="277"/>
      <c r="AB112" s="187"/>
    </row>
    <row r="113" spans="1:28" ht="19.899999999999999" customHeight="1">
      <c r="A113" s="11"/>
      <c r="B113" s="5590"/>
      <c r="C113" s="5598"/>
      <c r="D113" s="9598" t="s">
        <v>137</v>
      </c>
      <c r="E113" s="9600"/>
      <c r="F113" s="295" t="s">
        <v>233</v>
      </c>
      <c r="G113" s="253"/>
      <c r="H113" s="6179"/>
      <c r="I113" s="9579" t="s">
        <v>138</v>
      </c>
      <c r="J113" s="9581"/>
      <c r="K113" s="280" t="s">
        <v>235</v>
      </c>
      <c r="L113" s="6753">
        <v>303</v>
      </c>
      <c r="M113" s="7245"/>
      <c r="N113" s="6825">
        <v>1090</v>
      </c>
      <c r="O113" s="7245"/>
      <c r="P113" s="6903">
        <v>1247</v>
      </c>
      <c r="Q113" s="7245"/>
      <c r="R113" s="6616" t="s">
        <v>155</v>
      </c>
      <c r="S113" s="6561" t="s">
        <v>139</v>
      </c>
      <c r="T113" s="2468"/>
      <c r="U113" s="276"/>
      <c r="V113" s="99"/>
      <c r="W113" s="138"/>
      <c r="X113" s="138"/>
      <c r="Y113" s="99"/>
      <c r="Z113" s="264"/>
      <c r="AA113" s="277"/>
      <c r="AB113" s="187"/>
    </row>
    <row r="114" spans="1:28" ht="19.899999999999999" customHeight="1">
      <c r="A114" s="11"/>
      <c r="B114" s="5590"/>
      <c r="C114" s="5598"/>
      <c r="D114" s="9598" t="s">
        <v>140</v>
      </c>
      <c r="E114" s="9600"/>
      <c r="F114" s="295" t="s">
        <v>233</v>
      </c>
      <c r="G114" s="253"/>
      <c r="H114" s="6179"/>
      <c r="I114" s="9582" t="s">
        <v>141</v>
      </c>
      <c r="J114" s="9583"/>
      <c r="K114" s="280" t="s">
        <v>235</v>
      </c>
      <c r="L114" s="6752">
        <v>2611.0494603404391</v>
      </c>
      <c r="M114" s="7246"/>
      <c r="N114" s="6824">
        <v>1668.5697130160061</v>
      </c>
      <c r="O114" s="7246"/>
      <c r="P114" s="6905">
        <v>2984.3408941387597</v>
      </c>
      <c r="Q114" s="7246"/>
      <c r="R114" s="6616" t="s">
        <v>155</v>
      </c>
      <c r="S114" s="6537"/>
      <c r="T114" s="2468"/>
      <c r="U114" s="276"/>
      <c r="V114" s="99"/>
      <c r="W114" s="138"/>
      <c r="X114" s="138"/>
      <c r="Y114" s="99"/>
      <c r="Z114" s="264"/>
      <c r="AA114" s="277"/>
      <c r="AB114" s="187"/>
    </row>
    <row r="115" spans="1:28" ht="19.899999999999999" customHeight="1">
      <c r="A115" s="11"/>
      <c r="B115" s="5590"/>
      <c r="C115" s="5598"/>
      <c r="D115" s="9598" t="s">
        <v>143</v>
      </c>
      <c r="E115" s="9600"/>
      <c r="F115" s="295" t="s">
        <v>233</v>
      </c>
      <c r="G115" s="253"/>
      <c r="H115" s="6179"/>
      <c r="I115" s="9582" t="s">
        <v>144</v>
      </c>
      <c r="J115" s="9583"/>
      <c r="K115" s="280" t="s">
        <v>235</v>
      </c>
      <c r="L115" s="6752">
        <v>399.33863492934103</v>
      </c>
      <c r="M115" s="7246"/>
      <c r="N115" s="6824">
        <v>1190.0442825855901</v>
      </c>
      <c r="O115" s="7246"/>
      <c r="P115" s="6905">
        <v>1322.9790625107701</v>
      </c>
      <c r="Q115" s="7246"/>
      <c r="R115" s="6616" t="s">
        <v>155</v>
      </c>
      <c r="S115" s="6537"/>
      <c r="T115" s="2468"/>
      <c r="U115" s="276"/>
      <c r="V115" s="99"/>
      <c r="W115" s="138"/>
      <c r="X115" s="138"/>
      <c r="Y115" s="99"/>
      <c r="Z115" s="264"/>
      <c r="AA115" s="277"/>
      <c r="AB115" s="187"/>
    </row>
    <row r="116" spans="1:28" ht="19.899999999999999" customHeight="1">
      <c r="A116" s="11"/>
      <c r="B116" s="5590"/>
      <c r="C116" s="5598"/>
      <c r="D116" s="9598" t="s">
        <v>146</v>
      </c>
      <c r="E116" s="9600"/>
      <c r="F116" s="295" t="s">
        <v>233</v>
      </c>
      <c r="G116" s="253"/>
      <c r="H116" s="6179"/>
      <c r="I116" s="9582" t="s">
        <v>147</v>
      </c>
      <c r="J116" s="9583"/>
      <c r="K116" s="280" t="s">
        <v>235</v>
      </c>
      <c r="L116" s="6757" t="s">
        <v>168</v>
      </c>
      <c r="M116" s="7247"/>
      <c r="N116" s="6835" t="s">
        <v>169</v>
      </c>
      <c r="O116" s="7247"/>
      <c r="P116" s="6921" t="s">
        <v>169</v>
      </c>
      <c r="Q116" s="7247"/>
      <c r="R116" s="6616" t="s">
        <v>155</v>
      </c>
      <c r="S116" s="6563"/>
      <c r="T116" s="2468"/>
      <c r="U116" s="276"/>
      <c r="V116" s="99"/>
      <c r="W116" s="138"/>
      <c r="X116" s="138"/>
      <c r="Y116" s="99"/>
      <c r="Z116" s="264"/>
      <c r="AA116" s="277"/>
      <c r="AB116" s="187"/>
    </row>
    <row r="117" spans="1:28" ht="19.899999999999999" customHeight="1">
      <c r="A117" s="11"/>
      <c r="B117" s="5590"/>
      <c r="C117" s="5598"/>
      <c r="D117" s="9598" t="s">
        <v>149</v>
      </c>
      <c r="E117" s="9600"/>
      <c r="F117" s="295" t="s">
        <v>233</v>
      </c>
      <c r="G117" s="253"/>
      <c r="H117" s="6179"/>
      <c r="I117" s="9582" t="s">
        <v>150</v>
      </c>
      <c r="J117" s="9583"/>
      <c r="K117" s="280" t="s">
        <v>235</v>
      </c>
      <c r="L117" s="6754">
        <v>30280</v>
      </c>
      <c r="M117" s="7247"/>
      <c r="N117" s="6837">
        <v>84381</v>
      </c>
      <c r="O117" s="7247"/>
      <c r="P117" s="6903">
        <v>117191</v>
      </c>
      <c r="Q117" s="7247"/>
      <c r="R117" s="6616" t="s">
        <v>155</v>
      </c>
      <c r="S117" s="6563"/>
      <c r="T117" s="2468"/>
      <c r="U117" s="276"/>
      <c r="V117" s="99"/>
      <c r="W117" s="138"/>
      <c r="X117" s="138"/>
      <c r="Y117" s="99"/>
      <c r="Z117" s="264"/>
      <c r="AA117" s="277"/>
      <c r="AB117" s="187"/>
    </row>
    <row r="118" spans="1:28" ht="19.5" customHeight="1">
      <c r="A118" s="11"/>
      <c r="B118" s="1360"/>
      <c r="C118" s="9656" t="s">
        <v>237</v>
      </c>
      <c r="D118" s="9587"/>
      <c r="E118" s="9588"/>
      <c r="F118" s="6683" t="s">
        <v>212</v>
      </c>
      <c r="G118" s="490"/>
      <c r="H118" s="9586" t="s">
        <v>238</v>
      </c>
      <c r="I118" s="9587"/>
      <c r="J118" s="9588"/>
      <c r="K118" s="105" t="s">
        <v>212</v>
      </c>
      <c r="L118" s="6773" t="s">
        <v>168</v>
      </c>
      <c r="M118" s="7248"/>
      <c r="N118" s="6852" t="s">
        <v>168</v>
      </c>
      <c r="O118" s="7248"/>
      <c r="P118" s="6920" t="s">
        <v>168</v>
      </c>
      <c r="Q118" s="7236"/>
      <c r="R118" s="6616" t="s">
        <v>31</v>
      </c>
      <c r="S118" s="6538"/>
      <c r="T118" s="2468" t="s">
        <v>239</v>
      </c>
      <c r="U118" s="276" t="s">
        <v>240</v>
      </c>
      <c r="V118" s="99" t="s">
        <v>206</v>
      </c>
      <c r="W118" s="138"/>
      <c r="X118" s="138"/>
      <c r="Y118" s="299" t="s">
        <v>193</v>
      </c>
      <c r="Z118" s="264" t="s">
        <v>241</v>
      </c>
      <c r="AA118" s="264" t="s">
        <v>242</v>
      </c>
      <c r="AB118" s="187"/>
    </row>
    <row r="119" spans="1:28" ht="19.899999999999999" customHeight="1">
      <c r="A119" s="11"/>
      <c r="B119" s="5590"/>
      <c r="C119" s="9647" t="s">
        <v>134</v>
      </c>
      <c r="D119" s="9648"/>
      <c r="E119" s="9649"/>
      <c r="F119" s="285" t="s">
        <v>212</v>
      </c>
      <c r="G119" s="253"/>
      <c r="H119" s="9579" t="s">
        <v>135</v>
      </c>
      <c r="I119" s="9580"/>
      <c r="J119" s="9581"/>
      <c r="K119" s="105" t="s">
        <v>212</v>
      </c>
      <c r="L119" s="6754" t="s">
        <v>169</v>
      </c>
      <c r="M119" s="7240"/>
      <c r="N119" s="6837" t="s">
        <v>169</v>
      </c>
      <c r="O119" s="7240"/>
      <c r="P119" s="6837" t="s">
        <v>169</v>
      </c>
      <c r="Q119" s="7240"/>
      <c r="R119" s="6616" t="s">
        <v>31</v>
      </c>
      <c r="S119" s="6557"/>
      <c r="T119" s="1033"/>
      <c r="U119" s="263"/>
      <c r="V119" s="99"/>
      <c r="W119" s="138"/>
      <c r="X119" s="138"/>
      <c r="Y119" s="299" t="s">
        <v>193</v>
      </c>
      <c r="Z119" s="264"/>
      <c r="AA119" s="277"/>
      <c r="AB119" s="187"/>
    </row>
    <row r="120" spans="1:28" ht="19.899999999999999" customHeight="1">
      <c r="A120" s="11"/>
      <c r="B120" s="5590"/>
      <c r="C120" s="9647" t="s">
        <v>137</v>
      </c>
      <c r="D120" s="9648"/>
      <c r="E120" s="9649"/>
      <c r="F120" s="285" t="s">
        <v>212</v>
      </c>
      <c r="G120" s="253"/>
      <c r="H120" s="9579" t="s">
        <v>138</v>
      </c>
      <c r="I120" s="9580"/>
      <c r="J120" s="9581"/>
      <c r="K120" s="105" t="s">
        <v>212</v>
      </c>
      <c r="L120" s="6754" t="s">
        <v>169</v>
      </c>
      <c r="M120" s="7240"/>
      <c r="N120" s="6837" t="s">
        <v>169</v>
      </c>
      <c r="O120" s="7240"/>
      <c r="P120" s="6837" t="s">
        <v>169</v>
      </c>
      <c r="Q120" s="7240"/>
      <c r="R120" s="6616" t="s">
        <v>31</v>
      </c>
      <c r="S120" s="6557"/>
      <c r="T120" s="1033"/>
      <c r="U120" s="263"/>
      <c r="V120" s="99"/>
      <c r="W120" s="138"/>
      <c r="X120" s="138"/>
      <c r="Y120" s="299" t="s">
        <v>193</v>
      </c>
      <c r="Z120" s="264"/>
      <c r="AA120" s="277"/>
      <c r="AB120" s="187"/>
    </row>
    <row r="121" spans="1:28" ht="19.899999999999999" customHeight="1">
      <c r="A121" s="11"/>
      <c r="B121" s="5590"/>
      <c r="C121" s="9647" t="s">
        <v>140</v>
      </c>
      <c r="D121" s="9648"/>
      <c r="E121" s="9649"/>
      <c r="F121" s="285" t="s">
        <v>212</v>
      </c>
      <c r="G121" s="253"/>
      <c r="H121" s="9579" t="s">
        <v>141</v>
      </c>
      <c r="I121" s="9580"/>
      <c r="J121" s="9581"/>
      <c r="K121" s="105" t="s">
        <v>212</v>
      </c>
      <c r="L121" s="6754" t="s">
        <v>169</v>
      </c>
      <c r="M121" s="7240"/>
      <c r="N121" s="6837" t="s">
        <v>169</v>
      </c>
      <c r="O121" s="7240"/>
      <c r="P121" s="6837" t="s">
        <v>169</v>
      </c>
      <c r="Q121" s="7240"/>
      <c r="R121" s="6616" t="s">
        <v>31</v>
      </c>
      <c r="S121" s="6557"/>
      <c r="T121" s="1033"/>
      <c r="U121" s="263"/>
      <c r="V121" s="99"/>
      <c r="W121" s="138"/>
      <c r="X121" s="138"/>
      <c r="Y121" s="299" t="s">
        <v>193</v>
      </c>
      <c r="Z121" s="264"/>
      <c r="AA121" s="277"/>
      <c r="AB121" s="187"/>
    </row>
    <row r="122" spans="1:28" ht="19.899999999999999" customHeight="1">
      <c r="A122" s="11"/>
      <c r="B122" s="5590"/>
      <c r="C122" s="9647" t="s">
        <v>143</v>
      </c>
      <c r="D122" s="9648"/>
      <c r="E122" s="9649"/>
      <c r="F122" s="285" t="s">
        <v>212</v>
      </c>
      <c r="G122" s="253"/>
      <c r="H122" s="9579" t="s">
        <v>144</v>
      </c>
      <c r="I122" s="9580"/>
      <c r="J122" s="9581"/>
      <c r="K122" s="105" t="s">
        <v>212</v>
      </c>
      <c r="L122" s="6754" t="s">
        <v>169</v>
      </c>
      <c r="M122" s="7240"/>
      <c r="N122" s="6837" t="s">
        <v>169</v>
      </c>
      <c r="O122" s="7240"/>
      <c r="P122" s="6837" t="s">
        <v>169</v>
      </c>
      <c r="Q122" s="7240"/>
      <c r="R122" s="6616" t="s">
        <v>31</v>
      </c>
      <c r="S122" s="6557"/>
      <c r="T122" s="1033"/>
      <c r="U122" s="6339"/>
      <c r="V122" s="99"/>
      <c r="W122" s="138"/>
      <c r="X122" s="138"/>
      <c r="Y122" s="299" t="s">
        <v>193</v>
      </c>
      <c r="Z122" s="264"/>
      <c r="AA122" s="277"/>
      <c r="AB122" s="187"/>
    </row>
    <row r="123" spans="1:28" ht="19.899999999999999" customHeight="1">
      <c r="A123" s="11"/>
      <c r="B123" s="5590"/>
      <c r="C123" s="9647" t="s">
        <v>146</v>
      </c>
      <c r="D123" s="9648"/>
      <c r="E123" s="9649"/>
      <c r="F123" s="285" t="s">
        <v>212</v>
      </c>
      <c r="G123" s="253"/>
      <c r="H123" s="9579" t="s">
        <v>147</v>
      </c>
      <c r="I123" s="9580"/>
      <c r="J123" s="9581"/>
      <c r="K123" s="105" t="s">
        <v>212</v>
      </c>
      <c r="L123" s="6754" t="s">
        <v>169</v>
      </c>
      <c r="M123" s="7240"/>
      <c r="N123" s="6837" t="s">
        <v>169</v>
      </c>
      <c r="O123" s="7240"/>
      <c r="P123" s="6837" t="s">
        <v>169</v>
      </c>
      <c r="Q123" s="7240"/>
      <c r="R123" s="6616" t="s">
        <v>31</v>
      </c>
      <c r="S123" s="6557"/>
      <c r="T123" s="1033"/>
      <c r="U123" s="6339"/>
      <c r="V123" s="99"/>
      <c r="W123" s="138"/>
      <c r="X123" s="138"/>
      <c r="Y123" s="299" t="s">
        <v>193</v>
      </c>
      <c r="Z123" s="264"/>
      <c r="AA123" s="277"/>
      <c r="AB123" s="187"/>
    </row>
    <row r="124" spans="1:28" ht="19.899999999999999" customHeight="1">
      <c r="A124" s="11"/>
      <c r="B124" s="5590"/>
      <c r="C124" s="9866" t="s">
        <v>149</v>
      </c>
      <c r="D124" s="9867"/>
      <c r="E124" s="9679"/>
      <c r="F124" s="285" t="s">
        <v>212</v>
      </c>
      <c r="G124" s="253"/>
      <c r="H124" s="9579" t="s">
        <v>150</v>
      </c>
      <c r="I124" s="9580"/>
      <c r="J124" s="9581"/>
      <c r="K124" s="105" t="s">
        <v>212</v>
      </c>
      <c r="L124" s="6754" t="s">
        <v>169</v>
      </c>
      <c r="M124" s="7240"/>
      <c r="N124" s="6837" t="s">
        <v>169</v>
      </c>
      <c r="O124" s="7240"/>
      <c r="P124" s="6837" t="s">
        <v>169</v>
      </c>
      <c r="Q124" s="7240"/>
      <c r="R124" s="6616" t="s">
        <v>31</v>
      </c>
      <c r="S124" s="6557"/>
      <c r="T124" s="1033"/>
      <c r="U124" s="6339"/>
      <c r="V124" s="99"/>
      <c r="W124" s="138"/>
      <c r="X124" s="138"/>
      <c r="Y124" s="299" t="s">
        <v>193</v>
      </c>
      <c r="Z124" s="264"/>
      <c r="AA124" s="277"/>
      <c r="AB124" s="187"/>
    </row>
    <row r="125" spans="1:28" ht="20.100000000000001" customHeight="1">
      <c r="A125" s="11"/>
      <c r="B125" s="1360"/>
      <c r="C125" s="9868" t="s">
        <v>243</v>
      </c>
      <c r="D125" s="9869"/>
      <c r="E125" s="9870"/>
      <c r="F125" s="285" t="s">
        <v>212</v>
      </c>
      <c r="G125" s="386"/>
      <c r="H125" s="386"/>
      <c r="I125" s="9586" t="s">
        <v>244</v>
      </c>
      <c r="J125" s="9588"/>
      <c r="K125" s="105" t="s">
        <v>212</v>
      </c>
      <c r="L125" s="6763" t="str">
        <f>IF(COUNTBLANK(L126:L131)&gt;0,"미취합법인有",SUM(L126:L131))</f>
        <v>미취합법인有</v>
      </c>
      <c r="M125" s="7233"/>
      <c r="N125" s="6847" t="str">
        <f>IF(COUNTBLANK(N126:N131)&gt;0,"미취합법인有",SUM(N126:N131))</f>
        <v>미취합법인有</v>
      </c>
      <c r="O125" s="7353"/>
      <c r="P125" s="6913" t="str">
        <f>IF(COUNTBLANK(P126:P131)&gt;0,"미취합법인有",SUM(P126:P131))</f>
        <v>미취합법인有</v>
      </c>
      <c r="Q125" s="7236"/>
      <c r="R125" s="6616" t="s">
        <v>31</v>
      </c>
      <c r="S125" s="6538"/>
      <c r="T125" s="498"/>
      <c r="U125" s="2470"/>
      <c r="V125" s="99" t="s">
        <v>206</v>
      </c>
      <c r="W125" s="138"/>
      <c r="X125" s="138"/>
      <c r="Y125" s="99"/>
      <c r="Z125" s="277"/>
      <c r="AA125" s="265" t="s">
        <v>246</v>
      </c>
      <c r="AB125" s="187"/>
    </row>
    <row r="126" spans="1:28" ht="19.899999999999999" customHeight="1">
      <c r="A126" s="11"/>
      <c r="B126" s="5590"/>
      <c r="C126" s="6684" t="s">
        <v>134</v>
      </c>
      <c r="D126" s="5827"/>
      <c r="E126" s="6525"/>
      <c r="F126" s="285" t="s">
        <v>212</v>
      </c>
      <c r="G126" s="253"/>
      <c r="H126" s="286"/>
      <c r="I126" s="9645" t="s">
        <v>135</v>
      </c>
      <c r="J126" s="9645"/>
      <c r="K126" s="105" t="s">
        <v>212</v>
      </c>
      <c r="L126" s="6753">
        <v>29703.690000000002</v>
      </c>
      <c r="M126" s="7241">
        <v>0</v>
      </c>
      <c r="N126" s="6811">
        <v>9754</v>
      </c>
      <c r="O126" s="7241">
        <v>0</v>
      </c>
      <c r="P126" s="6811">
        <v>10393</v>
      </c>
      <c r="Q126" s="7245"/>
      <c r="R126" s="6616" t="s">
        <v>31</v>
      </c>
      <c r="S126" s="6561"/>
      <c r="T126" s="2468"/>
      <c r="U126" s="4849"/>
      <c r="V126" s="99"/>
      <c r="W126" s="138"/>
      <c r="X126" s="138"/>
      <c r="Y126" s="99"/>
      <c r="Z126" s="264"/>
      <c r="AA126" s="277"/>
      <c r="AB126" s="187"/>
    </row>
    <row r="127" spans="1:28" ht="19.899999999999999" customHeight="1">
      <c r="A127" s="11"/>
      <c r="B127" s="5590"/>
      <c r="C127" s="6524" t="s">
        <v>137</v>
      </c>
      <c r="D127" s="5827"/>
      <c r="E127" s="6525"/>
      <c r="F127" s="285" t="s">
        <v>212</v>
      </c>
      <c r="G127" s="1918"/>
      <c r="H127" s="286"/>
      <c r="I127" s="9627" t="s">
        <v>138</v>
      </c>
      <c r="J127" s="9629"/>
      <c r="K127" s="105" t="s">
        <v>212</v>
      </c>
      <c r="L127" s="6753"/>
      <c r="M127" s="7249"/>
      <c r="N127" s="6825"/>
      <c r="O127" s="7355"/>
      <c r="P127" s="6922"/>
      <c r="Q127" s="7245"/>
      <c r="R127" s="6616" t="s">
        <v>31</v>
      </c>
      <c r="S127" s="6561"/>
      <c r="T127" s="2468"/>
      <c r="U127" s="4849"/>
      <c r="V127" s="99"/>
      <c r="W127" s="138"/>
      <c r="X127" s="138"/>
      <c r="Y127" s="99"/>
      <c r="Z127" s="264"/>
      <c r="AA127" s="277"/>
      <c r="AB127" s="187"/>
    </row>
    <row r="128" spans="1:28" ht="19.899999999999999" customHeight="1">
      <c r="A128" s="11"/>
      <c r="B128" s="5590"/>
      <c r="C128" s="6524" t="s">
        <v>140</v>
      </c>
      <c r="D128" s="5827"/>
      <c r="E128" s="6525"/>
      <c r="F128" s="285" t="s">
        <v>212</v>
      </c>
      <c r="G128" s="253"/>
      <c r="H128" s="286"/>
      <c r="I128" s="9582" t="s">
        <v>141</v>
      </c>
      <c r="J128" s="9583"/>
      <c r="K128" s="105" t="s">
        <v>212</v>
      </c>
      <c r="L128" s="6774" t="s">
        <v>168</v>
      </c>
      <c r="M128" s="7250" t="s">
        <v>641</v>
      </c>
      <c r="N128" s="6826" t="s">
        <v>168</v>
      </c>
      <c r="O128" s="7356" t="s">
        <v>641</v>
      </c>
      <c r="P128" s="6826" t="s">
        <v>168</v>
      </c>
      <c r="Q128" s="7240" t="s">
        <v>641</v>
      </c>
      <c r="R128" s="6616" t="s">
        <v>31</v>
      </c>
      <c r="S128" s="6538"/>
      <c r="T128" s="2468"/>
      <c r="U128" s="4849"/>
      <c r="V128" s="99"/>
      <c r="W128" s="138"/>
      <c r="X128" s="138"/>
      <c r="Y128" s="99"/>
      <c r="Z128" s="264"/>
      <c r="AA128" s="277"/>
      <c r="AB128" s="187"/>
    </row>
    <row r="129" spans="1:30" ht="19.899999999999999" customHeight="1">
      <c r="A129" s="11"/>
      <c r="B129" s="5590"/>
      <c r="C129" s="6524" t="s">
        <v>143</v>
      </c>
      <c r="D129" s="5827"/>
      <c r="E129" s="6525"/>
      <c r="F129" s="285" t="s">
        <v>212</v>
      </c>
      <c r="G129" s="253"/>
      <c r="H129" s="286"/>
      <c r="I129" s="9582" t="s">
        <v>144</v>
      </c>
      <c r="J129" s="9583"/>
      <c r="K129" s="105" t="s">
        <v>212</v>
      </c>
      <c r="L129" s="6754"/>
      <c r="M129" s="7250"/>
      <c r="N129" s="6826"/>
      <c r="O129" s="7356"/>
      <c r="P129" s="6826"/>
      <c r="Q129" s="7240"/>
      <c r="R129" s="6616" t="s">
        <v>31</v>
      </c>
      <c r="S129" s="6538"/>
      <c r="T129" s="2468"/>
      <c r="U129" s="4849"/>
      <c r="V129" s="99"/>
      <c r="W129" s="138"/>
      <c r="X129" s="138"/>
      <c r="Y129" s="99"/>
      <c r="Z129" s="264"/>
      <c r="AA129" s="277"/>
      <c r="AB129" s="187"/>
    </row>
    <row r="130" spans="1:30" ht="19.899999999999999" customHeight="1">
      <c r="A130" s="11"/>
      <c r="B130" s="5590"/>
      <c r="C130" s="6524" t="s">
        <v>146</v>
      </c>
      <c r="D130" s="5827"/>
      <c r="E130" s="6525"/>
      <c r="F130" s="285" t="s">
        <v>212</v>
      </c>
      <c r="G130" s="253"/>
      <c r="H130" s="286"/>
      <c r="I130" s="9582" t="s">
        <v>147</v>
      </c>
      <c r="J130" s="9583"/>
      <c r="K130" s="105" t="s">
        <v>212</v>
      </c>
      <c r="L130" s="6774" t="s">
        <v>168</v>
      </c>
      <c r="M130" s="7250" t="s">
        <v>641</v>
      </c>
      <c r="N130" s="6826" t="s">
        <v>168</v>
      </c>
      <c r="O130" s="7356" t="s">
        <v>641</v>
      </c>
      <c r="P130" s="6826" t="s">
        <v>168</v>
      </c>
      <c r="Q130" s="7240" t="s">
        <v>641</v>
      </c>
      <c r="R130" s="6616" t="s">
        <v>31</v>
      </c>
      <c r="S130" s="6538"/>
      <c r="T130" s="2468"/>
      <c r="U130" s="4849"/>
      <c r="V130" s="99"/>
      <c r="W130" s="138"/>
      <c r="X130" s="138"/>
      <c r="Y130" s="99"/>
      <c r="Z130" s="264"/>
      <c r="AA130" s="277"/>
      <c r="AB130" s="187"/>
    </row>
    <row r="131" spans="1:30" ht="19.899999999999999" customHeight="1" thickBot="1">
      <c r="A131" s="11"/>
      <c r="B131" s="5590"/>
      <c r="C131" s="6524" t="s">
        <v>149</v>
      </c>
      <c r="D131" s="5827"/>
      <c r="E131" s="6525"/>
      <c r="F131" s="285" t="s">
        <v>212</v>
      </c>
      <c r="G131" s="253"/>
      <c r="H131" s="1988"/>
      <c r="I131" s="9582" t="s">
        <v>150</v>
      </c>
      <c r="J131" s="9583"/>
      <c r="K131" s="105" t="s">
        <v>212</v>
      </c>
      <c r="L131" s="6754"/>
      <c r="M131" s="7250"/>
      <c r="N131" s="6826"/>
      <c r="O131" s="7356"/>
      <c r="P131" s="6826"/>
      <c r="Q131" s="7240"/>
      <c r="R131" s="6616" t="s">
        <v>31</v>
      </c>
      <c r="S131" s="6564"/>
      <c r="T131" s="2468"/>
      <c r="U131" s="276"/>
      <c r="V131" s="99"/>
      <c r="W131" s="138"/>
      <c r="X131" s="138"/>
      <c r="Y131" s="99"/>
      <c r="Z131" s="264"/>
      <c r="AA131" s="277"/>
      <c r="AB131" s="187"/>
    </row>
    <row r="132" spans="1:30" ht="19.5" customHeight="1">
      <c r="A132" s="11"/>
      <c r="B132" s="1360"/>
      <c r="C132" s="1354"/>
      <c r="D132" s="9586" t="s">
        <v>247</v>
      </c>
      <c r="E132" s="9655"/>
      <c r="F132" s="285" t="s">
        <v>212</v>
      </c>
      <c r="G132" s="286"/>
      <c r="H132" s="386"/>
      <c r="I132" s="9586" t="s">
        <v>248</v>
      </c>
      <c r="J132" s="9588"/>
      <c r="K132" s="105" t="s">
        <v>212</v>
      </c>
      <c r="L132" s="6763">
        <f>IF(COUNTBLANK(L133:L138)&gt;0,"미취합법인有",SUM(L133:L138))</f>
        <v>90450</v>
      </c>
      <c r="M132" s="7251"/>
      <c r="N132" s="6840">
        <f>IF(COUNTBLANK(N133:N138)&gt;0,"미취합법인有",SUM(N133:N138))</f>
        <v>81175</v>
      </c>
      <c r="O132" s="7251"/>
      <c r="P132" s="6920">
        <f>IF(COUNTBLANK(P133:P138)&gt;0,"미취합법인有",SUM(P133:P138))</f>
        <v>80191</v>
      </c>
      <c r="Q132" s="7236"/>
      <c r="R132" s="6616" t="s">
        <v>31</v>
      </c>
      <c r="S132" s="6538"/>
      <c r="T132" s="498"/>
      <c r="U132" s="2470"/>
      <c r="V132" s="309" t="s">
        <v>249</v>
      </c>
      <c r="W132" s="138"/>
      <c r="X132" s="138"/>
      <c r="Y132" s="299" t="s">
        <v>193</v>
      </c>
      <c r="Z132" s="264" t="s">
        <v>250</v>
      </c>
      <c r="AA132" s="672" t="s">
        <v>246</v>
      </c>
      <c r="AB132" s="187"/>
    </row>
    <row r="133" spans="1:30" ht="19.899999999999999" customHeight="1">
      <c r="A133" s="11"/>
      <c r="B133" s="5590"/>
      <c r="C133" s="6157"/>
      <c r="D133" s="9598" t="s">
        <v>134</v>
      </c>
      <c r="E133" s="9600"/>
      <c r="F133" s="285" t="s">
        <v>212</v>
      </c>
      <c r="G133" s="253"/>
      <c r="H133" s="286"/>
      <c r="I133" s="9579" t="s">
        <v>135</v>
      </c>
      <c r="J133" s="9581"/>
      <c r="K133" s="105" t="s">
        <v>212</v>
      </c>
      <c r="L133" s="6753">
        <v>90450</v>
      </c>
      <c r="M133" s="7252"/>
      <c r="N133" s="6825">
        <v>81175</v>
      </c>
      <c r="O133" s="7252"/>
      <c r="P133" s="6923">
        <v>80191</v>
      </c>
      <c r="Q133" s="7245"/>
      <c r="R133" s="6616" t="s">
        <v>31</v>
      </c>
      <c r="S133" s="6561"/>
      <c r="T133" s="2468"/>
      <c r="U133" s="4849"/>
      <c r="V133" s="99"/>
      <c r="W133" s="138"/>
      <c r="X133" s="138"/>
      <c r="Y133" s="299" t="s">
        <v>193</v>
      </c>
      <c r="Z133" s="264"/>
      <c r="AA133" s="277"/>
      <c r="AB133" s="187"/>
      <c r="AD133" s="139" t="s">
        <v>251</v>
      </c>
    </row>
    <row r="134" spans="1:30" ht="19.899999999999999" customHeight="1">
      <c r="A134" s="11"/>
      <c r="B134" s="5590"/>
      <c r="C134" s="5598"/>
      <c r="D134" s="9598" t="s">
        <v>137</v>
      </c>
      <c r="E134" s="9600"/>
      <c r="F134" s="285" t="s">
        <v>212</v>
      </c>
      <c r="G134" s="253"/>
      <c r="H134" s="286"/>
      <c r="I134" s="9579" t="s">
        <v>138</v>
      </c>
      <c r="J134" s="9581"/>
      <c r="K134" s="105" t="s">
        <v>212</v>
      </c>
      <c r="L134" s="6754" t="s">
        <v>169</v>
      </c>
      <c r="M134" s="7253"/>
      <c r="N134" s="6837" t="s">
        <v>169</v>
      </c>
      <c r="O134" s="7218"/>
      <c r="P134" s="6917" t="s">
        <v>169</v>
      </c>
      <c r="Q134" s="7218"/>
      <c r="R134" s="6616" t="s">
        <v>31</v>
      </c>
      <c r="S134" s="6561"/>
      <c r="T134" s="2468"/>
      <c r="U134" s="4849"/>
      <c r="V134" s="99"/>
      <c r="W134" s="138"/>
      <c r="X134" s="138"/>
      <c r="Y134" s="299" t="s">
        <v>193</v>
      </c>
      <c r="Z134" s="264"/>
      <c r="AA134" s="277"/>
      <c r="AB134" s="187"/>
    </row>
    <row r="135" spans="1:30" ht="19.899999999999999" customHeight="1">
      <c r="A135" s="11"/>
      <c r="B135" s="5590"/>
      <c r="C135" s="5598"/>
      <c r="D135" s="9598" t="s">
        <v>140</v>
      </c>
      <c r="E135" s="9600"/>
      <c r="F135" s="285" t="s">
        <v>212</v>
      </c>
      <c r="G135" s="253"/>
      <c r="H135" s="286"/>
      <c r="I135" s="9582" t="s">
        <v>141</v>
      </c>
      <c r="J135" s="9583"/>
      <c r="K135" s="105" t="s">
        <v>212</v>
      </c>
      <c r="L135" s="6754" t="s">
        <v>169</v>
      </c>
      <c r="M135" s="7253"/>
      <c r="N135" s="6837" t="s">
        <v>169</v>
      </c>
      <c r="O135" s="7218"/>
      <c r="P135" s="6917" t="s">
        <v>169</v>
      </c>
      <c r="Q135" s="7218"/>
      <c r="R135" s="6616" t="s">
        <v>31</v>
      </c>
      <c r="S135" s="6632"/>
      <c r="T135" s="2468"/>
      <c r="U135" s="4849"/>
      <c r="V135" s="99"/>
      <c r="W135" s="138"/>
      <c r="X135" s="138"/>
      <c r="Y135" s="299" t="s">
        <v>193</v>
      </c>
      <c r="Z135" s="264"/>
      <c r="AA135" s="277"/>
      <c r="AB135" s="187"/>
    </row>
    <row r="136" spans="1:30" ht="19.899999999999999" customHeight="1">
      <c r="A136" s="11"/>
      <c r="B136" s="5590"/>
      <c r="C136" s="5598"/>
      <c r="D136" s="9598" t="s">
        <v>143</v>
      </c>
      <c r="E136" s="9600"/>
      <c r="F136" s="285" t="s">
        <v>212</v>
      </c>
      <c r="G136" s="253"/>
      <c r="H136" s="286"/>
      <c r="I136" s="9582" t="s">
        <v>144</v>
      </c>
      <c r="J136" s="9583"/>
      <c r="K136" s="105" t="s">
        <v>212</v>
      </c>
      <c r="L136" s="6754" t="s">
        <v>169</v>
      </c>
      <c r="M136" s="7253"/>
      <c r="N136" s="6837" t="s">
        <v>169</v>
      </c>
      <c r="O136" s="7218"/>
      <c r="P136" s="6917" t="s">
        <v>169</v>
      </c>
      <c r="Q136" s="7218"/>
      <c r="R136" s="6616" t="s">
        <v>31</v>
      </c>
      <c r="S136" s="6538"/>
      <c r="T136" s="2468"/>
      <c r="U136" s="6339"/>
      <c r="V136" s="99"/>
      <c r="W136" s="138"/>
      <c r="X136" s="138"/>
      <c r="Y136" s="299" t="s">
        <v>193</v>
      </c>
      <c r="Z136" s="264"/>
      <c r="AA136" s="277"/>
      <c r="AB136" s="187"/>
    </row>
    <row r="137" spans="1:30" ht="19.899999999999999" customHeight="1">
      <c r="A137" s="11"/>
      <c r="B137" s="5590"/>
      <c r="C137" s="5598"/>
      <c r="D137" s="9598" t="s">
        <v>146</v>
      </c>
      <c r="E137" s="9600"/>
      <c r="F137" s="285" t="s">
        <v>212</v>
      </c>
      <c r="G137" s="253"/>
      <c r="H137" s="286"/>
      <c r="I137" s="9582" t="s">
        <v>147</v>
      </c>
      <c r="J137" s="9583"/>
      <c r="K137" s="105" t="s">
        <v>212</v>
      </c>
      <c r="L137" s="6754" t="s">
        <v>169</v>
      </c>
      <c r="M137" s="7253"/>
      <c r="N137" s="6837" t="s">
        <v>169</v>
      </c>
      <c r="O137" s="7218"/>
      <c r="P137" s="6917" t="s">
        <v>169</v>
      </c>
      <c r="Q137" s="7218"/>
      <c r="R137" s="6616" t="s">
        <v>31</v>
      </c>
      <c r="S137" s="6557"/>
      <c r="T137" s="6339"/>
      <c r="U137" s="2470"/>
      <c r="V137" s="99"/>
      <c r="W137" s="138"/>
      <c r="X137" s="138"/>
      <c r="Y137" s="299" t="s">
        <v>193</v>
      </c>
      <c r="Z137" s="264"/>
      <c r="AA137" s="277"/>
      <c r="AB137" s="187"/>
    </row>
    <row r="138" spans="1:30" ht="19.899999999999999" customHeight="1">
      <c r="A138" s="11"/>
      <c r="B138" s="5590"/>
      <c r="C138" s="5598"/>
      <c r="D138" s="9598" t="s">
        <v>149</v>
      </c>
      <c r="E138" s="9600"/>
      <c r="F138" s="285" t="s">
        <v>212</v>
      </c>
      <c r="G138" s="253"/>
      <c r="H138" s="286"/>
      <c r="I138" s="9582" t="s">
        <v>150</v>
      </c>
      <c r="J138" s="9583"/>
      <c r="K138" s="105" t="s">
        <v>212</v>
      </c>
      <c r="L138" s="6754" t="s">
        <v>169</v>
      </c>
      <c r="M138" s="7253"/>
      <c r="N138" s="6837" t="s">
        <v>169</v>
      </c>
      <c r="O138" s="7218"/>
      <c r="P138" s="6917" t="s">
        <v>169</v>
      </c>
      <c r="Q138" s="7218"/>
      <c r="R138" s="6616" t="s">
        <v>31</v>
      </c>
      <c r="S138" s="6538"/>
      <c r="T138" s="2470"/>
      <c r="U138" s="4849"/>
      <c r="V138" s="99"/>
      <c r="W138" s="138"/>
      <c r="X138" s="138"/>
      <c r="Y138" s="299" t="s">
        <v>193</v>
      </c>
      <c r="Z138" s="264"/>
      <c r="AA138" s="277"/>
      <c r="AB138" s="187"/>
    </row>
    <row r="139" spans="1:30" ht="20.100000000000001" customHeight="1">
      <c r="A139" s="11"/>
      <c r="B139" s="1360"/>
      <c r="C139" s="1355"/>
      <c r="D139" s="9586" t="s">
        <v>230</v>
      </c>
      <c r="E139" s="9588"/>
      <c r="F139" s="285" t="s">
        <v>212</v>
      </c>
      <c r="G139" s="286"/>
      <c r="H139" s="386"/>
      <c r="I139" s="9586" t="s">
        <v>231</v>
      </c>
      <c r="J139" s="9588"/>
      <c r="K139" s="105" t="s">
        <v>212</v>
      </c>
      <c r="L139" s="6763">
        <f>IF(COUNTBLANK(L140:L145)&gt;0,"미취합법인有",SUM(L140:L145))</f>
        <v>169732.50006197748</v>
      </c>
      <c r="M139" s="7251"/>
      <c r="N139" s="6840">
        <f>IF(COUNTBLANK(N140:N145)&gt;0,"미취합법인有",SUM(N140:N145))</f>
        <v>163824.14137838699</v>
      </c>
      <c r="O139" s="7251"/>
      <c r="P139" s="6920">
        <f>IF(COUNTBLANK(P140:P145)&gt;0,"미취합법인有",SUM(P140:P145))</f>
        <v>164163.04431277458</v>
      </c>
      <c r="Q139" s="7236"/>
      <c r="R139" s="6616" t="s">
        <v>31</v>
      </c>
      <c r="S139" s="6538"/>
      <c r="T139" s="4849"/>
      <c r="U139" s="4849"/>
      <c r="V139" s="99" t="s">
        <v>206</v>
      </c>
      <c r="W139" s="138"/>
      <c r="X139" s="138"/>
      <c r="Y139" s="299" t="s">
        <v>193</v>
      </c>
      <c r="Z139" s="264" t="s">
        <v>250</v>
      </c>
      <c r="AA139" s="265"/>
      <c r="AB139" s="187"/>
    </row>
    <row r="140" spans="1:30" ht="19.899999999999999" customHeight="1">
      <c r="A140" s="11"/>
      <c r="B140" s="5590"/>
      <c r="C140" s="5598"/>
      <c r="D140" s="9598" t="s">
        <v>134</v>
      </c>
      <c r="E140" s="9600"/>
      <c r="F140" s="285" t="s">
        <v>212</v>
      </c>
      <c r="G140" s="253"/>
      <c r="H140" s="286"/>
      <c r="I140" s="9579" t="s">
        <v>135</v>
      </c>
      <c r="J140" s="9581"/>
      <c r="K140" s="105" t="s">
        <v>212</v>
      </c>
      <c r="L140" s="6753">
        <f t="shared" ref="L140:L145" si="0">L77</f>
        <v>60746.3</v>
      </c>
      <c r="M140" s="7252"/>
      <c r="N140" s="6825">
        <f t="shared" ref="N140:N145" si="1">N77</f>
        <v>71421.22</v>
      </c>
      <c r="O140" s="7252"/>
      <c r="P140" s="6923">
        <f t="shared" ref="P140:P145" si="2">P77</f>
        <v>69798.138999999996</v>
      </c>
      <c r="Q140" s="7245"/>
      <c r="R140" s="6616" t="s">
        <v>31</v>
      </c>
      <c r="S140" s="6561"/>
      <c r="T140" s="2468"/>
      <c r="U140" s="4849"/>
      <c r="V140" s="99"/>
      <c r="W140" s="138"/>
      <c r="X140" s="138"/>
      <c r="Y140" s="299" t="s">
        <v>193</v>
      </c>
      <c r="Z140" s="264"/>
      <c r="AA140" s="277"/>
      <c r="AB140" s="187"/>
    </row>
    <row r="141" spans="1:30" ht="19.899999999999999" customHeight="1">
      <c r="A141" s="11"/>
      <c r="B141" s="5590"/>
      <c r="C141" s="5598"/>
      <c r="D141" s="9598" t="s">
        <v>137</v>
      </c>
      <c r="E141" s="9600"/>
      <c r="F141" s="285" t="s">
        <v>212</v>
      </c>
      <c r="G141" s="253"/>
      <c r="H141" s="286"/>
      <c r="I141" s="9579" t="s">
        <v>138</v>
      </c>
      <c r="J141" s="9581"/>
      <c r="K141" s="105" t="s">
        <v>212</v>
      </c>
      <c r="L141" s="6761" t="str">
        <f t="shared" si="0"/>
        <v>-</v>
      </c>
      <c r="M141" s="7254"/>
      <c r="N141" s="6836" t="str">
        <f t="shared" si="1"/>
        <v>-</v>
      </c>
      <c r="O141" s="7357"/>
      <c r="P141" s="6924">
        <f t="shared" si="2"/>
        <v>556.83400000000006</v>
      </c>
      <c r="Q141" s="7218"/>
      <c r="R141" s="6616" t="s">
        <v>31</v>
      </c>
      <c r="S141" s="6561"/>
      <c r="T141" s="2468"/>
      <c r="U141" s="6339"/>
      <c r="V141" s="99"/>
      <c r="W141" s="138"/>
      <c r="X141" s="138"/>
      <c r="Y141" s="299" t="s">
        <v>193</v>
      </c>
      <c r="Z141" s="264"/>
      <c r="AA141" s="277"/>
      <c r="AB141" s="187"/>
    </row>
    <row r="142" spans="1:30" ht="19.899999999999999" customHeight="1">
      <c r="A142" s="11"/>
      <c r="B142" s="5590"/>
      <c r="C142" s="5598"/>
      <c r="D142" s="9598" t="s">
        <v>140</v>
      </c>
      <c r="E142" s="9600"/>
      <c r="F142" s="285" t="s">
        <v>212</v>
      </c>
      <c r="G142" s="253"/>
      <c r="H142" s="286"/>
      <c r="I142" s="9582" t="s">
        <v>141</v>
      </c>
      <c r="J142" s="9583"/>
      <c r="K142" s="105" t="s">
        <v>212</v>
      </c>
      <c r="L142" s="6761">
        <f t="shared" si="0"/>
        <v>108986.20006197746</v>
      </c>
      <c r="M142" s="7254"/>
      <c r="N142" s="6836">
        <f t="shared" si="1"/>
        <v>92402.921378387007</v>
      </c>
      <c r="O142" s="7357"/>
      <c r="P142" s="6924">
        <f t="shared" si="2"/>
        <v>93808.071312774584</v>
      </c>
      <c r="Q142" s="7218"/>
      <c r="R142" s="6616" t="s">
        <v>31</v>
      </c>
      <c r="S142" s="6632"/>
      <c r="T142" s="2468"/>
      <c r="U142" s="2470"/>
      <c r="V142" s="99"/>
      <c r="W142" s="138"/>
      <c r="X142" s="138"/>
      <c r="Y142" s="299" t="s">
        <v>193</v>
      </c>
      <c r="Z142" s="264"/>
      <c r="AA142" s="277"/>
      <c r="AB142" s="187"/>
    </row>
    <row r="143" spans="1:30" ht="19.899999999999999" customHeight="1">
      <c r="A143" s="11"/>
      <c r="B143" s="5590"/>
      <c r="C143" s="5598"/>
      <c r="D143" s="9598" t="s">
        <v>143</v>
      </c>
      <c r="E143" s="9600"/>
      <c r="F143" s="285" t="s">
        <v>212</v>
      </c>
      <c r="G143" s="253"/>
      <c r="H143" s="286"/>
      <c r="I143" s="9582" t="s">
        <v>144</v>
      </c>
      <c r="J143" s="9583"/>
      <c r="K143" s="105" t="s">
        <v>212</v>
      </c>
      <c r="L143" s="6761" t="str">
        <f t="shared" si="0"/>
        <v>-</v>
      </c>
      <c r="M143" s="7254"/>
      <c r="N143" s="6836" t="str">
        <f t="shared" si="1"/>
        <v>-</v>
      </c>
      <c r="O143" s="7357"/>
      <c r="P143" s="6925" t="str">
        <f t="shared" si="2"/>
        <v>-</v>
      </c>
      <c r="Q143" s="7218"/>
      <c r="R143" s="6616" t="s">
        <v>31</v>
      </c>
      <c r="S143" s="6538"/>
      <c r="T143" s="2468"/>
      <c r="U143" s="4849"/>
      <c r="V143" s="99"/>
      <c r="W143" s="138"/>
      <c r="X143" s="138"/>
      <c r="Y143" s="299" t="s">
        <v>193</v>
      </c>
      <c r="Z143" s="264"/>
      <c r="AA143" s="277"/>
      <c r="AB143" s="187"/>
    </row>
    <row r="144" spans="1:30" ht="19.899999999999999" customHeight="1">
      <c r="A144" s="11"/>
      <c r="B144" s="5590"/>
      <c r="C144" s="5598"/>
      <c r="D144" s="9598" t="s">
        <v>146</v>
      </c>
      <c r="E144" s="9600"/>
      <c r="F144" s="285" t="s">
        <v>212</v>
      </c>
      <c r="G144" s="253"/>
      <c r="H144" s="286"/>
      <c r="I144" s="9582" t="s">
        <v>147</v>
      </c>
      <c r="J144" s="9583"/>
      <c r="K144" s="105" t="s">
        <v>212</v>
      </c>
      <c r="L144" s="6761" t="str">
        <f t="shared" si="0"/>
        <v>-</v>
      </c>
      <c r="M144" s="7253"/>
      <c r="N144" s="6836" t="str">
        <f t="shared" si="1"/>
        <v>-</v>
      </c>
      <c r="O144" s="7218"/>
      <c r="P144" s="6925" t="str">
        <f t="shared" si="2"/>
        <v>-</v>
      </c>
      <c r="Q144" s="7218"/>
      <c r="R144" s="6660" t="s">
        <v>31</v>
      </c>
      <c r="S144" s="6564"/>
      <c r="T144" s="2468"/>
      <c r="U144" s="4849"/>
      <c r="V144" s="99"/>
      <c r="W144" s="138"/>
      <c r="X144" s="138"/>
      <c r="Y144" s="299" t="s">
        <v>193</v>
      </c>
      <c r="Z144" s="264"/>
      <c r="AA144" s="277"/>
      <c r="AB144" s="187"/>
    </row>
    <row r="145" spans="1:28" ht="19.899999999999999" customHeight="1" thickBot="1">
      <c r="A145" s="11"/>
      <c r="B145" s="5590"/>
      <c r="C145" s="6350"/>
      <c r="D145" s="9653" t="s">
        <v>149</v>
      </c>
      <c r="E145" s="9654"/>
      <c r="F145" s="997" t="s">
        <v>212</v>
      </c>
      <c r="G145" s="253"/>
      <c r="H145" s="286"/>
      <c r="I145" s="9582" t="s">
        <v>150</v>
      </c>
      <c r="J145" s="9583"/>
      <c r="K145" s="105" t="s">
        <v>212</v>
      </c>
      <c r="L145" s="6761" t="str">
        <f t="shared" si="0"/>
        <v>-</v>
      </c>
      <c r="M145" s="7253"/>
      <c r="N145" s="6836" t="str">
        <f t="shared" si="1"/>
        <v>-</v>
      </c>
      <c r="O145" s="7218"/>
      <c r="P145" s="6925" t="str">
        <f t="shared" si="2"/>
        <v>-</v>
      </c>
      <c r="Q145" s="7218"/>
      <c r="R145" s="6685" t="s">
        <v>31</v>
      </c>
      <c r="S145" s="6686"/>
      <c r="T145" s="6339"/>
      <c r="U145" s="4849"/>
      <c r="V145" s="99"/>
      <c r="W145" s="138"/>
      <c r="X145" s="138"/>
      <c r="Y145" s="299" t="s">
        <v>193</v>
      </c>
      <c r="Z145" s="264"/>
      <c r="AA145" s="277"/>
      <c r="AB145" s="187"/>
    </row>
    <row r="146" spans="1:28" ht="27" thickBot="1">
      <c r="A146" s="11"/>
      <c r="B146" s="123" t="s">
        <v>252</v>
      </c>
      <c r="C146" s="124"/>
      <c r="D146" s="124"/>
      <c r="E146" s="124"/>
      <c r="F146" s="78"/>
      <c r="G146" s="125" t="s">
        <v>253</v>
      </c>
      <c r="H146" s="126"/>
      <c r="I146" s="126"/>
      <c r="J146" s="126"/>
      <c r="K146" s="78"/>
      <c r="L146" s="6775"/>
      <c r="M146" s="5600"/>
      <c r="N146" s="6853"/>
      <c r="O146" s="5600"/>
      <c r="P146" s="6853"/>
      <c r="Q146" s="5600"/>
      <c r="R146" s="5600"/>
      <c r="S146" s="5600"/>
      <c r="T146" s="80"/>
      <c r="U146" s="80"/>
      <c r="V146" s="129"/>
      <c r="W146" s="129"/>
      <c r="X146" s="129"/>
      <c r="Y146" s="129"/>
      <c r="Z146" s="328"/>
      <c r="AA146" s="328"/>
      <c r="AB146" s="329"/>
    </row>
    <row r="147" spans="1:28" ht="20.100000000000001" customHeight="1">
      <c r="A147" s="11"/>
      <c r="B147" s="1359"/>
      <c r="C147" s="9652" t="s">
        <v>254</v>
      </c>
      <c r="D147" s="9652"/>
      <c r="E147" s="9652"/>
      <c r="F147" s="87" t="s">
        <v>255</v>
      </c>
      <c r="G147" s="330"/>
      <c r="H147" s="9652" t="s">
        <v>256</v>
      </c>
      <c r="I147" s="9652"/>
      <c r="J147" s="9652"/>
      <c r="K147" s="87" t="s">
        <v>255</v>
      </c>
      <c r="L147" s="6763">
        <f>IF(COUNTBLANK(L148:L153)&gt;0,"미취합법인有",SUM(L148:L153))</f>
        <v>1778.8543277439298</v>
      </c>
      <c r="M147" s="7233"/>
      <c r="N147" s="6847">
        <f>IF(COUNTBLANK(N148:N153)&gt;0,"미취합법인有",SUM(N148:N153))</f>
        <v>2058.1560114592307</v>
      </c>
      <c r="O147" s="7353"/>
      <c r="P147" s="6913">
        <f>IF(COUNTBLANK(P148:P153)&gt;0,"미취합법인有",SUM(P148:P153))</f>
        <v>2016.036348272974</v>
      </c>
      <c r="Q147" s="7457"/>
      <c r="R147" s="6616" t="s">
        <v>31</v>
      </c>
      <c r="S147" s="6556"/>
      <c r="T147" s="1021" t="s">
        <v>257</v>
      </c>
      <c r="U147" s="263" t="s">
        <v>258</v>
      </c>
      <c r="V147" s="99" t="s">
        <v>206</v>
      </c>
      <c r="W147" s="138"/>
      <c r="X147" s="138"/>
      <c r="Y147" s="99"/>
      <c r="Z147" s="336" t="s">
        <v>259</v>
      </c>
      <c r="AA147" s="265" t="s">
        <v>260</v>
      </c>
      <c r="AB147" s="159" t="s">
        <v>261</v>
      </c>
    </row>
    <row r="148" spans="1:28" ht="19.899999999999999" customHeight="1">
      <c r="A148" s="11"/>
      <c r="B148" s="5590"/>
      <c r="C148" s="9647" t="s">
        <v>134</v>
      </c>
      <c r="D148" s="9648"/>
      <c r="E148" s="9649"/>
      <c r="F148" s="87" t="s">
        <v>255</v>
      </c>
      <c r="G148" s="253"/>
      <c r="H148" s="9579" t="s">
        <v>135</v>
      </c>
      <c r="I148" s="9580"/>
      <c r="J148" s="9581"/>
      <c r="K148" s="87" t="s">
        <v>255</v>
      </c>
      <c r="L148" s="6776">
        <v>1268.5</v>
      </c>
      <c r="M148" s="7255"/>
      <c r="N148" s="6854">
        <v>1491.8989999999999</v>
      </c>
      <c r="O148" s="7358" t="s">
        <v>650</v>
      </c>
      <c r="P148" s="6926">
        <v>1458.057</v>
      </c>
      <c r="Q148" s="7378"/>
      <c r="R148" s="6616" t="s">
        <v>31</v>
      </c>
      <c r="S148" s="6565"/>
      <c r="T148" s="1033"/>
      <c r="U148" s="263"/>
      <c r="V148" s="99"/>
      <c r="W148" s="138"/>
      <c r="X148" s="138"/>
      <c r="Y148" s="99"/>
      <c r="Z148" s="264"/>
      <c r="AA148" s="277"/>
      <c r="AB148" s="187"/>
    </row>
    <row r="149" spans="1:28" ht="19.899999999999999" customHeight="1">
      <c r="A149" s="11"/>
      <c r="B149" s="5590"/>
      <c r="C149" s="9647" t="s">
        <v>137</v>
      </c>
      <c r="D149" s="9648"/>
      <c r="E149" s="9649"/>
      <c r="F149" s="87" t="s">
        <v>255</v>
      </c>
      <c r="G149" s="253"/>
      <c r="H149" s="9579" t="s">
        <v>138</v>
      </c>
      <c r="I149" s="9580"/>
      <c r="J149" s="9581"/>
      <c r="K149" s="87" t="s">
        <v>255</v>
      </c>
      <c r="L149" s="6753">
        <v>0</v>
      </c>
      <c r="M149" s="7256"/>
      <c r="N149" s="6825">
        <v>0</v>
      </c>
      <c r="O149" s="7359"/>
      <c r="P149" s="6922">
        <v>11.554</v>
      </c>
      <c r="Q149" s="7356"/>
      <c r="R149" s="6616" t="s">
        <v>31</v>
      </c>
      <c r="S149" s="6557"/>
      <c r="T149" s="1033"/>
      <c r="U149" s="263"/>
      <c r="V149" s="99"/>
      <c r="W149" s="138"/>
      <c r="X149" s="138"/>
      <c r="Y149" s="99"/>
      <c r="Z149" s="264"/>
      <c r="AA149" s="277"/>
      <c r="AB149" s="187"/>
    </row>
    <row r="150" spans="1:28" ht="19.899999999999999" customHeight="1">
      <c r="A150" s="11"/>
      <c r="B150" s="5590"/>
      <c r="C150" s="9647" t="s">
        <v>140</v>
      </c>
      <c r="D150" s="9648"/>
      <c r="E150" s="9649"/>
      <c r="F150" s="87" t="s">
        <v>255</v>
      </c>
      <c r="G150" s="253"/>
      <c r="H150" s="9579" t="s">
        <v>141</v>
      </c>
      <c r="I150" s="9580"/>
      <c r="J150" s="9581"/>
      <c r="K150" s="87" t="s">
        <v>255</v>
      </c>
      <c r="L150" s="6754">
        <v>293.25696436359488</v>
      </c>
      <c r="M150" s="7250"/>
      <c r="N150" s="6826">
        <v>257.91617295420275</v>
      </c>
      <c r="O150" s="7356"/>
      <c r="P150" s="6826">
        <v>266.00810795785208</v>
      </c>
      <c r="Q150" s="7356"/>
      <c r="R150" s="6616" t="s">
        <v>31</v>
      </c>
      <c r="S150" s="6557"/>
      <c r="T150" s="1033"/>
      <c r="U150" s="263"/>
      <c r="V150" s="99"/>
      <c r="W150" s="138"/>
      <c r="X150" s="138"/>
      <c r="Y150" s="99"/>
      <c r="Z150" s="264"/>
      <c r="AA150" s="277"/>
      <c r="AB150" s="187"/>
    </row>
    <row r="151" spans="1:28" ht="19.899999999999999" customHeight="1">
      <c r="A151" s="11"/>
      <c r="B151" s="5590"/>
      <c r="C151" s="9647" t="s">
        <v>143</v>
      </c>
      <c r="D151" s="9648"/>
      <c r="E151" s="9649"/>
      <c r="F151" s="87" t="s">
        <v>255</v>
      </c>
      <c r="G151" s="253"/>
      <c r="H151" s="9579" t="s">
        <v>144</v>
      </c>
      <c r="I151" s="9580"/>
      <c r="J151" s="9581"/>
      <c r="K151" s="87" t="s">
        <v>255</v>
      </c>
      <c r="L151" s="6754">
        <v>54.037363380335201</v>
      </c>
      <c r="M151" s="7250"/>
      <c r="N151" s="6826">
        <v>117.93083850502801</v>
      </c>
      <c r="O151" s="7356"/>
      <c r="P151" s="6826">
        <v>131.92724031512199</v>
      </c>
      <c r="Q151" s="7356"/>
      <c r="R151" s="6616" t="s">
        <v>31</v>
      </c>
      <c r="S151" s="6557"/>
      <c r="T151" s="1033"/>
      <c r="U151" s="263"/>
      <c r="V151" s="99"/>
      <c r="W151" s="138"/>
      <c r="X151" s="138"/>
      <c r="Y151" s="99"/>
      <c r="Z151" s="264"/>
      <c r="AA151" s="277"/>
      <c r="AB151" s="187"/>
    </row>
    <row r="152" spans="1:28" ht="19.899999999999999" customHeight="1">
      <c r="A152" s="11"/>
      <c r="B152" s="5590"/>
      <c r="C152" s="9647" t="s">
        <v>146</v>
      </c>
      <c r="D152" s="9648"/>
      <c r="E152" s="9649"/>
      <c r="F152" s="87" t="s">
        <v>255</v>
      </c>
      <c r="G152" s="253"/>
      <c r="H152" s="9579" t="s">
        <v>147</v>
      </c>
      <c r="I152" s="9580"/>
      <c r="J152" s="9581"/>
      <c r="K152" s="87" t="s">
        <v>255</v>
      </c>
      <c r="L152" s="6774" t="s">
        <v>168</v>
      </c>
      <c r="M152" s="7250" t="s">
        <v>641</v>
      </c>
      <c r="N152" s="6826" t="s">
        <v>168</v>
      </c>
      <c r="O152" s="7356" t="s">
        <v>641</v>
      </c>
      <c r="P152" s="6826" t="s">
        <v>168</v>
      </c>
      <c r="Q152" s="7356" t="s">
        <v>641</v>
      </c>
      <c r="R152" s="6616" t="s">
        <v>31</v>
      </c>
      <c r="S152" s="6557"/>
      <c r="T152" s="1033"/>
      <c r="U152" s="263"/>
      <c r="V152" s="99"/>
      <c r="W152" s="138"/>
      <c r="X152" s="138"/>
      <c r="Y152" s="99"/>
      <c r="Z152" s="264"/>
      <c r="AA152" s="277"/>
      <c r="AB152" s="187"/>
    </row>
    <row r="153" spans="1:28" ht="19.899999999999999" customHeight="1">
      <c r="A153" s="11"/>
      <c r="B153" s="5590"/>
      <c r="C153" s="9647" t="s">
        <v>149</v>
      </c>
      <c r="D153" s="9648"/>
      <c r="E153" s="9649"/>
      <c r="F153" s="87" t="s">
        <v>255</v>
      </c>
      <c r="G153" s="253"/>
      <c r="H153" s="9579" t="s">
        <v>150</v>
      </c>
      <c r="I153" s="9580"/>
      <c r="J153" s="9581"/>
      <c r="K153" s="87" t="s">
        <v>255</v>
      </c>
      <c r="L153" s="6754">
        <v>163.06</v>
      </c>
      <c r="M153" s="7250"/>
      <c r="N153" s="6826">
        <v>190.41</v>
      </c>
      <c r="O153" s="7356"/>
      <c r="P153" s="6826">
        <v>148.49</v>
      </c>
      <c r="Q153" s="7356"/>
      <c r="R153" s="6616" t="s">
        <v>31</v>
      </c>
      <c r="S153" s="6557"/>
      <c r="T153" s="1033"/>
      <c r="U153" s="263"/>
      <c r="V153" s="99"/>
      <c r="W153" s="138"/>
      <c r="X153" s="138"/>
      <c r="Y153" s="99"/>
      <c r="Z153" s="264"/>
      <c r="AA153" s="277"/>
      <c r="AB153" s="187"/>
    </row>
    <row r="154" spans="1:28" ht="20.100000000000001" customHeight="1">
      <c r="A154" s="11"/>
      <c r="B154" s="1360"/>
      <c r="C154" s="5598"/>
      <c r="D154" s="9635" t="s">
        <v>262</v>
      </c>
      <c r="E154" s="9646"/>
      <c r="F154" s="87" t="s">
        <v>255</v>
      </c>
      <c r="G154" s="337"/>
      <c r="H154" s="386"/>
      <c r="I154" s="9635" t="s">
        <v>263</v>
      </c>
      <c r="J154" s="9646"/>
      <c r="K154" s="87" t="s">
        <v>255</v>
      </c>
      <c r="L154" s="6763" t="str">
        <f>IF(COUNTBLANK(L155:L160)&gt;0,"미취합법인有",SUM(L155:L160))</f>
        <v>미취합법인有</v>
      </c>
      <c r="M154" s="7233"/>
      <c r="N154" s="6847" t="str">
        <f>IF(COUNTBLANK(N155:N160)&gt;0,"미취합법인有",SUM(N155:N160))</f>
        <v>미취합법인有</v>
      </c>
      <c r="O154" s="7353"/>
      <c r="P154" s="6913" t="str">
        <f>IF(COUNTBLANK(P155:P160)&gt;0,"미취합법인有",SUM(P155:P160))</f>
        <v>미취합법인有</v>
      </c>
      <c r="Q154" s="7460"/>
      <c r="R154" s="6616" t="s">
        <v>31</v>
      </c>
      <c r="S154" s="6557"/>
      <c r="T154" s="1033" t="s">
        <v>264</v>
      </c>
      <c r="U154" s="263" t="s">
        <v>265</v>
      </c>
      <c r="V154" s="99" t="s">
        <v>206</v>
      </c>
      <c r="W154" s="138"/>
      <c r="X154" s="138"/>
      <c r="Y154" s="99"/>
      <c r="Z154" s="336" t="s">
        <v>266</v>
      </c>
      <c r="AA154" s="154"/>
      <c r="AB154" s="159"/>
    </row>
    <row r="155" spans="1:28" ht="19.899999999999999" customHeight="1">
      <c r="A155" s="11"/>
      <c r="B155" s="5590"/>
      <c r="C155" s="5598"/>
      <c r="D155" s="9598" t="s">
        <v>134</v>
      </c>
      <c r="E155" s="9600"/>
      <c r="F155" s="87" t="s">
        <v>255</v>
      </c>
      <c r="G155" s="253"/>
      <c r="H155" s="286"/>
      <c r="I155" s="9579" t="s">
        <v>135</v>
      </c>
      <c r="J155" s="9581"/>
      <c r="K155" s="87" t="s">
        <v>255</v>
      </c>
      <c r="L155" s="6777">
        <v>1268.5</v>
      </c>
      <c r="M155" s="7257" t="s">
        <v>667</v>
      </c>
      <c r="N155" s="6855">
        <v>1491.9</v>
      </c>
      <c r="O155" s="7360" t="s">
        <v>668</v>
      </c>
      <c r="P155" s="6927">
        <v>1458.06</v>
      </c>
      <c r="Q155" s="7277"/>
      <c r="R155" s="6616" t="s">
        <v>31</v>
      </c>
      <c r="S155" s="6566"/>
      <c r="T155" s="2468"/>
      <c r="U155" s="276"/>
      <c r="V155" s="99"/>
      <c r="W155" s="138"/>
      <c r="X155" s="138"/>
      <c r="Y155" s="99"/>
      <c r="Z155" s="264"/>
      <c r="AA155" s="277"/>
      <c r="AB155" s="187"/>
    </row>
    <row r="156" spans="1:28" ht="19.899999999999999" customHeight="1">
      <c r="A156" s="11"/>
      <c r="B156" s="5590"/>
      <c r="C156" s="5598"/>
      <c r="D156" s="9598" t="s">
        <v>137</v>
      </c>
      <c r="E156" s="9600"/>
      <c r="F156" s="87" t="s">
        <v>255</v>
      </c>
      <c r="G156" s="253"/>
      <c r="H156" s="286"/>
      <c r="I156" s="9579" t="s">
        <v>138</v>
      </c>
      <c r="J156" s="9581"/>
      <c r="K156" s="87" t="s">
        <v>255</v>
      </c>
      <c r="L156" s="6753"/>
      <c r="M156" s="7256"/>
      <c r="N156" s="6825"/>
      <c r="O156" s="7359"/>
      <c r="P156" s="6922"/>
      <c r="Q156" s="7245"/>
      <c r="R156" s="6616" t="s">
        <v>31</v>
      </c>
      <c r="S156" s="6561"/>
      <c r="T156" s="2468"/>
      <c r="U156" s="276"/>
      <c r="V156" s="99"/>
      <c r="W156" s="138"/>
      <c r="X156" s="138"/>
      <c r="Y156" s="99"/>
      <c r="Z156" s="264"/>
      <c r="AA156" s="277"/>
      <c r="AB156" s="187"/>
    </row>
    <row r="157" spans="1:28" ht="19.899999999999999" customHeight="1">
      <c r="A157" s="11"/>
      <c r="B157" s="5590"/>
      <c r="C157" s="5598"/>
      <c r="D157" s="9598" t="s">
        <v>140</v>
      </c>
      <c r="E157" s="9600"/>
      <c r="F157" s="87" t="s">
        <v>255</v>
      </c>
      <c r="G157" s="253"/>
      <c r="H157" s="286"/>
      <c r="I157" s="9582" t="s">
        <v>141</v>
      </c>
      <c r="J157" s="9583"/>
      <c r="K157" s="87" t="s">
        <v>255</v>
      </c>
      <c r="L157" s="6752">
        <v>205.80008876798826</v>
      </c>
      <c r="M157" s="7258"/>
      <c r="N157" s="6848">
        <v>176.61219894487496</v>
      </c>
      <c r="O157" s="7361"/>
      <c r="P157" s="6901">
        <v>177.63597829765689</v>
      </c>
      <c r="Q157" s="7459"/>
      <c r="R157" s="6616" t="s">
        <v>31</v>
      </c>
      <c r="S157" s="6632"/>
      <c r="T157" s="2468"/>
      <c r="U157" s="276"/>
      <c r="V157" s="99"/>
      <c r="W157" s="138"/>
      <c r="X157" s="138"/>
      <c r="Y157" s="99"/>
      <c r="Z157" s="264"/>
      <c r="AA157" s="277"/>
      <c r="AB157" s="187"/>
    </row>
    <row r="158" spans="1:28" ht="19.899999999999999" customHeight="1">
      <c r="A158" s="11"/>
      <c r="B158" s="5590"/>
      <c r="C158" s="5598"/>
      <c r="D158" s="9598" t="s">
        <v>143</v>
      </c>
      <c r="E158" s="9600"/>
      <c r="F158" s="87" t="s">
        <v>255</v>
      </c>
      <c r="G158" s="253"/>
      <c r="H158" s="286"/>
      <c r="I158" s="9582" t="s">
        <v>144</v>
      </c>
      <c r="J158" s="9583"/>
      <c r="K158" s="87" t="s">
        <v>255</v>
      </c>
      <c r="L158" s="6754">
        <v>54.037363380335201</v>
      </c>
      <c r="M158" s="7259" t="s">
        <v>669</v>
      </c>
      <c r="N158" s="6826">
        <v>117.93083850502801</v>
      </c>
      <c r="O158" s="7356"/>
      <c r="P158" s="6826">
        <v>131.92724031512199</v>
      </c>
      <c r="Q158" s="7356"/>
      <c r="R158" s="6616" t="s">
        <v>31</v>
      </c>
      <c r="S158" s="6557"/>
      <c r="T158" s="2468"/>
      <c r="U158" s="276"/>
      <c r="V158" s="99"/>
      <c r="W158" s="138"/>
      <c r="X158" s="138"/>
      <c r="Y158" s="99"/>
      <c r="Z158" s="264"/>
      <c r="AA158" s="277"/>
      <c r="AB158" s="187"/>
    </row>
    <row r="159" spans="1:28" ht="19.899999999999999" customHeight="1">
      <c r="A159" s="11"/>
      <c r="B159" s="5590"/>
      <c r="C159" s="5598"/>
      <c r="D159" s="9598" t="s">
        <v>146</v>
      </c>
      <c r="E159" s="9600"/>
      <c r="F159" s="87" t="s">
        <v>255</v>
      </c>
      <c r="G159" s="253"/>
      <c r="H159" s="286"/>
      <c r="I159" s="9582" t="s">
        <v>147</v>
      </c>
      <c r="J159" s="9583"/>
      <c r="K159" s="87" t="s">
        <v>255</v>
      </c>
      <c r="L159" s="6774" t="s">
        <v>168</v>
      </c>
      <c r="M159" s="7250" t="s">
        <v>641</v>
      </c>
      <c r="N159" s="6826" t="s">
        <v>168</v>
      </c>
      <c r="O159" s="7356" t="s">
        <v>641</v>
      </c>
      <c r="P159" s="6826" t="s">
        <v>168</v>
      </c>
      <c r="Q159" s="7356" t="s">
        <v>641</v>
      </c>
      <c r="R159" s="6616" t="s">
        <v>31</v>
      </c>
      <c r="S159" s="6557"/>
      <c r="T159" s="2468"/>
      <c r="U159" s="276"/>
      <c r="V159" s="99"/>
      <c r="W159" s="138"/>
      <c r="X159" s="138"/>
      <c r="Y159" s="99"/>
      <c r="Z159" s="264"/>
      <c r="AA159" s="277"/>
      <c r="AB159" s="187"/>
    </row>
    <row r="160" spans="1:28" ht="19.899999999999999" customHeight="1">
      <c r="A160" s="11"/>
      <c r="B160" s="5590"/>
      <c r="C160" s="5598"/>
      <c r="D160" s="9598" t="s">
        <v>149</v>
      </c>
      <c r="E160" s="9600"/>
      <c r="F160" s="87" t="s">
        <v>255</v>
      </c>
      <c r="G160" s="253"/>
      <c r="H160" s="286"/>
      <c r="I160" s="9582" t="s">
        <v>150</v>
      </c>
      <c r="J160" s="9583"/>
      <c r="K160" s="87" t="s">
        <v>255</v>
      </c>
      <c r="L160" s="6754">
        <v>163.06</v>
      </c>
      <c r="M160" s="7250"/>
      <c r="N160" s="6826">
        <v>190.41</v>
      </c>
      <c r="O160" s="7356"/>
      <c r="P160" s="6826">
        <v>148.49</v>
      </c>
      <c r="Q160" s="7356"/>
      <c r="R160" s="6616" t="s">
        <v>31</v>
      </c>
      <c r="S160" s="6557"/>
      <c r="T160" s="2468"/>
      <c r="U160" s="276"/>
      <c r="V160" s="99"/>
      <c r="W160" s="138"/>
      <c r="X160" s="138"/>
      <c r="Y160" s="99"/>
      <c r="Z160" s="264"/>
      <c r="AA160" s="277"/>
      <c r="AB160" s="187"/>
    </row>
    <row r="161" spans="1:28" ht="20.100000000000001" customHeight="1">
      <c r="A161" s="11"/>
      <c r="B161" s="1360"/>
      <c r="C161" s="5598"/>
      <c r="D161" s="9635" t="s">
        <v>273</v>
      </c>
      <c r="E161" s="9646"/>
      <c r="F161" s="87" t="s">
        <v>255</v>
      </c>
      <c r="G161" s="343"/>
      <c r="H161" s="386"/>
      <c r="I161" s="9635" t="s">
        <v>274</v>
      </c>
      <c r="J161" s="9646"/>
      <c r="K161" s="87" t="s">
        <v>255</v>
      </c>
      <c r="L161" s="6763" t="str">
        <f>IF(COUNTBLANK(L162:L167)&gt;0,"미취합법인有",SUM(L162:L167))</f>
        <v>미취합법인有</v>
      </c>
      <c r="M161" s="7233"/>
      <c r="N161" s="6847" t="str">
        <f>IF(COUNTBLANK(N162:N167)&gt;0,"미취합법인有",SUM(N162:N167))</f>
        <v>미취합법인有</v>
      </c>
      <c r="O161" s="7353"/>
      <c r="P161" s="6913" t="str">
        <f>IF(COUNTBLANK(P162:P167)&gt;0,"미취합법인有",SUM(P162:P167))</f>
        <v>미취합법인有</v>
      </c>
      <c r="Q161" s="7460"/>
      <c r="R161" s="6616" t="s">
        <v>31</v>
      </c>
      <c r="S161" s="6557"/>
      <c r="T161" s="1033" t="s">
        <v>275</v>
      </c>
      <c r="U161" s="263" t="s">
        <v>276</v>
      </c>
      <c r="V161" s="99" t="s">
        <v>206</v>
      </c>
      <c r="W161" s="138"/>
      <c r="X161" s="138"/>
      <c r="Y161" s="99"/>
      <c r="Z161" s="336" t="s">
        <v>277</v>
      </c>
      <c r="AA161" s="154"/>
      <c r="AB161" s="159"/>
    </row>
    <row r="162" spans="1:28" ht="19.899999999999999" customHeight="1">
      <c r="A162" s="11"/>
      <c r="B162" s="5590"/>
      <c r="C162" s="5598"/>
      <c r="D162" s="9598" t="s">
        <v>134</v>
      </c>
      <c r="E162" s="9600"/>
      <c r="F162" s="87" t="s">
        <v>255</v>
      </c>
      <c r="G162" s="253"/>
      <c r="H162" s="286"/>
      <c r="I162" s="9579" t="s">
        <v>135</v>
      </c>
      <c r="J162" s="9581"/>
      <c r="K162" s="87" t="s">
        <v>255</v>
      </c>
      <c r="L162" s="6777">
        <v>0</v>
      </c>
      <c r="M162" s="7257"/>
      <c r="N162" s="6855">
        <v>0</v>
      </c>
      <c r="O162" s="7360"/>
      <c r="P162" s="6927">
        <v>0</v>
      </c>
      <c r="Q162" s="7277"/>
      <c r="R162" s="6616" t="s">
        <v>31</v>
      </c>
      <c r="S162" s="6566"/>
      <c r="T162" s="2468"/>
      <c r="U162" s="276"/>
      <c r="V162" s="99"/>
      <c r="W162" s="138"/>
      <c r="X162" s="138"/>
      <c r="Y162" s="99"/>
      <c r="Z162" s="264"/>
      <c r="AA162" s="277"/>
      <c r="AB162" s="187"/>
    </row>
    <row r="163" spans="1:28" ht="19.899999999999999" customHeight="1">
      <c r="A163" s="11"/>
      <c r="B163" s="5590"/>
      <c r="C163" s="5598"/>
      <c r="D163" s="9598" t="s">
        <v>137</v>
      </c>
      <c r="E163" s="9600"/>
      <c r="F163" s="87" t="s">
        <v>255</v>
      </c>
      <c r="G163" s="253"/>
      <c r="H163" s="286"/>
      <c r="I163" s="9579" t="s">
        <v>138</v>
      </c>
      <c r="J163" s="9581"/>
      <c r="K163" s="87" t="s">
        <v>255</v>
      </c>
      <c r="L163" s="6753"/>
      <c r="M163" s="7249"/>
      <c r="N163" s="6825"/>
      <c r="O163" s="7355"/>
      <c r="P163" s="6922"/>
      <c r="Q163" s="7245"/>
      <c r="R163" s="6616" t="s">
        <v>31</v>
      </c>
      <c r="S163" s="6561"/>
      <c r="T163" s="2468"/>
      <c r="U163" s="276"/>
      <c r="V163" s="99"/>
      <c r="W163" s="138"/>
      <c r="X163" s="138"/>
      <c r="Y163" s="99"/>
      <c r="Z163" s="264"/>
      <c r="AA163" s="277"/>
      <c r="AB163" s="187"/>
    </row>
    <row r="164" spans="1:28" ht="19.899999999999999" customHeight="1">
      <c r="A164" s="11"/>
      <c r="B164" s="5590"/>
      <c r="C164" s="5598"/>
      <c r="D164" s="9598" t="s">
        <v>140</v>
      </c>
      <c r="E164" s="9600"/>
      <c r="F164" s="87" t="s">
        <v>255</v>
      </c>
      <c r="G164" s="253"/>
      <c r="H164" s="286"/>
      <c r="I164" s="9582" t="s">
        <v>141</v>
      </c>
      <c r="J164" s="9583"/>
      <c r="K164" s="87" t="s">
        <v>255</v>
      </c>
      <c r="L164" s="6752">
        <v>87.456875595606604</v>
      </c>
      <c r="M164" s="7260"/>
      <c r="N164" s="6848">
        <v>81.303974009327803</v>
      </c>
      <c r="O164" s="7362"/>
      <c r="P164" s="6901">
        <v>88.372129660195171</v>
      </c>
      <c r="Q164" s="7459"/>
      <c r="R164" s="6616" t="s">
        <v>31</v>
      </c>
      <c r="S164" s="6632"/>
      <c r="T164" s="2468"/>
      <c r="U164" s="276"/>
      <c r="V164" s="99"/>
      <c r="W164" s="138"/>
      <c r="X164" s="138"/>
      <c r="Y164" s="99"/>
      <c r="Z164" s="264"/>
      <c r="AA164" s="277"/>
      <c r="AB164" s="187"/>
    </row>
    <row r="165" spans="1:28" ht="19.899999999999999" customHeight="1">
      <c r="A165" s="11"/>
      <c r="B165" s="5590"/>
      <c r="C165" s="5598"/>
      <c r="D165" s="9598" t="s">
        <v>143</v>
      </c>
      <c r="E165" s="9600"/>
      <c r="F165" s="87" t="s">
        <v>255</v>
      </c>
      <c r="G165" s="253"/>
      <c r="H165" s="286"/>
      <c r="I165" s="9582" t="s">
        <v>144</v>
      </c>
      <c r="J165" s="9583"/>
      <c r="K165" s="87" t="s">
        <v>255</v>
      </c>
      <c r="L165" s="6754"/>
      <c r="M165" s="7250"/>
      <c r="N165" s="6826"/>
      <c r="O165" s="7356"/>
      <c r="P165" s="6826"/>
      <c r="Q165" s="7356"/>
      <c r="R165" s="6616" t="s">
        <v>31</v>
      </c>
      <c r="S165" s="6557"/>
      <c r="T165" s="2468"/>
      <c r="U165" s="276"/>
      <c r="V165" s="99"/>
      <c r="W165" s="138"/>
      <c r="X165" s="138"/>
      <c r="Y165" s="99"/>
      <c r="Z165" s="264"/>
      <c r="AA165" s="277"/>
      <c r="AB165" s="187"/>
    </row>
    <row r="166" spans="1:28" ht="19.899999999999999" customHeight="1">
      <c r="A166" s="11"/>
      <c r="B166" s="5590"/>
      <c r="C166" s="5598"/>
      <c r="D166" s="9598" t="s">
        <v>146</v>
      </c>
      <c r="E166" s="9600"/>
      <c r="F166" s="87" t="s">
        <v>255</v>
      </c>
      <c r="G166" s="253"/>
      <c r="H166" s="286"/>
      <c r="I166" s="9582" t="s">
        <v>147</v>
      </c>
      <c r="J166" s="9583"/>
      <c r="K166" s="87" t="s">
        <v>255</v>
      </c>
      <c r="L166" s="6774" t="s">
        <v>168</v>
      </c>
      <c r="M166" s="7250" t="s">
        <v>641</v>
      </c>
      <c r="N166" s="6826" t="s">
        <v>168</v>
      </c>
      <c r="O166" s="7356" t="s">
        <v>641</v>
      </c>
      <c r="P166" s="6826" t="s">
        <v>168</v>
      </c>
      <c r="Q166" s="7356" t="s">
        <v>641</v>
      </c>
      <c r="R166" s="6616" t="s">
        <v>31</v>
      </c>
      <c r="S166" s="6557"/>
      <c r="T166" s="2468"/>
      <c r="U166" s="276"/>
      <c r="V166" s="99"/>
      <c r="W166" s="138"/>
      <c r="X166" s="138"/>
      <c r="Y166" s="99"/>
      <c r="Z166" s="264"/>
      <c r="AA166" s="277"/>
      <c r="AB166" s="187"/>
    </row>
    <row r="167" spans="1:28" ht="19.899999999999999" customHeight="1">
      <c r="A167" s="11"/>
      <c r="B167" s="5590"/>
      <c r="C167" s="5598"/>
      <c r="D167" s="9598" t="s">
        <v>149</v>
      </c>
      <c r="E167" s="9600"/>
      <c r="F167" s="87" t="s">
        <v>255</v>
      </c>
      <c r="G167" s="253"/>
      <c r="H167" s="286"/>
      <c r="I167" s="9582" t="s">
        <v>150</v>
      </c>
      <c r="J167" s="9583"/>
      <c r="K167" s="87" t="s">
        <v>255</v>
      </c>
      <c r="L167" s="6774" t="s">
        <v>168</v>
      </c>
      <c r="M167" s="7250" t="s">
        <v>641</v>
      </c>
      <c r="N167" s="6826" t="s">
        <v>168</v>
      </c>
      <c r="O167" s="7356" t="s">
        <v>641</v>
      </c>
      <c r="P167" s="6826" t="s">
        <v>168</v>
      </c>
      <c r="Q167" s="7356" t="s">
        <v>641</v>
      </c>
      <c r="R167" s="6616" t="s">
        <v>31</v>
      </c>
      <c r="S167" s="6557"/>
      <c r="T167" s="2468"/>
      <c r="U167" s="276"/>
      <c r="V167" s="99"/>
      <c r="W167" s="138"/>
      <c r="X167" s="138"/>
      <c r="Y167" s="99"/>
      <c r="Z167" s="264"/>
      <c r="AA167" s="277"/>
      <c r="AB167" s="187"/>
    </row>
    <row r="168" spans="1:28" ht="20.100000000000001" customHeight="1">
      <c r="A168" s="11"/>
      <c r="B168" s="1360"/>
      <c r="C168" s="9594" t="s">
        <v>296</v>
      </c>
      <c r="D168" s="9594"/>
      <c r="E168" s="9594"/>
      <c r="F168" s="280" t="s">
        <v>255</v>
      </c>
      <c r="G168" s="345"/>
      <c r="H168" s="9594" t="s">
        <v>297</v>
      </c>
      <c r="I168" s="9594"/>
      <c r="J168" s="9594"/>
      <c r="K168" s="87" t="s">
        <v>255</v>
      </c>
      <c r="L168" s="6763" t="str">
        <f>IF(COUNTBLANK(L169:L174)&gt;0,"미취합법인有",SUM(L169:L174))</f>
        <v>미취합법인有</v>
      </c>
      <c r="M168" s="7233"/>
      <c r="N168" s="6847" t="str">
        <f>IF(COUNTBLANK(N169:N174)&gt;0,"미취합법인有",SUM(N169:N174))</f>
        <v>미취합법인有</v>
      </c>
      <c r="O168" s="7353"/>
      <c r="P168" s="6913" t="str">
        <f>IF(COUNTBLANK(P169:P174)&gt;0,"미취합법인有",SUM(P169:P174))</f>
        <v>미취합법인有</v>
      </c>
      <c r="Q168" s="7460"/>
      <c r="R168" s="6616" t="s">
        <v>31</v>
      </c>
      <c r="S168" s="6557"/>
      <c r="T168" s="2468" t="s">
        <v>298</v>
      </c>
      <c r="U168" s="276" t="s">
        <v>299</v>
      </c>
      <c r="V168" s="99" t="s">
        <v>206</v>
      </c>
      <c r="W168" s="138"/>
      <c r="X168" s="138"/>
      <c r="Y168" s="99"/>
      <c r="Z168" s="346" t="s">
        <v>300</v>
      </c>
      <c r="AA168" s="265"/>
      <c r="AB168" s="187"/>
    </row>
    <row r="169" spans="1:28" ht="19.899999999999999" customHeight="1">
      <c r="A169" s="11"/>
      <c r="B169" s="5590"/>
      <c r="C169" s="9647" t="s">
        <v>134</v>
      </c>
      <c r="D169" s="9648"/>
      <c r="E169" s="9649"/>
      <c r="F169" s="87" t="s">
        <v>255</v>
      </c>
      <c r="G169" s="253"/>
      <c r="H169" s="9579" t="s">
        <v>135</v>
      </c>
      <c r="I169" s="9580"/>
      <c r="J169" s="9581"/>
      <c r="K169" s="87" t="s">
        <v>255</v>
      </c>
      <c r="L169" s="6754"/>
      <c r="M169" s="7250" t="s">
        <v>302</v>
      </c>
      <c r="N169" s="6826"/>
      <c r="O169" s="7363" t="s">
        <v>302</v>
      </c>
      <c r="P169" s="6922"/>
      <c r="Q169" s="7356"/>
      <c r="R169" s="6616" t="s">
        <v>31</v>
      </c>
      <c r="S169" s="6557"/>
      <c r="T169" s="1033"/>
      <c r="U169" s="263"/>
      <c r="V169" s="99"/>
      <c r="W169" s="138"/>
      <c r="X169" s="138"/>
      <c r="Y169" s="99"/>
      <c r="Z169" s="264"/>
      <c r="AA169" s="277"/>
      <c r="AB169" s="187"/>
    </row>
    <row r="170" spans="1:28" ht="19.899999999999999" customHeight="1">
      <c r="A170" s="11"/>
      <c r="B170" s="5590"/>
      <c r="C170" s="9647" t="s">
        <v>137</v>
      </c>
      <c r="D170" s="9648"/>
      <c r="E170" s="9649"/>
      <c r="F170" s="87" t="s">
        <v>255</v>
      </c>
      <c r="G170" s="253"/>
      <c r="H170" s="9579" t="s">
        <v>138</v>
      </c>
      <c r="I170" s="9580"/>
      <c r="J170" s="9581"/>
      <c r="K170" s="87" t="s">
        <v>255</v>
      </c>
      <c r="L170" s="6754"/>
      <c r="M170" s="7250"/>
      <c r="N170" s="6826"/>
      <c r="O170" s="7356"/>
      <c r="P170" s="6826"/>
      <c r="Q170" s="7356"/>
      <c r="R170" s="6616" t="s">
        <v>31</v>
      </c>
      <c r="S170" s="6557"/>
      <c r="T170" s="1033"/>
      <c r="U170" s="263"/>
      <c r="V170" s="99"/>
      <c r="W170" s="138"/>
      <c r="X170" s="138"/>
      <c r="Y170" s="99"/>
      <c r="Z170" s="264"/>
      <c r="AA170" s="277"/>
      <c r="AB170" s="187"/>
    </row>
    <row r="171" spans="1:28" ht="19.899999999999999" customHeight="1">
      <c r="A171" s="11"/>
      <c r="B171" s="5590"/>
      <c r="C171" s="9647" t="s">
        <v>140</v>
      </c>
      <c r="D171" s="9648"/>
      <c r="E171" s="9649"/>
      <c r="F171" s="87" t="s">
        <v>255</v>
      </c>
      <c r="G171" s="253"/>
      <c r="H171" s="9579" t="s">
        <v>141</v>
      </c>
      <c r="I171" s="9580"/>
      <c r="J171" s="9581"/>
      <c r="K171" s="87" t="s">
        <v>255</v>
      </c>
      <c r="L171" s="6774" t="s">
        <v>168</v>
      </c>
      <c r="M171" s="7250" t="s">
        <v>641</v>
      </c>
      <c r="N171" s="6826" t="s">
        <v>168</v>
      </c>
      <c r="O171" s="7356" t="s">
        <v>641</v>
      </c>
      <c r="P171" s="6826" t="s">
        <v>168</v>
      </c>
      <c r="Q171" s="7356" t="s">
        <v>641</v>
      </c>
      <c r="R171" s="6616" t="s">
        <v>31</v>
      </c>
      <c r="S171" s="6557"/>
      <c r="T171" s="1033"/>
      <c r="U171" s="263"/>
      <c r="V171" s="99"/>
      <c r="W171" s="138"/>
      <c r="X171" s="138"/>
      <c r="Y171" s="99"/>
      <c r="Z171" s="264"/>
      <c r="AA171" s="277"/>
      <c r="AB171" s="187"/>
    </row>
    <row r="172" spans="1:28" ht="19.899999999999999" customHeight="1">
      <c r="A172" s="11"/>
      <c r="B172" s="5590"/>
      <c r="C172" s="9647" t="s">
        <v>143</v>
      </c>
      <c r="D172" s="9648"/>
      <c r="E172" s="9649"/>
      <c r="F172" s="87" t="s">
        <v>255</v>
      </c>
      <c r="G172" s="253"/>
      <c r="H172" s="9579" t="s">
        <v>144</v>
      </c>
      <c r="I172" s="9580"/>
      <c r="J172" s="9581"/>
      <c r="K172" s="87" t="s">
        <v>255</v>
      </c>
      <c r="L172" s="6754"/>
      <c r="M172" s="7250"/>
      <c r="N172" s="6826"/>
      <c r="O172" s="7356"/>
      <c r="P172" s="6826"/>
      <c r="Q172" s="7356"/>
      <c r="R172" s="6616" t="s">
        <v>31</v>
      </c>
      <c r="S172" s="6557"/>
      <c r="T172" s="1033"/>
      <c r="U172" s="263"/>
      <c r="V172" s="99"/>
      <c r="W172" s="138"/>
      <c r="X172" s="138"/>
      <c r="Y172" s="99"/>
      <c r="Z172" s="264"/>
      <c r="AA172" s="277"/>
      <c r="AB172" s="187"/>
    </row>
    <row r="173" spans="1:28" ht="19.899999999999999" customHeight="1">
      <c r="A173" s="11"/>
      <c r="B173" s="5590"/>
      <c r="C173" s="9647" t="s">
        <v>146</v>
      </c>
      <c r="D173" s="9648"/>
      <c r="E173" s="9649"/>
      <c r="F173" s="87" t="s">
        <v>255</v>
      </c>
      <c r="G173" s="253"/>
      <c r="H173" s="9579" t="s">
        <v>147</v>
      </c>
      <c r="I173" s="9580"/>
      <c r="J173" s="9581"/>
      <c r="K173" s="87" t="s">
        <v>255</v>
      </c>
      <c r="L173" s="6774" t="s">
        <v>168</v>
      </c>
      <c r="M173" s="7250" t="s">
        <v>641</v>
      </c>
      <c r="N173" s="6826" t="s">
        <v>168</v>
      </c>
      <c r="O173" s="7356" t="s">
        <v>641</v>
      </c>
      <c r="P173" s="6826" t="s">
        <v>168</v>
      </c>
      <c r="Q173" s="7356" t="s">
        <v>641</v>
      </c>
      <c r="R173" s="6616" t="s">
        <v>31</v>
      </c>
      <c r="S173" s="6557"/>
      <c r="T173" s="1033"/>
      <c r="U173" s="263"/>
      <c r="V173" s="99"/>
      <c r="W173" s="138"/>
      <c r="X173" s="138"/>
      <c r="Y173" s="99"/>
      <c r="Z173" s="264"/>
      <c r="AA173" s="277"/>
      <c r="AB173" s="187"/>
    </row>
    <row r="174" spans="1:28" ht="19.899999999999999" customHeight="1">
      <c r="A174" s="11"/>
      <c r="B174" s="5590"/>
      <c r="C174" s="9647" t="s">
        <v>149</v>
      </c>
      <c r="D174" s="9648"/>
      <c r="E174" s="9649"/>
      <c r="F174" s="87" t="s">
        <v>255</v>
      </c>
      <c r="G174" s="253"/>
      <c r="H174" s="9579" t="s">
        <v>150</v>
      </c>
      <c r="I174" s="9580"/>
      <c r="J174" s="9581"/>
      <c r="K174" s="87" t="s">
        <v>255</v>
      </c>
      <c r="L174" s="6754"/>
      <c r="M174" s="7250"/>
      <c r="N174" s="6826"/>
      <c r="O174" s="7356"/>
      <c r="P174" s="6826"/>
      <c r="Q174" s="7356"/>
      <c r="R174" s="6616" t="s">
        <v>31</v>
      </c>
      <c r="S174" s="6557"/>
      <c r="T174" s="1033"/>
      <c r="U174" s="263"/>
      <c r="V174" s="99"/>
      <c r="W174" s="138"/>
      <c r="X174" s="138"/>
      <c r="Y174" s="99"/>
      <c r="Z174" s="264"/>
      <c r="AA174" s="277"/>
      <c r="AB174" s="187"/>
    </row>
    <row r="175" spans="1:28" ht="20.100000000000001" customHeight="1">
      <c r="A175" s="11"/>
      <c r="B175" s="1360"/>
      <c r="C175" s="5598"/>
      <c r="D175" s="9593" t="s">
        <v>303</v>
      </c>
      <c r="E175" s="9594"/>
      <c r="F175" s="280" t="s">
        <v>255</v>
      </c>
      <c r="G175" s="347"/>
      <c r="H175" s="675"/>
      <c r="I175" s="9593" t="s">
        <v>304</v>
      </c>
      <c r="J175" s="9594"/>
      <c r="K175" s="87" t="s">
        <v>255</v>
      </c>
      <c r="L175" s="6763" t="str">
        <f>IF(COUNTBLANK(L176:L181)&gt;0,"미취합법인有",SUM(L176:L181))</f>
        <v>미취합법인有</v>
      </c>
      <c r="M175" s="7233"/>
      <c r="N175" s="6847" t="str">
        <f>IF(COUNTBLANK(N176:N181)&gt;0,"미취합법인有",SUM(N176:N181))</f>
        <v>미취합법인有</v>
      </c>
      <c r="O175" s="7353"/>
      <c r="P175" s="6913" t="str">
        <f>IF(COUNTBLANK(P176:P181)&gt;0,"미취합법인有",SUM(P176:P181))</f>
        <v>미취합법인有</v>
      </c>
      <c r="Q175" s="7460"/>
      <c r="R175" s="6616" t="s">
        <v>31</v>
      </c>
      <c r="S175" s="6557"/>
      <c r="T175" s="2468"/>
      <c r="U175" s="276"/>
      <c r="V175" s="309" t="s">
        <v>249</v>
      </c>
      <c r="W175" s="138"/>
      <c r="X175" s="138"/>
      <c r="Y175" s="309"/>
      <c r="Z175" s="346" t="s">
        <v>300</v>
      </c>
      <c r="AA175" s="265"/>
      <c r="AB175" s="187"/>
    </row>
    <row r="176" spans="1:28" ht="19.899999999999999" customHeight="1">
      <c r="A176" s="11"/>
      <c r="B176" s="5590"/>
      <c r="C176" s="5598"/>
      <c r="D176" s="9598" t="s">
        <v>134</v>
      </c>
      <c r="E176" s="9600"/>
      <c r="F176" s="87" t="s">
        <v>255</v>
      </c>
      <c r="G176" s="253"/>
      <c r="H176" s="1197"/>
      <c r="I176" s="9579" t="s">
        <v>135</v>
      </c>
      <c r="J176" s="9581"/>
      <c r="K176" s="87" t="s">
        <v>255</v>
      </c>
      <c r="L176" s="6777"/>
      <c r="M176" s="7261" t="s">
        <v>302</v>
      </c>
      <c r="N176" s="6855"/>
      <c r="O176" s="7364" t="s">
        <v>302</v>
      </c>
      <c r="P176" s="6928"/>
      <c r="Q176" s="7277"/>
      <c r="R176" s="6616" t="s">
        <v>31</v>
      </c>
      <c r="S176" s="6566"/>
      <c r="T176" s="2468"/>
      <c r="U176" s="276"/>
      <c r="V176" s="99"/>
      <c r="W176" s="138"/>
      <c r="X176" s="138"/>
      <c r="Y176" s="99"/>
      <c r="Z176" s="264"/>
      <c r="AA176" s="277"/>
      <c r="AB176" s="187"/>
    </row>
    <row r="177" spans="1:29" ht="19.899999999999999" customHeight="1">
      <c r="A177" s="11"/>
      <c r="B177" s="5590"/>
      <c r="C177" s="5598"/>
      <c r="D177" s="9598" t="s">
        <v>137</v>
      </c>
      <c r="E177" s="9600"/>
      <c r="F177" s="87" t="s">
        <v>255</v>
      </c>
      <c r="G177" s="253"/>
      <c r="H177" s="1197"/>
      <c r="I177" s="9579" t="s">
        <v>138</v>
      </c>
      <c r="J177" s="9581"/>
      <c r="K177" s="87" t="s">
        <v>255</v>
      </c>
      <c r="L177" s="6753"/>
      <c r="M177" s="7249"/>
      <c r="N177" s="6825"/>
      <c r="O177" s="7355"/>
      <c r="P177" s="6922"/>
      <c r="Q177" s="7245"/>
      <c r="R177" s="6616" t="s">
        <v>31</v>
      </c>
      <c r="S177" s="6561"/>
      <c r="T177" s="2468"/>
      <c r="U177" s="276"/>
      <c r="V177" s="99"/>
      <c r="W177" s="138"/>
      <c r="X177" s="138"/>
      <c r="Y177" s="99"/>
      <c r="Z177" s="264"/>
      <c r="AA177" s="277"/>
      <c r="AB177" s="187"/>
    </row>
    <row r="178" spans="1:29" ht="19.899999999999999" customHeight="1">
      <c r="A178" s="11"/>
      <c r="B178" s="5590"/>
      <c r="C178" s="5598"/>
      <c r="D178" s="9598" t="s">
        <v>140</v>
      </c>
      <c r="E178" s="9600"/>
      <c r="F178" s="87" t="s">
        <v>255</v>
      </c>
      <c r="G178" s="253"/>
      <c r="H178" s="1197"/>
      <c r="I178" s="9582" t="s">
        <v>141</v>
      </c>
      <c r="J178" s="9583"/>
      <c r="K178" s="87" t="s">
        <v>255</v>
      </c>
      <c r="L178" s="6774" t="s">
        <v>168</v>
      </c>
      <c r="M178" s="7250" t="s">
        <v>641</v>
      </c>
      <c r="N178" s="6826" t="s">
        <v>168</v>
      </c>
      <c r="O178" s="7356" t="s">
        <v>641</v>
      </c>
      <c r="P178" s="6826" t="s">
        <v>168</v>
      </c>
      <c r="Q178" s="7356" t="s">
        <v>641</v>
      </c>
      <c r="R178" s="6616" t="s">
        <v>31</v>
      </c>
      <c r="S178" s="6557"/>
      <c r="T178" s="2468"/>
      <c r="U178" s="276"/>
      <c r="V178" s="99"/>
      <c r="W178" s="138"/>
      <c r="X178" s="138"/>
      <c r="Y178" s="99"/>
      <c r="Z178" s="264"/>
      <c r="AA178" s="277"/>
      <c r="AB178" s="187"/>
    </row>
    <row r="179" spans="1:29" ht="19.899999999999999" customHeight="1">
      <c r="A179" s="11"/>
      <c r="B179" s="5590"/>
      <c r="C179" s="5598"/>
      <c r="D179" s="9598" t="s">
        <v>143</v>
      </c>
      <c r="E179" s="9600"/>
      <c r="F179" s="87" t="s">
        <v>255</v>
      </c>
      <c r="G179" s="253"/>
      <c r="H179" s="1197"/>
      <c r="I179" s="9582" t="s">
        <v>144</v>
      </c>
      <c r="J179" s="9583"/>
      <c r="K179" s="87" t="s">
        <v>255</v>
      </c>
      <c r="L179" s="6754"/>
      <c r="M179" s="7250"/>
      <c r="N179" s="6826"/>
      <c r="O179" s="7356"/>
      <c r="P179" s="6826"/>
      <c r="Q179" s="7356"/>
      <c r="R179" s="6616" t="s">
        <v>31</v>
      </c>
      <c r="S179" s="6557"/>
      <c r="T179" s="2468"/>
      <c r="U179" s="276"/>
      <c r="V179" s="99"/>
      <c r="W179" s="138"/>
      <c r="X179" s="138"/>
      <c r="Y179" s="99"/>
      <c r="Z179" s="264"/>
      <c r="AA179" s="277"/>
      <c r="AB179" s="187"/>
    </row>
    <row r="180" spans="1:29" ht="19.899999999999999" customHeight="1">
      <c r="A180" s="11"/>
      <c r="B180" s="5590"/>
      <c r="C180" s="5598"/>
      <c r="D180" s="9598" t="s">
        <v>146</v>
      </c>
      <c r="E180" s="9600"/>
      <c r="F180" s="87" t="s">
        <v>255</v>
      </c>
      <c r="G180" s="253"/>
      <c r="H180" s="1197"/>
      <c r="I180" s="9582" t="s">
        <v>147</v>
      </c>
      <c r="J180" s="9583"/>
      <c r="K180" s="87" t="s">
        <v>255</v>
      </c>
      <c r="L180" s="6774" t="s">
        <v>168</v>
      </c>
      <c r="M180" s="7250" t="s">
        <v>641</v>
      </c>
      <c r="N180" s="6826" t="s">
        <v>168</v>
      </c>
      <c r="O180" s="7356" t="s">
        <v>641</v>
      </c>
      <c r="P180" s="6826" t="s">
        <v>168</v>
      </c>
      <c r="Q180" s="7356" t="s">
        <v>641</v>
      </c>
      <c r="R180" s="6616" t="s">
        <v>31</v>
      </c>
      <c r="S180" s="6557"/>
      <c r="T180" s="2468"/>
      <c r="U180" s="276"/>
      <c r="V180" s="99"/>
      <c r="W180" s="138"/>
      <c r="X180" s="138"/>
      <c r="Y180" s="99"/>
      <c r="Z180" s="264"/>
      <c r="AA180" s="277"/>
      <c r="AB180" s="187"/>
    </row>
    <row r="181" spans="1:29" ht="19.899999999999999" customHeight="1">
      <c r="A181" s="11"/>
      <c r="B181" s="5590"/>
      <c r="C181" s="5598"/>
      <c r="D181" s="9598" t="s">
        <v>149</v>
      </c>
      <c r="E181" s="9600"/>
      <c r="F181" s="87" t="s">
        <v>255</v>
      </c>
      <c r="G181" s="253"/>
      <c r="H181" s="1197"/>
      <c r="I181" s="9582" t="s">
        <v>150</v>
      </c>
      <c r="J181" s="9583"/>
      <c r="K181" s="87" t="s">
        <v>255</v>
      </c>
      <c r="L181" s="6754"/>
      <c r="M181" s="7250"/>
      <c r="N181" s="6826"/>
      <c r="O181" s="7356"/>
      <c r="P181" s="6826"/>
      <c r="Q181" s="7356"/>
      <c r="R181" s="6616" t="s">
        <v>31</v>
      </c>
      <c r="S181" s="6557"/>
      <c r="T181" s="2468"/>
      <c r="U181" s="276"/>
      <c r="V181" s="99"/>
      <c r="W181" s="138"/>
      <c r="X181" s="138"/>
      <c r="Y181" s="99"/>
      <c r="Z181" s="264"/>
      <c r="AA181" s="277"/>
      <c r="AB181" s="187"/>
    </row>
    <row r="182" spans="1:29" ht="20.100000000000001" customHeight="1">
      <c r="A182" s="11"/>
      <c r="B182" s="1360"/>
      <c r="C182" s="5598"/>
      <c r="D182" s="9593" t="s">
        <v>305</v>
      </c>
      <c r="E182" s="9594"/>
      <c r="F182" s="280" t="s">
        <v>255</v>
      </c>
      <c r="G182" s="106"/>
      <c r="H182" s="5850"/>
      <c r="I182" s="9593" t="s">
        <v>306</v>
      </c>
      <c r="J182" s="9594"/>
      <c r="K182" s="87" t="s">
        <v>255</v>
      </c>
      <c r="L182" s="6763">
        <f>IF(COUNTBLANK(L183:L188)&gt;0,"미취합법인有",SUM(L183:L188))</f>
        <v>54226.938911690988</v>
      </c>
      <c r="M182" s="7233"/>
      <c r="N182" s="6847">
        <f>IF(COUNTBLANK(N183:N188)&gt;0,"미취합법인有",SUM(N183:N188))</f>
        <v>55882.245056991538</v>
      </c>
      <c r="O182" s="7353"/>
      <c r="P182" s="6913">
        <f>IF(COUNTBLANK(P183:P188)&gt;0,"미취합법인有",SUM(P183:P188))</f>
        <v>56772.778770751342</v>
      </c>
      <c r="Q182" s="7460"/>
      <c r="R182" s="6616" t="s">
        <v>31</v>
      </c>
      <c r="S182" s="6557"/>
      <c r="T182" s="2468"/>
      <c r="U182" s="276"/>
      <c r="V182" s="99" t="s">
        <v>206</v>
      </c>
      <c r="W182" s="138"/>
      <c r="X182" s="138"/>
      <c r="Y182" s="99"/>
      <c r="Z182" s="346" t="s">
        <v>300</v>
      </c>
      <c r="AA182" s="265"/>
      <c r="AB182" s="187"/>
    </row>
    <row r="183" spans="1:29" ht="19.899999999999999" customHeight="1">
      <c r="A183" s="11"/>
      <c r="B183" s="5590"/>
      <c r="C183" s="5598"/>
      <c r="D183" s="9598" t="s">
        <v>134</v>
      </c>
      <c r="E183" s="9600"/>
      <c r="F183" s="87" t="s">
        <v>255</v>
      </c>
      <c r="G183" s="253"/>
      <c r="H183" s="1197"/>
      <c r="I183" s="9579" t="s">
        <v>135</v>
      </c>
      <c r="J183" s="9581"/>
      <c r="K183" s="87" t="s">
        <v>255</v>
      </c>
      <c r="L183" s="6778">
        <v>1268.5</v>
      </c>
      <c r="M183" s="7262"/>
      <c r="N183" s="6856">
        <v>1491.8989999999999</v>
      </c>
      <c r="O183" s="7358" t="s">
        <v>650</v>
      </c>
      <c r="P183" s="6929">
        <v>1458.057</v>
      </c>
      <c r="Q183" s="7461"/>
      <c r="R183" s="6616" t="s">
        <v>31</v>
      </c>
      <c r="S183" s="6567"/>
      <c r="T183" s="2468"/>
      <c r="U183" s="276"/>
      <c r="V183" s="99"/>
      <c r="W183" s="138"/>
      <c r="X183" s="138"/>
      <c r="Y183" s="99"/>
      <c r="Z183" s="264"/>
      <c r="AA183" s="277"/>
      <c r="AB183" s="187"/>
    </row>
    <row r="184" spans="1:29" ht="19.899999999999999" customHeight="1">
      <c r="A184" s="11"/>
      <c r="B184" s="5590"/>
      <c r="C184" s="5598"/>
      <c r="D184" s="9598" t="s">
        <v>137</v>
      </c>
      <c r="E184" s="9600"/>
      <c r="F184" s="5788" t="s">
        <v>272</v>
      </c>
      <c r="G184" s="253"/>
      <c r="H184" s="1197"/>
      <c r="I184" s="9579" t="s">
        <v>138</v>
      </c>
      <c r="J184" s="9581"/>
      <c r="K184" s="6171" t="s">
        <v>272</v>
      </c>
      <c r="L184" s="6753">
        <v>52447.841</v>
      </c>
      <c r="M184" s="7249"/>
      <c r="N184" s="6825">
        <v>53823.714999999997</v>
      </c>
      <c r="O184" s="7355"/>
      <c r="P184" s="6922">
        <v>54767.920000000006</v>
      </c>
      <c r="Q184" s="7245"/>
      <c r="R184" s="6616" t="s">
        <v>31</v>
      </c>
      <c r="S184" s="6561"/>
      <c r="T184" s="2468"/>
      <c r="U184" s="276"/>
      <c r="V184" s="99"/>
      <c r="W184" s="138"/>
      <c r="X184" s="138"/>
      <c r="Y184" s="99"/>
      <c r="Z184" s="264"/>
      <c r="AA184" s="277"/>
      <c r="AB184" s="187"/>
      <c r="AC184" s="6159" t="s">
        <v>308</v>
      </c>
    </row>
    <row r="185" spans="1:29" ht="19.899999999999999" customHeight="1">
      <c r="A185" s="11"/>
      <c r="B185" s="5590"/>
      <c r="C185" s="5598"/>
      <c r="D185" s="9598" t="s">
        <v>140</v>
      </c>
      <c r="E185" s="9600"/>
      <c r="F185" s="87" t="s">
        <v>255</v>
      </c>
      <c r="G185" s="253"/>
      <c r="H185" s="1197"/>
      <c r="I185" s="9582" t="s">
        <v>141</v>
      </c>
      <c r="J185" s="9583"/>
      <c r="K185" s="87" t="s">
        <v>255</v>
      </c>
      <c r="L185" s="6752">
        <v>293.49791169099205</v>
      </c>
      <c r="M185" s="7263"/>
      <c r="N185" s="6848">
        <v>258.29105699154366</v>
      </c>
      <c r="O185" s="7365"/>
      <c r="P185" s="6901">
        <v>266.38177075133683</v>
      </c>
      <c r="Q185" s="7459"/>
      <c r="R185" s="6616" t="s">
        <v>31</v>
      </c>
      <c r="S185" s="6632"/>
      <c r="T185" s="2468"/>
      <c r="U185" s="276"/>
      <c r="V185" s="99"/>
      <c r="W185" s="138"/>
      <c r="X185" s="138"/>
      <c r="Y185" s="99"/>
      <c r="Z185" s="264"/>
      <c r="AA185" s="277"/>
      <c r="AB185" s="187"/>
    </row>
    <row r="186" spans="1:29" ht="19.899999999999999" customHeight="1">
      <c r="A186" s="11"/>
      <c r="B186" s="5590"/>
      <c r="C186" s="5598"/>
      <c r="D186" s="9598" t="s">
        <v>143</v>
      </c>
      <c r="E186" s="9600"/>
      <c r="F186" s="87" t="s">
        <v>255</v>
      </c>
      <c r="G186" s="253"/>
      <c r="H186" s="1197"/>
      <c r="I186" s="9582" t="s">
        <v>144</v>
      </c>
      <c r="J186" s="9583"/>
      <c r="K186" s="87" t="s">
        <v>255</v>
      </c>
      <c r="L186" s="6779">
        <v>54.04</v>
      </c>
      <c r="M186" s="7259"/>
      <c r="N186" s="6857">
        <v>117.93</v>
      </c>
      <c r="O186" s="7356"/>
      <c r="P186" s="6857">
        <v>131.93</v>
      </c>
      <c r="Q186" s="7356"/>
      <c r="R186" s="6616" t="s">
        <v>31</v>
      </c>
      <c r="S186" s="6557"/>
      <c r="T186" s="2468"/>
      <c r="U186" s="276"/>
      <c r="V186" s="99"/>
      <c r="W186" s="138"/>
      <c r="X186" s="138"/>
      <c r="Y186" s="99"/>
      <c r="Z186" s="264"/>
      <c r="AA186" s="277"/>
      <c r="AB186" s="187"/>
    </row>
    <row r="187" spans="1:29" ht="19.899999999999999" customHeight="1">
      <c r="A187" s="11"/>
      <c r="B187" s="5590"/>
      <c r="C187" s="5598"/>
      <c r="D187" s="9598" t="s">
        <v>146</v>
      </c>
      <c r="E187" s="9600"/>
      <c r="F187" s="87" t="s">
        <v>255</v>
      </c>
      <c r="G187" s="253"/>
      <c r="H187" s="1197"/>
      <c r="I187" s="9582" t="s">
        <v>147</v>
      </c>
      <c r="J187" s="9583"/>
      <c r="K187" s="87" t="s">
        <v>255</v>
      </c>
      <c r="L187" s="6774" t="s">
        <v>168</v>
      </c>
      <c r="M187" s="7250" t="s">
        <v>641</v>
      </c>
      <c r="N187" s="6826" t="s">
        <v>168</v>
      </c>
      <c r="O187" s="7356" t="s">
        <v>641</v>
      </c>
      <c r="P187" s="6826" t="s">
        <v>168</v>
      </c>
      <c r="Q187" s="7356" t="s">
        <v>641</v>
      </c>
      <c r="R187" s="6616" t="s">
        <v>31</v>
      </c>
      <c r="S187" s="6557"/>
      <c r="T187" s="2468"/>
      <c r="U187" s="276"/>
      <c r="V187" s="99"/>
      <c r="W187" s="138"/>
      <c r="X187" s="138"/>
      <c r="Y187" s="99"/>
      <c r="Z187" s="264"/>
      <c r="AA187" s="277"/>
      <c r="AB187" s="187"/>
    </row>
    <row r="188" spans="1:29" ht="19.899999999999999" customHeight="1">
      <c r="A188" s="11"/>
      <c r="B188" s="5590"/>
      <c r="C188" s="5598"/>
      <c r="D188" s="9598" t="s">
        <v>149</v>
      </c>
      <c r="E188" s="9600"/>
      <c r="F188" s="87" t="s">
        <v>255</v>
      </c>
      <c r="G188" s="253"/>
      <c r="H188" s="1197"/>
      <c r="I188" s="9582" t="s">
        <v>150</v>
      </c>
      <c r="J188" s="9583"/>
      <c r="K188" s="87" t="s">
        <v>255</v>
      </c>
      <c r="L188" s="6754">
        <v>163.06</v>
      </c>
      <c r="M188" s="7250"/>
      <c r="N188" s="6826">
        <v>190.41</v>
      </c>
      <c r="O188" s="7356"/>
      <c r="P188" s="6826">
        <v>148.49</v>
      </c>
      <c r="Q188" s="7356"/>
      <c r="R188" s="6616" t="s">
        <v>31</v>
      </c>
      <c r="S188" s="6557"/>
      <c r="T188" s="2468"/>
      <c r="U188" s="276"/>
      <c r="V188" s="99"/>
      <c r="W188" s="138"/>
      <c r="X188" s="138"/>
      <c r="Y188" s="99"/>
      <c r="Z188" s="264"/>
      <c r="AA188" s="277"/>
      <c r="AB188" s="187"/>
    </row>
    <row r="189" spans="1:29" ht="20.100000000000001" customHeight="1">
      <c r="A189" s="11"/>
      <c r="B189" s="1360"/>
      <c r="C189" s="5603" t="s">
        <v>671</v>
      </c>
      <c r="D189" s="5604"/>
      <c r="E189" s="5605"/>
      <c r="F189" s="132" t="s">
        <v>255</v>
      </c>
      <c r="G189" s="358"/>
      <c r="H189" s="9631" t="s">
        <v>263</v>
      </c>
      <c r="I189" s="9632"/>
      <c r="J189" s="9633"/>
      <c r="K189" s="132" t="s">
        <v>255</v>
      </c>
      <c r="L189" s="6763">
        <f>IF(COUNTBLANK(L190:L195)&gt;0,"미취합법인有",SUM(L190:L195))</f>
        <v>1691.9274521483233</v>
      </c>
      <c r="M189" s="7233"/>
      <c r="N189" s="6847">
        <f>IF(COUNTBLANK(N190:N195)&gt;0,"미취합법인有",SUM(N190:N195))</f>
        <v>1976.813037449903</v>
      </c>
      <c r="O189" s="7353"/>
      <c r="P189" s="6913">
        <f>IF(COUNTBLANK(P190:P195)&gt;0,"미취합법인有",SUM(P190:P195))</f>
        <v>1917.0632186127789</v>
      </c>
      <c r="Q189" s="7460"/>
      <c r="R189" s="6616" t="s">
        <v>31</v>
      </c>
      <c r="S189" s="6557"/>
      <c r="T189" s="498" t="s">
        <v>672</v>
      </c>
      <c r="U189" s="263" t="s">
        <v>265</v>
      </c>
      <c r="V189" s="99" t="s">
        <v>206</v>
      </c>
      <c r="W189" s="138"/>
      <c r="X189" s="138"/>
      <c r="Y189" s="99"/>
      <c r="Z189" s="336" t="s">
        <v>269</v>
      </c>
      <c r="AA189" s="265"/>
      <c r="AB189" s="187"/>
    </row>
    <row r="190" spans="1:29" ht="19.5" customHeight="1">
      <c r="A190" s="11"/>
      <c r="B190" s="5590"/>
      <c r="C190" s="9647" t="s">
        <v>134</v>
      </c>
      <c r="D190" s="9648"/>
      <c r="E190" s="9649"/>
      <c r="F190" s="87" t="s">
        <v>255</v>
      </c>
      <c r="G190" s="253"/>
      <c r="H190" s="9579" t="s">
        <v>135</v>
      </c>
      <c r="I190" s="9580"/>
      <c r="J190" s="9581"/>
      <c r="K190" s="87" t="s">
        <v>255</v>
      </c>
      <c r="L190" s="6754">
        <v>1269</v>
      </c>
      <c r="M190" s="7250"/>
      <c r="N190" s="6826">
        <v>1492</v>
      </c>
      <c r="O190" s="7363"/>
      <c r="P190" s="6922">
        <v>1458</v>
      </c>
      <c r="Q190" s="7356"/>
      <c r="R190" s="6616" t="s">
        <v>31</v>
      </c>
      <c r="S190" s="6557" t="s">
        <v>2044</v>
      </c>
      <c r="T190" s="1033"/>
      <c r="U190" s="263"/>
      <c r="V190" s="99"/>
      <c r="W190" s="138"/>
      <c r="X190" s="138"/>
      <c r="Y190" s="99"/>
      <c r="Z190" s="264"/>
      <c r="AA190" s="277"/>
      <c r="AB190" s="187"/>
    </row>
    <row r="191" spans="1:29" ht="19.899999999999999" customHeight="1">
      <c r="A191" s="11"/>
      <c r="B191" s="5590"/>
      <c r="C191" s="9647" t="s">
        <v>137</v>
      </c>
      <c r="D191" s="9648"/>
      <c r="E191" s="9649"/>
      <c r="F191" s="87" t="s">
        <v>255</v>
      </c>
      <c r="G191" s="253"/>
      <c r="H191" s="9579" t="s">
        <v>138</v>
      </c>
      <c r="I191" s="9580"/>
      <c r="J191" s="9581"/>
      <c r="K191" s="87" t="s">
        <v>255</v>
      </c>
      <c r="L191" s="6754">
        <v>0</v>
      </c>
      <c r="M191" s="7250"/>
      <c r="N191" s="6826">
        <v>0</v>
      </c>
      <c r="O191" s="7356"/>
      <c r="P191" s="6826">
        <v>0</v>
      </c>
      <c r="Q191" s="7356"/>
      <c r="R191" s="6616" t="s">
        <v>31</v>
      </c>
      <c r="S191" s="6557"/>
      <c r="T191" s="1033"/>
      <c r="U191" s="263"/>
      <c r="V191" s="99"/>
      <c r="W191" s="138"/>
      <c r="X191" s="138"/>
      <c r="Y191" s="99"/>
      <c r="Z191" s="264"/>
      <c r="AA191" s="277"/>
      <c r="AB191" s="187"/>
    </row>
    <row r="192" spans="1:29" ht="19.899999999999999" customHeight="1">
      <c r="A192" s="11"/>
      <c r="B192" s="5590"/>
      <c r="C192" s="9647" t="s">
        <v>140</v>
      </c>
      <c r="D192" s="9648"/>
      <c r="E192" s="9649"/>
      <c r="F192" s="87" t="s">
        <v>255</v>
      </c>
      <c r="G192" s="253"/>
      <c r="H192" s="9579" t="s">
        <v>141</v>
      </c>
      <c r="I192" s="9580"/>
      <c r="J192" s="9581"/>
      <c r="K192" s="87" t="s">
        <v>255</v>
      </c>
      <c r="L192" s="6754">
        <v>205.80008876798826</v>
      </c>
      <c r="M192" s="7250"/>
      <c r="N192" s="6826">
        <v>176.61219894487496</v>
      </c>
      <c r="O192" s="7356"/>
      <c r="P192" s="6826">
        <v>177.63597829765689</v>
      </c>
      <c r="Q192" s="7356"/>
      <c r="R192" s="6616" t="s">
        <v>31</v>
      </c>
      <c r="S192" s="6557"/>
      <c r="T192" s="1033"/>
      <c r="U192" s="263"/>
      <c r="V192" s="99"/>
      <c r="W192" s="138"/>
      <c r="X192" s="138"/>
      <c r="Y192" s="99"/>
      <c r="Z192" s="264"/>
      <c r="AA192" s="277"/>
      <c r="AB192" s="187"/>
    </row>
    <row r="193" spans="1:30" ht="20.25" customHeight="1">
      <c r="A193" s="11"/>
      <c r="B193" s="5590"/>
      <c r="C193" s="9647" t="s">
        <v>143</v>
      </c>
      <c r="D193" s="9648"/>
      <c r="E193" s="9649"/>
      <c r="F193" s="87" t="s">
        <v>255</v>
      </c>
      <c r="G193" s="253"/>
      <c r="H193" s="9579" t="s">
        <v>144</v>
      </c>
      <c r="I193" s="9580"/>
      <c r="J193" s="9581"/>
      <c r="K193" s="87" t="s">
        <v>255</v>
      </c>
      <c r="L193" s="6761">
        <v>54.037363380335201</v>
      </c>
      <c r="M193" s="7259" t="s">
        <v>669</v>
      </c>
      <c r="N193" s="6858">
        <v>117.93083850502801</v>
      </c>
      <c r="O193" s="7356"/>
      <c r="P193" s="6858">
        <v>131.92724031512199</v>
      </c>
      <c r="Q193" s="7356"/>
      <c r="R193" s="6616" t="s">
        <v>31</v>
      </c>
      <c r="S193" s="6557"/>
      <c r="T193" s="1033"/>
      <c r="U193" s="263"/>
      <c r="V193" s="99"/>
      <c r="W193" s="138"/>
      <c r="X193" s="138"/>
      <c r="Y193" s="99"/>
      <c r="Z193" s="264"/>
      <c r="AA193" s="277"/>
      <c r="AB193" s="187"/>
      <c r="AC193" s="6159"/>
      <c r="AD193" s="1377"/>
    </row>
    <row r="194" spans="1:30" ht="19.899999999999999" customHeight="1">
      <c r="A194" s="11"/>
      <c r="B194" s="5590"/>
      <c r="C194" s="9647" t="s">
        <v>146</v>
      </c>
      <c r="D194" s="9648"/>
      <c r="E194" s="9649"/>
      <c r="F194" s="87" t="s">
        <v>255</v>
      </c>
      <c r="G194" s="253"/>
      <c r="H194" s="9579" t="s">
        <v>147</v>
      </c>
      <c r="I194" s="9580"/>
      <c r="J194" s="9581"/>
      <c r="K194" s="87" t="s">
        <v>255</v>
      </c>
      <c r="L194" s="6774" t="s">
        <v>168</v>
      </c>
      <c r="M194" s="7250" t="s">
        <v>641</v>
      </c>
      <c r="N194" s="6826" t="s">
        <v>168</v>
      </c>
      <c r="O194" s="7356" t="s">
        <v>641</v>
      </c>
      <c r="P194" s="6826" t="s">
        <v>168</v>
      </c>
      <c r="Q194" s="7356" t="s">
        <v>641</v>
      </c>
      <c r="R194" s="6616" t="s">
        <v>31</v>
      </c>
      <c r="S194" s="6557"/>
      <c r="T194" s="1033"/>
      <c r="U194" s="263"/>
      <c r="V194" s="99"/>
      <c r="W194" s="138"/>
      <c r="X194" s="138"/>
      <c r="Y194" s="99"/>
      <c r="Z194" s="264"/>
      <c r="AA194" s="277"/>
      <c r="AB194" s="187"/>
    </row>
    <row r="195" spans="1:30" ht="19.899999999999999" customHeight="1">
      <c r="A195" s="11"/>
      <c r="B195" s="5590"/>
      <c r="C195" s="9647" t="s">
        <v>149</v>
      </c>
      <c r="D195" s="9648"/>
      <c r="E195" s="9649"/>
      <c r="F195" s="87" t="s">
        <v>255</v>
      </c>
      <c r="G195" s="253"/>
      <c r="H195" s="9579" t="s">
        <v>150</v>
      </c>
      <c r="I195" s="9580"/>
      <c r="J195" s="9581"/>
      <c r="K195" s="87" t="s">
        <v>255</v>
      </c>
      <c r="L195" s="6754">
        <v>163.09</v>
      </c>
      <c r="M195" s="7250"/>
      <c r="N195" s="6826">
        <v>190.27</v>
      </c>
      <c r="O195" s="7356"/>
      <c r="P195" s="6826">
        <v>149.5</v>
      </c>
      <c r="Q195" s="7356"/>
      <c r="R195" s="6616" t="s">
        <v>31</v>
      </c>
      <c r="S195" s="6557"/>
      <c r="T195" s="1033"/>
      <c r="U195" s="263"/>
      <c r="V195" s="99"/>
      <c r="W195" s="138"/>
      <c r="X195" s="138"/>
      <c r="Y195" s="99"/>
      <c r="Z195" s="264"/>
      <c r="AA195" s="277"/>
      <c r="AB195" s="187"/>
    </row>
    <row r="196" spans="1:30" ht="20.100000000000001" customHeight="1">
      <c r="A196" s="11"/>
      <c r="B196" s="1360"/>
      <c r="C196" s="5598"/>
      <c r="D196" s="9591" t="s">
        <v>267</v>
      </c>
      <c r="E196" s="9597"/>
      <c r="F196" s="132" t="s">
        <v>255</v>
      </c>
      <c r="G196" s="106"/>
      <c r="H196" s="6192"/>
      <c r="I196" s="9591" t="s">
        <v>268</v>
      </c>
      <c r="J196" s="9597"/>
      <c r="K196" s="132" t="s">
        <v>255</v>
      </c>
      <c r="L196" s="6763" t="str">
        <f>IF(COUNTBLANK(L197:L202)&gt;0,"미취합법인有",SUM(L197:L202))</f>
        <v>미취합법인有</v>
      </c>
      <c r="M196" s="7233"/>
      <c r="N196" s="6847" t="str">
        <f>IF(COUNTBLANK(N197:N202)&gt;0,"미취합법인有",SUM(N197:N202))</f>
        <v>미취합법인有</v>
      </c>
      <c r="O196" s="7353"/>
      <c r="P196" s="6913" t="str">
        <f>IF(COUNTBLANK(P197:P202)&gt;0,"미취합법인有",SUM(P197:P202))</f>
        <v>미취합법인有</v>
      </c>
      <c r="Q196" s="7460"/>
      <c r="R196" s="6616" t="s">
        <v>31</v>
      </c>
      <c r="S196" s="6557"/>
      <c r="T196" s="498"/>
      <c r="U196" s="367"/>
      <c r="V196" s="99" t="s">
        <v>206</v>
      </c>
      <c r="W196" s="138"/>
      <c r="X196" s="138"/>
      <c r="Y196" s="99"/>
      <c r="Z196" s="186" t="s">
        <v>269</v>
      </c>
      <c r="AA196" s="265"/>
      <c r="AB196" s="187"/>
    </row>
    <row r="197" spans="1:30" ht="19.899999999999999" customHeight="1">
      <c r="A197" s="11"/>
      <c r="B197" s="5590"/>
      <c r="C197" s="5598"/>
      <c r="D197" s="9598" t="s">
        <v>134</v>
      </c>
      <c r="E197" s="9600"/>
      <c r="F197" s="87" t="s">
        <v>255</v>
      </c>
      <c r="G197" s="253"/>
      <c r="H197" s="6192"/>
      <c r="I197" s="9579" t="s">
        <v>135</v>
      </c>
      <c r="J197" s="9581"/>
      <c r="K197" s="87" t="s">
        <v>255</v>
      </c>
      <c r="L197" s="6777">
        <v>172.10000000000002</v>
      </c>
      <c r="M197" s="7264" t="s">
        <v>673</v>
      </c>
      <c r="N197" s="6855">
        <v>187.43400000000003</v>
      </c>
      <c r="O197" s="7366" t="s">
        <v>674</v>
      </c>
      <c r="P197" s="6927">
        <v>183.94</v>
      </c>
      <c r="Q197" s="7277"/>
      <c r="R197" s="6616" t="s">
        <v>31</v>
      </c>
      <c r="S197" s="6566"/>
      <c r="T197" s="2468"/>
      <c r="U197" s="276"/>
      <c r="V197" s="99"/>
      <c r="W197" s="138"/>
      <c r="X197" s="138"/>
      <c r="Y197" s="99"/>
      <c r="Z197" s="264"/>
      <c r="AA197" s="277"/>
      <c r="AB197" s="187"/>
    </row>
    <row r="198" spans="1:30" ht="19.899999999999999" customHeight="1">
      <c r="A198" s="11"/>
      <c r="B198" s="5590"/>
      <c r="C198" s="5598"/>
      <c r="D198" s="9598" t="s">
        <v>137</v>
      </c>
      <c r="E198" s="9600"/>
      <c r="F198" s="87" t="s">
        <v>255</v>
      </c>
      <c r="G198" s="253"/>
      <c r="H198" s="6192"/>
      <c r="I198" s="9579" t="s">
        <v>138</v>
      </c>
      <c r="J198" s="9581"/>
      <c r="K198" s="87" t="s">
        <v>255</v>
      </c>
      <c r="L198" s="6753"/>
      <c r="M198" s="7265"/>
      <c r="N198" s="6825"/>
      <c r="O198" s="7367"/>
      <c r="P198" s="6922"/>
      <c r="Q198" s="7245"/>
      <c r="R198" s="6616" t="s">
        <v>31</v>
      </c>
      <c r="S198" s="6561"/>
      <c r="T198" s="2468"/>
      <c r="U198" s="276"/>
      <c r="V198" s="99"/>
      <c r="W198" s="138"/>
      <c r="X198" s="138"/>
      <c r="Y198" s="99"/>
      <c r="Z198" s="264"/>
      <c r="AA198" s="277"/>
      <c r="AB198" s="187"/>
    </row>
    <row r="199" spans="1:30" ht="19.899999999999999" customHeight="1">
      <c r="A199" s="11"/>
      <c r="B199" s="5590"/>
      <c r="C199" s="5598"/>
      <c r="D199" s="9598" t="s">
        <v>140</v>
      </c>
      <c r="E199" s="9600"/>
      <c r="F199" s="87" t="s">
        <v>255</v>
      </c>
      <c r="G199" s="253"/>
      <c r="H199" s="6192"/>
      <c r="I199" s="9582" t="s">
        <v>141</v>
      </c>
      <c r="J199" s="9583"/>
      <c r="K199" s="87" t="s">
        <v>255</v>
      </c>
      <c r="L199" s="6752">
        <v>0.75905267260283249</v>
      </c>
      <c r="M199" s="7260"/>
      <c r="N199" s="6848">
        <v>0.6251159626591356</v>
      </c>
      <c r="O199" s="7362"/>
      <c r="P199" s="6901">
        <v>0.62633720651525715</v>
      </c>
      <c r="Q199" s="7459"/>
      <c r="R199" s="6616" t="s">
        <v>31</v>
      </c>
      <c r="S199" s="6632"/>
      <c r="T199" s="2468"/>
      <c r="U199" s="276"/>
      <c r="V199" s="99"/>
      <c r="W199" s="138"/>
      <c r="X199" s="138"/>
      <c r="Y199" s="99"/>
      <c r="Z199" s="264"/>
      <c r="AA199" s="277"/>
      <c r="AB199" s="187"/>
    </row>
    <row r="200" spans="1:30" ht="19.899999999999999" customHeight="1">
      <c r="A200" s="11"/>
      <c r="B200" s="5590"/>
      <c r="C200" s="5598"/>
      <c r="D200" s="9598" t="s">
        <v>143</v>
      </c>
      <c r="E200" s="9600"/>
      <c r="F200" s="87" t="s">
        <v>255</v>
      </c>
      <c r="G200" s="253"/>
      <c r="H200" s="6192"/>
      <c r="I200" s="9582" t="s">
        <v>144</v>
      </c>
      <c r="J200" s="9583"/>
      <c r="K200" s="87" t="s">
        <v>255</v>
      </c>
      <c r="L200" s="6761">
        <v>0</v>
      </c>
      <c r="M200" s="7250"/>
      <c r="N200" s="6858">
        <v>0</v>
      </c>
      <c r="O200" s="7356"/>
      <c r="P200" s="6858">
        <v>0</v>
      </c>
      <c r="Q200" s="7356"/>
      <c r="R200" s="6616" t="s">
        <v>31</v>
      </c>
      <c r="S200" s="6557"/>
      <c r="T200" s="2468"/>
      <c r="U200" s="276"/>
      <c r="V200" s="99"/>
      <c r="W200" s="138"/>
      <c r="X200" s="138"/>
      <c r="Y200" s="99"/>
      <c r="Z200" s="264"/>
      <c r="AA200" s="277"/>
      <c r="AB200" s="187"/>
    </row>
    <row r="201" spans="1:30" ht="19.899999999999999" customHeight="1">
      <c r="A201" s="11"/>
      <c r="B201" s="5590"/>
      <c r="C201" s="5598"/>
      <c r="D201" s="9598" t="s">
        <v>146</v>
      </c>
      <c r="E201" s="9600"/>
      <c r="F201" s="87" t="s">
        <v>255</v>
      </c>
      <c r="G201" s="253"/>
      <c r="H201" s="6192"/>
      <c r="I201" s="9582" t="s">
        <v>147</v>
      </c>
      <c r="J201" s="9583"/>
      <c r="K201" s="87" t="s">
        <v>255</v>
      </c>
      <c r="L201" s="6774" t="s">
        <v>168</v>
      </c>
      <c r="M201" s="7250" t="s">
        <v>641</v>
      </c>
      <c r="N201" s="6826" t="s">
        <v>168</v>
      </c>
      <c r="O201" s="7356" t="s">
        <v>641</v>
      </c>
      <c r="P201" s="6826" t="s">
        <v>168</v>
      </c>
      <c r="Q201" s="7356" t="s">
        <v>641</v>
      </c>
      <c r="R201" s="6616" t="s">
        <v>31</v>
      </c>
      <c r="S201" s="6557"/>
      <c r="T201" s="2468"/>
      <c r="U201" s="276"/>
      <c r="V201" s="99"/>
      <c r="W201" s="138"/>
      <c r="X201" s="138"/>
      <c r="Y201" s="99"/>
      <c r="Z201" s="264"/>
      <c r="AA201" s="277"/>
      <c r="AB201" s="187"/>
    </row>
    <row r="202" spans="1:30" ht="19.899999999999999" customHeight="1">
      <c r="A202" s="11"/>
      <c r="B202" s="5590"/>
      <c r="C202" s="5598"/>
      <c r="D202" s="9598" t="s">
        <v>149</v>
      </c>
      <c r="E202" s="9600"/>
      <c r="F202" s="87" t="s">
        <v>255</v>
      </c>
      <c r="G202" s="253"/>
      <c r="H202" s="6192"/>
      <c r="I202" s="9582" t="s">
        <v>150</v>
      </c>
      <c r="J202" s="9583"/>
      <c r="K202" s="87" t="s">
        <v>255</v>
      </c>
      <c r="L202" s="6754">
        <v>31.1</v>
      </c>
      <c r="M202" s="7250"/>
      <c r="N202" s="6826">
        <v>48.5</v>
      </c>
      <c r="O202" s="7356"/>
      <c r="P202" s="6826">
        <v>26.9</v>
      </c>
      <c r="Q202" s="7356"/>
      <c r="R202" s="6616" t="s">
        <v>31</v>
      </c>
      <c r="S202" s="6557"/>
      <c r="T202" s="2468"/>
      <c r="U202" s="276"/>
      <c r="V202" s="99"/>
      <c r="W202" s="138"/>
      <c r="X202" s="138"/>
      <c r="Y202" s="99"/>
      <c r="Z202" s="264"/>
      <c r="AA202" s="277"/>
      <c r="AB202" s="187"/>
    </row>
    <row r="203" spans="1:30" ht="20.100000000000001" customHeight="1">
      <c r="A203" s="11"/>
      <c r="B203" s="1360"/>
      <c r="C203" s="5598"/>
      <c r="D203" s="9586" t="s">
        <v>270</v>
      </c>
      <c r="E203" s="9588"/>
      <c r="F203" s="295" t="s">
        <v>255</v>
      </c>
      <c r="G203" s="106"/>
      <c r="H203" s="6192"/>
      <c r="I203" s="9586" t="s">
        <v>271</v>
      </c>
      <c r="J203" s="9588"/>
      <c r="K203" s="87" t="s">
        <v>255</v>
      </c>
      <c r="L203" s="6763" t="str">
        <f>IF(COUNTBLANK(L204:L209)&gt;0,"미취합법인有",SUM(L204:L209))</f>
        <v>미취합법인有</v>
      </c>
      <c r="M203" s="7233"/>
      <c r="N203" s="6847" t="str">
        <f>IF(COUNTBLANK(N204:N209)&gt;0,"미취합법인有",SUM(N204:N209))</f>
        <v>미취합법인有</v>
      </c>
      <c r="O203" s="7353"/>
      <c r="P203" s="6913" t="str">
        <f>IF(COUNTBLANK(P204:P209)&gt;0,"미취합법인有",SUM(P204:P209))</f>
        <v>미취합법인有</v>
      </c>
      <c r="Q203" s="7460"/>
      <c r="R203" s="6616" t="s">
        <v>31</v>
      </c>
      <c r="S203" s="6557"/>
      <c r="T203" s="498"/>
      <c r="U203" s="367"/>
      <c r="V203" s="99" t="s">
        <v>206</v>
      </c>
      <c r="W203" s="138"/>
      <c r="X203" s="138"/>
      <c r="Y203" s="99"/>
      <c r="Z203" s="186" t="s">
        <v>269</v>
      </c>
      <c r="AA203" s="265"/>
      <c r="AB203" s="187"/>
    </row>
    <row r="204" spans="1:30" ht="19.899999999999999" customHeight="1">
      <c r="A204" s="11"/>
      <c r="B204" s="5590"/>
      <c r="C204" s="5598"/>
      <c r="D204" s="9598" t="s">
        <v>134</v>
      </c>
      <c r="E204" s="9600"/>
      <c r="F204" s="87" t="s">
        <v>255</v>
      </c>
      <c r="G204" s="253"/>
      <c r="H204" s="6192"/>
      <c r="I204" s="9579" t="s">
        <v>135</v>
      </c>
      <c r="J204" s="9581"/>
      <c r="K204" s="87" t="s">
        <v>255</v>
      </c>
      <c r="L204" s="6777">
        <v>1096.4000000000001</v>
      </c>
      <c r="M204" s="7257"/>
      <c r="N204" s="6855">
        <v>1304.46</v>
      </c>
      <c r="O204" s="7360" t="s">
        <v>668</v>
      </c>
      <c r="P204" s="6927">
        <v>1274.117</v>
      </c>
      <c r="Q204" s="7277"/>
      <c r="R204" s="6616" t="s">
        <v>31</v>
      </c>
      <c r="S204" s="6566"/>
      <c r="T204" s="2468"/>
      <c r="U204" s="276"/>
      <c r="V204" s="99"/>
      <c r="W204" s="138"/>
      <c r="X204" s="138"/>
      <c r="Y204" s="99"/>
      <c r="Z204" s="264"/>
      <c r="AA204" s="277"/>
      <c r="AB204" s="187"/>
    </row>
    <row r="205" spans="1:30" ht="19.899999999999999" customHeight="1">
      <c r="A205" s="11"/>
      <c r="B205" s="5590"/>
      <c r="C205" s="5598"/>
      <c r="D205" s="9598" t="s">
        <v>137</v>
      </c>
      <c r="E205" s="9600"/>
      <c r="F205" s="87" t="s">
        <v>255</v>
      </c>
      <c r="G205" s="253"/>
      <c r="H205" s="6192"/>
      <c r="I205" s="9579" t="s">
        <v>138</v>
      </c>
      <c r="J205" s="9581"/>
      <c r="K205" s="87" t="s">
        <v>255</v>
      </c>
      <c r="L205" s="6753"/>
      <c r="M205" s="7256"/>
      <c r="N205" s="6825"/>
      <c r="O205" s="7359"/>
      <c r="P205" s="6922"/>
      <c r="Q205" s="7245"/>
      <c r="R205" s="6616" t="s">
        <v>31</v>
      </c>
      <c r="S205" s="6561"/>
      <c r="T205" s="2468"/>
      <c r="U205" s="276"/>
      <c r="V205" s="99"/>
      <c r="W205" s="138"/>
      <c r="X205" s="138"/>
      <c r="Y205" s="99"/>
      <c r="Z205" s="264"/>
      <c r="AA205" s="277"/>
      <c r="AB205" s="187"/>
    </row>
    <row r="206" spans="1:30" ht="19.899999999999999" customHeight="1">
      <c r="A206" s="11"/>
      <c r="B206" s="5590"/>
      <c r="C206" s="5598"/>
      <c r="D206" s="9598" t="s">
        <v>140</v>
      </c>
      <c r="E206" s="9600"/>
      <c r="F206" s="87" t="s">
        <v>255</v>
      </c>
      <c r="G206" s="253"/>
      <c r="H206" s="6192"/>
      <c r="I206" s="9582" t="s">
        <v>141</v>
      </c>
      <c r="J206" s="9583"/>
      <c r="K206" s="87" t="s">
        <v>255</v>
      </c>
      <c r="L206" s="6752">
        <v>205.04103609538544</v>
      </c>
      <c r="M206" s="7258"/>
      <c r="N206" s="6848">
        <v>175.98708298221584</v>
      </c>
      <c r="O206" s="7361"/>
      <c r="P206" s="6901">
        <v>177.00964109114165</v>
      </c>
      <c r="Q206" s="7459"/>
      <c r="R206" s="6616" t="s">
        <v>31</v>
      </c>
      <c r="S206" s="6632"/>
      <c r="T206" s="2468"/>
      <c r="U206" s="276"/>
      <c r="V206" s="99"/>
      <c r="W206" s="138"/>
      <c r="X206" s="138"/>
      <c r="Y206" s="99"/>
      <c r="Z206" s="264"/>
      <c r="AA206" s="277"/>
      <c r="AB206" s="187"/>
    </row>
    <row r="207" spans="1:30" ht="19.899999999999999" customHeight="1">
      <c r="A207" s="11"/>
      <c r="B207" s="5590"/>
      <c r="C207" s="5598"/>
      <c r="D207" s="9598" t="s">
        <v>143</v>
      </c>
      <c r="E207" s="9600"/>
      <c r="F207" s="87" t="s">
        <v>255</v>
      </c>
      <c r="G207" s="253"/>
      <c r="H207" s="6192"/>
      <c r="I207" s="9582" t="s">
        <v>144</v>
      </c>
      <c r="J207" s="9583"/>
      <c r="K207" s="87" t="s">
        <v>255</v>
      </c>
      <c r="L207" s="6761">
        <v>54.037363380335201</v>
      </c>
      <c r="M207" s="7259" t="s">
        <v>669</v>
      </c>
      <c r="N207" s="6858">
        <v>117.93083850502801</v>
      </c>
      <c r="O207" s="7356"/>
      <c r="P207" s="6858">
        <v>131.92724031512199</v>
      </c>
      <c r="Q207" s="7356"/>
      <c r="R207" s="6616" t="s">
        <v>31</v>
      </c>
      <c r="S207" s="6557"/>
      <c r="T207" s="2468"/>
      <c r="U207" s="276"/>
      <c r="V207" s="99"/>
      <c r="W207" s="138"/>
      <c r="X207" s="138"/>
      <c r="Y207" s="99"/>
      <c r="Z207" s="264"/>
      <c r="AA207" s="277"/>
      <c r="AB207" s="187"/>
    </row>
    <row r="208" spans="1:30" ht="19.899999999999999" customHeight="1">
      <c r="A208" s="11"/>
      <c r="B208" s="5590"/>
      <c r="C208" s="5598"/>
      <c r="D208" s="9598" t="s">
        <v>146</v>
      </c>
      <c r="E208" s="9600"/>
      <c r="F208" s="87" t="s">
        <v>255</v>
      </c>
      <c r="G208" s="253"/>
      <c r="H208" s="6192"/>
      <c r="I208" s="9582" t="s">
        <v>147</v>
      </c>
      <c r="J208" s="9583"/>
      <c r="K208" s="87" t="s">
        <v>255</v>
      </c>
      <c r="L208" s="6774" t="s">
        <v>168</v>
      </c>
      <c r="M208" s="7250" t="s">
        <v>641</v>
      </c>
      <c r="N208" s="6826" t="s">
        <v>168</v>
      </c>
      <c r="O208" s="7356" t="s">
        <v>641</v>
      </c>
      <c r="P208" s="6826" t="s">
        <v>168</v>
      </c>
      <c r="Q208" s="7356" t="s">
        <v>641</v>
      </c>
      <c r="R208" s="6616" t="s">
        <v>31</v>
      </c>
      <c r="S208" s="6557"/>
      <c r="T208" s="2468"/>
      <c r="U208" s="276"/>
      <c r="V208" s="99"/>
      <c r="W208" s="138"/>
      <c r="X208" s="138"/>
      <c r="Y208" s="99"/>
      <c r="Z208" s="264"/>
      <c r="AA208" s="277"/>
      <c r="AB208" s="187"/>
    </row>
    <row r="209" spans="1:28" ht="19.899999999999999" customHeight="1">
      <c r="A209" s="11"/>
      <c r="B209" s="5590"/>
      <c r="C209" s="5598"/>
      <c r="D209" s="9598" t="s">
        <v>149</v>
      </c>
      <c r="E209" s="9600"/>
      <c r="F209" s="87" t="s">
        <v>255</v>
      </c>
      <c r="G209" s="253"/>
      <c r="H209" s="6192"/>
      <c r="I209" s="9582" t="s">
        <v>150</v>
      </c>
      <c r="J209" s="9583"/>
      <c r="K209" s="87" t="s">
        <v>255</v>
      </c>
      <c r="L209" s="6754">
        <v>131.99</v>
      </c>
      <c r="M209" s="7250"/>
      <c r="N209" s="6826">
        <v>141.77000000000001</v>
      </c>
      <c r="O209" s="7356"/>
      <c r="P209" s="6826">
        <v>122.6</v>
      </c>
      <c r="Q209" s="7356"/>
      <c r="R209" s="6616" t="s">
        <v>31</v>
      </c>
      <c r="S209" s="6557"/>
      <c r="T209" s="2468"/>
      <c r="U209" s="276"/>
      <c r="V209" s="99"/>
      <c r="W209" s="138"/>
      <c r="X209" s="138"/>
      <c r="Y209" s="99"/>
      <c r="Z209" s="264"/>
      <c r="AA209" s="277"/>
      <c r="AB209" s="187"/>
    </row>
    <row r="210" spans="1:28" ht="20.100000000000001" customHeight="1">
      <c r="A210" s="11"/>
      <c r="B210" s="1360"/>
      <c r="C210" s="9596" t="s">
        <v>675</v>
      </c>
      <c r="D210" s="9597"/>
      <c r="E210" s="9592"/>
      <c r="F210" s="280" t="s">
        <v>255</v>
      </c>
      <c r="G210" s="349"/>
      <c r="H210" s="9591" t="s">
        <v>274</v>
      </c>
      <c r="I210" s="9597"/>
      <c r="J210" s="9592"/>
      <c r="K210" s="87" t="s">
        <v>255</v>
      </c>
      <c r="L210" s="6763">
        <f>IF(COUNTBLANK(L211:L216)&gt;0,"미취합법인有",SUM(L211:L216))</f>
        <v>87.456875595606604</v>
      </c>
      <c r="M210" s="7233"/>
      <c r="N210" s="6847">
        <f>IF(COUNTBLANK(N211:N216)&gt;0,"미취합법인有",SUM(N211:N216))</f>
        <v>81.303974009327803</v>
      </c>
      <c r="O210" s="7353"/>
      <c r="P210" s="6913">
        <f>IF(COUNTBLANK(P211:P216)&gt;0,"미취합법인有",SUM(P211:P216))</f>
        <v>88.372129660195171</v>
      </c>
      <c r="Q210" s="7460"/>
      <c r="R210" s="6616" t="s">
        <v>31</v>
      </c>
      <c r="S210" s="6557"/>
      <c r="T210" s="2468" t="s">
        <v>676</v>
      </c>
      <c r="U210" s="263" t="s">
        <v>276</v>
      </c>
      <c r="V210" s="99" t="s">
        <v>206</v>
      </c>
      <c r="W210" s="138"/>
      <c r="X210" s="138"/>
      <c r="Y210" s="99"/>
      <c r="Z210" s="336" t="s">
        <v>280</v>
      </c>
      <c r="AA210" s="265"/>
      <c r="AB210" s="187"/>
    </row>
    <row r="211" spans="1:28" ht="19.899999999999999" customHeight="1">
      <c r="A211" s="11"/>
      <c r="B211" s="5590"/>
      <c r="C211" s="9647" t="s">
        <v>134</v>
      </c>
      <c r="D211" s="9648"/>
      <c r="E211" s="9649"/>
      <c r="F211" s="87" t="s">
        <v>255</v>
      </c>
      <c r="G211" s="253"/>
      <c r="H211" s="9579" t="s">
        <v>135</v>
      </c>
      <c r="I211" s="9580"/>
      <c r="J211" s="9581"/>
      <c r="K211" s="87" t="s">
        <v>255</v>
      </c>
      <c r="L211" s="6754">
        <v>0</v>
      </c>
      <c r="M211" s="7250" t="s">
        <v>369</v>
      </c>
      <c r="N211" s="6826">
        <v>0</v>
      </c>
      <c r="O211" s="7363" t="s">
        <v>369</v>
      </c>
      <c r="P211" s="6922">
        <v>0</v>
      </c>
      <c r="Q211" s="7356" t="s">
        <v>369</v>
      </c>
      <c r="R211" s="6616" t="s">
        <v>31</v>
      </c>
      <c r="S211" s="6557"/>
      <c r="T211" s="1033"/>
      <c r="U211" s="263"/>
      <c r="V211" s="99"/>
      <c r="W211" s="138"/>
      <c r="X211" s="138"/>
      <c r="Y211" s="99"/>
      <c r="Z211" s="264"/>
      <c r="AA211" s="277"/>
      <c r="AB211" s="187"/>
    </row>
    <row r="212" spans="1:28" ht="19.899999999999999" customHeight="1">
      <c r="A212" s="11"/>
      <c r="B212" s="5590"/>
      <c r="C212" s="9647" t="s">
        <v>137</v>
      </c>
      <c r="D212" s="9648"/>
      <c r="E212" s="9649"/>
      <c r="F212" s="87" t="s">
        <v>255</v>
      </c>
      <c r="G212" s="253"/>
      <c r="H212" s="9579" t="s">
        <v>138</v>
      </c>
      <c r="I212" s="9580"/>
      <c r="J212" s="9581"/>
      <c r="K212" s="87" t="s">
        <v>255</v>
      </c>
      <c r="L212" s="6754">
        <v>0</v>
      </c>
      <c r="M212" s="7250"/>
      <c r="N212" s="6826">
        <v>0</v>
      </c>
      <c r="O212" s="7356"/>
      <c r="P212" s="6826">
        <v>0</v>
      </c>
      <c r="Q212" s="7356"/>
      <c r="R212" s="6616" t="s">
        <v>31</v>
      </c>
      <c r="S212" s="6557"/>
      <c r="T212" s="1033"/>
      <c r="U212" s="263"/>
      <c r="V212" s="99"/>
      <c r="W212" s="138"/>
      <c r="X212" s="138"/>
      <c r="Y212" s="99"/>
      <c r="Z212" s="264"/>
      <c r="AA212" s="277"/>
      <c r="AB212" s="187"/>
    </row>
    <row r="213" spans="1:28" ht="19.899999999999999" customHeight="1">
      <c r="A213" s="11"/>
      <c r="B213" s="5590"/>
      <c r="C213" s="9647" t="s">
        <v>140</v>
      </c>
      <c r="D213" s="9648"/>
      <c r="E213" s="9649"/>
      <c r="F213" s="87" t="s">
        <v>255</v>
      </c>
      <c r="G213" s="253"/>
      <c r="H213" s="9579" t="s">
        <v>141</v>
      </c>
      <c r="I213" s="9580"/>
      <c r="J213" s="9581"/>
      <c r="K213" s="87" t="s">
        <v>255</v>
      </c>
      <c r="L213" s="6754">
        <v>87.456875595606604</v>
      </c>
      <c r="M213" s="7250"/>
      <c r="N213" s="6826">
        <v>81.303974009327803</v>
      </c>
      <c r="O213" s="7356"/>
      <c r="P213" s="6826">
        <v>88.372129660195171</v>
      </c>
      <c r="Q213" s="7356"/>
      <c r="R213" s="6616" t="s">
        <v>31</v>
      </c>
      <c r="S213" s="6557"/>
      <c r="T213" s="1033"/>
      <c r="U213" s="263"/>
      <c r="V213" s="99"/>
      <c r="W213" s="138"/>
      <c r="X213" s="138"/>
      <c r="Y213" s="99"/>
      <c r="Z213" s="264"/>
      <c r="AA213" s="277"/>
      <c r="AB213" s="187"/>
    </row>
    <row r="214" spans="1:28" ht="19.899999999999999" customHeight="1">
      <c r="A214" s="11"/>
      <c r="B214" s="5590"/>
      <c r="C214" s="9647" t="s">
        <v>143</v>
      </c>
      <c r="D214" s="9648"/>
      <c r="E214" s="9649"/>
      <c r="F214" s="87" t="s">
        <v>255</v>
      </c>
      <c r="G214" s="253"/>
      <c r="H214" s="9579" t="s">
        <v>144</v>
      </c>
      <c r="I214" s="9580"/>
      <c r="J214" s="9581"/>
      <c r="K214" s="87" t="s">
        <v>255</v>
      </c>
      <c r="L214" s="6754">
        <v>0</v>
      </c>
      <c r="M214" s="7250"/>
      <c r="N214" s="6826">
        <v>0</v>
      </c>
      <c r="O214" s="7356"/>
      <c r="P214" s="6826">
        <v>0</v>
      </c>
      <c r="Q214" s="7356"/>
      <c r="R214" s="6616" t="s">
        <v>31</v>
      </c>
      <c r="S214" s="6557"/>
      <c r="T214" s="1033"/>
      <c r="U214" s="263"/>
      <c r="V214" s="99"/>
      <c r="W214" s="138"/>
      <c r="X214" s="138"/>
      <c r="Y214" s="99"/>
      <c r="Z214" s="264"/>
      <c r="AA214" s="277"/>
      <c r="AB214" s="187"/>
    </row>
    <row r="215" spans="1:28" ht="19.899999999999999" customHeight="1">
      <c r="A215" s="11"/>
      <c r="B215" s="5590"/>
      <c r="C215" s="9647" t="s">
        <v>146</v>
      </c>
      <c r="D215" s="9648"/>
      <c r="E215" s="9649"/>
      <c r="F215" s="87" t="s">
        <v>255</v>
      </c>
      <c r="G215" s="253"/>
      <c r="H215" s="9579" t="s">
        <v>147</v>
      </c>
      <c r="I215" s="9580"/>
      <c r="J215" s="9581"/>
      <c r="K215" s="87" t="s">
        <v>255</v>
      </c>
      <c r="L215" s="6774" t="s">
        <v>168</v>
      </c>
      <c r="M215" s="7250" t="s">
        <v>641</v>
      </c>
      <c r="N215" s="6826" t="s">
        <v>168</v>
      </c>
      <c r="O215" s="7356" t="s">
        <v>641</v>
      </c>
      <c r="P215" s="6826" t="s">
        <v>168</v>
      </c>
      <c r="Q215" s="7356" t="s">
        <v>641</v>
      </c>
      <c r="R215" s="6616" t="s">
        <v>31</v>
      </c>
      <c r="S215" s="6557"/>
      <c r="T215" s="1033"/>
      <c r="U215" s="263"/>
      <c r="V215" s="99"/>
      <c r="W215" s="138"/>
      <c r="X215" s="138"/>
      <c r="Y215" s="99"/>
      <c r="Z215" s="264"/>
      <c r="AA215" s="277"/>
      <c r="AB215" s="187"/>
    </row>
    <row r="216" spans="1:28" ht="19.899999999999999" customHeight="1">
      <c r="A216" s="11"/>
      <c r="B216" s="5590"/>
      <c r="C216" s="9647" t="s">
        <v>149</v>
      </c>
      <c r="D216" s="9648"/>
      <c r="E216" s="9649"/>
      <c r="F216" s="87" t="s">
        <v>255</v>
      </c>
      <c r="G216" s="253"/>
      <c r="H216" s="9579" t="s">
        <v>150</v>
      </c>
      <c r="I216" s="9580"/>
      <c r="J216" s="9581"/>
      <c r="K216" s="87" t="s">
        <v>255</v>
      </c>
      <c r="L216" s="6774" t="s">
        <v>168</v>
      </c>
      <c r="M216" s="7250" t="s">
        <v>641</v>
      </c>
      <c r="N216" s="6826" t="s">
        <v>168</v>
      </c>
      <c r="O216" s="7356" t="s">
        <v>641</v>
      </c>
      <c r="P216" s="6826" t="s">
        <v>168</v>
      </c>
      <c r="Q216" s="7356" t="s">
        <v>641</v>
      </c>
      <c r="R216" s="6616" t="s">
        <v>31</v>
      </c>
      <c r="S216" s="6557"/>
      <c r="T216" s="1033"/>
      <c r="U216" s="263"/>
      <c r="V216" s="99"/>
      <c r="W216" s="138"/>
      <c r="X216" s="138"/>
      <c r="Y216" s="99"/>
      <c r="Z216" s="264"/>
      <c r="AA216" s="277"/>
      <c r="AB216" s="187"/>
    </row>
    <row r="217" spans="1:28" ht="20.100000000000001" customHeight="1">
      <c r="A217" s="11"/>
      <c r="B217" s="1360"/>
      <c r="C217" s="5598"/>
      <c r="D217" s="9586" t="s">
        <v>278</v>
      </c>
      <c r="E217" s="9588"/>
      <c r="F217" s="280" t="s">
        <v>255</v>
      </c>
      <c r="G217" s="347"/>
      <c r="H217" s="358"/>
      <c r="I217" s="9586" t="s">
        <v>279</v>
      </c>
      <c r="J217" s="9588"/>
      <c r="K217" s="280" t="s">
        <v>255</v>
      </c>
      <c r="L217" s="6763" t="str">
        <f>IF(COUNTBLANK(L218:L223)&gt;0,"미취합법인有",SUM(L218:L223))</f>
        <v>미취합법인有</v>
      </c>
      <c r="M217" s="7233"/>
      <c r="N217" s="6847" t="str">
        <f>IF(COUNTBLANK(N218:N223)&gt;0,"미취합법인有",SUM(N218:N223))</f>
        <v>미취합법인有</v>
      </c>
      <c r="O217" s="7353"/>
      <c r="P217" s="6913" t="str">
        <f>IF(COUNTBLANK(P218:P223)&gt;0,"미취합법인有",SUM(P218:P223))</f>
        <v>미취합법인有</v>
      </c>
      <c r="Q217" s="7460"/>
      <c r="R217" s="6616" t="s">
        <v>31</v>
      </c>
      <c r="S217" s="6557"/>
      <c r="T217" s="2468"/>
      <c r="U217" s="276"/>
      <c r="V217" s="99" t="s">
        <v>206</v>
      </c>
      <c r="W217" s="138"/>
      <c r="X217" s="138"/>
      <c r="Y217" s="99"/>
      <c r="Z217" s="336" t="s">
        <v>280</v>
      </c>
      <c r="AA217" s="265"/>
      <c r="AB217" s="187"/>
    </row>
    <row r="218" spans="1:28" ht="19.899999999999999" customHeight="1">
      <c r="A218" s="11"/>
      <c r="B218" s="5590"/>
      <c r="C218" s="5598"/>
      <c r="D218" s="9598" t="s">
        <v>134</v>
      </c>
      <c r="E218" s="9600"/>
      <c r="F218" s="87" t="s">
        <v>255</v>
      </c>
      <c r="G218" s="253"/>
      <c r="H218" s="286"/>
      <c r="I218" s="9579" t="s">
        <v>135</v>
      </c>
      <c r="J218" s="9581"/>
      <c r="K218" s="280" t="s">
        <v>255</v>
      </c>
      <c r="L218" s="6777"/>
      <c r="M218" s="7261" t="s">
        <v>369</v>
      </c>
      <c r="N218" s="6855"/>
      <c r="O218" s="7364" t="s">
        <v>369</v>
      </c>
      <c r="P218" s="6927"/>
      <c r="Q218" s="7277" t="s">
        <v>369</v>
      </c>
      <c r="R218" s="6616" t="s">
        <v>31</v>
      </c>
      <c r="S218" s="6566"/>
      <c r="T218" s="2468"/>
      <c r="U218" s="276"/>
      <c r="V218" s="99"/>
      <c r="W218" s="138"/>
      <c r="X218" s="138"/>
      <c r="Y218" s="99"/>
      <c r="Z218" s="264"/>
      <c r="AA218" s="277"/>
      <c r="AB218" s="187"/>
    </row>
    <row r="219" spans="1:28" ht="19.899999999999999" customHeight="1">
      <c r="A219" s="11"/>
      <c r="B219" s="5590"/>
      <c r="C219" s="5598"/>
      <c r="D219" s="9598" t="s">
        <v>137</v>
      </c>
      <c r="E219" s="9600"/>
      <c r="F219" s="87" t="s">
        <v>255</v>
      </c>
      <c r="G219" s="253"/>
      <c r="H219" s="286"/>
      <c r="I219" s="9579" t="s">
        <v>138</v>
      </c>
      <c r="J219" s="9581"/>
      <c r="K219" s="280" t="s">
        <v>255</v>
      </c>
      <c r="L219" s="6753"/>
      <c r="M219" s="7249"/>
      <c r="N219" s="6825"/>
      <c r="O219" s="7355"/>
      <c r="P219" s="6922"/>
      <c r="Q219" s="7245"/>
      <c r="R219" s="6616" t="s">
        <v>31</v>
      </c>
      <c r="S219" s="6561"/>
      <c r="T219" s="2468"/>
      <c r="U219" s="276"/>
      <c r="V219" s="99"/>
      <c r="W219" s="138"/>
      <c r="X219" s="138"/>
      <c r="Y219" s="99"/>
      <c r="Z219" s="264"/>
      <c r="AA219" s="277"/>
      <c r="AB219" s="187"/>
    </row>
    <row r="220" spans="1:28" ht="19.899999999999999" customHeight="1">
      <c r="A220" s="11"/>
      <c r="B220" s="5590"/>
      <c r="C220" s="5598"/>
      <c r="D220" s="9598" t="s">
        <v>140</v>
      </c>
      <c r="E220" s="9600"/>
      <c r="F220" s="87" t="s">
        <v>255</v>
      </c>
      <c r="G220" s="253"/>
      <c r="H220" s="286"/>
      <c r="I220" s="9582" t="s">
        <v>141</v>
      </c>
      <c r="J220" s="9583"/>
      <c r="K220" s="280" t="s">
        <v>255</v>
      </c>
      <c r="L220" s="6774" t="s">
        <v>168</v>
      </c>
      <c r="M220" s="7250" t="s">
        <v>641</v>
      </c>
      <c r="N220" s="6826" t="s">
        <v>168</v>
      </c>
      <c r="O220" s="7356" t="s">
        <v>641</v>
      </c>
      <c r="P220" s="6826" t="s">
        <v>168</v>
      </c>
      <c r="Q220" s="7356" t="s">
        <v>641</v>
      </c>
      <c r="R220" s="6616" t="s">
        <v>31</v>
      </c>
      <c r="S220" s="6557"/>
      <c r="T220" s="2468"/>
      <c r="U220" s="276"/>
      <c r="V220" s="99"/>
      <c r="W220" s="138"/>
      <c r="X220" s="138"/>
      <c r="Y220" s="99"/>
      <c r="Z220" s="264"/>
      <c r="AA220" s="277"/>
      <c r="AB220" s="187"/>
    </row>
    <row r="221" spans="1:28" ht="19.899999999999999" customHeight="1">
      <c r="A221" s="11"/>
      <c r="B221" s="5590"/>
      <c r="C221" s="5598"/>
      <c r="D221" s="9598" t="s">
        <v>143</v>
      </c>
      <c r="E221" s="9600"/>
      <c r="F221" s="87" t="s">
        <v>255</v>
      </c>
      <c r="G221" s="253"/>
      <c r="H221" s="286"/>
      <c r="I221" s="9582" t="s">
        <v>144</v>
      </c>
      <c r="J221" s="9583"/>
      <c r="K221" s="280" t="s">
        <v>255</v>
      </c>
      <c r="L221" s="6752">
        <v>87.456875595606604</v>
      </c>
      <c r="M221" s="7260"/>
      <c r="N221" s="6848">
        <v>81.303974009327803</v>
      </c>
      <c r="O221" s="7362"/>
      <c r="P221" s="6901">
        <v>88.372129660195171</v>
      </c>
      <c r="Q221" s="7459"/>
      <c r="R221" s="6616" t="s">
        <v>31</v>
      </c>
      <c r="S221" s="6632"/>
      <c r="T221" s="2468"/>
      <c r="U221" s="276"/>
      <c r="V221" s="99"/>
      <c r="W221" s="138"/>
      <c r="X221" s="138"/>
      <c r="Y221" s="99"/>
      <c r="Z221" s="264"/>
      <c r="AA221" s="277"/>
      <c r="AB221" s="187"/>
    </row>
    <row r="222" spans="1:28" ht="19.899999999999999" customHeight="1">
      <c r="A222" s="11"/>
      <c r="B222" s="5590"/>
      <c r="C222" s="5598"/>
      <c r="D222" s="9598" t="s">
        <v>146</v>
      </c>
      <c r="E222" s="9600"/>
      <c r="F222" s="87" t="s">
        <v>255</v>
      </c>
      <c r="G222" s="253"/>
      <c r="H222" s="286"/>
      <c r="I222" s="9582" t="s">
        <v>147</v>
      </c>
      <c r="J222" s="9583"/>
      <c r="K222" s="280" t="s">
        <v>255</v>
      </c>
      <c r="L222" s="6774" t="s">
        <v>168</v>
      </c>
      <c r="M222" s="7250" t="s">
        <v>641</v>
      </c>
      <c r="N222" s="6826" t="s">
        <v>168</v>
      </c>
      <c r="O222" s="7356" t="s">
        <v>641</v>
      </c>
      <c r="P222" s="6826" t="s">
        <v>168</v>
      </c>
      <c r="Q222" s="7356" t="s">
        <v>641</v>
      </c>
      <c r="R222" s="6616" t="s">
        <v>31</v>
      </c>
      <c r="S222" s="6557"/>
      <c r="T222" s="2468"/>
      <c r="U222" s="276"/>
      <c r="V222" s="99"/>
      <c r="W222" s="138"/>
      <c r="X222" s="138"/>
      <c r="Y222" s="99"/>
      <c r="Z222" s="264"/>
      <c r="AA222" s="277"/>
      <c r="AB222" s="187"/>
    </row>
    <row r="223" spans="1:28" ht="19.899999999999999" customHeight="1">
      <c r="A223" s="11"/>
      <c r="B223" s="5590"/>
      <c r="C223" s="5598"/>
      <c r="D223" s="9598" t="s">
        <v>149</v>
      </c>
      <c r="E223" s="9600"/>
      <c r="F223" s="87" t="s">
        <v>255</v>
      </c>
      <c r="G223" s="253"/>
      <c r="H223" s="286"/>
      <c r="I223" s="9582" t="s">
        <v>150</v>
      </c>
      <c r="J223" s="9583"/>
      <c r="K223" s="280" t="s">
        <v>255</v>
      </c>
      <c r="L223" s="6754">
        <v>0</v>
      </c>
      <c r="M223" s="7250"/>
      <c r="N223" s="6826">
        <v>0</v>
      </c>
      <c r="O223" s="7356"/>
      <c r="P223" s="6826">
        <v>0</v>
      </c>
      <c r="Q223" s="7356"/>
      <c r="R223" s="6616" t="s">
        <v>31</v>
      </c>
      <c r="S223" s="6557"/>
      <c r="T223" s="2468"/>
      <c r="U223" s="276"/>
      <c r="V223" s="99"/>
      <c r="W223" s="138"/>
      <c r="X223" s="138"/>
      <c r="Y223" s="99"/>
      <c r="Z223" s="264"/>
      <c r="AA223" s="277"/>
      <c r="AB223" s="187"/>
    </row>
    <row r="224" spans="1:28" ht="20.100000000000001" customHeight="1">
      <c r="A224" s="11"/>
      <c r="B224" s="1360"/>
      <c r="C224" s="5598"/>
      <c r="D224" s="9586" t="s">
        <v>281</v>
      </c>
      <c r="E224" s="9587"/>
      <c r="F224" s="280" t="s">
        <v>255</v>
      </c>
      <c r="G224" s="106"/>
      <c r="H224" s="358"/>
      <c r="I224" s="9586" t="s">
        <v>282</v>
      </c>
      <c r="J224" s="9587"/>
      <c r="K224" s="280" t="s">
        <v>255</v>
      </c>
      <c r="L224" s="6763" t="str">
        <f>IF(COUNTBLANK(L225:L230)&gt;0,"미취합법인有",SUM(L225:L230))</f>
        <v>미취합법인有</v>
      </c>
      <c r="M224" s="7233"/>
      <c r="N224" s="6847" t="str">
        <f>IF(COUNTBLANK(N225:N230)&gt;0,"미취합법인有",SUM(N225:N230))</f>
        <v>미취합법인有</v>
      </c>
      <c r="O224" s="7353"/>
      <c r="P224" s="6913" t="str">
        <f>IF(COUNTBLANK(P225:P230)&gt;0,"미취합법인有",SUM(P225:P230))</f>
        <v>미취합법인有</v>
      </c>
      <c r="Q224" s="7460"/>
      <c r="R224" s="6616" t="s">
        <v>31</v>
      </c>
      <c r="S224" s="6557"/>
      <c r="T224" s="2468"/>
      <c r="U224" s="276"/>
      <c r="V224" s="99" t="s">
        <v>206</v>
      </c>
      <c r="W224" s="138"/>
      <c r="X224" s="138"/>
      <c r="Y224" s="99"/>
      <c r="Z224" s="336" t="s">
        <v>280</v>
      </c>
      <c r="AA224" s="265"/>
      <c r="AB224" s="187"/>
    </row>
    <row r="225" spans="1:28" ht="19.899999999999999" customHeight="1">
      <c r="A225" s="11"/>
      <c r="B225" s="5590"/>
      <c r="C225" s="5598"/>
      <c r="D225" s="9598" t="s">
        <v>134</v>
      </c>
      <c r="E225" s="9600"/>
      <c r="F225" s="87" t="s">
        <v>255</v>
      </c>
      <c r="G225" s="253"/>
      <c r="H225" s="286"/>
      <c r="I225" s="9579" t="s">
        <v>135</v>
      </c>
      <c r="J225" s="9581"/>
      <c r="K225" s="280" t="s">
        <v>255</v>
      </c>
      <c r="L225" s="6777"/>
      <c r="M225" s="7261"/>
      <c r="N225" s="6855"/>
      <c r="O225" s="7364"/>
      <c r="P225" s="6927"/>
      <c r="Q225" s="7277"/>
      <c r="R225" s="6616" t="s">
        <v>31</v>
      </c>
      <c r="S225" s="6566"/>
      <c r="T225" s="2468"/>
      <c r="U225" s="276"/>
      <c r="V225" s="99"/>
      <c r="W225" s="138"/>
      <c r="X225" s="138"/>
      <c r="Y225" s="99"/>
      <c r="Z225" s="264"/>
      <c r="AA225" s="277"/>
      <c r="AB225" s="187"/>
    </row>
    <row r="226" spans="1:28" ht="19.899999999999999" customHeight="1">
      <c r="A226" s="11"/>
      <c r="B226" s="5590"/>
      <c r="C226" s="5598"/>
      <c r="D226" s="9598" t="s">
        <v>137</v>
      </c>
      <c r="E226" s="9600"/>
      <c r="F226" s="87" t="s">
        <v>255</v>
      </c>
      <c r="G226" s="253"/>
      <c r="H226" s="286"/>
      <c r="I226" s="9579" t="s">
        <v>138</v>
      </c>
      <c r="J226" s="9581"/>
      <c r="K226" s="280" t="s">
        <v>255</v>
      </c>
      <c r="L226" s="6753"/>
      <c r="M226" s="7249"/>
      <c r="N226" s="6825"/>
      <c r="O226" s="7355"/>
      <c r="P226" s="6922"/>
      <c r="Q226" s="7245"/>
      <c r="R226" s="6616" t="s">
        <v>31</v>
      </c>
      <c r="S226" s="6561"/>
      <c r="T226" s="2468"/>
      <c r="U226" s="276"/>
      <c r="V226" s="99"/>
      <c r="W226" s="138"/>
      <c r="X226" s="138"/>
      <c r="Y226" s="99"/>
      <c r="Z226" s="264"/>
      <c r="AA226" s="277"/>
      <c r="AB226" s="187"/>
    </row>
    <row r="227" spans="1:28" ht="19.899999999999999" customHeight="1">
      <c r="A227" s="11"/>
      <c r="B227" s="5590"/>
      <c r="C227" s="5598"/>
      <c r="D227" s="9598" t="s">
        <v>140</v>
      </c>
      <c r="E227" s="9600"/>
      <c r="F227" s="87" t="s">
        <v>255</v>
      </c>
      <c r="G227" s="253"/>
      <c r="H227" s="286"/>
      <c r="I227" s="9582" t="s">
        <v>141</v>
      </c>
      <c r="J227" s="9583"/>
      <c r="K227" s="280" t="s">
        <v>255</v>
      </c>
      <c r="L227" s="6752">
        <v>87.456875595606604</v>
      </c>
      <c r="M227" s="7260"/>
      <c r="N227" s="6848">
        <v>81.303974009327803</v>
      </c>
      <c r="O227" s="7362"/>
      <c r="P227" s="6901">
        <v>88.372129660195171</v>
      </c>
      <c r="Q227" s="7459"/>
      <c r="R227" s="6616" t="s">
        <v>31</v>
      </c>
      <c r="S227" s="6632"/>
      <c r="T227" s="2468"/>
      <c r="U227" s="276"/>
      <c r="V227" s="99"/>
      <c r="W227" s="138"/>
      <c r="X227" s="138"/>
      <c r="Y227" s="99"/>
      <c r="Z227" s="264"/>
      <c r="AA227" s="277"/>
      <c r="AB227" s="187"/>
    </row>
    <row r="228" spans="1:28" ht="19.899999999999999" customHeight="1">
      <c r="A228" s="11"/>
      <c r="B228" s="5590"/>
      <c r="C228" s="5598"/>
      <c r="D228" s="9598" t="s">
        <v>143</v>
      </c>
      <c r="E228" s="9600"/>
      <c r="F228" s="87" t="s">
        <v>255</v>
      </c>
      <c r="G228" s="253"/>
      <c r="H228" s="286"/>
      <c r="I228" s="9582" t="s">
        <v>144</v>
      </c>
      <c r="J228" s="9583"/>
      <c r="K228" s="280" t="s">
        <v>255</v>
      </c>
      <c r="L228" s="6774" t="s">
        <v>168</v>
      </c>
      <c r="M228" s="7250" t="s">
        <v>641</v>
      </c>
      <c r="N228" s="6826" t="s">
        <v>168</v>
      </c>
      <c r="O228" s="7356" t="s">
        <v>641</v>
      </c>
      <c r="P228" s="6826" t="s">
        <v>168</v>
      </c>
      <c r="Q228" s="7356" t="s">
        <v>641</v>
      </c>
      <c r="R228" s="6616" t="s">
        <v>31</v>
      </c>
      <c r="S228" s="6557"/>
      <c r="T228" s="2468"/>
      <c r="U228" s="276"/>
      <c r="V228" s="99"/>
      <c r="W228" s="138"/>
      <c r="X228" s="138"/>
      <c r="Y228" s="99"/>
      <c r="Z228" s="264"/>
      <c r="AA228" s="277"/>
      <c r="AB228" s="187"/>
    </row>
    <row r="229" spans="1:28" ht="19.899999999999999" customHeight="1">
      <c r="A229" s="11"/>
      <c r="B229" s="5590"/>
      <c r="C229" s="5598"/>
      <c r="D229" s="9598" t="s">
        <v>146</v>
      </c>
      <c r="E229" s="9600"/>
      <c r="F229" s="87" t="s">
        <v>255</v>
      </c>
      <c r="G229" s="253"/>
      <c r="H229" s="286"/>
      <c r="I229" s="9582" t="s">
        <v>147</v>
      </c>
      <c r="J229" s="9583"/>
      <c r="K229" s="280" t="s">
        <v>255</v>
      </c>
      <c r="L229" s="6774" t="s">
        <v>168</v>
      </c>
      <c r="M229" s="7250" t="s">
        <v>641</v>
      </c>
      <c r="N229" s="6826" t="s">
        <v>168</v>
      </c>
      <c r="O229" s="7356" t="s">
        <v>641</v>
      </c>
      <c r="P229" s="6826" t="s">
        <v>168</v>
      </c>
      <c r="Q229" s="7356" t="s">
        <v>641</v>
      </c>
      <c r="R229" s="6616" t="s">
        <v>31</v>
      </c>
      <c r="S229" s="6557"/>
      <c r="T229" s="2468"/>
      <c r="U229" s="276"/>
      <c r="V229" s="99"/>
      <c r="W229" s="138"/>
      <c r="X229" s="138"/>
      <c r="Y229" s="99"/>
      <c r="Z229" s="264"/>
      <c r="AA229" s="277"/>
      <c r="AB229" s="187"/>
    </row>
    <row r="230" spans="1:28" ht="19.899999999999999" customHeight="1">
      <c r="A230" s="11"/>
      <c r="B230" s="5590"/>
      <c r="C230" s="5598"/>
      <c r="D230" s="9598" t="s">
        <v>149</v>
      </c>
      <c r="E230" s="9600"/>
      <c r="F230" s="87" t="s">
        <v>255</v>
      </c>
      <c r="G230" s="253"/>
      <c r="H230" s="286"/>
      <c r="I230" s="9582" t="s">
        <v>150</v>
      </c>
      <c r="J230" s="9583"/>
      <c r="K230" s="280" t="s">
        <v>255</v>
      </c>
      <c r="L230" s="6774" t="s">
        <v>168</v>
      </c>
      <c r="M230" s="7250" t="s">
        <v>641</v>
      </c>
      <c r="N230" s="6826" t="s">
        <v>168</v>
      </c>
      <c r="O230" s="7356" t="s">
        <v>641</v>
      </c>
      <c r="P230" s="6826" t="s">
        <v>168</v>
      </c>
      <c r="Q230" s="7356" t="s">
        <v>641</v>
      </c>
      <c r="R230" s="6616" t="s">
        <v>31</v>
      </c>
      <c r="S230" s="6557"/>
      <c r="T230" s="2468"/>
      <c r="U230" s="276"/>
      <c r="V230" s="99"/>
      <c r="W230" s="138"/>
      <c r="X230" s="138"/>
      <c r="Y230" s="99"/>
      <c r="Z230" s="264"/>
      <c r="AA230" s="277"/>
      <c r="AB230" s="187"/>
    </row>
    <row r="231" spans="1:28" ht="20.100000000000001" customHeight="1">
      <c r="A231" s="11"/>
      <c r="B231" s="1360"/>
      <c r="C231" s="5598"/>
      <c r="D231" s="9591" t="s">
        <v>283</v>
      </c>
      <c r="E231" s="9592"/>
      <c r="F231" s="280" t="s">
        <v>255</v>
      </c>
      <c r="G231" s="384"/>
      <c r="H231" s="358"/>
      <c r="I231" s="9591" t="s">
        <v>284</v>
      </c>
      <c r="J231" s="9592"/>
      <c r="K231" s="280" t="s">
        <v>255</v>
      </c>
      <c r="L231" s="6763" t="str">
        <f>IF(COUNTBLANK(L232:L237)&gt;0,"미취합법인有",SUM(L232:L237))</f>
        <v>미취합법인有</v>
      </c>
      <c r="M231" s="7233"/>
      <c r="N231" s="6847" t="str">
        <f>IF(COUNTBLANK(N232:N237)&gt;0,"미취합법인有",SUM(N232:N237))</f>
        <v>미취합법인有</v>
      </c>
      <c r="O231" s="7353"/>
      <c r="P231" s="6913" t="str">
        <f>IF(COUNTBLANK(P232:P237)&gt;0,"미취합법인有",SUM(P232:P237))</f>
        <v>미취합법인有</v>
      </c>
      <c r="Q231" s="7460"/>
      <c r="R231" s="6616" t="s">
        <v>31</v>
      </c>
      <c r="S231" s="6557"/>
      <c r="T231" s="2468"/>
      <c r="U231" s="276"/>
      <c r="V231" s="99" t="s">
        <v>206</v>
      </c>
      <c r="W231" s="138"/>
      <c r="X231" s="138"/>
      <c r="Y231" s="99"/>
      <c r="Z231" s="336" t="s">
        <v>280</v>
      </c>
      <c r="AA231" s="265"/>
      <c r="AB231" s="187"/>
    </row>
    <row r="232" spans="1:28" ht="19.899999999999999" customHeight="1">
      <c r="A232" s="11"/>
      <c r="B232" s="5590"/>
      <c r="C232" s="5598"/>
      <c r="D232" s="9598" t="s">
        <v>134</v>
      </c>
      <c r="E232" s="9600"/>
      <c r="F232" s="87" t="s">
        <v>255</v>
      </c>
      <c r="G232" s="253"/>
      <c r="H232" s="286"/>
      <c r="I232" s="9579" t="s">
        <v>135</v>
      </c>
      <c r="J232" s="9581"/>
      <c r="K232" s="280" t="s">
        <v>255</v>
      </c>
      <c r="L232" s="6780" t="s">
        <v>168</v>
      </c>
      <c r="M232" s="7257" t="s">
        <v>369</v>
      </c>
      <c r="N232" s="6859" t="s">
        <v>168</v>
      </c>
      <c r="O232" s="7360" t="s">
        <v>369</v>
      </c>
      <c r="P232" s="6897" t="s">
        <v>168</v>
      </c>
      <c r="Q232" s="7462" t="s">
        <v>369</v>
      </c>
      <c r="R232" s="6616" t="s">
        <v>31</v>
      </c>
      <c r="S232" s="6568"/>
      <c r="T232" s="2468"/>
      <c r="U232" s="276"/>
      <c r="V232" s="99"/>
      <c r="W232" s="138"/>
      <c r="X232" s="138"/>
      <c r="Y232" s="99"/>
      <c r="Z232" s="264"/>
      <c r="AA232" s="277"/>
      <c r="AB232" s="187"/>
    </row>
    <row r="233" spans="1:28" ht="19.899999999999999" customHeight="1">
      <c r="A233" s="11"/>
      <c r="B233" s="5590"/>
      <c r="C233" s="5598"/>
      <c r="D233" s="9598" t="s">
        <v>137</v>
      </c>
      <c r="E233" s="9600"/>
      <c r="F233" s="87" t="s">
        <v>255</v>
      </c>
      <c r="G233" s="253"/>
      <c r="H233" s="286"/>
      <c r="I233" s="9579" t="s">
        <v>138</v>
      </c>
      <c r="J233" s="9581"/>
      <c r="K233" s="280" t="s">
        <v>255</v>
      </c>
      <c r="L233" s="6753"/>
      <c r="M233" s="7256"/>
      <c r="N233" s="6825"/>
      <c r="O233" s="7359"/>
      <c r="P233" s="6922"/>
      <c r="Q233" s="7241"/>
      <c r="R233" s="6616" t="s">
        <v>31</v>
      </c>
      <c r="S233" s="6562"/>
      <c r="T233" s="2468"/>
      <c r="U233" s="276"/>
      <c r="V233" s="99"/>
      <c r="W233" s="138"/>
      <c r="X233" s="138"/>
      <c r="Y233" s="99"/>
      <c r="Z233" s="264"/>
      <c r="AA233" s="277"/>
      <c r="AB233" s="187"/>
    </row>
    <row r="234" spans="1:28" ht="19.899999999999999" customHeight="1">
      <c r="A234" s="11"/>
      <c r="B234" s="5590"/>
      <c r="C234" s="5598"/>
      <c r="D234" s="9598" t="s">
        <v>140</v>
      </c>
      <c r="E234" s="9600"/>
      <c r="F234" s="87" t="s">
        <v>255</v>
      </c>
      <c r="G234" s="253"/>
      <c r="H234" s="286"/>
      <c r="I234" s="9582" t="s">
        <v>141</v>
      </c>
      <c r="J234" s="9583"/>
      <c r="K234" s="280" t="s">
        <v>255</v>
      </c>
      <c r="L234" s="6752">
        <v>0</v>
      </c>
      <c r="M234" s="7258"/>
      <c r="N234" s="6848">
        <v>0</v>
      </c>
      <c r="O234" s="7361"/>
      <c r="P234" s="6901">
        <v>0</v>
      </c>
      <c r="Q234" s="7243"/>
      <c r="R234" s="6616" t="s">
        <v>31</v>
      </c>
      <c r="S234" s="6633"/>
      <c r="T234" s="2468"/>
      <c r="U234" s="276"/>
      <c r="V234" s="99"/>
      <c r="W234" s="138"/>
      <c r="X234" s="138"/>
      <c r="Y234" s="99"/>
      <c r="Z234" s="264"/>
      <c r="AA234" s="277"/>
      <c r="AB234" s="187"/>
    </row>
    <row r="235" spans="1:28" ht="19.899999999999999" customHeight="1">
      <c r="A235" s="11"/>
      <c r="B235" s="5590"/>
      <c r="C235" s="5598"/>
      <c r="D235" s="9598" t="s">
        <v>143</v>
      </c>
      <c r="E235" s="9600"/>
      <c r="F235" s="87" t="s">
        <v>255</v>
      </c>
      <c r="G235" s="253"/>
      <c r="H235" s="286"/>
      <c r="I235" s="9582" t="s">
        <v>144</v>
      </c>
      <c r="J235" s="9583"/>
      <c r="K235" s="280" t="s">
        <v>255</v>
      </c>
      <c r="L235" s="6774" t="s">
        <v>168</v>
      </c>
      <c r="M235" s="7266" t="s">
        <v>641</v>
      </c>
      <c r="N235" s="6826" t="s">
        <v>168</v>
      </c>
      <c r="O235" s="7368" t="s">
        <v>641</v>
      </c>
      <c r="P235" s="6826" t="s">
        <v>168</v>
      </c>
      <c r="Q235" s="7368" t="s">
        <v>641</v>
      </c>
      <c r="R235" s="6616" t="s">
        <v>31</v>
      </c>
      <c r="S235" s="6558"/>
      <c r="T235" s="2468"/>
      <c r="U235" s="276"/>
      <c r="V235" s="99"/>
      <c r="W235" s="138"/>
      <c r="X235" s="138"/>
      <c r="Y235" s="99"/>
      <c r="Z235" s="264"/>
      <c r="AA235" s="277"/>
      <c r="AB235" s="187"/>
    </row>
    <row r="236" spans="1:28" ht="19.899999999999999" customHeight="1">
      <c r="A236" s="11"/>
      <c r="B236" s="5590"/>
      <c r="C236" s="5598"/>
      <c r="D236" s="9598" t="s">
        <v>146</v>
      </c>
      <c r="E236" s="9600"/>
      <c r="F236" s="87" t="s">
        <v>255</v>
      </c>
      <c r="G236" s="253"/>
      <c r="H236" s="286"/>
      <c r="I236" s="9582" t="s">
        <v>147</v>
      </c>
      <c r="J236" s="9583"/>
      <c r="K236" s="280" t="s">
        <v>255</v>
      </c>
      <c r="L236" s="6774" t="s">
        <v>168</v>
      </c>
      <c r="M236" s="7266" t="s">
        <v>641</v>
      </c>
      <c r="N236" s="6826" t="s">
        <v>168</v>
      </c>
      <c r="O236" s="7368" t="s">
        <v>641</v>
      </c>
      <c r="P236" s="6826" t="s">
        <v>168</v>
      </c>
      <c r="Q236" s="7368" t="s">
        <v>641</v>
      </c>
      <c r="R236" s="6616" t="s">
        <v>31</v>
      </c>
      <c r="S236" s="6558"/>
      <c r="T236" s="2468"/>
      <c r="U236" s="276"/>
      <c r="V236" s="99"/>
      <c r="W236" s="138"/>
      <c r="X236" s="138"/>
      <c r="Y236" s="99"/>
      <c r="Z236" s="264"/>
      <c r="AA236" s="277"/>
      <c r="AB236" s="187"/>
    </row>
    <row r="237" spans="1:28" ht="19.899999999999999" customHeight="1">
      <c r="A237" s="11"/>
      <c r="B237" s="5590"/>
      <c r="C237" s="5598"/>
      <c r="D237" s="9598" t="s">
        <v>149</v>
      </c>
      <c r="E237" s="9600"/>
      <c r="F237" s="87" t="s">
        <v>255</v>
      </c>
      <c r="G237" s="253"/>
      <c r="H237" s="286"/>
      <c r="I237" s="9582" t="s">
        <v>150</v>
      </c>
      <c r="J237" s="9583"/>
      <c r="K237" s="280" t="s">
        <v>255</v>
      </c>
      <c r="L237" s="6754">
        <v>0</v>
      </c>
      <c r="M237" s="7266"/>
      <c r="N237" s="6826">
        <v>0</v>
      </c>
      <c r="O237" s="7368"/>
      <c r="P237" s="6826">
        <v>0</v>
      </c>
      <c r="Q237" s="7368"/>
      <c r="R237" s="6616" t="s">
        <v>31</v>
      </c>
      <c r="S237" s="6558"/>
      <c r="T237" s="2468"/>
      <c r="U237" s="276"/>
      <c r="V237" s="99"/>
      <c r="W237" s="138"/>
      <c r="X237" s="138"/>
      <c r="Y237" s="99"/>
      <c r="Z237" s="264"/>
      <c r="AA237" s="277"/>
      <c r="AB237" s="187"/>
    </row>
    <row r="238" spans="1:28" ht="20.100000000000001" customHeight="1">
      <c r="A238" s="11"/>
      <c r="B238" s="1360"/>
      <c r="C238" s="9680" t="s">
        <v>285</v>
      </c>
      <c r="D238" s="9594"/>
      <c r="E238" s="9595"/>
      <c r="F238" s="105" t="s">
        <v>286</v>
      </c>
      <c r="G238" s="184"/>
      <c r="H238" s="9593" t="s">
        <v>287</v>
      </c>
      <c r="I238" s="9594"/>
      <c r="J238" s="9595"/>
      <c r="K238" s="105" t="s">
        <v>288</v>
      </c>
      <c r="L238" s="6763"/>
      <c r="M238" s="7233"/>
      <c r="N238" s="6847"/>
      <c r="O238" s="7353"/>
      <c r="P238" s="6913"/>
      <c r="Q238" s="7460"/>
      <c r="R238" s="6616" t="s">
        <v>31</v>
      </c>
      <c r="S238" s="6557"/>
      <c r="T238" s="2468" t="s">
        <v>289</v>
      </c>
      <c r="U238" s="276" t="s">
        <v>290</v>
      </c>
      <c r="V238" s="99" t="s">
        <v>206</v>
      </c>
      <c r="W238" s="138"/>
      <c r="X238" s="138"/>
      <c r="Y238" s="99"/>
      <c r="Z238" s="346" t="s">
        <v>291</v>
      </c>
      <c r="AA238" s="346" t="s">
        <v>292</v>
      </c>
      <c r="AB238" s="187"/>
    </row>
    <row r="239" spans="1:28">
      <c r="A239" s="11"/>
      <c r="B239" s="5590"/>
      <c r="C239" s="9647" t="s">
        <v>134</v>
      </c>
      <c r="D239" s="9648"/>
      <c r="E239" s="9649"/>
      <c r="F239" s="105" t="s">
        <v>286</v>
      </c>
      <c r="G239" s="253"/>
      <c r="H239" s="9579" t="s">
        <v>135</v>
      </c>
      <c r="I239" s="9580"/>
      <c r="J239" s="9581"/>
      <c r="K239" s="105" t="s">
        <v>288</v>
      </c>
      <c r="L239" s="6754">
        <v>0.38601637792783605</v>
      </c>
      <c r="M239" s="7250"/>
      <c r="N239" s="6826">
        <v>0.21113310963709983</v>
      </c>
      <c r="O239" s="7363"/>
      <c r="P239" s="6922">
        <v>0.18</v>
      </c>
      <c r="Q239" s="7356"/>
      <c r="R239" s="6616" t="s">
        <v>31</v>
      </c>
      <c r="S239" s="6557"/>
      <c r="T239" s="1033"/>
      <c r="U239" s="263"/>
      <c r="V239" s="99"/>
      <c r="W239" s="138"/>
      <c r="X239" s="138"/>
      <c r="Y239" s="99"/>
      <c r="Z239" s="264"/>
      <c r="AA239" s="277"/>
      <c r="AB239" s="187"/>
    </row>
    <row r="240" spans="1:28" ht="19.899999999999999" customHeight="1">
      <c r="A240" s="11"/>
      <c r="B240" s="5590"/>
      <c r="C240" s="9647" t="s">
        <v>137</v>
      </c>
      <c r="D240" s="9648"/>
      <c r="E240" s="9649"/>
      <c r="F240" s="105" t="s">
        <v>286</v>
      </c>
      <c r="G240" s="253"/>
      <c r="H240" s="9579" t="s">
        <v>138</v>
      </c>
      <c r="I240" s="9580"/>
      <c r="J240" s="9581"/>
      <c r="K240" s="105" t="s">
        <v>288</v>
      </c>
      <c r="L240" s="6754">
        <v>114.76551641137856</v>
      </c>
      <c r="M240" s="7250"/>
      <c r="N240" s="6826">
        <v>57.874962365591394</v>
      </c>
      <c r="O240" s="7356"/>
      <c r="P240" s="6826">
        <v>46.374191363251484</v>
      </c>
      <c r="Q240" s="7356"/>
      <c r="R240" s="6616" t="s">
        <v>31</v>
      </c>
      <c r="S240" s="6557"/>
      <c r="T240" s="1033"/>
      <c r="U240" s="263"/>
      <c r="V240" s="99"/>
      <c r="W240" s="138"/>
      <c r="X240" s="138"/>
      <c r="Y240" s="99"/>
      <c r="Z240" s="264"/>
      <c r="AA240" s="277"/>
      <c r="AB240" s="187"/>
    </row>
    <row r="241" spans="1:28" ht="19.899999999999999" customHeight="1">
      <c r="A241" s="11"/>
      <c r="B241" s="5590"/>
      <c r="C241" s="9647" t="s">
        <v>140</v>
      </c>
      <c r="D241" s="9648"/>
      <c r="E241" s="9649"/>
      <c r="F241" s="105" t="s">
        <v>286</v>
      </c>
      <c r="G241" s="253"/>
      <c r="H241" s="9579" t="s">
        <v>141</v>
      </c>
      <c r="I241" s="9580"/>
      <c r="J241" s="9581"/>
      <c r="K241" s="105" t="s">
        <v>288</v>
      </c>
      <c r="L241" s="6754">
        <v>0.11231382967573462</v>
      </c>
      <c r="M241" s="7250"/>
      <c r="N241" s="6826">
        <v>0.1545732077852528</v>
      </c>
      <c r="O241" s="7356"/>
      <c r="P241" s="6826">
        <v>8.9134625498143175E-2</v>
      </c>
      <c r="Q241" s="7356"/>
      <c r="R241" s="6616" t="s">
        <v>31</v>
      </c>
      <c r="S241" s="6557"/>
      <c r="T241" s="1033"/>
      <c r="U241" s="263"/>
      <c r="V241" s="99"/>
      <c r="W241" s="138"/>
      <c r="X241" s="138"/>
      <c r="Y241" s="99"/>
      <c r="Z241" s="264"/>
      <c r="AA241" s="277"/>
      <c r="AB241" s="187"/>
    </row>
    <row r="242" spans="1:28" ht="19.899999999999999" customHeight="1">
      <c r="A242" s="11"/>
      <c r="B242" s="5590"/>
      <c r="C242" s="9647" t="s">
        <v>143</v>
      </c>
      <c r="D242" s="9648"/>
      <c r="E242" s="9649"/>
      <c r="F242" s="105" t="s">
        <v>286</v>
      </c>
      <c r="G242" s="253"/>
      <c r="H242" s="9579" t="s">
        <v>144</v>
      </c>
      <c r="I242" s="9580"/>
      <c r="J242" s="9581"/>
      <c r="K242" s="105" t="s">
        <v>288</v>
      </c>
      <c r="L242" s="6754">
        <v>0.13531714353132041</v>
      </c>
      <c r="M242" s="7250"/>
      <c r="N242" s="6826">
        <v>9.9097857307294118E-2</v>
      </c>
      <c r="O242" s="7356"/>
      <c r="P242" s="6826">
        <v>9.9719824790536329E-2</v>
      </c>
      <c r="Q242" s="7356"/>
      <c r="R242" s="6616" t="s">
        <v>31</v>
      </c>
      <c r="S242" s="6557"/>
      <c r="T242" s="1033"/>
      <c r="U242" s="263"/>
      <c r="V242" s="99"/>
      <c r="W242" s="138"/>
      <c r="X242" s="138"/>
      <c r="Y242" s="99"/>
      <c r="Z242" s="264"/>
      <c r="AA242" s="277"/>
      <c r="AB242" s="187"/>
    </row>
    <row r="243" spans="1:28" ht="19.899999999999999" customHeight="1">
      <c r="A243" s="11"/>
      <c r="B243" s="5590"/>
      <c r="C243" s="9647" t="s">
        <v>146</v>
      </c>
      <c r="D243" s="9648"/>
      <c r="E243" s="9649"/>
      <c r="F243" s="105" t="s">
        <v>286</v>
      </c>
      <c r="G243" s="253"/>
      <c r="H243" s="9579" t="s">
        <v>147</v>
      </c>
      <c r="I243" s="9580"/>
      <c r="J243" s="9581"/>
      <c r="K243" s="105" t="s">
        <v>288</v>
      </c>
      <c r="L243" s="6774" t="s">
        <v>168</v>
      </c>
      <c r="M243" s="7250" t="s">
        <v>641</v>
      </c>
      <c r="N243" s="6826" t="s">
        <v>168</v>
      </c>
      <c r="O243" s="7356" t="s">
        <v>641</v>
      </c>
      <c r="P243" s="6826" t="s">
        <v>168</v>
      </c>
      <c r="Q243" s="7356" t="s">
        <v>641</v>
      </c>
      <c r="R243" s="6616" t="s">
        <v>31</v>
      </c>
      <c r="S243" s="6557"/>
      <c r="T243" s="1033"/>
      <c r="U243" s="263"/>
      <c r="V243" s="99"/>
      <c r="W243" s="138"/>
      <c r="X243" s="138"/>
      <c r="Y243" s="99"/>
      <c r="Z243" s="264"/>
      <c r="AA243" s="277"/>
      <c r="AB243" s="187"/>
    </row>
    <row r="244" spans="1:28" ht="19.899999999999999" customHeight="1">
      <c r="A244" s="11"/>
      <c r="B244" s="5590"/>
      <c r="C244" s="9647" t="s">
        <v>149</v>
      </c>
      <c r="D244" s="9648"/>
      <c r="E244" s="9649"/>
      <c r="F244" s="105" t="s">
        <v>286</v>
      </c>
      <c r="G244" s="253"/>
      <c r="H244" s="9579" t="s">
        <v>150</v>
      </c>
      <c r="I244" s="9580"/>
      <c r="J244" s="9581"/>
      <c r="K244" s="105" t="s">
        <v>288</v>
      </c>
      <c r="L244" s="6754">
        <v>4.6449223757299533E-3</v>
      </c>
      <c r="M244" s="7250"/>
      <c r="N244" s="6826">
        <v>2.2066288098273263E-3</v>
      </c>
      <c r="O244" s="7356"/>
      <c r="P244" s="6826">
        <v>1.2014240058254785E-3</v>
      </c>
      <c r="Q244" s="7356"/>
      <c r="R244" s="6616" t="s">
        <v>31</v>
      </c>
      <c r="S244" s="6557"/>
      <c r="T244" s="1033"/>
      <c r="U244" s="263"/>
      <c r="V244" s="99"/>
      <c r="W244" s="138"/>
      <c r="X244" s="138"/>
      <c r="Y244" s="99"/>
      <c r="Z244" s="264"/>
      <c r="AA244" s="277"/>
      <c r="AB244" s="187"/>
    </row>
    <row r="245" spans="1:28" ht="20.100000000000001" customHeight="1">
      <c r="A245" s="11"/>
      <c r="B245" s="1360"/>
      <c r="C245" s="5598"/>
      <c r="D245" s="9593" t="s">
        <v>254</v>
      </c>
      <c r="E245" s="9594"/>
      <c r="F245" s="280" t="s">
        <v>255</v>
      </c>
      <c r="G245" s="106"/>
      <c r="H245" s="358"/>
      <c r="I245" s="9593" t="s">
        <v>293</v>
      </c>
      <c r="J245" s="9594"/>
      <c r="K245" s="280" t="s">
        <v>255</v>
      </c>
      <c r="L245" s="6763">
        <f>IF(COUNTBLANK(L246:L251)&gt;0,"미취합법인有",SUM(L246:L251))</f>
        <v>54226.195327743924</v>
      </c>
      <c r="M245" s="7233"/>
      <c r="N245" s="6847">
        <f>IF(COUNTBLANK(N246:N251)&gt;0,"미취합법인有",SUM(N246:N251))</f>
        <v>55881.972011459227</v>
      </c>
      <c r="O245" s="7353"/>
      <c r="P245" s="6913">
        <f>IF(COUNTBLANK(P246:P251)&gt;0,"미취합법인有",SUM(P246:P251))</f>
        <v>56772.345348272975</v>
      </c>
      <c r="Q245" s="7463"/>
      <c r="R245" s="6659" t="s">
        <v>155</v>
      </c>
      <c r="S245" s="6561"/>
      <c r="T245" s="2468"/>
      <c r="U245" s="276"/>
      <c r="V245" s="99" t="s">
        <v>206</v>
      </c>
      <c r="W245" s="138"/>
      <c r="X245" s="138"/>
      <c r="Y245" s="99"/>
      <c r="Z245" s="346" t="s">
        <v>294</v>
      </c>
      <c r="AA245" s="346"/>
      <c r="AB245" s="187"/>
    </row>
    <row r="246" spans="1:28" ht="19.899999999999999" customHeight="1">
      <c r="A246" s="11"/>
      <c r="B246" s="5590"/>
      <c r="C246" s="5598"/>
      <c r="D246" s="9598" t="s">
        <v>134</v>
      </c>
      <c r="E246" s="9600"/>
      <c r="F246" s="87" t="s">
        <v>255</v>
      </c>
      <c r="G246" s="253"/>
      <c r="H246" s="286"/>
      <c r="I246" s="9579" t="s">
        <v>135</v>
      </c>
      <c r="J246" s="9581"/>
      <c r="K246" s="132" t="s">
        <v>255</v>
      </c>
      <c r="L246" s="6753">
        <v>1268</v>
      </c>
      <c r="M246" s="7256"/>
      <c r="N246" s="6825">
        <v>1492</v>
      </c>
      <c r="O246" s="7359"/>
      <c r="P246" s="6922">
        <v>1458</v>
      </c>
      <c r="Q246" s="7368"/>
      <c r="R246" s="6659" t="s">
        <v>155</v>
      </c>
      <c r="S246" s="6558"/>
      <c r="T246" s="2468"/>
      <c r="U246" s="276"/>
      <c r="V246" s="99"/>
      <c r="W246" s="138"/>
      <c r="X246" s="138"/>
      <c r="Y246" s="99"/>
      <c r="Z246" s="264"/>
      <c r="AA246" s="277"/>
      <c r="AB246" s="187"/>
    </row>
    <row r="247" spans="1:28" ht="19.899999999999999" customHeight="1">
      <c r="A247" s="11"/>
      <c r="B247" s="5590"/>
      <c r="C247" s="5598"/>
      <c r="D247" s="9598" t="s">
        <v>137</v>
      </c>
      <c r="E247" s="9600"/>
      <c r="F247" s="87" t="s">
        <v>255</v>
      </c>
      <c r="G247" s="253"/>
      <c r="H247" s="286"/>
      <c r="I247" s="9579" t="s">
        <v>138</v>
      </c>
      <c r="J247" s="9581"/>
      <c r="K247" s="132" t="s">
        <v>255</v>
      </c>
      <c r="L247" s="6753">
        <v>52447.841</v>
      </c>
      <c r="M247" s="7256"/>
      <c r="N247" s="6825">
        <v>53823.714999999997</v>
      </c>
      <c r="O247" s="7359"/>
      <c r="P247" s="6922">
        <v>54767.920000000006</v>
      </c>
      <c r="Q247" s="7368"/>
      <c r="R247" s="6659" t="s">
        <v>155</v>
      </c>
      <c r="S247" s="6558"/>
      <c r="T247" s="2468"/>
      <c r="U247" s="276"/>
      <c r="V247" s="99"/>
      <c r="W247" s="138"/>
      <c r="X247" s="138"/>
      <c r="Y247" s="99"/>
      <c r="Z247" s="264"/>
      <c r="AA247" s="277"/>
      <c r="AB247" s="187"/>
    </row>
    <row r="248" spans="1:28" ht="19.899999999999999" customHeight="1">
      <c r="A248" s="11"/>
      <c r="B248" s="5590"/>
      <c r="C248" s="5598"/>
      <c r="D248" s="9598" t="s">
        <v>140</v>
      </c>
      <c r="E248" s="9600"/>
      <c r="F248" s="87" t="s">
        <v>255</v>
      </c>
      <c r="G248" s="253"/>
      <c r="H248" s="286"/>
      <c r="I248" s="9582" t="s">
        <v>141</v>
      </c>
      <c r="J248" s="9583"/>
      <c r="K248" s="132" t="s">
        <v>255</v>
      </c>
      <c r="L248" s="6754">
        <v>293.25696436359488</v>
      </c>
      <c r="M248" s="7266"/>
      <c r="N248" s="6826">
        <v>257.91617295420275</v>
      </c>
      <c r="O248" s="7368"/>
      <c r="P248" s="6826">
        <v>266.00810795785208</v>
      </c>
      <c r="Q248" s="7368"/>
      <c r="R248" s="6659" t="s">
        <v>155</v>
      </c>
      <c r="S248" s="6558"/>
      <c r="T248" s="2468"/>
      <c r="U248" s="276"/>
      <c r="V248" s="99"/>
      <c r="W248" s="138"/>
      <c r="X248" s="138"/>
      <c r="Y248" s="99"/>
      <c r="Z248" s="264"/>
      <c r="AA248" s="277"/>
      <c r="AB248" s="187"/>
    </row>
    <row r="249" spans="1:28" ht="19.899999999999999" customHeight="1">
      <c r="A249" s="11"/>
      <c r="B249" s="5590"/>
      <c r="C249" s="5598"/>
      <c r="D249" s="9598" t="s">
        <v>143</v>
      </c>
      <c r="E249" s="9600"/>
      <c r="F249" s="87" t="s">
        <v>255</v>
      </c>
      <c r="G249" s="253"/>
      <c r="H249" s="286"/>
      <c r="I249" s="9582" t="s">
        <v>144</v>
      </c>
      <c r="J249" s="9583"/>
      <c r="K249" s="132" t="s">
        <v>255</v>
      </c>
      <c r="L249" s="6754">
        <v>54.037363380335201</v>
      </c>
      <c r="M249" s="7266"/>
      <c r="N249" s="6826">
        <v>117.93083850502801</v>
      </c>
      <c r="O249" s="7368"/>
      <c r="P249" s="6826">
        <v>131.92724031512199</v>
      </c>
      <c r="Q249" s="7368"/>
      <c r="R249" s="6659" t="s">
        <v>155</v>
      </c>
      <c r="S249" s="6558"/>
      <c r="T249" s="2468"/>
      <c r="U249" s="276"/>
      <c r="V249" s="99"/>
      <c r="W249" s="138"/>
      <c r="X249" s="138"/>
      <c r="Y249" s="99"/>
      <c r="Z249" s="264"/>
      <c r="AA249" s="277"/>
      <c r="AB249" s="187"/>
    </row>
    <row r="250" spans="1:28" ht="19.899999999999999" customHeight="1">
      <c r="A250" s="11"/>
      <c r="B250" s="5590"/>
      <c r="C250" s="5598"/>
      <c r="D250" s="9598" t="s">
        <v>146</v>
      </c>
      <c r="E250" s="9600"/>
      <c r="F250" s="87" t="s">
        <v>255</v>
      </c>
      <c r="G250" s="253"/>
      <c r="H250" s="286"/>
      <c r="I250" s="9582" t="s">
        <v>147</v>
      </c>
      <c r="J250" s="9583"/>
      <c r="K250" s="132" t="s">
        <v>255</v>
      </c>
      <c r="L250" s="6757" t="s">
        <v>168</v>
      </c>
      <c r="M250" s="7266"/>
      <c r="N250" s="6832" t="s">
        <v>168</v>
      </c>
      <c r="O250" s="7368"/>
      <c r="P250" s="6832" t="s">
        <v>168</v>
      </c>
      <c r="Q250" s="7368"/>
      <c r="R250" s="6659" t="s">
        <v>155</v>
      </c>
      <c r="S250" s="6558"/>
      <c r="T250" s="2468"/>
      <c r="U250" s="276"/>
      <c r="V250" s="99"/>
      <c r="W250" s="138"/>
      <c r="X250" s="138"/>
      <c r="Y250" s="99"/>
      <c r="Z250" s="264"/>
      <c r="AA250" s="277"/>
      <c r="AB250" s="187"/>
    </row>
    <row r="251" spans="1:28" ht="19.899999999999999" customHeight="1">
      <c r="A251" s="11"/>
      <c r="B251" s="5590"/>
      <c r="C251" s="5598"/>
      <c r="D251" s="9598" t="s">
        <v>149</v>
      </c>
      <c r="E251" s="9600"/>
      <c r="F251" s="87" t="s">
        <v>255</v>
      </c>
      <c r="G251" s="253"/>
      <c r="H251" s="286"/>
      <c r="I251" s="9582" t="s">
        <v>150</v>
      </c>
      <c r="J251" s="9583"/>
      <c r="K251" s="132" t="s">
        <v>255</v>
      </c>
      <c r="L251" s="6754">
        <v>163.06</v>
      </c>
      <c r="M251" s="7266"/>
      <c r="N251" s="6826">
        <v>190.41</v>
      </c>
      <c r="O251" s="7368"/>
      <c r="P251" s="6826">
        <v>148.49</v>
      </c>
      <c r="Q251" s="7368"/>
      <c r="R251" s="6659" t="s">
        <v>155</v>
      </c>
      <c r="S251" s="6558"/>
      <c r="T251" s="2468"/>
      <c r="U251" s="276"/>
      <c r="V251" s="99"/>
      <c r="W251" s="138"/>
      <c r="X251" s="138"/>
      <c r="Y251" s="99"/>
      <c r="Z251" s="264"/>
      <c r="AA251" s="277"/>
      <c r="AB251" s="187"/>
    </row>
    <row r="252" spans="1:28" ht="20.100000000000001" customHeight="1">
      <c r="A252" s="11"/>
      <c r="B252" s="1360"/>
      <c r="C252" s="5598"/>
      <c r="D252" s="9593" t="s">
        <v>232</v>
      </c>
      <c r="E252" s="9594"/>
      <c r="F252" s="105" t="s">
        <v>233</v>
      </c>
      <c r="G252" s="106"/>
      <c r="H252" s="358"/>
      <c r="I252" s="9593" t="s">
        <v>234</v>
      </c>
      <c r="J252" s="9594"/>
      <c r="K252" s="105" t="s">
        <v>295</v>
      </c>
      <c r="L252" s="6763">
        <f>IF(COUNTBLANK(L253:L258)&gt;0,"미취합법인有",SUM(L253:L258))</f>
        <v>36879.518095269785</v>
      </c>
      <c r="M252" s="7233"/>
      <c r="N252" s="6847">
        <f>IF(COUNTBLANK(N253:N258)&gt;0,"미취합법인有",SUM(N253:N258))</f>
        <v>95395.743995601602</v>
      </c>
      <c r="O252" s="7353"/>
      <c r="P252" s="6913">
        <f>IF(COUNTBLANK(P253:P258)&gt;0,"미취합법인有",SUM(P253:P258))</f>
        <v>130478.57995664953</v>
      </c>
      <c r="Q252" s="7463"/>
      <c r="R252" s="6659" t="s">
        <v>155</v>
      </c>
      <c r="S252" s="6561"/>
      <c r="T252" s="2468"/>
      <c r="U252" s="276"/>
      <c r="V252" s="99" t="s">
        <v>37</v>
      </c>
      <c r="W252" s="138"/>
      <c r="X252" s="138"/>
      <c r="Y252" s="99"/>
      <c r="Z252" s="346" t="s">
        <v>291</v>
      </c>
      <c r="AA252" s="346"/>
      <c r="AB252" s="187"/>
    </row>
    <row r="253" spans="1:28" ht="19.899999999999999" customHeight="1">
      <c r="A253" s="11"/>
      <c r="B253" s="5590"/>
      <c r="C253" s="5598"/>
      <c r="D253" s="9598" t="s">
        <v>134</v>
      </c>
      <c r="E253" s="9600"/>
      <c r="F253" s="105" t="s">
        <v>233</v>
      </c>
      <c r="G253" s="253"/>
      <c r="H253" s="286"/>
      <c r="I253" s="9579" t="s">
        <v>135</v>
      </c>
      <c r="J253" s="9581"/>
      <c r="K253" s="5835" t="s">
        <v>295</v>
      </c>
      <c r="L253" s="6753">
        <v>3286.13</v>
      </c>
      <c r="M253" s="7249"/>
      <c r="N253" s="6825">
        <v>7066.13</v>
      </c>
      <c r="O253" s="7369"/>
      <c r="P253" s="6826">
        <v>7733.26</v>
      </c>
      <c r="Q253" s="7369"/>
      <c r="R253" s="6659" t="s">
        <v>155</v>
      </c>
      <c r="S253" s="6569"/>
      <c r="T253" s="2468"/>
      <c r="U253" s="276"/>
      <c r="V253" s="99"/>
      <c r="W253" s="138"/>
      <c r="X253" s="138"/>
      <c r="Y253" s="99"/>
      <c r="Z253" s="264"/>
      <c r="AA253" s="277"/>
      <c r="AB253" s="187"/>
    </row>
    <row r="254" spans="1:28" ht="19.899999999999999" customHeight="1">
      <c r="A254" s="11"/>
      <c r="B254" s="5590"/>
      <c r="C254" s="5598"/>
      <c r="D254" s="9598" t="s">
        <v>137</v>
      </c>
      <c r="E254" s="9600"/>
      <c r="F254" s="105" t="s">
        <v>233</v>
      </c>
      <c r="G254" s="253"/>
      <c r="H254" s="286"/>
      <c r="I254" s="9579" t="s">
        <v>138</v>
      </c>
      <c r="J254" s="9581"/>
      <c r="K254" s="5835" t="s">
        <v>295</v>
      </c>
      <c r="L254" s="6781">
        <v>303</v>
      </c>
      <c r="M254" s="7249"/>
      <c r="N254" s="6860">
        <v>1090</v>
      </c>
      <c r="O254" s="7355"/>
      <c r="P254" s="6930">
        <v>1247</v>
      </c>
      <c r="Q254" s="7464" t="s">
        <v>655</v>
      </c>
      <c r="R254" s="6659" t="s">
        <v>155</v>
      </c>
      <c r="S254" s="6561"/>
      <c r="T254" s="2468"/>
      <c r="U254" s="276"/>
      <c r="V254" s="99"/>
      <c r="W254" s="138"/>
      <c r="X254" s="138"/>
      <c r="Y254" s="99"/>
      <c r="Z254" s="264"/>
      <c r="AA254" s="277"/>
      <c r="AB254" s="187"/>
    </row>
    <row r="255" spans="1:28" ht="19.899999999999999" customHeight="1">
      <c r="A255" s="11"/>
      <c r="B255" s="5590"/>
      <c r="C255" s="5598"/>
      <c r="D255" s="9598" t="s">
        <v>140</v>
      </c>
      <c r="E255" s="9600"/>
      <c r="F255" s="105" t="s">
        <v>233</v>
      </c>
      <c r="G255" s="253"/>
      <c r="H255" s="286"/>
      <c r="I255" s="9582" t="s">
        <v>141</v>
      </c>
      <c r="J255" s="9583"/>
      <c r="K255" s="5835" t="s">
        <v>295</v>
      </c>
      <c r="L255" s="6752">
        <v>2611.0494603404391</v>
      </c>
      <c r="M255" s="7263"/>
      <c r="N255" s="6824">
        <v>1668.5697130160061</v>
      </c>
      <c r="O255" s="7365"/>
      <c r="P255" s="6922">
        <v>2984.3408941387597</v>
      </c>
      <c r="Q255" s="7459"/>
      <c r="R255" s="6659" t="s">
        <v>155</v>
      </c>
      <c r="S255" s="6632"/>
      <c r="T255" s="2468"/>
      <c r="U255" s="276"/>
      <c r="V255" s="99"/>
      <c r="W255" s="138"/>
      <c r="X255" s="138"/>
      <c r="Y255" s="99"/>
      <c r="Z255" s="264"/>
      <c r="AA255" s="277"/>
      <c r="AB255" s="187"/>
    </row>
    <row r="256" spans="1:28" ht="19.899999999999999" customHeight="1">
      <c r="A256" s="11"/>
      <c r="B256" s="5590"/>
      <c r="C256" s="5598"/>
      <c r="D256" s="9598" t="s">
        <v>143</v>
      </c>
      <c r="E256" s="9600"/>
      <c r="F256" s="105" t="s">
        <v>233</v>
      </c>
      <c r="G256" s="253"/>
      <c r="H256" s="286"/>
      <c r="I256" s="9582" t="s">
        <v>144</v>
      </c>
      <c r="J256" s="9583"/>
      <c r="K256" s="5835" t="s">
        <v>295</v>
      </c>
      <c r="L256" s="6752">
        <v>399.33863492934103</v>
      </c>
      <c r="M256" s="7263"/>
      <c r="N256" s="6824">
        <v>1190.0442825855901</v>
      </c>
      <c r="O256" s="7365"/>
      <c r="P256" s="6922">
        <v>1322.9790625107701</v>
      </c>
      <c r="Q256" s="7459"/>
      <c r="R256" s="6659" t="s">
        <v>155</v>
      </c>
      <c r="S256" s="6632"/>
      <c r="T256" s="2468"/>
      <c r="U256" s="276"/>
      <c r="V256" s="99"/>
      <c r="W256" s="138"/>
      <c r="X256" s="138"/>
      <c r="Y256" s="99"/>
      <c r="Z256" s="264"/>
      <c r="AA256" s="277"/>
      <c r="AB256" s="187"/>
    </row>
    <row r="257" spans="1:28" ht="19.899999999999999" customHeight="1">
      <c r="A257" s="11"/>
      <c r="B257" s="5590"/>
      <c r="C257" s="5598"/>
      <c r="D257" s="9598" t="s">
        <v>146</v>
      </c>
      <c r="E257" s="9600"/>
      <c r="F257" s="105" t="s">
        <v>233</v>
      </c>
      <c r="G257" s="253"/>
      <c r="H257" s="286"/>
      <c r="I257" s="9582" t="s">
        <v>147</v>
      </c>
      <c r="J257" s="9583"/>
      <c r="K257" s="5835" t="s">
        <v>295</v>
      </c>
      <c r="L257" s="6774" t="s">
        <v>168</v>
      </c>
      <c r="M257" s="7250" t="s">
        <v>641</v>
      </c>
      <c r="N257" s="6826" t="s">
        <v>168</v>
      </c>
      <c r="O257" s="7356" t="s">
        <v>641</v>
      </c>
      <c r="P257" s="6826" t="s">
        <v>168</v>
      </c>
      <c r="Q257" s="7356" t="s">
        <v>641</v>
      </c>
      <c r="R257" s="6659" t="s">
        <v>155</v>
      </c>
      <c r="S257" s="6557"/>
      <c r="T257" s="2468"/>
      <c r="U257" s="276"/>
      <c r="V257" s="99"/>
      <c r="W257" s="138"/>
      <c r="X257" s="138"/>
      <c r="Y257" s="99"/>
      <c r="Z257" s="264"/>
      <c r="AA257" s="277"/>
      <c r="AB257" s="187"/>
    </row>
    <row r="258" spans="1:28" ht="19.899999999999999" customHeight="1">
      <c r="A258" s="11"/>
      <c r="B258" s="5590"/>
      <c r="C258" s="5598"/>
      <c r="D258" s="9598" t="s">
        <v>149</v>
      </c>
      <c r="E258" s="9600"/>
      <c r="F258" s="105" t="s">
        <v>233</v>
      </c>
      <c r="G258" s="253"/>
      <c r="H258" s="286"/>
      <c r="I258" s="9582" t="s">
        <v>150</v>
      </c>
      <c r="J258" s="9583"/>
      <c r="K258" s="5835" t="s">
        <v>295</v>
      </c>
      <c r="L258" s="6779">
        <v>30280</v>
      </c>
      <c r="M258" s="7247"/>
      <c r="N258" s="6861">
        <v>84381</v>
      </c>
      <c r="O258" s="7247"/>
      <c r="P258" s="6861">
        <v>117191</v>
      </c>
      <c r="Q258" s="7247"/>
      <c r="R258" s="6659" t="s">
        <v>155</v>
      </c>
      <c r="S258" s="6563"/>
      <c r="T258" s="2468"/>
      <c r="U258" s="276"/>
      <c r="V258" s="99"/>
      <c r="W258" s="138"/>
      <c r="X258" s="138"/>
      <c r="Y258" s="99"/>
      <c r="Z258" s="264"/>
      <c r="AA258" s="277"/>
      <c r="AB258" s="187"/>
    </row>
    <row r="259" spans="1:28" ht="20.100000000000001" customHeight="1">
      <c r="A259" s="11"/>
      <c r="B259" s="1360"/>
      <c r="C259" s="9680" t="s">
        <v>321</v>
      </c>
      <c r="D259" s="9594"/>
      <c r="E259" s="9595"/>
      <c r="F259" s="280" t="s">
        <v>255</v>
      </c>
      <c r="G259" s="184"/>
      <c r="H259" s="9593" t="s">
        <v>322</v>
      </c>
      <c r="I259" s="9594"/>
      <c r="J259" s="9595"/>
      <c r="K259" s="280" t="s">
        <v>255</v>
      </c>
      <c r="L259" s="6763">
        <f>IF(COUNTBLANK(L260:L265)&gt;0,"미취합법인有",SUM(L260:L265))</f>
        <v>54050.149911690991</v>
      </c>
      <c r="M259" s="7233"/>
      <c r="N259" s="6847">
        <f>IF(COUNTBLANK(N260:N265)&gt;0,"미취합법인有",SUM(N260:N265))</f>
        <v>55688.371056991542</v>
      </c>
      <c r="O259" s="7353"/>
      <c r="P259" s="6913">
        <f>IF(COUNTBLANK(P260:P265)&gt;0,"미취합법인有",SUM(P260:P265))</f>
        <v>56589.05877075134</v>
      </c>
      <c r="Q259" s="7463"/>
      <c r="R259" s="6616" t="s">
        <v>31</v>
      </c>
      <c r="S259" s="6561"/>
      <c r="T259" s="2468"/>
      <c r="U259" s="276"/>
      <c r="V259" s="99" t="s">
        <v>37</v>
      </c>
      <c r="W259" s="138"/>
      <c r="X259" s="138"/>
      <c r="Y259" s="99"/>
      <c r="Z259" s="346" t="s">
        <v>323</v>
      </c>
      <c r="AA259" s="265"/>
      <c r="AB259" s="187"/>
    </row>
    <row r="260" spans="1:28" ht="19.899999999999999" customHeight="1">
      <c r="A260" s="11"/>
      <c r="B260" s="5590"/>
      <c r="C260" s="9647" t="s">
        <v>134</v>
      </c>
      <c r="D260" s="9648"/>
      <c r="E260" s="9649"/>
      <c r="F260" s="280" t="s">
        <v>255</v>
      </c>
      <c r="G260" s="253"/>
      <c r="H260" s="9579" t="s">
        <v>135</v>
      </c>
      <c r="I260" s="9580"/>
      <c r="J260" s="9581"/>
      <c r="K260" s="5591" t="s">
        <v>255</v>
      </c>
      <c r="L260" s="6754">
        <v>1096.472</v>
      </c>
      <c r="M260" s="7250"/>
      <c r="N260" s="6826">
        <v>1304.46</v>
      </c>
      <c r="O260" s="7250"/>
      <c r="P260" s="6922">
        <v>1274.117</v>
      </c>
      <c r="Q260" s="7250"/>
      <c r="R260" s="6616" t="s">
        <v>31</v>
      </c>
      <c r="S260" s="6557"/>
      <c r="T260" s="1033"/>
      <c r="U260" s="263"/>
      <c r="V260" s="99"/>
      <c r="W260" s="138"/>
      <c r="X260" s="138"/>
      <c r="Y260" s="99"/>
      <c r="Z260" s="264"/>
      <c r="AA260" s="277"/>
      <c r="AB260" s="187"/>
    </row>
    <row r="261" spans="1:28" ht="19.899999999999999" customHeight="1">
      <c r="A261" s="11"/>
      <c r="B261" s="5590"/>
      <c r="C261" s="9647" t="s">
        <v>137</v>
      </c>
      <c r="D261" s="9648"/>
      <c r="E261" s="9649"/>
      <c r="F261" s="280" t="s">
        <v>255</v>
      </c>
      <c r="G261" s="253"/>
      <c r="H261" s="9579" t="s">
        <v>138</v>
      </c>
      <c r="I261" s="9580"/>
      <c r="J261" s="9581"/>
      <c r="K261" s="5591" t="s">
        <v>255</v>
      </c>
      <c r="L261" s="6754">
        <v>52444.08</v>
      </c>
      <c r="M261" s="7250"/>
      <c r="N261" s="6826">
        <v>53818.28</v>
      </c>
      <c r="O261" s="7356"/>
      <c r="P261" s="6826">
        <v>54769.140000000007</v>
      </c>
      <c r="Q261" s="7356"/>
      <c r="R261" s="6616" t="s">
        <v>31</v>
      </c>
      <c r="S261" s="6557"/>
      <c r="T261" s="1033"/>
      <c r="U261" s="263"/>
      <c r="V261" s="99"/>
      <c r="W261" s="138"/>
      <c r="X261" s="138"/>
      <c r="Y261" s="99"/>
      <c r="Z261" s="264"/>
      <c r="AA261" s="277"/>
      <c r="AB261" s="187"/>
    </row>
    <row r="262" spans="1:28" ht="19.899999999999999" customHeight="1">
      <c r="A262" s="11"/>
      <c r="B262" s="5590"/>
      <c r="C262" s="9647" t="s">
        <v>140</v>
      </c>
      <c r="D262" s="9648"/>
      <c r="E262" s="9649"/>
      <c r="F262" s="280" t="s">
        <v>255</v>
      </c>
      <c r="G262" s="253"/>
      <c r="H262" s="9579" t="s">
        <v>141</v>
      </c>
      <c r="I262" s="9580"/>
      <c r="J262" s="9581"/>
      <c r="K262" s="5591" t="s">
        <v>255</v>
      </c>
      <c r="L262" s="6754">
        <v>292.49791169099205</v>
      </c>
      <c r="M262" s="7250"/>
      <c r="N262" s="6826">
        <v>257.29105699154366</v>
      </c>
      <c r="O262" s="7356"/>
      <c r="P262" s="6826">
        <v>265.38177075133683</v>
      </c>
      <c r="Q262" s="7356"/>
      <c r="R262" s="6616" t="s">
        <v>31</v>
      </c>
      <c r="S262" s="6557"/>
      <c r="T262" s="1033"/>
      <c r="U262" s="263"/>
      <c r="V262" s="99"/>
      <c r="W262" s="138"/>
      <c r="X262" s="138"/>
      <c r="Y262" s="99"/>
      <c r="Z262" s="264"/>
      <c r="AA262" s="277"/>
      <c r="AB262" s="187"/>
    </row>
    <row r="263" spans="1:28" ht="19.899999999999999" customHeight="1">
      <c r="A263" s="11"/>
      <c r="B263" s="5590"/>
      <c r="C263" s="9647" t="s">
        <v>143</v>
      </c>
      <c r="D263" s="9648"/>
      <c r="E263" s="9649"/>
      <c r="F263" s="280" t="s">
        <v>255</v>
      </c>
      <c r="G263" s="253"/>
      <c r="H263" s="9579" t="s">
        <v>144</v>
      </c>
      <c r="I263" s="9580"/>
      <c r="J263" s="9581"/>
      <c r="K263" s="5591" t="s">
        <v>255</v>
      </c>
      <c r="L263" s="6779">
        <v>54.04</v>
      </c>
      <c r="M263" s="7259"/>
      <c r="N263" s="6857">
        <v>117.93</v>
      </c>
      <c r="O263" s="7356"/>
      <c r="P263" s="6857">
        <v>131.93</v>
      </c>
      <c r="Q263" s="7356"/>
      <c r="R263" s="6616" t="s">
        <v>31</v>
      </c>
      <c r="S263" s="6557"/>
      <c r="T263" s="1033"/>
      <c r="U263" s="263"/>
      <c r="V263" s="99"/>
      <c r="W263" s="138"/>
      <c r="X263" s="138"/>
      <c r="Y263" s="99"/>
      <c r="Z263" s="264"/>
      <c r="AA263" s="277"/>
      <c r="AB263" s="187"/>
    </row>
    <row r="264" spans="1:28" ht="19.899999999999999" customHeight="1">
      <c r="A264" s="11"/>
      <c r="B264" s="5590"/>
      <c r="C264" s="9647" t="s">
        <v>146</v>
      </c>
      <c r="D264" s="9648"/>
      <c r="E264" s="9649"/>
      <c r="F264" s="280" t="s">
        <v>255</v>
      </c>
      <c r="G264" s="253"/>
      <c r="H264" s="9579" t="s">
        <v>147</v>
      </c>
      <c r="I264" s="9580"/>
      <c r="J264" s="9581"/>
      <c r="K264" s="5591" t="s">
        <v>255</v>
      </c>
      <c r="L264" s="6774" t="s">
        <v>168</v>
      </c>
      <c r="M264" s="7250" t="s">
        <v>641</v>
      </c>
      <c r="N264" s="6826" t="s">
        <v>168</v>
      </c>
      <c r="O264" s="7356" t="s">
        <v>641</v>
      </c>
      <c r="P264" s="6826" t="s">
        <v>168</v>
      </c>
      <c r="Q264" s="7356" t="s">
        <v>641</v>
      </c>
      <c r="R264" s="6616" t="s">
        <v>31</v>
      </c>
      <c r="S264" s="6557"/>
      <c r="T264" s="1033"/>
      <c r="U264" s="263"/>
      <c r="V264" s="99"/>
      <c r="W264" s="138"/>
      <c r="X264" s="138"/>
      <c r="Y264" s="99"/>
      <c r="Z264" s="264"/>
      <c r="AA264" s="277"/>
      <c r="AB264" s="187"/>
    </row>
    <row r="265" spans="1:28" ht="19.899999999999999" customHeight="1">
      <c r="A265" s="11"/>
      <c r="B265" s="5590"/>
      <c r="C265" s="9647" t="s">
        <v>149</v>
      </c>
      <c r="D265" s="9648"/>
      <c r="E265" s="9649"/>
      <c r="F265" s="280" t="s">
        <v>255</v>
      </c>
      <c r="G265" s="253"/>
      <c r="H265" s="9579" t="s">
        <v>150</v>
      </c>
      <c r="I265" s="9580"/>
      <c r="J265" s="9581"/>
      <c r="K265" s="5591" t="s">
        <v>255</v>
      </c>
      <c r="L265" s="6754">
        <v>163.06</v>
      </c>
      <c r="M265" s="7250"/>
      <c r="N265" s="6826">
        <v>190.41</v>
      </c>
      <c r="O265" s="7356"/>
      <c r="P265" s="6826">
        <v>148.49</v>
      </c>
      <c r="Q265" s="7356"/>
      <c r="R265" s="6616" t="s">
        <v>31</v>
      </c>
      <c r="S265" s="6557"/>
      <c r="T265" s="1033"/>
      <c r="U265" s="263"/>
      <c r="V265" s="99"/>
      <c r="W265" s="138"/>
      <c r="X265" s="138"/>
      <c r="Y265" s="99"/>
      <c r="Z265" s="264"/>
      <c r="AA265" s="277"/>
      <c r="AB265" s="187"/>
    </row>
    <row r="266" spans="1:28" ht="20.100000000000001" customHeight="1">
      <c r="A266" s="11"/>
      <c r="B266" s="1360"/>
      <c r="C266" s="9646" t="s">
        <v>324</v>
      </c>
      <c r="D266" s="9646"/>
      <c r="E266" s="9646"/>
      <c r="F266" s="280" t="s">
        <v>156</v>
      </c>
      <c r="G266" s="386"/>
      <c r="H266" s="9593" t="s">
        <v>325</v>
      </c>
      <c r="I266" s="9594"/>
      <c r="J266" s="9595"/>
      <c r="K266" s="280" t="s">
        <v>156</v>
      </c>
      <c r="L266" s="6763">
        <f>IF(COUNTBLANK(L267:L272)&gt;0,"미취합법인有",AVERAGE(L267:L272))</f>
        <v>0.96546128635890227</v>
      </c>
      <c r="M266" s="7233"/>
      <c r="N266" s="6847" t="str">
        <f>IF(COUNTBLANK(N267:N272)&gt;0,"미취합법인有",AVERAGE(N267:N272))</f>
        <v>미취합법인有</v>
      </c>
      <c r="O266" s="7353"/>
      <c r="P266" s="6913" t="str">
        <f>IF(COUNTBLANK(P267:P272)&gt;0,"미취합법인有",AVERAGE(P267:P272))</f>
        <v>미취합법인有</v>
      </c>
      <c r="Q266" s="7463"/>
      <c r="R266" s="6616" t="s">
        <v>31</v>
      </c>
      <c r="S266" s="6561"/>
      <c r="T266" s="498" t="s">
        <v>326</v>
      </c>
      <c r="U266" s="6339" t="s">
        <v>327</v>
      </c>
      <c r="V266" s="99" t="s">
        <v>206</v>
      </c>
      <c r="W266" s="138"/>
      <c r="X266" s="138"/>
      <c r="Y266" s="99"/>
      <c r="Z266" s="346"/>
      <c r="AA266" s="265"/>
      <c r="AB266" s="187" t="s">
        <v>261</v>
      </c>
    </row>
    <row r="267" spans="1:28" ht="19.899999999999999" customHeight="1">
      <c r="A267" s="11"/>
      <c r="B267" s="5590"/>
      <c r="C267" s="9647" t="s">
        <v>134</v>
      </c>
      <c r="D267" s="9648"/>
      <c r="E267" s="9649"/>
      <c r="F267" s="280" t="s">
        <v>156</v>
      </c>
      <c r="G267" s="253"/>
      <c r="H267" s="9579" t="s">
        <v>135</v>
      </c>
      <c r="I267" s="9580"/>
      <c r="J267" s="9581"/>
      <c r="K267" s="280" t="s">
        <v>156</v>
      </c>
      <c r="L267" s="6761">
        <f>L260/L148</f>
        <v>0.864384706346078</v>
      </c>
      <c r="M267" s="7250"/>
      <c r="N267" s="6858">
        <f>N260/N148</f>
        <v>0.8743621384557535</v>
      </c>
      <c r="O267" s="7356"/>
      <c r="P267" s="6858">
        <f>P260/P148</f>
        <v>0.87384580986888716</v>
      </c>
      <c r="Q267" s="7250"/>
      <c r="R267" s="6616" t="s">
        <v>31</v>
      </c>
      <c r="S267" s="6557"/>
      <c r="T267" s="1033"/>
      <c r="U267" s="6339"/>
      <c r="V267" s="99"/>
      <c r="W267" s="138"/>
      <c r="X267" s="138"/>
      <c r="Y267" s="99"/>
      <c r="Z267" s="264"/>
      <c r="AA267" s="277"/>
      <c r="AB267" s="187"/>
    </row>
    <row r="268" spans="1:28" ht="19.899999999999999" customHeight="1">
      <c r="A268" s="11"/>
      <c r="B268" s="5590"/>
      <c r="C268" s="9647" t="s">
        <v>137</v>
      </c>
      <c r="D268" s="9648"/>
      <c r="E268" s="9649"/>
      <c r="F268" s="280" t="s">
        <v>156</v>
      </c>
      <c r="G268" s="253"/>
      <c r="H268" s="9579" t="s">
        <v>138</v>
      </c>
      <c r="I268" s="9580"/>
      <c r="J268" s="9581"/>
      <c r="K268" s="280" t="s">
        <v>156</v>
      </c>
      <c r="L268" s="6754" t="s">
        <v>168</v>
      </c>
      <c r="M268" s="7250"/>
      <c r="N268" s="6826">
        <v>0</v>
      </c>
      <c r="O268" s="7356"/>
      <c r="P268" s="6826">
        <v>0</v>
      </c>
      <c r="Q268" s="7356"/>
      <c r="R268" s="6616" t="s">
        <v>31</v>
      </c>
      <c r="S268" s="6557"/>
      <c r="T268" s="1033"/>
      <c r="U268" s="2470"/>
      <c r="V268" s="99"/>
      <c r="W268" s="138"/>
      <c r="X268" s="138"/>
      <c r="Y268" s="99"/>
      <c r="Z268" s="264"/>
      <c r="AA268" s="277"/>
      <c r="AB268" s="187"/>
    </row>
    <row r="269" spans="1:28" ht="19.899999999999999" customHeight="1">
      <c r="A269" s="11"/>
      <c r="B269" s="5590"/>
      <c r="C269" s="9647" t="s">
        <v>140</v>
      </c>
      <c r="D269" s="9648"/>
      <c r="E269" s="9649"/>
      <c r="F269" s="280" t="s">
        <v>156</v>
      </c>
      <c r="G269" s="253"/>
      <c r="H269" s="9579" t="s">
        <v>141</v>
      </c>
      <c r="I269" s="9580"/>
      <c r="J269" s="9581"/>
      <c r="K269" s="280" t="s">
        <v>156</v>
      </c>
      <c r="L269" s="6761">
        <f>L262/L150</f>
        <v>0.99741164655969872</v>
      </c>
      <c r="M269" s="7250"/>
      <c r="N269" s="6826">
        <v>100</v>
      </c>
      <c r="O269" s="7356"/>
      <c r="P269" s="6826">
        <v>100</v>
      </c>
      <c r="Q269" s="7356"/>
      <c r="R269" s="6616" t="s">
        <v>31</v>
      </c>
      <c r="S269" s="6557"/>
      <c r="T269" s="1033"/>
      <c r="U269" s="6339"/>
      <c r="V269" s="99"/>
      <c r="W269" s="138"/>
      <c r="X269" s="138"/>
      <c r="Y269" s="99"/>
      <c r="Z269" s="264"/>
      <c r="AA269" s="277"/>
      <c r="AB269" s="187"/>
    </row>
    <row r="270" spans="1:28" ht="19.899999999999999" customHeight="1">
      <c r="A270" s="11"/>
      <c r="B270" s="5590"/>
      <c r="C270" s="9647" t="s">
        <v>143</v>
      </c>
      <c r="D270" s="9648"/>
      <c r="E270" s="9649"/>
      <c r="F270" s="280" t="s">
        <v>156</v>
      </c>
      <c r="G270" s="253"/>
      <c r="H270" s="9579" t="s">
        <v>144</v>
      </c>
      <c r="I270" s="9580"/>
      <c r="J270" s="9581"/>
      <c r="K270" s="280" t="s">
        <v>156</v>
      </c>
      <c r="L270" s="6761">
        <f>L263/L151</f>
        <v>1.0000487925298325</v>
      </c>
      <c r="M270" s="7250"/>
      <c r="N270" s="6826"/>
      <c r="O270" s="7356"/>
      <c r="P270" s="6826"/>
      <c r="Q270" s="7356"/>
      <c r="R270" s="6616" t="s">
        <v>31</v>
      </c>
      <c r="S270" s="6557"/>
      <c r="T270" s="1033"/>
      <c r="U270" s="6339"/>
      <c r="V270" s="99"/>
      <c r="W270" s="138"/>
      <c r="X270" s="138"/>
      <c r="Y270" s="99"/>
      <c r="Z270" s="264"/>
      <c r="AA270" s="277"/>
      <c r="AB270" s="187"/>
    </row>
    <row r="271" spans="1:28" ht="19.899999999999999" customHeight="1">
      <c r="A271" s="11"/>
      <c r="B271" s="5590"/>
      <c r="C271" s="9647" t="s">
        <v>146</v>
      </c>
      <c r="D271" s="9648"/>
      <c r="E271" s="9649"/>
      <c r="F271" s="280" t="s">
        <v>156</v>
      </c>
      <c r="G271" s="253"/>
      <c r="H271" s="9579" t="s">
        <v>147</v>
      </c>
      <c r="I271" s="9580"/>
      <c r="J271" s="9581"/>
      <c r="K271" s="280" t="s">
        <v>156</v>
      </c>
      <c r="L271" s="6754" t="s">
        <v>168</v>
      </c>
      <c r="M271" s="7250" t="s">
        <v>641</v>
      </c>
      <c r="N271" s="6826" t="s">
        <v>168</v>
      </c>
      <c r="O271" s="7356" t="s">
        <v>641</v>
      </c>
      <c r="P271" s="6826" t="s">
        <v>168</v>
      </c>
      <c r="Q271" s="7356" t="s">
        <v>641</v>
      </c>
      <c r="R271" s="6616" t="s">
        <v>31</v>
      </c>
      <c r="S271" s="6557"/>
      <c r="T271" s="1033"/>
      <c r="U271" s="263"/>
      <c r="V271" s="99"/>
      <c r="W271" s="138"/>
      <c r="X271" s="138"/>
      <c r="Y271" s="99"/>
      <c r="Z271" s="264"/>
      <c r="AA271" s="277"/>
      <c r="AB271" s="187"/>
    </row>
    <row r="272" spans="1:28" ht="19.899999999999999" customHeight="1">
      <c r="A272" s="11"/>
      <c r="B272" s="5590"/>
      <c r="C272" s="9647" t="s">
        <v>149</v>
      </c>
      <c r="D272" s="9648"/>
      <c r="E272" s="9649"/>
      <c r="F272" s="280" t="s">
        <v>156</v>
      </c>
      <c r="G272" s="253"/>
      <c r="H272" s="9579" t="s">
        <v>150</v>
      </c>
      <c r="I272" s="9580"/>
      <c r="J272" s="9581"/>
      <c r="K272" s="280" t="s">
        <v>156</v>
      </c>
      <c r="L272" s="6761">
        <f>L265/L153</f>
        <v>1</v>
      </c>
      <c r="M272" s="7250" t="s">
        <v>641</v>
      </c>
      <c r="N272" s="6826" t="s">
        <v>168</v>
      </c>
      <c r="O272" s="7356" t="s">
        <v>641</v>
      </c>
      <c r="P272" s="6826" t="s">
        <v>168</v>
      </c>
      <c r="Q272" s="7356" t="s">
        <v>641</v>
      </c>
      <c r="R272" s="6616" t="s">
        <v>31</v>
      </c>
      <c r="S272" s="6557"/>
      <c r="T272" s="1033"/>
      <c r="U272" s="263"/>
      <c r="V272" s="99"/>
      <c r="W272" s="138"/>
      <c r="X272" s="138"/>
      <c r="Y272" s="99"/>
      <c r="Z272" s="264"/>
      <c r="AA272" s="277"/>
      <c r="AB272" s="187"/>
    </row>
    <row r="273" spans="1:28" ht="20.100000000000001" customHeight="1">
      <c r="A273" s="11"/>
      <c r="B273" s="1360"/>
      <c r="C273" s="9594" t="s">
        <v>328</v>
      </c>
      <c r="D273" s="9594"/>
      <c r="E273" s="9594"/>
      <c r="F273" s="280" t="s">
        <v>307</v>
      </c>
      <c r="G273" s="386"/>
      <c r="H273" s="9593" t="s">
        <v>329</v>
      </c>
      <c r="I273" s="9594"/>
      <c r="J273" s="9595"/>
      <c r="K273" s="280" t="s">
        <v>307</v>
      </c>
      <c r="L273" s="6763">
        <f>IF(COUNTBLANK(L274:L279)&gt;0,"미취합법인有",SUM(L274:L279))</f>
        <v>87.456875595606604</v>
      </c>
      <c r="M273" s="7233"/>
      <c r="N273" s="6847">
        <f>IF(COUNTBLANK(N274:N279)&gt;0,"미취합법인有",SUM(N274:N279))</f>
        <v>81.303974009327803</v>
      </c>
      <c r="O273" s="7353"/>
      <c r="P273" s="6913">
        <f>IF(COUNTBLANK(P274:P279)&gt;0,"미취합법인有",SUM(P274:P279))</f>
        <v>98.522129660195176</v>
      </c>
      <c r="Q273" s="7463"/>
      <c r="R273" s="6616" t="s">
        <v>31</v>
      </c>
      <c r="S273" s="6561"/>
      <c r="T273" s="2468" t="s">
        <v>330</v>
      </c>
      <c r="U273" s="276" t="s">
        <v>331</v>
      </c>
      <c r="V273" s="99" t="s">
        <v>206</v>
      </c>
      <c r="W273" s="138"/>
      <c r="X273" s="138"/>
      <c r="Y273" s="99"/>
      <c r="Z273" s="346" t="s">
        <v>332</v>
      </c>
      <c r="AA273" s="265"/>
      <c r="AB273" s="187"/>
    </row>
    <row r="274" spans="1:28" ht="19.899999999999999" customHeight="1">
      <c r="A274" s="11"/>
      <c r="B274" s="5590"/>
      <c r="C274" s="9647" t="s">
        <v>134</v>
      </c>
      <c r="D274" s="9648"/>
      <c r="E274" s="9649"/>
      <c r="F274" s="280" t="s">
        <v>307</v>
      </c>
      <c r="G274" s="253"/>
      <c r="H274" s="9579" t="s">
        <v>135</v>
      </c>
      <c r="I274" s="9580"/>
      <c r="J274" s="9581"/>
      <c r="K274" s="280" t="s">
        <v>307</v>
      </c>
      <c r="L274" s="6754">
        <v>0</v>
      </c>
      <c r="M274" s="7250"/>
      <c r="N274" s="6826">
        <v>0</v>
      </c>
      <c r="O274" s="7250"/>
      <c r="P274" s="6826">
        <v>0</v>
      </c>
      <c r="Q274" s="7250"/>
      <c r="R274" s="6616" t="s">
        <v>31</v>
      </c>
      <c r="S274" s="6557"/>
      <c r="T274" s="1033"/>
      <c r="U274" s="263"/>
      <c r="V274" s="99"/>
      <c r="W274" s="138"/>
      <c r="X274" s="138"/>
      <c r="Y274" s="99"/>
      <c r="Z274" s="264"/>
      <c r="AA274" s="277"/>
      <c r="AB274" s="187"/>
    </row>
    <row r="275" spans="1:28" ht="19.899999999999999" customHeight="1">
      <c r="A275" s="11"/>
      <c r="B275" s="5590"/>
      <c r="C275" s="9647" t="s">
        <v>137</v>
      </c>
      <c r="D275" s="9648"/>
      <c r="E275" s="9649"/>
      <c r="F275" s="280" t="s">
        <v>307</v>
      </c>
      <c r="G275" s="253"/>
      <c r="H275" s="9579" t="s">
        <v>138</v>
      </c>
      <c r="I275" s="9580"/>
      <c r="J275" s="9581"/>
      <c r="K275" s="280" t="s">
        <v>307</v>
      </c>
      <c r="L275" s="6774" t="s">
        <v>168</v>
      </c>
      <c r="M275" s="7250"/>
      <c r="N275" s="6826" t="s">
        <v>168</v>
      </c>
      <c r="O275" s="7356"/>
      <c r="P275" s="6858">
        <v>10.15</v>
      </c>
      <c r="Q275" s="7356"/>
      <c r="R275" s="6616" t="s">
        <v>31</v>
      </c>
      <c r="S275" s="6557" t="s">
        <v>208</v>
      </c>
      <c r="T275" s="1033"/>
      <c r="U275" s="263"/>
      <c r="V275" s="99"/>
      <c r="W275" s="138"/>
      <c r="X275" s="138"/>
      <c r="Y275" s="99"/>
      <c r="Z275" s="264"/>
      <c r="AA275" s="277"/>
      <c r="AB275" s="187"/>
    </row>
    <row r="276" spans="1:28" ht="19.899999999999999" customHeight="1">
      <c r="A276" s="11"/>
      <c r="B276" s="5590"/>
      <c r="C276" s="9647" t="s">
        <v>140</v>
      </c>
      <c r="D276" s="9648"/>
      <c r="E276" s="9649"/>
      <c r="F276" s="280" t="s">
        <v>307</v>
      </c>
      <c r="G276" s="253"/>
      <c r="H276" s="9579" t="s">
        <v>141</v>
      </c>
      <c r="I276" s="9580"/>
      <c r="J276" s="9581"/>
      <c r="K276" s="280" t="s">
        <v>307</v>
      </c>
      <c r="L276" s="6754">
        <v>87.456875595606604</v>
      </c>
      <c r="M276" s="7250"/>
      <c r="N276" s="6826">
        <v>81.303974009327803</v>
      </c>
      <c r="O276" s="7356"/>
      <c r="P276" s="6826">
        <v>88.372129660195171</v>
      </c>
      <c r="Q276" s="7356"/>
      <c r="R276" s="6616" t="s">
        <v>31</v>
      </c>
      <c r="S276" s="6557"/>
      <c r="T276" s="1033"/>
      <c r="U276" s="263"/>
      <c r="V276" s="99"/>
      <c r="W276" s="138"/>
      <c r="X276" s="138"/>
      <c r="Y276" s="99"/>
      <c r="Z276" s="264"/>
      <c r="AA276" s="277"/>
      <c r="AB276" s="187"/>
    </row>
    <row r="277" spans="1:28" ht="19.899999999999999" customHeight="1">
      <c r="A277" s="11"/>
      <c r="B277" s="5590"/>
      <c r="C277" s="9647" t="s">
        <v>143</v>
      </c>
      <c r="D277" s="9648"/>
      <c r="E277" s="9649"/>
      <c r="F277" s="280" t="s">
        <v>307</v>
      </c>
      <c r="G277" s="253"/>
      <c r="H277" s="9579" t="s">
        <v>144</v>
      </c>
      <c r="I277" s="9580"/>
      <c r="J277" s="9581"/>
      <c r="K277" s="280" t="s">
        <v>307</v>
      </c>
      <c r="L277" s="6754">
        <v>0</v>
      </c>
      <c r="M277" s="7250"/>
      <c r="N277" s="6826">
        <v>0</v>
      </c>
      <c r="O277" s="7356"/>
      <c r="P277" s="6826">
        <v>0</v>
      </c>
      <c r="Q277" s="7356"/>
      <c r="R277" s="6616" t="s">
        <v>31</v>
      </c>
      <c r="S277" s="6557"/>
      <c r="T277" s="1033"/>
      <c r="U277" s="263"/>
      <c r="V277" s="99"/>
      <c r="W277" s="138"/>
      <c r="X277" s="138"/>
      <c r="Y277" s="99"/>
      <c r="Z277" s="264"/>
      <c r="AA277" s="277"/>
      <c r="AB277" s="187"/>
    </row>
    <row r="278" spans="1:28" ht="19.899999999999999" customHeight="1">
      <c r="A278" s="11"/>
      <c r="B278" s="5590"/>
      <c r="C278" s="9647" t="s">
        <v>146</v>
      </c>
      <c r="D278" s="9648"/>
      <c r="E278" s="9649"/>
      <c r="F278" s="280" t="s">
        <v>307</v>
      </c>
      <c r="G278" s="253"/>
      <c r="H278" s="9579" t="s">
        <v>147</v>
      </c>
      <c r="I278" s="9580"/>
      <c r="J278" s="9581"/>
      <c r="K278" s="280" t="s">
        <v>307</v>
      </c>
      <c r="L278" s="6774" t="s">
        <v>168</v>
      </c>
      <c r="M278" s="7250"/>
      <c r="N278" s="6826" t="s">
        <v>168</v>
      </c>
      <c r="O278" s="7356"/>
      <c r="P278" s="6826" t="s">
        <v>168</v>
      </c>
      <c r="Q278" s="7356"/>
      <c r="R278" s="6616" t="s">
        <v>31</v>
      </c>
      <c r="S278" s="6557"/>
      <c r="T278" s="1033"/>
      <c r="U278" s="263"/>
      <c r="V278" s="99"/>
      <c r="W278" s="138"/>
      <c r="X278" s="138"/>
      <c r="Y278" s="99"/>
      <c r="Z278" s="264"/>
      <c r="AA278" s="277"/>
      <c r="AB278" s="187"/>
    </row>
    <row r="279" spans="1:28" ht="19.899999999999999" customHeight="1">
      <c r="A279" s="11"/>
      <c r="B279" s="5590"/>
      <c r="C279" s="9647" t="s">
        <v>149</v>
      </c>
      <c r="D279" s="9648"/>
      <c r="E279" s="9649"/>
      <c r="F279" s="280" t="s">
        <v>307</v>
      </c>
      <c r="G279" s="253"/>
      <c r="H279" s="9579" t="s">
        <v>150</v>
      </c>
      <c r="I279" s="9580"/>
      <c r="J279" s="9581"/>
      <c r="K279" s="280" t="s">
        <v>307</v>
      </c>
      <c r="L279" s="6754">
        <v>0</v>
      </c>
      <c r="M279" s="7250"/>
      <c r="N279" s="6826">
        <v>0</v>
      </c>
      <c r="O279" s="7356"/>
      <c r="P279" s="6826">
        <v>0</v>
      </c>
      <c r="Q279" s="7356"/>
      <c r="R279" s="6616" t="s">
        <v>31</v>
      </c>
      <c r="S279" s="6557"/>
      <c r="T279" s="1033"/>
      <c r="U279" s="263"/>
      <c r="V279" s="99"/>
      <c r="W279" s="138"/>
      <c r="X279" s="138"/>
      <c r="Y279" s="99"/>
      <c r="Z279" s="264"/>
      <c r="AA279" s="277"/>
      <c r="AB279" s="187"/>
    </row>
    <row r="280" spans="1:28" ht="20.100000000000001" customHeight="1">
      <c r="A280" s="11"/>
      <c r="B280" s="1360"/>
      <c r="C280" s="5598"/>
      <c r="D280" s="9593" t="s">
        <v>333</v>
      </c>
      <c r="E280" s="9594"/>
      <c r="F280" s="280" t="s">
        <v>307</v>
      </c>
      <c r="G280" s="4544"/>
      <c r="H280" s="358"/>
      <c r="I280" s="9593" t="s">
        <v>334</v>
      </c>
      <c r="J280" s="9594"/>
      <c r="K280" s="280" t="s">
        <v>307</v>
      </c>
      <c r="L280" s="6763">
        <f>IF(COUNTBLANK(L281:L286)&gt;0,"미취합법인有",SUM(L281:L286))</f>
        <v>87.456875595606604</v>
      </c>
      <c r="M280" s="7233"/>
      <c r="N280" s="6847">
        <f>IF(COUNTBLANK(N281:N286)&gt;0,"미취합법인有",SUM(N281:N286))</f>
        <v>81.303974009327803</v>
      </c>
      <c r="O280" s="7353"/>
      <c r="P280" s="6913">
        <f>IF(COUNTBLANK(P281:P286)&gt;0,"미취합법인有",SUM(P281:P286))</f>
        <v>88.372129660195171</v>
      </c>
      <c r="Q280" s="7463"/>
      <c r="R280" s="6616" t="s">
        <v>31</v>
      </c>
      <c r="S280" s="6561"/>
      <c r="T280" s="2468"/>
      <c r="U280" s="276"/>
      <c r="V280" s="99" t="s">
        <v>206</v>
      </c>
      <c r="W280" s="138"/>
      <c r="X280" s="138"/>
      <c r="Y280" s="99"/>
      <c r="Z280" s="346" t="s">
        <v>332</v>
      </c>
      <c r="AA280" s="265"/>
      <c r="AB280" s="187"/>
    </row>
    <row r="281" spans="1:28" ht="19.899999999999999" customHeight="1">
      <c r="A281" s="11"/>
      <c r="B281" s="5590"/>
      <c r="C281" s="5598"/>
      <c r="D281" s="9598" t="s">
        <v>134</v>
      </c>
      <c r="E281" s="9600"/>
      <c r="F281" s="87" t="s">
        <v>255</v>
      </c>
      <c r="G281" s="726"/>
      <c r="H281" s="286"/>
      <c r="I281" s="9579" t="s">
        <v>135</v>
      </c>
      <c r="J281" s="9581"/>
      <c r="K281" s="280" t="s">
        <v>307</v>
      </c>
      <c r="L281" s="6777">
        <v>0</v>
      </c>
      <c r="M281" s="7261"/>
      <c r="N281" s="6855">
        <v>0</v>
      </c>
      <c r="O281" s="7364"/>
      <c r="P281" s="6927">
        <v>0</v>
      </c>
      <c r="Q281" s="7277"/>
      <c r="R281" s="6616" t="s">
        <v>31</v>
      </c>
      <c r="S281" s="6566"/>
      <c r="T281" s="2468"/>
      <c r="U281" s="276"/>
      <c r="V281" s="99"/>
      <c r="W281" s="138"/>
      <c r="X281" s="138"/>
      <c r="Y281" s="99"/>
      <c r="Z281" s="264"/>
      <c r="AA281" s="277"/>
      <c r="AB281" s="187"/>
    </row>
    <row r="282" spans="1:28" ht="19.899999999999999" customHeight="1">
      <c r="A282" s="11"/>
      <c r="B282" s="5590"/>
      <c r="C282" s="5598"/>
      <c r="D282" s="9598" t="s">
        <v>137</v>
      </c>
      <c r="E282" s="9600"/>
      <c r="F282" s="87" t="s">
        <v>255</v>
      </c>
      <c r="G282" s="726"/>
      <c r="H282" s="286"/>
      <c r="I282" s="9579" t="s">
        <v>138</v>
      </c>
      <c r="J282" s="9581"/>
      <c r="K282" s="280" t="s">
        <v>307</v>
      </c>
      <c r="L282" s="6754" t="s">
        <v>178</v>
      </c>
      <c r="M282" s="7249"/>
      <c r="N282" s="6826" t="s">
        <v>178</v>
      </c>
      <c r="O282" s="7355"/>
      <c r="P282" s="6826" t="s">
        <v>178</v>
      </c>
      <c r="Q282" s="7245"/>
      <c r="R282" s="6616" t="s">
        <v>31</v>
      </c>
      <c r="S282" s="6557"/>
      <c r="T282" s="2468"/>
      <c r="U282" s="276"/>
      <c r="V282" s="99"/>
      <c r="W282" s="138"/>
      <c r="X282" s="138"/>
      <c r="Y282" s="99"/>
      <c r="Z282" s="264"/>
      <c r="AA282" s="277"/>
      <c r="AB282" s="187"/>
    </row>
    <row r="283" spans="1:28" ht="19.899999999999999" customHeight="1">
      <c r="A283" s="11"/>
      <c r="B283" s="5590"/>
      <c r="C283" s="5598"/>
      <c r="D283" s="9598" t="s">
        <v>140</v>
      </c>
      <c r="E283" s="9600"/>
      <c r="F283" s="87" t="s">
        <v>255</v>
      </c>
      <c r="G283" s="726"/>
      <c r="H283" s="286"/>
      <c r="I283" s="9582" t="s">
        <v>141</v>
      </c>
      <c r="J283" s="9583"/>
      <c r="K283" s="280" t="s">
        <v>307</v>
      </c>
      <c r="L283" s="6752">
        <v>87.456875595606604</v>
      </c>
      <c r="M283" s="7260"/>
      <c r="N283" s="6848">
        <v>81.303974009327803</v>
      </c>
      <c r="O283" s="7362"/>
      <c r="P283" s="6901">
        <v>88.372129660195171</v>
      </c>
      <c r="Q283" s="7459"/>
      <c r="R283" s="6616" t="s">
        <v>31</v>
      </c>
      <c r="S283" s="6632"/>
      <c r="T283" s="2468"/>
      <c r="U283" s="276"/>
      <c r="V283" s="99"/>
      <c r="W283" s="138"/>
      <c r="X283" s="138"/>
      <c r="Y283" s="99"/>
      <c r="Z283" s="264"/>
      <c r="AA283" s="277"/>
      <c r="AB283" s="187"/>
    </row>
    <row r="284" spans="1:28" ht="19.899999999999999" customHeight="1">
      <c r="A284" s="11"/>
      <c r="B284" s="5590"/>
      <c r="C284" s="5598"/>
      <c r="D284" s="9598" t="s">
        <v>143</v>
      </c>
      <c r="E284" s="9600"/>
      <c r="F284" s="87" t="s">
        <v>255</v>
      </c>
      <c r="G284" s="726"/>
      <c r="H284" s="286"/>
      <c r="I284" s="9582" t="s">
        <v>144</v>
      </c>
      <c r="J284" s="9583"/>
      <c r="K284" s="280" t="s">
        <v>307</v>
      </c>
      <c r="L284" s="6777">
        <v>0</v>
      </c>
      <c r="M284" s="7267"/>
      <c r="N284" s="6855">
        <v>0</v>
      </c>
      <c r="O284" s="7370"/>
      <c r="P284" s="6927">
        <v>0</v>
      </c>
      <c r="Q284" s="7356"/>
      <c r="R284" s="6616" t="s">
        <v>31</v>
      </c>
      <c r="S284" s="6557"/>
      <c r="T284" s="2468"/>
      <c r="U284" s="276"/>
      <c r="V284" s="99"/>
      <c r="W284" s="138"/>
      <c r="X284" s="138"/>
      <c r="Y284" s="99"/>
      <c r="Z284" s="264"/>
      <c r="AA284" s="277"/>
      <c r="AB284" s="187"/>
    </row>
    <row r="285" spans="1:28" ht="19.899999999999999" customHeight="1">
      <c r="A285" s="11"/>
      <c r="B285" s="5590"/>
      <c r="C285" s="5598"/>
      <c r="D285" s="9598" t="s">
        <v>146</v>
      </c>
      <c r="E285" s="9600"/>
      <c r="F285" s="87" t="s">
        <v>255</v>
      </c>
      <c r="G285" s="726"/>
      <c r="H285" s="286"/>
      <c r="I285" s="9582" t="s">
        <v>147</v>
      </c>
      <c r="J285" s="9583"/>
      <c r="K285" s="280" t="s">
        <v>307</v>
      </c>
      <c r="L285" s="6774" t="s">
        <v>168</v>
      </c>
      <c r="M285" s="7250"/>
      <c r="N285" s="6826" t="s">
        <v>168</v>
      </c>
      <c r="O285" s="7356"/>
      <c r="P285" s="6826" t="s">
        <v>168</v>
      </c>
      <c r="Q285" s="7356"/>
      <c r="R285" s="6616" t="s">
        <v>31</v>
      </c>
      <c r="S285" s="6557"/>
      <c r="T285" s="2468"/>
      <c r="U285" s="276"/>
      <c r="V285" s="99"/>
      <c r="W285" s="138"/>
      <c r="X285" s="138"/>
      <c r="Y285" s="99"/>
      <c r="Z285" s="264"/>
      <c r="AA285" s="277"/>
      <c r="AB285" s="187"/>
    </row>
    <row r="286" spans="1:28" ht="19.899999999999999" customHeight="1">
      <c r="A286" s="11"/>
      <c r="B286" s="5590"/>
      <c r="C286" s="5598"/>
      <c r="D286" s="9598" t="s">
        <v>149</v>
      </c>
      <c r="E286" s="9600"/>
      <c r="F286" s="87" t="s">
        <v>255</v>
      </c>
      <c r="G286" s="726"/>
      <c r="H286" s="286"/>
      <c r="I286" s="9582" t="s">
        <v>150</v>
      </c>
      <c r="J286" s="9583"/>
      <c r="K286" s="280" t="s">
        <v>307</v>
      </c>
      <c r="L286" s="6754">
        <v>0</v>
      </c>
      <c r="M286" s="7250"/>
      <c r="N286" s="6826">
        <v>0</v>
      </c>
      <c r="O286" s="7356"/>
      <c r="P286" s="6826">
        <v>0</v>
      </c>
      <c r="Q286" s="7356"/>
      <c r="R286" s="6616" t="s">
        <v>31</v>
      </c>
      <c r="S286" s="6557"/>
      <c r="T286" s="2468"/>
      <c r="U286" s="276"/>
      <c r="V286" s="99"/>
      <c r="W286" s="138"/>
      <c r="X286" s="138"/>
      <c r="Y286" s="99"/>
      <c r="Z286" s="264"/>
      <c r="AA286" s="277"/>
      <c r="AB286" s="187"/>
    </row>
    <row r="287" spans="1:28" ht="20.100000000000001" customHeight="1">
      <c r="A287" s="11"/>
      <c r="B287" s="1360"/>
      <c r="C287" s="5598"/>
      <c r="D287" s="9593" t="s">
        <v>335</v>
      </c>
      <c r="E287" s="9594"/>
      <c r="F287" s="280" t="s">
        <v>307</v>
      </c>
      <c r="G287" s="4544"/>
      <c r="H287" s="358"/>
      <c r="I287" s="9593" t="s">
        <v>336</v>
      </c>
      <c r="J287" s="9594"/>
      <c r="K287" s="280" t="s">
        <v>307</v>
      </c>
      <c r="L287" s="6763">
        <f>IF(COUNTBLANK(L288:L293)&gt;0,"미취합법인有",SUM(L288:L293))</f>
        <v>0</v>
      </c>
      <c r="M287" s="7233"/>
      <c r="N287" s="6847">
        <f>IF(COUNTBLANK(N288:N293)&gt;0,"미취합법인有",SUM(N288:N293))</f>
        <v>0</v>
      </c>
      <c r="O287" s="7353"/>
      <c r="P287" s="6913">
        <f>IF(COUNTBLANK(P288:P293)&gt;0,"미취합법인有",SUM(P288:P293))</f>
        <v>0</v>
      </c>
      <c r="Q287" s="7463"/>
      <c r="R287" s="6616" t="s">
        <v>31</v>
      </c>
      <c r="S287" s="6561"/>
      <c r="T287" s="2468"/>
      <c r="U287" s="276"/>
      <c r="V287" s="99" t="s">
        <v>206</v>
      </c>
      <c r="W287" s="138"/>
      <c r="X287" s="138"/>
      <c r="Y287" s="99"/>
      <c r="Z287" s="346" t="s">
        <v>332</v>
      </c>
      <c r="AA287" s="265"/>
      <c r="AB287" s="187"/>
    </row>
    <row r="288" spans="1:28" ht="19.899999999999999" customHeight="1">
      <c r="A288" s="11"/>
      <c r="B288" s="5590"/>
      <c r="C288" s="5598"/>
      <c r="D288" s="9598" t="s">
        <v>134</v>
      </c>
      <c r="E288" s="9600"/>
      <c r="F288" s="87" t="s">
        <v>255</v>
      </c>
      <c r="G288" s="726"/>
      <c r="H288" s="286"/>
      <c r="I288" s="9579" t="s">
        <v>135</v>
      </c>
      <c r="J288" s="9581"/>
      <c r="K288" s="280" t="s">
        <v>307</v>
      </c>
      <c r="L288" s="6777">
        <v>0</v>
      </c>
      <c r="M288" s="7261"/>
      <c r="N288" s="6855">
        <v>0</v>
      </c>
      <c r="O288" s="7364"/>
      <c r="P288" s="6927">
        <v>0</v>
      </c>
      <c r="Q288" s="7277"/>
      <c r="R288" s="6616" t="s">
        <v>31</v>
      </c>
      <c r="S288" s="6566"/>
      <c r="T288" s="2468"/>
      <c r="U288" s="276"/>
      <c r="V288" s="99"/>
      <c r="W288" s="138"/>
      <c r="X288" s="138"/>
      <c r="Y288" s="99"/>
      <c r="Z288" s="264"/>
      <c r="AA288" s="277"/>
      <c r="AB288" s="187"/>
    </row>
    <row r="289" spans="1:28" ht="19.899999999999999" customHeight="1">
      <c r="A289" s="11"/>
      <c r="B289" s="5590"/>
      <c r="C289" s="5598"/>
      <c r="D289" s="9598" t="s">
        <v>137</v>
      </c>
      <c r="E289" s="9600"/>
      <c r="F289" s="87" t="s">
        <v>255</v>
      </c>
      <c r="G289" s="726"/>
      <c r="H289" s="286"/>
      <c r="I289" s="9579" t="s">
        <v>138</v>
      </c>
      <c r="J289" s="9581"/>
      <c r="K289" s="280" t="s">
        <v>307</v>
      </c>
      <c r="L289" s="6754" t="s">
        <v>178</v>
      </c>
      <c r="M289" s="7249"/>
      <c r="N289" s="6826" t="s">
        <v>178</v>
      </c>
      <c r="O289" s="7355"/>
      <c r="P289" s="6826" t="s">
        <v>178</v>
      </c>
      <c r="Q289" s="7245"/>
      <c r="R289" s="6616" t="s">
        <v>31</v>
      </c>
      <c r="S289" s="6557"/>
      <c r="T289" s="2468"/>
      <c r="U289" s="276"/>
      <c r="V289" s="99"/>
      <c r="W289" s="138"/>
      <c r="X289" s="138"/>
      <c r="Y289" s="99"/>
      <c r="Z289" s="264"/>
      <c r="AA289" s="277"/>
      <c r="AB289" s="187"/>
    </row>
    <row r="290" spans="1:28" ht="19.899999999999999" customHeight="1">
      <c r="A290" s="11"/>
      <c r="B290" s="5590"/>
      <c r="C290" s="5598"/>
      <c r="D290" s="9598" t="s">
        <v>140</v>
      </c>
      <c r="E290" s="9600"/>
      <c r="F290" s="87" t="s">
        <v>255</v>
      </c>
      <c r="G290" s="726"/>
      <c r="H290" s="286"/>
      <c r="I290" s="9582" t="s">
        <v>141</v>
      </c>
      <c r="J290" s="9583"/>
      <c r="K290" s="280" t="s">
        <v>307</v>
      </c>
      <c r="L290" s="6774" t="s">
        <v>168</v>
      </c>
      <c r="M290" s="7250"/>
      <c r="N290" s="6826" t="s">
        <v>168</v>
      </c>
      <c r="O290" s="7356"/>
      <c r="P290" s="6826" t="s">
        <v>168</v>
      </c>
      <c r="Q290" s="7356"/>
      <c r="R290" s="6616" t="s">
        <v>31</v>
      </c>
      <c r="S290" s="6557"/>
      <c r="T290" s="2468"/>
      <c r="U290" s="276"/>
      <c r="V290" s="99"/>
      <c r="W290" s="138"/>
      <c r="X290" s="138"/>
      <c r="Y290" s="99"/>
      <c r="Z290" s="264"/>
      <c r="AA290" s="277"/>
      <c r="AB290" s="187"/>
    </row>
    <row r="291" spans="1:28" ht="19.899999999999999" customHeight="1">
      <c r="A291" s="11"/>
      <c r="B291" s="5590"/>
      <c r="C291" s="5598"/>
      <c r="D291" s="9598" t="s">
        <v>143</v>
      </c>
      <c r="E291" s="9600"/>
      <c r="F291" s="87" t="s">
        <v>255</v>
      </c>
      <c r="G291" s="726"/>
      <c r="H291" s="286"/>
      <c r="I291" s="9582" t="s">
        <v>144</v>
      </c>
      <c r="J291" s="9583"/>
      <c r="K291" s="280" t="s">
        <v>307</v>
      </c>
      <c r="L291" s="6777">
        <v>0</v>
      </c>
      <c r="M291" s="7267"/>
      <c r="N291" s="6855">
        <v>0</v>
      </c>
      <c r="O291" s="7370"/>
      <c r="P291" s="6927">
        <v>0</v>
      </c>
      <c r="Q291" s="7356"/>
      <c r="R291" s="6616" t="s">
        <v>31</v>
      </c>
      <c r="S291" s="6557"/>
      <c r="T291" s="2468"/>
      <c r="U291" s="276"/>
      <c r="V291" s="99"/>
      <c r="W291" s="138"/>
      <c r="X291" s="138"/>
      <c r="Y291" s="99"/>
      <c r="Z291" s="264"/>
      <c r="AA291" s="277"/>
      <c r="AB291" s="187"/>
    </row>
    <row r="292" spans="1:28" ht="19.899999999999999" customHeight="1">
      <c r="A292" s="11"/>
      <c r="B292" s="5590"/>
      <c r="C292" s="5598"/>
      <c r="D292" s="9598" t="s">
        <v>146</v>
      </c>
      <c r="E292" s="9600"/>
      <c r="F292" s="87" t="s">
        <v>255</v>
      </c>
      <c r="G292" s="726"/>
      <c r="H292" s="286"/>
      <c r="I292" s="9582" t="s">
        <v>147</v>
      </c>
      <c r="J292" s="9583"/>
      <c r="K292" s="280" t="s">
        <v>307</v>
      </c>
      <c r="L292" s="6774" t="s">
        <v>168</v>
      </c>
      <c r="M292" s="7250"/>
      <c r="N292" s="6826" t="s">
        <v>168</v>
      </c>
      <c r="O292" s="7356"/>
      <c r="P292" s="6826" t="s">
        <v>168</v>
      </c>
      <c r="Q292" s="7356"/>
      <c r="R292" s="6616" t="s">
        <v>31</v>
      </c>
      <c r="S292" s="6557"/>
      <c r="T292" s="2468"/>
      <c r="U292" s="276"/>
      <c r="V292" s="99"/>
      <c r="W292" s="138"/>
      <c r="X292" s="138"/>
      <c r="Y292" s="99"/>
      <c r="Z292" s="264"/>
      <c r="AA292" s="277"/>
      <c r="AB292" s="187"/>
    </row>
    <row r="293" spans="1:28" ht="19.899999999999999" customHeight="1">
      <c r="A293" s="11"/>
      <c r="B293" s="5590"/>
      <c r="C293" s="5598"/>
      <c r="D293" s="9598" t="s">
        <v>149</v>
      </c>
      <c r="E293" s="9600"/>
      <c r="F293" s="87" t="s">
        <v>255</v>
      </c>
      <c r="G293" s="726"/>
      <c r="H293" s="286"/>
      <c r="I293" s="9582" t="s">
        <v>150</v>
      </c>
      <c r="J293" s="9583"/>
      <c r="K293" s="280" t="s">
        <v>307</v>
      </c>
      <c r="L293" s="6754">
        <v>0</v>
      </c>
      <c r="M293" s="7250"/>
      <c r="N293" s="6826">
        <v>0</v>
      </c>
      <c r="O293" s="7356"/>
      <c r="P293" s="6826">
        <v>0</v>
      </c>
      <c r="Q293" s="7356"/>
      <c r="R293" s="6616" t="s">
        <v>31</v>
      </c>
      <c r="S293" s="6557"/>
      <c r="T293" s="2468"/>
      <c r="U293" s="276"/>
      <c r="V293" s="99"/>
      <c r="W293" s="138"/>
      <c r="X293" s="138"/>
      <c r="Y293" s="99"/>
      <c r="Z293" s="264"/>
      <c r="AA293" s="277"/>
      <c r="AB293" s="187"/>
    </row>
    <row r="294" spans="1:28" ht="20.100000000000001" customHeight="1">
      <c r="A294" s="11"/>
      <c r="B294" s="1360"/>
      <c r="C294" s="9646" t="s">
        <v>337</v>
      </c>
      <c r="D294" s="9646"/>
      <c r="E294" s="9646"/>
      <c r="F294" s="280" t="s">
        <v>156</v>
      </c>
      <c r="G294" s="386"/>
      <c r="H294" s="9646" t="s">
        <v>338</v>
      </c>
      <c r="I294" s="9646"/>
      <c r="J294" s="9646"/>
      <c r="K294" s="280" t="s">
        <v>156</v>
      </c>
      <c r="L294" s="6763" t="str">
        <f>IF(COUNTBLANK(L295:L300)&gt;0,"미취합법인有",AVERAGE(L295:L300))</f>
        <v>미취합법인有</v>
      </c>
      <c r="M294" s="7233"/>
      <c r="N294" s="6847" t="str">
        <f>IF(COUNTBLANK(N295:N300)&gt;0,"미취합법인有",AVERAGE(N295:N300))</f>
        <v>미취합법인有</v>
      </c>
      <c r="O294" s="7353"/>
      <c r="P294" s="6913" t="str">
        <f>IF(COUNTBLANK(P295:P300)&gt;0,"미취합법인有",AVERAGE(P295:P300))</f>
        <v>미취합법인有</v>
      </c>
      <c r="Q294" s="7463"/>
      <c r="R294" s="6616" t="s">
        <v>31</v>
      </c>
      <c r="S294" s="6561"/>
      <c r="T294" s="2468" t="s">
        <v>339</v>
      </c>
      <c r="U294" s="276" t="s">
        <v>340</v>
      </c>
      <c r="V294" s="99" t="s">
        <v>206</v>
      </c>
      <c r="W294" s="138"/>
      <c r="X294" s="138"/>
      <c r="Y294" s="99"/>
      <c r="Z294" s="346"/>
      <c r="AA294" s="265"/>
      <c r="AB294" s="187" t="s">
        <v>261</v>
      </c>
    </row>
    <row r="295" spans="1:28" ht="19.899999999999999" customHeight="1">
      <c r="A295" s="11"/>
      <c r="B295" s="5590"/>
      <c r="C295" s="9647" t="s">
        <v>134</v>
      </c>
      <c r="D295" s="9648"/>
      <c r="E295" s="9649"/>
      <c r="F295" s="280" t="s">
        <v>156</v>
      </c>
      <c r="G295" s="253"/>
      <c r="H295" s="9579" t="s">
        <v>135</v>
      </c>
      <c r="I295" s="9580"/>
      <c r="J295" s="9581"/>
      <c r="K295" s="280" t="s">
        <v>156</v>
      </c>
      <c r="L295" s="6754"/>
      <c r="M295" s="7250"/>
      <c r="N295" s="6826"/>
      <c r="O295" s="7250"/>
      <c r="P295" s="6826"/>
      <c r="Q295" s="7250"/>
      <c r="R295" s="6616" t="s">
        <v>31</v>
      </c>
      <c r="S295" s="6557"/>
      <c r="T295" s="1033"/>
      <c r="U295" s="263"/>
      <c r="V295" s="99"/>
      <c r="W295" s="138"/>
      <c r="X295" s="138"/>
      <c r="Y295" s="99"/>
      <c r="Z295" s="264"/>
      <c r="AA295" s="277"/>
      <c r="AB295" s="187"/>
    </row>
    <row r="296" spans="1:28" ht="19.899999999999999" customHeight="1">
      <c r="A296" s="11"/>
      <c r="B296" s="5590"/>
      <c r="C296" s="9647" t="s">
        <v>137</v>
      </c>
      <c r="D296" s="9648"/>
      <c r="E296" s="9649"/>
      <c r="F296" s="280" t="s">
        <v>156</v>
      </c>
      <c r="G296" s="253"/>
      <c r="H296" s="9579" t="s">
        <v>138</v>
      </c>
      <c r="I296" s="9580"/>
      <c r="J296" s="9581"/>
      <c r="K296" s="280" t="s">
        <v>156</v>
      </c>
      <c r="L296" s="6754"/>
      <c r="M296" s="7250"/>
      <c r="N296" s="6826"/>
      <c r="O296" s="7356"/>
      <c r="P296" s="6826"/>
      <c r="Q296" s="7356"/>
      <c r="R296" s="6616" t="s">
        <v>31</v>
      </c>
      <c r="S296" s="6557"/>
      <c r="T296" s="1033"/>
      <c r="U296" s="263"/>
      <c r="V296" s="99"/>
      <c r="W296" s="138"/>
      <c r="X296" s="138"/>
      <c r="Y296" s="99"/>
      <c r="Z296" s="264"/>
      <c r="AA296" s="277"/>
      <c r="AB296" s="187"/>
    </row>
    <row r="297" spans="1:28" ht="19.899999999999999" customHeight="1">
      <c r="A297" s="11"/>
      <c r="B297" s="5590"/>
      <c r="C297" s="9647" t="s">
        <v>140</v>
      </c>
      <c r="D297" s="9648"/>
      <c r="E297" s="9649"/>
      <c r="F297" s="280" t="s">
        <v>156</v>
      </c>
      <c r="G297" s="253"/>
      <c r="H297" s="9579" t="s">
        <v>141</v>
      </c>
      <c r="I297" s="9580"/>
      <c r="J297" s="9581"/>
      <c r="K297" s="280" t="s">
        <v>156</v>
      </c>
      <c r="L297" s="6754">
        <f>0.29822608232135*100</f>
        <v>29.822608232135</v>
      </c>
      <c r="M297" s="7250"/>
      <c r="N297" s="6826">
        <f>0.315234105244593*100</f>
        <v>31.523410524459301</v>
      </c>
      <c r="O297" s="7356"/>
      <c r="P297" s="6826">
        <f>0.332215925065703*100</f>
        <v>33.221592506570303</v>
      </c>
      <c r="Q297" s="7356"/>
      <c r="R297" s="6616" t="s">
        <v>31</v>
      </c>
      <c r="S297" s="6557"/>
      <c r="T297" s="1033"/>
      <c r="U297" s="263"/>
      <c r="V297" s="99"/>
      <c r="W297" s="138"/>
      <c r="X297" s="138"/>
      <c r="Y297" s="99"/>
      <c r="Z297" s="264"/>
      <c r="AA297" s="277"/>
      <c r="AB297" s="187"/>
    </row>
    <row r="298" spans="1:28" ht="19.899999999999999" customHeight="1">
      <c r="A298" s="11"/>
      <c r="B298" s="5590"/>
      <c r="C298" s="9647" t="s">
        <v>143</v>
      </c>
      <c r="D298" s="9648"/>
      <c r="E298" s="9649"/>
      <c r="F298" s="280" t="s">
        <v>156</v>
      </c>
      <c r="G298" s="253"/>
      <c r="H298" s="9579" t="s">
        <v>144</v>
      </c>
      <c r="I298" s="9580"/>
      <c r="J298" s="9581"/>
      <c r="K298" s="280" t="s">
        <v>156</v>
      </c>
      <c r="L298" s="6754"/>
      <c r="M298" s="7250"/>
      <c r="N298" s="6826"/>
      <c r="O298" s="7356"/>
      <c r="P298" s="6826"/>
      <c r="Q298" s="7356"/>
      <c r="R298" s="6616" t="s">
        <v>31</v>
      </c>
      <c r="S298" s="6557"/>
      <c r="T298" s="1033"/>
      <c r="U298" s="263"/>
      <c r="V298" s="99"/>
      <c r="W298" s="138"/>
      <c r="X298" s="138"/>
      <c r="Y298" s="99"/>
      <c r="Z298" s="264"/>
      <c r="AA298" s="277"/>
      <c r="AB298" s="187"/>
    </row>
    <row r="299" spans="1:28" ht="19.899999999999999" customHeight="1">
      <c r="A299" s="11"/>
      <c r="B299" s="5590"/>
      <c r="C299" s="9647" t="s">
        <v>146</v>
      </c>
      <c r="D299" s="9648"/>
      <c r="E299" s="9649"/>
      <c r="F299" s="280" t="s">
        <v>156</v>
      </c>
      <c r="G299" s="253"/>
      <c r="H299" s="9579" t="s">
        <v>147</v>
      </c>
      <c r="I299" s="9580"/>
      <c r="J299" s="9581"/>
      <c r="K299" s="280" t="s">
        <v>156</v>
      </c>
      <c r="L299" s="6774" t="s">
        <v>168</v>
      </c>
      <c r="M299" s="7250"/>
      <c r="N299" s="6826" t="s">
        <v>168</v>
      </c>
      <c r="O299" s="7356"/>
      <c r="P299" s="6826" t="s">
        <v>168</v>
      </c>
      <c r="Q299" s="7356"/>
      <c r="R299" s="6616" t="s">
        <v>31</v>
      </c>
      <c r="S299" s="6557"/>
      <c r="T299" s="1033"/>
      <c r="U299" s="263"/>
      <c r="V299" s="99"/>
      <c r="W299" s="138"/>
      <c r="X299" s="138"/>
      <c r="Y299" s="99"/>
      <c r="Z299" s="264"/>
      <c r="AA299" s="277"/>
      <c r="AB299" s="187"/>
    </row>
    <row r="300" spans="1:28" ht="19.899999999999999" customHeight="1">
      <c r="A300" s="11"/>
      <c r="B300" s="5590"/>
      <c r="C300" s="9647" t="s">
        <v>149</v>
      </c>
      <c r="D300" s="9648"/>
      <c r="E300" s="9649"/>
      <c r="F300" s="280" t="s">
        <v>156</v>
      </c>
      <c r="G300" s="253"/>
      <c r="H300" s="9579" t="s">
        <v>150</v>
      </c>
      <c r="I300" s="9580"/>
      <c r="J300" s="9581"/>
      <c r="K300" s="280" t="s">
        <v>156</v>
      </c>
      <c r="L300" s="6754">
        <v>0</v>
      </c>
      <c r="M300" s="7250"/>
      <c r="N300" s="6826">
        <v>0</v>
      </c>
      <c r="O300" s="7356"/>
      <c r="P300" s="6826">
        <v>0</v>
      </c>
      <c r="Q300" s="7356"/>
      <c r="R300" s="6616" t="s">
        <v>31</v>
      </c>
      <c r="S300" s="6557"/>
      <c r="T300" s="1033"/>
      <c r="U300" s="263"/>
      <c r="V300" s="99"/>
      <c r="W300" s="138"/>
      <c r="X300" s="138"/>
      <c r="Y300" s="99"/>
      <c r="Z300" s="264"/>
      <c r="AA300" s="264"/>
      <c r="AB300" s="187"/>
    </row>
    <row r="301" spans="1:28" ht="20.100000000000001" customHeight="1">
      <c r="A301" s="11"/>
      <c r="B301" s="1360"/>
      <c r="C301" s="5598"/>
      <c r="D301" s="9635" t="s">
        <v>677</v>
      </c>
      <c r="E301" s="9636"/>
      <c r="F301" s="295" t="s">
        <v>307</v>
      </c>
      <c r="G301" s="106"/>
      <c r="H301" s="6192"/>
      <c r="I301" s="9635" t="s">
        <v>274</v>
      </c>
      <c r="J301" s="9636"/>
      <c r="K301" s="280" t="s">
        <v>307</v>
      </c>
      <c r="L301" s="6763" t="str">
        <f>IF(COUNTBLANK(L302:L307)&gt;0,"미취합법인有",SUM(L302:L307))</f>
        <v>미취합법인有</v>
      </c>
      <c r="M301" s="7233"/>
      <c r="N301" s="6847" t="str">
        <f>IF(COUNTBLANK(N302:N307)&gt;0,"미취합법인有",SUM(N302:N307))</f>
        <v>미취합법인有</v>
      </c>
      <c r="O301" s="7353"/>
      <c r="P301" s="6913" t="str">
        <f>IF(COUNTBLANK(P302:P307)&gt;0,"미취합법인有",SUM(P302:P307))</f>
        <v>미취합법인有</v>
      </c>
      <c r="Q301" s="7463"/>
      <c r="R301" s="6659" t="s">
        <v>155</v>
      </c>
      <c r="S301" s="6561"/>
      <c r="T301" s="2468"/>
      <c r="U301" s="276"/>
      <c r="V301" s="99" t="s">
        <v>206</v>
      </c>
      <c r="W301" s="138"/>
      <c r="X301" s="138"/>
      <c r="Y301" s="99"/>
      <c r="Z301" s="264" t="s">
        <v>277</v>
      </c>
      <c r="AA301" s="264"/>
      <c r="AB301" s="187"/>
    </row>
    <row r="302" spans="1:28" ht="19.899999999999999" customHeight="1">
      <c r="A302" s="11"/>
      <c r="B302" s="5590"/>
      <c r="C302" s="5598"/>
      <c r="D302" s="9598" t="s">
        <v>134</v>
      </c>
      <c r="E302" s="9600"/>
      <c r="F302" s="87" t="s">
        <v>255</v>
      </c>
      <c r="G302" s="253"/>
      <c r="H302" s="6192"/>
      <c r="I302" s="9579" t="s">
        <v>135</v>
      </c>
      <c r="J302" s="9581"/>
      <c r="K302" s="280" t="s">
        <v>307</v>
      </c>
      <c r="L302" s="6777"/>
      <c r="M302" s="7261"/>
      <c r="N302" s="6855"/>
      <c r="O302" s="7364"/>
      <c r="P302" s="6927"/>
      <c r="Q302" s="7277"/>
      <c r="R302" s="6659" t="s">
        <v>155</v>
      </c>
      <c r="S302" s="6566"/>
      <c r="T302" s="2468"/>
      <c r="U302" s="276"/>
      <c r="V302" s="99"/>
      <c r="W302" s="138"/>
      <c r="X302" s="138"/>
      <c r="Y302" s="99"/>
      <c r="Z302" s="264"/>
      <c r="AA302" s="264"/>
      <c r="AB302" s="187"/>
    </row>
    <row r="303" spans="1:28" ht="19.899999999999999" customHeight="1">
      <c r="A303" s="11"/>
      <c r="B303" s="5590"/>
      <c r="C303" s="5598"/>
      <c r="D303" s="9598" t="s">
        <v>137</v>
      </c>
      <c r="E303" s="9600"/>
      <c r="F303" s="87" t="s">
        <v>255</v>
      </c>
      <c r="G303" s="253"/>
      <c r="H303" s="6192"/>
      <c r="I303" s="9579" t="s">
        <v>138</v>
      </c>
      <c r="J303" s="9581"/>
      <c r="K303" s="280" t="s">
        <v>307</v>
      </c>
      <c r="L303" s="6753"/>
      <c r="M303" s="7249"/>
      <c r="N303" s="6825"/>
      <c r="O303" s="7355"/>
      <c r="P303" s="6922"/>
      <c r="Q303" s="7245"/>
      <c r="R303" s="6659" t="s">
        <v>155</v>
      </c>
      <c r="S303" s="6561"/>
      <c r="T303" s="2468"/>
      <c r="U303" s="276"/>
      <c r="V303" s="99"/>
      <c r="W303" s="138"/>
      <c r="X303" s="138"/>
      <c r="Y303" s="99"/>
      <c r="Z303" s="264"/>
      <c r="AA303" s="264"/>
      <c r="AB303" s="187"/>
    </row>
    <row r="304" spans="1:28" ht="19.899999999999999" customHeight="1">
      <c r="A304" s="11"/>
      <c r="B304" s="5590"/>
      <c r="C304" s="5598"/>
      <c r="D304" s="9598" t="s">
        <v>140</v>
      </c>
      <c r="E304" s="9600"/>
      <c r="F304" s="87" t="s">
        <v>255</v>
      </c>
      <c r="G304" s="253"/>
      <c r="H304" s="6192"/>
      <c r="I304" s="9582" t="s">
        <v>141</v>
      </c>
      <c r="J304" s="9583"/>
      <c r="K304" s="280" t="s">
        <v>307</v>
      </c>
      <c r="L304" s="6752">
        <v>87.456875595606604</v>
      </c>
      <c r="M304" s="7263"/>
      <c r="N304" s="6848">
        <v>81.303974009327803</v>
      </c>
      <c r="O304" s="7365"/>
      <c r="P304" s="6901">
        <v>88.372129660195171</v>
      </c>
      <c r="Q304" s="7459"/>
      <c r="R304" s="6659" t="s">
        <v>155</v>
      </c>
      <c r="S304" s="6632"/>
      <c r="T304" s="2468"/>
      <c r="U304" s="276"/>
      <c r="V304" s="99"/>
      <c r="W304" s="138"/>
      <c r="X304" s="138"/>
      <c r="Y304" s="99"/>
      <c r="Z304" s="264"/>
      <c r="AA304" s="264"/>
      <c r="AB304" s="187"/>
    </row>
    <row r="305" spans="1:28" ht="19.899999999999999" customHeight="1">
      <c r="A305" s="11"/>
      <c r="B305" s="5590"/>
      <c r="C305" s="5598"/>
      <c r="D305" s="9598" t="s">
        <v>143</v>
      </c>
      <c r="E305" s="9600"/>
      <c r="F305" s="87" t="s">
        <v>255</v>
      </c>
      <c r="G305" s="253"/>
      <c r="H305" s="6192"/>
      <c r="I305" s="9582" t="s">
        <v>144</v>
      </c>
      <c r="J305" s="9583"/>
      <c r="K305" s="280" t="s">
        <v>307</v>
      </c>
      <c r="L305" s="6754"/>
      <c r="M305" s="7250"/>
      <c r="N305" s="6826"/>
      <c r="O305" s="7356"/>
      <c r="P305" s="6826"/>
      <c r="Q305" s="7356"/>
      <c r="R305" s="6659" t="s">
        <v>155</v>
      </c>
      <c r="S305" s="6557"/>
      <c r="T305" s="2468"/>
      <c r="U305" s="276"/>
      <c r="V305" s="99"/>
      <c r="W305" s="138"/>
      <c r="X305" s="138"/>
      <c r="Y305" s="99"/>
      <c r="Z305" s="264"/>
      <c r="AA305" s="264"/>
      <c r="AB305" s="187"/>
    </row>
    <row r="306" spans="1:28" ht="19.899999999999999" customHeight="1">
      <c r="A306" s="11"/>
      <c r="B306" s="5590"/>
      <c r="C306" s="5598"/>
      <c r="D306" s="9598" t="s">
        <v>146</v>
      </c>
      <c r="E306" s="9600"/>
      <c r="F306" s="87" t="s">
        <v>255</v>
      </c>
      <c r="G306" s="253"/>
      <c r="H306" s="6192"/>
      <c r="I306" s="9582" t="s">
        <v>147</v>
      </c>
      <c r="J306" s="9583"/>
      <c r="K306" s="280" t="s">
        <v>307</v>
      </c>
      <c r="L306" s="6774" t="s">
        <v>168</v>
      </c>
      <c r="M306" s="7250" t="s">
        <v>641</v>
      </c>
      <c r="N306" s="6826" t="s">
        <v>168</v>
      </c>
      <c r="O306" s="7356" t="s">
        <v>641</v>
      </c>
      <c r="P306" s="6826" t="s">
        <v>168</v>
      </c>
      <c r="Q306" s="7356" t="s">
        <v>641</v>
      </c>
      <c r="R306" s="6659" t="s">
        <v>155</v>
      </c>
      <c r="S306" s="6557"/>
      <c r="T306" s="2468"/>
      <c r="U306" s="276"/>
      <c r="V306" s="99"/>
      <c r="W306" s="138"/>
      <c r="X306" s="138"/>
      <c r="Y306" s="99"/>
      <c r="Z306" s="264"/>
      <c r="AA306" s="264"/>
      <c r="AB306" s="187"/>
    </row>
    <row r="307" spans="1:28" ht="19.899999999999999" customHeight="1">
      <c r="A307" s="11"/>
      <c r="B307" s="5590"/>
      <c r="C307" s="5598"/>
      <c r="D307" s="9598" t="s">
        <v>149</v>
      </c>
      <c r="E307" s="9600"/>
      <c r="F307" s="87" t="s">
        <v>255</v>
      </c>
      <c r="G307" s="253"/>
      <c r="H307" s="6192"/>
      <c r="I307" s="9582" t="s">
        <v>150</v>
      </c>
      <c r="J307" s="9583"/>
      <c r="K307" s="280" t="s">
        <v>307</v>
      </c>
      <c r="L307" s="6754">
        <v>0</v>
      </c>
      <c r="M307" s="7250"/>
      <c r="N307" s="6826">
        <v>0</v>
      </c>
      <c r="O307" s="7356"/>
      <c r="P307" s="6826">
        <v>0</v>
      </c>
      <c r="Q307" s="7356"/>
      <c r="R307" s="6659" t="s">
        <v>155</v>
      </c>
      <c r="S307" s="6557"/>
      <c r="T307" s="2468"/>
      <c r="U307" s="276"/>
      <c r="V307" s="99"/>
      <c r="W307" s="138"/>
      <c r="X307" s="138"/>
      <c r="Y307" s="99"/>
      <c r="Z307" s="264"/>
      <c r="AA307" s="264"/>
      <c r="AB307" s="187"/>
    </row>
    <row r="308" spans="1:28" ht="20.100000000000001" customHeight="1">
      <c r="A308" s="11"/>
      <c r="B308" s="1360"/>
      <c r="C308" s="5598"/>
      <c r="D308" s="9635" t="s">
        <v>254</v>
      </c>
      <c r="E308" s="9636"/>
      <c r="F308" s="295" t="s">
        <v>307</v>
      </c>
      <c r="G308" s="106"/>
      <c r="H308" s="6192"/>
      <c r="I308" s="9635" t="s">
        <v>256</v>
      </c>
      <c r="J308" s="9636"/>
      <c r="K308" s="280" t="s">
        <v>307</v>
      </c>
      <c r="L308" s="6763">
        <f>IF(COUNTBLANK(L309:L314)&gt;0,"미취합법인有",SUM(L309:L314))</f>
        <v>54226.195327743924</v>
      </c>
      <c r="M308" s="7233"/>
      <c r="N308" s="6847">
        <f>IF(COUNTBLANK(N309:N314)&gt;0,"미취합법인有",SUM(N309:N314))</f>
        <v>55881.972011459227</v>
      </c>
      <c r="O308" s="7353"/>
      <c r="P308" s="6913">
        <f>IF(COUNTBLANK(P309:P314)&gt;0,"미취합법인有",SUM(P309:P314))</f>
        <v>56772.345348272975</v>
      </c>
      <c r="Q308" s="7463"/>
      <c r="R308" s="6659" t="s">
        <v>155</v>
      </c>
      <c r="S308" s="6561"/>
      <c r="T308" s="2468"/>
      <c r="U308" s="276"/>
      <c r="V308" s="99" t="s">
        <v>206</v>
      </c>
      <c r="W308" s="138"/>
      <c r="X308" s="138"/>
      <c r="Y308" s="99"/>
      <c r="Z308" s="264" t="s">
        <v>259</v>
      </c>
      <c r="AA308" s="264"/>
      <c r="AB308" s="187"/>
    </row>
    <row r="309" spans="1:28" ht="19.899999999999999" customHeight="1">
      <c r="A309" s="11"/>
      <c r="B309" s="5590"/>
      <c r="C309" s="5598"/>
      <c r="D309" s="9598" t="s">
        <v>134</v>
      </c>
      <c r="E309" s="9600"/>
      <c r="F309" s="87" t="s">
        <v>255</v>
      </c>
      <c r="G309" s="253"/>
      <c r="H309" s="6192"/>
      <c r="I309" s="9579" t="s">
        <v>135</v>
      </c>
      <c r="J309" s="9581"/>
      <c r="K309" s="280" t="s">
        <v>307</v>
      </c>
      <c r="L309" s="6777">
        <v>1268</v>
      </c>
      <c r="M309" s="7257"/>
      <c r="N309" s="6855">
        <v>1492</v>
      </c>
      <c r="O309" s="7360" t="s">
        <v>650</v>
      </c>
      <c r="P309" s="6927">
        <v>1458</v>
      </c>
      <c r="Q309" s="7462"/>
      <c r="R309" s="6659" t="s">
        <v>155</v>
      </c>
      <c r="S309" s="6568"/>
      <c r="T309" s="2468"/>
      <c r="U309" s="276"/>
      <c r="V309" s="99"/>
      <c r="W309" s="138"/>
      <c r="X309" s="138"/>
      <c r="Y309" s="99"/>
      <c r="Z309" s="264"/>
      <c r="AA309" s="264"/>
      <c r="AB309" s="187"/>
    </row>
    <row r="310" spans="1:28" ht="19.899999999999999" customHeight="1">
      <c r="A310" s="11"/>
      <c r="B310" s="5590"/>
      <c r="C310" s="5598"/>
      <c r="D310" s="9598" t="s">
        <v>137</v>
      </c>
      <c r="E310" s="9600"/>
      <c r="F310" s="87" t="s">
        <v>255</v>
      </c>
      <c r="G310" s="253"/>
      <c r="H310" s="6192"/>
      <c r="I310" s="9579" t="s">
        <v>138</v>
      </c>
      <c r="J310" s="9581"/>
      <c r="K310" s="280" t="s">
        <v>307</v>
      </c>
      <c r="L310" s="6753">
        <v>52447.841</v>
      </c>
      <c r="M310" s="7256"/>
      <c r="N310" s="6825">
        <v>53823.714999999997</v>
      </c>
      <c r="O310" s="7359"/>
      <c r="P310" s="6922">
        <v>54767.920000000006</v>
      </c>
      <c r="Q310" s="7241"/>
      <c r="R310" s="6659" t="s">
        <v>155</v>
      </c>
      <c r="S310" s="6562"/>
      <c r="T310" s="2468"/>
      <c r="U310" s="276"/>
      <c r="V310" s="99"/>
      <c r="W310" s="138"/>
      <c r="X310" s="138"/>
      <c r="Y310" s="99"/>
      <c r="Z310" s="264"/>
      <c r="AA310" s="264"/>
      <c r="AB310" s="187"/>
    </row>
    <row r="311" spans="1:28" ht="19.899999999999999" customHeight="1">
      <c r="A311" s="11"/>
      <c r="B311" s="5590"/>
      <c r="C311" s="5598"/>
      <c r="D311" s="9598" t="s">
        <v>140</v>
      </c>
      <c r="E311" s="9600"/>
      <c r="F311" s="87" t="s">
        <v>255</v>
      </c>
      <c r="G311" s="253"/>
      <c r="H311" s="6192"/>
      <c r="I311" s="9582" t="s">
        <v>141</v>
      </c>
      <c r="J311" s="9583"/>
      <c r="K311" s="280" t="s">
        <v>307</v>
      </c>
      <c r="L311" s="6752">
        <v>293.25696436359488</v>
      </c>
      <c r="M311" s="7258"/>
      <c r="N311" s="6848">
        <v>257.91617295420275</v>
      </c>
      <c r="O311" s="7361"/>
      <c r="P311" s="6901">
        <v>266.00810795785208</v>
      </c>
      <c r="Q311" s="7243"/>
      <c r="R311" s="6659" t="s">
        <v>155</v>
      </c>
      <c r="S311" s="6633"/>
      <c r="T311" s="2468"/>
      <c r="U311" s="276"/>
      <c r="V311" s="99"/>
      <c r="W311" s="138"/>
      <c r="X311" s="138"/>
      <c r="Y311" s="99"/>
      <c r="Z311" s="264"/>
      <c r="AA311" s="277"/>
      <c r="AB311" s="187"/>
    </row>
    <row r="312" spans="1:28" ht="19.899999999999999" customHeight="1">
      <c r="A312" s="11"/>
      <c r="B312" s="5590"/>
      <c r="C312" s="5598"/>
      <c r="D312" s="9598" t="s">
        <v>143</v>
      </c>
      <c r="E312" s="9600"/>
      <c r="F312" s="87" t="s">
        <v>255</v>
      </c>
      <c r="G312" s="253"/>
      <c r="H312" s="6192"/>
      <c r="I312" s="9582" t="s">
        <v>144</v>
      </c>
      <c r="J312" s="9583"/>
      <c r="K312" s="280" t="s">
        <v>307</v>
      </c>
      <c r="L312" s="6754">
        <v>54.037363380335201</v>
      </c>
      <c r="M312" s="7266"/>
      <c r="N312" s="6826">
        <v>117.93083850502801</v>
      </c>
      <c r="O312" s="7368"/>
      <c r="P312" s="6826">
        <v>131.92724031512199</v>
      </c>
      <c r="Q312" s="7368"/>
      <c r="R312" s="6659" t="s">
        <v>155</v>
      </c>
      <c r="S312" s="6558"/>
      <c r="T312" s="2468"/>
      <c r="U312" s="276"/>
      <c r="V312" s="99"/>
      <c r="W312" s="138"/>
      <c r="X312" s="138"/>
      <c r="Y312" s="99"/>
      <c r="Z312" s="264"/>
      <c r="AA312" s="277"/>
      <c r="AB312" s="187"/>
    </row>
    <row r="313" spans="1:28" ht="19.899999999999999" customHeight="1">
      <c r="A313" s="11"/>
      <c r="B313" s="5590"/>
      <c r="C313" s="5598"/>
      <c r="D313" s="9598" t="s">
        <v>146</v>
      </c>
      <c r="E313" s="9600"/>
      <c r="F313" s="87" t="s">
        <v>255</v>
      </c>
      <c r="G313" s="253"/>
      <c r="H313" s="6192"/>
      <c r="I313" s="9582" t="s">
        <v>147</v>
      </c>
      <c r="J313" s="9583"/>
      <c r="K313" s="280" t="s">
        <v>307</v>
      </c>
      <c r="L313" s="6774" t="s">
        <v>168</v>
      </c>
      <c r="M313" s="7266" t="s">
        <v>641</v>
      </c>
      <c r="N313" s="6826" t="s">
        <v>168</v>
      </c>
      <c r="O313" s="7368" t="s">
        <v>641</v>
      </c>
      <c r="P313" s="6826" t="s">
        <v>168</v>
      </c>
      <c r="Q313" s="7368" t="s">
        <v>641</v>
      </c>
      <c r="R313" s="6659" t="s">
        <v>155</v>
      </c>
      <c r="S313" s="6558"/>
      <c r="T313" s="2468"/>
      <c r="U313" s="276"/>
      <c r="V313" s="99"/>
      <c r="W313" s="138"/>
      <c r="X313" s="138"/>
      <c r="Y313" s="99"/>
      <c r="Z313" s="264"/>
      <c r="AA313" s="277"/>
      <c r="AB313" s="187"/>
    </row>
    <row r="314" spans="1:28" ht="19.899999999999999" customHeight="1">
      <c r="A314" s="11"/>
      <c r="B314" s="5590"/>
      <c r="C314" s="5598"/>
      <c r="D314" s="9598" t="s">
        <v>149</v>
      </c>
      <c r="E314" s="9600"/>
      <c r="F314" s="87" t="s">
        <v>255</v>
      </c>
      <c r="G314" s="253"/>
      <c r="H314" s="6192"/>
      <c r="I314" s="9582" t="s">
        <v>150</v>
      </c>
      <c r="J314" s="9583"/>
      <c r="K314" s="280" t="s">
        <v>307</v>
      </c>
      <c r="L314" s="6754">
        <v>163.06</v>
      </c>
      <c r="M314" s="7266"/>
      <c r="N314" s="6826">
        <v>190.41</v>
      </c>
      <c r="O314" s="7368"/>
      <c r="P314" s="6826">
        <v>148.49</v>
      </c>
      <c r="Q314" s="7368"/>
      <c r="R314" s="6659" t="s">
        <v>155</v>
      </c>
      <c r="S314" s="6558"/>
      <c r="T314" s="2468"/>
      <c r="U314" s="4849"/>
      <c r="V314" s="99"/>
      <c r="W314" s="138"/>
      <c r="X314" s="138"/>
      <c r="Y314" s="99"/>
      <c r="Z314" s="264"/>
      <c r="AA314" s="277"/>
      <c r="AB314" s="187"/>
    </row>
    <row r="315" spans="1:28" ht="20.100000000000001" customHeight="1">
      <c r="A315" s="11"/>
      <c r="B315" s="1353"/>
      <c r="C315" s="9690" t="s">
        <v>309</v>
      </c>
      <c r="D315" s="9691"/>
      <c r="E315" s="9692"/>
      <c r="F315" s="6330"/>
      <c r="G315" s="6185"/>
      <c r="H315" s="9716" t="s">
        <v>310</v>
      </c>
      <c r="I315" s="9691"/>
      <c r="J315" s="9692"/>
      <c r="K315" s="6331"/>
      <c r="L315" s="6782"/>
      <c r="M315" s="7864"/>
      <c r="N315" s="6798"/>
      <c r="O315" s="7864"/>
      <c r="P315" s="6798"/>
      <c r="Q315" s="7865"/>
      <c r="R315" s="6659" t="s">
        <v>155</v>
      </c>
      <c r="S315" s="6538" t="s">
        <v>311</v>
      </c>
      <c r="T315" s="4849"/>
      <c r="U315" s="4849"/>
      <c r="V315" s="99" t="s">
        <v>206</v>
      </c>
      <c r="W315" s="138"/>
      <c r="X315" s="138"/>
      <c r="Y315" s="99"/>
      <c r="Z315" s="346"/>
      <c r="AA315" s="265" t="s">
        <v>301</v>
      </c>
      <c r="AB315" s="187"/>
    </row>
    <row r="316" spans="1:28" ht="20.100000000000001" customHeight="1">
      <c r="A316" s="11"/>
      <c r="B316" s="1360"/>
      <c r="C316" s="5598"/>
      <c r="D316" s="9635" t="s">
        <v>314</v>
      </c>
      <c r="E316" s="9636"/>
      <c r="F316" s="295" t="s">
        <v>307</v>
      </c>
      <c r="G316" s="337"/>
      <c r="H316" s="386"/>
      <c r="I316" s="9635" t="s">
        <v>315</v>
      </c>
      <c r="J316" s="9636"/>
      <c r="K316" s="280" t="s">
        <v>307</v>
      </c>
      <c r="L316" s="6763" t="str">
        <f>IF(COUNTBLANK(L317:L322)&gt;0,"미취합법인有",SUM(L317:L322))</f>
        <v>미취합법인有</v>
      </c>
      <c r="M316" s="7233"/>
      <c r="N316" s="6847" t="str">
        <f>IF(COUNTBLANK(N317:N322)&gt;0,"미취합법인有",SUM(N317:N322))</f>
        <v>미취합법인有</v>
      </c>
      <c r="O316" s="7353"/>
      <c r="P316" s="6913" t="str">
        <f>IF(COUNTBLANK(P317:P322)&gt;0,"미취합법인有",SUM(P317:P322))</f>
        <v>미취합법인有</v>
      </c>
      <c r="Q316" s="7463"/>
      <c r="R316" s="6659" t="s">
        <v>155</v>
      </c>
      <c r="S316" s="6538" t="s">
        <v>311</v>
      </c>
      <c r="T316" s="2470"/>
      <c r="U316" s="2470"/>
      <c r="V316" s="99" t="s">
        <v>206</v>
      </c>
      <c r="W316" s="138"/>
      <c r="X316" s="138"/>
      <c r="Y316" s="99"/>
      <c r="Z316" s="186"/>
      <c r="AA316" s="265" t="s">
        <v>301</v>
      </c>
      <c r="AB316" s="187"/>
    </row>
    <row r="317" spans="1:28" ht="19.899999999999999" customHeight="1">
      <c r="A317" s="11"/>
      <c r="B317" s="5590"/>
      <c r="C317" s="5598"/>
      <c r="D317" s="9598" t="s">
        <v>134</v>
      </c>
      <c r="E317" s="9600"/>
      <c r="F317" s="87" t="s">
        <v>255</v>
      </c>
      <c r="G317" s="253"/>
      <c r="H317" s="286"/>
      <c r="I317" s="9579" t="s">
        <v>135</v>
      </c>
      <c r="J317" s="9581"/>
      <c r="K317" s="280" t="s">
        <v>307</v>
      </c>
      <c r="L317" s="6753">
        <v>1864</v>
      </c>
      <c r="M317" s="7261"/>
      <c r="N317" s="6836">
        <v>1676</v>
      </c>
      <c r="O317" s="7364"/>
      <c r="P317" s="6928">
        <v>1651.9346</v>
      </c>
      <c r="Q317" s="7465" t="s">
        <v>316</v>
      </c>
      <c r="R317" s="6659" t="s">
        <v>155</v>
      </c>
      <c r="S317" s="6538" t="s">
        <v>311</v>
      </c>
      <c r="T317" s="2468"/>
      <c r="U317" s="4849"/>
      <c r="V317" s="99"/>
      <c r="W317" s="138"/>
      <c r="X317" s="138"/>
      <c r="Y317" s="99"/>
      <c r="Z317" s="264"/>
      <c r="AA317" s="277"/>
      <c r="AB317" s="187"/>
    </row>
    <row r="318" spans="1:28" ht="19.899999999999999" customHeight="1">
      <c r="A318" s="11"/>
      <c r="B318" s="5590"/>
      <c r="C318" s="5598"/>
      <c r="D318" s="9598" t="s">
        <v>137</v>
      </c>
      <c r="E318" s="9600"/>
      <c r="F318" s="87" t="s">
        <v>255</v>
      </c>
      <c r="G318" s="253"/>
      <c r="H318" s="286"/>
      <c r="I318" s="9579" t="s">
        <v>138</v>
      </c>
      <c r="J318" s="9581"/>
      <c r="K318" s="280" t="s">
        <v>307</v>
      </c>
      <c r="L318" s="6753"/>
      <c r="M318" s="7249"/>
      <c r="N318" s="6825"/>
      <c r="O318" s="7355"/>
      <c r="P318" s="6922"/>
      <c r="Q318" s="7245"/>
      <c r="R318" s="6659" t="s">
        <v>155</v>
      </c>
      <c r="S318" s="6538" t="s">
        <v>311</v>
      </c>
      <c r="T318" s="2468"/>
      <c r="U318" s="276"/>
      <c r="V318" s="99"/>
      <c r="W318" s="138"/>
      <c r="X318" s="138"/>
      <c r="Y318" s="99"/>
      <c r="Z318" s="264"/>
      <c r="AA318" s="277"/>
      <c r="AB318" s="187"/>
    </row>
    <row r="319" spans="1:28" ht="19.899999999999999" customHeight="1">
      <c r="A319" s="11"/>
      <c r="B319" s="5590"/>
      <c r="C319" s="5598"/>
      <c r="D319" s="9598" t="s">
        <v>140</v>
      </c>
      <c r="E319" s="9600"/>
      <c r="F319" s="87" t="s">
        <v>255</v>
      </c>
      <c r="G319" s="253"/>
      <c r="H319" s="286"/>
      <c r="I319" s="9582" t="s">
        <v>141</v>
      </c>
      <c r="J319" s="9583"/>
      <c r="K319" s="280" t="s">
        <v>307</v>
      </c>
      <c r="L319" s="6774" t="s">
        <v>168</v>
      </c>
      <c r="M319" s="7250" t="s">
        <v>641</v>
      </c>
      <c r="N319" s="6826" t="s">
        <v>168</v>
      </c>
      <c r="O319" s="7356" t="s">
        <v>641</v>
      </c>
      <c r="P319" s="6826" t="s">
        <v>168</v>
      </c>
      <c r="Q319" s="7240" t="s">
        <v>641</v>
      </c>
      <c r="R319" s="6659" t="s">
        <v>155</v>
      </c>
      <c r="S319" s="6538" t="s">
        <v>311</v>
      </c>
      <c r="T319" s="2468"/>
      <c r="U319" s="276"/>
      <c r="V319" s="99"/>
      <c r="W319" s="138"/>
      <c r="X319" s="138"/>
      <c r="Y319" s="99"/>
      <c r="Z319" s="264"/>
      <c r="AA319" s="277"/>
      <c r="AB319" s="187"/>
    </row>
    <row r="320" spans="1:28" ht="19.899999999999999" customHeight="1">
      <c r="A320" s="11"/>
      <c r="B320" s="5590"/>
      <c r="C320" s="5598"/>
      <c r="D320" s="9598" t="s">
        <v>143</v>
      </c>
      <c r="E320" s="9600"/>
      <c r="F320" s="87" t="s">
        <v>255</v>
      </c>
      <c r="G320" s="253"/>
      <c r="H320" s="286"/>
      <c r="I320" s="9582" t="s">
        <v>144</v>
      </c>
      <c r="J320" s="9583"/>
      <c r="K320" s="280" t="s">
        <v>307</v>
      </c>
      <c r="L320" s="6754"/>
      <c r="M320" s="7250"/>
      <c r="N320" s="6826"/>
      <c r="O320" s="7356"/>
      <c r="P320" s="6826"/>
      <c r="Q320" s="7240"/>
      <c r="R320" s="6659" t="s">
        <v>155</v>
      </c>
      <c r="S320" s="6538" t="s">
        <v>311</v>
      </c>
      <c r="T320" s="2468"/>
      <c r="U320" s="276"/>
      <c r="V320" s="99"/>
      <c r="W320" s="138"/>
      <c r="X320" s="138"/>
      <c r="Y320" s="99"/>
      <c r="Z320" s="264"/>
      <c r="AA320" s="277"/>
      <c r="AB320" s="187"/>
    </row>
    <row r="321" spans="1:28" ht="19.899999999999999" customHeight="1">
      <c r="A321" s="11"/>
      <c r="B321" s="5590"/>
      <c r="C321" s="5598"/>
      <c r="D321" s="9598" t="s">
        <v>146</v>
      </c>
      <c r="E321" s="9600"/>
      <c r="F321" s="87" t="s">
        <v>255</v>
      </c>
      <c r="G321" s="253"/>
      <c r="H321" s="286"/>
      <c r="I321" s="9582" t="s">
        <v>147</v>
      </c>
      <c r="J321" s="9583"/>
      <c r="K321" s="280" t="s">
        <v>307</v>
      </c>
      <c r="L321" s="6774" t="s">
        <v>168</v>
      </c>
      <c r="M321" s="7250" t="s">
        <v>641</v>
      </c>
      <c r="N321" s="6826" t="s">
        <v>168</v>
      </c>
      <c r="O321" s="7356" t="s">
        <v>641</v>
      </c>
      <c r="P321" s="6826" t="s">
        <v>168</v>
      </c>
      <c r="Q321" s="7240" t="s">
        <v>641</v>
      </c>
      <c r="R321" s="6659" t="s">
        <v>155</v>
      </c>
      <c r="S321" s="6538" t="s">
        <v>311</v>
      </c>
      <c r="T321" s="2468"/>
      <c r="U321" s="4849"/>
      <c r="V321" s="99"/>
      <c r="W321" s="138"/>
      <c r="X321" s="138"/>
      <c r="Y321" s="99"/>
      <c r="Z321" s="264"/>
      <c r="AA321" s="277"/>
      <c r="AB321" s="187"/>
    </row>
    <row r="322" spans="1:28" ht="19.899999999999999" customHeight="1">
      <c r="A322" s="11"/>
      <c r="B322" s="5590"/>
      <c r="C322" s="5598"/>
      <c r="D322" s="9598" t="s">
        <v>149</v>
      </c>
      <c r="E322" s="9600"/>
      <c r="F322" s="87" t="s">
        <v>255</v>
      </c>
      <c r="G322" s="253"/>
      <c r="H322" s="286"/>
      <c r="I322" s="9582" t="s">
        <v>150</v>
      </c>
      <c r="J322" s="9583"/>
      <c r="K322" s="280" t="s">
        <v>307</v>
      </c>
      <c r="L322" s="6754">
        <v>165.95</v>
      </c>
      <c r="M322" s="7259" t="s">
        <v>317</v>
      </c>
      <c r="N322" s="6826">
        <v>225.16</v>
      </c>
      <c r="O322" s="7311" t="s">
        <v>317</v>
      </c>
      <c r="P322" s="6826">
        <v>194.36</v>
      </c>
      <c r="Q322" s="7466"/>
      <c r="R322" s="6659" t="s">
        <v>155</v>
      </c>
      <c r="S322" s="6538" t="s">
        <v>311</v>
      </c>
      <c r="T322" s="2468"/>
      <c r="U322" s="4849"/>
      <c r="V322" s="99"/>
      <c r="W322" s="138"/>
      <c r="X322" s="138"/>
      <c r="Y322" s="99"/>
      <c r="Z322" s="264"/>
      <c r="AA322" s="277"/>
      <c r="AB322" s="187"/>
    </row>
    <row r="323" spans="1:28" ht="20.100000000000001" customHeight="1">
      <c r="A323" s="11"/>
      <c r="B323" s="1360"/>
      <c r="C323" s="5598"/>
      <c r="D323" s="9635" t="s">
        <v>318</v>
      </c>
      <c r="E323" s="9636"/>
      <c r="F323" s="280" t="s">
        <v>307</v>
      </c>
      <c r="G323" s="416"/>
      <c r="H323" s="345"/>
      <c r="I323" s="9635" t="s">
        <v>319</v>
      </c>
      <c r="J323" s="9636"/>
      <c r="K323" s="280" t="s">
        <v>307</v>
      </c>
      <c r="L323" s="6763" t="str">
        <f>IF(COUNTBLANK(L324:L329)&gt;0,"미취합법인有",SUM(L324:L329))</f>
        <v>미취합법인有</v>
      </c>
      <c r="M323" s="7233"/>
      <c r="N323" s="6847" t="str">
        <f>IF(COUNTBLANK(N324:N329)&gt;0,"미취합법인有",SUM(N324:N329))</f>
        <v>미취합법인有</v>
      </c>
      <c r="O323" s="7353"/>
      <c r="P323" s="6913" t="str">
        <f>IF(COUNTBLANK(P324:P329)&gt;0,"미취합법인有",SUM(P324:P329))</f>
        <v>미취합법인有</v>
      </c>
      <c r="Q323" s="7463"/>
      <c r="R323" s="6659" t="s">
        <v>155</v>
      </c>
      <c r="S323" s="6538" t="s">
        <v>311</v>
      </c>
      <c r="T323" s="2470"/>
      <c r="U323" s="2470"/>
      <c r="V323" s="99" t="s">
        <v>206</v>
      </c>
      <c r="W323" s="138"/>
      <c r="X323" s="138"/>
      <c r="Y323" s="99"/>
      <c r="Z323" s="186"/>
      <c r="AA323" s="265" t="s">
        <v>301</v>
      </c>
      <c r="AB323" s="187"/>
    </row>
    <row r="324" spans="1:28" ht="19.899999999999999" customHeight="1">
      <c r="A324" s="11"/>
      <c r="B324" s="5590"/>
      <c r="C324" s="5598"/>
      <c r="D324" s="9598" t="s">
        <v>134</v>
      </c>
      <c r="E324" s="9600"/>
      <c r="F324" s="87" t="s">
        <v>255</v>
      </c>
      <c r="G324" s="253"/>
      <c r="H324" s="286"/>
      <c r="I324" s="9579" t="s">
        <v>135</v>
      </c>
      <c r="J324" s="9581"/>
      <c r="K324" s="280" t="s">
        <v>307</v>
      </c>
      <c r="L324" s="6753">
        <v>1268</v>
      </c>
      <c r="M324" s="7261" t="s">
        <v>320</v>
      </c>
      <c r="N324" s="6836">
        <v>1492</v>
      </c>
      <c r="O324" s="7364"/>
      <c r="P324" s="6836">
        <v>1458</v>
      </c>
      <c r="Q324" s="7277"/>
      <c r="R324" s="6659" t="s">
        <v>155</v>
      </c>
      <c r="S324" s="6538" t="s">
        <v>311</v>
      </c>
      <c r="T324" s="2468"/>
      <c r="U324" s="4849"/>
      <c r="V324" s="99"/>
      <c r="W324" s="138"/>
      <c r="X324" s="138"/>
      <c r="Y324" s="99"/>
      <c r="Z324" s="264"/>
      <c r="AA324" s="277"/>
      <c r="AB324" s="187"/>
    </row>
    <row r="325" spans="1:28" ht="19.899999999999999" customHeight="1">
      <c r="A325" s="11"/>
      <c r="B325" s="5590"/>
      <c r="C325" s="5598"/>
      <c r="D325" s="9598" t="s">
        <v>137</v>
      </c>
      <c r="E325" s="9600"/>
      <c r="F325" s="87" t="s">
        <v>255</v>
      </c>
      <c r="G325" s="253"/>
      <c r="H325" s="286"/>
      <c r="I325" s="9579" t="s">
        <v>138</v>
      </c>
      <c r="J325" s="9581"/>
      <c r="K325" s="280" t="s">
        <v>307</v>
      </c>
      <c r="L325" s="6753"/>
      <c r="M325" s="7249"/>
      <c r="N325" s="6825"/>
      <c r="O325" s="7355"/>
      <c r="P325" s="6922"/>
      <c r="Q325" s="7245"/>
      <c r="R325" s="6659" t="s">
        <v>155</v>
      </c>
      <c r="S325" s="6538" t="s">
        <v>311</v>
      </c>
      <c r="T325" s="2468"/>
      <c r="U325" s="276"/>
      <c r="V325" s="99"/>
      <c r="W325" s="138"/>
      <c r="X325" s="138"/>
      <c r="Y325" s="99"/>
      <c r="Z325" s="264"/>
      <c r="AA325" s="277"/>
      <c r="AB325" s="187"/>
    </row>
    <row r="326" spans="1:28" ht="19.899999999999999" customHeight="1">
      <c r="A326" s="11"/>
      <c r="B326" s="5590"/>
      <c r="C326" s="5598"/>
      <c r="D326" s="9598" t="s">
        <v>140</v>
      </c>
      <c r="E326" s="9600"/>
      <c r="F326" s="87" t="s">
        <v>255</v>
      </c>
      <c r="G326" s="253"/>
      <c r="H326" s="286"/>
      <c r="I326" s="9582" t="s">
        <v>141</v>
      </c>
      <c r="J326" s="9583"/>
      <c r="K326" s="280" t="s">
        <v>307</v>
      </c>
      <c r="L326" s="6774" t="s">
        <v>168</v>
      </c>
      <c r="M326" s="7250" t="s">
        <v>641</v>
      </c>
      <c r="N326" s="6826" t="s">
        <v>168</v>
      </c>
      <c r="O326" s="7356" t="s">
        <v>641</v>
      </c>
      <c r="P326" s="6826" t="s">
        <v>168</v>
      </c>
      <c r="Q326" s="7240" t="s">
        <v>641</v>
      </c>
      <c r="R326" s="6659" t="s">
        <v>155</v>
      </c>
      <c r="S326" s="6538" t="s">
        <v>311</v>
      </c>
      <c r="T326" s="2468"/>
      <c r="U326" s="276"/>
      <c r="V326" s="99"/>
      <c r="W326" s="138"/>
      <c r="X326" s="138"/>
      <c r="Y326" s="99"/>
      <c r="Z326" s="264"/>
      <c r="AA326" s="277"/>
      <c r="AB326" s="187"/>
    </row>
    <row r="327" spans="1:28" ht="19.899999999999999" customHeight="1">
      <c r="A327" s="11"/>
      <c r="B327" s="5590"/>
      <c r="C327" s="5598"/>
      <c r="D327" s="9598" t="s">
        <v>143</v>
      </c>
      <c r="E327" s="9600"/>
      <c r="F327" s="87" t="s">
        <v>255</v>
      </c>
      <c r="G327" s="253"/>
      <c r="H327" s="286"/>
      <c r="I327" s="9582" t="s">
        <v>144</v>
      </c>
      <c r="J327" s="9583"/>
      <c r="K327" s="280" t="s">
        <v>307</v>
      </c>
      <c r="L327" s="6754"/>
      <c r="M327" s="7250"/>
      <c r="N327" s="6826"/>
      <c r="O327" s="7356"/>
      <c r="P327" s="6826"/>
      <c r="Q327" s="7240"/>
      <c r="R327" s="6659" t="s">
        <v>155</v>
      </c>
      <c r="S327" s="6538" t="s">
        <v>311</v>
      </c>
      <c r="T327" s="2468"/>
      <c r="U327" s="276"/>
      <c r="V327" s="99"/>
      <c r="W327" s="138"/>
      <c r="X327" s="138"/>
      <c r="Y327" s="99"/>
      <c r="Z327" s="264"/>
      <c r="AA327" s="277"/>
      <c r="AB327" s="187"/>
    </row>
    <row r="328" spans="1:28" ht="19.899999999999999" customHeight="1">
      <c r="A328" s="11"/>
      <c r="B328" s="5590"/>
      <c r="C328" s="5598"/>
      <c r="D328" s="9598" t="s">
        <v>146</v>
      </c>
      <c r="E328" s="9600"/>
      <c r="F328" s="87" t="s">
        <v>255</v>
      </c>
      <c r="G328" s="253"/>
      <c r="H328" s="286"/>
      <c r="I328" s="9582" t="s">
        <v>147</v>
      </c>
      <c r="J328" s="9583"/>
      <c r="K328" s="280" t="s">
        <v>307</v>
      </c>
      <c r="L328" s="6774" t="s">
        <v>168</v>
      </c>
      <c r="M328" s="7250" t="s">
        <v>641</v>
      </c>
      <c r="N328" s="6826" t="s">
        <v>168</v>
      </c>
      <c r="O328" s="7356" t="s">
        <v>641</v>
      </c>
      <c r="P328" s="6826" t="s">
        <v>168</v>
      </c>
      <c r="Q328" s="7240" t="s">
        <v>641</v>
      </c>
      <c r="R328" s="6659" t="s">
        <v>155</v>
      </c>
      <c r="S328" s="6538" t="s">
        <v>311</v>
      </c>
      <c r="T328" s="2468"/>
      <c r="U328" s="276"/>
      <c r="V328" s="99"/>
      <c r="W328" s="138"/>
      <c r="X328" s="138"/>
      <c r="Y328" s="99"/>
      <c r="Z328" s="264"/>
      <c r="AA328" s="277"/>
      <c r="AB328" s="187"/>
    </row>
    <row r="329" spans="1:28" ht="19.899999999999999" customHeight="1">
      <c r="A329" s="11"/>
      <c r="B329" s="5590"/>
      <c r="C329" s="5598"/>
      <c r="D329" s="9598" t="s">
        <v>149</v>
      </c>
      <c r="E329" s="9600"/>
      <c r="F329" s="87" t="s">
        <v>255</v>
      </c>
      <c r="G329" s="253"/>
      <c r="H329" s="286"/>
      <c r="I329" s="9582" t="s">
        <v>150</v>
      </c>
      <c r="J329" s="9583"/>
      <c r="K329" s="280" t="s">
        <v>307</v>
      </c>
      <c r="L329" s="6754">
        <v>163.06</v>
      </c>
      <c r="M329" s="7250"/>
      <c r="N329" s="6826">
        <v>190.26</v>
      </c>
      <c r="O329" s="7356"/>
      <c r="P329" s="6826">
        <v>149.46</v>
      </c>
      <c r="Q329" s="7240"/>
      <c r="R329" s="6659" t="s">
        <v>155</v>
      </c>
      <c r="S329" s="6538" t="s">
        <v>311</v>
      </c>
      <c r="T329" s="2468"/>
      <c r="U329" s="4849"/>
      <c r="V329" s="99"/>
      <c r="W329" s="138"/>
      <c r="X329" s="138"/>
      <c r="Y329" s="99"/>
      <c r="Z329" s="264"/>
      <c r="AA329" s="277"/>
      <c r="AB329" s="187"/>
    </row>
    <row r="330" spans="1:28" ht="20.100000000000001" customHeight="1">
      <c r="A330" s="11"/>
      <c r="B330" s="1360"/>
      <c r="C330" s="5598"/>
      <c r="D330" s="9635" t="s">
        <v>312</v>
      </c>
      <c r="E330" s="9636"/>
      <c r="F330" s="87" t="s">
        <v>255</v>
      </c>
      <c r="G330" s="577"/>
      <c r="H330" s="345"/>
      <c r="I330" s="9635" t="s">
        <v>313</v>
      </c>
      <c r="J330" s="9636"/>
      <c r="K330" s="280" t="s">
        <v>307</v>
      </c>
      <c r="L330" s="6763" t="str">
        <f>IF(COUNTBLANK(L331:L336)&gt;0,"미취합법인有",SUM(L331:L336))</f>
        <v>미취합법인有</v>
      </c>
      <c r="M330" s="7233"/>
      <c r="N330" s="6847" t="str">
        <f>IF(COUNTBLANK(N331:N336)&gt;0,"미취합법인有",SUM(N331:N336))</f>
        <v>미취합법인有</v>
      </c>
      <c r="O330" s="7353"/>
      <c r="P330" s="6913" t="str">
        <f>IF(COUNTBLANK(P331:P336)&gt;0,"미취합법인有",SUM(P331:P336))</f>
        <v>미취합법인有</v>
      </c>
      <c r="Q330" s="7463"/>
      <c r="R330" s="6659" t="s">
        <v>155</v>
      </c>
      <c r="S330" s="6538" t="s">
        <v>311</v>
      </c>
      <c r="T330" s="2470"/>
      <c r="U330" s="4849"/>
      <c r="V330" s="99" t="s">
        <v>206</v>
      </c>
      <c r="W330" s="218"/>
      <c r="X330" s="218"/>
      <c r="Y330" s="219"/>
      <c r="Z330" s="231"/>
      <c r="AA330" s="427" t="s">
        <v>301</v>
      </c>
      <c r="AB330" s="221"/>
    </row>
    <row r="331" spans="1:28" ht="19.899999999999999" customHeight="1">
      <c r="A331" s="11"/>
      <c r="B331" s="5590"/>
      <c r="C331" s="5598"/>
      <c r="D331" s="9598" t="s">
        <v>134</v>
      </c>
      <c r="E331" s="9600"/>
      <c r="F331" s="87" t="s">
        <v>255</v>
      </c>
      <c r="G331" s="1918"/>
      <c r="H331" s="286"/>
      <c r="I331" s="9627" t="s">
        <v>135</v>
      </c>
      <c r="J331" s="9629"/>
      <c r="K331" s="280" t="s">
        <v>307</v>
      </c>
      <c r="L331" s="6753">
        <v>596</v>
      </c>
      <c r="M331" s="7261"/>
      <c r="N331" s="6836">
        <v>184</v>
      </c>
      <c r="O331" s="7364"/>
      <c r="P331" s="6928">
        <v>194</v>
      </c>
      <c r="Q331" s="7277"/>
      <c r="R331" s="6659" t="s">
        <v>155</v>
      </c>
      <c r="S331" s="6538" t="s">
        <v>311</v>
      </c>
      <c r="T331" s="2468"/>
      <c r="U331" s="2470"/>
      <c r="V331" s="99"/>
      <c r="W331" s="138"/>
      <c r="X331" s="138"/>
      <c r="Y331" s="99"/>
      <c r="Z331" s="264"/>
      <c r="AA331" s="277"/>
      <c r="AB331" s="187"/>
    </row>
    <row r="332" spans="1:28" ht="19.899999999999999" customHeight="1">
      <c r="A332" s="11"/>
      <c r="B332" s="5590"/>
      <c r="C332" s="5598"/>
      <c r="D332" s="9598" t="s">
        <v>137</v>
      </c>
      <c r="E332" s="9600"/>
      <c r="F332" s="87" t="s">
        <v>255</v>
      </c>
      <c r="G332" s="253"/>
      <c r="H332" s="286"/>
      <c r="I332" s="9579" t="s">
        <v>138</v>
      </c>
      <c r="J332" s="9581"/>
      <c r="K332" s="280" t="s">
        <v>307</v>
      </c>
      <c r="L332" s="6753"/>
      <c r="M332" s="7249"/>
      <c r="N332" s="6825"/>
      <c r="O332" s="7355"/>
      <c r="P332" s="6922"/>
      <c r="Q332" s="7245"/>
      <c r="R332" s="6659" t="s">
        <v>155</v>
      </c>
      <c r="S332" s="6538" t="s">
        <v>311</v>
      </c>
      <c r="T332" s="2468"/>
      <c r="U332" s="4849"/>
      <c r="V332" s="99"/>
      <c r="W332" s="138"/>
      <c r="X332" s="138"/>
      <c r="Y332" s="99"/>
      <c r="Z332" s="264"/>
      <c r="AA332" s="277"/>
      <c r="AB332" s="187"/>
    </row>
    <row r="333" spans="1:28" ht="19.899999999999999" customHeight="1">
      <c r="A333" s="11"/>
      <c r="B333" s="5590"/>
      <c r="C333" s="5598"/>
      <c r="D333" s="9598" t="s">
        <v>140</v>
      </c>
      <c r="E333" s="9600"/>
      <c r="F333" s="87" t="s">
        <v>255</v>
      </c>
      <c r="G333" s="253"/>
      <c r="H333" s="286"/>
      <c r="I333" s="9582" t="s">
        <v>141</v>
      </c>
      <c r="J333" s="9583"/>
      <c r="K333" s="280" t="s">
        <v>307</v>
      </c>
      <c r="L333" s="6774" t="s">
        <v>168</v>
      </c>
      <c r="M333" s="7250" t="s">
        <v>641</v>
      </c>
      <c r="N333" s="6826" t="s">
        <v>168</v>
      </c>
      <c r="O333" s="7356" t="s">
        <v>641</v>
      </c>
      <c r="P333" s="6826" t="s">
        <v>168</v>
      </c>
      <c r="Q333" s="7240" t="s">
        <v>641</v>
      </c>
      <c r="R333" s="6659" t="s">
        <v>155</v>
      </c>
      <c r="S333" s="6538" t="s">
        <v>311</v>
      </c>
      <c r="T333" s="2468"/>
      <c r="U333" s="276"/>
      <c r="V333" s="99"/>
      <c r="W333" s="138"/>
      <c r="X333" s="138"/>
      <c r="Y333" s="99"/>
      <c r="Z333" s="264"/>
      <c r="AA333" s="277"/>
      <c r="AB333" s="187"/>
    </row>
    <row r="334" spans="1:28" ht="19.899999999999999" customHeight="1">
      <c r="A334" s="11"/>
      <c r="B334" s="5590"/>
      <c r="C334" s="5598"/>
      <c r="D334" s="9598" t="s">
        <v>143</v>
      </c>
      <c r="E334" s="9600"/>
      <c r="F334" s="87" t="s">
        <v>255</v>
      </c>
      <c r="G334" s="253"/>
      <c r="H334" s="286"/>
      <c r="I334" s="9582" t="s">
        <v>144</v>
      </c>
      <c r="J334" s="9583"/>
      <c r="K334" s="280" t="s">
        <v>307</v>
      </c>
      <c r="L334" s="6754"/>
      <c r="M334" s="7250"/>
      <c r="N334" s="6826"/>
      <c r="O334" s="7356"/>
      <c r="P334" s="6826"/>
      <c r="Q334" s="7240"/>
      <c r="R334" s="6659" t="s">
        <v>155</v>
      </c>
      <c r="S334" s="6538" t="s">
        <v>311</v>
      </c>
      <c r="T334" s="2468"/>
      <c r="U334" s="276"/>
      <c r="V334" s="99"/>
      <c r="W334" s="138"/>
      <c r="X334" s="138"/>
      <c r="Y334" s="99"/>
      <c r="Z334" s="264"/>
      <c r="AA334" s="277"/>
      <c r="AB334" s="187"/>
    </row>
    <row r="335" spans="1:28" ht="19.899999999999999" customHeight="1">
      <c r="A335" s="11"/>
      <c r="B335" s="5590"/>
      <c r="C335" s="5598"/>
      <c r="D335" s="9598" t="s">
        <v>146</v>
      </c>
      <c r="E335" s="9600"/>
      <c r="F335" s="87" t="s">
        <v>255</v>
      </c>
      <c r="G335" s="253"/>
      <c r="H335" s="286"/>
      <c r="I335" s="9582" t="s">
        <v>147</v>
      </c>
      <c r="J335" s="9583"/>
      <c r="K335" s="280" t="s">
        <v>307</v>
      </c>
      <c r="L335" s="6774" t="s">
        <v>168</v>
      </c>
      <c r="M335" s="7250" t="s">
        <v>641</v>
      </c>
      <c r="N335" s="6826" t="s">
        <v>168</v>
      </c>
      <c r="O335" s="7356" t="s">
        <v>641</v>
      </c>
      <c r="P335" s="6826" t="s">
        <v>168</v>
      </c>
      <c r="Q335" s="7240" t="s">
        <v>641</v>
      </c>
      <c r="R335" s="6659" t="s">
        <v>155</v>
      </c>
      <c r="S335" s="6538" t="s">
        <v>311</v>
      </c>
      <c r="T335" s="2468"/>
      <c r="U335" s="276"/>
      <c r="V335" s="99"/>
      <c r="W335" s="138"/>
      <c r="X335" s="138"/>
      <c r="Y335" s="99"/>
      <c r="Z335" s="264"/>
      <c r="AA335" s="277"/>
      <c r="AB335" s="187"/>
    </row>
    <row r="336" spans="1:28" ht="19.899999999999999" customHeight="1" thickBot="1">
      <c r="A336" s="11"/>
      <c r="B336" s="5590"/>
      <c r="C336" s="5598"/>
      <c r="D336" s="9598" t="s">
        <v>149</v>
      </c>
      <c r="E336" s="9600"/>
      <c r="F336" s="87" t="s">
        <v>255</v>
      </c>
      <c r="G336" s="253"/>
      <c r="H336" s="1988"/>
      <c r="I336" s="9582" t="s">
        <v>150</v>
      </c>
      <c r="J336" s="9583"/>
      <c r="K336" s="280" t="s">
        <v>307</v>
      </c>
      <c r="L336" s="6754">
        <v>2.8899999999999864</v>
      </c>
      <c r="M336" s="7250"/>
      <c r="N336" s="6826">
        <v>34.900000000000006</v>
      </c>
      <c r="O336" s="7356"/>
      <c r="P336" s="6826">
        <v>44.900000000000006</v>
      </c>
      <c r="Q336" s="7467"/>
      <c r="R336" s="6659" t="s">
        <v>155</v>
      </c>
      <c r="S336" s="6538" t="s">
        <v>311</v>
      </c>
      <c r="T336" s="2468"/>
      <c r="U336" s="276"/>
      <c r="V336" s="99"/>
      <c r="W336" s="138"/>
      <c r="X336" s="138"/>
      <c r="Y336" s="99"/>
      <c r="Z336" s="264"/>
      <c r="AA336" s="277"/>
      <c r="AB336" s="187"/>
    </row>
    <row r="337" spans="1:30" ht="27" thickBot="1">
      <c r="A337" s="11"/>
      <c r="B337" s="123" t="s">
        <v>341</v>
      </c>
      <c r="C337" s="124"/>
      <c r="D337" s="124"/>
      <c r="E337" s="124"/>
      <c r="F337" s="1637"/>
      <c r="G337" s="428" t="s">
        <v>342</v>
      </c>
      <c r="H337" s="429"/>
      <c r="I337" s="429"/>
      <c r="J337" s="429"/>
      <c r="K337" s="430"/>
      <c r="L337" s="6783"/>
      <c r="M337" s="7268"/>
      <c r="N337" s="6862"/>
      <c r="O337" s="7268"/>
      <c r="P337" s="6862"/>
      <c r="Q337" s="7268"/>
      <c r="R337" s="6626"/>
      <c r="S337" s="6626"/>
      <c r="T337" s="80"/>
      <c r="U337" s="432"/>
      <c r="V337" s="1641"/>
      <c r="W337" s="1641"/>
      <c r="X337" s="1641"/>
      <c r="Y337" s="1641"/>
      <c r="Z337" s="328"/>
      <c r="AA337" s="328"/>
      <c r="AB337" s="329"/>
    </row>
    <row r="338" spans="1:30" ht="20.100000000000001" customHeight="1">
      <c r="A338" s="11"/>
      <c r="B338" s="1359"/>
      <c r="C338" s="9664" t="s">
        <v>343</v>
      </c>
      <c r="D338" s="9664"/>
      <c r="E338" s="9664"/>
      <c r="F338" s="492" t="s">
        <v>344</v>
      </c>
      <c r="G338" s="434"/>
      <c r="H338" s="9664" t="s">
        <v>345</v>
      </c>
      <c r="I338" s="9664"/>
      <c r="J338" s="9664"/>
      <c r="K338" s="636" t="s">
        <v>344</v>
      </c>
      <c r="L338" s="6763">
        <f>IF(COUNTBLANK(L339:L344)&gt;0,"미취합법인有",SUM(L339:L344))</f>
        <v>373402.41749081237</v>
      </c>
      <c r="M338" s="7233"/>
      <c r="N338" s="6847">
        <f>IF(COUNTBLANK(N339:N344)&gt;0,"미취합법인有",SUM(N339:N344))</f>
        <v>1072013.2480843607</v>
      </c>
      <c r="O338" s="7353"/>
      <c r="P338" s="6913">
        <f>IF(COUNTBLANK(P339:P344)&gt;0,"미취합법인有",SUM(P339:P344))</f>
        <v>1172322.9169900522</v>
      </c>
      <c r="Q338" s="7463"/>
      <c r="R338" s="6661" t="s">
        <v>31</v>
      </c>
      <c r="S338" s="6569"/>
      <c r="T338" s="2471" t="s">
        <v>346</v>
      </c>
      <c r="U338" s="443" t="s">
        <v>347</v>
      </c>
      <c r="V338" s="808" t="s">
        <v>206</v>
      </c>
      <c r="W338" s="138"/>
      <c r="X338" s="138"/>
      <c r="Y338" s="99"/>
      <c r="Z338" s="346" t="s">
        <v>348</v>
      </c>
      <c r="AA338" s="265" t="s">
        <v>349</v>
      </c>
      <c r="AB338" s="187" t="s">
        <v>350</v>
      </c>
    </row>
    <row r="339" spans="1:30" ht="19.899999999999999" customHeight="1">
      <c r="A339" s="11"/>
      <c r="B339" s="5590"/>
      <c r="C339" s="9647" t="s">
        <v>134</v>
      </c>
      <c r="D339" s="9648"/>
      <c r="E339" s="9649"/>
      <c r="F339" s="492" t="s">
        <v>344</v>
      </c>
      <c r="G339" s="253"/>
      <c r="H339" s="9579" t="s">
        <v>135</v>
      </c>
      <c r="I339" s="9580"/>
      <c r="J339" s="9581"/>
      <c r="K339" s="5732" t="s">
        <v>344</v>
      </c>
      <c r="L339" s="6754">
        <v>27681</v>
      </c>
      <c r="M339" s="7250"/>
      <c r="N339" s="6826">
        <v>664460</v>
      </c>
      <c r="O339" s="7250"/>
      <c r="P339" s="6826">
        <v>699683</v>
      </c>
      <c r="Q339" s="7250"/>
      <c r="R339" s="6658" t="s">
        <v>31</v>
      </c>
      <c r="S339" s="6557"/>
      <c r="T339" s="1033"/>
      <c r="U339" s="263"/>
      <c r="V339" s="99"/>
      <c r="W339" s="138"/>
      <c r="X339" s="138"/>
      <c r="Y339" s="99"/>
      <c r="Z339" s="264"/>
      <c r="AA339" s="277"/>
      <c r="AB339" s="187"/>
    </row>
    <row r="340" spans="1:30" ht="19.899999999999999" customHeight="1">
      <c r="A340" s="11"/>
      <c r="B340" s="5590"/>
      <c r="C340" s="9647" t="s">
        <v>137</v>
      </c>
      <c r="D340" s="9648"/>
      <c r="E340" s="9649"/>
      <c r="F340" s="492" t="s">
        <v>344</v>
      </c>
      <c r="G340" s="253"/>
      <c r="H340" s="9579" t="s">
        <v>138</v>
      </c>
      <c r="I340" s="9580"/>
      <c r="J340" s="9581"/>
      <c r="K340" s="6407" t="s">
        <v>351</v>
      </c>
      <c r="L340" s="6784" t="s">
        <v>168</v>
      </c>
      <c r="M340" s="7250"/>
      <c r="N340" s="6832" t="s">
        <v>168</v>
      </c>
      <c r="O340" s="7250"/>
      <c r="P340" s="6826">
        <v>1105</v>
      </c>
      <c r="Q340" s="7356"/>
      <c r="R340" s="6658" t="s">
        <v>31</v>
      </c>
      <c r="S340" s="6557" t="s">
        <v>2045</v>
      </c>
      <c r="T340" s="1033"/>
      <c r="U340" s="263"/>
      <c r="V340" s="99"/>
      <c r="W340" s="138"/>
      <c r="X340" s="138"/>
      <c r="Y340" s="99"/>
      <c r="Z340" s="264"/>
      <c r="AA340" s="277"/>
      <c r="AB340" s="187"/>
      <c r="AD340" s="6409" t="s">
        <v>352</v>
      </c>
    </row>
    <row r="341" spans="1:30" ht="19.899999999999999" customHeight="1">
      <c r="A341" s="11"/>
      <c r="B341" s="5590"/>
      <c r="C341" s="9647" t="s">
        <v>140</v>
      </c>
      <c r="D341" s="9648"/>
      <c r="E341" s="9649"/>
      <c r="F341" s="492" t="s">
        <v>344</v>
      </c>
      <c r="G341" s="253"/>
      <c r="H341" s="9579" t="s">
        <v>141</v>
      </c>
      <c r="I341" s="9580"/>
      <c r="J341" s="9581"/>
      <c r="K341" s="5732" t="s">
        <v>344</v>
      </c>
      <c r="L341" s="6754">
        <v>213417.32351071289</v>
      </c>
      <c r="M341" s="7250"/>
      <c r="N341" s="6826">
        <v>157449.26107966571</v>
      </c>
      <c r="O341" s="7356"/>
      <c r="P341" s="6826">
        <v>200377.26086870869</v>
      </c>
      <c r="Q341" s="7356"/>
      <c r="R341" s="6658" t="s">
        <v>31</v>
      </c>
      <c r="S341" s="6557"/>
      <c r="T341" s="1033"/>
      <c r="U341" s="263"/>
      <c r="V341" s="99"/>
      <c r="W341" s="138"/>
      <c r="X341" s="138"/>
      <c r="Y341" s="99"/>
      <c r="Z341" s="264"/>
      <c r="AA341" s="277"/>
      <c r="AB341" s="187"/>
    </row>
    <row r="342" spans="1:30" ht="19.899999999999999" customHeight="1">
      <c r="A342" s="11"/>
      <c r="B342" s="5590"/>
      <c r="C342" s="9647" t="s">
        <v>143</v>
      </c>
      <c r="D342" s="9648"/>
      <c r="E342" s="9649"/>
      <c r="F342" s="492" t="s">
        <v>344</v>
      </c>
      <c r="G342" s="253"/>
      <c r="H342" s="9579" t="s">
        <v>144</v>
      </c>
      <c r="I342" s="9580"/>
      <c r="J342" s="9581"/>
      <c r="K342" s="5732" t="s">
        <v>344</v>
      </c>
      <c r="L342" s="6754">
        <v>36047.093980099504</v>
      </c>
      <c r="M342" s="7250"/>
      <c r="N342" s="6826">
        <v>64373.987004694834</v>
      </c>
      <c r="O342" s="7356"/>
      <c r="P342" s="6826">
        <v>76494.656121343447</v>
      </c>
      <c r="Q342" s="7356"/>
      <c r="R342" s="6658" t="s">
        <v>31</v>
      </c>
      <c r="S342" s="6557"/>
      <c r="T342" s="1033"/>
      <c r="U342" s="263"/>
      <c r="V342" s="99"/>
      <c r="W342" s="138"/>
      <c r="X342" s="138"/>
      <c r="Y342" s="99"/>
      <c r="Z342" s="264"/>
      <c r="AA342" s="277"/>
      <c r="AB342" s="187"/>
    </row>
    <row r="343" spans="1:30" ht="19.899999999999999" customHeight="1">
      <c r="A343" s="11"/>
      <c r="B343" s="5590"/>
      <c r="C343" s="9647" t="s">
        <v>146</v>
      </c>
      <c r="D343" s="9648"/>
      <c r="E343" s="9649"/>
      <c r="F343" s="492" t="s">
        <v>344</v>
      </c>
      <c r="G343" s="253"/>
      <c r="H343" s="9579" t="s">
        <v>147</v>
      </c>
      <c r="I343" s="9580"/>
      <c r="J343" s="9581"/>
      <c r="K343" s="5732" t="s">
        <v>344</v>
      </c>
      <c r="L343" s="6754">
        <v>55648</v>
      </c>
      <c r="M343" s="7250"/>
      <c r="N343" s="6826">
        <v>120457</v>
      </c>
      <c r="O343" s="7356"/>
      <c r="P343" s="6826">
        <v>134574</v>
      </c>
      <c r="Q343" s="7356"/>
      <c r="R343" s="6658" t="s">
        <v>31</v>
      </c>
      <c r="S343" s="6557"/>
      <c r="T343" s="1033"/>
      <c r="U343" s="263"/>
      <c r="V343" s="99"/>
      <c r="W343" s="138"/>
      <c r="X343" s="138"/>
      <c r="Y343" s="99"/>
      <c r="Z343" s="264"/>
      <c r="AA343" s="277"/>
      <c r="AB343" s="187"/>
    </row>
    <row r="344" spans="1:30" ht="19.899999999999999" customHeight="1">
      <c r="A344" s="11"/>
      <c r="B344" s="5590"/>
      <c r="C344" s="9647" t="s">
        <v>149</v>
      </c>
      <c r="D344" s="9648"/>
      <c r="E344" s="9649"/>
      <c r="F344" s="492" t="s">
        <v>344</v>
      </c>
      <c r="G344" s="253"/>
      <c r="H344" s="9579" t="s">
        <v>150</v>
      </c>
      <c r="I344" s="9580"/>
      <c r="J344" s="9581"/>
      <c r="K344" s="5732" t="s">
        <v>344</v>
      </c>
      <c r="L344" s="6754">
        <v>40609</v>
      </c>
      <c r="M344" s="7250"/>
      <c r="N344" s="6826">
        <v>65273</v>
      </c>
      <c r="O344" s="7356"/>
      <c r="P344" s="6826">
        <v>60089</v>
      </c>
      <c r="Q344" s="7356"/>
      <c r="R344" s="6658" t="s">
        <v>31</v>
      </c>
      <c r="S344" s="6557"/>
      <c r="T344" s="1033"/>
      <c r="U344" s="263"/>
      <c r="V344" s="99"/>
      <c r="W344" s="138"/>
      <c r="X344" s="138"/>
      <c r="Y344" s="99"/>
      <c r="Z344" s="264"/>
      <c r="AA344" s="277"/>
      <c r="AB344" s="187"/>
    </row>
    <row r="345" spans="1:30" ht="20.100000000000001" customHeight="1">
      <c r="A345" s="11"/>
      <c r="B345" s="1360"/>
      <c r="C345" s="5598"/>
      <c r="D345" s="9641" t="s">
        <v>679</v>
      </c>
      <c r="E345" s="9642"/>
      <c r="F345" s="492" t="s">
        <v>344</v>
      </c>
      <c r="G345" s="337"/>
      <c r="H345" s="358"/>
      <c r="I345" s="9641" t="s">
        <v>353</v>
      </c>
      <c r="J345" s="9642"/>
      <c r="K345" s="5732" t="s">
        <v>344</v>
      </c>
      <c r="L345" s="6763">
        <f>IF(COUNTBLANK(L346:L351)&gt;0,"미취합법인有",SUM(L346:L351))</f>
        <v>373402.41749081237</v>
      </c>
      <c r="M345" s="7233"/>
      <c r="N345" s="6847">
        <f>IF(COUNTBLANK(N346:N351)&gt;0,"미취합법인有",SUM(N346:N351))</f>
        <v>1072013.2480843607</v>
      </c>
      <c r="O345" s="7353"/>
      <c r="P345" s="6913">
        <f>IF(COUNTBLANK(P346:P351)&gt;0,"미취합법인有",SUM(P346:P351))</f>
        <v>1172322.9169900522</v>
      </c>
      <c r="Q345" s="7463"/>
      <c r="R345" s="6658" t="s">
        <v>31</v>
      </c>
      <c r="S345" s="6569"/>
      <c r="T345" s="2471"/>
      <c r="U345" s="444"/>
      <c r="V345" s="1715" t="s">
        <v>206</v>
      </c>
      <c r="W345" s="138"/>
      <c r="X345" s="138"/>
      <c r="Y345" s="99"/>
      <c r="Z345" s="346" t="s">
        <v>354</v>
      </c>
      <c r="AA345" s="265" t="s">
        <v>349</v>
      </c>
      <c r="AB345" s="187"/>
    </row>
    <row r="346" spans="1:30">
      <c r="A346" s="11"/>
      <c r="B346" s="5590"/>
      <c r="C346" s="5598"/>
      <c r="D346" s="9598" t="s">
        <v>134</v>
      </c>
      <c r="E346" s="9600"/>
      <c r="F346" s="492" t="s">
        <v>344</v>
      </c>
      <c r="G346" s="253"/>
      <c r="H346" s="286"/>
      <c r="I346" s="9579" t="s">
        <v>135</v>
      </c>
      <c r="J346" s="9581"/>
      <c r="K346" s="5732" t="s">
        <v>344</v>
      </c>
      <c r="L346" s="6777">
        <v>27681</v>
      </c>
      <c r="M346" s="7261"/>
      <c r="N346" s="6855">
        <v>664460</v>
      </c>
      <c r="O346" s="7364"/>
      <c r="P346" s="6855">
        <v>699683</v>
      </c>
      <c r="Q346" s="7277"/>
      <c r="R346" s="6658" t="s">
        <v>31</v>
      </c>
      <c r="S346" s="6566"/>
      <c r="T346" s="2468"/>
      <c r="U346" s="276"/>
      <c r="V346" s="99"/>
      <c r="W346" s="138"/>
      <c r="X346" s="138"/>
      <c r="Y346" s="99"/>
      <c r="Z346" s="264"/>
      <c r="AA346" s="277"/>
      <c r="AB346" s="187"/>
    </row>
    <row r="347" spans="1:30" ht="19.899999999999999" customHeight="1">
      <c r="A347" s="11"/>
      <c r="B347" s="5590"/>
      <c r="C347" s="5598"/>
      <c r="D347" s="9598" t="s">
        <v>137</v>
      </c>
      <c r="E347" s="9600"/>
      <c r="F347" s="492" t="s">
        <v>344</v>
      </c>
      <c r="G347" s="253"/>
      <c r="H347" s="286"/>
      <c r="I347" s="9579" t="s">
        <v>138</v>
      </c>
      <c r="J347" s="9581"/>
      <c r="K347" s="5732" t="s">
        <v>344</v>
      </c>
      <c r="L347" s="6774" t="s">
        <v>168</v>
      </c>
      <c r="M347" s="7250"/>
      <c r="N347" s="6826" t="s">
        <v>168</v>
      </c>
      <c r="O347" s="7250"/>
      <c r="P347" s="6826">
        <v>1105</v>
      </c>
      <c r="Q347" s="7245"/>
      <c r="R347" s="6658" t="s">
        <v>31</v>
      </c>
      <c r="S347" s="6561"/>
      <c r="T347" s="2468"/>
      <c r="U347" s="276"/>
      <c r="V347" s="99"/>
      <c r="W347" s="138"/>
      <c r="X347" s="138"/>
      <c r="Y347" s="99"/>
      <c r="Z347" s="264"/>
      <c r="AA347" s="277"/>
      <c r="AB347" s="187"/>
    </row>
    <row r="348" spans="1:30" ht="19.899999999999999" customHeight="1">
      <c r="A348" s="11"/>
      <c r="B348" s="5590"/>
      <c r="C348" s="5598"/>
      <c r="D348" s="9598" t="s">
        <v>140</v>
      </c>
      <c r="E348" s="9600"/>
      <c r="F348" s="492" t="s">
        <v>344</v>
      </c>
      <c r="G348" s="253"/>
      <c r="H348" s="286"/>
      <c r="I348" s="9582" t="s">
        <v>141</v>
      </c>
      <c r="J348" s="9583"/>
      <c r="K348" s="5732" t="s">
        <v>344</v>
      </c>
      <c r="L348" s="6752">
        <v>213417.32351071289</v>
      </c>
      <c r="M348" s="7263"/>
      <c r="N348" s="6848">
        <v>157449.26107966571</v>
      </c>
      <c r="O348" s="7365"/>
      <c r="P348" s="6901">
        <v>200377.26086870869</v>
      </c>
      <c r="Q348" s="7459"/>
      <c r="R348" s="6658" t="s">
        <v>31</v>
      </c>
      <c r="S348" s="6632"/>
      <c r="T348" s="2468"/>
      <c r="U348" s="276"/>
      <c r="V348" s="99"/>
      <c r="W348" s="138"/>
      <c r="X348" s="138"/>
      <c r="Y348" s="99"/>
      <c r="Z348" s="264"/>
      <c r="AA348" s="277"/>
      <c r="AB348" s="187"/>
    </row>
    <row r="349" spans="1:30" ht="19.899999999999999" customHeight="1">
      <c r="A349" s="11"/>
      <c r="B349" s="5590"/>
      <c r="C349" s="5598"/>
      <c r="D349" s="9598" t="s">
        <v>143</v>
      </c>
      <c r="E349" s="9600"/>
      <c r="F349" s="492" t="s">
        <v>344</v>
      </c>
      <c r="G349" s="253"/>
      <c r="H349" s="286"/>
      <c r="I349" s="9582" t="s">
        <v>144</v>
      </c>
      <c r="J349" s="9583"/>
      <c r="K349" s="5732" t="s">
        <v>344</v>
      </c>
      <c r="L349" s="6754">
        <v>36047.093980099504</v>
      </c>
      <c r="M349" s="7250"/>
      <c r="N349" s="6826">
        <v>64373.987004694834</v>
      </c>
      <c r="O349" s="7356"/>
      <c r="P349" s="6826">
        <v>76494.656121343447</v>
      </c>
      <c r="Q349" s="7356"/>
      <c r="R349" s="6658" t="s">
        <v>31</v>
      </c>
      <c r="S349" s="6557"/>
      <c r="T349" s="2468"/>
      <c r="U349" s="276"/>
      <c r="V349" s="99"/>
      <c r="W349" s="138"/>
      <c r="X349" s="138"/>
      <c r="Y349" s="99"/>
      <c r="Z349" s="264"/>
      <c r="AA349" s="277"/>
      <c r="AB349" s="187"/>
    </row>
    <row r="350" spans="1:30" ht="19.899999999999999" customHeight="1">
      <c r="A350" s="11"/>
      <c r="B350" s="5590"/>
      <c r="C350" s="5598"/>
      <c r="D350" s="9598" t="s">
        <v>146</v>
      </c>
      <c r="E350" s="9600"/>
      <c r="F350" s="492" t="s">
        <v>344</v>
      </c>
      <c r="G350" s="253"/>
      <c r="H350" s="286"/>
      <c r="I350" s="9582" t="s">
        <v>147</v>
      </c>
      <c r="J350" s="9583"/>
      <c r="K350" s="5732" t="s">
        <v>344</v>
      </c>
      <c r="L350" s="6754">
        <v>55648</v>
      </c>
      <c r="M350" s="7250"/>
      <c r="N350" s="6826">
        <v>120457</v>
      </c>
      <c r="O350" s="7356"/>
      <c r="P350" s="6826">
        <v>134574</v>
      </c>
      <c r="Q350" s="7356"/>
      <c r="R350" s="6658" t="s">
        <v>31</v>
      </c>
      <c r="S350" s="6557"/>
      <c r="T350" s="2468"/>
      <c r="U350" s="276"/>
      <c r="V350" s="99"/>
      <c r="W350" s="138"/>
      <c r="X350" s="138"/>
      <c r="Y350" s="99"/>
      <c r="Z350" s="264"/>
      <c r="AA350" s="277"/>
      <c r="AB350" s="187"/>
    </row>
    <row r="351" spans="1:30" ht="19.899999999999999" customHeight="1">
      <c r="A351" s="11"/>
      <c r="B351" s="5590"/>
      <c r="C351" s="5598"/>
      <c r="D351" s="9598" t="s">
        <v>149</v>
      </c>
      <c r="E351" s="9600"/>
      <c r="F351" s="492" t="s">
        <v>344</v>
      </c>
      <c r="G351" s="253"/>
      <c r="H351" s="286"/>
      <c r="I351" s="9582" t="s">
        <v>150</v>
      </c>
      <c r="J351" s="9583"/>
      <c r="K351" s="5732" t="s">
        <v>344</v>
      </c>
      <c r="L351" s="6754">
        <v>40609</v>
      </c>
      <c r="M351" s="7250"/>
      <c r="N351" s="6826">
        <v>65273</v>
      </c>
      <c r="O351" s="7356"/>
      <c r="P351" s="6826">
        <v>60089</v>
      </c>
      <c r="Q351" s="7356"/>
      <c r="R351" s="6658" t="s">
        <v>31</v>
      </c>
      <c r="S351" s="6557"/>
      <c r="T351" s="2468"/>
      <c r="U351" s="276"/>
      <c r="V351" s="99"/>
      <c r="W351" s="138"/>
      <c r="X351" s="138"/>
      <c r="Y351" s="99"/>
      <c r="Z351" s="264"/>
      <c r="AA351" s="277"/>
      <c r="AB351" s="187"/>
    </row>
    <row r="352" spans="1:30" ht="20.100000000000001" customHeight="1">
      <c r="A352" s="11"/>
      <c r="B352" s="1360"/>
      <c r="C352" s="5598"/>
      <c r="D352" s="9665" t="s">
        <v>355</v>
      </c>
      <c r="E352" s="9666"/>
      <c r="F352" s="492" t="s">
        <v>344</v>
      </c>
      <c r="G352" s="337"/>
      <c r="H352" s="358"/>
      <c r="I352" s="9641" t="s">
        <v>356</v>
      </c>
      <c r="J352" s="9642"/>
      <c r="K352" s="5732" t="s">
        <v>344</v>
      </c>
      <c r="L352" s="6763">
        <f>IF(COUNTBLANK(L353:L358)&gt;0,"미취합법인有",SUM(L353:L358))</f>
        <v>0</v>
      </c>
      <c r="M352" s="7233"/>
      <c r="N352" s="6847">
        <f>IF(COUNTBLANK(N353:N358)&gt;0,"미취합법인有",SUM(N353:N358))</f>
        <v>0</v>
      </c>
      <c r="O352" s="7353"/>
      <c r="P352" s="6913">
        <f>IF(COUNTBLANK(P353:P358)&gt;0,"미취합법인有",SUM(P353:P358))</f>
        <v>0</v>
      </c>
      <c r="Q352" s="7463"/>
      <c r="R352" s="6658" t="s">
        <v>31</v>
      </c>
      <c r="S352" s="6569"/>
      <c r="T352" s="2471"/>
      <c r="U352" s="444"/>
      <c r="V352" s="1715" t="s">
        <v>206</v>
      </c>
      <c r="W352" s="138"/>
      <c r="X352" s="138"/>
      <c r="Y352" s="99"/>
      <c r="Z352" s="346" t="s">
        <v>354</v>
      </c>
      <c r="AA352" s="265"/>
      <c r="AB352" s="187"/>
    </row>
    <row r="353" spans="1:28" ht="19.899999999999999" customHeight="1">
      <c r="A353" s="11"/>
      <c r="B353" s="5590"/>
      <c r="C353" s="5598"/>
      <c r="D353" s="9598" t="s">
        <v>134</v>
      </c>
      <c r="E353" s="9600"/>
      <c r="F353" s="492" t="s">
        <v>344</v>
      </c>
      <c r="G353" s="253"/>
      <c r="H353" s="286"/>
      <c r="I353" s="9579" t="s">
        <v>135</v>
      </c>
      <c r="J353" s="9581"/>
      <c r="K353" s="5732" t="s">
        <v>344</v>
      </c>
      <c r="L353" s="6777">
        <v>0</v>
      </c>
      <c r="M353" s="7261"/>
      <c r="N353" s="6855">
        <v>0</v>
      </c>
      <c r="O353" s="7364"/>
      <c r="P353" s="6855">
        <v>0</v>
      </c>
      <c r="Q353" s="7277"/>
      <c r="R353" s="6658" t="s">
        <v>31</v>
      </c>
      <c r="S353" s="6566"/>
      <c r="T353" s="2468"/>
      <c r="U353" s="276"/>
      <c r="V353" s="99"/>
      <c r="W353" s="138"/>
      <c r="X353" s="138"/>
      <c r="Y353" s="99"/>
      <c r="Z353" s="264"/>
      <c r="AA353" s="277"/>
      <c r="AB353" s="187"/>
    </row>
    <row r="354" spans="1:28" ht="19.899999999999999" customHeight="1">
      <c r="A354" s="11"/>
      <c r="B354" s="5590"/>
      <c r="C354" s="5598"/>
      <c r="D354" s="9598" t="s">
        <v>137</v>
      </c>
      <c r="E354" s="9600"/>
      <c r="F354" s="492" t="s">
        <v>344</v>
      </c>
      <c r="G354" s="253"/>
      <c r="H354" s="286"/>
      <c r="I354" s="9579" t="s">
        <v>138</v>
      </c>
      <c r="J354" s="9581"/>
      <c r="K354" s="5732" t="s">
        <v>344</v>
      </c>
      <c r="L354" s="6777">
        <v>0</v>
      </c>
      <c r="M354" s="7261"/>
      <c r="N354" s="6855">
        <v>0</v>
      </c>
      <c r="O354" s="7364"/>
      <c r="P354" s="6855">
        <v>0</v>
      </c>
      <c r="Q354" s="7277"/>
      <c r="R354" s="6658" t="s">
        <v>31</v>
      </c>
      <c r="S354" s="6566"/>
      <c r="T354" s="2468"/>
      <c r="U354" s="276"/>
      <c r="V354" s="99"/>
      <c r="W354" s="138"/>
      <c r="X354" s="138"/>
      <c r="Y354" s="99"/>
      <c r="Z354" s="264"/>
      <c r="AA354" s="277"/>
      <c r="AB354" s="187"/>
    </row>
    <row r="355" spans="1:28" ht="19.899999999999999" customHeight="1">
      <c r="A355" s="11"/>
      <c r="B355" s="5590"/>
      <c r="C355" s="5598"/>
      <c r="D355" s="9598" t="s">
        <v>140</v>
      </c>
      <c r="E355" s="9600"/>
      <c r="F355" s="492" t="s">
        <v>344</v>
      </c>
      <c r="G355" s="253"/>
      <c r="H355" s="286"/>
      <c r="I355" s="9582" t="s">
        <v>141</v>
      </c>
      <c r="J355" s="9583"/>
      <c r="K355" s="5732" t="s">
        <v>344</v>
      </c>
      <c r="L355" s="6785">
        <v>0</v>
      </c>
      <c r="M355" s="7267"/>
      <c r="N355" s="6863">
        <v>0</v>
      </c>
      <c r="O355" s="7370"/>
      <c r="P355" s="6863">
        <v>0</v>
      </c>
      <c r="Q355" s="7356"/>
      <c r="R355" s="6658" t="s">
        <v>31</v>
      </c>
      <c r="S355" s="6557" t="s">
        <v>2046</v>
      </c>
      <c r="T355" s="2468"/>
      <c r="U355" s="276"/>
      <c r="V355" s="99"/>
      <c r="W355" s="138"/>
      <c r="X355" s="138"/>
      <c r="Y355" s="99"/>
      <c r="Z355" s="264"/>
      <c r="AA355" s="277"/>
      <c r="AB355" s="187"/>
    </row>
    <row r="356" spans="1:28" ht="19.899999999999999" customHeight="1">
      <c r="A356" s="11"/>
      <c r="B356" s="5590"/>
      <c r="C356" s="5598"/>
      <c r="D356" s="9598" t="s">
        <v>143</v>
      </c>
      <c r="E356" s="9600"/>
      <c r="F356" s="492" t="s">
        <v>344</v>
      </c>
      <c r="G356" s="253"/>
      <c r="H356" s="286"/>
      <c r="I356" s="9582" t="s">
        <v>144</v>
      </c>
      <c r="J356" s="9583"/>
      <c r="K356" s="5732" t="s">
        <v>344</v>
      </c>
      <c r="L356" s="6785">
        <v>0</v>
      </c>
      <c r="M356" s="7267"/>
      <c r="N356" s="6863">
        <v>0</v>
      </c>
      <c r="O356" s="7370"/>
      <c r="P356" s="6863">
        <v>0</v>
      </c>
      <c r="Q356" s="7356"/>
      <c r="R356" s="6658" t="s">
        <v>31</v>
      </c>
      <c r="S356" s="6557" t="s">
        <v>2046</v>
      </c>
      <c r="T356" s="2468"/>
      <c r="U356" s="276"/>
      <c r="V356" s="99"/>
      <c r="W356" s="138"/>
      <c r="X356" s="138"/>
      <c r="Y356" s="99"/>
      <c r="Z356" s="264"/>
      <c r="AA356" s="277"/>
      <c r="AB356" s="187"/>
    </row>
    <row r="357" spans="1:28" ht="19.899999999999999" customHeight="1">
      <c r="A357" s="11"/>
      <c r="B357" s="5590"/>
      <c r="C357" s="5598"/>
      <c r="D357" s="9598" t="s">
        <v>146</v>
      </c>
      <c r="E357" s="9600"/>
      <c r="F357" s="492" t="s">
        <v>344</v>
      </c>
      <c r="G357" s="253"/>
      <c r="H357" s="286"/>
      <c r="I357" s="9582" t="s">
        <v>147</v>
      </c>
      <c r="J357" s="9583"/>
      <c r="K357" s="5732" t="s">
        <v>344</v>
      </c>
      <c r="L357" s="6785">
        <v>0</v>
      </c>
      <c r="M357" s="7267"/>
      <c r="N357" s="6863">
        <v>0</v>
      </c>
      <c r="O357" s="7370"/>
      <c r="P357" s="6863">
        <v>0</v>
      </c>
      <c r="Q357" s="7356"/>
      <c r="R357" s="6658" t="s">
        <v>31</v>
      </c>
      <c r="S357" s="6557" t="s">
        <v>2046</v>
      </c>
      <c r="T357" s="2468"/>
      <c r="U357" s="276"/>
      <c r="V357" s="99"/>
      <c r="W357" s="138"/>
      <c r="X357" s="138"/>
      <c r="Y357" s="99"/>
      <c r="Z357" s="264"/>
      <c r="AA357" s="277"/>
      <c r="AB357" s="187"/>
    </row>
    <row r="358" spans="1:28" ht="19.899999999999999" customHeight="1">
      <c r="A358" s="11"/>
      <c r="B358" s="5590"/>
      <c r="C358" s="5598"/>
      <c r="D358" s="9598" t="s">
        <v>149</v>
      </c>
      <c r="E358" s="9600"/>
      <c r="F358" s="492" t="s">
        <v>344</v>
      </c>
      <c r="G358" s="253"/>
      <c r="H358" s="286"/>
      <c r="I358" s="9582" t="s">
        <v>150</v>
      </c>
      <c r="J358" s="9583"/>
      <c r="K358" s="5732" t="s">
        <v>344</v>
      </c>
      <c r="L358" s="6785">
        <v>0</v>
      </c>
      <c r="M358" s="7267"/>
      <c r="N358" s="6863">
        <v>0</v>
      </c>
      <c r="O358" s="7370"/>
      <c r="P358" s="6863">
        <v>0</v>
      </c>
      <c r="Q358" s="7356"/>
      <c r="R358" s="6658" t="s">
        <v>31</v>
      </c>
      <c r="S358" s="6557" t="s">
        <v>2046</v>
      </c>
      <c r="T358" s="2468"/>
      <c r="U358" s="276"/>
      <c r="V358" s="99"/>
      <c r="W358" s="138"/>
      <c r="X358" s="138"/>
      <c r="Y358" s="99"/>
      <c r="Z358" s="264"/>
      <c r="AA358" s="277"/>
      <c r="AB358" s="187"/>
    </row>
    <row r="359" spans="1:28" ht="20.100000000000001" customHeight="1">
      <c r="A359" s="11"/>
      <c r="B359" s="1360"/>
      <c r="C359" s="5598"/>
      <c r="D359" s="9641" t="s">
        <v>357</v>
      </c>
      <c r="E359" s="9642"/>
      <c r="F359" s="492" t="s">
        <v>344</v>
      </c>
      <c r="G359" s="337"/>
      <c r="H359" s="358"/>
      <c r="I359" s="9641" t="s">
        <v>358</v>
      </c>
      <c r="J359" s="9642"/>
      <c r="K359" s="5732" t="s">
        <v>344</v>
      </c>
      <c r="L359" s="6763">
        <f>IF(COUNTBLANK(L360:L365)&gt;0,"미취합법인有",SUM(L360:L365))</f>
        <v>0</v>
      </c>
      <c r="M359" s="7233"/>
      <c r="N359" s="6847">
        <f>IF(COUNTBLANK(N360:N365)&gt;0,"미취합법인有",SUM(N360:N365))</f>
        <v>0</v>
      </c>
      <c r="O359" s="7353"/>
      <c r="P359" s="6913">
        <f>IF(COUNTBLANK(P360:P365)&gt;0,"미취합법인有",SUM(P360:P365))</f>
        <v>0</v>
      </c>
      <c r="Q359" s="7463"/>
      <c r="R359" s="6658" t="s">
        <v>31</v>
      </c>
      <c r="S359" s="6569"/>
      <c r="T359" s="2471"/>
      <c r="U359" s="444"/>
      <c r="V359" s="1715" t="s">
        <v>206</v>
      </c>
      <c r="W359" s="138"/>
      <c r="X359" s="138"/>
      <c r="Y359" s="99"/>
      <c r="Z359" s="346" t="s">
        <v>359</v>
      </c>
      <c r="AA359" s="265" t="s">
        <v>349</v>
      </c>
      <c r="AB359" s="187"/>
    </row>
    <row r="360" spans="1:28" ht="19.899999999999999" customHeight="1">
      <c r="A360" s="11"/>
      <c r="B360" s="5590"/>
      <c r="C360" s="5598"/>
      <c r="D360" s="9598" t="s">
        <v>134</v>
      </c>
      <c r="E360" s="9600"/>
      <c r="F360" s="492" t="s">
        <v>344</v>
      </c>
      <c r="G360" s="253"/>
      <c r="H360" s="286"/>
      <c r="I360" s="9579" t="s">
        <v>135</v>
      </c>
      <c r="J360" s="9581"/>
      <c r="K360" s="5732" t="s">
        <v>344</v>
      </c>
      <c r="L360" s="6777">
        <v>0</v>
      </c>
      <c r="M360" s="7261"/>
      <c r="N360" s="6855">
        <v>0</v>
      </c>
      <c r="O360" s="7364"/>
      <c r="P360" s="6855">
        <v>0</v>
      </c>
      <c r="Q360" s="7277"/>
      <c r="R360" s="6658" t="s">
        <v>31</v>
      </c>
      <c r="S360" s="6566"/>
      <c r="T360" s="2468"/>
      <c r="U360" s="276"/>
      <c r="V360" s="99"/>
      <c r="W360" s="138"/>
      <c r="X360" s="138"/>
      <c r="Y360" s="99"/>
      <c r="Z360" s="264"/>
      <c r="AA360" s="277"/>
      <c r="AB360" s="187"/>
    </row>
    <row r="361" spans="1:28" ht="19.899999999999999" customHeight="1">
      <c r="A361" s="11"/>
      <c r="B361" s="5590"/>
      <c r="C361" s="5598"/>
      <c r="D361" s="9598" t="s">
        <v>137</v>
      </c>
      <c r="E361" s="9600"/>
      <c r="F361" s="492" t="s">
        <v>344</v>
      </c>
      <c r="G361" s="253"/>
      <c r="H361" s="286"/>
      <c r="I361" s="9579" t="s">
        <v>138</v>
      </c>
      <c r="J361" s="9581"/>
      <c r="K361" s="5732" t="s">
        <v>344</v>
      </c>
      <c r="L361" s="6777">
        <v>0</v>
      </c>
      <c r="M361" s="7261"/>
      <c r="N361" s="6855">
        <v>0</v>
      </c>
      <c r="O361" s="7364"/>
      <c r="P361" s="6855">
        <v>0</v>
      </c>
      <c r="Q361" s="7277"/>
      <c r="R361" s="6658" t="s">
        <v>31</v>
      </c>
      <c r="S361" s="6566"/>
      <c r="T361" s="2468"/>
      <c r="U361" s="276"/>
      <c r="V361" s="99"/>
      <c r="W361" s="138"/>
      <c r="X361" s="138"/>
      <c r="Y361" s="99"/>
      <c r="Z361" s="264"/>
      <c r="AA361" s="277"/>
      <c r="AB361" s="187"/>
    </row>
    <row r="362" spans="1:28" ht="19.899999999999999" customHeight="1">
      <c r="A362" s="11"/>
      <c r="B362" s="5590"/>
      <c r="C362" s="5598"/>
      <c r="D362" s="9598" t="s">
        <v>140</v>
      </c>
      <c r="E362" s="9600"/>
      <c r="F362" s="492" t="s">
        <v>344</v>
      </c>
      <c r="G362" s="253"/>
      <c r="H362" s="286"/>
      <c r="I362" s="9582" t="s">
        <v>141</v>
      </c>
      <c r="J362" s="9583"/>
      <c r="K362" s="5732" t="s">
        <v>344</v>
      </c>
      <c r="L362" s="6785">
        <v>0</v>
      </c>
      <c r="M362" s="7267"/>
      <c r="N362" s="6863">
        <v>0</v>
      </c>
      <c r="O362" s="7370"/>
      <c r="P362" s="6863">
        <v>0</v>
      </c>
      <c r="Q362" s="7356"/>
      <c r="R362" s="6658" t="s">
        <v>31</v>
      </c>
      <c r="S362" s="6557" t="s">
        <v>2046</v>
      </c>
      <c r="T362" s="2468"/>
      <c r="U362" s="276"/>
      <c r="V362" s="99"/>
      <c r="W362" s="138"/>
      <c r="X362" s="138"/>
      <c r="Y362" s="99"/>
      <c r="Z362" s="264"/>
      <c r="AA362" s="277"/>
      <c r="AB362" s="187"/>
    </row>
    <row r="363" spans="1:28" ht="19.899999999999999" customHeight="1">
      <c r="A363" s="11"/>
      <c r="B363" s="5590"/>
      <c r="C363" s="5598"/>
      <c r="D363" s="9598" t="s">
        <v>143</v>
      </c>
      <c r="E363" s="9600"/>
      <c r="F363" s="492" t="s">
        <v>344</v>
      </c>
      <c r="G363" s="253"/>
      <c r="H363" s="286"/>
      <c r="I363" s="9582" t="s">
        <v>144</v>
      </c>
      <c r="J363" s="9583"/>
      <c r="K363" s="5732" t="s">
        <v>344</v>
      </c>
      <c r="L363" s="6785">
        <v>0</v>
      </c>
      <c r="M363" s="7267"/>
      <c r="N363" s="6863">
        <v>0</v>
      </c>
      <c r="O363" s="7370"/>
      <c r="P363" s="6863">
        <v>0</v>
      </c>
      <c r="Q363" s="7356"/>
      <c r="R363" s="6658" t="s">
        <v>31</v>
      </c>
      <c r="S363" s="6557" t="s">
        <v>2046</v>
      </c>
      <c r="T363" s="2468"/>
      <c r="U363" s="276"/>
      <c r="V363" s="99"/>
      <c r="W363" s="138"/>
      <c r="X363" s="138"/>
      <c r="Y363" s="99"/>
      <c r="Z363" s="264"/>
      <c r="AA363" s="277"/>
      <c r="AB363" s="187"/>
    </row>
    <row r="364" spans="1:28" ht="19.899999999999999" customHeight="1">
      <c r="A364" s="11"/>
      <c r="B364" s="5590"/>
      <c r="C364" s="5598"/>
      <c r="D364" s="9598" t="s">
        <v>146</v>
      </c>
      <c r="E364" s="9600"/>
      <c r="F364" s="492" t="s">
        <v>344</v>
      </c>
      <c r="G364" s="253"/>
      <c r="H364" s="286"/>
      <c r="I364" s="9582" t="s">
        <v>147</v>
      </c>
      <c r="J364" s="9583"/>
      <c r="K364" s="5732" t="s">
        <v>344</v>
      </c>
      <c r="L364" s="6785">
        <v>0</v>
      </c>
      <c r="M364" s="7267"/>
      <c r="N364" s="6863">
        <v>0</v>
      </c>
      <c r="O364" s="7370"/>
      <c r="P364" s="6863">
        <v>0</v>
      </c>
      <c r="Q364" s="7356"/>
      <c r="R364" s="6658" t="s">
        <v>31</v>
      </c>
      <c r="S364" s="6557" t="s">
        <v>2046</v>
      </c>
      <c r="T364" s="2468"/>
      <c r="U364" s="276"/>
      <c r="V364" s="99"/>
      <c r="W364" s="138"/>
      <c r="X364" s="138"/>
      <c r="Y364" s="99"/>
      <c r="Z364" s="264"/>
      <c r="AA364" s="277"/>
      <c r="AB364" s="187"/>
    </row>
    <row r="365" spans="1:28" ht="19.899999999999999" customHeight="1">
      <c r="A365" s="11"/>
      <c r="B365" s="5590"/>
      <c r="C365" s="5598"/>
      <c r="D365" s="9598" t="s">
        <v>149</v>
      </c>
      <c r="E365" s="9600"/>
      <c r="F365" s="492" t="s">
        <v>344</v>
      </c>
      <c r="G365" s="253"/>
      <c r="H365" s="286"/>
      <c r="I365" s="9582" t="s">
        <v>150</v>
      </c>
      <c r="J365" s="9583"/>
      <c r="K365" s="5732" t="s">
        <v>344</v>
      </c>
      <c r="L365" s="6785">
        <v>0</v>
      </c>
      <c r="M365" s="7267"/>
      <c r="N365" s="6863">
        <v>0</v>
      </c>
      <c r="O365" s="7370"/>
      <c r="P365" s="6863">
        <v>0</v>
      </c>
      <c r="Q365" s="7356"/>
      <c r="R365" s="6658" t="s">
        <v>31</v>
      </c>
      <c r="S365" s="6557" t="s">
        <v>2046</v>
      </c>
      <c r="T365" s="2468"/>
      <c r="U365" s="276"/>
      <c r="V365" s="99"/>
      <c r="W365" s="138"/>
      <c r="X365" s="138"/>
      <c r="Y365" s="99"/>
      <c r="Z365" s="264"/>
      <c r="AA365" s="277"/>
      <c r="AB365" s="187"/>
    </row>
    <row r="366" spans="1:28" ht="20.100000000000001" customHeight="1">
      <c r="A366" s="11"/>
      <c r="B366" s="1360"/>
      <c r="C366" s="5598"/>
      <c r="D366" s="9641" t="s">
        <v>360</v>
      </c>
      <c r="E366" s="9642"/>
      <c r="F366" s="492" t="s">
        <v>344</v>
      </c>
      <c r="G366" s="337"/>
      <c r="H366" s="358"/>
      <c r="I366" s="9641" t="s">
        <v>361</v>
      </c>
      <c r="J366" s="9642"/>
      <c r="K366" s="5732" t="s">
        <v>344</v>
      </c>
      <c r="L366" s="6763">
        <f>IF(COUNTBLANK(L367:L372)&gt;0,"미취합법인有",SUM(L367:L372))</f>
        <v>0</v>
      </c>
      <c r="M366" s="7233"/>
      <c r="N366" s="6847">
        <f>IF(COUNTBLANK(N367:N372)&gt;0,"미취합법인有",SUM(N367:N372))</f>
        <v>0</v>
      </c>
      <c r="O366" s="7353"/>
      <c r="P366" s="6913">
        <f>IF(COUNTBLANK(P367:P372)&gt;0,"미취합법인有",SUM(P367:P372))</f>
        <v>0</v>
      </c>
      <c r="Q366" s="7463"/>
      <c r="R366" s="6658" t="s">
        <v>31</v>
      </c>
      <c r="S366" s="6569"/>
      <c r="T366" s="2471"/>
      <c r="U366" s="444"/>
      <c r="V366" s="1715" t="s">
        <v>206</v>
      </c>
      <c r="W366" s="138"/>
      <c r="X366" s="138"/>
      <c r="Y366" s="99"/>
      <c r="Z366" s="346" t="s">
        <v>359</v>
      </c>
      <c r="AA366" s="265" t="s">
        <v>349</v>
      </c>
      <c r="AB366" s="187"/>
    </row>
    <row r="367" spans="1:28" ht="19.899999999999999" customHeight="1">
      <c r="A367" s="11"/>
      <c r="B367" s="5590"/>
      <c r="C367" s="5598"/>
      <c r="D367" s="9598" t="s">
        <v>134</v>
      </c>
      <c r="E367" s="9600"/>
      <c r="F367" s="492" t="s">
        <v>344</v>
      </c>
      <c r="G367" s="253"/>
      <c r="H367" s="286"/>
      <c r="I367" s="9579" t="s">
        <v>135</v>
      </c>
      <c r="J367" s="9581"/>
      <c r="K367" s="5732" t="s">
        <v>344</v>
      </c>
      <c r="L367" s="6777">
        <v>0</v>
      </c>
      <c r="M367" s="7261"/>
      <c r="N367" s="6855">
        <v>0</v>
      </c>
      <c r="O367" s="7364"/>
      <c r="P367" s="6855">
        <v>0</v>
      </c>
      <c r="Q367" s="7277"/>
      <c r="R367" s="6658" t="s">
        <v>31</v>
      </c>
      <c r="S367" s="6566"/>
      <c r="T367" s="2468"/>
      <c r="U367" s="276"/>
      <c r="V367" s="99"/>
      <c r="W367" s="138"/>
      <c r="X367" s="138"/>
      <c r="Y367" s="99"/>
      <c r="Z367" s="264"/>
      <c r="AA367" s="277"/>
      <c r="AB367" s="187"/>
    </row>
    <row r="368" spans="1:28" ht="19.899999999999999" customHeight="1">
      <c r="A368" s="11"/>
      <c r="B368" s="5590"/>
      <c r="C368" s="5598"/>
      <c r="D368" s="9598" t="s">
        <v>137</v>
      </c>
      <c r="E368" s="9600"/>
      <c r="F368" s="492" t="s">
        <v>344</v>
      </c>
      <c r="G368" s="253"/>
      <c r="H368" s="286"/>
      <c r="I368" s="9579" t="s">
        <v>138</v>
      </c>
      <c r="J368" s="9581"/>
      <c r="K368" s="5732" t="s">
        <v>344</v>
      </c>
      <c r="L368" s="6777">
        <v>0</v>
      </c>
      <c r="M368" s="7261"/>
      <c r="N368" s="6855">
        <v>0</v>
      </c>
      <c r="O368" s="7364"/>
      <c r="P368" s="6855">
        <v>0</v>
      </c>
      <c r="Q368" s="7277"/>
      <c r="R368" s="6658" t="s">
        <v>31</v>
      </c>
      <c r="S368" s="6566"/>
      <c r="T368" s="2468"/>
      <c r="U368" s="276"/>
      <c r="V368" s="99"/>
      <c r="W368" s="138"/>
      <c r="X368" s="138"/>
      <c r="Y368" s="99"/>
      <c r="Z368" s="264"/>
      <c r="AA368" s="277"/>
      <c r="AB368" s="187"/>
    </row>
    <row r="369" spans="1:28" ht="19.899999999999999" customHeight="1">
      <c r="A369" s="11"/>
      <c r="B369" s="5590"/>
      <c r="C369" s="5598"/>
      <c r="D369" s="9598" t="s">
        <v>140</v>
      </c>
      <c r="E369" s="9600"/>
      <c r="F369" s="492" t="s">
        <v>344</v>
      </c>
      <c r="G369" s="253"/>
      <c r="H369" s="286"/>
      <c r="I369" s="9582" t="s">
        <v>141</v>
      </c>
      <c r="J369" s="9583"/>
      <c r="K369" s="5732" t="s">
        <v>344</v>
      </c>
      <c r="L369" s="6785">
        <v>0</v>
      </c>
      <c r="M369" s="7267"/>
      <c r="N369" s="6863">
        <v>0</v>
      </c>
      <c r="O369" s="7370"/>
      <c r="P369" s="6863">
        <v>0</v>
      </c>
      <c r="Q369" s="7356"/>
      <c r="R369" s="6658" t="s">
        <v>31</v>
      </c>
      <c r="S369" s="6557" t="s">
        <v>2046</v>
      </c>
      <c r="T369" s="2468"/>
      <c r="U369" s="276"/>
      <c r="V369" s="99"/>
      <c r="W369" s="138"/>
      <c r="X369" s="138"/>
      <c r="Y369" s="99"/>
      <c r="Z369" s="264"/>
      <c r="AA369" s="277"/>
      <c r="AB369" s="187"/>
    </row>
    <row r="370" spans="1:28" ht="19.899999999999999" customHeight="1">
      <c r="A370" s="11"/>
      <c r="B370" s="5590"/>
      <c r="C370" s="5598"/>
      <c r="D370" s="9598" t="s">
        <v>143</v>
      </c>
      <c r="E370" s="9600"/>
      <c r="F370" s="492" t="s">
        <v>344</v>
      </c>
      <c r="G370" s="253"/>
      <c r="H370" s="286"/>
      <c r="I370" s="9582" t="s">
        <v>144</v>
      </c>
      <c r="J370" s="9583"/>
      <c r="K370" s="5732" t="s">
        <v>344</v>
      </c>
      <c r="L370" s="6785">
        <v>0</v>
      </c>
      <c r="M370" s="7267"/>
      <c r="N370" s="6863">
        <v>0</v>
      </c>
      <c r="O370" s="7370"/>
      <c r="P370" s="6863">
        <v>0</v>
      </c>
      <c r="Q370" s="7356"/>
      <c r="R370" s="6658" t="s">
        <v>31</v>
      </c>
      <c r="S370" s="6557" t="s">
        <v>2046</v>
      </c>
      <c r="T370" s="2468"/>
      <c r="U370" s="276"/>
      <c r="V370" s="99"/>
      <c r="W370" s="138"/>
      <c r="X370" s="138"/>
      <c r="Y370" s="99"/>
      <c r="Z370" s="264"/>
      <c r="AA370" s="277"/>
      <c r="AB370" s="187"/>
    </row>
    <row r="371" spans="1:28" ht="19.899999999999999" customHeight="1">
      <c r="A371" s="11"/>
      <c r="B371" s="5590"/>
      <c r="C371" s="5598"/>
      <c r="D371" s="9598" t="s">
        <v>146</v>
      </c>
      <c r="E371" s="9600"/>
      <c r="F371" s="492" t="s">
        <v>344</v>
      </c>
      <c r="G371" s="253"/>
      <c r="H371" s="286"/>
      <c r="I371" s="9582" t="s">
        <v>147</v>
      </c>
      <c r="J371" s="9583"/>
      <c r="K371" s="5732" t="s">
        <v>344</v>
      </c>
      <c r="L371" s="6785">
        <v>0</v>
      </c>
      <c r="M371" s="7267"/>
      <c r="N371" s="6863">
        <v>0</v>
      </c>
      <c r="O371" s="7370"/>
      <c r="P371" s="6863">
        <v>0</v>
      </c>
      <c r="Q371" s="7356"/>
      <c r="R371" s="6658" t="s">
        <v>31</v>
      </c>
      <c r="S371" s="6557" t="s">
        <v>2046</v>
      </c>
      <c r="T371" s="2468"/>
      <c r="U371" s="276"/>
      <c r="V371" s="99"/>
      <c r="W371" s="138"/>
      <c r="X371" s="138"/>
      <c r="Y371" s="99"/>
      <c r="Z371" s="264"/>
      <c r="AA371" s="277"/>
      <c r="AB371" s="187"/>
    </row>
    <row r="372" spans="1:28" ht="19.899999999999999" customHeight="1">
      <c r="A372" s="11"/>
      <c r="B372" s="5590"/>
      <c r="C372" s="5598"/>
      <c r="D372" s="9598" t="s">
        <v>149</v>
      </c>
      <c r="E372" s="9600"/>
      <c r="F372" s="492" t="s">
        <v>344</v>
      </c>
      <c r="G372" s="253"/>
      <c r="H372" s="286"/>
      <c r="I372" s="9582" t="s">
        <v>150</v>
      </c>
      <c r="J372" s="9583"/>
      <c r="K372" s="5732" t="s">
        <v>344</v>
      </c>
      <c r="L372" s="6785">
        <v>0</v>
      </c>
      <c r="M372" s="7267"/>
      <c r="N372" s="6863">
        <v>0</v>
      </c>
      <c r="O372" s="7370"/>
      <c r="P372" s="6863">
        <v>0</v>
      </c>
      <c r="Q372" s="7356"/>
      <c r="R372" s="6658" t="s">
        <v>31</v>
      </c>
      <c r="S372" s="6557" t="s">
        <v>2046</v>
      </c>
      <c r="T372" s="2468"/>
      <c r="U372" s="276"/>
      <c r="V372" s="99"/>
      <c r="W372" s="138"/>
      <c r="X372" s="138"/>
      <c r="Y372" s="99"/>
      <c r="Z372" s="264"/>
      <c r="AA372" s="277"/>
      <c r="AB372" s="187"/>
    </row>
    <row r="373" spans="1:28" ht="20.100000000000001" customHeight="1">
      <c r="A373" s="11"/>
      <c r="B373" s="1661"/>
      <c r="C373" s="9597" t="s">
        <v>370</v>
      </c>
      <c r="D373" s="9597"/>
      <c r="E373" s="9597"/>
      <c r="F373" s="492" t="s">
        <v>344</v>
      </c>
      <c r="G373" s="6158"/>
      <c r="H373" s="9597" t="s">
        <v>371</v>
      </c>
      <c r="I373" s="9597"/>
      <c r="J373" s="9597"/>
      <c r="K373" s="5732" t="s">
        <v>344</v>
      </c>
      <c r="L373" s="6763" t="str">
        <f>IF(COUNTBLANK(L374:L379)&gt;0,"미취합법인有",SUM(L374:L379))</f>
        <v>미취합법인有</v>
      </c>
      <c r="M373" s="7233"/>
      <c r="N373" s="6847" t="str">
        <f>IF(COUNTBLANK(N374:N379)&gt;0,"미취합법인有",SUM(N374:N379))</f>
        <v>미취합법인有</v>
      </c>
      <c r="O373" s="7353"/>
      <c r="P373" s="6913" t="str">
        <f>IF(COUNTBLANK(P374:P379)&gt;0,"미취합법인有",SUM(P374:P379))</f>
        <v>미취합법인有</v>
      </c>
      <c r="Q373" s="7463"/>
      <c r="R373" s="6658" t="s">
        <v>31</v>
      </c>
      <c r="S373" s="6687" t="s">
        <v>372</v>
      </c>
      <c r="T373" s="2472" t="s">
        <v>372</v>
      </c>
      <c r="U373" s="457" t="s">
        <v>373</v>
      </c>
      <c r="V373" s="99" t="s">
        <v>189</v>
      </c>
      <c r="W373" s="138"/>
      <c r="X373" s="138"/>
      <c r="Y373" s="299" t="s">
        <v>193</v>
      </c>
      <c r="Z373" s="265" t="s">
        <v>374</v>
      </c>
      <c r="AA373" s="265" t="s">
        <v>375</v>
      </c>
      <c r="AB373" s="187" t="s">
        <v>350</v>
      </c>
    </row>
    <row r="374" spans="1:28" ht="19.899999999999999" customHeight="1">
      <c r="A374" s="11"/>
      <c r="B374" s="5590"/>
      <c r="C374" s="9647" t="s">
        <v>134</v>
      </c>
      <c r="D374" s="9648"/>
      <c r="E374" s="9649"/>
      <c r="F374" s="492" t="s">
        <v>344</v>
      </c>
      <c r="G374" s="253"/>
      <c r="H374" s="9579" t="s">
        <v>135</v>
      </c>
      <c r="I374" s="9580"/>
      <c r="J374" s="9581"/>
      <c r="K374" s="5732" t="s">
        <v>344</v>
      </c>
      <c r="L374" s="6754">
        <v>0</v>
      </c>
      <c r="M374" s="7250"/>
      <c r="N374" s="6826">
        <v>0</v>
      </c>
      <c r="O374" s="7250"/>
      <c r="P374" s="6826">
        <v>0</v>
      </c>
      <c r="Q374" s="7250"/>
      <c r="R374" s="6658" t="s">
        <v>31</v>
      </c>
      <c r="S374" s="6557"/>
      <c r="T374" s="1033"/>
      <c r="U374" s="263"/>
      <c r="V374" s="99"/>
      <c r="W374" s="138"/>
      <c r="X374" s="138"/>
      <c r="Y374" s="299" t="s">
        <v>193</v>
      </c>
      <c r="Z374" s="264"/>
      <c r="AA374" s="277"/>
      <c r="AB374" s="187"/>
    </row>
    <row r="375" spans="1:28" ht="19.899999999999999" customHeight="1">
      <c r="A375" s="11"/>
      <c r="B375" s="5590"/>
      <c r="C375" s="9647" t="s">
        <v>137</v>
      </c>
      <c r="D375" s="9648"/>
      <c r="E375" s="9649"/>
      <c r="F375" s="492" t="s">
        <v>344</v>
      </c>
      <c r="G375" s="253"/>
      <c r="H375" s="9579" t="s">
        <v>138</v>
      </c>
      <c r="I375" s="9580"/>
      <c r="J375" s="9581"/>
      <c r="K375" s="5732" t="s">
        <v>344</v>
      </c>
      <c r="L375" s="6754"/>
      <c r="M375" s="7250"/>
      <c r="N375" s="6826"/>
      <c r="O375" s="7356"/>
      <c r="P375" s="6826"/>
      <c r="Q375" s="7356"/>
      <c r="R375" s="6658" t="s">
        <v>31</v>
      </c>
      <c r="S375" s="6557"/>
      <c r="T375" s="1033"/>
      <c r="U375" s="263"/>
      <c r="V375" s="99"/>
      <c r="W375" s="138"/>
      <c r="X375" s="138"/>
      <c r="Y375" s="299" t="s">
        <v>193</v>
      </c>
      <c r="Z375" s="264"/>
      <c r="AA375" s="277"/>
      <c r="AB375" s="187"/>
    </row>
    <row r="376" spans="1:28" ht="19.899999999999999" customHeight="1">
      <c r="A376" s="11"/>
      <c r="B376" s="5590"/>
      <c r="C376" s="9647" t="s">
        <v>140</v>
      </c>
      <c r="D376" s="9648"/>
      <c r="E376" s="9649"/>
      <c r="F376" s="492" t="s">
        <v>344</v>
      </c>
      <c r="G376" s="253"/>
      <c r="H376" s="9579" t="s">
        <v>141</v>
      </c>
      <c r="I376" s="9580"/>
      <c r="J376" s="9581"/>
      <c r="K376" s="5732" t="s">
        <v>344</v>
      </c>
      <c r="L376" s="6754">
        <v>0</v>
      </c>
      <c r="M376" s="7250"/>
      <c r="N376" s="6826">
        <v>0</v>
      </c>
      <c r="O376" s="7356"/>
      <c r="P376" s="6826">
        <v>0</v>
      </c>
      <c r="Q376" s="7356"/>
      <c r="R376" s="6658" t="s">
        <v>31</v>
      </c>
      <c r="S376" s="6557"/>
      <c r="T376" s="1033"/>
      <c r="U376" s="263"/>
      <c r="V376" s="99"/>
      <c r="W376" s="138"/>
      <c r="X376" s="138"/>
      <c r="Y376" s="299" t="s">
        <v>193</v>
      </c>
      <c r="Z376" s="264"/>
      <c r="AA376" s="277"/>
      <c r="AB376" s="187"/>
    </row>
    <row r="377" spans="1:28" ht="19.899999999999999" customHeight="1">
      <c r="A377" s="11"/>
      <c r="B377" s="5590"/>
      <c r="C377" s="9647" t="s">
        <v>143</v>
      </c>
      <c r="D377" s="9648"/>
      <c r="E377" s="9649"/>
      <c r="F377" s="492" t="s">
        <v>344</v>
      </c>
      <c r="G377" s="253"/>
      <c r="H377" s="9579" t="s">
        <v>144</v>
      </c>
      <c r="I377" s="9580"/>
      <c r="J377" s="9581"/>
      <c r="K377" s="5732" t="s">
        <v>344</v>
      </c>
      <c r="L377" s="6754">
        <v>0</v>
      </c>
      <c r="M377" s="7250"/>
      <c r="N377" s="6826">
        <v>0</v>
      </c>
      <c r="O377" s="7356"/>
      <c r="P377" s="6826">
        <v>0</v>
      </c>
      <c r="Q377" s="7356"/>
      <c r="R377" s="6658" t="s">
        <v>31</v>
      </c>
      <c r="S377" s="6557"/>
      <c r="T377" s="1033"/>
      <c r="U377" s="263"/>
      <c r="V377" s="99"/>
      <c r="W377" s="138"/>
      <c r="X377" s="138"/>
      <c r="Y377" s="299" t="s">
        <v>193</v>
      </c>
      <c r="Z377" s="264"/>
      <c r="AA377" s="277"/>
      <c r="AB377" s="187"/>
    </row>
    <row r="378" spans="1:28" ht="19.899999999999999" customHeight="1">
      <c r="A378" s="11"/>
      <c r="B378" s="5590"/>
      <c r="C378" s="9647" t="s">
        <v>146</v>
      </c>
      <c r="D378" s="9648"/>
      <c r="E378" s="9649"/>
      <c r="F378" s="492" t="s">
        <v>344</v>
      </c>
      <c r="G378" s="253"/>
      <c r="H378" s="9579" t="s">
        <v>147</v>
      </c>
      <c r="I378" s="9580"/>
      <c r="J378" s="9581"/>
      <c r="K378" s="5732" t="s">
        <v>344</v>
      </c>
      <c r="L378" s="6754"/>
      <c r="M378" s="7250"/>
      <c r="N378" s="6826"/>
      <c r="O378" s="7356"/>
      <c r="P378" s="6826"/>
      <c r="Q378" s="7356"/>
      <c r="R378" s="6658" t="s">
        <v>31</v>
      </c>
      <c r="S378" s="6557"/>
      <c r="T378" s="1033"/>
      <c r="U378" s="263"/>
      <c r="V378" s="99"/>
      <c r="W378" s="138"/>
      <c r="X378" s="138"/>
      <c r="Y378" s="299" t="s">
        <v>193</v>
      </c>
      <c r="Z378" s="264"/>
      <c r="AA378" s="277"/>
      <c r="AB378" s="187"/>
    </row>
    <row r="379" spans="1:28" ht="19.899999999999999" customHeight="1">
      <c r="A379" s="11"/>
      <c r="B379" s="5590"/>
      <c r="C379" s="9647" t="s">
        <v>149</v>
      </c>
      <c r="D379" s="9648"/>
      <c r="E379" s="9649"/>
      <c r="F379" s="492" t="s">
        <v>344</v>
      </c>
      <c r="G379" s="253"/>
      <c r="H379" s="9579" t="s">
        <v>150</v>
      </c>
      <c r="I379" s="9580"/>
      <c r="J379" s="9581"/>
      <c r="K379" s="5732" t="s">
        <v>344</v>
      </c>
      <c r="L379" s="6754"/>
      <c r="M379" s="7250"/>
      <c r="N379" s="6826"/>
      <c r="O379" s="7356"/>
      <c r="P379" s="6826"/>
      <c r="Q379" s="7356"/>
      <c r="R379" s="6658" t="s">
        <v>31</v>
      </c>
      <c r="S379" s="6557"/>
      <c r="T379" s="1033"/>
      <c r="U379" s="263"/>
      <c r="V379" s="99"/>
      <c r="W379" s="138"/>
      <c r="X379" s="138"/>
      <c r="Y379" s="299" t="s">
        <v>193</v>
      </c>
      <c r="Z379" s="264"/>
      <c r="AA379" s="277"/>
      <c r="AB379" s="187"/>
    </row>
    <row r="380" spans="1:28" ht="20.100000000000001" customHeight="1">
      <c r="A380" s="11"/>
      <c r="B380" s="1360"/>
      <c r="C380" s="5598"/>
      <c r="D380" s="9586" t="s">
        <v>343</v>
      </c>
      <c r="E380" s="9587"/>
      <c r="F380" s="492" t="s">
        <v>344</v>
      </c>
      <c r="G380" s="6158"/>
      <c r="H380" s="345"/>
      <c r="I380" s="9586" t="s">
        <v>680</v>
      </c>
      <c r="J380" s="9587"/>
      <c r="K380" s="5732" t="s">
        <v>344</v>
      </c>
      <c r="L380" s="6763" t="str">
        <f>IF(COUNTBLANK(L381:L386)&gt;0,"미취합법인有",SUM(L381:L386))</f>
        <v>미취합법인有</v>
      </c>
      <c r="M380" s="7233"/>
      <c r="N380" s="6847" t="str">
        <f>IF(COUNTBLANK(N381:N386)&gt;0,"미취합법인有",SUM(N381:N386))</f>
        <v>미취합법인有</v>
      </c>
      <c r="O380" s="7353"/>
      <c r="P380" s="6913" t="str">
        <f>IF(COUNTBLANK(P381:P386)&gt;0,"미취합법인有",SUM(P381:P386))</f>
        <v>미취합법인有</v>
      </c>
      <c r="Q380" s="7463"/>
      <c r="R380" s="6658" t="s">
        <v>155</v>
      </c>
      <c r="S380" s="6561"/>
      <c r="T380" s="2472"/>
      <c r="U380" s="457"/>
      <c r="V380" s="99" t="s">
        <v>189</v>
      </c>
      <c r="W380" s="138"/>
      <c r="X380" s="138"/>
      <c r="Y380" s="299" t="s">
        <v>193</v>
      </c>
      <c r="Z380" s="265" t="s">
        <v>374</v>
      </c>
      <c r="AA380" s="265" t="s">
        <v>349</v>
      </c>
      <c r="AB380" s="187"/>
    </row>
    <row r="381" spans="1:28" ht="19.899999999999999" customHeight="1">
      <c r="A381" s="11"/>
      <c r="B381" s="5590"/>
      <c r="C381" s="5598"/>
      <c r="D381" s="9598" t="s">
        <v>134</v>
      </c>
      <c r="E381" s="9600"/>
      <c r="F381" s="492" t="s">
        <v>344</v>
      </c>
      <c r="G381" s="253"/>
      <c r="H381" s="253"/>
      <c r="I381" s="9579" t="s">
        <v>135</v>
      </c>
      <c r="J381" s="9581"/>
      <c r="K381" s="5732" t="s">
        <v>344</v>
      </c>
      <c r="L381" s="6777">
        <v>27681</v>
      </c>
      <c r="M381" s="7261" t="s">
        <v>681</v>
      </c>
      <c r="N381" s="6855">
        <v>664460</v>
      </c>
      <c r="O381" s="7364" t="s">
        <v>682</v>
      </c>
      <c r="P381" s="6855">
        <v>699683</v>
      </c>
      <c r="Q381" s="7277"/>
      <c r="R381" s="6658" t="s">
        <v>155</v>
      </c>
      <c r="S381" s="6566"/>
      <c r="T381" s="2468"/>
      <c r="U381" s="276"/>
      <c r="V381" s="99"/>
      <c r="W381" s="138"/>
      <c r="X381" s="138"/>
      <c r="Y381" s="299" t="s">
        <v>193</v>
      </c>
      <c r="Z381" s="264"/>
      <c r="AA381" s="277"/>
      <c r="AB381" s="187"/>
    </row>
    <row r="382" spans="1:28" ht="19.899999999999999" customHeight="1">
      <c r="A382" s="11"/>
      <c r="B382" s="5590"/>
      <c r="C382" s="5598"/>
      <c r="D382" s="9598" t="s">
        <v>137</v>
      </c>
      <c r="E382" s="9600"/>
      <c r="F382" s="492" t="s">
        <v>344</v>
      </c>
      <c r="G382" s="253"/>
      <c r="H382" s="253"/>
      <c r="I382" s="9579" t="s">
        <v>138</v>
      </c>
      <c r="J382" s="9581"/>
      <c r="K382" s="5732" t="s">
        <v>344</v>
      </c>
      <c r="L382" s="6766">
        <v>1256.0999999999999</v>
      </c>
      <c r="M382" s="7249"/>
      <c r="N382" s="6838">
        <v>1086.5</v>
      </c>
      <c r="O382" s="7355"/>
      <c r="P382" s="6858">
        <v>1081.2</v>
      </c>
      <c r="Q382" s="7245"/>
      <c r="R382" s="6658" t="s">
        <v>155</v>
      </c>
      <c r="S382" s="6561"/>
      <c r="T382" s="2468"/>
      <c r="U382" s="276"/>
      <c r="V382" s="99"/>
      <c r="W382" s="138"/>
      <c r="X382" s="138"/>
      <c r="Y382" s="299" t="s">
        <v>193</v>
      </c>
      <c r="Z382" s="264"/>
      <c r="AA382" s="277"/>
      <c r="AB382" s="187"/>
    </row>
    <row r="383" spans="1:28" ht="19.899999999999999" customHeight="1">
      <c r="A383" s="11"/>
      <c r="B383" s="5590"/>
      <c r="C383" s="5598"/>
      <c r="D383" s="9598" t="s">
        <v>140</v>
      </c>
      <c r="E383" s="9600"/>
      <c r="F383" s="492" t="s">
        <v>344</v>
      </c>
      <c r="G383" s="253"/>
      <c r="H383" s="253"/>
      <c r="I383" s="9582" t="s">
        <v>141</v>
      </c>
      <c r="J383" s="9583"/>
      <c r="K383" s="5732" t="s">
        <v>344</v>
      </c>
      <c r="L383" s="6752"/>
      <c r="M383" s="7263"/>
      <c r="N383" s="6848"/>
      <c r="O383" s="7365"/>
      <c r="P383" s="6901"/>
      <c r="Q383" s="7459"/>
      <c r="R383" s="6658" t="s">
        <v>155</v>
      </c>
      <c r="S383" s="6632"/>
      <c r="T383" s="2468"/>
      <c r="U383" s="276"/>
      <c r="V383" s="99"/>
      <c r="W383" s="138"/>
      <c r="X383" s="138"/>
      <c r="Y383" s="299" t="s">
        <v>193</v>
      </c>
      <c r="Z383" s="264"/>
      <c r="AA383" s="277"/>
      <c r="AB383" s="187"/>
    </row>
    <row r="384" spans="1:28" ht="19.899999999999999" customHeight="1">
      <c r="A384" s="11"/>
      <c r="B384" s="5590"/>
      <c r="C384" s="5598"/>
      <c r="D384" s="9598" t="s">
        <v>143</v>
      </c>
      <c r="E384" s="9600"/>
      <c r="F384" s="492" t="s">
        <v>344</v>
      </c>
      <c r="G384" s="253"/>
      <c r="H384" s="253"/>
      <c r="I384" s="9582" t="s">
        <v>144</v>
      </c>
      <c r="J384" s="9583"/>
      <c r="K384" s="5732" t="s">
        <v>344</v>
      </c>
      <c r="L384" s="6754"/>
      <c r="M384" s="7250"/>
      <c r="N384" s="6826"/>
      <c r="O384" s="7356"/>
      <c r="P384" s="6826"/>
      <c r="Q384" s="7356"/>
      <c r="R384" s="6658" t="s">
        <v>155</v>
      </c>
      <c r="S384" s="6557"/>
      <c r="T384" s="2468"/>
      <c r="U384" s="276"/>
      <c r="V384" s="99"/>
      <c r="W384" s="138"/>
      <c r="X384" s="138"/>
      <c r="Y384" s="299" t="s">
        <v>193</v>
      </c>
      <c r="Z384" s="264"/>
      <c r="AA384" s="277"/>
      <c r="AB384" s="187"/>
    </row>
    <row r="385" spans="1:62" ht="19.899999999999999" customHeight="1">
      <c r="A385" s="11"/>
      <c r="B385" s="5590"/>
      <c r="C385" s="5598"/>
      <c r="D385" s="9598" t="s">
        <v>146</v>
      </c>
      <c r="E385" s="9600"/>
      <c r="F385" s="492" t="s">
        <v>344</v>
      </c>
      <c r="G385" s="253"/>
      <c r="H385" s="253"/>
      <c r="I385" s="9582" t="s">
        <v>147</v>
      </c>
      <c r="J385" s="9583"/>
      <c r="K385" s="5732" t="s">
        <v>344</v>
      </c>
      <c r="L385" s="6754"/>
      <c r="M385" s="7250"/>
      <c r="N385" s="6826"/>
      <c r="O385" s="7356"/>
      <c r="P385" s="6826"/>
      <c r="Q385" s="7356"/>
      <c r="R385" s="6658" t="s">
        <v>155</v>
      </c>
      <c r="S385" s="6557"/>
      <c r="T385" s="2468"/>
      <c r="U385" s="276"/>
      <c r="V385" s="99"/>
      <c r="W385" s="138"/>
      <c r="X385" s="138"/>
      <c r="Y385" s="299" t="s">
        <v>193</v>
      </c>
      <c r="Z385" s="264"/>
      <c r="AA385" s="277"/>
      <c r="AB385" s="187"/>
    </row>
    <row r="386" spans="1:62" ht="19.899999999999999" customHeight="1">
      <c r="A386" s="11"/>
      <c r="B386" s="5590"/>
      <c r="C386" s="5598"/>
      <c r="D386" s="9598" t="s">
        <v>149</v>
      </c>
      <c r="E386" s="9600"/>
      <c r="F386" s="492" t="s">
        <v>344</v>
      </c>
      <c r="G386" s="253"/>
      <c r="H386" s="253"/>
      <c r="I386" s="9582" t="s">
        <v>150</v>
      </c>
      <c r="J386" s="9583"/>
      <c r="K386" s="5732" t="s">
        <v>344</v>
      </c>
      <c r="L386" s="6754"/>
      <c r="M386" s="7250"/>
      <c r="N386" s="6826"/>
      <c r="O386" s="7356"/>
      <c r="P386" s="6826"/>
      <c r="Q386" s="7356"/>
      <c r="R386" s="6658" t="s">
        <v>155</v>
      </c>
      <c r="S386" s="6557"/>
      <c r="T386" s="2468"/>
      <c r="U386" s="276"/>
      <c r="V386" s="99"/>
      <c r="W386" s="138"/>
      <c r="X386" s="138"/>
      <c r="Y386" s="299" t="s">
        <v>193</v>
      </c>
      <c r="Z386" s="264"/>
      <c r="AA386" s="277"/>
      <c r="AB386" s="187"/>
    </row>
    <row r="387" spans="1:62" ht="20.100000000000001" customHeight="1">
      <c r="A387" s="11"/>
      <c r="B387" s="1360"/>
      <c r="C387" s="5598"/>
      <c r="D387" s="9586" t="s">
        <v>362</v>
      </c>
      <c r="E387" s="9587"/>
      <c r="F387" s="492" t="s">
        <v>344</v>
      </c>
      <c r="G387" s="6158"/>
      <c r="H387" s="345"/>
      <c r="I387" s="9586" t="s">
        <v>363</v>
      </c>
      <c r="J387" s="9588"/>
      <c r="K387" s="5732" t="s">
        <v>344</v>
      </c>
      <c r="L387" s="6763" t="str">
        <f>IF(COUNTBLANK(L388:L393)&gt;0,"미취합법인有",SUM(L388:L393))</f>
        <v>미취합법인有</v>
      </c>
      <c r="M387" s="7233"/>
      <c r="N387" s="6847" t="str">
        <f>IF(COUNTBLANK(N388:N393)&gt;0,"미취합법인有",SUM(N388:N393))</f>
        <v>미취합법인有</v>
      </c>
      <c r="O387" s="7353"/>
      <c r="P387" s="6913" t="str">
        <f>IF(COUNTBLANK(P388:P393)&gt;0,"미취합법인有",SUM(P388:P393))</f>
        <v>미취합법인有</v>
      </c>
      <c r="Q387" s="7463"/>
      <c r="R387" s="6658" t="s">
        <v>155</v>
      </c>
      <c r="S387" s="6561"/>
      <c r="T387" s="2472"/>
      <c r="U387" s="457"/>
      <c r="V387" s="99" t="s">
        <v>189</v>
      </c>
      <c r="W387" s="138"/>
      <c r="X387" s="138"/>
      <c r="Y387" s="299" t="s">
        <v>193</v>
      </c>
      <c r="Z387" s="265" t="s">
        <v>374</v>
      </c>
      <c r="AA387" s="265" t="s">
        <v>367</v>
      </c>
      <c r="AB387" s="187"/>
    </row>
    <row r="388" spans="1:62" ht="19.899999999999999" customHeight="1">
      <c r="A388" s="11"/>
      <c r="B388" s="5590"/>
      <c r="C388" s="5598"/>
      <c r="D388" s="9598" t="s">
        <v>134</v>
      </c>
      <c r="E388" s="9600"/>
      <c r="F388" s="492" t="s">
        <v>344</v>
      </c>
      <c r="G388" s="253"/>
      <c r="H388" s="253"/>
      <c r="I388" s="9579" t="s">
        <v>135</v>
      </c>
      <c r="J388" s="9581"/>
      <c r="K388" s="5732" t="s">
        <v>344</v>
      </c>
      <c r="L388" s="6777">
        <v>27681</v>
      </c>
      <c r="M388" s="7261" t="s">
        <v>681</v>
      </c>
      <c r="N388" s="6855">
        <v>664460</v>
      </c>
      <c r="O388" s="7364" t="s">
        <v>682</v>
      </c>
      <c r="P388" s="6855">
        <v>699683</v>
      </c>
      <c r="Q388" s="7277"/>
      <c r="R388" s="6658" t="s">
        <v>155</v>
      </c>
      <c r="S388" s="6566"/>
      <c r="T388" s="2468"/>
      <c r="U388" s="276"/>
      <c r="V388" s="99"/>
      <c r="W388" s="138"/>
      <c r="X388" s="138"/>
      <c r="Y388" s="299" t="s">
        <v>193</v>
      </c>
      <c r="Z388" s="264"/>
      <c r="AA388" s="277"/>
      <c r="AB388" s="187"/>
    </row>
    <row r="389" spans="1:62" ht="19.899999999999999" customHeight="1">
      <c r="A389" s="11"/>
      <c r="B389" s="5590"/>
      <c r="C389" s="5598"/>
      <c r="D389" s="9598" t="s">
        <v>137</v>
      </c>
      <c r="E389" s="9600"/>
      <c r="F389" s="492" t="s">
        <v>344</v>
      </c>
      <c r="G389" s="253"/>
      <c r="H389" s="253"/>
      <c r="I389" s="9579" t="s">
        <v>138</v>
      </c>
      <c r="J389" s="9581"/>
      <c r="K389" s="6406" t="s">
        <v>351</v>
      </c>
      <c r="L389" s="6786">
        <v>1256.0999999999999</v>
      </c>
      <c r="M389" s="7269"/>
      <c r="N389" s="6864">
        <v>1086.5</v>
      </c>
      <c r="O389" s="7371"/>
      <c r="P389" s="6931">
        <v>1081.2</v>
      </c>
      <c r="Q389" s="7245"/>
      <c r="R389" s="6658" t="s">
        <v>155</v>
      </c>
      <c r="S389" s="6561"/>
      <c r="T389" s="2468"/>
      <c r="U389" s="276"/>
      <c r="V389" s="99"/>
      <c r="W389" s="138"/>
      <c r="X389" s="138"/>
      <c r="Y389" s="299" t="s">
        <v>193</v>
      </c>
      <c r="Z389" s="264"/>
      <c r="AA389" s="277"/>
      <c r="AB389" s="187"/>
      <c r="AD389" s="139" t="s">
        <v>683</v>
      </c>
    </row>
    <row r="390" spans="1:62" ht="19.899999999999999" customHeight="1">
      <c r="A390" s="11"/>
      <c r="B390" s="5590"/>
      <c r="C390" s="5598"/>
      <c r="D390" s="9598" t="s">
        <v>140</v>
      </c>
      <c r="E390" s="9600"/>
      <c r="F390" s="492" t="s">
        <v>344</v>
      </c>
      <c r="G390" s="253"/>
      <c r="H390" s="286"/>
      <c r="I390" s="9582" t="s">
        <v>141</v>
      </c>
      <c r="J390" s="9583"/>
      <c r="K390" s="5732" t="s">
        <v>344</v>
      </c>
      <c r="L390" s="6752"/>
      <c r="M390" s="7263"/>
      <c r="N390" s="6848"/>
      <c r="O390" s="7365"/>
      <c r="P390" s="6901"/>
      <c r="Q390" s="7459"/>
      <c r="R390" s="6658" t="s">
        <v>155</v>
      </c>
      <c r="S390" s="6632"/>
      <c r="T390" s="2468"/>
      <c r="U390" s="276"/>
      <c r="V390" s="99"/>
      <c r="W390" s="138"/>
      <c r="X390" s="138"/>
      <c r="Y390" s="299" t="s">
        <v>193</v>
      </c>
      <c r="Z390" s="264"/>
      <c r="AA390" s="277"/>
      <c r="AB390" s="187"/>
    </row>
    <row r="391" spans="1:62" ht="19.899999999999999" customHeight="1">
      <c r="A391" s="11"/>
      <c r="B391" s="5590"/>
      <c r="C391" s="5598"/>
      <c r="D391" s="9598" t="s">
        <v>143</v>
      </c>
      <c r="E391" s="9600"/>
      <c r="F391" s="492" t="s">
        <v>344</v>
      </c>
      <c r="G391" s="253"/>
      <c r="H391" s="286"/>
      <c r="I391" s="9582" t="s">
        <v>144</v>
      </c>
      <c r="J391" s="9583"/>
      <c r="K391" s="5732" t="s">
        <v>344</v>
      </c>
      <c r="L391" s="6754"/>
      <c r="M391" s="7250"/>
      <c r="N391" s="6826"/>
      <c r="O391" s="7356"/>
      <c r="P391" s="6826"/>
      <c r="Q391" s="7356"/>
      <c r="R391" s="6658" t="s">
        <v>155</v>
      </c>
      <c r="S391" s="6557"/>
      <c r="T391" s="2468"/>
      <c r="U391" s="276"/>
      <c r="V391" s="99"/>
      <c r="W391" s="138"/>
      <c r="X391" s="138"/>
      <c r="Y391" s="299" t="s">
        <v>193</v>
      </c>
      <c r="Z391" s="264"/>
      <c r="AA391" s="277"/>
      <c r="AB391" s="187"/>
    </row>
    <row r="392" spans="1:62" ht="19.899999999999999" customHeight="1">
      <c r="A392" s="11"/>
      <c r="B392" s="5590"/>
      <c r="C392" s="5598"/>
      <c r="D392" s="9598" t="s">
        <v>146</v>
      </c>
      <c r="E392" s="9600"/>
      <c r="F392" s="492" t="s">
        <v>344</v>
      </c>
      <c r="G392" s="253"/>
      <c r="H392" s="286"/>
      <c r="I392" s="9582" t="s">
        <v>147</v>
      </c>
      <c r="J392" s="9583"/>
      <c r="K392" s="5732" t="s">
        <v>344</v>
      </c>
      <c r="L392" s="6754"/>
      <c r="M392" s="7250"/>
      <c r="N392" s="6826"/>
      <c r="O392" s="7356"/>
      <c r="P392" s="6826"/>
      <c r="Q392" s="7356"/>
      <c r="R392" s="6658" t="s">
        <v>155</v>
      </c>
      <c r="S392" s="6557"/>
      <c r="T392" s="2468"/>
      <c r="U392" s="276"/>
      <c r="V392" s="99"/>
      <c r="W392" s="138"/>
      <c r="X392" s="138"/>
      <c r="Y392" s="299" t="s">
        <v>193</v>
      </c>
      <c r="Z392" s="264"/>
      <c r="AA392" s="277"/>
      <c r="AB392" s="187"/>
    </row>
    <row r="393" spans="1:62" ht="19.899999999999999" customHeight="1">
      <c r="A393" s="11"/>
      <c r="B393" s="5590"/>
      <c r="C393" s="5598"/>
      <c r="D393" s="9598" t="s">
        <v>149</v>
      </c>
      <c r="E393" s="9600"/>
      <c r="F393" s="492" t="s">
        <v>344</v>
      </c>
      <c r="G393" s="253"/>
      <c r="H393" s="286"/>
      <c r="I393" s="9582" t="s">
        <v>150</v>
      </c>
      <c r="J393" s="9583"/>
      <c r="K393" s="5732" t="s">
        <v>344</v>
      </c>
      <c r="L393" s="6754"/>
      <c r="M393" s="7250"/>
      <c r="N393" s="6826"/>
      <c r="O393" s="7356"/>
      <c r="P393" s="6826"/>
      <c r="Q393" s="7356"/>
      <c r="R393" s="6658" t="s">
        <v>155</v>
      </c>
      <c r="S393" s="6557"/>
      <c r="T393" s="2468"/>
      <c r="U393" s="276"/>
      <c r="V393" s="99"/>
      <c r="W393" s="138"/>
      <c r="X393" s="138"/>
      <c r="Y393" s="299" t="s">
        <v>193</v>
      </c>
      <c r="Z393" s="264"/>
      <c r="AA393" s="277"/>
      <c r="AB393" s="187"/>
    </row>
    <row r="394" spans="1:62" s="481" customFormat="1" ht="20.100000000000001" customHeight="1">
      <c r="B394" s="1360"/>
      <c r="C394" s="9681" t="s">
        <v>362</v>
      </c>
      <c r="D394" s="9681"/>
      <c r="E394" s="9681"/>
      <c r="F394" s="492" t="s">
        <v>344</v>
      </c>
      <c r="G394" s="337"/>
      <c r="H394" s="9586" t="s">
        <v>363</v>
      </c>
      <c r="I394" s="9587"/>
      <c r="J394" s="9588"/>
      <c r="K394" s="5732" t="s">
        <v>344</v>
      </c>
      <c r="L394" s="6763" t="str">
        <f>IF(COUNTBLANK(L395:L400)&gt;0,"미취합법인有",SUM(L395:L400))</f>
        <v>미취합법인有</v>
      </c>
      <c r="M394" s="7233"/>
      <c r="N394" s="6847" t="str">
        <f>IF(COUNTBLANK(N395:N400)&gt;0,"미취합법인有",SUM(N395:N400))</f>
        <v>미취합법인有</v>
      </c>
      <c r="O394" s="7353"/>
      <c r="P394" s="6913" t="str">
        <f>IF(COUNTBLANK(P395:P400)&gt;0,"미취합법인有",SUM(P395:P400))</f>
        <v>미취합법인有</v>
      </c>
      <c r="Q394" s="7463"/>
      <c r="R394" s="6659" t="s">
        <v>31</v>
      </c>
      <c r="S394" s="6561"/>
      <c r="T394" s="1285" t="s">
        <v>364</v>
      </c>
      <c r="U394" s="475" t="s">
        <v>365</v>
      </c>
      <c r="V394" s="1716" t="s">
        <v>206</v>
      </c>
      <c r="W394" s="477"/>
      <c r="X394" s="477"/>
      <c r="Y394" s="299" t="s">
        <v>193</v>
      </c>
      <c r="Z394" s="478" t="s">
        <v>366</v>
      </c>
      <c r="AA394" s="672" t="s">
        <v>367</v>
      </c>
      <c r="AB394" s="479"/>
      <c r="AC394" s="6304"/>
      <c r="AD394" s="6404"/>
      <c r="AE394" s="6404"/>
      <c r="AF394" s="6404"/>
      <c r="AG394" s="6404"/>
      <c r="AH394" s="6404"/>
      <c r="AI394" s="6404"/>
      <c r="AJ394" s="6404"/>
      <c r="AK394" s="6404"/>
      <c r="AL394" s="6404"/>
      <c r="AM394" s="6404"/>
      <c r="AN394" s="6404"/>
      <c r="AO394" s="6404"/>
      <c r="AP394" s="6404"/>
      <c r="AQ394" s="6404"/>
      <c r="AR394" s="6404"/>
      <c r="AS394" s="6404"/>
      <c r="AT394" s="6404"/>
      <c r="AU394" s="6404"/>
      <c r="AV394" s="6404"/>
      <c r="AW394" s="6404"/>
      <c r="AX394" s="6404"/>
      <c r="AY394" s="6404"/>
      <c r="AZ394" s="6404"/>
      <c r="BA394" s="6404"/>
      <c r="BB394" s="6404"/>
      <c r="BC394" s="6404"/>
      <c r="BD394" s="6404"/>
      <c r="BE394" s="6404"/>
      <c r="BF394" s="6404"/>
      <c r="BG394" s="6404"/>
      <c r="BH394" s="6404"/>
      <c r="BI394" s="6404"/>
      <c r="BJ394" s="6404"/>
    </row>
    <row r="395" spans="1:62" ht="19.899999999999999" customHeight="1">
      <c r="A395" s="11"/>
      <c r="B395" s="5590"/>
      <c r="C395" s="9647" t="s">
        <v>134</v>
      </c>
      <c r="D395" s="9648"/>
      <c r="E395" s="9649"/>
      <c r="F395" s="492" t="s">
        <v>344</v>
      </c>
      <c r="G395" s="253"/>
      <c r="H395" s="9579" t="s">
        <v>135</v>
      </c>
      <c r="I395" s="9580"/>
      <c r="J395" s="9581"/>
      <c r="K395" s="5732" t="s">
        <v>344</v>
      </c>
      <c r="L395" s="6754">
        <v>27681</v>
      </c>
      <c r="M395" s="7259" t="s">
        <v>368</v>
      </c>
      <c r="N395" s="6826">
        <v>664460</v>
      </c>
      <c r="O395" s="7259" t="s">
        <v>684</v>
      </c>
      <c r="P395" s="6826">
        <v>699683</v>
      </c>
      <c r="Q395" s="7250"/>
      <c r="R395" s="6659" t="s">
        <v>31</v>
      </c>
      <c r="S395" s="6557"/>
      <c r="T395" s="1033"/>
      <c r="U395" s="263"/>
      <c r="V395" s="99"/>
      <c r="W395" s="138"/>
      <c r="X395" s="138"/>
      <c r="Y395" s="299" t="s">
        <v>193</v>
      </c>
      <c r="Z395" s="264"/>
      <c r="AA395" s="277"/>
      <c r="AB395" s="187"/>
    </row>
    <row r="396" spans="1:62" ht="19.899999999999999" customHeight="1">
      <c r="A396" s="11"/>
      <c r="B396" s="5590"/>
      <c r="C396" s="9647" t="s">
        <v>137</v>
      </c>
      <c r="D396" s="9648"/>
      <c r="E396" s="9649"/>
      <c r="F396" s="492" t="s">
        <v>344</v>
      </c>
      <c r="G396" s="253"/>
      <c r="H396" s="9579" t="s">
        <v>138</v>
      </c>
      <c r="I396" s="9580"/>
      <c r="J396" s="9581"/>
      <c r="K396" s="5732" t="s">
        <v>344</v>
      </c>
      <c r="L396" s="6754"/>
      <c r="M396" s="7250" t="s">
        <v>369</v>
      </c>
      <c r="N396" s="6826"/>
      <c r="O396" s="7250" t="s">
        <v>369</v>
      </c>
      <c r="P396" s="6826"/>
      <c r="Q396" s="7250" t="s">
        <v>369</v>
      </c>
      <c r="R396" s="6659" t="s">
        <v>31</v>
      </c>
      <c r="S396" s="6557"/>
      <c r="T396" s="1033"/>
      <c r="U396" s="263"/>
      <c r="V396" s="99"/>
      <c r="W396" s="138"/>
      <c r="X396" s="138"/>
      <c r="Y396" s="299" t="s">
        <v>193</v>
      </c>
      <c r="Z396" s="264"/>
      <c r="AA396" s="277"/>
      <c r="AB396" s="187"/>
    </row>
    <row r="397" spans="1:62" ht="19.899999999999999" customHeight="1">
      <c r="A397" s="11"/>
      <c r="B397" s="5590"/>
      <c r="C397" s="9647" t="s">
        <v>140</v>
      </c>
      <c r="D397" s="9648"/>
      <c r="E397" s="9649"/>
      <c r="F397" s="492" t="s">
        <v>344</v>
      </c>
      <c r="G397" s="253"/>
      <c r="H397" s="9579" t="s">
        <v>141</v>
      </c>
      <c r="I397" s="9580"/>
      <c r="J397" s="9581"/>
      <c r="K397" s="5732" t="s">
        <v>344</v>
      </c>
      <c r="L397" s="6754"/>
      <c r="M397" s="7250"/>
      <c r="N397" s="6826"/>
      <c r="O397" s="7356"/>
      <c r="P397" s="6826"/>
      <c r="Q397" s="7356"/>
      <c r="R397" s="6659" t="s">
        <v>31</v>
      </c>
      <c r="S397" s="6557"/>
      <c r="T397" s="1033"/>
      <c r="U397" s="263"/>
      <c r="V397" s="99"/>
      <c r="W397" s="138"/>
      <c r="X397" s="138"/>
      <c r="Y397" s="299" t="s">
        <v>193</v>
      </c>
      <c r="Z397" s="264"/>
      <c r="AA397" s="277"/>
      <c r="AB397" s="187"/>
    </row>
    <row r="398" spans="1:62" ht="19.899999999999999" customHeight="1">
      <c r="A398" s="11"/>
      <c r="B398" s="5590"/>
      <c r="C398" s="9647" t="s">
        <v>143</v>
      </c>
      <c r="D398" s="9648"/>
      <c r="E398" s="9649"/>
      <c r="F398" s="492" t="s">
        <v>344</v>
      </c>
      <c r="G398" s="253"/>
      <c r="H398" s="9579" t="s">
        <v>144</v>
      </c>
      <c r="I398" s="9580"/>
      <c r="J398" s="9581"/>
      <c r="K398" s="5732" t="s">
        <v>344</v>
      </c>
      <c r="L398" s="6754"/>
      <c r="M398" s="7250"/>
      <c r="N398" s="6826"/>
      <c r="O398" s="7356"/>
      <c r="P398" s="6826"/>
      <c r="Q398" s="7356"/>
      <c r="R398" s="6659" t="s">
        <v>31</v>
      </c>
      <c r="S398" s="6557"/>
      <c r="T398" s="1033"/>
      <c r="U398" s="263"/>
      <c r="V398" s="99"/>
      <c r="W398" s="138"/>
      <c r="X398" s="138"/>
      <c r="Y398" s="299" t="s">
        <v>193</v>
      </c>
      <c r="Z398" s="264"/>
      <c r="AA398" s="277"/>
      <c r="AB398" s="187"/>
    </row>
    <row r="399" spans="1:62" ht="19.899999999999999" customHeight="1">
      <c r="A399" s="11"/>
      <c r="B399" s="5590"/>
      <c r="C399" s="9647" t="s">
        <v>146</v>
      </c>
      <c r="D399" s="9648"/>
      <c r="E399" s="9649"/>
      <c r="F399" s="492" t="s">
        <v>344</v>
      </c>
      <c r="G399" s="253"/>
      <c r="H399" s="9579" t="s">
        <v>147</v>
      </c>
      <c r="I399" s="9580"/>
      <c r="J399" s="9581"/>
      <c r="K399" s="5732" t="s">
        <v>344</v>
      </c>
      <c r="L399" s="6754"/>
      <c r="M399" s="7250"/>
      <c r="N399" s="6826"/>
      <c r="O399" s="7356"/>
      <c r="P399" s="6826"/>
      <c r="Q399" s="7356"/>
      <c r="R399" s="6659" t="s">
        <v>31</v>
      </c>
      <c r="S399" s="6557"/>
      <c r="T399" s="1033"/>
      <c r="U399" s="263"/>
      <c r="V399" s="99"/>
      <c r="W399" s="138"/>
      <c r="X399" s="138"/>
      <c r="Y399" s="299" t="s">
        <v>193</v>
      </c>
      <c r="Z399" s="264"/>
      <c r="AA399" s="277"/>
      <c r="AB399" s="187"/>
    </row>
    <row r="400" spans="1:62" ht="19.899999999999999" customHeight="1">
      <c r="A400" s="11"/>
      <c r="B400" s="5590"/>
      <c r="C400" s="9647" t="s">
        <v>149</v>
      </c>
      <c r="D400" s="9648"/>
      <c r="E400" s="9649"/>
      <c r="F400" s="492" t="s">
        <v>344</v>
      </c>
      <c r="G400" s="253"/>
      <c r="H400" s="9579" t="s">
        <v>150</v>
      </c>
      <c r="I400" s="9580"/>
      <c r="J400" s="9581"/>
      <c r="K400" s="5732" t="s">
        <v>344</v>
      </c>
      <c r="L400" s="6754"/>
      <c r="M400" s="7250"/>
      <c r="N400" s="6826"/>
      <c r="O400" s="7356"/>
      <c r="P400" s="6826"/>
      <c r="Q400" s="7356"/>
      <c r="R400" s="6659" t="s">
        <v>31</v>
      </c>
      <c r="S400" s="6557"/>
      <c r="T400" s="1033"/>
      <c r="U400" s="263"/>
      <c r="V400" s="99"/>
      <c r="W400" s="138"/>
      <c r="X400" s="138"/>
      <c r="Y400" s="299" t="s">
        <v>193</v>
      </c>
      <c r="Z400" s="264"/>
      <c r="AA400" s="277"/>
      <c r="AB400" s="187"/>
    </row>
    <row r="401" spans="1:29" ht="20.100000000000001" customHeight="1">
      <c r="A401" s="11"/>
      <c r="B401" s="1360"/>
      <c r="C401" s="9587" t="s">
        <v>376</v>
      </c>
      <c r="D401" s="9587"/>
      <c r="E401" s="9587"/>
      <c r="F401" s="492" t="s">
        <v>344</v>
      </c>
      <c r="G401" s="337"/>
      <c r="H401" s="9586" t="s">
        <v>377</v>
      </c>
      <c r="I401" s="9587"/>
      <c r="J401" s="9588"/>
      <c r="K401" s="5732" t="s">
        <v>344</v>
      </c>
      <c r="L401" s="6763" t="str">
        <f>IF(COUNTBLANK(L402:L407)&gt;0,"미취합법인有",SUM(L402:L407))</f>
        <v>미취합법인有</v>
      </c>
      <c r="M401" s="7233"/>
      <c r="N401" s="6847" t="str">
        <f>IF(COUNTBLANK(N402:N407)&gt;0,"미취합법인有",SUM(N402:N407))</f>
        <v>미취합법인有</v>
      </c>
      <c r="O401" s="7353"/>
      <c r="P401" s="6913" t="str">
        <f>IF(COUNTBLANK(P402:P407)&gt;0,"미취합법인有",SUM(P402:P407))</f>
        <v>미취합법인有</v>
      </c>
      <c r="Q401" s="7463"/>
      <c r="R401" s="6659" t="s">
        <v>31</v>
      </c>
      <c r="S401" s="6561"/>
      <c r="T401" s="2474" t="s">
        <v>378</v>
      </c>
      <c r="U401" s="666" t="s">
        <v>365</v>
      </c>
      <c r="V401" s="99" t="s">
        <v>189</v>
      </c>
      <c r="W401" s="138"/>
      <c r="X401" s="138"/>
      <c r="Y401" s="299" t="s">
        <v>193</v>
      </c>
      <c r="Z401" s="265" t="s">
        <v>379</v>
      </c>
      <c r="AA401" s="265"/>
      <c r="AB401" s="187"/>
      <c r="AC401" s="6305"/>
    </row>
    <row r="402" spans="1:29" ht="19.899999999999999" customHeight="1">
      <c r="A402" s="11"/>
      <c r="B402" s="5590"/>
      <c r="C402" s="9647" t="s">
        <v>134</v>
      </c>
      <c r="D402" s="9648"/>
      <c r="E402" s="9649"/>
      <c r="F402" s="492" t="s">
        <v>344</v>
      </c>
      <c r="G402" s="253"/>
      <c r="H402" s="9579" t="s">
        <v>135</v>
      </c>
      <c r="I402" s="9580"/>
      <c r="J402" s="9581"/>
      <c r="K402" s="5732" t="s">
        <v>344</v>
      </c>
      <c r="L402" s="6754"/>
      <c r="M402" s="7250" t="s">
        <v>369</v>
      </c>
      <c r="N402" s="6826"/>
      <c r="O402" s="7250" t="s">
        <v>369</v>
      </c>
      <c r="P402" s="6826"/>
      <c r="Q402" s="7250" t="s">
        <v>369</v>
      </c>
      <c r="R402" s="6659" t="s">
        <v>31</v>
      </c>
      <c r="S402" s="6557"/>
      <c r="T402" s="1033"/>
      <c r="U402" s="263"/>
      <c r="V402" s="99"/>
      <c r="W402" s="138"/>
      <c r="X402" s="138"/>
      <c r="Y402" s="299" t="s">
        <v>193</v>
      </c>
      <c r="Z402" s="264"/>
      <c r="AA402" s="277"/>
      <c r="AB402" s="187"/>
    </row>
    <row r="403" spans="1:29" ht="19.899999999999999" customHeight="1">
      <c r="A403" s="11"/>
      <c r="B403" s="5590"/>
      <c r="C403" s="9647" t="s">
        <v>137</v>
      </c>
      <c r="D403" s="9648"/>
      <c r="E403" s="9649"/>
      <c r="F403" s="492" t="s">
        <v>344</v>
      </c>
      <c r="G403" s="253"/>
      <c r="H403" s="9579" t="s">
        <v>138</v>
      </c>
      <c r="I403" s="9580"/>
      <c r="J403" s="9581"/>
      <c r="K403" s="5732" t="s">
        <v>344</v>
      </c>
      <c r="L403" s="6754"/>
      <c r="M403" s="7250"/>
      <c r="N403" s="6826"/>
      <c r="O403" s="7356"/>
      <c r="P403" s="6826"/>
      <c r="Q403" s="7356"/>
      <c r="R403" s="6659" t="s">
        <v>31</v>
      </c>
      <c r="S403" s="6557"/>
      <c r="T403" s="1033"/>
      <c r="U403" s="263"/>
      <c r="V403" s="99"/>
      <c r="W403" s="138"/>
      <c r="X403" s="138"/>
      <c r="Y403" s="299" t="s">
        <v>193</v>
      </c>
      <c r="Z403" s="264"/>
      <c r="AA403" s="277"/>
      <c r="AB403" s="187"/>
    </row>
    <row r="404" spans="1:29" ht="19.899999999999999" customHeight="1">
      <c r="A404" s="11"/>
      <c r="B404" s="5590"/>
      <c r="C404" s="9647" t="s">
        <v>140</v>
      </c>
      <c r="D404" s="9648"/>
      <c r="E404" s="9649"/>
      <c r="F404" s="492" t="s">
        <v>344</v>
      </c>
      <c r="G404" s="253"/>
      <c r="H404" s="9579" t="s">
        <v>141</v>
      </c>
      <c r="I404" s="9580"/>
      <c r="J404" s="9581"/>
      <c r="K404" s="5732" t="s">
        <v>344</v>
      </c>
      <c r="L404" s="6754"/>
      <c r="M404" s="7250"/>
      <c r="N404" s="6826"/>
      <c r="O404" s="7356"/>
      <c r="P404" s="6826"/>
      <c r="Q404" s="7356"/>
      <c r="R404" s="6659" t="s">
        <v>31</v>
      </c>
      <c r="S404" s="6557"/>
      <c r="T404" s="1033"/>
      <c r="U404" s="263"/>
      <c r="V404" s="99"/>
      <c r="W404" s="138"/>
      <c r="X404" s="138"/>
      <c r="Y404" s="299" t="s">
        <v>193</v>
      </c>
      <c r="Z404" s="264"/>
      <c r="AA404" s="277"/>
      <c r="AB404" s="187"/>
    </row>
    <row r="405" spans="1:29" ht="19.899999999999999" customHeight="1">
      <c r="A405" s="11"/>
      <c r="B405" s="5590"/>
      <c r="C405" s="9647" t="s">
        <v>143</v>
      </c>
      <c r="D405" s="9648"/>
      <c r="E405" s="9649"/>
      <c r="F405" s="492" t="s">
        <v>344</v>
      </c>
      <c r="G405" s="253"/>
      <c r="H405" s="9579" t="s">
        <v>144</v>
      </c>
      <c r="I405" s="9580"/>
      <c r="J405" s="9581"/>
      <c r="K405" s="5732" t="s">
        <v>344</v>
      </c>
      <c r="L405" s="6754"/>
      <c r="M405" s="7250"/>
      <c r="N405" s="6826"/>
      <c r="O405" s="7356"/>
      <c r="P405" s="6826"/>
      <c r="Q405" s="7356"/>
      <c r="R405" s="6659" t="s">
        <v>31</v>
      </c>
      <c r="S405" s="6557"/>
      <c r="T405" s="1033"/>
      <c r="U405" s="263"/>
      <c r="V405" s="99"/>
      <c r="W405" s="138"/>
      <c r="X405" s="138"/>
      <c r="Y405" s="299" t="s">
        <v>193</v>
      </c>
      <c r="Z405" s="264"/>
      <c r="AA405" s="277"/>
      <c r="AB405" s="187"/>
    </row>
    <row r="406" spans="1:29" ht="19.899999999999999" customHeight="1">
      <c r="A406" s="11"/>
      <c r="B406" s="5590"/>
      <c r="C406" s="9647" t="s">
        <v>146</v>
      </c>
      <c r="D406" s="9648"/>
      <c r="E406" s="9649"/>
      <c r="F406" s="492" t="s">
        <v>344</v>
      </c>
      <c r="G406" s="253"/>
      <c r="H406" s="9579" t="s">
        <v>147</v>
      </c>
      <c r="I406" s="9580"/>
      <c r="J406" s="9581"/>
      <c r="K406" s="5732" t="s">
        <v>344</v>
      </c>
      <c r="L406" s="6754"/>
      <c r="M406" s="7250"/>
      <c r="N406" s="6826"/>
      <c r="O406" s="7356"/>
      <c r="P406" s="6826"/>
      <c r="Q406" s="7356"/>
      <c r="R406" s="6659" t="s">
        <v>31</v>
      </c>
      <c r="S406" s="6557"/>
      <c r="T406" s="1033"/>
      <c r="U406" s="263"/>
      <c r="V406" s="99"/>
      <c r="W406" s="138"/>
      <c r="X406" s="138"/>
      <c r="Y406" s="299" t="s">
        <v>193</v>
      </c>
      <c r="Z406" s="264"/>
      <c r="AA406" s="277"/>
      <c r="AB406" s="187"/>
    </row>
    <row r="407" spans="1:29" ht="19.899999999999999" customHeight="1">
      <c r="A407" s="11"/>
      <c r="B407" s="5590"/>
      <c r="C407" s="9647" t="s">
        <v>149</v>
      </c>
      <c r="D407" s="9648"/>
      <c r="E407" s="9649"/>
      <c r="F407" s="492" t="s">
        <v>344</v>
      </c>
      <c r="G407" s="253"/>
      <c r="H407" s="9579" t="s">
        <v>150</v>
      </c>
      <c r="I407" s="9580"/>
      <c r="J407" s="9581"/>
      <c r="K407" s="5732" t="s">
        <v>344</v>
      </c>
      <c r="L407" s="6754"/>
      <c r="M407" s="7250"/>
      <c r="N407" s="6826"/>
      <c r="O407" s="7356"/>
      <c r="P407" s="6826"/>
      <c r="Q407" s="7356"/>
      <c r="R407" s="6659" t="s">
        <v>31</v>
      </c>
      <c r="S407" s="6557"/>
      <c r="T407" s="1033"/>
      <c r="U407" s="263"/>
      <c r="V407" s="99"/>
      <c r="W407" s="138"/>
      <c r="X407" s="138"/>
      <c r="Y407" s="299" t="s">
        <v>193</v>
      </c>
      <c r="Z407" s="264"/>
      <c r="AA407" s="277"/>
      <c r="AB407" s="187"/>
    </row>
    <row r="408" spans="1:29" ht="20.100000000000001" customHeight="1">
      <c r="A408" s="11"/>
      <c r="B408" s="1360"/>
      <c r="C408" s="9587" t="s">
        <v>380</v>
      </c>
      <c r="D408" s="9587"/>
      <c r="E408" s="9587"/>
      <c r="F408" s="132" t="s">
        <v>156</v>
      </c>
      <c r="G408" s="337"/>
      <c r="H408" s="9586" t="s">
        <v>381</v>
      </c>
      <c r="I408" s="9587"/>
      <c r="J408" s="9588"/>
      <c r="K408" s="492" t="s">
        <v>156</v>
      </c>
      <c r="L408" s="6763" t="str">
        <f>IF(COUNTBLANK(L409:L414)&gt;0,"미취합법인有",AVERAGE(L409:L414))</f>
        <v>미취합법인有</v>
      </c>
      <c r="M408" s="7233"/>
      <c r="N408" s="6847" t="str">
        <f>IF(COUNTBLANK(N409:N414)&gt;0,"미취합법인有",AVERAGE(N409:N414))</f>
        <v>미취합법인有</v>
      </c>
      <c r="O408" s="7353"/>
      <c r="P408" s="6913" t="str">
        <f>IF(COUNTBLANK(P409:P414)&gt;0,"미취합법인有",AVERAGE(P409:P414))</f>
        <v>미취합법인有</v>
      </c>
      <c r="Q408" s="7463"/>
      <c r="R408" s="6659" t="s">
        <v>155</v>
      </c>
      <c r="S408" s="6561"/>
      <c r="T408" s="2474" t="s">
        <v>382</v>
      </c>
      <c r="U408" s="489" t="s">
        <v>383</v>
      </c>
      <c r="V408" s="99" t="s">
        <v>189</v>
      </c>
      <c r="W408" s="138"/>
      <c r="X408" s="138"/>
      <c r="Y408" s="299" t="s">
        <v>193</v>
      </c>
      <c r="Z408" s="265" t="s">
        <v>384</v>
      </c>
      <c r="AA408" s="265" t="s">
        <v>349</v>
      </c>
      <c r="AB408" s="187" t="s">
        <v>350</v>
      </c>
      <c r="AC408" s="6305"/>
    </row>
    <row r="409" spans="1:29" ht="19.899999999999999" customHeight="1">
      <c r="A409" s="11"/>
      <c r="B409" s="5590"/>
      <c r="C409" s="9647" t="s">
        <v>134</v>
      </c>
      <c r="D409" s="9648"/>
      <c r="E409" s="9649"/>
      <c r="F409" s="132" t="s">
        <v>156</v>
      </c>
      <c r="G409" s="253"/>
      <c r="H409" s="9579" t="s">
        <v>135</v>
      </c>
      <c r="I409" s="9580"/>
      <c r="J409" s="9581"/>
      <c r="K409" s="492" t="s">
        <v>156</v>
      </c>
      <c r="L409" s="6754"/>
      <c r="M409" s="7250" t="s">
        <v>369</v>
      </c>
      <c r="N409" s="6826"/>
      <c r="O409" s="7250" t="s">
        <v>369</v>
      </c>
      <c r="P409" s="6826"/>
      <c r="Q409" s="7250" t="s">
        <v>369</v>
      </c>
      <c r="R409" s="6659" t="s">
        <v>155</v>
      </c>
      <c r="S409" s="6557"/>
      <c r="T409" s="1033"/>
      <c r="U409" s="263"/>
      <c r="V409" s="99"/>
      <c r="W409" s="138"/>
      <c r="X409" s="138"/>
      <c r="Y409" s="299" t="s">
        <v>193</v>
      </c>
      <c r="Z409" s="264"/>
      <c r="AA409" s="277"/>
      <c r="AB409" s="187"/>
    </row>
    <row r="410" spans="1:29" ht="19.899999999999999" customHeight="1">
      <c r="A410" s="11"/>
      <c r="B410" s="5590"/>
      <c r="C410" s="9647" t="s">
        <v>137</v>
      </c>
      <c r="D410" s="9648"/>
      <c r="E410" s="9649"/>
      <c r="F410" s="132" t="s">
        <v>156</v>
      </c>
      <c r="G410" s="253"/>
      <c r="H410" s="9579" t="s">
        <v>138</v>
      </c>
      <c r="I410" s="9580"/>
      <c r="J410" s="9581"/>
      <c r="K410" s="492" t="s">
        <v>156</v>
      </c>
      <c r="L410" s="6754"/>
      <c r="M410" s="7250"/>
      <c r="N410" s="6826"/>
      <c r="O410" s="7356"/>
      <c r="P410" s="6826"/>
      <c r="Q410" s="7356"/>
      <c r="R410" s="6659" t="s">
        <v>155</v>
      </c>
      <c r="S410" s="6557"/>
      <c r="T410" s="1033"/>
      <c r="U410" s="263"/>
      <c r="V410" s="99"/>
      <c r="W410" s="138"/>
      <c r="X410" s="138"/>
      <c r="Y410" s="299" t="s">
        <v>193</v>
      </c>
      <c r="Z410" s="264"/>
      <c r="AA410" s="277"/>
      <c r="AB410" s="187"/>
    </row>
    <row r="411" spans="1:29" ht="19.899999999999999" customHeight="1">
      <c r="A411" s="11"/>
      <c r="B411" s="5590"/>
      <c r="C411" s="9647" t="s">
        <v>140</v>
      </c>
      <c r="D411" s="9648"/>
      <c r="E411" s="9649"/>
      <c r="F411" s="132" t="s">
        <v>156</v>
      </c>
      <c r="G411" s="253"/>
      <c r="H411" s="9579" t="s">
        <v>141</v>
      </c>
      <c r="I411" s="9580"/>
      <c r="J411" s="9581"/>
      <c r="K411" s="492" t="s">
        <v>156</v>
      </c>
      <c r="L411" s="6754"/>
      <c r="M411" s="7250"/>
      <c r="N411" s="6826"/>
      <c r="O411" s="7356"/>
      <c r="P411" s="6826"/>
      <c r="Q411" s="7356"/>
      <c r="R411" s="6659" t="s">
        <v>155</v>
      </c>
      <c r="S411" s="6557"/>
      <c r="T411" s="1033"/>
      <c r="U411" s="263"/>
      <c r="V411" s="99"/>
      <c r="W411" s="138"/>
      <c r="X411" s="138"/>
      <c r="Y411" s="299" t="s">
        <v>193</v>
      </c>
      <c r="Z411" s="264"/>
      <c r="AA411" s="277"/>
      <c r="AB411" s="187"/>
    </row>
    <row r="412" spans="1:29" ht="19.899999999999999" customHeight="1">
      <c r="A412" s="11"/>
      <c r="B412" s="5590"/>
      <c r="C412" s="9647" t="s">
        <v>143</v>
      </c>
      <c r="D412" s="9648"/>
      <c r="E412" s="9649"/>
      <c r="F412" s="132" t="s">
        <v>156</v>
      </c>
      <c r="G412" s="253"/>
      <c r="H412" s="9579" t="s">
        <v>144</v>
      </c>
      <c r="I412" s="9580"/>
      <c r="J412" s="9581"/>
      <c r="K412" s="492" t="s">
        <v>156</v>
      </c>
      <c r="L412" s="6754"/>
      <c r="M412" s="7250"/>
      <c r="N412" s="6826"/>
      <c r="O412" s="7356"/>
      <c r="P412" s="6826"/>
      <c r="Q412" s="7356"/>
      <c r="R412" s="6659" t="s">
        <v>155</v>
      </c>
      <c r="S412" s="6557"/>
      <c r="T412" s="1033"/>
      <c r="U412" s="263"/>
      <c r="V412" s="99"/>
      <c r="W412" s="138"/>
      <c r="X412" s="138"/>
      <c r="Y412" s="299" t="s">
        <v>193</v>
      </c>
      <c r="Z412" s="264"/>
      <c r="AA412" s="277"/>
      <c r="AB412" s="187"/>
    </row>
    <row r="413" spans="1:29" ht="19.899999999999999" customHeight="1">
      <c r="A413" s="11"/>
      <c r="B413" s="5590"/>
      <c r="C413" s="9647" t="s">
        <v>146</v>
      </c>
      <c r="D413" s="9648"/>
      <c r="E413" s="9649"/>
      <c r="F413" s="132" t="s">
        <v>156</v>
      </c>
      <c r="G413" s="253"/>
      <c r="H413" s="9579" t="s">
        <v>147</v>
      </c>
      <c r="I413" s="9580"/>
      <c r="J413" s="9581"/>
      <c r="K413" s="492" t="s">
        <v>156</v>
      </c>
      <c r="L413" s="6754"/>
      <c r="M413" s="7250"/>
      <c r="N413" s="6826"/>
      <c r="O413" s="7356"/>
      <c r="P413" s="6826"/>
      <c r="Q413" s="7356"/>
      <c r="R413" s="6659" t="s">
        <v>155</v>
      </c>
      <c r="S413" s="6557"/>
      <c r="T413" s="1033"/>
      <c r="U413" s="263"/>
      <c r="V413" s="99"/>
      <c r="W413" s="138"/>
      <c r="X413" s="138"/>
      <c r="Y413" s="299" t="s">
        <v>193</v>
      </c>
      <c r="Z413" s="264"/>
      <c r="AA413" s="277"/>
      <c r="AB413" s="187"/>
    </row>
    <row r="414" spans="1:29" ht="19.899999999999999" customHeight="1">
      <c r="A414" s="11"/>
      <c r="B414" s="5590"/>
      <c r="C414" s="9647" t="s">
        <v>149</v>
      </c>
      <c r="D414" s="9648"/>
      <c r="E414" s="9649"/>
      <c r="F414" s="132" t="s">
        <v>156</v>
      </c>
      <c r="G414" s="253"/>
      <c r="H414" s="9579" t="s">
        <v>150</v>
      </c>
      <c r="I414" s="9580"/>
      <c r="J414" s="9581"/>
      <c r="K414" s="492" t="s">
        <v>156</v>
      </c>
      <c r="L414" s="6754"/>
      <c r="M414" s="7250"/>
      <c r="N414" s="6826"/>
      <c r="O414" s="7356"/>
      <c r="P414" s="6826"/>
      <c r="Q414" s="7356"/>
      <c r="R414" s="6659" t="s">
        <v>155</v>
      </c>
      <c r="S414" s="6557"/>
      <c r="T414" s="1033"/>
      <c r="U414" s="263"/>
      <c r="V414" s="99"/>
      <c r="W414" s="138"/>
      <c r="X414" s="138"/>
      <c r="Y414" s="299" t="s">
        <v>193</v>
      </c>
      <c r="Z414" s="264"/>
      <c r="AA414" s="277"/>
      <c r="AB414" s="187"/>
    </row>
    <row r="415" spans="1:29" ht="20.100000000000001" customHeight="1">
      <c r="A415" s="11"/>
      <c r="B415" s="1360"/>
      <c r="C415" s="5598"/>
      <c r="D415" s="9584" t="s">
        <v>385</v>
      </c>
      <c r="E415" s="9585"/>
      <c r="F415" s="492" t="s">
        <v>344</v>
      </c>
      <c r="G415" s="337"/>
      <c r="H415" s="358"/>
      <c r="I415" s="9584" t="s">
        <v>386</v>
      </c>
      <c r="J415" s="9585"/>
      <c r="K415" s="492" t="s">
        <v>344</v>
      </c>
      <c r="L415" s="6763" t="str">
        <f>IF(COUNTBLANK(L416:L421)&gt;0,"미취합법인有",SUM(L416:L421))</f>
        <v>미취합법인有</v>
      </c>
      <c r="M415" s="7233"/>
      <c r="N415" s="6847" t="str">
        <f>IF(COUNTBLANK(N416:N421)&gt;0,"미취합법인有",SUM(N416:N421))</f>
        <v>미취합법인有</v>
      </c>
      <c r="O415" s="7353"/>
      <c r="P415" s="6913" t="str">
        <f>IF(COUNTBLANK(P416:P421)&gt;0,"미취합법인有",SUM(P416:P421))</f>
        <v>미취합법인有</v>
      </c>
      <c r="Q415" s="7463"/>
      <c r="R415" s="6659" t="s">
        <v>155</v>
      </c>
      <c r="S415" s="6561"/>
      <c r="T415" s="782"/>
      <c r="U415" s="24"/>
      <c r="V415" s="99" t="s">
        <v>189</v>
      </c>
      <c r="W415" s="138"/>
      <c r="X415" s="138"/>
      <c r="Y415" s="299" t="s">
        <v>193</v>
      </c>
      <c r="Z415" s="265" t="s">
        <v>384</v>
      </c>
      <c r="AA415" s="265" t="s">
        <v>349</v>
      </c>
      <c r="AB415" s="187"/>
      <c r="AC415" s="6305"/>
    </row>
    <row r="416" spans="1:29" ht="19.899999999999999" customHeight="1">
      <c r="A416" s="11"/>
      <c r="B416" s="5590"/>
      <c r="C416" s="5598"/>
      <c r="D416" s="9598" t="s">
        <v>134</v>
      </c>
      <c r="E416" s="9600"/>
      <c r="F416" s="492" t="s">
        <v>344</v>
      </c>
      <c r="G416" s="253"/>
      <c r="H416" s="286"/>
      <c r="I416" s="9579" t="s">
        <v>135</v>
      </c>
      <c r="J416" s="9581"/>
      <c r="K416" s="492" t="s">
        <v>344</v>
      </c>
      <c r="L416" s="6754"/>
      <c r="M416" s="7250" t="s">
        <v>369</v>
      </c>
      <c r="N416" s="6826"/>
      <c r="O416" s="7250" t="s">
        <v>369</v>
      </c>
      <c r="P416" s="6826"/>
      <c r="Q416" s="7250" t="s">
        <v>369</v>
      </c>
      <c r="R416" s="6659" t="s">
        <v>155</v>
      </c>
      <c r="S416" s="6557"/>
      <c r="T416" s="2468"/>
      <c r="U416" s="276"/>
      <c r="V416" s="99"/>
      <c r="W416" s="138"/>
      <c r="X416" s="138"/>
      <c r="Y416" s="299" t="s">
        <v>193</v>
      </c>
      <c r="Z416" s="264"/>
      <c r="AA416" s="277"/>
      <c r="AB416" s="187"/>
    </row>
    <row r="417" spans="1:29" ht="19.899999999999999" customHeight="1">
      <c r="A417" s="11"/>
      <c r="B417" s="5590"/>
      <c r="C417" s="5598"/>
      <c r="D417" s="9598" t="s">
        <v>137</v>
      </c>
      <c r="E417" s="9600"/>
      <c r="F417" s="492" t="s">
        <v>344</v>
      </c>
      <c r="G417" s="253"/>
      <c r="H417" s="286"/>
      <c r="I417" s="9579" t="s">
        <v>138</v>
      </c>
      <c r="J417" s="9581"/>
      <c r="K417" s="492" t="s">
        <v>344</v>
      </c>
      <c r="L417" s="6753"/>
      <c r="M417" s="7249"/>
      <c r="N417" s="6825"/>
      <c r="O417" s="7355"/>
      <c r="P417" s="6922"/>
      <c r="Q417" s="7245"/>
      <c r="R417" s="6659" t="s">
        <v>155</v>
      </c>
      <c r="S417" s="6561"/>
      <c r="T417" s="2468"/>
      <c r="U417" s="276"/>
      <c r="V417" s="99"/>
      <c r="W417" s="138"/>
      <c r="X417" s="138"/>
      <c r="Y417" s="299" t="s">
        <v>193</v>
      </c>
      <c r="Z417" s="264"/>
      <c r="AA417" s="277"/>
      <c r="AB417" s="187"/>
    </row>
    <row r="418" spans="1:29" ht="19.899999999999999" customHeight="1">
      <c r="A418" s="11"/>
      <c r="B418" s="5590"/>
      <c r="C418" s="5598"/>
      <c r="D418" s="9598" t="s">
        <v>140</v>
      </c>
      <c r="E418" s="9600"/>
      <c r="F418" s="492" t="s">
        <v>344</v>
      </c>
      <c r="G418" s="253"/>
      <c r="H418" s="286"/>
      <c r="I418" s="9582" t="s">
        <v>141</v>
      </c>
      <c r="J418" s="9583"/>
      <c r="K418" s="492" t="s">
        <v>344</v>
      </c>
      <c r="L418" s="6752"/>
      <c r="M418" s="7263"/>
      <c r="N418" s="6848"/>
      <c r="O418" s="7365"/>
      <c r="P418" s="6901"/>
      <c r="Q418" s="7459"/>
      <c r="R418" s="6659" t="s">
        <v>155</v>
      </c>
      <c r="S418" s="6632"/>
      <c r="T418" s="2468"/>
      <c r="U418" s="276"/>
      <c r="V418" s="99"/>
      <c r="W418" s="138"/>
      <c r="X418" s="138"/>
      <c r="Y418" s="299" t="s">
        <v>193</v>
      </c>
      <c r="Z418" s="264"/>
      <c r="AA418" s="277"/>
      <c r="AB418" s="187"/>
    </row>
    <row r="419" spans="1:29" ht="19.899999999999999" customHeight="1">
      <c r="A419" s="11"/>
      <c r="B419" s="5590"/>
      <c r="C419" s="5598"/>
      <c r="D419" s="9598" t="s">
        <v>143</v>
      </c>
      <c r="E419" s="9600"/>
      <c r="F419" s="492" t="s">
        <v>344</v>
      </c>
      <c r="G419" s="253"/>
      <c r="H419" s="286"/>
      <c r="I419" s="9582" t="s">
        <v>144</v>
      </c>
      <c r="J419" s="9583"/>
      <c r="K419" s="492" t="s">
        <v>344</v>
      </c>
      <c r="L419" s="6754"/>
      <c r="M419" s="7250"/>
      <c r="N419" s="6826"/>
      <c r="O419" s="7356"/>
      <c r="P419" s="6826"/>
      <c r="Q419" s="7356"/>
      <c r="R419" s="6659" t="s">
        <v>155</v>
      </c>
      <c r="S419" s="6557"/>
      <c r="T419" s="2468"/>
      <c r="U419" s="276"/>
      <c r="V419" s="99"/>
      <c r="W419" s="138"/>
      <c r="X419" s="138"/>
      <c r="Y419" s="299" t="s">
        <v>193</v>
      </c>
      <c r="Z419" s="264"/>
      <c r="AA419" s="277"/>
      <c r="AB419" s="187"/>
    </row>
    <row r="420" spans="1:29" ht="19.899999999999999" customHeight="1">
      <c r="A420" s="11"/>
      <c r="B420" s="5590"/>
      <c r="C420" s="5598"/>
      <c r="D420" s="9598" t="s">
        <v>146</v>
      </c>
      <c r="E420" s="9600"/>
      <c r="F420" s="492" t="s">
        <v>344</v>
      </c>
      <c r="G420" s="253"/>
      <c r="H420" s="286"/>
      <c r="I420" s="9582" t="s">
        <v>147</v>
      </c>
      <c r="J420" s="9583"/>
      <c r="K420" s="492" t="s">
        <v>344</v>
      </c>
      <c r="L420" s="6754"/>
      <c r="M420" s="7250"/>
      <c r="N420" s="6826"/>
      <c r="O420" s="7356"/>
      <c r="P420" s="6826"/>
      <c r="Q420" s="7356"/>
      <c r="R420" s="6659" t="s">
        <v>155</v>
      </c>
      <c r="S420" s="6557"/>
      <c r="T420" s="2468"/>
      <c r="U420" s="276"/>
      <c r="V420" s="99"/>
      <c r="W420" s="138"/>
      <c r="X420" s="138"/>
      <c r="Y420" s="299" t="s">
        <v>193</v>
      </c>
      <c r="Z420" s="264"/>
      <c r="AA420" s="277"/>
      <c r="AB420" s="187"/>
    </row>
    <row r="421" spans="1:29" ht="19.899999999999999" customHeight="1">
      <c r="A421" s="11"/>
      <c r="B421" s="5590"/>
      <c r="C421" s="5598"/>
      <c r="D421" s="9598" t="s">
        <v>149</v>
      </c>
      <c r="E421" s="9600"/>
      <c r="F421" s="492" t="s">
        <v>344</v>
      </c>
      <c r="G421" s="253"/>
      <c r="H421" s="286"/>
      <c r="I421" s="9582" t="s">
        <v>150</v>
      </c>
      <c r="J421" s="9583"/>
      <c r="K421" s="492" t="s">
        <v>344</v>
      </c>
      <c r="L421" s="6754"/>
      <c r="M421" s="7250"/>
      <c r="N421" s="6826"/>
      <c r="O421" s="7356"/>
      <c r="P421" s="6826"/>
      <c r="Q421" s="7356"/>
      <c r="R421" s="6659" t="s">
        <v>155</v>
      </c>
      <c r="S421" s="6557"/>
      <c r="T421" s="2468"/>
      <c r="U421" s="276"/>
      <c r="V421" s="99"/>
      <c r="W421" s="138"/>
      <c r="X421" s="138"/>
      <c r="Y421" s="299" t="s">
        <v>193</v>
      </c>
      <c r="Z421" s="264"/>
      <c r="AA421" s="277"/>
      <c r="AB421" s="187"/>
    </row>
    <row r="422" spans="1:29" ht="20.100000000000001" customHeight="1">
      <c r="A422" s="11"/>
      <c r="B422" s="1360"/>
      <c r="C422" s="5598"/>
      <c r="D422" s="9584" t="s">
        <v>343</v>
      </c>
      <c r="E422" s="9585"/>
      <c r="F422" s="492" t="s">
        <v>344</v>
      </c>
      <c r="G422" s="337"/>
      <c r="H422" s="358"/>
      <c r="I422" s="9584" t="s">
        <v>685</v>
      </c>
      <c r="J422" s="9585"/>
      <c r="K422" s="492" t="s">
        <v>344</v>
      </c>
      <c r="L422" s="6763" t="str">
        <f>IF(COUNTBLANK(L423:L428)&gt;0,"미취합법인有",SUM(L423:L428))</f>
        <v>미취합법인有</v>
      </c>
      <c r="M422" s="7233"/>
      <c r="N422" s="6847" t="str">
        <f>IF(COUNTBLANK(N423:N428)&gt;0,"미취합법인有",SUM(N423:N428))</f>
        <v>미취합법인有</v>
      </c>
      <c r="O422" s="7353"/>
      <c r="P422" s="6913" t="str">
        <f>IF(COUNTBLANK(P423:P428)&gt;0,"미취합법인有",SUM(P423:P428))</f>
        <v>미취합법인有</v>
      </c>
      <c r="Q422" s="7463"/>
      <c r="R422" s="6659" t="s">
        <v>155</v>
      </c>
      <c r="S422" s="6571"/>
      <c r="T422" s="24"/>
      <c r="U422" s="162"/>
      <c r="V422" s="99" t="s">
        <v>189</v>
      </c>
      <c r="W422" s="138"/>
      <c r="X422" s="138"/>
      <c r="Y422" s="299" t="s">
        <v>193</v>
      </c>
      <c r="Z422" s="265" t="s">
        <v>384</v>
      </c>
      <c r="AA422" s="265" t="s">
        <v>349</v>
      </c>
      <c r="AB422" s="187"/>
      <c r="AC422" s="6305"/>
    </row>
    <row r="423" spans="1:29" ht="19.899999999999999" customHeight="1">
      <c r="A423" s="11"/>
      <c r="B423" s="5590"/>
      <c r="C423" s="5598"/>
      <c r="D423" s="9598" t="s">
        <v>134</v>
      </c>
      <c r="E423" s="9600"/>
      <c r="F423" s="492" t="s">
        <v>344</v>
      </c>
      <c r="G423" s="253"/>
      <c r="H423" s="286"/>
      <c r="I423" s="9579" t="s">
        <v>135</v>
      </c>
      <c r="J423" s="9581"/>
      <c r="K423" s="492" t="s">
        <v>344</v>
      </c>
      <c r="L423" s="6754"/>
      <c r="M423" s="7250" t="s">
        <v>369</v>
      </c>
      <c r="N423" s="6826"/>
      <c r="O423" s="7250" t="s">
        <v>369</v>
      </c>
      <c r="P423" s="6826"/>
      <c r="Q423" s="7250" t="s">
        <v>369</v>
      </c>
      <c r="R423" s="6659" t="s">
        <v>155</v>
      </c>
      <c r="S423" s="6557"/>
      <c r="T423" s="2468"/>
      <c r="U423" s="276"/>
      <c r="V423" s="99"/>
      <c r="W423" s="138"/>
      <c r="X423" s="138"/>
      <c r="Y423" s="299" t="s">
        <v>193</v>
      </c>
      <c r="Z423" s="264"/>
      <c r="AA423" s="277"/>
      <c r="AB423" s="187"/>
    </row>
    <row r="424" spans="1:29" ht="19.899999999999999" customHeight="1">
      <c r="A424" s="11"/>
      <c r="B424" s="5590"/>
      <c r="C424" s="5598"/>
      <c r="D424" s="9598" t="s">
        <v>137</v>
      </c>
      <c r="E424" s="9600"/>
      <c r="F424" s="492" t="s">
        <v>344</v>
      </c>
      <c r="G424" s="253"/>
      <c r="H424" s="286"/>
      <c r="I424" s="9579" t="s">
        <v>138</v>
      </c>
      <c r="J424" s="9581"/>
      <c r="K424" s="492" t="s">
        <v>344</v>
      </c>
      <c r="L424" s="6753"/>
      <c r="M424" s="7249"/>
      <c r="N424" s="6825"/>
      <c r="O424" s="7355"/>
      <c r="P424" s="6922"/>
      <c r="Q424" s="7245"/>
      <c r="R424" s="6659" t="s">
        <v>155</v>
      </c>
      <c r="S424" s="6561"/>
      <c r="T424" s="2468"/>
      <c r="U424" s="276"/>
      <c r="V424" s="99"/>
      <c r="W424" s="138"/>
      <c r="X424" s="138"/>
      <c r="Y424" s="299" t="s">
        <v>193</v>
      </c>
      <c r="Z424" s="264"/>
      <c r="AA424" s="277"/>
      <c r="AB424" s="187"/>
    </row>
    <row r="425" spans="1:29" ht="19.899999999999999" customHeight="1">
      <c r="A425" s="11"/>
      <c r="B425" s="5590"/>
      <c r="C425" s="5598"/>
      <c r="D425" s="9598" t="s">
        <v>140</v>
      </c>
      <c r="E425" s="9600"/>
      <c r="F425" s="492" t="s">
        <v>344</v>
      </c>
      <c r="G425" s="253"/>
      <c r="H425" s="286"/>
      <c r="I425" s="9582" t="s">
        <v>141</v>
      </c>
      <c r="J425" s="9583"/>
      <c r="K425" s="492" t="s">
        <v>344</v>
      </c>
      <c r="L425" s="6752"/>
      <c r="M425" s="7263"/>
      <c r="N425" s="6848"/>
      <c r="O425" s="7365"/>
      <c r="P425" s="6901"/>
      <c r="Q425" s="7459"/>
      <c r="R425" s="6659" t="s">
        <v>155</v>
      </c>
      <c r="S425" s="6632"/>
      <c r="T425" s="2468"/>
      <c r="U425" s="276"/>
      <c r="V425" s="99"/>
      <c r="W425" s="138"/>
      <c r="X425" s="138"/>
      <c r="Y425" s="299" t="s">
        <v>193</v>
      </c>
      <c r="Z425" s="264"/>
      <c r="AA425" s="277"/>
      <c r="AB425" s="187"/>
    </row>
    <row r="426" spans="1:29" ht="19.899999999999999" customHeight="1">
      <c r="A426" s="11"/>
      <c r="B426" s="5590"/>
      <c r="C426" s="5598"/>
      <c r="D426" s="9598" t="s">
        <v>143</v>
      </c>
      <c r="E426" s="9600"/>
      <c r="F426" s="492" t="s">
        <v>344</v>
      </c>
      <c r="G426" s="253"/>
      <c r="H426" s="286"/>
      <c r="I426" s="9582" t="s">
        <v>144</v>
      </c>
      <c r="J426" s="9583"/>
      <c r="K426" s="492" t="s">
        <v>344</v>
      </c>
      <c r="L426" s="6754"/>
      <c r="M426" s="7250"/>
      <c r="N426" s="6826"/>
      <c r="O426" s="7356"/>
      <c r="P426" s="6826"/>
      <c r="Q426" s="7356"/>
      <c r="R426" s="6659" t="s">
        <v>155</v>
      </c>
      <c r="S426" s="6557"/>
      <c r="T426" s="2468"/>
      <c r="U426" s="276"/>
      <c r="V426" s="99"/>
      <c r="W426" s="138"/>
      <c r="X426" s="138"/>
      <c r="Y426" s="299" t="s">
        <v>193</v>
      </c>
      <c r="Z426" s="264"/>
      <c r="AA426" s="277"/>
      <c r="AB426" s="187"/>
    </row>
    <row r="427" spans="1:29" ht="19.899999999999999" customHeight="1">
      <c r="A427" s="11"/>
      <c r="B427" s="5590"/>
      <c r="C427" s="5598"/>
      <c r="D427" s="9598" t="s">
        <v>146</v>
      </c>
      <c r="E427" s="9600"/>
      <c r="F427" s="492" t="s">
        <v>344</v>
      </c>
      <c r="G427" s="253"/>
      <c r="H427" s="286"/>
      <c r="I427" s="9582" t="s">
        <v>147</v>
      </c>
      <c r="J427" s="9583"/>
      <c r="K427" s="492" t="s">
        <v>344</v>
      </c>
      <c r="L427" s="6754"/>
      <c r="M427" s="7250"/>
      <c r="N427" s="6826"/>
      <c r="O427" s="7356"/>
      <c r="P427" s="6826"/>
      <c r="Q427" s="7356"/>
      <c r="R427" s="6659" t="s">
        <v>155</v>
      </c>
      <c r="S427" s="6557"/>
      <c r="T427" s="2468"/>
      <c r="U427" s="276"/>
      <c r="V427" s="99"/>
      <c r="W427" s="138"/>
      <c r="X427" s="138"/>
      <c r="Y427" s="299" t="s">
        <v>193</v>
      </c>
      <c r="Z427" s="264"/>
      <c r="AA427" s="277"/>
      <c r="AB427" s="187"/>
    </row>
    <row r="428" spans="1:29" ht="19.899999999999999" customHeight="1">
      <c r="A428" s="11"/>
      <c r="B428" s="5590"/>
      <c r="C428" s="5598"/>
      <c r="D428" s="9598" t="s">
        <v>149</v>
      </c>
      <c r="E428" s="9600"/>
      <c r="F428" s="492" t="s">
        <v>344</v>
      </c>
      <c r="G428" s="253"/>
      <c r="H428" s="286"/>
      <c r="I428" s="9582" t="s">
        <v>150</v>
      </c>
      <c r="J428" s="9583"/>
      <c r="K428" s="492" t="s">
        <v>344</v>
      </c>
      <c r="L428" s="6754"/>
      <c r="M428" s="7250"/>
      <c r="N428" s="6826"/>
      <c r="O428" s="7356"/>
      <c r="P428" s="6826"/>
      <c r="Q428" s="7356"/>
      <c r="R428" s="6659" t="s">
        <v>155</v>
      </c>
      <c r="S428" s="6557"/>
      <c r="T428" s="2468"/>
      <c r="U428" s="276"/>
      <c r="V428" s="99"/>
      <c r="W428" s="138"/>
      <c r="X428" s="138"/>
      <c r="Y428" s="299" t="s">
        <v>193</v>
      </c>
      <c r="Z428" s="264"/>
      <c r="AA428" s="277"/>
      <c r="AB428" s="187"/>
    </row>
    <row r="429" spans="1:29" ht="20.100000000000001" customHeight="1">
      <c r="A429" s="11"/>
      <c r="B429" s="1360"/>
      <c r="C429" s="9587" t="s">
        <v>387</v>
      </c>
      <c r="D429" s="9587"/>
      <c r="E429" s="9587"/>
      <c r="F429" s="492" t="s">
        <v>156</v>
      </c>
      <c r="G429" s="337"/>
      <c r="H429" s="9587" t="s">
        <v>388</v>
      </c>
      <c r="I429" s="9587"/>
      <c r="J429" s="9587"/>
      <c r="K429" s="492" t="s">
        <v>156</v>
      </c>
      <c r="L429" s="6763" t="str" cm="1">
        <f t="array" ref="L429">IF(COUNTBLANK(L430:L435)&gt;0,"미취합법인有",SAVERAGE(L430:L435))</f>
        <v>미취합법인有</v>
      </c>
      <c r="M429" s="7233"/>
      <c r="N429" s="6847" t="str">
        <f>IF(COUNTBLANK(N430:N435)&gt;0,"미취합법인有",AVERAGE(N430:N435))</f>
        <v>미취합법인有</v>
      </c>
      <c r="O429" s="7353"/>
      <c r="P429" s="6913" t="str">
        <f>IF(COUNTBLANK(P430:P435)&gt;0,"미취합법인有",AVERAGE(P430:P435))</f>
        <v>미취합법인有</v>
      </c>
      <c r="Q429" s="7463"/>
      <c r="R429" s="6659" t="s">
        <v>155</v>
      </c>
      <c r="S429" s="6561"/>
      <c r="T429" s="2474" t="s">
        <v>382</v>
      </c>
      <c r="U429" s="489" t="s">
        <v>389</v>
      </c>
      <c r="V429" s="99" t="s">
        <v>189</v>
      </c>
      <c r="W429" s="138"/>
      <c r="X429" s="138"/>
      <c r="Y429" s="299" t="s">
        <v>193</v>
      </c>
      <c r="Z429" s="265" t="s">
        <v>390</v>
      </c>
      <c r="AA429" s="265" t="s">
        <v>375</v>
      </c>
      <c r="AB429" s="187"/>
      <c r="AC429" s="6305"/>
    </row>
    <row r="430" spans="1:29" ht="19.899999999999999" customHeight="1">
      <c r="A430" s="11"/>
      <c r="B430" s="5590"/>
      <c r="C430" s="9647" t="s">
        <v>134</v>
      </c>
      <c r="D430" s="9648"/>
      <c r="E430" s="9649"/>
      <c r="F430" s="132" t="s">
        <v>156</v>
      </c>
      <c r="G430" s="253"/>
      <c r="H430" s="9579" t="s">
        <v>135</v>
      </c>
      <c r="I430" s="9580"/>
      <c r="J430" s="9581"/>
      <c r="K430" s="492" t="s">
        <v>156</v>
      </c>
      <c r="L430" s="6754"/>
      <c r="M430" s="7250" t="s">
        <v>369</v>
      </c>
      <c r="N430" s="6826"/>
      <c r="O430" s="7250" t="s">
        <v>369</v>
      </c>
      <c r="P430" s="6826"/>
      <c r="Q430" s="7250" t="s">
        <v>369</v>
      </c>
      <c r="R430" s="6659" t="s">
        <v>155</v>
      </c>
      <c r="S430" s="6557"/>
      <c r="T430" s="1033"/>
      <c r="U430" s="263"/>
      <c r="V430" s="99"/>
      <c r="W430" s="138"/>
      <c r="X430" s="138"/>
      <c r="Y430" s="299" t="s">
        <v>193</v>
      </c>
      <c r="Z430" s="264"/>
      <c r="AA430" s="277"/>
      <c r="AB430" s="187"/>
    </row>
    <row r="431" spans="1:29" ht="19.899999999999999" customHeight="1">
      <c r="A431" s="11"/>
      <c r="B431" s="5590"/>
      <c r="C431" s="9647" t="s">
        <v>137</v>
      </c>
      <c r="D431" s="9648"/>
      <c r="E431" s="9649"/>
      <c r="F431" s="132" t="s">
        <v>156</v>
      </c>
      <c r="G431" s="253"/>
      <c r="H431" s="9579" t="s">
        <v>138</v>
      </c>
      <c r="I431" s="9580"/>
      <c r="J431" s="9581"/>
      <c r="K431" s="492" t="s">
        <v>156</v>
      </c>
      <c r="L431" s="6754"/>
      <c r="M431" s="7250"/>
      <c r="N431" s="6826"/>
      <c r="O431" s="7356"/>
      <c r="P431" s="6826"/>
      <c r="Q431" s="7356"/>
      <c r="R431" s="6659" t="s">
        <v>155</v>
      </c>
      <c r="S431" s="6557"/>
      <c r="T431" s="1033"/>
      <c r="U431" s="263"/>
      <c r="V431" s="99"/>
      <c r="W431" s="138"/>
      <c r="X431" s="138"/>
      <c r="Y431" s="299" t="s">
        <v>193</v>
      </c>
      <c r="Z431" s="264"/>
      <c r="AA431" s="277"/>
      <c r="AB431" s="187"/>
    </row>
    <row r="432" spans="1:29" ht="19.899999999999999" customHeight="1">
      <c r="A432" s="11"/>
      <c r="B432" s="5590"/>
      <c r="C432" s="9647" t="s">
        <v>140</v>
      </c>
      <c r="D432" s="9648"/>
      <c r="E432" s="9649"/>
      <c r="F432" s="132" t="s">
        <v>156</v>
      </c>
      <c r="G432" s="253"/>
      <c r="H432" s="9579" t="s">
        <v>141</v>
      </c>
      <c r="I432" s="9580"/>
      <c r="J432" s="9581"/>
      <c r="K432" s="492" t="s">
        <v>156</v>
      </c>
      <c r="L432" s="6754"/>
      <c r="M432" s="7250"/>
      <c r="N432" s="6826"/>
      <c r="O432" s="7356"/>
      <c r="P432" s="6826"/>
      <c r="Q432" s="7356"/>
      <c r="R432" s="6659" t="s">
        <v>155</v>
      </c>
      <c r="S432" s="6557"/>
      <c r="T432" s="1033"/>
      <c r="U432" s="263"/>
      <c r="V432" s="99"/>
      <c r="W432" s="138"/>
      <c r="X432" s="138"/>
      <c r="Y432" s="299" t="s">
        <v>193</v>
      </c>
      <c r="Z432" s="264"/>
      <c r="AA432" s="277"/>
      <c r="AB432" s="187"/>
    </row>
    <row r="433" spans="1:29" ht="19.899999999999999" customHeight="1">
      <c r="A433" s="11"/>
      <c r="B433" s="5590"/>
      <c r="C433" s="9647" t="s">
        <v>143</v>
      </c>
      <c r="D433" s="9648"/>
      <c r="E433" s="9649"/>
      <c r="F433" s="132" t="s">
        <v>156</v>
      </c>
      <c r="G433" s="253"/>
      <c r="H433" s="9579" t="s">
        <v>144</v>
      </c>
      <c r="I433" s="9580"/>
      <c r="J433" s="9581"/>
      <c r="K433" s="492" t="s">
        <v>156</v>
      </c>
      <c r="L433" s="6754"/>
      <c r="M433" s="7250"/>
      <c r="N433" s="6826"/>
      <c r="O433" s="7356"/>
      <c r="P433" s="6826"/>
      <c r="Q433" s="7356"/>
      <c r="R433" s="6659" t="s">
        <v>155</v>
      </c>
      <c r="S433" s="6557"/>
      <c r="T433" s="1033"/>
      <c r="U433" s="263"/>
      <c r="V433" s="99"/>
      <c r="W433" s="138"/>
      <c r="X433" s="138"/>
      <c r="Y433" s="299" t="s">
        <v>193</v>
      </c>
      <c r="Z433" s="264"/>
      <c r="AA433" s="277"/>
      <c r="AB433" s="187"/>
    </row>
    <row r="434" spans="1:29" ht="19.899999999999999" customHeight="1">
      <c r="A434" s="11"/>
      <c r="B434" s="5590"/>
      <c r="C434" s="9647" t="s">
        <v>146</v>
      </c>
      <c r="D434" s="9648"/>
      <c r="E434" s="9649"/>
      <c r="F434" s="132" t="s">
        <v>156</v>
      </c>
      <c r="G434" s="253"/>
      <c r="H434" s="9579" t="s">
        <v>147</v>
      </c>
      <c r="I434" s="9580"/>
      <c r="J434" s="9581"/>
      <c r="K434" s="492" t="s">
        <v>156</v>
      </c>
      <c r="L434" s="6754"/>
      <c r="M434" s="7250"/>
      <c r="N434" s="6826"/>
      <c r="O434" s="7356"/>
      <c r="P434" s="6826"/>
      <c r="Q434" s="7356"/>
      <c r="R434" s="6659" t="s">
        <v>155</v>
      </c>
      <c r="S434" s="6557"/>
      <c r="T434" s="1033"/>
      <c r="U434" s="263"/>
      <c r="V434" s="99"/>
      <c r="W434" s="138"/>
      <c r="X434" s="138"/>
      <c r="Y434" s="299" t="s">
        <v>193</v>
      </c>
      <c r="Z434" s="264"/>
      <c r="AA434" s="277"/>
      <c r="AB434" s="187"/>
    </row>
    <row r="435" spans="1:29" ht="19.899999999999999" customHeight="1">
      <c r="A435" s="11"/>
      <c r="B435" s="5590"/>
      <c r="C435" s="9647" t="s">
        <v>149</v>
      </c>
      <c r="D435" s="9648"/>
      <c r="E435" s="9649"/>
      <c r="F435" s="132" t="s">
        <v>156</v>
      </c>
      <c r="G435" s="253"/>
      <c r="H435" s="9579" t="s">
        <v>150</v>
      </c>
      <c r="I435" s="9580"/>
      <c r="J435" s="9581"/>
      <c r="K435" s="492" t="s">
        <v>156</v>
      </c>
      <c r="L435" s="6754"/>
      <c r="M435" s="7250"/>
      <c r="N435" s="6826"/>
      <c r="O435" s="7356"/>
      <c r="P435" s="6826"/>
      <c r="Q435" s="7356"/>
      <c r="R435" s="6659" t="s">
        <v>155</v>
      </c>
      <c r="S435" s="6557"/>
      <c r="T435" s="1033"/>
      <c r="U435" s="263"/>
      <c r="V435" s="99"/>
      <c r="W435" s="138"/>
      <c r="X435" s="138"/>
      <c r="Y435" s="299" t="s">
        <v>193</v>
      </c>
      <c r="Z435" s="264"/>
      <c r="AA435" s="277"/>
      <c r="AB435" s="187"/>
    </row>
    <row r="436" spans="1:29" ht="20.100000000000001" customHeight="1">
      <c r="A436" s="11"/>
      <c r="B436" s="1360"/>
      <c r="C436" s="5598"/>
      <c r="D436" s="9584" t="s">
        <v>391</v>
      </c>
      <c r="E436" s="9585"/>
      <c r="F436" s="492" t="s">
        <v>344</v>
      </c>
      <c r="G436" s="337"/>
      <c r="H436" s="358"/>
      <c r="I436" s="9584" t="s">
        <v>392</v>
      </c>
      <c r="J436" s="9585"/>
      <c r="K436" s="492" t="s">
        <v>344</v>
      </c>
      <c r="L436" s="6763" t="str">
        <f>IF(COUNTBLANK(L437:L442)&gt;0,"미취합법인有",SUM(L437:L442))</f>
        <v>미취합법인有</v>
      </c>
      <c r="M436" s="7233"/>
      <c r="N436" s="6847" t="str">
        <f>IF(COUNTBLANK(N437:N442)&gt;0,"미취합법인有",SUM(N437:N442))</f>
        <v>미취합법인有</v>
      </c>
      <c r="O436" s="7353"/>
      <c r="P436" s="6913" t="str">
        <f>IF(COUNTBLANK(P437:P442)&gt;0,"미취합법인有",SUM(P437:P442))</f>
        <v>미취합법인有</v>
      </c>
      <c r="Q436" s="7463"/>
      <c r="R436" s="6659" t="s">
        <v>155</v>
      </c>
      <c r="S436" s="6561"/>
      <c r="T436" s="782"/>
      <c r="U436" s="162"/>
      <c r="V436" s="99" t="s">
        <v>189</v>
      </c>
      <c r="W436" s="138"/>
      <c r="X436" s="138"/>
      <c r="Y436" s="299" t="s">
        <v>193</v>
      </c>
      <c r="Z436" s="265" t="s">
        <v>390</v>
      </c>
      <c r="AA436" s="265" t="s">
        <v>375</v>
      </c>
      <c r="AB436" s="187"/>
      <c r="AC436" s="6305"/>
    </row>
    <row r="437" spans="1:29" ht="19.899999999999999" customHeight="1">
      <c r="A437" s="11"/>
      <c r="B437" s="5590"/>
      <c r="C437" s="5598"/>
      <c r="D437" s="9598" t="s">
        <v>134</v>
      </c>
      <c r="E437" s="9600"/>
      <c r="F437" s="492" t="s">
        <v>344</v>
      </c>
      <c r="G437" s="253"/>
      <c r="H437" s="286"/>
      <c r="I437" s="9579" t="s">
        <v>135</v>
      </c>
      <c r="J437" s="9581"/>
      <c r="K437" s="492" t="s">
        <v>344</v>
      </c>
      <c r="L437" s="6754"/>
      <c r="M437" s="7250" t="s">
        <v>369</v>
      </c>
      <c r="N437" s="6826"/>
      <c r="O437" s="7250" t="s">
        <v>369</v>
      </c>
      <c r="P437" s="6826"/>
      <c r="Q437" s="7250" t="s">
        <v>369</v>
      </c>
      <c r="R437" s="6659" t="s">
        <v>155</v>
      </c>
      <c r="S437" s="6557"/>
      <c r="T437" s="2468"/>
      <c r="U437" s="276"/>
      <c r="V437" s="99"/>
      <c r="W437" s="138"/>
      <c r="X437" s="138"/>
      <c r="Y437" s="299" t="s">
        <v>193</v>
      </c>
      <c r="Z437" s="264"/>
      <c r="AA437" s="277"/>
      <c r="AB437" s="187"/>
    </row>
    <row r="438" spans="1:29" ht="19.899999999999999" customHeight="1">
      <c r="A438" s="11"/>
      <c r="B438" s="5590"/>
      <c r="C438" s="5598"/>
      <c r="D438" s="9598" t="s">
        <v>137</v>
      </c>
      <c r="E438" s="9600"/>
      <c r="F438" s="492" t="s">
        <v>344</v>
      </c>
      <c r="G438" s="253"/>
      <c r="H438" s="286"/>
      <c r="I438" s="9579" t="s">
        <v>138</v>
      </c>
      <c r="J438" s="9581"/>
      <c r="K438" s="492" t="s">
        <v>344</v>
      </c>
      <c r="L438" s="6753"/>
      <c r="M438" s="7249"/>
      <c r="N438" s="6825"/>
      <c r="O438" s="7355"/>
      <c r="P438" s="6922"/>
      <c r="Q438" s="7245"/>
      <c r="R438" s="6659" t="s">
        <v>155</v>
      </c>
      <c r="S438" s="6561"/>
      <c r="T438" s="2468"/>
      <c r="U438" s="276"/>
      <c r="V438" s="99"/>
      <c r="W438" s="138"/>
      <c r="X438" s="138"/>
      <c r="Y438" s="299" t="s">
        <v>193</v>
      </c>
      <c r="Z438" s="264"/>
      <c r="AA438" s="277"/>
      <c r="AB438" s="187"/>
    </row>
    <row r="439" spans="1:29" ht="19.899999999999999" customHeight="1">
      <c r="A439" s="11"/>
      <c r="B439" s="5590"/>
      <c r="C439" s="5598"/>
      <c r="D439" s="9598" t="s">
        <v>140</v>
      </c>
      <c r="E439" s="9600"/>
      <c r="F439" s="492" t="s">
        <v>344</v>
      </c>
      <c r="G439" s="253"/>
      <c r="H439" s="286"/>
      <c r="I439" s="9582" t="s">
        <v>141</v>
      </c>
      <c r="J439" s="9583"/>
      <c r="K439" s="492" t="s">
        <v>344</v>
      </c>
      <c r="L439" s="6752"/>
      <c r="M439" s="7263"/>
      <c r="N439" s="6848"/>
      <c r="O439" s="7365"/>
      <c r="P439" s="6901"/>
      <c r="Q439" s="7459"/>
      <c r="R439" s="6659" t="s">
        <v>155</v>
      </c>
      <c r="S439" s="6632"/>
      <c r="T439" s="2468"/>
      <c r="U439" s="276"/>
      <c r="V439" s="99"/>
      <c r="W439" s="138"/>
      <c r="X439" s="138"/>
      <c r="Y439" s="299" t="s">
        <v>193</v>
      </c>
      <c r="Z439" s="264"/>
      <c r="AA439" s="277"/>
      <c r="AB439" s="187"/>
    </row>
    <row r="440" spans="1:29" ht="19.899999999999999" customHeight="1">
      <c r="A440" s="11"/>
      <c r="B440" s="5590"/>
      <c r="C440" s="5598"/>
      <c r="D440" s="9598" t="s">
        <v>143</v>
      </c>
      <c r="E440" s="9600"/>
      <c r="F440" s="492" t="s">
        <v>344</v>
      </c>
      <c r="G440" s="253"/>
      <c r="H440" s="286"/>
      <c r="I440" s="9582" t="s">
        <v>144</v>
      </c>
      <c r="J440" s="9583"/>
      <c r="K440" s="492" t="s">
        <v>344</v>
      </c>
      <c r="L440" s="6754"/>
      <c r="M440" s="7250"/>
      <c r="N440" s="6826"/>
      <c r="O440" s="7356"/>
      <c r="P440" s="6826"/>
      <c r="Q440" s="7356"/>
      <c r="R440" s="6659" t="s">
        <v>155</v>
      </c>
      <c r="S440" s="6557"/>
      <c r="T440" s="2468"/>
      <c r="U440" s="276"/>
      <c r="V440" s="99"/>
      <c r="W440" s="138"/>
      <c r="X440" s="138"/>
      <c r="Y440" s="299" t="s">
        <v>193</v>
      </c>
      <c r="Z440" s="264"/>
      <c r="AA440" s="277"/>
      <c r="AB440" s="187"/>
    </row>
    <row r="441" spans="1:29" ht="19.899999999999999" customHeight="1">
      <c r="A441" s="11"/>
      <c r="B441" s="5590"/>
      <c r="C441" s="5598"/>
      <c r="D441" s="9598" t="s">
        <v>146</v>
      </c>
      <c r="E441" s="9600"/>
      <c r="F441" s="492" t="s">
        <v>344</v>
      </c>
      <c r="G441" s="253"/>
      <c r="H441" s="286"/>
      <c r="I441" s="9582" t="s">
        <v>147</v>
      </c>
      <c r="J441" s="9583"/>
      <c r="K441" s="492" t="s">
        <v>344</v>
      </c>
      <c r="L441" s="6754"/>
      <c r="M441" s="7250"/>
      <c r="N441" s="6826"/>
      <c r="O441" s="7356"/>
      <c r="P441" s="6826"/>
      <c r="Q441" s="7356"/>
      <c r="R441" s="6659" t="s">
        <v>155</v>
      </c>
      <c r="S441" s="6557"/>
      <c r="T441" s="2468"/>
      <c r="U441" s="276"/>
      <c r="V441" s="99"/>
      <c r="W441" s="138"/>
      <c r="X441" s="138"/>
      <c r="Y441" s="299" t="s">
        <v>193</v>
      </c>
      <c r="Z441" s="264"/>
      <c r="AA441" s="277"/>
      <c r="AB441" s="187"/>
    </row>
    <row r="442" spans="1:29" ht="19.899999999999999" customHeight="1">
      <c r="A442" s="11"/>
      <c r="B442" s="5590"/>
      <c r="C442" s="5598"/>
      <c r="D442" s="9598" t="s">
        <v>149</v>
      </c>
      <c r="E442" s="9600"/>
      <c r="F442" s="492" t="s">
        <v>344</v>
      </c>
      <c r="G442" s="253"/>
      <c r="H442" s="286"/>
      <c r="I442" s="9582" t="s">
        <v>150</v>
      </c>
      <c r="J442" s="9583"/>
      <c r="K442" s="492" t="s">
        <v>344</v>
      </c>
      <c r="L442" s="6754"/>
      <c r="M442" s="7250"/>
      <c r="N442" s="6826"/>
      <c r="O442" s="7356"/>
      <c r="P442" s="6826"/>
      <c r="Q442" s="7356"/>
      <c r="R442" s="6659" t="s">
        <v>155</v>
      </c>
      <c r="S442" s="6557"/>
      <c r="T442" s="2468"/>
      <c r="U442" s="276"/>
      <c r="V442" s="99"/>
      <c r="W442" s="138"/>
      <c r="X442" s="138"/>
      <c r="Y442" s="299" t="s">
        <v>193</v>
      </c>
      <c r="Z442" s="264"/>
      <c r="AA442" s="277"/>
      <c r="AB442" s="187"/>
    </row>
    <row r="443" spans="1:29" ht="20.100000000000001" customHeight="1">
      <c r="A443" s="11"/>
      <c r="B443" s="1360"/>
      <c r="C443" s="5598"/>
      <c r="D443" s="9584" t="s">
        <v>370</v>
      </c>
      <c r="E443" s="9585"/>
      <c r="F443" s="492" t="s">
        <v>344</v>
      </c>
      <c r="G443" s="337"/>
      <c r="H443" s="358"/>
      <c r="I443" s="9584" t="s">
        <v>686</v>
      </c>
      <c r="J443" s="9585"/>
      <c r="K443" s="492" t="s">
        <v>344</v>
      </c>
      <c r="L443" s="6763" t="str">
        <f>IF(COUNTBLANK(L444:L449)&gt;0,"미취합법인有",SUM(L444:L449))</f>
        <v>미취합법인有</v>
      </c>
      <c r="M443" s="7233"/>
      <c r="N443" s="6847" t="str">
        <f>IF(COUNTBLANK(N444:N449)&gt;0,"미취합법인有",SUM(N444:N449))</f>
        <v>미취합법인有</v>
      </c>
      <c r="O443" s="7353"/>
      <c r="P443" s="6913" t="str">
        <f>IF(COUNTBLANK(P444:P449)&gt;0,"미취합법인有",SUM(P444:P449))</f>
        <v>미취합법인有</v>
      </c>
      <c r="Q443" s="7463"/>
      <c r="R443" s="6659" t="s">
        <v>155</v>
      </c>
      <c r="S443" s="6561"/>
      <c r="T443" s="782"/>
      <c r="U443" s="367"/>
      <c r="V443" s="99" t="s">
        <v>189</v>
      </c>
      <c r="W443" s="138"/>
      <c r="X443" s="138"/>
      <c r="Y443" s="299" t="s">
        <v>193</v>
      </c>
      <c r="Z443" s="265" t="s">
        <v>390</v>
      </c>
      <c r="AA443" s="265" t="s">
        <v>375</v>
      </c>
      <c r="AB443" s="187"/>
      <c r="AC443" s="6305"/>
    </row>
    <row r="444" spans="1:29" ht="19.899999999999999" customHeight="1">
      <c r="A444" s="11"/>
      <c r="B444" s="5590"/>
      <c r="C444" s="5598"/>
      <c r="D444" s="9598" t="s">
        <v>134</v>
      </c>
      <c r="E444" s="9600"/>
      <c r="F444" s="492" t="s">
        <v>344</v>
      </c>
      <c r="G444" s="253"/>
      <c r="H444" s="286"/>
      <c r="I444" s="9579" t="s">
        <v>135</v>
      </c>
      <c r="J444" s="9581"/>
      <c r="K444" s="492" t="s">
        <v>344</v>
      </c>
      <c r="L444" s="6754"/>
      <c r="M444" s="7250" t="s">
        <v>369</v>
      </c>
      <c r="N444" s="6826"/>
      <c r="O444" s="7250" t="s">
        <v>369</v>
      </c>
      <c r="P444" s="6826"/>
      <c r="Q444" s="7250" t="s">
        <v>369</v>
      </c>
      <c r="R444" s="6659" t="s">
        <v>155</v>
      </c>
      <c r="S444" s="6557"/>
      <c r="T444" s="2468"/>
      <c r="U444" s="276"/>
      <c r="V444" s="99"/>
      <c r="W444" s="138"/>
      <c r="X444" s="138"/>
      <c r="Y444" s="299" t="s">
        <v>193</v>
      </c>
      <c r="Z444" s="264"/>
      <c r="AA444" s="277"/>
      <c r="AB444" s="187"/>
    </row>
    <row r="445" spans="1:29" ht="19.899999999999999" customHeight="1">
      <c r="A445" s="11"/>
      <c r="B445" s="5590"/>
      <c r="C445" s="5598"/>
      <c r="D445" s="9598" t="s">
        <v>137</v>
      </c>
      <c r="E445" s="9600"/>
      <c r="F445" s="492" t="s">
        <v>344</v>
      </c>
      <c r="G445" s="253"/>
      <c r="H445" s="286"/>
      <c r="I445" s="9579" t="s">
        <v>138</v>
      </c>
      <c r="J445" s="9581"/>
      <c r="K445" s="492" t="s">
        <v>344</v>
      </c>
      <c r="L445" s="6753"/>
      <c r="M445" s="7249"/>
      <c r="N445" s="6825"/>
      <c r="O445" s="7355"/>
      <c r="P445" s="6922"/>
      <c r="Q445" s="7245"/>
      <c r="R445" s="6659" t="s">
        <v>155</v>
      </c>
      <c r="S445" s="6561"/>
      <c r="T445" s="2468"/>
      <c r="U445" s="276"/>
      <c r="V445" s="99"/>
      <c r="W445" s="138"/>
      <c r="X445" s="138"/>
      <c r="Y445" s="299" t="s">
        <v>193</v>
      </c>
      <c r="Z445" s="264"/>
      <c r="AA445" s="277"/>
      <c r="AB445" s="187"/>
    </row>
    <row r="446" spans="1:29" ht="19.899999999999999" customHeight="1">
      <c r="A446" s="11"/>
      <c r="B446" s="5590"/>
      <c r="C446" s="5598"/>
      <c r="D446" s="9598" t="s">
        <v>140</v>
      </c>
      <c r="E446" s="9600"/>
      <c r="F446" s="492" t="s">
        <v>344</v>
      </c>
      <c r="G446" s="253"/>
      <c r="H446" s="286"/>
      <c r="I446" s="9582" t="s">
        <v>141</v>
      </c>
      <c r="J446" s="9583"/>
      <c r="K446" s="492" t="s">
        <v>344</v>
      </c>
      <c r="L446" s="6752"/>
      <c r="M446" s="7263"/>
      <c r="N446" s="6848"/>
      <c r="O446" s="7365"/>
      <c r="P446" s="6901"/>
      <c r="Q446" s="7459"/>
      <c r="R446" s="6659" t="s">
        <v>155</v>
      </c>
      <c r="S446" s="6632"/>
      <c r="T446" s="2468"/>
      <c r="U446" s="276"/>
      <c r="V446" s="99"/>
      <c r="W446" s="138"/>
      <c r="X446" s="138"/>
      <c r="Y446" s="299" t="s">
        <v>193</v>
      </c>
      <c r="Z446" s="264"/>
      <c r="AA446" s="277"/>
      <c r="AB446" s="187"/>
    </row>
    <row r="447" spans="1:29" ht="19.899999999999999" customHeight="1">
      <c r="A447" s="11"/>
      <c r="B447" s="5590"/>
      <c r="C447" s="5598"/>
      <c r="D447" s="9598" t="s">
        <v>143</v>
      </c>
      <c r="E447" s="9600"/>
      <c r="F447" s="492" t="s">
        <v>344</v>
      </c>
      <c r="G447" s="253"/>
      <c r="H447" s="286"/>
      <c r="I447" s="9582" t="s">
        <v>144</v>
      </c>
      <c r="J447" s="9583"/>
      <c r="K447" s="492" t="s">
        <v>344</v>
      </c>
      <c r="L447" s="6754"/>
      <c r="M447" s="7250"/>
      <c r="N447" s="6826"/>
      <c r="O447" s="7356"/>
      <c r="P447" s="6826"/>
      <c r="Q447" s="7356"/>
      <c r="R447" s="6659" t="s">
        <v>155</v>
      </c>
      <c r="S447" s="6557"/>
      <c r="T447" s="2468"/>
      <c r="U447" s="276"/>
      <c r="V447" s="99"/>
      <c r="W447" s="138"/>
      <c r="X447" s="138"/>
      <c r="Y447" s="299" t="s">
        <v>193</v>
      </c>
      <c r="Z447" s="264"/>
      <c r="AA447" s="277"/>
      <c r="AB447" s="187"/>
    </row>
    <row r="448" spans="1:29" ht="19.899999999999999" customHeight="1">
      <c r="A448" s="11"/>
      <c r="B448" s="5590"/>
      <c r="C448" s="5598"/>
      <c r="D448" s="9598" t="s">
        <v>146</v>
      </c>
      <c r="E448" s="9600"/>
      <c r="F448" s="492" t="s">
        <v>344</v>
      </c>
      <c r="G448" s="253"/>
      <c r="H448" s="286"/>
      <c r="I448" s="9582" t="s">
        <v>147</v>
      </c>
      <c r="J448" s="9583"/>
      <c r="K448" s="492" t="s">
        <v>344</v>
      </c>
      <c r="L448" s="6754"/>
      <c r="M448" s="7250"/>
      <c r="N448" s="6826"/>
      <c r="O448" s="7356"/>
      <c r="P448" s="6826"/>
      <c r="Q448" s="7356"/>
      <c r="R448" s="6659" t="s">
        <v>155</v>
      </c>
      <c r="S448" s="6557"/>
      <c r="T448" s="2468"/>
      <c r="U448" s="276"/>
      <c r="V448" s="99"/>
      <c r="W448" s="138"/>
      <c r="X448" s="138"/>
      <c r="Y448" s="299" t="s">
        <v>193</v>
      </c>
      <c r="Z448" s="264"/>
      <c r="AA448" s="277"/>
      <c r="AB448" s="187"/>
    </row>
    <row r="449" spans="1:29" ht="19.899999999999999" customHeight="1">
      <c r="A449" s="11"/>
      <c r="B449" s="5590"/>
      <c r="C449" s="5598"/>
      <c r="D449" s="9598" t="s">
        <v>149</v>
      </c>
      <c r="E449" s="9600"/>
      <c r="F449" s="492" t="s">
        <v>344</v>
      </c>
      <c r="G449" s="253"/>
      <c r="H449" s="286"/>
      <c r="I449" s="9582" t="s">
        <v>150</v>
      </c>
      <c r="J449" s="9583"/>
      <c r="K449" s="492" t="s">
        <v>344</v>
      </c>
      <c r="L449" s="6754"/>
      <c r="M449" s="7250"/>
      <c r="N449" s="6826"/>
      <c r="O449" s="7356"/>
      <c r="P449" s="6826"/>
      <c r="Q449" s="7356"/>
      <c r="R449" s="6659" t="s">
        <v>155</v>
      </c>
      <c r="S449" s="6557"/>
      <c r="T449" s="2468"/>
      <c r="U449" s="276"/>
      <c r="V449" s="99"/>
      <c r="W449" s="138"/>
      <c r="X449" s="138"/>
      <c r="Y449" s="299" t="s">
        <v>193</v>
      </c>
      <c r="Z449" s="264"/>
      <c r="AA449" s="277"/>
      <c r="AB449" s="187"/>
    </row>
    <row r="450" spans="1:29" ht="20.100000000000001" customHeight="1">
      <c r="A450" s="11"/>
      <c r="B450" s="1360"/>
      <c r="C450" s="9587" t="s">
        <v>393</v>
      </c>
      <c r="D450" s="9587"/>
      <c r="E450" s="9587"/>
      <c r="F450" s="492" t="s">
        <v>344</v>
      </c>
      <c r="G450" s="337"/>
      <c r="H450" s="9587" t="s">
        <v>394</v>
      </c>
      <c r="I450" s="9587"/>
      <c r="J450" s="9587"/>
      <c r="K450" s="492" t="s">
        <v>344</v>
      </c>
      <c r="L450" s="6763" t="str">
        <f>IF(COUNTBLANK(L451:L456)&gt;0,"미취합법인有",SUM(L451:L456))</f>
        <v>미취합법인有</v>
      </c>
      <c r="M450" s="7233"/>
      <c r="N450" s="6847" t="str">
        <f>IF(COUNTBLANK(N451:N456)&gt;0,"미취합법인有",SUM(N451:N456))</f>
        <v>미취합법인有</v>
      </c>
      <c r="O450" s="7353"/>
      <c r="P450" s="6913" t="str">
        <f>IF(COUNTBLANK(P451:P456)&gt;0,"미취합법인有",SUM(P451:P456))</f>
        <v>미취합법인有</v>
      </c>
      <c r="Q450" s="7463"/>
      <c r="R450" s="6659" t="s">
        <v>155</v>
      </c>
      <c r="S450" s="6561"/>
      <c r="T450" s="498" t="s">
        <v>395</v>
      </c>
      <c r="U450" s="367" t="s">
        <v>396</v>
      </c>
      <c r="V450" s="99" t="s">
        <v>189</v>
      </c>
      <c r="W450" s="138"/>
      <c r="X450" s="138"/>
      <c r="Y450" s="299" t="s">
        <v>193</v>
      </c>
      <c r="Z450" s="265" t="s">
        <v>397</v>
      </c>
      <c r="AA450" s="265" t="s">
        <v>367</v>
      </c>
      <c r="AB450" s="187"/>
      <c r="AC450" s="6305"/>
    </row>
    <row r="451" spans="1:29" ht="19.899999999999999" customHeight="1">
      <c r="A451" s="11"/>
      <c r="B451" s="5590"/>
      <c r="C451" s="9647" t="s">
        <v>134</v>
      </c>
      <c r="D451" s="9648"/>
      <c r="E451" s="9649"/>
      <c r="F451" s="492" t="s">
        <v>344</v>
      </c>
      <c r="G451" s="253"/>
      <c r="H451" s="9579" t="s">
        <v>135</v>
      </c>
      <c r="I451" s="9580"/>
      <c r="J451" s="9581"/>
      <c r="K451" s="492" t="s">
        <v>344</v>
      </c>
      <c r="L451" s="6754"/>
      <c r="M451" s="7250" t="s">
        <v>369</v>
      </c>
      <c r="N451" s="6826"/>
      <c r="O451" s="7250" t="s">
        <v>369</v>
      </c>
      <c r="P451" s="6826"/>
      <c r="Q451" s="7250" t="s">
        <v>369</v>
      </c>
      <c r="R451" s="6659" t="s">
        <v>155</v>
      </c>
      <c r="S451" s="6557"/>
      <c r="T451" s="1033"/>
      <c r="U451" s="263"/>
      <c r="V451" s="99"/>
      <c r="W451" s="138"/>
      <c r="X451" s="138"/>
      <c r="Y451" s="299" t="s">
        <v>193</v>
      </c>
      <c r="Z451" s="264"/>
      <c r="AA451" s="277"/>
      <c r="AB451" s="187"/>
    </row>
    <row r="452" spans="1:29" ht="19.899999999999999" customHeight="1">
      <c r="A452" s="11"/>
      <c r="B452" s="5590"/>
      <c r="C452" s="9647" t="s">
        <v>137</v>
      </c>
      <c r="D452" s="9648"/>
      <c r="E452" s="9649"/>
      <c r="F452" s="492" t="s">
        <v>344</v>
      </c>
      <c r="G452" s="253"/>
      <c r="H452" s="9579" t="s">
        <v>138</v>
      </c>
      <c r="I452" s="9580"/>
      <c r="J452" s="9581"/>
      <c r="K452" s="492" t="s">
        <v>344</v>
      </c>
      <c r="L452" s="6754"/>
      <c r="M452" s="7250"/>
      <c r="N452" s="6826"/>
      <c r="O452" s="7356"/>
      <c r="P452" s="6826"/>
      <c r="Q452" s="7356"/>
      <c r="R452" s="6659" t="s">
        <v>155</v>
      </c>
      <c r="S452" s="6557"/>
      <c r="T452" s="1033"/>
      <c r="U452" s="263"/>
      <c r="V452" s="99"/>
      <c r="W452" s="138"/>
      <c r="X452" s="138"/>
      <c r="Y452" s="299" t="s">
        <v>193</v>
      </c>
      <c r="Z452" s="264"/>
      <c r="AA452" s="277"/>
      <c r="AB452" s="187"/>
    </row>
    <row r="453" spans="1:29" ht="19.899999999999999" customHeight="1">
      <c r="A453" s="11"/>
      <c r="B453" s="5590"/>
      <c r="C453" s="9647" t="s">
        <v>140</v>
      </c>
      <c r="D453" s="9648"/>
      <c r="E453" s="9649"/>
      <c r="F453" s="492" t="s">
        <v>344</v>
      </c>
      <c r="G453" s="253"/>
      <c r="H453" s="9579" t="s">
        <v>141</v>
      </c>
      <c r="I453" s="9580"/>
      <c r="J453" s="9581"/>
      <c r="K453" s="492" t="s">
        <v>344</v>
      </c>
      <c r="L453" s="6754"/>
      <c r="M453" s="7250"/>
      <c r="N453" s="6826"/>
      <c r="O453" s="7356"/>
      <c r="P453" s="6826"/>
      <c r="Q453" s="7356"/>
      <c r="R453" s="6659" t="s">
        <v>155</v>
      </c>
      <c r="S453" s="6557"/>
      <c r="T453" s="1033"/>
      <c r="U453" s="263"/>
      <c r="V453" s="99"/>
      <c r="W453" s="138"/>
      <c r="X453" s="138"/>
      <c r="Y453" s="299" t="s">
        <v>193</v>
      </c>
      <c r="Z453" s="264"/>
      <c r="AA453" s="277"/>
      <c r="AB453" s="187"/>
    </row>
    <row r="454" spans="1:29" ht="19.899999999999999" customHeight="1">
      <c r="A454" s="11"/>
      <c r="B454" s="5590"/>
      <c r="C454" s="9647" t="s">
        <v>143</v>
      </c>
      <c r="D454" s="9648"/>
      <c r="E454" s="9649"/>
      <c r="F454" s="492" t="s">
        <v>344</v>
      </c>
      <c r="G454" s="253"/>
      <c r="H454" s="9579" t="s">
        <v>144</v>
      </c>
      <c r="I454" s="9580"/>
      <c r="J454" s="9581"/>
      <c r="K454" s="492" t="s">
        <v>344</v>
      </c>
      <c r="L454" s="6754"/>
      <c r="M454" s="7250"/>
      <c r="N454" s="6826"/>
      <c r="O454" s="7356"/>
      <c r="P454" s="6826"/>
      <c r="Q454" s="7356"/>
      <c r="R454" s="6659" t="s">
        <v>155</v>
      </c>
      <c r="S454" s="6557"/>
      <c r="T454" s="1033"/>
      <c r="U454" s="263"/>
      <c r="V454" s="99"/>
      <c r="W454" s="138"/>
      <c r="X454" s="138"/>
      <c r="Y454" s="299" t="s">
        <v>193</v>
      </c>
      <c r="Z454" s="264"/>
      <c r="AA454" s="277"/>
      <c r="AB454" s="187"/>
    </row>
    <row r="455" spans="1:29" ht="19.899999999999999" customHeight="1">
      <c r="A455" s="11"/>
      <c r="B455" s="5590"/>
      <c r="C455" s="9647" t="s">
        <v>146</v>
      </c>
      <c r="D455" s="9648"/>
      <c r="E455" s="9649"/>
      <c r="F455" s="492" t="s">
        <v>344</v>
      </c>
      <c r="G455" s="253"/>
      <c r="H455" s="9579" t="s">
        <v>147</v>
      </c>
      <c r="I455" s="9580"/>
      <c r="J455" s="9581"/>
      <c r="K455" s="492" t="s">
        <v>344</v>
      </c>
      <c r="L455" s="6754"/>
      <c r="M455" s="7250"/>
      <c r="N455" s="6826"/>
      <c r="O455" s="7356"/>
      <c r="P455" s="6826"/>
      <c r="Q455" s="7356"/>
      <c r="R455" s="6659" t="s">
        <v>155</v>
      </c>
      <c r="S455" s="6557"/>
      <c r="T455" s="1033"/>
      <c r="U455" s="263"/>
      <c r="V455" s="99"/>
      <c r="W455" s="138"/>
      <c r="X455" s="138"/>
      <c r="Y455" s="299" t="s">
        <v>193</v>
      </c>
      <c r="Z455" s="264"/>
      <c r="AA455" s="277"/>
      <c r="AB455" s="187"/>
    </row>
    <row r="456" spans="1:29" ht="19.899999999999999" customHeight="1">
      <c r="A456" s="11"/>
      <c r="B456" s="5590"/>
      <c r="C456" s="9647" t="s">
        <v>149</v>
      </c>
      <c r="D456" s="9648"/>
      <c r="E456" s="9649"/>
      <c r="F456" s="492" t="s">
        <v>344</v>
      </c>
      <c r="G456" s="253"/>
      <c r="H456" s="9579" t="s">
        <v>150</v>
      </c>
      <c r="I456" s="9580"/>
      <c r="J456" s="9581"/>
      <c r="K456" s="492" t="s">
        <v>344</v>
      </c>
      <c r="L456" s="6754"/>
      <c r="M456" s="7250"/>
      <c r="N456" s="6826"/>
      <c r="O456" s="7356"/>
      <c r="P456" s="6826"/>
      <c r="Q456" s="7356"/>
      <c r="R456" s="6659" t="s">
        <v>155</v>
      </c>
      <c r="S456" s="6557"/>
      <c r="T456" s="1033"/>
      <c r="U456" s="263"/>
      <c r="V456" s="99"/>
      <c r="W456" s="138"/>
      <c r="X456" s="138"/>
      <c r="Y456" s="299" t="s">
        <v>193</v>
      </c>
      <c r="Z456" s="264"/>
      <c r="AA456" s="277"/>
      <c r="AB456" s="187"/>
    </row>
    <row r="457" spans="1:29" ht="20.100000000000001" customHeight="1">
      <c r="A457" s="11"/>
      <c r="B457" s="1360"/>
      <c r="C457" s="5598"/>
      <c r="D457" s="9637" t="s">
        <v>398</v>
      </c>
      <c r="E457" s="9640"/>
      <c r="F457" s="492" t="s">
        <v>344</v>
      </c>
      <c r="G457" s="337"/>
      <c r="H457" s="358"/>
      <c r="I457" s="9637" t="s">
        <v>399</v>
      </c>
      <c r="J457" s="9640"/>
      <c r="K457" s="492" t="s">
        <v>344</v>
      </c>
      <c r="L457" s="6763" t="str">
        <f>IF(COUNTBLANK(L458:L463)&gt;0,"미취합법인有",SUM(L458:L463))</f>
        <v>미취합법인有</v>
      </c>
      <c r="M457" s="7233"/>
      <c r="N457" s="6847" t="str">
        <f>IF(COUNTBLANK(N458:N463)&gt;0,"미취합법인有",SUM(N458:N463))</f>
        <v>미취합법인有</v>
      </c>
      <c r="O457" s="7353"/>
      <c r="P457" s="6913" t="str">
        <f>IF(COUNTBLANK(P458:P463)&gt;0,"미취합법인有",SUM(P458:P463))</f>
        <v>미취합법인有</v>
      </c>
      <c r="Q457" s="7463"/>
      <c r="R457" s="6659" t="s">
        <v>155</v>
      </c>
      <c r="S457" s="6561"/>
      <c r="T457" s="2475"/>
      <c r="U457" s="162"/>
      <c r="V457" s="99" t="s">
        <v>189</v>
      </c>
      <c r="W457" s="138"/>
      <c r="X457" s="138"/>
      <c r="Y457" s="299" t="s">
        <v>193</v>
      </c>
      <c r="Z457" s="265" t="s">
        <v>397</v>
      </c>
      <c r="AA457" s="265"/>
      <c r="AB457" s="187"/>
      <c r="AC457" s="6305"/>
    </row>
    <row r="458" spans="1:29" ht="19.899999999999999" customHeight="1">
      <c r="A458" s="11"/>
      <c r="B458" s="5590"/>
      <c r="C458" s="5598"/>
      <c r="D458" s="9598" t="s">
        <v>134</v>
      </c>
      <c r="E458" s="9600"/>
      <c r="F458" s="492" t="s">
        <v>344</v>
      </c>
      <c r="G458" s="253"/>
      <c r="H458" s="286"/>
      <c r="I458" s="9579" t="s">
        <v>135</v>
      </c>
      <c r="J458" s="9581"/>
      <c r="K458" s="492" t="s">
        <v>344</v>
      </c>
      <c r="L458" s="6754"/>
      <c r="M458" s="7250" t="s">
        <v>369</v>
      </c>
      <c r="N458" s="6826"/>
      <c r="O458" s="7250" t="s">
        <v>369</v>
      </c>
      <c r="P458" s="6826"/>
      <c r="Q458" s="7250" t="s">
        <v>369</v>
      </c>
      <c r="R458" s="6659" t="s">
        <v>155</v>
      </c>
      <c r="S458" s="6557"/>
      <c r="T458" s="2468"/>
      <c r="U458" s="276"/>
      <c r="V458" s="99"/>
      <c r="W458" s="138"/>
      <c r="X458" s="138"/>
      <c r="Y458" s="299" t="s">
        <v>193</v>
      </c>
      <c r="Z458" s="264"/>
      <c r="AA458" s="277"/>
      <c r="AB458" s="187"/>
    </row>
    <row r="459" spans="1:29" ht="19.899999999999999" customHeight="1">
      <c r="A459" s="11"/>
      <c r="B459" s="5590"/>
      <c r="C459" s="5598"/>
      <c r="D459" s="9598" t="s">
        <v>137</v>
      </c>
      <c r="E459" s="9600"/>
      <c r="F459" s="492" t="s">
        <v>344</v>
      </c>
      <c r="G459" s="253"/>
      <c r="H459" s="286"/>
      <c r="I459" s="9579" t="s">
        <v>138</v>
      </c>
      <c r="J459" s="9581"/>
      <c r="K459" s="492" t="s">
        <v>344</v>
      </c>
      <c r="L459" s="6753"/>
      <c r="M459" s="7249"/>
      <c r="N459" s="6825"/>
      <c r="O459" s="7355"/>
      <c r="P459" s="6922"/>
      <c r="Q459" s="7245"/>
      <c r="R459" s="6659" t="s">
        <v>155</v>
      </c>
      <c r="S459" s="6561"/>
      <c r="T459" s="2468"/>
      <c r="U459" s="276"/>
      <c r="V459" s="99"/>
      <c r="W459" s="138"/>
      <c r="X459" s="138"/>
      <c r="Y459" s="299" t="s">
        <v>193</v>
      </c>
      <c r="Z459" s="264"/>
      <c r="AA459" s="277"/>
      <c r="AB459" s="187"/>
    </row>
    <row r="460" spans="1:29" ht="19.899999999999999" customHeight="1">
      <c r="A460" s="11"/>
      <c r="B460" s="5590"/>
      <c r="C460" s="5598"/>
      <c r="D460" s="9598" t="s">
        <v>140</v>
      </c>
      <c r="E460" s="9600"/>
      <c r="F460" s="492" t="s">
        <v>344</v>
      </c>
      <c r="G460" s="253"/>
      <c r="H460" s="286"/>
      <c r="I460" s="9582" t="s">
        <v>141</v>
      </c>
      <c r="J460" s="9583"/>
      <c r="K460" s="492" t="s">
        <v>344</v>
      </c>
      <c r="L460" s="6752"/>
      <c r="M460" s="7263"/>
      <c r="N460" s="6848"/>
      <c r="O460" s="7365"/>
      <c r="P460" s="6901"/>
      <c r="Q460" s="7459"/>
      <c r="R460" s="6659" t="s">
        <v>155</v>
      </c>
      <c r="S460" s="6632"/>
      <c r="T460" s="2468"/>
      <c r="U460" s="276"/>
      <c r="V460" s="99"/>
      <c r="W460" s="138"/>
      <c r="X460" s="138"/>
      <c r="Y460" s="299" t="s">
        <v>193</v>
      </c>
      <c r="Z460" s="264"/>
      <c r="AA460" s="277"/>
      <c r="AB460" s="187"/>
    </row>
    <row r="461" spans="1:29" ht="19.899999999999999" customHeight="1">
      <c r="A461" s="11"/>
      <c r="B461" s="5590"/>
      <c r="C461" s="5598"/>
      <c r="D461" s="9598" t="s">
        <v>143</v>
      </c>
      <c r="E461" s="9600"/>
      <c r="F461" s="492" t="s">
        <v>344</v>
      </c>
      <c r="G461" s="253"/>
      <c r="H461" s="286"/>
      <c r="I461" s="9582" t="s">
        <v>144</v>
      </c>
      <c r="J461" s="9583"/>
      <c r="K461" s="492" t="s">
        <v>344</v>
      </c>
      <c r="L461" s="6754"/>
      <c r="M461" s="7250"/>
      <c r="N461" s="6826"/>
      <c r="O461" s="7356"/>
      <c r="P461" s="6826"/>
      <c r="Q461" s="7356"/>
      <c r="R461" s="6659" t="s">
        <v>155</v>
      </c>
      <c r="S461" s="6557"/>
      <c r="T461" s="2468"/>
      <c r="U461" s="276"/>
      <c r="V461" s="99"/>
      <c r="W461" s="138"/>
      <c r="X461" s="138"/>
      <c r="Y461" s="299" t="s">
        <v>193</v>
      </c>
      <c r="Z461" s="264"/>
      <c r="AA461" s="277"/>
      <c r="AB461" s="187"/>
    </row>
    <row r="462" spans="1:29" ht="19.899999999999999" customHeight="1">
      <c r="A462" s="11"/>
      <c r="B462" s="5590"/>
      <c r="C462" s="5598"/>
      <c r="D462" s="9598" t="s">
        <v>146</v>
      </c>
      <c r="E462" s="9600"/>
      <c r="F462" s="492" t="s">
        <v>344</v>
      </c>
      <c r="G462" s="253"/>
      <c r="H462" s="286"/>
      <c r="I462" s="9582" t="s">
        <v>147</v>
      </c>
      <c r="J462" s="9583"/>
      <c r="K462" s="492" t="s">
        <v>344</v>
      </c>
      <c r="L462" s="6754"/>
      <c r="M462" s="7250"/>
      <c r="N462" s="6826"/>
      <c r="O462" s="7356"/>
      <c r="P462" s="6826"/>
      <c r="Q462" s="7356"/>
      <c r="R462" s="6659" t="s">
        <v>155</v>
      </c>
      <c r="S462" s="6557"/>
      <c r="T462" s="2468"/>
      <c r="U462" s="276"/>
      <c r="V462" s="99"/>
      <c r="W462" s="138"/>
      <c r="X462" s="138"/>
      <c r="Y462" s="299" t="s">
        <v>193</v>
      </c>
      <c r="Z462" s="264"/>
      <c r="AA462" s="277"/>
      <c r="AB462" s="187"/>
    </row>
    <row r="463" spans="1:29" ht="19.899999999999999" customHeight="1">
      <c r="A463" s="11"/>
      <c r="B463" s="5590"/>
      <c r="C463" s="5598"/>
      <c r="D463" s="9598" t="s">
        <v>149</v>
      </c>
      <c r="E463" s="9600"/>
      <c r="F463" s="492" t="s">
        <v>344</v>
      </c>
      <c r="G463" s="253"/>
      <c r="H463" s="286"/>
      <c r="I463" s="9582" t="s">
        <v>150</v>
      </c>
      <c r="J463" s="9583"/>
      <c r="K463" s="492" t="s">
        <v>344</v>
      </c>
      <c r="L463" s="6754"/>
      <c r="M463" s="7250"/>
      <c r="N463" s="6826"/>
      <c r="O463" s="7356"/>
      <c r="P463" s="6826"/>
      <c r="Q463" s="7356"/>
      <c r="R463" s="6659" t="s">
        <v>155</v>
      </c>
      <c r="S463" s="6557"/>
      <c r="T463" s="2468"/>
      <c r="U463" s="276"/>
      <c r="V463" s="99"/>
      <c r="W463" s="138"/>
      <c r="X463" s="138"/>
      <c r="Y463" s="299" t="s">
        <v>193</v>
      </c>
      <c r="Z463" s="264"/>
      <c r="AA463" s="277"/>
      <c r="AB463" s="187"/>
    </row>
    <row r="464" spans="1:29" ht="20.100000000000001" customHeight="1">
      <c r="A464" s="11"/>
      <c r="B464" s="1360"/>
      <c r="C464" s="5598"/>
      <c r="D464" s="9637" t="s">
        <v>400</v>
      </c>
      <c r="E464" s="9640"/>
      <c r="F464" s="492" t="s">
        <v>344</v>
      </c>
      <c r="G464" s="337"/>
      <c r="H464" s="358"/>
      <c r="I464" s="9637" t="s">
        <v>401</v>
      </c>
      <c r="J464" s="9640"/>
      <c r="K464" s="492" t="s">
        <v>344</v>
      </c>
      <c r="L464" s="6763" t="str">
        <f>IF(COUNTBLANK(L465:L470)&gt;0,"미취합법인有",SUM(L465:L470))</f>
        <v>미취합법인有</v>
      </c>
      <c r="M464" s="7233"/>
      <c r="N464" s="6847" t="str">
        <f>IF(COUNTBLANK(N465:N470)&gt;0,"미취합법인有",SUM(N465:N470))</f>
        <v>미취합법인有</v>
      </c>
      <c r="O464" s="7353"/>
      <c r="P464" s="6913" t="str">
        <f>IF(COUNTBLANK(P465:P470)&gt;0,"미취합법인有",SUM(P465:P470))</f>
        <v>미취합법인有</v>
      </c>
      <c r="Q464" s="7463"/>
      <c r="R464" s="6659" t="s">
        <v>155</v>
      </c>
      <c r="S464" s="6561"/>
      <c r="T464" s="782"/>
      <c r="U464" s="162"/>
      <c r="V464" s="99" t="s">
        <v>189</v>
      </c>
      <c r="W464" s="138"/>
      <c r="X464" s="138"/>
      <c r="Y464" s="299" t="s">
        <v>193</v>
      </c>
      <c r="Z464" s="265" t="s">
        <v>397</v>
      </c>
      <c r="AA464" s="265"/>
      <c r="AB464" s="187"/>
      <c r="AC464" s="6305"/>
    </row>
    <row r="465" spans="1:29" ht="19.899999999999999" customHeight="1">
      <c r="A465" s="11"/>
      <c r="B465" s="5590"/>
      <c r="C465" s="5598"/>
      <c r="D465" s="9598" t="s">
        <v>134</v>
      </c>
      <c r="E465" s="9600"/>
      <c r="F465" s="492" t="s">
        <v>344</v>
      </c>
      <c r="G465" s="253"/>
      <c r="H465" s="286"/>
      <c r="I465" s="9579" t="s">
        <v>135</v>
      </c>
      <c r="J465" s="9581"/>
      <c r="K465" s="492" t="s">
        <v>344</v>
      </c>
      <c r="L465" s="6754"/>
      <c r="M465" s="7250" t="s">
        <v>369</v>
      </c>
      <c r="N465" s="6826"/>
      <c r="O465" s="7250" t="s">
        <v>369</v>
      </c>
      <c r="P465" s="6826"/>
      <c r="Q465" s="7250" t="s">
        <v>369</v>
      </c>
      <c r="R465" s="6659" t="s">
        <v>155</v>
      </c>
      <c r="S465" s="6557"/>
      <c r="T465" s="2468"/>
      <c r="U465" s="276"/>
      <c r="V465" s="99"/>
      <c r="W465" s="138"/>
      <c r="X465" s="138"/>
      <c r="Y465" s="299" t="s">
        <v>193</v>
      </c>
      <c r="Z465" s="264"/>
      <c r="AA465" s="277"/>
      <c r="AB465" s="187"/>
    </row>
    <row r="466" spans="1:29" ht="19.899999999999999" customHeight="1">
      <c r="A466" s="11"/>
      <c r="B466" s="5590"/>
      <c r="C466" s="5598"/>
      <c r="D466" s="9598" t="s">
        <v>137</v>
      </c>
      <c r="E466" s="9600"/>
      <c r="F466" s="492" t="s">
        <v>344</v>
      </c>
      <c r="G466" s="253"/>
      <c r="H466" s="286"/>
      <c r="I466" s="9579" t="s">
        <v>138</v>
      </c>
      <c r="J466" s="9581"/>
      <c r="K466" s="492" t="s">
        <v>344</v>
      </c>
      <c r="L466" s="6753"/>
      <c r="M466" s="7249"/>
      <c r="N466" s="6825"/>
      <c r="O466" s="7355"/>
      <c r="P466" s="6922"/>
      <c r="Q466" s="7245"/>
      <c r="R466" s="6659" t="s">
        <v>155</v>
      </c>
      <c r="S466" s="6561"/>
      <c r="T466" s="2468"/>
      <c r="U466" s="276"/>
      <c r="V466" s="99"/>
      <c r="W466" s="138"/>
      <c r="X466" s="138"/>
      <c r="Y466" s="299" t="s">
        <v>193</v>
      </c>
      <c r="Z466" s="264"/>
      <c r="AA466" s="277"/>
      <c r="AB466" s="187"/>
    </row>
    <row r="467" spans="1:29" ht="19.899999999999999" customHeight="1">
      <c r="A467" s="11"/>
      <c r="B467" s="5590"/>
      <c r="C467" s="5598"/>
      <c r="D467" s="9598" t="s">
        <v>140</v>
      </c>
      <c r="E467" s="9600"/>
      <c r="F467" s="492" t="s">
        <v>344</v>
      </c>
      <c r="G467" s="253"/>
      <c r="H467" s="286"/>
      <c r="I467" s="9582" t="s">
        <v>141</v>
      </c>
      <c r="J467" s="9583"/>
      <c r="K467" s="492" t="s">
        <v>344</v>
      </c>
      <c r="L467" s="6752"/>
      <c r="M467" s="7263"/>
      <c r="N467" s="6848"/>
      <c r="O467" s="7365"/>
      <c r="P467" s="6901"/>
      <c r="Q467" s="7459"/>
      <c r="R467" s="6659" t="s">
        <v>155</v>
      </c>
      <c r="S467" s="6632"/>
      <c r="T467" s="2468"/>
      <c r="U467" s="276"/>
      <c r="V467" s="99"/>
      <c r="W467" s="138"/>
      <c r="X467" s="138"/>
      <c r="Y467" s="299" t="s">
        <v>193</v>
      </c>
      <c r="Z467" s="264"/>
      <c r="AA467" s="277"/>
      <c r="AB467" s="187"/>
    </row>
    <row r="468" spans="1:29" ht="19.899999999999999" customHeight="1">
      <c r="A468" s="11"/>
      <c r="B468" s="5590"/>
      <c r="C468" s="5598"/>
      <c r="D468" s="9598" t="s">
        <v>143</v>
      </c>
      <c r="E468" s="9600"/>
      <c r="F468" s="492" t="s">
        <v>344</v>
      </c>
      <c r="G468" s="253"/>
      <c r="H468" s="286"/>
      <c r="I468" s="9582" t="s">
        <v>144</v>
      </c>
      <c r="J468" s="9583"/>
      <c r="K468" s="492" t="s">
        <v>344</v>
      </c>
      <c r="L468" s="6754"/>
      <c r="M468" s="7250"/>
      <c r="N468" s="6826"/>
      <c r="O468" s="7356"/>
      <c r="P468" s="6826"/>
      <c r="Q468" s="7356"/>
      <c r="R468" s="6659" t="s">
        <v>155</v>
      </c>
      <c r="S468" s="6557"/>
      <c r="T468" s="2468"/>
      <c r="U468" s="276"/>
      <c r="V468" s="99"/>
      <c r="W468" s="138"/>
      <c r="X468" s="138"/>
      <c r="Y468" s="299" t="s">
        <v>193</v>
      </c>
      <c r="Z468" s="264"/>
      <c r="AA468" s="277"/>
      <c r="AB468" s="187"/>
    </row>
    <row r="469" spans="1:29" ht="19.899999999999999" customHeight="1">
      <c r="A469" s="11"/>
      <c r="B469" s="5590"/>
      <c r="C469" s="5598"/>
      <c r="D469" s="9598" t="s">
        <v>146</v>
      </c>
      <c r="E469" s="9600"/>
      <c r="F469" s="492" t="s">
        <v>344</v>
      </c>
      <c r="G469" s="253"/>
      <c r="H469" s="286"/>
      <c r="I469" s="9582" t="s">
        <v>147</v>
      </c>
      <c r="J469" s="9583"/>
      <c r="K469" s="492" t="s">
        <v>344</v>
      </c>
      <c r="L469" s="6754"/>
      <c r="M469" s="7250"/>
      <c r="N469" s="6826"/>
      <c r="O469" s="7356"/>
      <c r="P469" s="6826"/>
      <c r="Q469" s="7356"/>
      <c r="R469" s="6659" t="s">
        <v>155</v>
      </c>
      <c r="S469" s="6557"/>
      <c r="T469" s="2468"/>
      <c r="U469" s="276"/>
      <c r="V469" s="99"/>
      <c r="W469" s="138"/>
      <c r="X469" s="138"/>
      <c r="Y469" s="299" t="s">
        <v>193</v>
      </c>
      <c r="Z469" s="264"/>
      <c r="AA469" s="277"/>
      <c r="AB469" s="187"/>
    </row>
    <row r="470" spans="1:29" ht="19.899999999999999" customHeight="1">
      <c r="A470" s="11"/>
      <c r="B470" s="5590"/>
      <c r="C470" s="5598"/>
      <c r="D470" s="9598" t="s">
        <v>149</v>
      </c>
      <c r="E470" s="9600"/>
      <c r="F470" s="492" t="s">
        <v>344</v>
      </c>
      <c r="G470" s="253"/>
      <c r="H470" s="286"/>
      <c r="I470" s="9582" t="s">
        <v>150</v>
      </c>
      <c r="J470" s="9583"/>
      <c r="K470" s="492" t="s">
        <v>344</v>
      </c>
      <c r="L470" s="6754"/>
      <c r="M470" s="7250"/>
      <c r="N470" s="6826"/>
      <c r="O470" s="7356"/>
      <c r="P470" s="6826"/>
      <c r="Q470" s="7356"/>
      <c r="R470" s="6659" t="s">
        <v>155</v>
      </c>
      <c r="S470" s="6557"/>
      <c r="T470" s="2468"/>
      <c r="U470" s="276"/>
      <c r="V470" s="99"/>
      <c r="W470" s="138"/>
      <c r="X470" s="138"/>
      <c r="Y470" s="299" t="s">
        <v>193</v>
      </c>
      <c r="Z470" s="264"/>
      <c r="AA470" s="277"/>
      <c r="AB470" s="187"/>
    </row>
    <row r="471" spans="1:29" ht="20.100000000000001" customHeight="1">
      <c r="A471" s="11"/>
      <c r="B471" s="1360"/>
      <c r="C471" s="5598"/>
      <c r="D471" s="9637" t="s">
        <v>402</v>
      </c>
      <c r="E471" s="9640"/>
      <c r="F471" s="492" t="s">
        <v>344</v>
      </c>
      <c r="G471" s="337"/>
      <c r="H471" s="358"/>
      <c r="I471" s="9637" t="s">
        <v>403</v>
      </c>
      <c r="J471" s="9640"/>
      <c r="K471" s="492" t="s">
        <v>344</v>
      </c>
      <c r="L471" s="6763" t="str">
        <f>IF(COUNTBLANK(L472:L477)&gt;0,"미취합법인有",SUM(L472:L477))</f>
        <v>미취합법인有</v>
      </c>
      <c r="M471" s="7233"/>
      <c r="N471" s="6847" t="str">
        <f>IF(COUNTBLANK(N472:N477)&gt;0,"미취합법인有",SUM(N472:N477))</f>
        <v>미취합법인有</v>
      </c>
      <c r="O471" s="7353"/>
      <c r="P471" s="6913" t="str">
        <f>IF(COUNTBLANK(P472:P477)&gt;0,"미취합법인有",SUM(P472:P477))</f>
        <v>미취합법인有</v>
      </c>
      <c r="Q471" s="7463"/>
      <c r="R471" s="6659" t="s">
        <v>155</v>
      </c>
      <c r="S471" s="6581"/>
      <c r="T471" s="6581"/>
      <c r="U471" s="162"/>
      <c r="V471" s="99" t="s">
        <v>189</v>
      </c>
      <c r="W471" s="138"/>
      <c r="X471" s="138"/>
      <c r="Y471" s="299" t="s">
        <v>193</v>
      </c>
      <c r="Z471" s="265" t="s">
        <v>397</v>
      </c>
      <c r="AA471" s="265"/>
      <c r="AB471" s="187"/>
      <c r="AC471" s="6305"/>
    </row>
    <row r="472" spans="1:29" ht="19.899999999999999" customHeight="1">
      <c r="A472" s="11"/>
      <c r="B472" s="5590"/>
      <c r="C472" s="5598"/>
      <c r="D472" s="9598" t="s">
        <v>134</v>
      </c>
      <c r="E472" s="9600"/>
      <c r="F472" s="492" t="s">
        <v>344</v>
      </c>
      <c r="G472" s="253"/>
      <c r="H472" s="286"/>
      <c r="I472" s="9579" t="s">
        <v>135</v>
      </c>
      <c r="J472" s="9581"/>
      <c r="K472" s="492" t="s">
        <v>344</v>
      </c>
      <c r="L472" s="6754"/>
      <c r="M472" s="7250" t="s">
        <v>369</v>
      </c>
      <c r="N472" s="6826"/>
      <c r="O472" s="7250" t="s">
        <v>369</v>
      </c>
      <c r="P472" s="6826"/>
      <c r="Q472" s="7250" t="s">
        <v>369</v>
      </c>
      <c r="R472" s="6659" t="s">
        <v>155</v>
      </c>
      <c r="S472" s="6557"/>
      <c r="T472" s="6581"/>
      <c r="U472" s="276"/>
      <c r="V472" s="99"/>
      <c r="W472" s="138"/>
      <c r="X472" s="138"/>
      <c r="Y472" s="299" t="s">
        <v>193</v>
      </c>
      <c r="Z472" s="264"/>
      <c r="AA472" s="277"/>
      <c r="AB472" s="187"/>
    </row>
    <row r="473" spans="1:29" ht="19.899999999999999" customHeight="1">
      <c r="A473" s="11"/>
      <c r="B473" s="5590"/>
      <c r="C473" s="5598"/>
      <c r="D473" s="9598" t="s">
        <v>137</v>
      </c>
      <c r="E473" s="9600"/>
      <c r="F473" s="492" t="s">
        <v>344</v>
      </c>
      <c r="G473" s="253"/>
      <c r="H473" s="286"/>
      <c r="I473" s="9579" t="s">
        <v>138</v>
      </c>
      <c r="J473" s="9581"/>
      <c r="K473" s="492" t="s">
        <v>344</v>
      </c>
      <c r="L473" s="6753"/>
      <c r="M473" s="7249"/>
      <c r="N473" s="6825"/>
      <c r="O473" s="7355"/>
      <c r="P473" s="6922"/>
      <c r="Q473" s="7245"/>
      <c r="R473" s="6659" t="s">
        <v>155</v>
      </c>
      <c r="S473" s="6581"/>
      <c r="T473" s="6581"/>
      <c r="U473" s="276"/>
      <c r="V473" s="99"/>
      <c r="W473" s="138"/>
      <c r="X473" s="138"/>
      <c r="Y473" s="299" t="s">
        <v>193</v>
      </c>
      <c r="Z473" s="264"/>
      <c r="AA473" s="277"/>
      <c r="AB473" s="187"/>
    </row>
    <row r="474" spans="1:29" ht="19.899999999999999" customHeight="1">
      <c r="A474" s="11"/>
      <c r="B474" s="5590"/>
      <c r="C474" s="5598"/>
      <c r="D474" s="9598" t="s">
        <v>140</v>
      </c>
      <c r="E474" s="9600"/>
      <c r="F474" s="492" t="s">
        <v>344</v>
      </c>
      <c r="G474" s="253"/>
      <c r="H474" s="286"/>
      <c r="I474" s="9582" t="s">
        <v>141</v>
      </c>
      <c r="J474" s="9583"/>
      <c r="K474" s="492" t="s">
        <v>344</v>
      </c>
      <c r="L474" s="6752"/>
      <c r="M474" s="7263"/>
      <c r="N474" s="6848"/>
      <c r="O474" s="7365"/>
      <c r="P474" s="6901"/>
      <c r="Q474" s="7459"/>
      <c r="R474" s="6659" t="s">
        <v>155</v>
      </c>
      <c r="S474" s="6632"/>
      <c r="T474" s="2468"/>
      <c r="U474" s="276"/>
      <c r="V474" s="99"/>
      <c r="W474" s="138"/>
      <c r="X474" s="138"/>
      <c r="Y474" s="299" t="s">
        <v>193</v>
      </c>
      <c r="Z474" s="264"/>
      <c r="AA474" s="277"/>
      <c r="AB474" s="187"/>
    </row>
    <row r="475" spans="1:29" ht="19.899999999999999" customHeight="1">
      <c r="A475" s="11"/>
      <c r="B475" s="5590"/>
      <c r="C475" s="5598"/>
      <c r="D475" s="9598" t="s">
        <v>143</v>
      </c>
      <c r="E475" s="9600"/>
      <c r="F475" s="492" t="s">
        <v>344</v>
      </c>
      <c r="G475" s="253"/>
      <c r="H475" s="286"/>
      <c r="I475" s="9582" t="s">
        <v>144</v>
      </c>
      <c r="J475" s="9583"/>
      <c r="K475" s="492" t="s">
        <v>344</v>
      </c>
      <c r="L475" s="6754"/>
      <c r="M475" s="7250"/>
      <c r="N475" s="6826"/>
      <c r="O475" s="7356"/>
      <c r="P475" s="6826"/>
      <c r="Q475" s="7356"/>
      <c r="R475" s="6659" t="s">
        <v>155</v>
      </c>
      <c r="S475" s="6557"/>
      <c r="T475" s="2468"/>
      <c r="U475" s="276"/>
      <c r="V475" s="99"/>
      <c r="W475" s="138"/>
      <c r="X475" s="138"/>
      <c r="Y475" s="299" t="s">
        <v>193</v>
      </c>
      <c r="Z475" s="264"/>
      <c r="AA475" s="277"/>
      <c r="AB475" s="187"/>
    </row>
    <row r="476" spans="1:29" ht="19.899999999999999" customHeight="1">
      <c r="A476" s="11"/>
      <c r="B476" s="5590"/>
      <c r="C476" s="5598"/>
      <c r="D476" s="9598" t="s">
        <v>146</v>
      </c>
      <c r="E476" s="9600"/>
      <c r="F476" s="492" t="s">
        <v>344</v>
      </c>
      <c r="G476" s="253"/>
      <c r="H476" s="286"/>
      <c r="I476" s="9582" t="s">
        <v>147</v>
      </c>
      <c r="J476" s="9583"/>
      <c r="K476" s="492" t="s">
        <v>344</v>
      </c>
      <c r="L476" s="6754"/>
      <c r="M476" s="7250"/>
      <c r="N476" s="6826"/>
      <c r="O476" s="7356"/>
      <c r="P476" s="6826"/>
      <c r="Q476" s="7356"/>
      <c r="R476" s="6659" t="s">
        <v>155</v>
      </c>
      <c r="S476" s="6557"/>
      <c r="T476" s="2468"/>
      <c r="U476" s="276"/>
      <c r="V476" s="99"/>
      <c r="W476" s="138"/>
      <c r="X476" s="138"/>
      <c r="Y476" s="299" t="s">
        <v>193</v>
      </c>
      <c r="Z476" s="264"/>
      <c r="AA476" s="277"/>
      <c r="AB476" s="187"/>
    </row>
    <row r="477" spans="1:29" ht="19.899999999999999" customHeight="1">
      <c r="A477" s="11"/>
      <c r="B477" s="5590"/>
      <c r="C477" s="5598"/>
      <c r="D477" s="9598" t="s">
        <v>149</v>
      </c>
      <c r="E477" s="9600"/>
      <c r="F477" s="492" t="s">
        <v>344</v>
      </c>
      <c r="G477" s="253"/>
      <c r="H477" s="286"/>
      <c r="I477" s="9582" t="s">
        <v>150</v>
      </c>
      <c r="J477" s="9583"/>
      <c r="K477" s="492" t="s">
        <v>344</v>
      </c>
      <c r="L477" s="6754"/>
      <c r="M477" s="7250"/>
      <c r="N477" s="6826"/>
      <c r="O477" s="7356"/>
      <c r="P477" s="6826"/>
      <c r="Q477" s="7356"/>
      <c r="R477" s="6659" t="s">
        <v>155</v>
      </c>
      <c r="S477" s="6557"/>
      <c r="T477" s="2468"/>
      <c r="U477" s="276"/>
      <c r="V477" s="99"/>
      <c r="W477" s="138"/>
      <c r="X477" s="138"/>
      <c r="Y477" s="299" t="s">
        <v>193</v>
      </c>
      <c r="Z477" s="264"/>
      <c r="AA477" s="277"/>
      <c r="AB477" s="187"/>
    </row>
    <row r="478" spans="1:29" ht="20.100000000000001" customHeight="1">
      <c r="A478" s="11"/>
      <c r="B478" s="1360"/>
      <c r="C478" s="5598"/>
      <c r="D478" s="9637" t="s">
        <v>404</v>
      </c>
      <c r="E478" s="9640"/>
      <c r="F478" s="492" t="s">
        <v>344</v>
      </c>
      <c r="G478" s="337"/>
      <c r="H478" s="358"/>
      <c r="I478" s="9637" t="s">
        <v>405</v>
      </c>
      <c r="J478" s="9640"/>
      <c r="K478" s="492" t="s">
        <v>344</v>
      </c>
      <c r="L478" s="6763" t="str">
        <f>IF(COUNTBLANK(L479:L484)&gt;0,"미취합법인有",SUM(L479:L484))</f>
        <v>미취합법인有</v>
      </c>
      <c r="M478" s="7233"/>
      <c r="N478" s="6847" t="str">
        <f>IF(COUNTBLANK(N479:N484)&gt;0,"미취합법인有",SUM(N479:N484))</f>
        <v>미취합법인有</v>
      </c>
      <c r="O478" s="7353"/>
      <c r="P478" s="6913" t="str">
        <f>IF(COUNTBLANK(P479:P484)&gt;0,"미취합법인有",SUM(P479:P484))</f>
        <v>미취합법인有</v>
      </c>
      <c r="Q478" s="7463"/>
      <c r="R478" s="6659" t="s">
        <v>155</v>
      </c>
      <c r="S478" s="6561"/>
      <c r="T478" s="782"/>
      <c r="U478" s="162"/>
      <c r="V478" s="99" t="s">
        <v>189</v>
      </c>
      <c r="W478" s="138"/>
      <c r="X478" s="138"/>
      <c r="Y478" s="299" t="s">
        <v>193</v>
      </c>
      <c r="Z478" s="265" t="s">
        <v>397</v>
      </c>
      <c r="AA478" s="265"/>
      <c r="AB478" s="187"/>
      <c r="AC478" s="6305"/>
    </row>
    <row r="479" spans="1:29" ht="19.899999999999999" customHeight="1">
      <c r="A479" s="11"/>
      <c r="B479" s="5590"/>
      <c r="C479" s="5598"/>
      <c r="D479" s="9598" t="s">
        <v>134</v>
      </c>
      <c r="E479" s="9600"/>
      <c r="F479" s="492" t="s">
        <v>344</v>
      </c>
      <c r="G479" s="253"/>
      <c r="H479" s="286"/>
      <c r="I479" s="9579" t="s">
        <v>135</v>
      </c>
      <c r="J479" s="9581"/>
      <c r="K479" s="492" t="s">
        <v>344</v>
      </c>
      <c r="L479" s="6754"/>
      <c r="M479" s="7250" t="s">
        <v>369</v>
      </c>
      <c r="N479" s="6826"/>
      <c r="O479" s="7250" t="s">
        <v>369</v>
      </c>
      <c r="P479" s="6826"/>
      <c r="Q479" s="7250" t="s">
        <v>369</v>
      </c>
      <c r="R479" s="6659" t="s">
        <v>155</v>
      </c>
      <c r="S479" s="6557"/>
      <c r="T479" s="2468"/>
      <c r="U479" s="276"/>
      <c r="V479" s="99"/>
      <c r="W479" s="138"/>
      <c r="X479" s="138"/>
      <c r="Y479" s="299" t="s">
        <v>193</v>
      </c>
      <c r="Z479" s="264"/>
      <c r="AA479" s="277"/>
      <c r="AB479" s="187"/>
    </row>
    <row r="480" spans="1:29" ht="19.899999999999999" customHeight="1">
      <c r="A480" s="11"/>
      <c r="B480" s="5590"/>
      <c r="C480" s="5598"/>
      <c r="D480" s="9598" t="s">
        <v>137</v>
      </c>
      <c r="E480" s="9600"/>
      <c r="F480" s="492" t="s">
        <v>344</v>
      </c>
      <c r="G480" s="253"/>
      <c r="H480" s="286"/>
      <c r="I480" s="9579" t="s">
        <v>138</v>
      </c>
      <c r="J480" s="9581"/>
      <c r="K480" s="492" t="s">
        <v>344</v>
      </c>
      <c r="L480" s="6753"/>
      <c r="M480" s="7249"/>
      <c r="N480" s="6825"/>
      <c r="O480" s="7355"/>
      <c r="P480" s="6922"/>
      <c r="Q480" s="7245"/>
      <c r="R480" s="6659" t="s">
        <v>155</v>
      </c>
      <c r="S480" s="6561"/>
      <c r="T480" s="2468"/>
      <c r="U480" s="276"/>
      <c r="V480" s="99"/>
      <c r="W480" s="138"/>
      <c r="X480" s="138"/>
      <c r="Y480" s="299" t="s">
        <v>193</v>
      </c>
      <c r="Z480" s="264"/>
      <c r="AA480" s="277"/>
      <c r="AB480" s="187"/>
    </row>
    <row r="481" spans="1:29" ht="19.899999999999999" customHeight="1">
      <c r="A481" s="11"/>
      <c r="B481" s="5590"/>
      <c r="C481" s="5598"/>
      <c r="D481" s="9598" t="s">
        <v>140</v>
      </c>
      <c r="E481" s="9600"/>
      <c r="F481" s="492" t="s">
        <v>344</v>
      </c>
      <c r="G481" s="253"/>
      <c r="H481" s="286"/>
      <c r="I481" s="9582" t="s">
        <v>141</v>
      </c>
      <c r="J481" s="9583"/>
      <c r="K481" s="492" t="s">
        <v>344</v>
      </c>
      <c r="L481" s="6752"/>
      <c r="M481" s="7263"/>
      <c r="N481" s="6848"/>
      <c r="O481" s="7365"/>
      <c r="P481" s="6901"/>
      <c r="Q481" s="7459"/>
      <c r="R481" s="6659" t="s">
        <v>155</v>
      </c>
      <c r="S481" s="6632"/>
      <c r="T481" s="2468"/>
      <c r="U481" s="276"/>
      <c r="V481" s="99"/>
      <c r="W481" s="138"/>
      <c r="X481" s="138"/>
      <c r="Y481" s="299" t="s">
        <v>193</v>
      </c>
      <c r="Z481" s="264"/>
      <c r="AA481" s="277"/>
      <c r="AB481" s="187"/>
    </row>
    <row r="482" spans="1:29" ht="19.899999999999999" customHeight="1">
      <c r="A482" s="11"/>
      <c r="B482" s="5590"/>
      <c r="C482" s="5598"/>
      <c r="D482" s="9598" t="s">
        <v>143</v>
      </c>
      <c r="E482" s="9600"/>
      <c r="F482" s="492" t="s">
        <v>344</v>
      </c>
      <c r="G482" s="253"/>
      <c r="H482" s="286"/>
      <c r="I482" s="9582" t="s">
        <v>144</v>
      </c>
      <c r="J482" s="9583"/>
      <c r="K482" s="492" t="s">
        <v>344</v>
      </c>
      <c r="L482" s="6754"/>
      <c r="M482" s="7250"/>
      <c r="N482" s="6826"/>
      <c r="O482" s="7356"/>
      <c r="P482" s="6826"/>
      <c r="Q482" s="7356"/>
      <c r="R482" s="6659" t="s">
        <v>155</v>
      </c>
      <c r="S482" s="6557"/>
      <c r="T482" s="2468"/>
      <c r="U482" s="276"/>
      <c r="V482" s="99"/>
      <c r="W482" s="138"/>
      <c r="X482" s="138"/>
      <c r="Y482" s="299" t="s">
        <v>193</v>
      </c>
      <c r="Z482" s="264"/>
      <c r="AA482" s="277"/>
      <c r="AB482" s="187"/>
    </row>
    <row r="483" spans="1:29" ht="19.899999999999999" customHeight="1">
      <c r="A483" s="11"/>
      <c r="B483" s="5590"/>
      <c r="C483" s="5598"/>
      <c r="D483" s="9598" t="s">
        <v>146</v>
      </c>
      <c r="E483" s="9600"/>
      <c r="F483" s="492" t="s">
        <v>344</v>
      </c>
      <c r="G483" s="253"/>
      <c r="H483" s="286"/>
      <c r="I483" s="9582" t="s">
        <v>147</v>
      </c>
      <c r="J483" s="9583"/>
      <c r="K483" s="492" t="s">
        <v>344</v>
      </c>
      <c r="L483" s="6754"/>
      <c r="M483" s="7250"/>
      <c r="N483" s="6826"/>
      <c r="O483" s="7356"/>
      <c r="P483" s="6826"/>
      <c r="Q483" s="7356"/>
      <c r="R483" s="6659" t="s">
        <v>155</v>
      </c>
      <c r="S483" s="6557"/>
      <c r="T483" s="2468"/>
      <c r="U483" s="276"/>
      <c r="V483" s="99"/>
      <c r="W483" s="138"/>
      <c r="X483" s="138"/>
      <c r="Y483" s="299" t="s">
        <v>193</v>
      </c>
      <c r="Z483" s="264"/>
      <c r="AA483" s="277"/>
      <c r="AB483" s="187"/>
    </row>
    <row r="484" spans="1:29" ht="19.899999999999999" customHeight="1">
      <c r="A484" s="11"/>
      <c r="B484" s="5590"/>
      <c r="C484" s="5598"/>
      <c r="D484" s="9598" t="s">
        <v>149</v>
      </c>
      <c r="E484" s="9600"/>
      <c r="F484" s="492" t="s">
        <v>344</v>
      </c>
      <c r="G484" s="253"/>
      <c r="H484" s="286"/>
      <c r="I484" s="9582" t="s">
        <v>150</v>
      </c>
      <c r="J484" s="9583"/>
      <c r="K484" s="492" t="s">
        <v>344</v>
      </c>
      <c r="L484" s="6754"/>
      <c r="M484" s="7250"/>
      <c r="N484" s="6826"/>
      <c r="O484" s="7356"/>
      <c r="P484" s="6826"/>
      <c r="Q484" s="7356"/>
      <c r="R484" s="6659" t="s">
        <v>155</v>
      </c>
      <c r="S484" s="6557"/>
      <c r="T484" s="2468"/>
      <c r="U484" s="276"/>
      <c r="V484" s="99"/>
      <c r="W484" s="138"/>
      <c r="X484" s="138"/>
      <c r="Y484" s="299" t="s">
        <v>193</v>
      </c>
      <c r="Z484" s="264"/>
      <c r="AA484" s="277"/>
      <c r="AB484" s="187"/>
    </row>
    <row r="485" spans="1:29" ht="20.100000000000001" customHeight="1">
      <c r="A485" s="11"/>
      <c r="B485" s="1360"/>
      <c r="C485" s="5598"/>
      <c r="D485" s="9637" t="s">
        <v>406</v>
      </c>
      <c r="E485" s="9638"/>
      <c r="F485" s="492" t="s">
        <v>344</v>
      </c>
      <c r="G485" s="337"/>
      <c r="H485" s="358"/>
      <c r="I485" s="9637" t="s">
        <v>407</v>
      </c>
      <c r="J485" s="9638"/>
      <c r="K485" s="492" t="s">
        <v>344</v>
      </c>
      <c r="L485" s="6763" t="str">
        <f>IF(COUNTBLANK(L486:L491)&gt;0,"미취합법인有",SUM(L486:L491))</f>
        <v>미취합법인有</v>
      </c>
      <c r="M485" s="7233"/>
      <c r="N485" s="6847" t="str">
        <f>IF(COUNTBLANK(N486:N491)&gt;0,"미취합법인有",SUM(N486:N491))</f>
        <v>미취합법인有</v>
      </c>
      <c r="O485" s="7353"/>
      <c r="P485" s="6913" t="str">
        <f>IF(COUNTBLANK(P486:P491)&gt;0,"미취합법인有",SUM(P486:P491))</f>
        <v>미취합법인有</v>
      </c>
      <c r="Q485" s="7463"/>
      <c r="R485" s="6659" t="s">
        <v>155</v>
      </c>
      <c r="S485" s="6561"/>
      <c r="T485" s="782"/>
      <c r="U485" s="162"/>
      <c r="V485" s="99" t="s">
        <v>189</v>
      </c>
      <c r="W485" s="138"/>
      <c r="X485" s="138"/>
      <c r="Y485" s="299" t="s">
        <v>193</v>
      </c>
      <c r="Z485" s="265" t="s">
        <v>397</v>
      </c>
      <c r="AA485" s="265"/>
      <c r="AB485" s="187"/>
      <c r="AC485" s="6305"/>
    </row>
    <row r="486" spans="1:29" ht="19.899999999999999" customHeight="1">
      <c r="A486" s="11"/>
      <c r="B486" s="5590"/>
      <c r="C486" s="5598"/>
      <c r="D486" s="9598" t="s">
        <v>134</v>
      </c>
      <c r="E486" s="9600"/>
      <c r="F486" s="492" t="s">
        <v>344</v>
      </c>
      <c r="G486" s="253"/>
      <c r="H486" s="286"/>
      <c r="I486" s="9579" t="s">
        <v>135</v>
      </c>
      <c r="J486" s="9581"/>
      <c r="K486" s="492" t="s">
        <v>344</v>
      </c>
      <c r="L486" s="6754"/>
      <c r="M486" s="7250" t="s">
        <v>369</v>
      </c>
      <c r="N486" s="6826"/>
      <c r="O486" s="7250" t="s">
        <v>369</v>
      </c>
      <c r="P486" s="6826"/>
      <c r="Q486" s="7250" t="s">
        <v>369</v>
      </c>
      <c r="R486" s="6659" t="s">
        <v>155</v>
      </c>
      <c r="S486" s="6557"/>
      <c r="T486" s="2468"/>
      <c r="U486" s="276"/>
      <c r="V486" s="99"/>
      <c r="W486" s="138"/>
      <c r="X486" s="138"/>
      <c r="Y486" s="299" t="s">
        <v>193</v>
      </c>
      <c r="Z486" s="264"/>
      <c r="AA486" s="277"/>
      <c r="AB486" s="187"/>
    </row>
    <row r="487" spans="1:29" ht="19.899999999999999" customHeight="1">
      <c r="A487" s="11"/>
      <c r="B487" s="5590"/>
      <c r="C487" s="5598"/>
      <c r="D487" s="9598" t="s">
        <v>137</v>
      </c>
      <c r="E487" s="9600"/>
      <c r="F487" s="492" t="s">
        <v>344</v>
      </c>
      <c r="G487" s="253"/>
      <c r="H487" s="286"/>
      <c r="I487" s="9579" t="s">
        <v>138</v>
      </c>
      <c r="J487" s="9581"/>
      <c r="K487" s="492" t="s">
        <v>344</v>
      </c>
      <c r="L487" s="6753"/>
      <c r="M487" s="7249"/>
      <c r="N487" s="6825"/>
      <c r="O487" s="7355"/>
      <c r="P487" s="6922"/>
      <c r="Q487" s="7245"/>
      <c r="R487" s="6659" t="s">
        <v>155</v>
      </c>
      <c r="S487" s="6561"/>
      <c r="T487" s="2468"/>
      <c r="U487" s="276"/>
      <c r="V487" s="99"/>
      <c r="W487" s="138"/>
      <c r="X487" s="138"/>
      <c r="Y487" s="299" t="s">
        <v>193</v>
      </c>
      <c r="Z487" s="264"/>
      <c r="AA487" s="277"/>
      <c r="AB487" s="187"/>
    </row>
    <row r="488" spans="1:29" ht="19.899999999999999" customHeight="1">
      <c r="A488" s="11"/>
      <c r="B488" s="5590"/>
      <c r="C488" s="5598"/>
      <c r="D488" s="9598" t="s">
        <v>140</v>
      </c>
      <c r="E488" s="9600"/>
      <c r="F488" s="492" t="s">
        <v>344</v>
      </c>
      <c r="G488" s="253"/>
      <c r="H488" s="286"/>
      <c r="I488" s="9582" t="s">
        <v>141</v>
      </c>
      <c r="J488" s="9583"/>
      <c r="K488" s="492" t="s">
        <v>344</v>
      </c>
      <c r="L488" s="6752"/>
      <c r="M488" s="7263"/>
      <c r="N488" s="6848"/>
      <c r="O488" s="7365"/>
      <c r="P488" s="6901"/>
      <c r="Q488" s="7459"/>
      <c r="R488" s="6659" t="s">
        <v>155</v>
      </c>
      <c r="S488" s="6632"/>
      <c r="T488" s="2468"/>
      <c r="U488" s="276"/>
      <c r="V488" s="99"/>
      <c r="W488" s="138"/>
      <c r="X488" s="138"/>
      <c r="Y488" s="299" t="s">
        <v>193</v>
      </c>
      <c r="Z488" s="264"/>
      <c r="AA488" s="277"/>
      <c r="AB488" s="187"/>
    </row>
    <row r="489" spans="1:29" ht="19.899999999999999" customHeight="1">
      <c r="A489" s="11"/>
      <c r="B489" s="5590"/>
      <c r="C489" s="5598"/>
      <c r="D489" s="9598" t="s">
        <v>143</v>
      </c>
      <c r="E489" s="9600"/>
      <c r="F489" s="492" t="s">
        <v>344</v>
      </c>
      <c r="G489" s="253"/>
      <c r="H489" s="286"/>
      <c r="I489" s="9582" t="s">
        <v>144</v>
      </c>
      <c r="J489" s="9583"/>
      <c r="K489" s="492" t="s">
        <v>344</v>
      </c>
      <c r="L489" s="6754"/>
      <c r="M489" s="7250"/>
      <c r="N489" s="6826"/>
      <c r="O489" s="7356"/>
      <c r="P489" s="6826"/>
      <c r="Q489" s="7356"/>
      <c r="R489" s="6659" t="s">
        <v>155</v>
      </c>
      <c r="S489" s="6557"/>
      <c r="T489" s="2468"/>
      <c r="U489" s="276"/>
      <c r="V489" s="99"/>
      <c r="W489" s="138"/>
      <c r="X489" s="138"/>
      <c r="Y489" s="299" t="s">
        <v>193</v>
      </c>
      <c r="Z489" s="264"/>
      <c r="AA489" s="277"/>
      <c r="AB489" s="187"/>
    </row>
    <row r="490" spans="1:29" ht="19.899999999999999" customHeight="1">
      <c r="A490" s="11"/>
      <c r="B490" s="5590"/>
      <c r="C490" s="5598"/>
      <c r="D490" s="9598" t="s">
        <v>146</v>
      </c>
      <c r="E490" s="9600"/>
      <c r="F490" s="492" t="s">
        <v>344</v>
      </c>
      <c r="G490" s="253"/>
      <c r="H490" s="286"/>
      <c r="I490" s="9582" t="s">
        <v>147</v>
      </c>
      <c r="J490" s="9583"/>
      <c r="K490" s="492" t="s">
        <v>344</v>
      </c>
      <c r="L490" s="6754"/>
      <c r="M490" s="7250"/>
      <c r="N490" s="6826"/>
      <c r="O490" s="7356"/>
      <c r="P490" s="6826"/>
      <c r="Q490" s="7356"/>
      <c r="R490" s="6659" t="s">
        <v>155</v>
      </c>
      <c r="S490" s="6557"/>
      <c r="T490" s="2468"/>
      <c r="U490" s="276"/>
      <c r="V490" s="99"/>
      <c r="W490" s="138"/>
      <c r="X490" s="138"/>
      <c r="Y490" s="299" t="s">
        <v>193</v>
      </c>
      <c r="Z490" s="264"/>
      <c r="AA490" s="277"/>
      <c r="AB490" s="187"/>
    </row>
    <row r="491" spans="1:29" ht="19.899999999999999" customHeight="1">
      <c r="A491" s="11"/>
      <c r="B491" s="5590"/>
      <c r="C491" s="5598"/>
      <c r="D491" s="9598" t="s">
        <v>149</v>
      </c>
      <c r="E491" s="9600"/>
      <c r="F491" s="492" t="s">
        <v>344</v>
      </c>
      <c r="G491" s="253"/>
      <c r="H491" s="286"/>
      <c r="I491" s="9582" t="s">
        <v>150</v>
      </c>
      <c r="J491" s="9583"/>
      <c r="K491" s="492" t="s">
        <v>344</v>
      </c>
      <c r="L491" s="6754"/>
      <c r="M491" s="7250"/>
      <c r="N491" s="6826"/>
      <c r="O491" s="7356"/>
      <c r="P491" s="6826"/>
      <c r="Q491" s="7356"/>
      <c r="R491" s="6659" t="s">
        <v>155</v>
      </c>
      <c r="S491" s="6557"/>
      <c r="T491" s="2468"/>
      <c r="U491" s="276"/>
      <c r="V491" s="99"/>
      <c r="W491" s="138"/>
      <c r="X491" s="138"/>
      <c r="Y491" s="299" t="s">
        <v>193</v>
      </c>
      <c r="Z491" s="264"/>
      <c r="AA491" s="277"/>
      <c r="AB491" s="187"/>
    </row>
    <row r="492" spans="1:29" ht="20.100000000000001" customHeight="1">
      <c r="A492" s="11"/>
      <c r="B492" s="1360"/>
      <c r="C492" s="5598"/>
      <c r="D492" s="9637" t="s">
        <v>408</v>
      </c>
      <c r="E492" s="9638"/>
      <c r="F492" s="492" t="s">
        <v>344</v>
      </c>
      <c r="G492" s="384"/>
      <c r="H492" s="358"/>
      <c r="I492" s="9637" t="s">
        <v>409</v>
      </c>
      <c r="J492" s="9638"/>
      <c r="K492" s="6131" t="s">
        <v>344</v>
      </c>
      <c r="L492" s="6787" t="str">
        <f>IF(COUNTBLANK(L493:L498)&gt;0,"미취합법인有",SUM(L493:L498))</f>
        <v>미취합법인有</v>
      </c>
      <c r="M492" s="7233"/>
      <c r="N492" s="6847" t="str">
        <f>IF(COUNTBLANK(N493:N498)&gt;0,"미취합법인有",SUM(N493:N498))</f>
        <v>미취합법인有</v>
      </c>
      <c r="O492" s="7353"/>
      <c r="P492" s="6913" t="str">
        <f>IF(COUNTBLANK(P493:P498)&gt;0,"미취합법인有",SUM(P493:P498))</f>
        <v>미취합법인有</v>
      </c>
      <c r="Q492" s="7463"/>
      <c r="R492" s="6659" t="s">
        <v>155</v>
      </c>
      <c r="S492" s="6561"/>
      <c r="T492" s="782"/>
      <c r="U492" s="162"/>
      <c r="V492" s="99" t="s">
        <v>189</v>
      </c>
      <c r="W492" s="138"/>
      <c r="X492" s="138"/>
      <c r="Y492" s="299" t="s">
        <v>193</v>
      </c>
      <c r="Z492" s="265" t="s">
        <v>397</v>
      </c>
      <c r="AA492" s="265"/>
      <c r="AB492" s="187"/>
      <c r="AC492" s="6305"/>
    </row>
    <row r="493" spans="1:29" ht="19.899999999999999" customHeight="1">
      <c r="A493" s="11"/>
      <c r="B493" s="5590"/>
      <c r="C493" s="5598"/>
      <c r="D493" s="9598" t="s">
        <v>134</v>
      </c>
      <c r="E493" s="9600"/>
      <c r="F493" s="492" t="s">
        <v>344</v>
      </c>
      <c r="G493" s="1918"/>
      <c r="H493" s="286"/>
      <c r="I493" s="9627" t="s">
        <v>135</v>
      </c>
      <c r="J493" s="9629"/>
      <c r="K493" s="492" t="s">
        <v>344</v>
      </c>
      <c r="L493" s="6754"/>
      <c r="M493" s="7250" t="s">
        <v>369</v>
      </c>
      <c r="N493" s="6826"/>
      <c r="O493" s="7250" t="s">
        <v>369</v>
      </c>
      <c r="P493" s="6826"/>
      <c r="Q493" s="7250" t="s">
        <v>369</v>
      </c>
      <c r="R493" s="6659" t="s">
        <v>155</v>
      </c>
      <c r="S493" s="6557"/>
      <c r="T493" s="2468"/>
      <c r="U493" s="276"/>
      <c r="V493" s="99"/>
      <c r="W493" s="138"/>
      <c r="X493" s="138"/>
      <c r="Y493" s="299" t="s">
        <v>193</v>
      </c>
      <c r="Z493" s="264"/>
      <c r="AA493" s="277"/>
      <c r="AB493" s="187"/>
    </row>
    <row r="494" spans="1:29" ht="19.899999999999999" customHeight="1">
      <c r="A494" s="11"/>
      <c r="B494" s="5590"/>
      <c r="C494" s="5598"/>
      <c r="D494" s="9598" t="s">
        <v>137</v>
      </c>
      <c r="E494" s="9600"/>
      <c r="F494" s="492" t="s">
        <v>344</v>
      </c>
      <c r="G494" s="253"/>
      <c r="H494" s="286"/>
      <c r="I494" s="9579" t="s">
        <v>138</v>
      </c>
      <c r="J494" s="9581"/>
      <c r="K494" s="492" t="s">
        <v>344</v>
      </c>
      <c r="L494" s="6753"/>
      <c r="M494" s="7249"/>
      <c r="N494" s="6825"/>
      <c r="O494" s="7355"/>
      <c r="P494" s="6922"/>
      <c r="Q494" s="7245"/>
      <c r="R494" s="6659" t="s">
        <v>155</v>
      </c>
      <c r="S494" s="6561"/>
      <c r="T494" s="2468"/>
      <c r="U494" s="276"/>
      <c r="V494" s="99"/>
      <c r="W494" s="138"/>
      <c r="X494" s="138"/>
      <c r="Y494" s="299" t="s">
        <v>193</v>
      </c>
      <c r="Z494" s="264"/>
      <c r="AA494" s="277"/>
      <c r="AB494" s="187"/>
    </row>
    <row r="495" spans="1:29" ht="19.899999999999999" customHeight="1">
      <c r="A495" s="11"/>
      <c r="B495" s="5590"/>
      <c r="C495" s="5598"/>
      <c r="D495" s="9598" t="s">
        <v>140</v>
      </c>
      <c r="E495" s="9600"/>
      <c r="F495" s="492" t="s">
        <v>344</v>
      </c>
      <c r="G495" s="253"/>
      <c r="H495" s="286"/>
      <c r="I495" s="9582" t="s">
        <v>141</v>
      </c>
      <c r="J495" s="9583"/>
      <c r="K495" s="492" t="s">
        <v>344</v>
      </c>
      <c r="L495" s="6752"/>
      <c r="M495" s="7263"/>
      <c r="N495" s="6848"/>
      <c r="O495" s="7365"/>
      <c r="P495" s="6901"/>
      <c r="Q495" s="7459"/>
      <c r="R495" s="6659" t="s">
        <v>155</v>
      </c>
      <c r="S495" s="6632"/>
      <c r="T495" s="2468"/>
      <c r="U495" s="276"/>
      <c r="V495" s="99"/>
      <c r="W495" s="138"/>
      <c r="X495" s="138"/>
      <c r="Y495" s="299" t="s">
        <v>193</v>
      </c>
      <c r="Z495" s="264"/>
      <c r="AA495" s="277"/>
      <c r="AB495" s="187"/>
    </row>
    <row r="496" spans="1:29" ht="19.899999999999999" customHeight="1">
      <c r="A496" s="11"/>
      <c r="B496" s="5590"/>
      <c r="C496" s="5598"/>
      <c r="D496" s="9598" t="s">
        <v>143</v>
      </c>
      <c r="E496" s="9600"/>
      <c r="F496" s="492" t="s">
        <v>344</v>
      </c>
      <c r="G496" s="253"/>
      <c r="H496" s="286"/>
      <c r="I496" s="9582" t="s">
        <v>144</v>
      </c>
      <c r="J496" s="9583"/>
      <c r="K496" s="492" t="s">
        <v>344</v>
      </c>
      <c r="L496" s="6754"/>
      <c r="M496" s="7250"/>
      <c r="N496" s="6826"/>
      <c r="O496" s="7356"/>
      <c r="P496" s="6826"/>
      <c r="Q496" s="7356"/>
      <c r="R496" s="6659" t="s">
        <v>155</v>
      </c>
      <c r="S496" s="6557"/>
      <c r="T496" s="2468"/>
      <c r="U496" s="276"/>
      <c r="V496" s="99"/>
      <c r="W496" s="138"/>
      <c r="X496" s="138"/>
      <c r="Y496" s="299" t="s">
        <v>193</v>
      </c>
      <c r="Z496" s="264"/>
      <c r="AA496" s="277"/>
      <c r="AB496" s="187"/>
    </row>
    <row r="497" spans="1:29" ht="19.899999999999999" customHeight="1">
      <c r="A497" s="11"/>
      <c r="B497" s="5590"/>
      <c r="C497" s="5598"/>
      <c r="D497" s="9598" t="s">
        <v>146</v>
      </c>
      <c r="E497" s="9600"/>
      <c r="F497" s="492" t="s">
        <v>344</v>
      </c>
      <c r="G497" s="253"/>
      <c r="H497" s="286"/>
      <c r="I497" s="9582" t="s">
        <v>147</v>
      </c>
      <c r="J497" s="9583"/>
      <c r="K497" s="492" t="s">
        <v>344</v>
      </c>
      <c r="L497" s="6754"/>
      <c r="M497" s="7250"/>
      <c r="N497" s="6826"/>
      <c r="O497" s="7356"/>
      <c r="P497" s="6826"/>
      <c r="Q497" s="7356"/>
      <c r="R497" s="6659" t="s">
        <v>155</v>
      </c>
      <c r="S497" s="6557"/>
      <c r="T497" s="2468"/>
      <c r="U497" s="276"/>
      <c r="V497" s="99"/>
      <c r="W497" s="138"/>
      <c r="X497" s="138"/>
      <c r="Y497" s="299" t="s">
        <v>193</v>
      </c>
      <c r="Z497" s="264"/>
      <c r="AA497" s="277"/>
      <c r="AB497" s="187"/>
    </row>
    <row r="498" spans="1:29" ht="19.899999999999999" customHeight="1" thickBot="1">
      <c r="A498" s="11"/>
      <c r="B498" s="5590"/>
      <c r="C498" s="5598"/>
      <c r="D498" s="9598" t="s">
        <v>149</v>
      </c>
      <c r="E498" s="9600"/>
      <c r="F498" s="492" t="s">
        <v>344</v>
      </c>
      <c r="G498" s="1863"/>
      <c r="H498" s="1988"/>
      <c r="I498" s="9589" t="s">
        <v>150</v>
      </c>
      <c r="J498" s="9590"/>
      <c r="K498" s="492" t="s">
        <v>344</v>
      </c>
      <c r="L498" s="6754"/>
      <c r="M498" s="7250"/>
      <c r="N498" s="6826"/>
      <c r="O498" s="7356"/>
      <c r="P498" s="6826"/>
      <c r="Q498" s="7356"/>
      <c r="R498" s="6658" t="s">
        <v>155</v>
      </c>
      <c r="S498" s="6557"/>
      <c r="T498" s="2468"/>
      <c r="U498" s="276"/>
      <c r="V498" s="99"/>
      <c r="W498" s="138"/>
      <c r="X498" s="138"/>
      <c r="Y498" s="299" t="s">
        <v>193</v>
      </c>
      <c r="Z498" s="264"/>
      <c r="AA498" s="277"/>
      <c r="AB498" s="187"/>
    </row>
    <row r="499" spans="1:29" ht="27" thickBot="1">
      <c r="A499" s="11"/>
      <c r="B499" s="123" t="s">
        <v>410</v>
      </c>
      <c r="C499" s="124"/>
      <c r="D499" s="124"/>
      <c r="E499" s="124"/>
      <c r="F499" s="124"/>
      <c r="G499" s="519" t="s">
        <v>411</v>
      </c>
      <c r="H499" s="520"/>
      <c r="I499" s="521"/>
      <c r="J499" s="1979"/>
      <c r="K499" s="148"/>
      <c r="L499" s="6783"/>
      <c r="M499" s="7268"/>
      <c r="N499" s="6862"/>
      <c r="O499" s="7268"/>
      <c r="P499" s="6862"/>
      <c r="Q499" s="7268"/>
      <c r="R499" s="6626"/>
      <c r="S499" s="6626"/>
      <c r="T499" s="80"/>
      <c r="U499" s="432"/>
      <c r="V499" s="1641"/>
      <c r="W499" s="1641"/>
      <c r="X499" s="1641"/>
      <c r="Y499" s="1641"/>
      <c r="Z499" s="328"/>
      <c r="AA499" s="328"/>
      <c r="AB499" s="329"/>
    </row>
    <row r="500" spans="1:29" ht="20.100000000000001" customHeight="1">
      <c r="A500" s="11"/>
      <c r="B500" s="1359"/>
      <c r="C500" s="9639" t="s">
        <v>412</v>
      </c>
      <c r="D500" s="9639"/>
      <c r="E500" s="9639"/>
      <c r="F500" s="6688" t="s">
        <v>413</v>
      </c>
      <c r="G500" s="522"/>
      <c r="H500" s="9639" t="s">
        <v>414</v>
      </c>
      <c r="I500" s="9639"/>
      <c r="J500" s="9639"/>
      <c r="K500" s="492" t="s">
        <v>344</v>
      </c>
      <c r="L500" s="6763">
        <f>IF(COUNTBLANK(L501:L506)&gt;0,"미취합법인有",SUM(L501:L506))</f>
        <v>540305.82537453051</v>
      </c>
      <c r="M500" s="7233"/>
      <c r="N500" s="6847">
        <f>IF(COUNTBLANK(N501:N506)&gt;0,"미취합법인有",SUM(N501:N506))</f>
        <v>252545.40715395333</v>
      </c>
      <c r="O500" s="7353"/>
      <c r="P500" s="6913">
        <f>IF(COUNTBLANK(P501:P506)&gt;0,"미취합법인有",SUM(P501:P506))</f>
        <v>522633.56588403165</v>
      </c>
      <c r="Q500" s="7463"/>
      <c r="R500" s="6661" t="s">
        <v>31</v>
      </c>
      <c r="S500" s="6569"/>
      <c r="T500" s="2476" t="s">
        <v>415</v>
      </c>
      <c r="U500" s="533" t="s">
        <v>416</v>
      </c>
      <c r="V500" s="545" t="s">
        <v>417</v>
      </c>
      <c r="W500" s="1693"/>
      <c r="X500" s="878"/>
      <c r="Y500" s="548"/>
      <c r="Z500" s="277" t="s">
        <v>418</v>
      </c>
      <c r="AA500" s="277" t="s">
        <v>419</v>
      </c>
      <c r="AB500" s="187"/>
    </row>
    <row r="501" spans="1:29" ht="19.899999999999999" customHeight="1">
      <c r="A501" s="11"/>
      <c r="B501" s="5590"/>
      <c r="C501" s="9647" t="s">
        <v>134</v>
      </c>
      <c r="D501" s="9648"/>
      <c r="E501" s="9649"/>
      <c r="F501" s="492" t="s">
        <v>420</v>
      </c>
      <c r="G501" s="253"/>
      <c r="H501" s="9579" t="s">
        <v>135</v>
      </c>
      <c r="I501" s="9580"/>
      <c r="J501" s="9581"/>
      <c r="K501" s="492" t="s">
        <v>344</v>
      </c>
      <c r="L501" s="6754">
        <v>87.38000000000001</v>
      </c>
      <c r="M501" s="7250"/>
      <c r="N501" s="6826">
        <v>96.2</v>
      </c>
      <c r="O501" s="7250"/>
      <c r="P501" s="6857">
        <v>1056.499</v>
      </c>
      <c r="Q501" s="7468" t="s">
        <v>2047</v>
      </c>
      <c r="R501" s="6663" t="s">
        <v>31</v>
      </c>
      <c r="S501" s="6572"/>
      <c r="T501" s="1033"/>
      <c r="U501" s="263"/>
      <c r="V501" s="99"/>
      <c r="W501" s="138"/>
      <c r="X501" s="138"/>
      <c r="Y501" s="99"/>
      <c r="Z501" s="264"/>
      <c r="AA501" s="277"/>
      <c r="AB501" s="187"/>
    </row>
    <row r="502" spans="1:29" ht="19.899999999999999" customHeight="1">
      <c r="A502" s="11"/>
      <c r="B502" s="5590"/>
      <c r="C502" s="9647" t="s">
        <v>137</v>
      </c>
      <c r="D502" s="9648"/>
      <c r="E502" s="9649"/>
      <c r="F502" s="5782" t="s">
        <v>421</v>
      </c>
      <c r="G502" s="5893"/>
      <c r="H502" s="9579" t="s">
        <v>138</v>
      </c>
      <c r="I502" s="9580"/>
      <c r="J502" s="9581"/>
      <c r="K502" s="5782" t="s">
        <v>421</v>
      </c>
      <c r="L502" s="6788">
        <v>265.31</v>
      </c>
      <c r="M502" s="7270"/>
      <c r="N502" s="6865">
        <v>522.23</v>
      </c>
      <c r="O502" s="7270"/>
      <c r="P502" s="6932">
        <v>654.22</v>
      </c>
      <c r="Q502" s="7270"/>
      <c r="R502" s="6663" t="s">
        <v>31</v>
      </c>
      <c r="S502" s="6573" t="s">
        <v>2048</v>
      </c>
      <c r="T502" s="1033"/>
      <c r="U502" s="263"/>
      <c r="V502" s="99"/>
      <c r="W502" s="138"/>
      <c r="X502" s="138"/>
      <c r="Y502" s="99"/>
      <c r="Z502" s="264"/>
      <c r="AA502" s="277"/>
      <c r="AB502" s="187"/>
      <c r="AC502" s="6159" t="s">
        <v>422</v>
      </c>
    </row>
    <row r="503" spans="1:29" ht="19.899999999999999" customHeight="1">
      <c r="A503" s="11"/>
      <c r="B503" s="5590"/>
      <c r="C503" s="9647" t="s">
        <v>140</v>
      </c>
      <c r="D503" s="9648"/>
      <c r="E503" s="9649"/>
      <c r="F503" s="492" t="s">
        <v>420</v>
      </c>
      <c r="G503" s="253"/>
      <c r="H503" s="9579" t="s">
        <v>141</v>
      </c>
      <c r="I503" s="9580"/>
      <c r="J503" s="9581"/>
      <c r="K503" s="492" t="s">
        <v>344</v>
      </c>
      <c r="L503" s="6754">
        <v>539711.13537453057</v>
      </c>
      <c r="M503" s="7250"/>
      <c r="N503" s="6826">
        <v>251596.97715395334</v>
      </c>
      <c r="O503" s="7261"/>
      <c r="P503" s="6933">
        <v>520678.84688403166</v>
      </c>
      <c r="Q503" s="7261"/>
      <c r="R503" s="6663" t="s">
        <v>31</v>
      </c>
      <c r="S503" s="6574"/>
      <c r="T503" s="1033"/>
      <c r="U503" s="263"/>
      <c r="V503" s="99"/>
      <c r="W503" s="138"/>
      <c r="X503" s="138"/>
      <c r="Y503" s="99"/>
      <c r="Z503" s="264"/>
      <c r="AA503" s="277"/>
      <c r="AB503" s="187"/>
    </row>
    <row r="504" spans="1:29" ht="19.899999999999999" customHeight="1">
      <c r="A504" s="11"/>
      <c r="B504" s="5590"/>
      <c r="C504" s="9647" t="s">
        <v>143</v>
      </c>
      <c r="D504" s="9648"/>
      <c r="E504" s="9649"/>
      <c r="F504" s="492" t="s">
        <v>420</v>
      </c>
      <c r="G504" s="253"/>
      <c r="H504" s="9579" t="s">
        <v>144</v>
      </c>
      <c r="I504" s="9580"/>
      <c r="J504" s="9581"/>
      <c r="K504" s="492" t="s">
        <v>344</v>
      </c>
      <c r="L504" s="6754">
        <v>0</v>
      </c>
      <c r="M504" s="7250"/>
      <c r="N504" s="6826">
        <v>0</v>
      </c>
      <c r="O504" s="7356"/>
      <c r="P504" s="6826">
        <v>0</v>
      </c>
      <c r="Q504" s="7356"/>
      <c r="R504" s="6663" t="s">
        <v>31</v>
      </c>
      <c r="S504" s="6557"/>
      <c r="T504" s="1033"/>
      <c r="U504" s="263"/>
      <c r="V504" s="99"/>
      <c r="W504" s="138"/>
      <c r="X504" s="138"/>
      <c r="Y504" s="99"/>
      <c r="Z504" s="264"/>
      <c r="AA504" s="277"/>
      <c r="AB504" s="187"/>
    </row>
    <row r="505" spans="1:29" ht="19.899999999999999" customHeight="1">
      <c r="A505" s="11"/>
      <c r="B505" s="5590"/>
      <c r="C505" s="9647" t="s">
        <v>146</v>
      </c>
      <c r="D505" s="9648"/>
      <c r="E505" s="9649"/>
      <c r="F505" s="492" t="s">
        <v>420</v>
      </c>
      <c r="G505" s="253"/>
      <c r="H505" s="9579" t="s">
        <v>147</v>
      </c>
      <c r="I505" s="9580"/>
      <c r="J505" s="9581"/>
      <c r="K505" s="492" t="s">
        <v>344</v>
      </c>
      <c r="L505" s="6774" t="s">
        <v>168</v>
      </c>
      <c r="M505" s="7250" t="s">
        <v>641</v>
      </c>
      <c r="N505" s="6826" t="s">
        <v>168</v>
      </c>
      <c r="O505" s="7356" t="s">
        <v>641</v>
      </c>
      <c r="P505" s="6826" t="s">
        <v>168</v>
      </c>
      <c r="Q505" s="7356" t="s">
        <v>641</v>
      </c>
      <c r="R505" s="6663" t="s">
        <v>31</v>
      </c>
      <c r="S505" s="6557"/>
      <c r="T505" s="1033"/>
      <c r="U505" s="263"/>
      <c r="V505" s="99"/>
      <c r="W505" s="138"/>
      <c r="X505" s="138"/>
      <c r="Y505" s="99"/>
      <c r="Z505" s="264"/>
      <c r="AA505" s="277"/>
      <c r="AB505" s="187"/>
    </row>
    <row r="506" spans="1:29" ht="19.899999999999999" customHeight="1">
      <c r="A506" s="11"/>
      <c r="B506" s="5590"/>
      <c r="C506" s="9647" t="s">
        <v>149</v>
      </c>
      <c r="D506" s="9648"/>
      <c r="E506" s="9649"/>
      <c r="F506" s="492" t="s">
        <v>420</v>
      </c>
      <c r="G506" s="253"/>
      <c r="H506" s="9579" t="s">
        <v>150</v>
      </c>
      <c r="I506" s="9580"/>
      <c r="J506" s="9581"/>
      <c r="K506" s="492" t="s">
        <v>344</v>
      </c>
      <c r="L506" s="6754">
        <v>242</v>
      </c>
      <c r="M506" s="7259" t="s">
        <v>689</v>
      </c>
      <c r="N506" s="6826">
        <v>330</v>
      </c>
      <c r="O506" s="7372" t="s">
        <v>689</v>
      </c>
      <c r="P506" s="6837">
        <v>244</v>
      </c>
      <c r="Q506" s="7240"/>
      <c r="R506" s="6663" t="s">
        <v>31</v>
      </c>
      <c r="S506" s="6557"/>
      <c r="T506" s="1033"/>
      <c r="U506" s="263"/>
      <c r="V506" s="99"/>
      <c r="W506" s="138"/>
      <c r="X506" s="138"/>
      <c r="Y506" s="99"/>
      <c r="Z506" s="264"/>
      <c r="AA506" s="277"/>
      <c r="AB506" s="187"/>
    </row>
    <row r="507" spans="1:29" ht="20.100000000000001" customHeight="1">
      <c r="A507" s="11"/>
      <c r="B507" s="1360"/>
      <c r="C507" s="5598"/>
      <c r="D507" s="9591" t="s">
        <v>423</v>
      </c>
      <c r="E507" s="9592"/>
      <c r="F507" s="492" t="s">
        <v>420</v>
      </c>
      <c r="G507" s="666"/>
      <c r="H507" s="6192"/>
      <c r="I507" s="9591" t="s">
        <v>424</v>
      </c>
      <c r="J507" s="9592"/>
      <c r="K507" s="492" t="s">
        <v>344</v>
      </c>
      <c r="L507" s="6763" t="str">
        <f>IF(COUNTBLANK(L508:L513)&gt;0,"미취합법인有",SUM(L508:L513))</f>
        <v>미취합법인有</v>
      </c>
      <c r="M507" s="7233"/>
      <c r="N507" s="6847" t="str">
        <f>IF(COUNTBLANK(N508:N513)&gt;0,"미취합법인有",SUM(N508:N513))</f>
        <v>미취합법인有</v>
      </c>
      <c r="O507" s="7236"/>
      <c r="P507" s="6914" t="str">
        <f>IF(COUNTBLANK(P508:P513)&gt;0,"미취합법인有",SUM(P508:P513))</f>
        <v>미취합법인有</v>
      </c>
      <c r="Q507" s="7463"/>
      <c r="R507" s="6663" t="s">
        <v>31</v>
      </c>
      <c r="S507" s="6561"/>
      <c r="T507" s="2468"/>
      <c r="U507" s="544"/>
      <c r="V507" s="545" t="s">
        <v>417</v>
      </c>
      <c r="W507" s="546"/>
      <c r="X507" s="547"/>
      <c r="Y507" s="548"/>
      <c r="Z507" s="277" t="s">
        <v>418</v>
      </c>
      <c r="AA507" s="277" t="s">
        <v>419</v>
      </c>
      <c r="AB507" s="187"/>
    </row>
    <row r="508" spans="1:29" ht="20.100000000000001" customHeight="1">
      <c r="A508" s="11"/>
      <c r="B508" s="1360"/>
      <c r="C508" s="5598"/>
      <c r="D508" s="9598" t="s">
        <v>134</v>
      </c>
      <c r="E508" s="9600"/>
      <c r="F508" s="492" t="s">
        <v>420</v>
      </c>
      <c r="G508" s="666"/>
      <c r="H508" s="6192"/>
      <c r="I508" s="9579" t="s">
        <v>135</v>
      </c>
      <c r="J508" s="9581"/>
      <c r="K508" s="492" t="s">
        <v>344</v>
      </c>
      <c r="L508" s="6753">
        <v>86.43</v>
      </c>
      <c r="M508" s="7261" t="s">
        <v>690</v>
      </c>
      <c r="N508" s="6842">
        <v>96.2</v>
      </c>
      <c r="O508" s="7373" t="s">
        <v>691</v>
      </c>
      <c r="P508" s="6860">
        <v>1056.499</v>
      </c>
      <c r="Q508" s="7373" t="s">
        <v>692</v>
      </c>
      <c r="R508" s="6663" t="s">
        <v>31</v>
      </c>
      <c r="S508" s="6575"/>
      <c r="T508" s="2468"/>
      <c r="U508" s="544"/>
      <c r="V508" s="545"/>
      <c r="W508" s="546"/>
      <c r="X508" s="547"/>
      <c r="Y508" s="548"/>
      <c r="Z508" s="277"/>
      <c r="AA508" s="277"/>
      <c r="AB508" s="187"/>
    </row>
    <row r="509" spans="1:29" ht="20.100000000000001" customHeight="1">
      <c r="A509" s="11"/>
      <c r="B509" s="1360"/>
      <c r="C509" s="5598"/>
      <c r="D509" s="9598" t="s">
        <v>137</v>
      </c>
      <c r="E509" s="9600"/>
      <c r="F509" s="5782" t="s">
        <v>421</v>
      </c>
      <c r="G509" s="6160"/>
      <c r="H509" s="6192"/>
      <c r="I509" s="9579" t="s">
        <v>138</v>
      </c>
      <c r="J509" s="9581"/>
      <c r="K509" s="5782" t="s">
        <v>421</v>
      </c>
      <c r="L509" s="6788">
        <v>0.58054704595185991</v>
      </c>
      <c r="M509" s="7270"/>
      <c r="N509" s="6865">
        <v>0.56153763440860216</v>
      </c>
      <c r="O509" s="7374"/>
      <c r="P509" s="6934">
        <v>0.55395427603725655</v>
      </c>
      <c r="Q509" s="7374"/>
      <c r="R509" s="6663" t="s">
        <v>31</v>
      </c>
      <c r="S509" s="6576"/>
      <c r="T509" s="2468"/>
      <c r="U509" s="544"/>
      <c r="V509" s="545"/>
      <c r="W509" s="546"/>
      <c r="X509" s="547"/>
      <c r="Y509" s="548"/>
      <c r="Z509" s="277"/>
      <c r="AA509" s="277"/>
      <c r="AB509" s="187"/>
      <c r="AC509" s="6159" t="s">
        <v>422</v>
      </c>
    </row>
    <row r="510" spans="1:29" ht="20.100000000000001" customHeight="1">
      <c r="A510" s="11"/>
      <c r="B510" s="1360"/>
      <c r="C510" s="5598"/>
      <c r="D510" s="9598" t="s">
        <v>140</v>
      </c>
      <c r="E510" s="9600"/>
      <c r="F510" s="492" t="s">
        <v>420</v>
      </c>
      <c r="G510" s="666"/>
      <c r="H510" s="6192"/>
      <c r="I510" s="9582" t="s">
        <v>141</v>
      </c>
      <c r="J510" s="9583"/>
      <c r="K510" s="492" t="s">
        <v>344</v>
      </c>
      <c r="L510" s="6753">
        <v>539711.13537453057</v>
      </c>
      <c r="M510" s="7249"/>
      <c r="N510" s="6842">
        <v>251596.97715395334</v>
      </c>
      <c r="O510" s="7375"/>
      <c r="P510" s="6825">
        <v>520678.84688403166</v>
      </c>
      <c r="Q510" s="7375"/>
      <c r="R510" s="6663" t="s">
        <v>31</v>
      </c>
      <c r="S510" s="6577"/>
      <c r="T510" s="2468"/>
      <c r="U510" s="544"/>
      <c r="V510" s="545"/>
      <c r="W510" s="546"/>
      <c r="X510" s="547"/>
      <c r="Y510" s="548"/>
      <c r="Z510" s="277"/>
      <c r="AA510" s="277"/>
      <c r="AB510" s="187"/>
    </row>
    <row r="511" spans="1:29" ht="20.100000000000001" customHeight="1">
      <c r="A511" s="11"/>
      <c r="B511" s="1360"/>
      <c r="C511" s="5598"/>
      <c r="D511" s="9598" t="s">
        <v>143</v>
      </c>
      <c r="E511" s="9600"/>
      <c r="F511" s="492" t="s">
        <v>420</v>
      </c>
      <c r="G511" s="666"/>
      <c r="H511" s="6192"/>
      <c r="I511" s="9582" t="s">
        <v>144</v>
      </c>
      <c r="J511" s="9583"/>
      <c r="K511" s="492" t="s">
        <v>344</v>
      </c>
      <c r="L511" s="6753"/>
      <c r="M511" s="7249"/>
      <c r="N511" s="6842"/>
      <c r="O511" s="7245"/>
      <c r="P511" s="6842"/>
      <c r="Q511" s="7375"/>
      <c r="R511" s="6663" t="s">
        <v>31</v>
      </c>
      <c r="S511" s="6577"/>
      <c r="T511" s="2468"/>
      <c r="U511" s="544"/>
      <c r="V511" s="545"/>
      <c r="W511" s="546"/>
      <c r="X511" s="547"/>
      <c r="Y511" s="548"/>
      <c r="Z511" s="277"/>
      <c r="AA511" s="277"/>
      <c r="AB511" s="187"/>
    </row>
    <row r="512" spans="1:29" ht="20.100000000000001" customHeight="1">
      <c r="A512" s="11"/>
      <c r="B512" s="1360"/>
      <c r="C512" s="5598"/>
      <c r="D512" s="9598" t="s">
        <v>146</v>
      </c>
      <c r="E512" s="9600"/>
      <c r="F512" s="492" t="s">
        <v>420</v>
      </c>
      <c r="G512" s="666"/>
      <c r="H512" s="6192"/>
      <c r="I512" s="9582" t="s">
        <v>147</v>
      </c>
      <c r="J512" s="9583"/>
      <c r="K512" s="492" t="s">
        <v>344</v>
      </c>
      <c r="L512" s="6774" t="s">
        <v>168</v>
      </c>
      <c r="M512" s="7250" t="s">
        <v>641</v>
      </c>
      <c r="N512" s="6826" t="s">
        <v>168</v>
      </c>
      <c r="O512" s="7240" t="s">
        <v>641</v>
      </c>
      <c r="P512" s="6837" t="s">
        <v>168</v>
      </c>
      <c r="Q512" s="7240" t="s">
        <v>641</v>
      </c>
      <c r="R512" s="6663" t="s">
        <v>31</v>
      </c>
      <c r="S512" s="6538"/>
      <c r="T512" s="2468"/>
      <c r="U512" s="544"/>
      <c r="V512" s="545"/>
      <c r="W512" s="546"/>
      <c r="X512" s="547"/>
      <c r="Y512" s="548"/>
      <c r="Z512" s="277"/>
      <c r="AA512" s="277"/>
      <c r="AB512" s="187"/>
    </row>
    <row r="513" spans="1:31" ht="20.100000000000001" customHeight="1">
      <c r="A513" s="11"/>
      <c r="B513" s="1360"/>
      <c r="C513" s="5598"/>
      <c r="D513" s="9598" t="s">
        <v>149</v>
      </c>
      <c r="E513" s="9600"/>
      <c r="F513" s="492" t="s">
        <v>420</v>
      </c>
      <c r="G513" s="666"/>
      <c r="H513" s="6192"/>
      <c r="I513" s="9582" t="s">
        <v>150</v>
      </c>
      <c r="J513" s="9583"/>
      <c r="K513" s="492" t="s">
        <v>344</v>
      </c>
      <c r="L513" s="6753">
        <v>242</v>
      </c>
      <c r="M513" s="7249"/>
      <c r="N513" s="6842">
        <v>330</v>
      </c>
      <c r="O513" s="7375"/>
      <c r="P513" s="6825">
        <v>244</v>
      </c>
      <c r="Q513" s="7375"/>
      <c r="R513" s="6663" t="s">
        <v>31</v>
      </c>
      <c r="S513" s="6577"/>
      <c r="T513" s="2468"/>
      <c r="U513" s="544"/>
      <c r="V513" s="545"/>
      <c r="W513" s="546"/>
      <c r="X513" s="547"/>
      <c r="Y513" s="548"/>
      <c r="Z513" s="277"/>
      <c r="AA513" s="277"/>
      <c r="AB513" s="187"/>
    </row>
    <row r="514" spans="1:31" ht="20.100000000000001" customHeight="1">
      <c r="A514" s="11"/>
      <c r="B514" s="1360"/>
      <c r="C514" s="777"/>
      <c r="D514" s="6637"/>
      <c r="E514" s="5606" t="s">
        <v>425</v>
      </c>
      <c r="F514" s="492" t="s">
        <v>420</v>
      </c>
      <c r="G514" s="666"/>
      <c r="H514" s="6132"/>
      <c r="I514" s="1545"/>
      <c r="J514" s="5606" t="s">
        <v>426</v>
      </c>
      <c r="K514" s="492" t="s">
        <v>344</v>
      </c>
      <c r="L514" s="6763" t="str">
        <f>IF(COUNTBLANK(L515:L520)&gt;0,"미취합법인有",SUM(L515:L520))</f>
        <v>미취합법인有</v>
      </c>
      <c r="M514" s="7233"/>
      <c r="N514" s="6847" t="str">
        <f>IF(COUNTBLANK(N515:N520)&gt;0,"미취합법인有",SUM(N515:N520))</f>
        <v>미취합법인有</v>
      </c>
      <c r="O514" s="7236"/>
      <c r="P514" s="6914" t="str">
        <f>IF(COUNTBLANK(P515:P520)&gt;0,"미취합법인有",SUM(P515:P520))</f>
        <v>미취합법인有</v>
      </c>
      <c r="Q514" s="7463"/>
      <c r="R514" s="6663" t="s">
        <v>31</v>
      </c>
      <c r="S514" s="6561"/>
      <c r="T514" s="2468" t="s">
        <v>427</v>
      </c>
      <c r="U514" s="544" t="s">
        <v>428</v>
      </c>
      <c r="V514" s="545" t="s">
        <v>417</v>
      </c>
      <c r="W514" s="547"/>
      <c r="X514" s="547"/>
      <c r="Y514" s="545"/>
      <c r="Z514" s="277" t="s">
        <v>429</v>
      </c>
      <c r="AA514" s="265"/>
      <c r="AB514" s="187"/>
      <c r="AE514" s="1377" t="s">
        <v>430</v>
      </c>
    </row>
    <row r="515" spans="1:31" ht="20.100000000000001" customHeight="1">
      <c r="A515" s="11"/>
      <c r="B515" s="1360"/>
      <c r="C515" s="771"/>
      <c r="D515" s="6637"/>
      <c r="E515" s="357" t="s">
        <v>134</v>
      </c>
      <c r="F515" s="492" t="s">
        <v>420</v>
      </c>
      <c r="G515" s="666"/>
      <c r="H515" s="6173"/>
      <c r="I515" s="1545"/>
      <c r="J515" s="551" t="s">
        <v>431</v>
      </c>
      <c r="K515" s="492" t="s">
        <v>344</v>
      </c>
      <c r="L515" s="6753">
        <v>78.3</v>
      </c>
      <c r="M515" s="7261" t="s">
        <v>693</v>
      </c>
      <c r="N515" s="6842">
        <v>85</v>
      </c>
      <c r="O515" s="7373" t="s">
        <v>693</v>
      </c>
      <c r="P515" s="6825">
        <v>0</v>
      </c>
      <c r="Q515" s="7375"/>
      <c r="R515" s="6663" t="s">
        <v>31</v>
      </c>
      <c r="S515" s="6577"/>
      <c r="T515" s="2468"/>
      <c r="U515" s="544"/>
      <c r="V515" s="545"/>
      <c r="W515" s="547"/>
      <c r="X515" s="547"/>
      <c r="Y515" s="545"/>
      <c r="Z515" s="277"/>
      <c r="AA515" s="277"/>
      <c r="AB515" s="187"/>
      <c r="AE515" s="1377" t="s">
        <v>432</v>
      </c>
    </row>
    <row r="516" spans="1:31" ht="20.100000000000001" customHeight="1">
      <c r="A516" s="11"/>
      <c r="B516" s="1360"/>
      <c r="C516" s="771"/>
      <c r="D516" s="6637"/>
      <c r="E516" s="357" t="s">
        <v>137</v>
      </c>
      <c r="F516" s="492" t="s">
        <v>420</v>
      </c>
      <c r="G516" s="6160"/>
      <c r="H516" s="6173"/>
      <c r="I516" s="1545"/>
      <c r="J516" s="6245" t="s">
        <v>138</v>
      </c>
      <c r="K516" s="5782" t="s">
        <v>413</v>
      </c>
      <c r="L516" s="6789">
        <v>2.81</v>
      </c>
      <c r="M516" s="7271"/>
      <c r="N516" s="6866">
        <v>15.73</v>
      </c>
      <c r="O516" s="7376"/>
      <c r="P516" s="6935">
        <v>6.7199999999999989</v>
      </c>
      <c r="Q516" s="7376"/>
      <c r="R516" s="6663" t="s">
        <v>31</v>
      </c>
      <c r="S516" s="6578"/>
      <c r="T516" s="2468"/>
      <c r="U516" s="544"/>
      <c r="V516" s="545"/>
      <c r="W516" s="547"/>
      <c r="X516" s="547"/>
      <c r="Y516" s="545"/>
      <c r="Z516" s="277"/>
      <c r="AA516" s="277"/>
      <c r="AB516" s="187"/>
      <c r="AC516" s="6159" t="s">
        <v>422</v>
      </c>
      <c r="AE516" s="1377" t="s">
        <v>433</v>
      </c>
    </row>
    <row r="517" spans="1:31" ht="20.100000000000001" customHeight="1">
      <c r="A517" s="11"/>
      <c r="B517" s="1360"/>
      <c r="C517" s="771"/>
      <c r="D517" s="6637"/>
      <c r="E517" s="357" t="s">
        <v>140</v>
      </c>
      <c r="F517" s="492" t="s">
        <v>420</v>
      </c>
      <c r="G517" s="666"/>
      <c r="H517" s="6173"/>
      <c r="I517" s="1545"/>
      <c r="J517" s="551" t="s">
        <v>141</v>
      </c>
      <c r="K517" s="492" t="s">
        <v>344</v>
      </c>
      <c r="L517" s="6753">
        <v>539711.13537453057</v>
      </c>
      <c r="M517" s="7249"/>
      <c r="N517" s="6842">
        <v>251596.97715395334</v>
      </c>
      <c r="O517" s="7375"/>
      <c r="P517" s="6825">
        <v>520678.84688403166</v>
      </c>
      <c r="Q517" s="7375"/>
      <c r="R517" s="6663" t="s">
        <v>31</v>
      </c>
      <c r="S517" s="6577"/>
      <c r="T517" s="2468"/>
      <c r="U517" s="544"/>
      <c r="V517" s="545"/>
      <c r="W517" s="547"/>
      <c r="X517" s="547"/>
      <c r="Y517" s="545"/>
      <c r="Z517" s="277"/>
      <c r="AA517" s="277"/>
      <c r="AB517" s="187"/>
      <c r="AE517" s="1377" t="s">
        <v>434</v>
      </c>
    </row>
    <row r="518" spans="1:31" ht="20.100000000000001" customHeight="1">
      <c r="A518" s="11"/>
      <c r="B518" s="1360"/>
      <c r="C518" s="771"/>
      <c r="D518" s="6637"/>
      <c r="E518" s="357" t="s">
        <v>143</v>
      </c>
      <c r="F518" s="492" t="s">
        <v>420</v>
      </c>
      <c r="G518" s="666"/>
      <c r="H518" s="6173"/>
      <c r="I518" s="1545"/>
      <c r="J518" s="551" t="s">
        <v>144</v>
      </c>
      <c r="K518" s="492" t="s">
        <v>344</v>
      </c>
      <c r="L518" s="6753"/>
      <c r="M518" s="7249"/>
      <c r="N518" s="6842"/>
      <c r="O518" s="7375"/>
      <c r="P518" s="6825"/>
      <c r="Q518" s="7375"/>
      <c r="R518" s="6663" t="s">
        <v>31</v>
      </c>
      <c r="S518" s="6577"/>
      <c r="T518" s="2468"/>
      <c r="U518" s="544"/>
      <c r="V518" s="545"/>
      <c r="W518" s="547"/>
      <c r="X518" s="547"/>
      <c r="Y518" s="545"/>
      <c r="Z518" s="277"/>
      <c r="AA518" s="277"/>
      <c r="AB518" s="187"/>
      <c r="AE518" s="1377" t="s">
        <v>435</v>
      </c>
    </row>
    <row r="519" spans="1:31" ht="20.100000000000001" customHeight="1">
      <c r="A519" s="11"/>
      <c r="B519" s="1360"/>
      <c r="C519" s="771"/>
      <c r="D519" s="6637"/>
      <c r="E519" s="357" t="s">
        <v>146</v>
      </c>
      <c r="F519" s="492" t="s">
        <v>420</v>
      </c>
      <c r="G519" s="666"/>
      <c r="H519" s="6173"/>
      <c r="I519" s="1545"/>
      <c r="J519" s="551" t="s">
        <v>147</v>
      </c>
      <c r="K519" s="492" t="s">
        <v>344</v>
      </c>
      <c r="L519" s="6774" t="s">
        <v>168</v>
      </c>
      <c r="M519" s="7250" t="s">
        <v>641</v>
      </c>
      <c r="N519" s="6826" t="s">
        <v>168</v>
      </c>
      <c r="O519" s="7240" t="s">
        <v>641</v>
      </c>
      <c r="P519" s="6837" t="s">
        <v>168</v>
      </c>
      <c r="Q519" s="7240" t="s">
        <v>641</v>
      </c>
      <c r="R519" s="6663" t="s">
        <v>31</v>
      </c>
      <c r="S519" s="6538"/>
      <c r="T519" s="2468"/>
      <c r="U519" s="544"/>
      <c r="V519" s="545"/>
      <c r="W519" s="547"/>
      <c r="X519" s="547"/>
      <c r="Y519" s="545"/>
      <c r="Z519" s="277"/>
      <c r="AA519" s="277"/>
      <c r="AB519" s="187"/>
      <c r="AE519" s="1377" t="s">
        <v>436</v>
      </c>
    </row>
    <row r="520" spans="1:31" ht="20.100000000000001" customHeight="1">
      <c r="A520" s="11"/>
      <c r="B520" s="1360"/>
      <c r="C520" s="771"/>
      <c r="D520" s="6637"/>
      <c r="E520" s="357" t="s">
        <v>149</v>
      </c>
      <c r="F520" s="492" t="s">
        <v>420</v>
      </c>
      <c r="G520" s="666"/>
      <c r="H520" s="6173"/>
      <c r="I520" s="1545"/>
      <c r="J520" s="551" t="s">
        <v>150</v>
      </c>
      <c r="K520" s="492" t="s">
        <v>344</v>
      </c>
      <c r="L520" s="6753">
        <v>0</v>
      </c>
      <c r="M520" s="7249"/>
      <c r="N520" s="6842">
        <v>0</v>
      </c>
      <c r="O520" s="7375"/>
      <c r="P520" s="6825">
        <v>0</v>
      </c>
      <c r="Q520" s="7375"/>
      <c r="R520" s="6663" t="s">
        <v>31</v>
      </c>
      <c r="S520" s="6577"/>
      <c r="T520" s="2468"/>
      <c r="U520" s="544"/>
      <c r="V520" s="545"/>
      <c r="W520" s="547"/>
      <c r="X520" s="547"/>
      <c r="Y520" s="545"/>
      <c r="Z520" s="277"/>
      <c r="AA520" s="277"/>
      <c r="AB520" s="187"/>
      <c r="AE520" s="1377" t="s">
        <v>437</v>
      </c>
    </row>
    <row r="521" spans="1:31" ht="20.100000000000001" customHeight="1">
      <c r="A521" s="11"/>
      <c r="B521" s="1360"/>
      <c r="C521" s="777"/>
      <c r="D521" s="6637"/>
      <c r="E521" s="5606" t="s">
        <v>694</v>
      </c>
      <c r="F521" s="492" t="s">
        <v>420</v>
      </c>
      <c r="G521" s="666"/>
      <c r="H521" s="6132"/>
      <c r="I521" s="1545"/>
      <c r="J521" s="5606" t="s">
        <v>438</v>
      </c>
      <c r="K521" s="492" t="s">
        <v>344</v>
      </c>
      <c r="L521" s="6763" t="str">
        <f>IF(COUNTBLANK(L522:L527)&gt;0,"미취합법인有",SUM(L522:L527))</f>
        <v>미취합법인有</v>
      </c>
      <c r="M521" s="7233"/>
      <c r="N521" s="6847" t="str">
        <f>IF(COUNTBLANK(N522:N527)&gt;0,"미취합법인有",SUM(N522:N527))</f>
        <v>미취합법인有</v>
      </c>
      <c r="O521" s="7236"/>
      <c r="P521" s="6914" t="str">
        <f>IF(COUNTBLANK(P522:P527)&gt;0,"미취합법인有",SUM(P522:P527))</f>
        <v>미취합법인有</v>
      </c>
      <c r="Q521" s="7463"/>
      <c r="R521" s="6663" t="s">
        <v>31</v>
      </c>
      <c r="S521" s="6561"/>
      <c r="T521" s="993" t="s">
        <v>439</v>
      </c>
      <c r="U521" s="276" t="s">
        <v>440</v>
      </c>
      <c r="V521" s="545" t="s">
        <v>417</v>
      </c>
      <c r="W521" s="547"/>
      <c r="X521" s="547"/>
      <c r="Y521" s="545"/>
      <c r="Z521" s="277" t="s">
        <v>489</v>
      </c>
      <c r="AA521" s="277" t="s">
        <v>442</v>
      </c>
      <c r="AB521" s="187"/>
    </row>
    <row r="522" spans="1:31" ht="20.100000000000001" customHeight="1">
      <c r="A522" s="11"/>
      <c r="B522" s="1360"/>
      <c r="C522" s="771"/>
      <c r="D522" s="6637"/>
      <c r="E522" s="357" t="s">
        <v>134</v>
      </c>
      <c r="F522" s="492" t="s">
        <v>420</v>
      </c>
      <c r="G522" s="666"/>
      <c r="H522" s="6173"/>
      <c r="I522" s="1545"/>
      <c r="J522" s="551" t="s">
        <v>431</v>
      </c>
      <c r="K522" s="492" t="s">
        <v>344</v>
      </c>
      <c r="L522" s="6753">
        <v>8.1</v>
      </c>
      <c r="M522" s="7249"/>
      <c r="N522" s="6842">
        <v>11.2</v>
      </c>
      <c r="O522" s="7375"/>
      <c r="P522" s="6860">
        <v>493.59</v>
      </c>
      <c r="Q522" s="6495" t="s">
        <v>696</v>
      </c>
      <c r="R522" s="6663" t="s">
        <v>31</v>
      </c>
      <c r="S522" s="6530"/>
      <c r="T522" s="2468"/>
      <c r="U522" s="544"/>
      <c r="V522" s="545"/>
      <c r="W522" s="547"/>
      <c r="X522" s="547"/>
      <c r="Y522" s="545"/>
      <c r="Z522" s="277"/>
      <c r="AA522" s="277"/>
      <c r="AB522" s="187"/>
    </row>
    <row r="523" spans="1:31" ht="20.100000000000001" customHeight="1">
      <c r="A523" s="11"/>
      <c r="B523" s="1360"/>
      <c r="C523" s="771"/>
      <c r="D523" s="6637"/>
      <c r="E523" s="357" t="s">
        <v>137</v>
      </c>
      <c r="F523" s="5782" t="s">
        <v>443</v>
      </c>
      <c r="G523" s="6173"/>
      <c r="H523" s="6173"/>
      <c r="I523" s="1545"/>
      <c r="J523" s="1545" t="s">
        <v>138</v>
      </c>
      <c r="K523" s="5782" t="s">
        <v>443</v>
      </c>
      <c r="L523" s="6789">
        <v>262.5</v>
      </c>
      <c r="M523" s="7271"/>
      <c r="N523" s="6866">
        <v>506.5</v>
      </c>
      <c r="O523" s="7376"/>
      <c r="P523" s="6935">
        <v>647.5</v>
      </c>
      <c r="Q523" s="7376"/>
      <c r="R523" s="6663" t="s">
        <v>31</v>
      </c>
      <c r="S523" s="6578"/>
      <c r="T523" s="2468"/>
      <c r="U523" s="544"/>
      <c r="V523" s="545"/>
      <c r="W523" s="547"/>
      <c r="X523" s="547"/>
      <c r="Y523" s="545"/>
      <c r="Z523" s="277"/>
      <c r="AA523" s="277"/>
      <c r="AB523" s="187"/>
      <c r="AC523" s="6159" t="s">
        <v>422</v>
      </c>
    </row>
    <row r="524" spans="1:31" ht="20.100000000000001" customHeight="1">
      <c r="A524" s="11"/>
      <c r="B524" s="1360"/>
      <c r="C524" s="771"/>
      <c r="D524" s="6637"/>
      <c r="E524" s="357" t="s">
        <v>140</v>
      </c>
      <c r="F524" s="492" t="s">
        <v>420</v>
      </c>
      <c r="G524" s="666"/>
      <c r="H524" s="6173"/>
      <c r="I524" s="1545"/>
      <c r="J524" s="551" t="s">
        <v>141</v>
      </c>
      <c r="K524" s="492" t="s">
        <v>344</v>
      </c>
      <c r="L524" s="6774" t="s">
        <v>168</v>
      </c>
      <c r="M524" s="7250" t="s">
        <v>641</v>
      </c>
      <c r="N524" s="6826" t="s">
        <v>168</v>
      </c>
      <c r="O524" s="7240" t="s">
        <v>641</v>
      </c>
      <c r="P524" s="6837" t="s">
        <v>168</v>
      </c>
      <c r="Q524" s="7240" t="s">
        <v>641</v>
      </c>
      <c r="R524" s="6663" t="s">
        <v>31</v>
      </c>
      <c r="S524" s="6538"/>
      <c r="T524" s="2468"/>
      <c r="U524" s="544"/>
      <c r="V524" s="545"/>
      <c r="W524" s="547"/>
      <c r="X524" s="547"/>
      <c r="Y524" s="545"/>
      <c r="Z524" s="277"/>
      <c r="AA524" s="277"/>
      <c r="AB524" s="187"/>
    </row>
    <row r="525" spans="1:31" ht="20.100000000000001" customHeight="1">
      <c r="A525" s="11"/>
      <c r="B525" s="1360"/>
      <c r="C525" s="771"/>
      <c r="D525" s="6637"/>
      <c r="E525" s="357" t="s">
        <v>143</v>
      </c>
      <c r="F525" s="492" t="s">
        <v>420</v>
      </c>
      <c r="G525" s="666"/>
      <c r="H525" s="6173"/>
      <c r="I525" s="1545"/>
      <c r="J525" s="551" t="s">
        <v>144</v>
      </c>
      <c r="K525" s="492" t="s">
        <v>344</v>
      </c>
      <c r="L525" s="6753"/>
      <c r="M525" s="7249"/>
      <c r="N525" s="6842"/>
      <c r="O525" s="7375"/>
      <c r="P525" s="6825"/>
      <c r="Q525" s="7375"/>
      <c r="R525" s="6663" t="s">
        <v>31</v>
      </c>
      <c r="S525" s="6577"/>
      <c r="T525" s="2468"/>
      <c r="U525" s="544"/>
      <c r="V525" s="545"/>
      <c r="W525" s="547"/>
      <c r="X525" s="547"/>
      <c r="Y525" s="545"/>
      <c r="Z525" s="277"/>
      <c r="AA525" s="277"/>
      <c r="AB525" s="187"/>
    </row>
    <row r="526" spans="1:31" ht="20.100000000000001" customHeight="1">
      <c r="A526" s="11"/>
      <c r="B526" s="1360"/>
      <c r="C526" s="771"/>
      <c r="D526" s="6637"/>
      <c r="E526" s="357" t="s">
        <v>146</v>
      </c>
      <c r="F526" s="492" t="s">
        <v>420</v>
      </c>
      <c r="G526" s="666"/>
      <c r="H526" s="6173"/>
      <c r="I526" s="1545"/>
      <c r="J526" s="551" t="s">
        <v>147</v>
      </c>
      <c r="K526" s="492" t="s">
        <v>344</v>
      </c>
      <c r="L526" s="6774" t="s">
        <v>168</v>
      </c>
      <c r="M526" s="7250" t="s">
        <v>641</v>
      </c>
      <c r="N526" s="6826" t="s">
        <v>168</v>
      </c>
      <c r="O526" s="7240" t="s">
        <v>641</v>
      </c>
      <c r="P526" s="6837" t="s">
        <v>168</v>
      </c>
      <c r="Q526" s="7240" t="s">
        <v>641</v>
      </c>
      <c r="R526" s="6663" t="s">
        <v>31</v>
      </c>
      <c r="S526" s="6538"/>
      <c r="T526" s="2468"/>
      <c r="U526" s="544"/>
      <c r="V526" s="545"/>
      <c r="W526" s="547"/>
      <c r="X526" s="547"/>
      <c r="Y526" s="545"/>
      <c r="Z526" s="277"/>
      <c r="AA526" s="277"/>
      <c r="AB526" s="187"/>
    </row>
    <row r="527" spans="1:31" ht="20.100000000000001" customHeight="1">
      <c r="A527" s="11"/>
      <c r="B527" s="1360"/>
      <c r="C527" s="771"/>
      <c r="D527" s="6637"/>
      <c r="E527" s="357" t="s">
        <v>149</v>
      </c>
      <c r="F527" s="492" t="s">
        <v>420</v>
      </c>
      <c r="G527" s="666"/>
      <c r="H527" s="6173"/>
      <c r="I527" s="1545"/>
      <c r="J527" s="551" t="s">
        <v>150</v>
      </c>
      <c r="K527" s="492" t="s">
        <v>344</v>
      </c>
      <c r="L527" s="6753">
        <v>242</v>
      </c>
      <c r="M527" s="7249"/>
      <c r="N527" s="6842">
        <v>330</v>
      </c>
      <c r="O527" s="7375"/>
      <c r="P527" s="6825">
        <v>244</v>
      </c>
      <c r="Q527" s="7375"/>
      <c r="R527" s="6663" t="s">
        <v>31</v>
      </c>
      <c r="S527" s="6577"/>
      <c r="T527" s="2468"/>
      <c r="U527" s="544"/>
      <c r="V527" s="545"/>
      <c r="W527" s="547"/>
      <c r="X527" s="547"/>
      <c r="Y527" s="545"/>
      <c r="Z527" s="277"/>
      <c r="AA527" s="277"/>
      <c r="AB527" s="187"/>
    </row>
    <row r="528" spans="1:31" ht="20.100000000000001" customHeight="1">
      <c r="A528" s="11"/>
      <c r="B528" s="1360"/>
      <c r="C528" s="5598"/>
      <c r="D528" s="9586" t="s">
        <v>444</v>
      </c>
      <c r="E528" s="9588"/>
      <c r="F528" s="492" t="s">
        <v>420</v>
      </c>
      <c r="G528" s="666"/>
      <c r="H528" s="666"/>
      <c r="I528" s="9586" t="s">
        <v>445</v>
      </c>
      <c r="J528" s="9588"/>
      <c r="K528" s="492" t="s">
        <v>344</v>
      </c>
      <c r="L528" s="6763" t="str">
        <f>IF(COUNTBLANK(L529:L534)&gt;0,"미취합법인有",SUM(L529:L534))</f>
        <v>미취합법인有</v>
      </c>
      <c r="M528" s="7233"/>
      <c r="N528" s="6847" t="str">
        <f>IF(COUNTBLANK(N529:N534)&gt;0,"미취합법인有",SUM(N529:N534))</f>
        <v>미취합법인有</v>
      </c>
      <c r="O528" s="7236"/>
      <c r="P528" s="6914" t="str">
        <f>IF(COUNTBLANK(P529:P534)&gt;0,"미취합법인有",SUM(P529:P534))</f>
        <v>미취합법인有</v>
      </c>
      <c r="Q528" s="7463"/>
      <c r="R528" s="6663" t="s">
        <v>31</v>
      </c>
      <c r="S528" s="6561"/>
      <c r="T528" s="2468"/>
      <c r="U528" s="544"/>
      <c r="V528" s="545" t="s">
        <v>417</v>
      </c>
      <c r="W528" s="546"/>
      <c r="X528" s="547"/>
      <c r="Y528" s="548"/>
      <c r="Z528" s="277" t="s">
        <v>418</v>
      </c>
      <c r="AA528" s="277" t="s">
        <v>419</v>
      </c>
      <c r="AB528" s="187"/>
    </row>
    <row r="529" spans="1:28" ht="20.100000000000001" customHeight="1">
      <c r="A529" s="11"/>
      <c r="B529" s="1360"/>
      <c r="C529" s="5598"/>
      <c r="D529" s="9598" t="s">
        <v>134</v>
      </c>
      <c r="E529" s="9600"/>
      <c r="F529" s="492" t="s">
        <v>420</v>
      </c>
      <c r="G529" s="666"/>
      <c r="H529" s="666"/>
      <c r="I529" s="9579" t="s">
        <v>135</v>
      </c>
      <c r="J529" s="9581"/>
      <c r="K529" s="492" t="s">
        <v>344</v>
      </c>
      <c r="L529" s="6753">
        <v>0</v>
      </c>
      <c r="M529" s="7261"/>
      <c r="N529" s="6867">
        <v>0.95</v>
      </c>
      <c r="O529" s="6495" t="s">
        <v>697</v>
      </c>
      <c r="P529" s="6825">
        <v>0</v>
      </c>
      <c r="Q529" s="7375"/>
      <c r="R529" s="6663" t="s">
        <v>31</v>
      </c>
      <c r="S529" s="6577"/>
      <c r="T529" s="2468"/>
      <c r="U529" s="544"/>
      <c r="V529" s="545"/>
      <c r="W529" s="546"/>
      <c r="X529" s="547"/>
      <c r="Y529" s="548"/>
      <c r="Z529" s="277"/>
      <c r="AA529" s="277"/>
      <c r="AB529" s="187"/>
    </row>
    <row r="530" spans="1:28" ht="20.100000000000001" customHeight="1">
      <c r="A530" s="11"/>
      <c r="B530" s="1360"/>
      <c r="C530" s="5598"/>
      <c r="D530" s="9598" t="s">
        <v>137</v>
      </c>
      <c r="E530" s="9600"/>
      <c r="F530" s="492" t="s">
        <v>420</v>
      </c>
      <c r="G530" s="666"/>
      <c r="H530" s="666"/>
      <c r="I530" s="9579" t="s">
        <v>138</v>
      </c>
      <c r="J530" s="9581"/>
      <c r="K530" s="492" t="s">
        <v>344</v>
      </c>
      <c r="L530" s="6753"/>
      <c r="M530" s="7249"/>
      <c r="N530" s="6842"/>
      <c r="O530" s="7375"/>
      <c r="P530" s="6825"/>
      <c r="Q530" s="7375"/>
      <c r="R530" s="6663" t="s">
        <v>31</v>
      </c>
      <c r="S530" s="6577"/>
      <c r="T530" s="2468"/>
      <c r="U530" s="544"/>
      <c r="V530" s="545"/>
      <c r="W530" s="546"/>
      <c r="X530" s="547"/>
      <c r="Y530" s="548"/>
      <c r="Z530" s="277"/>
      <c r="AA530" s="277"/>
      <c r="AB530" s="187"/>
    </row>
    <row r="531" spans="1:28" ht="20.100000000000001" customHeight="1">
      <c r="A531" s="11"/>
      <c r="B531" s="1360"/>
      <c r="C531" s="5598"/>
      <c r="D531" s="9598" t="s">
        <v>140</v>
      </c>
      <c r="E531" s="9600"/>
      <c r="F531" s="492" t="s">
        <v>420</v>
      </c>
      <c r="G531" s="666"/>
      <c r="H531" s="666"/>
      <c r="I531" s="9582" t="s">
        <v>141</v>
      </c>
      <c r="J531" s="9583"/>
      <c r="K531" s="492" t="s">
        <v>344</v>
      </c>
      <c r="L531" s="6774" t="s">
        <v>168</v>
      </c>
      <c r="M531" s="7250" t="s">
        <v>641</v>
      </c>
      <c r="N531" s="6826" t="s">
        <v>168</v>
      </c>
      <c r="O531" s="7240" t="s">
        <v>641</v>
      </c>
      <c r="P531" s="6837" t="s">
        <v>168</v>
      </c>
      <c r="Q531" s="7240" t="s">
        <v>641</v>
      </c>
      <c r="R531" s="6663" t="s">
        <v>31</v>
      </c>
      <c r="S531" s="6538"/>
      <c r="T531" s="2468"/>
      <c r="U531" s="544"/>
      <c r="V531" s="545"/>
      <c r="W531" s="546"/>
      <c r="X531" s="547"/>
      <c r="Y531" s="548"/>
      <c r="Z531" s="277"/>
      <c r="AA531" s="277"/>
      <c r="AB531" s="187"/>
    </row>
    <row r="532" spans="1:28" ht="20.100000000000001" customHeight="1">
      <c r="A532" s="11"/>
      <c r="B532" s="1360"/>
      <c r="C532" s="5598"/>
      <c r="D532" s="9598" t="s">
        <v>143</v>
      </c>
      <c r="E532" s="9600"/>
      <c r="F532" s="492" t="s">
        <v>420</v>
      </c>
      <c r="G532" s="666"/>
      <c r="H532" s="666"/>
      <c r="I532" s="9582" t="s">
        <v>144</v>
      </c>
      <c r="J532" s="9583"/>
      <c r="K532" s="492" t="s">
        <v>344</v>
      </c>
      <c r="L532" s="6753"/>
      <c r="M532" s="7249"/>
      <c r="N532" s="6842"/>
      <c r="O532" s="7375"/>
      <c r="P532" s="6842"/>
      <c r="Q532" s="7375"/>
      <c r="R532" s="6663" t="s">
        <v>31</v>
      </c>
      <c r="S532" s="6577"/>
      <c r="T532" s="2468"/>
      <c r="U532" s="544"/>
      <c r="V532" s="545"/>
      <c r="W532" s="546"/>
      <c r="X532" s="547"/>
      <c r="Y532" s="548"/>
      <c r="Z532" s="277"/>
      <c r="AA532" s="277"/>
      <c r="AB532" s="187"/>
    </row>
    <row r="533" spans="1:28" ht="20.100000000000001" customHeight="1">
      <c r="A533" s="11"/>
      <c r="B533" s="1360"/>
      <c r="C533" s="5598"/>
      <c r="D533" s="9598" t="s">
        <v>146</v>
      </c>
      <c r="E533" s="9600"/>
      <c r="F533" s="492" t="s">
        <v>420</v>
      </c>
      <c r="G533" s="666"/>
      <c r="H533" s="666"/>
      <c r="I533" s="9582" t="s">
        <v>147</v>
      </c>
      <c r="J533" s="9583"/>
      <c r="K533" s="492" t="s">
        <v>344</v>
      </c>
      <c r="L533" s="6774" t="s">
        <v>168</v>
      </c>
      <c r="M533" s="7250" t="s">
        <v>641</v>
      </c>
      <c r="N533" s="6826" t="s">
        <v>168</v>
      </c>
      <c r="O533" s="7240" t="s">
        <v>641</v>
      </c>
      <c r="P533" s="6837" t="s">
        <v>168</v>
      </c>
      <c r="Q533" s="7240" t="s">
        <v>641</v>
      </c>
      <c r="R533" s="6663" t="s">
        <v>31</v>
      </c>
      <c r="S533" s="6538"/>
      <c r="T533" s="2468"/>
      <c r="U533" s="544"/>
      <c r="V533" s="545"/>
      <c r="W533" s="546"/>
      <c r="X533" s="547"/>
      <c r="Y533" s="548"/>
      <c r="Z533" s="277"/>
      <c r="AA533" s="277"/>
      <c r="AB533" s="187"/>
    </row>
    <row r="534" spans="1:28" ht="20.100000000000001" customHeight="1">
      <c r="A534" s="11"/>
      <c r="B534" s="1360"/>
      <c r="C534" s="5598"/>
      <c r="D534" s="9598" t="s">
        <v>149</v>
      </c>
      <c r="E534" s="9600"/>
      <c r="F534" s="492" t="s">
        <v>420</v>
      </c>
      <c r="G534" s="666"/>
      <c r="H534" s="666"/>
      <c r="I534" s="9582" t="s">
        <v>150</v>
      </c>
      <c r="J534" s="9583"/>
      <c r="K534" s="492" t="s">
        <v>344</v>
      </c>
      <c r="L534" s="6753">
        <v>0</v>
      </c>
      <c r="M534" s="7249"/>
      <c r="N534" s="6842">
        <v>0</v>
      </c>
      <c r="O534" s="7375"/>
      <c r="P534" s="6825">
        <v>0</v>
      </c>
      <c r="Q534" s="7375"/>
      <c r="R534" s="6663" t="s">
        <v>31</v>
      </c>
      <c r="S534" s="6577"/>
      <c r="T534" s="2468"/>
      <c r="U534" s="544"/>
      <c r="V534" s="545"/>
      <c r="W534" s="546"/>
      <c r="X534" s="547"/>
      <c r="Y534" s="548"/>
      <c r="Z534" s="277"/>
      <c r="AA534" s="277"/>
      <c r="AB534" s="187"/>
    </row>
    <row r="535" spans="1:28" ht="20.100000000000001" customHeight="1">
      <c r="A535" s="11"/>
      <c r="B535" s="1360"/>
      <c r="C535" s="777"/>
      <c r="D535" s="6637"/>
      <c r="E535" s="5604" t="s">
        <v>446</v>
      </c>
      <c r="F535" s="492" t="s">
        <v>420</v>
      </c>
      <c r="G535" s="358"/>
      <c r="H535" s="6132"/>
      <c r="I535" s="1545"/>
      <c r="J535" s="5604" t="s">
        <v>426</v>
      </c>
      <c r="K535" s="492" t="s">
        <v>344</v>
      </c>
      <c r="L535" s="6763" t="str">
        <f>IF(COUNTBLANK(L536:L541)&gt;0,"미취합법인有",SUM(L536:L541))</f>
        <v>미취합법인有</v>
      </c>
      <c r="M535" s="7233"/>
      <c r="N535" s="6847" t="str">
        <f>IF(COUNTBLANK(N536:N541)&gt;0,"미취합법인有",SUM(N536:N541))</f>
        <v>미취합법인有</v>
      </c>
      <c r="O535" s="7236"/>
      <c r="P535" s="6914" t="str">
        <f>IF(COUNTBLANK(P536:P541)&gt;0,"미취합법인有",SUM(P536:P541))</f>
        <v>미취합법인有</v>
      </c>
      <c r="Q535" s="7463"/>
      <c r="R535" s="6663" t="s">
        <v>31</v>
      </c>
      <c r="S535" s="6561"/>
      <c r="T535" s="2468" t="s">
        <v>427</v>
      </c>
      <c r="U535" s="544" t="s">
        <v>447</v>
      </c>
      <c r="V535" s="545" t="s">
        <v>417</v>
      </c>
      <c r="W535" s="547"/>
      <c r="X535" s="547"/>
      <c r="Y535" s="545"/>
      <c r="Z535" s="277" t="s">
        <v>429</v>
      </c>
      <c r="AA535" s="265" t="s">
        <v>448</v>
      </c>
      <c r="AB535" s="187"/>
    </row>
    <row r="536" spans="1:28" ht="20.100000000000001" customHeight="1">
      <c r="A536" s="11"/>
      <c r="B536" s="1360"/>
      <c r="C536" s="771"/>
      <c r="D536" s="6637"/>
      <c r="E536" s="357" t="s">
        <v>134</v>
      </c>
      <c r="F536" s="492" t="s">
        <v>420</v>
      </c>
      <c r="G536" s="666"/>
      <c r="H536" s="6173"/>
      <c r="I536" s="1545"/>
      <c r="J536" s="551" t="s">
        <v>431</v>
      </c>
      <c r="K536" s="492" t="s">
        <v>344</v>
      </c>
      <c r="L536" s="6753">
        <v>0</v>
      </c>
      <c r="M536" s="7249"/>
      <c r="N536" s="6842">
        <v>0</v>
      </c>
      <c r="O536" s="7375"/>
      <c r="P536" s="6825">
        <v>0</v>
      </c>
      <c r="Q536" s="7375"/>
      <c r="R536" s="6663" t="s">
        <v>31</v>
      </c>
      <c r="S536" s="6577"/>
      <c r="T536" s="2468"/>
      <c r="U536" s="544"/>
      <c r="V536" s="545"/>
      <c r="W536" s="547"/>
      <c r="X536" s="547"/>
      <c r="Y536" s="545"/>
      <c r="Z536" s="277"/>
      <c r="AA536" s="277"/>
      <c r="AB536" s="187"/>
    </row>
    <row r="537" spans="1:28" ht="20.100000000000001" customHeight="1">
      <c r="A537" s="11"/>
      <c r="B537" s="1360"/>
      <c r="C537" s="771"/>
      <c r="D537" s="6637"/>
      <c r="E537" s="357" t="s">
        <v>137</v>
      </c>
      <c r="F537" s="492" t="s">
        <v>420</v>
      </c>
      <c r="G537" s="666"/>
      <c r="H537" s="6173"/>
      <c r="I537" s="1545"/>
      <c r="J537" s="551" t="s">
        <v>449</v>
      </c>
      <c r="K537" s="492" t="s">
        <v>344</v>
      </c>
      <c r="L537" s="6753"/>
      <c r="M537" s="7249"/>
      <c r="N537" s="6842"/>
      <c r="O537" s="7377"/>
      <c r="P537" s="6936"/>
      <c r="Q537" s="7469"/>
      <c r="R537" s="6663" t="s">
        <v>31</v>
      </c>
      <c r="S537" s="6579"/>
      <c r="T537" s="2468"/>
      <c r="U537" s="544"/>
      <c r="V537" s="545"/>
      <c r="W537" s="547"/>
      <c r="X537" s="547"/>
      <c r="Y537" s="545"/>
      <c r="Z537" s="277"/>
      <c r="AA537" s="277"/>
      <c r="AB537" s="187"/>
    </row>
    <row r="538" spans="1:28" ht="20.100000000000001" customHeight="1">
      <c r="A538" s="11"/>
      <c r="B538" s="1360"/>
      <c r="C538" s="771"/>
      <c r="D538" s="6637"/>
      <c r="E538" s="357" t="s">
        <v>140</v>
      </c>
      <c r="F538" s="492" t="s">
        <v>420</v>
      </c>
      <c r="G538" s="666"/>
      <c r="H538" s="6173"/>
      <c r="I538" s="1545"/>
      <c r="J538" s="551" t="s">
        <v>450</v>
      </c>
      <c r="K538" s="492" t="s">
        <v>344</v>
      </c>
      <c r="L538" s="6774" t="s">
        <v>168</v>
      </c>
      <c r="M538" s="7250" t="s">
        <v>641</v>
      </c>
      <c r="N538" s="6826" t="s">
        <v>168</v>
      </c>
      <c r="O538" s="7240" t="s">
        <v>641</v>
      </c>
      <c r="P538" s="6837" t="s">
        <v>168</v>
      </c>
      <c r="Q538" s="7240" t="s">
        <v>641</v>
      </c>
      <c r="R538" s="6663" t="s">
        <v>31</v>
      </c>
      <c r="S538" s="6538"/>
      <c r="T538" s="2468"/>
      <c r="U538" s="544"/>
      <c r="V538" s="545"/>
      <c r="W538" s="547"/>
      <c r="X538" s="547"/>
      <c r="Y538" s="545"/>
      <c r="Z538" s="277"/>
      <c r="AA538" s="277"/>
      <c r="AB538" s="187"/>
    </row>
    <row r="539" spans="1:28" ht="20.100000000000001" customHeight="1">
      <c r="A539" s="11"/>
      <c r="B539" s="1360"/>
      <c r="C539" s="771"/>
      <c r="D539" s="6637"/>
      <c r="E539" s="357" t="s">
        <v>143</v>
      </c>
      <c r="F539" s="492" t="s">
        <v>420</v>
      </c>
      <c r="G539" s="666"/>
      <c r="H539" s="6173"/>
      <c r="I539" s="1545"/>
      <c r="J539" s="551" t="s">
        <v>451</v>
      </c>
      <c r="K539" s="492" t="s">
        <v>344</v>
      </c>
      <c r="L539" s="6753"/>
      <c r="M539" s="7249"/>
      <c r="N539" s="6842"/>
      <c r="O539" s="7249"/>
      <c r="P539" s="6842"/>
      <c r="Q539" s="7469"/>
      <c r="R539" s="6663" t="s">
        <v>31</v>
      </c>
      <c r="S539" s="6579"/>
      <c r="T539" s="2468"/>
      <c r="U539" s="544"/>
      <c r="V539" s="545"/>
      <c r="W539" s="547"/>
      <c r="X539" s="547"/>
      <c r="Y539" s="545"/>
      <c r="Z539" s="277"/>
      <c r="AA539" s="277"/>
      <c r="AB539" s="187"/>
    </row>
    <row r="540" spans="1:28" ht="20.100000000000001" customHeight="1">
      <c r="A540" s="11"/>
      <c r="B540" s="1360"/>
      <c r="C540" s="771"/>
      <c r="D540" s="6637"/>
      <c r="E540" s="357" t="s">
        <v>146</v>
      </c>
      <c r="F540" s="492" t="s">
        <v>420</v>
      </c>
      <c r="G540" s="666"/>
      <c r="H540" s="6173"/>
      <c r="I540" s="1545"/>
      <c r="J540" s="551" t="s">
        <v>452</v>
      </c>
      <c r="K540" s="492" t="s">
        <v>344</v>
      </c>
      <c r="L540" s="6774" t="s">
        <v>168</v>
      </c>
      <c r="M540" s="7250" t="s">
        <v>641</v>
      </c>
      <c r="N540" s="6826" t="s">
        <v>168</v>
      </c>
      <c r="O540" s="7356" t="s">
        <v>641</v>
      </c>
      <c r="P540" s="6826" t="s">
        <v>168</v>
      </c>
      <c r="Q540" s="7240" t="s">
        <v>641</v>
      </c>
      <c r="R540" s="6663" t="s">
        <v>31</v>
      </c>
      <c r="S540" s="6538"/>
      <c r="T540" s="2468"/>
      <c r="U540" s="544"/>
      <c r="V540" s="545"/>
      <c r="W540" s="547"/>
      <c r="X540" s="547"/>
      <c r="Y540" s="545"/>
      <c r="Z540" s="277"/>
      <c r="AA540" s="277"/>
      <c r="AB540" s="187"/>
    </row>
    <row r="541" spans="1:28" ht="20.100000000000001" customHeight="1">
      <c r="A541" s="11"/>
      <c r="B541" s="1360"/>
      <c r="C541" s="771"/>
      <c r="D541" s="6637"/>
      <c r="E541" s="357" t="s">
        <v>149</v>
      </c>
      <c r="F541" s="492" t="s">
        <v>420</v>
      </c>
      <c r="G541" s="666"/>
      <c r="H541" s="6173"/>
      <c r="I541" s="1545"/>
      <c r="J541" s="551" t="s">
        <v>453</v>
      </c>
      <c r="K541" s="492" t="s">
        <v>344</v>
      </c>
      <c r="L541" s="6753">
        <v>0</v>
      </c>
      <c r="M541" s="7249"/>
      <c r="N541" s="6842">
        <v>0</v>
      </c>
      <c r="O541" s="7377"/>
      <c r="P541" s="6936">
        <v>0</v>
      </c>
      <c r="Q541" s="7469"/>
      <c r="R541" s="6663" t="s">
        <v>31</v>
      </c>
      <c r="S541" s="6579"/>
      <c r="T541" s="2468"/>
      <c r="U541" s="544"/>
      <c r="V541" s="545"/>
      <c r="W541" s="547"/>
      <c r="X541" s="547"/>
      <c r="Y541" s="545"/>
      <c r="Z541" s="277"/>
      <c r="AA541" s="277"/>
      <c r="AB541" s="187"/>
    </row>
    <row r="542" spans="1:28" ht="20.100000000000001" customHeight="1">
      <c r="A542" s="11"/>
      <c r="B542" s="1360"/>
      <c r="C542" s="777"/>
      <c r="D542" s="6637"/>
      <c r="E542" s="5604" t="s">
        <v>454</v>
      </c>
      <c r="F542" s="492" t="s">
        <v>420</v>
      </c>
      <c r="G542" s="358"/>
      <c r="H542" s="6132"/>
      <c r="I542" s="1545"/>
      <c r="J542" s="5604" t="s">
        <v>455</v>
      </c>
      <c r="K542" s="492" t="s">
        <v>344</v>
      </c>
      <c r="L542" s="6763" t="str">
        <f>IF(COUNTBLANK(L543:L548)&gt;0,"미취합법인有",SUM(L543:L548))</f>
        <v>미취합법인有</v>
      </c>
      <c r="M542" s="7233"/>
      <c r="N542" s="6847" t="str">
        <f>IF(COUNTBLANK(N543:N548)&gt;0,"미취합법인有",SUM(N543:N548))</f>
        <v>미취합법인有</v>
      </c>
      <c r="O542" s="7236"/>
      <c r="P542" s="6913" t="str">
        <f>IF(COUNTBLANK(P543:P548)&gt;0,"미취합법인有",SUM(P543:P548))</f>
        <v>미취합법인有</v>
      </c>
      <c r="Q542" s="7463"/>
      <c r="R542" s="6663" t="s">
        <v>31</v>
      </c>
      <c r="S542" s="6561"/>
      <c r="T542" s="2468"/>
      <c r="U542" s="276"/>
      <c r="V542" s="99" t="s">
        <v>189</v>
      </c>
      <c r="W542" s="547"/>
      <c r="X542" s="547"/>
      <c r="Y542" s="99"/>
      <c r="Z542" s="277" t="s">
        <v>418</v>
      </c>
      <c r="AA542" s="277" t="s">
        <v>419</v>
      </c>
      <c r="AB542" s="187"/>
    </row>
    <row r="543" spans="1:28" ht="20.100000000000001" customHeight="1">
      <c r="A543" s="11"/>
      <c r="B543" s="1360"/>
      <c r="C543" s="771"/>
      <c r="D543" s="6637"/>
      <c r="E543" s="357" t="s">
        <v>134</v>
      </c>
      <c r="F543" s="492" t="s">
        <v>420</v>
      </c>
      <c r="G543" s="666"/>
      <c r="H543" s="6173"/>
      <c r="I543" s="1545"/>
      <c r="J543" s="551" t="s">
        <v>431</v>
      </c>
      <c r="K543" s="492" t="s">
        <v>344</v>
      </c>
      <c r="L543" s="6753">
        <v>0</v>
      </c>
      <c r="M543" s="7249"/>
      <c r="N543" s="6867">
        <v>0.95</v>
      </c>
      <c r="O543" s="7377"/>
      <c r="P543" s="6937">
        <v>0</v>
      </c>
      <c r="Q543" s="7469"/>
      <c r="R543" s="6663" t="s">
        <v>31</v>
      </c>
      <c r="S543" s="6579"/>
      <c r="T543" s="2468"/>
      <c r="U543" s="544"/>
      <c r="V543" s="545"/>
      <c r="W543" s="547"/>
      <c r="X543" s="547"/>
      <c r="Y543" s="545"/>
      <c r="Z543" s="277"/>
      <c r="AA543" s="277"/>
      <c r="AB543" s="187"/>
    </row>
    <row r="544" spans="1:28" ht="20.100000000000001" customHeight="1">
      <c r="A544" s="11"/>
      <c r="B544" s="1360"/>
      <c r="C544" s="771"/>
      <c r="D544" s="6637"/>
      <c r="E544" s="357" t="s">
        <v>137</v>
      </c>
      <c r="F544" s="492" t="s">
        <v>420</v>
      </c>
      <c r="G544" s="666"/>
      <c r="H544" s="6173"/>
      <c r="I544" s="1545"/>
      <c r="J544" s="551" t="s">
        <v>449</v>
      </c>
      <c r="K544" s="492" t="s">
        <v>344</v>
      </c>
      <c r="L544" s="6753"/>
      <c r="M544" s="7249"/>
      <c r="N544" s="6842"/>
      <c r="O544" s="7377"/>
      <c r="P544" s="6936"/>
      <c r="Q544" s="7469"/>
      <c r="R544" s="6663" t="s">
        <v>31</v>
      </c>
      <c r="S544" s="6579"/>
      <c r="T544" s="2468"/>
      <c r="U544" s="544"/>
      <c r="V544" s="545"/>
      <c r="W544" s="547"/>
      <c r="X544" s="547"/>
      <c r="Y544" s="545"/>
      <c r="Z544" s="277"/>
      <c r="AA544" s="277"/>
      <c r="AB544" s="187"/>
    </row>
    <row r="545" spans="1:31" ht="20.100000000000001" customHeight="1">
      <c r="A545" s="11"/>
      <c r="B545" s="1360"/>
      <c r="C545" s="771"/>
      <c r="D545" s="6637"/>
      <c r="E545" s="357" t="s">
        <v>140</v>
      </c>
      <c r="F545" s="492" t="s">
        <v>420</v>
      </c>
      <c r="G545" s="666"/>
      <c r="H545" s="6173"/>
      <c r="I545" s="1545"/>
      <c r="J545" s="551" t="s">
        <v>450</v>
      </c>
      <c r="K545" s="492" t="s">
        <v>344</v>
      </c>
      <c r="L545" s="6774" t="s">
        <v>168</v>
      </c>
      <c r="M545" s="7250" t="s">
        <v>641</v>
      </c>
      <c r="N545" s="6826" t="s">
        <v>168</v>
      </c>
      <c r="O545" s="7240" t="s">
        <v>641</v>
      </c>
      <c r="P545" s="6837" t="s">
        <v>168</v>
      </c>
      <c r="Q545" s="7240" t="s">
        <v>641</v>
      </c>
      <c r="R545" s="6663" t="s">
        <v>31</v>
      </c>
      <c r="S545" s="6538"/>
      <c r="T545" s="2468"/>
      <c r="U545" s="544"/>
      <c r="V545" s="545"/>
      <c r="W545" s="547"/>
      <c r="X545" s="547"/>
      <c r="Y545" s="545"/>
      <c r="Z545" s="277"/>
      <c r="AA545" s="277"/>
      <c r="AB545" s="187"/>
    </row>
    <row r="546" spans="1:31" ht="20.100000000000001" customHeight="1">
      <c r="A546" s="11"/>
      <c r="B546" s="1360"/>
      <c r="C546" s="771"/>
      <c r="D546" s="6637"/>
      <c r="E546" s="357" t="s">
        <v>143</v>
      </c>
      <c r="F546" s="492" t="s">
        <v>420</v>
      </c>
      <c r="G546" s="666"/>
      <c r="H546" s="6173"/>
      <c r="I546" s="1545"/>
      <c r="J546" s="551" t="s">
        <v>451</v>
      </c>
      <c r="K546" s="492" t="s">
        <v>344</v>
      </c>
      <c r="L546" s="6753"/>
      <c r="M546" s="7249"/>
      <c r="N546" s="6842"/>
      <c r="O546" s="7249"/>
      <c r="P546" s="6842"/>
      <c r="Q546" s="7469"/>
      <c r="R546" s="6663" t="s">
        <v>31</v>
      </c>
      <c r="S546" s="6579"/>
      <c r="T546" s="2468"/>
      <c r="U546" s="544"/>
      <c r="V546" s="545"/>
      <c r="W546" s="547"/>
      <c r="X546" s="547"/>
      <c r="Y546" s="545"/>
      <c r="Z546" s="277"/>
      <c r="AA546" s="277"/>
      <c r="AB546" s="187"/>
    </row>
    <row r="547" spans="1:31" ht="20.100000000000001" customHeight="1">
      <c r="A547" s="11"/>
      <c r="B547" s="1360"/>
      <c r="C547" s="771"/>
      <c r="D547" s="6637"/>
      <c r="E547" s="357" t="s">
        <v>146</v>
      </c>
      <c r="F547" s="492" t="s">
        <v>420</v>
      </c>
      <c r="G547" s="666"/>
      <c r="H547" s="6173"/>
      <c r="I547" s="1545"/>
      <c r="J547" s="551" t="s">
        <v>452</v>
      </c>
      <c r="K547" s="492" t="s">
        <v>344</v>
      </c>
      <c r="L547" s="6774" t="s">
        <v>168</v>
      </c>
      <c r="M547" s="7250" t="s">
        <v>641</v>
      </c>
      <c r="N547" s="6826" t="s">
        <v>168</v>
      </c>
      <c r="O547" s="7356" t="s">
        <v>641</v>
      </c>
      <c r="P547" s="6826" t="s">
        <v>168</v>
      </c>
      <c r="Q547" s="7240" t="s">
        <v>641</v>
      </c>
      <c r="R547" s="6663" t="s">
        <v>31</v>
      </c>
      <c r="S547" s="6538"/>
      <c r="T547" s="2468"/>
      <c r="U547" s="544"/>
      <c r="V547" s="545"/>
      <c r="W547" s="547"/>
      <c r="X547" s="547"/>
      <c r="Y547" s="545"/>
      <c r="Z547" s="277"/>
      <c r="AA547" s="277"/>
      <c r="AB547" s="187"/>
    </row>
    <row r="548" spans="1:31" ht="20.100000000000001" customHeight="1">
      <c r="A548" s="11"/>
      <c r="B548" s="1360"/>
      <c r="C548" s="771"/>
      <c r="D548" s="6637"/>
      <c r="E548" s="357" t="s">
        <v>149</v>
      </c>
      <c r="F548" s="492" t="s">
        <v>420</v>
      </c>
      <c r="G548" s="666"/>
      <c r="H548" s="6173"/>
      <c r="I548" s="1545"/>
      <c r="J548" s="551" t="s">
        <v>453</v>
      </c>
      <c r="K548" s="492" t="s">
        <v>344</v>
      </c>
      <c r="L548" s="6753">
        <v>0</v>
      </c>
      <c r="M548" s="7249"/>
      <c r="N548" s="6842">
        <v>0</v>
      </c>
      <c r="O548" s="7377"/>
      <c r="P548" s="6936">
        <v>0</v>
      </c>
      <c r="Q548" s="7469"/>
      <c r="R548" s="6663" t="s">
        <v>31</v>
      </c>
      <c r="S548" s="6579"/>
      <c r="T548" s="2468"/>
      <c r="U548" s="544"/>
      <c r="V548" s="545"/>
      <c r="W548" s="547"/>
      <c r="X548" s="547"/>
      <c r="Y548" s="545"/>
      <c r="Z548" s="277"/>
      <c r="AA548" s="277"/>
      <c r="AB548" s="187"/>
    </row>
    <row r="549" spans="1:31" ht="20.100000000000001" customHeight="1">
      <c r="A549" s="11"/>
      <c r="B549" s="1360"/>
      <c r="C549" s="9656" t="s">
        <v>456</v>
      </c>
      <c r="D549" s="9587"/>
      <c r="E549" s="9588"/>
      <c r="F549" s="492" t="s">
        <v>457</v>
      </c>
      <c r="G549" s="571"/>
      <c r="H549" s="9586" t="s">
        <v>458</v>
      </c>
      <c r="I549" s="9587"/>
      <c r="J549" s="9588"/>
      <c r="K549" s="285" t="s">
        <v>459</v>
      </c>
      <c r="L549" s="6763" t="str">
        <f>IF(COUNTBLANK(L550:L555)&gt;0,"미취합법인有",SUM(L550:L555))</f>
        <v>미취합법인有</v>
      </c>
      <c r="M549" s="7233"/>
      <c r="N549" s="6847" t="str">
        <f>IF(COUNTBLANK(N550:N555)&gt;0,"미취합법인有",SUM(N550:N555))</f>
        <v>미취합법인有</v>
      </c>
      <c r="O549" s="7236"/>
      <c r="P549" s="6913" t="str">
        <f>IF(COUNTBLANK(P550:P555)&gt;0,"미취합법인有",SUM(P550:P555))</f>
        <v>미취합법인有</v>
      </c>
      <c r="Q549" s="7463"/>
      <c r="R549" s="6663" t="s">
        <v>31</v>
      </c>
      <c r="S549" s="6561"/>
      <c r="T549" s="2468" t="s">
        <v>460</v>
      </c>
      <c r="U549" s="276" t="s">
        <v>461</v>
      </c>
      <c r="V549" s="99" t="s">
        <v>189</v>
      </c>
      <c r="W549" s="547"/>
      <c r="X549" s="547"/>
      <c r="Y549" s="99"/>
      <c r="Z549" s="277" t="s">
        <v>462</v>
      </c>
      <c r="AA549" s="265"/>
      <c r="AB549" s="187"/>
      <c r="AE549" s="1377" t="s">
        <v>463</v>
      </c>
    </row>
    <row r="550" spans="1:31" ht="19.5" customHeight="1">
      <c r="A550" s="11"/>
      <c r="B550" s="5590"/>
      <c r="C550" s="9647" t="s">
        <v>134</v>
      </c>
      <c r="D550" s="9648"/>
      <c r="E550" s="9649"/>
      <c r="F550" s="492" t="s">
        <v>457</v>
      </c>
      <c r="G550" s="253"/>
      <c r="H550" s="9579" t="s">
        <v>135</v>
      </c>
      <c r="I550" s="9580"/>
      <c r="J550" s="9581"/>
      <c r="K550" s="285" t="s">
        <v>459</v>
      </c>
      <c r="L550" s="6754">
        <v>2.6590548761004588E-2</v>
      </c>
      <c r="M550" s="7259" t="s">
        <v>699</v>
      </c>
      <c r="N550" s="6826">
        <v>1.3614241458903248E-2</v>
      </c>
      <c r="O550" s="7259" t="s">
        <v>700</v>
      </c>
      <c r="P550" s="6938">
        <v>0.13600000000000001</v>
      </c>
      <c r="Q550" s="6497" t="s">
        <v>701</v>
      </c>
      <c r="R550" s="6663" t="s">
        <v>31</v>
      </c>
      <c r="S550" s="6531"/>
      <c r="T550" s="1033"/>
      <c r="U550" s="263"/>
      <c r="V550" s="99"/>
      <c r="W550" s="138"/>
      <c r="X550" s="138"/>
      <c r="Y550" s="99"/>
      <c r="Z550" s="264"/>
      <c r="AA550" s="277"/>
      <c r="AB550" s="187"/>
      <c r="AD550" s="139" t="s">
        <v>464</v>
      </c>
    </row>
    <row r="551" spans="1:31" ht="19.899999999999999" customHeight="1">
      <c r="A551" s="11"/>
      <c r="B551" s="5590"/>
      <c r="C551" s="9647" t="s">
        <v>137</v>
      </c>
      <c r="D551" s="9648"/>
      <c r="E551" s="9649"/>
      <c r="F551" s="492" t="s">
        <v>457</v>
      </c>
      <c r="G551" s="253"/>
      <c r="H551" s="9579" t="s">
        <v>138</v>
      </c>
      <c r="I551" s="9580"/>
      <c r="J551" s="9581"/>
      <c r="K551" s="285" t="s">
        <v>459</v>
      </c>
      <c r="L551" s="6754"/>
      <c r="M551" s="7250"/>
      <c r="N551" s="6826"/>
      <c r="O551" s="7356"/>
      <c r="P551" s="6826"/>
      <c r="Q551" s="7356"/>
      <c r="R551" s="6663" t="s">
        <v>31</v>
      </c>
      <c r="S551" s="6557"/>
      <c r="T551" s="1033"/>
      <c r="U551" s="263"/>
      <c r="V551" s="99"/>
      <c r="W551" s="138"/>
      <c r="X551" s="138"/>
      <c r="Y551" s="99"/>
      <c r="Z551" s="264"/>
      <c r="AA551" s="277"/>
      <c r="AB551" s="187"/>
    </row>
    <row r="552" spans="1:31" ht="19.899999999999999" customHeight="1">
      <c r="A552" s="11"/>
      <c r="B552" s="5590"/>
      <c r="C552" s="9647" t="s">
        <v>140</v>
      </c>
      <c r="D552" s="9648"/>
      <c r="E552" s="9649"/>
      <c r="F552" s="492" t="s">
        <v>457</v>
      </c>
      <c r="G552" s="253"/>
      <c r="H552" s="9579" t="s">
        <v>141</v>
      </c>
      <c r="I552" s="9580"/>
      <c r="J552" s="9581"/>
      <c r="K552" s="285" t="s">
        <v>459</v>
      </c>
      <c r="L552" s="6754">
        <v>206.70276207795806</v>
      </c>
      <c r="M552" s="7250"/>
      <c r="N552" s="6826">
        <v>150.78601462757095</v>
      </c>
      <c r="O552" s="7356"/>
      <c r="P552" s="6826">
        <v>174.47029858641284</v>
      </c>
      <c r="Q552" s="7356"/>
      <c r="R552" s="6663" t="s">
        <v>31</v>
      </c>
      <c r="S552" s="6557"/>
      <c r="T552" s="1033"/>
      <c r="U552" s="263"/>
      <c r="V552" s="99"/>
      <c r="W552" s="138"/>
      <c r="X552" s="138"/>
      <c r="Y552" s="99"/>
      <c r="Z552" s="264"/>
      <c r="AA552" s="277"/>
      <c r="AB552" s="187"/>
      <c r="AE552" s="1377" t="s">
        <v>463</v>
      </c>
    </row>
    <row r="553" spans="1:31" ht="19.899999999999999" customHeight="1">
      <c r="A553" s="11"/>
      <c r="B553" s="5590"/>
      <c r="C553" s="9647" t="s">
        <v>143</v>
      </c>
      <c r="D553" s="9648"/>
      <c r="E553" s="9649"/>
      <c r="F553" s="492" t="s">
        <v>457</v>
      </c>
      <c r="G553" s="253"/>
      <c r="H553" s="9579" t="s">
        <v>144</v>
      </c>
      <c r="I553" s="9580"/>
      <c r="J553" s="9581"/>
      <c r="K553" s="285" t="s">
        <v>459</v>
      </c>
      <c r="L553" s="6754" t="s">
        <v>169</v>
      </c>
      <c r="M553" s="7250"/>
      <c r="N553" s="6826" t="s">
        <v>169</v>
      </c>
      <c r="O553" s="7356"/>
      <c r="P553" s="6826" t="s">
        <v>169</v>
      </c>
      <c r="Q553" s="7356"/>
      <c r="R553" s="6663" t="s">
        <v>31</v>
      </c>
      <c r="S553" s="6557"/>
      <c r="T553" s="1033"/>
      <c r="U553" s="263"/>
      <c r="V553" s="99"/>
      <c r="W553" s="138"/>
      <c r="X553" s="138"/>
      <c r="Y553" s="99"/>
      <c r="Z553" s="264"/>
      <c r="AA553" s="277"/>
      <c r="AB553" s="187"/>
      <c r="AE553" s="1377" t="s">
        <v>463</v>
      </c>
    </row>
    <row r="554" spans="1:31" ht="19.899999999999999" customHeight="1">
      <c r="A554" s="11"/>
      <c r="B554" s="5590"/>
      <c r="C554" s="9647" t="s">
        <v>146</v>
      </c>
      <c r="D554" s="9648"/>
      <c r="E554" s="9649"/>
      <c r="F554" s="492" t="s">
        <v>457</v>
      </c>
      <c r="G554" s="253"/>
      <c r="H554" s="9579" t="s">
        <v>147</v>
      </c>
      <c r="I554" s="9580"/>
      <c r="J554" s="9581"/>
      <c r="K554" s="285" t="s">
        <v>459</v>
      </c>
      <c r="L554" s="6790" t="s">
        <v>169</v>
      </c>
      <c r="M554" s="7272"/>
      <c r="N554" s="6868" t="s">
        <v>169</v>
      </c>
      <c r="O554" s="7378"/>
      <c r="P554" s="6868" t="s">
        <v>169</v>
      </c>
      <c r="Q554" s="7356"/>
      <c r="R554" s="6663" t="s">
        <v>31</v>
      </c>
      <c r="S554" s="6557"/>
      <c r="T554" s="1033"/>
      <c r="U554" s="263"/>
      <c r="V554" s="99"/>
      <c r="W554" s="138"/>
      <c r="X554" s="138"/>
      <c r="Y554" s="99"/>
      <c r="Z554" s="264"/>
      <c r="AA554" s="277"/>
      <c r="AB554" s="187"/>
      <c r="AE554" s="1377" t="s">
        <v>463</v>
      </c>
    </row>
    <row r="555" spans="1:31" ht="19.899999999999999" customHeight="1">
      <c r="A555" s="11"/>
      <c r="B555" s="5590"/>
      <c r="C555" s="9647" t="s">
        <v>149</v>
      </c>
      <c r="D555" s="9648"/>
      <c r="E555" s="9649"/>
      <c r="F555" s="492" t="s">
        <v>457</v>
      </c>
      <c r="G555" s="253"/>
      <c r="H555" s="9579" t="s">
        <v>150</v>
      </c>
      <c r="I555" s="9580"/>
      <c r="J555" s="9581"/>
      <c r="K555" s="285" t="s">
        <v>459</v>
      </c>
      <c r="L555" s="6754">
        <v>6.8936048995869538E-3</v>
      </c>
      <c r="M555" s="7250"/>
      <c r="N555" s="6826">
        <v>3.8243133619191099E-3</v>
      </c>
      <c r="O555" s="7356"/>
      <c r="P555" s="6826">
        <v>1.9741898944132044E-3</v>
      </c>
      <c r="Q555" s="7356"/>
      <c r="R555" s="6663" t="s">
        <v>31</v>
      </c>
      <c r="S555" s="6557"/>
      <c r="T555" s="1033"/>
      <c r="U555" s="263"/>
      <c r="V555" s="99"/>
      <c r="W555" s="138"/>
      <c r="X555" s="138"/>
      <c r="Y555" s="99"/>
      <c r="Z555" s="264"/>
      <c r="AA555" s="277"/>
      <c r="AB555" s="187"/>
      <c r="AE555" s="1377" t="s">
        <v>463</v>
      </c>
    </row>
    <row r="556" spans="1:31" ht="20.100000000000001" customHeight="1">
      <c r="A556" s="11"/>
      <c r="B556" s="1360"/>
      <c r="C556" s="5598"/>
      <c r="D556" s="9635" t="s">
        <v>412</v>
      </c>
      <c r="E556" s="9636"/>
      <c r="F556" s="492" t="s">
        <v>420</v>
      </c>
      <c r="G556" s="198"/>
      <c r="H556" s="177"/>
      <c r="I556" s="9635" t="s">
        <v>702</v>
      </c>
      <c r="J556" s="9636"/>
      <c r="K556" s="285" t="s">
        <v>703</v>
      </c>
      <c r="L556" s="6763" t="str">
        <f>IF(COUNTBLANK(L557:L562)&gt;0,"미취합법인有",SUM(L557:L562))</f>
        <v>미취합법인有</v>
      </c>
      <c r="M556" s="7233"/>
      <c r="N556" s="6847" t="str">
        <f>IF(COUNTBLANK(N557:N562)&gt;0,"미취합법인有",SUM(N557:N562))</f>
        <v>미취합법인有</v>
      </c>
      <c r="O556" s="7353"/>
      <c r="P556" s="6913" t="str">
        <f>IF(COUNTBLANK(P557:P562)&gt;0,"미취합법인有",SUM(P557:P562))</f>
        <v>미취합법인有</v>
      </c>
      <c r="Q556" s="7463"/>
      <c r="R556" s="6663" t="s">
        <v>31</v>
      </c>
      <c r="S556" s="6561"/>
      <c r="T556" s="2468"/>
      <c r="U556" s="24"/>
      <c r="V556" s="99" t="s">
        <v>189</v>
      </c>
      <c r="W556" s="547"/>
      <c r="X556" s="547"/>
      <c r="Y556" s="99"/>
      <c r="Z556" s="277" t="s">
        <v>462</v>
      </c>
      <c r="AA556" s="277"/>
      <c r="AB556" s="187"/>
      <c r="AE556" s="1377" t="s">
        <v>465</v>
      </c>
    </row>
    <row r="557" spans="1:31" ht="19.5" customHeight="1">
      <c r="A557" s="11"/>
      <c r="B557" s="1360"/>
      <c r="C557" s="5598"/>
      <c r="D557" s="9598" t="s">
        <v>134</v>
      </c>
      <c r="E557" s="9600"/>
      <c r="F557" s="492" t="s">
        <v>420</v>
      </c>
      <c r="G557" s="666"/>
      <c r="H557" s="684"/>
      <c r="I557" s="9579" t="s">
        <v>135</v>
      </c>
      <c r="J557" s="9581"/>
      <c r="K557" s="285" t="s">
        <v>703</v>
      </c>
      <c r="L557" s="6754">
        <v>87.38000000000001</v>
      </c>
      <c r="M557" s="7250"/>
      <c r="N557" s="6826">
        <v>96.2</v>
      </c>
      <c r="O557" s="7250"/>
      <c r="P557" s="6857">
        <v>1056.499</v>
      </c>
      <c r="Q557" s="7259" t="s">
        <v>688</v>
      </c>
      <c r="R557" s="6663" t="s">
        <v>31</v>
      </c>
      <c r="S557" s="6572"/>
      <c r="T557" s="2468"/>
      <c r="U557" s="544"/>
      <c r="V557" s="545"/>
      <c r="W557" s="546"/>
      <c r="X557" s="547"/>
      <c r="Y557" s="548"/>
      <c r="Z557" s="277"/>
      <c r="AA557" s="277"/>
      <c r="AB557" s="187"/>
    </row>
    <row r="558" spans="1:31" ht="20.100000000000001" customHeight="1">
      <c r="A558" s="11"/>
      <c r="B558" s="1360"/>
      <c r="C558" s="5598"/>
      <c r="D558" s="9598" t="s">
        <v>137</v>
      </c>
      <c r="E558" s="9600"/>
      <c r="F558" s="492" t="s">
        <v>420</v>
      </c>
      <c r="G558" s="666"/>
      <c r="H558" s="684"/>
      <c r="I558" s="9579" t="s">
        <v>138</v>
      </c>
      <c r="J558" s="9581"/>
      <c r="K558" s="285" t="s">
        <v>703</v>
      </c>
      <c r="L558" s="6753"/>
      <c r="M558" s="7261"/>
      <c r="N558" s="6842"/>
      <c r="O558" s="7379"/>
      <c r="P558" s="6936"/>
      <c r="Q558" s="7470"/>
      <c r="R558" s="6663" t="s">
        <v>31</v>
      </c>
      <c r="S558" s="6580"/>
      <c r="T558" s="2468"/>
      <c r="U558" s="544"/>
      <c r="V558" s="545"/>
      <c r="W558" s="546"/>
      <c r="X558" s="547"/>
      <c r="Y558" s="548"/>
      <c r="Z558" s="277"/>
      <c r="AA558" s="277"/>
      <c r="AB558" s="187"/>
    </row>
    <row r="559" spans="1:31" ht="20.100000000000001" customHeight="1">
      <c r="A559" s="11"/>
      <c r="B559" s="1360"/>
      <c r="C559" s="5598"/>
      <c r="D559" s="9598" t="s">
        <v>140</v>
      </c>
      <c r="E559" s="9600"/>
      <c r="F559" s="492" t="s">
        <v>420</v>
      </c>
      <c r="G559" s="666"/>
      <c r="H559" s="684"/>
      <c r="I559" s="9582" t="s">
        <v>141</v>
      </c>
      <c r="J559" s="9583"/>
      <c r="K559" s="285" t="s">
        <v>703</v>
      </c>
      <c r="L559" s="6754">
        <v>539711.13537453057</v>
      </c>
      <c r="M559" s="7250"/>
      <c r="N559" s="6826">
        <v>251596.97715395334</v>
      </c>
      <c r="O559" s="7240"/>
      <c r="P559" s="6837">
        <v>520678.84688403166</v>
      </c>
      <c r="Q559" s="7240"/>
      <c r="R559" s="6663" t="s">
        <v>31</v>
      </c>
      <c r="S559" s="6538"/>
      <c r="T559" s="2468"/>
      <c r="U559" s="544"/>
      <c r="V559" s="545"/>
      <c r="W559" s="546"/>
      <c r="X559" s="547"/>
      <c r="Y559" s="548"/>
      <c r="Z559" s="277"/>
      <c r="AA559" s="277"/>
      <c r="AB559" s="187"/>
      <c r="AE559" s="1377" t="s">
        <v>465</v>
      </c>
    </row>
    <row r="560" spans="1:31" ht="20.100000000000001" customHeight="1">
      <c r="A560" s="11"/>
      <c r="B560" s="1360"/>
      <c r="C560" s="5598"/>
      <c r="D560" s="9598" t="s">
        <v>143</v>
      </c>
      <c r="E560" s="9600"/>
      <c r="F560" s="492" t="s">
        <v>420</v>
      </c>
      <c r="G560" s="666"/>
      <c r="H560" s="684"/>
      <c r="I560" s="9582" t="s">
        <v>144</v>
      </c>
      <c r="J560" s="9583"/>
      <c r="K560" s="285" t="s">
        <v>703</v>
      </c>
      <c r="L560" s="6754"/>
      <c r="M560" s="7250"/>
      <c r="N560" s="6826"/>
      <c r="O560" s="7356"/>
      <c r="P560" s="6826"/>
      <c r="Q560" s="7356"/>
      <c r="R560" s="6663" t="s">
        <v>31</v>
      </c>
      <c r="S560" s="6557"/>
      <c r="T560" s="2468"/>
      <c r="U560" s="544"/>
      <c r="V560" s="545"/>
      <c r="W560" s="546"/>
      <c r="X560" s="547"/>
      <c r="Y560" s="548"/>
      <c r="Z560" s="277"/>
      <c r="AA560" s="277"/>
      <c r="AB560" s="187"/>
      <c r="AE560" s="1377" t="s">
        <v>465</v>
      </c>
    </row>
    <row r="561" spans="1:31" ht="20.100000000000001" customHeight="1">
      <c r="A561" s="11"/>
      <c r="B561" s="1360"/>
      <c r="C561" s="5598"/>
      <c r="D561" s="9598" t="s">
        <v>146</v>
      </c>
      <c r="E561" s="9600"/>
      <c r="F561" s="492" t="s">
        <v>420</v>
      </c>
      <c r="G561" s="666"/>
      <c r="H561" s="684"/>
      <c r="I561" s="9582" t="s">
        <v>147</v>
      </c>
      <c r="J561" s="9583"/>
      <c r="K561" s="285" t="s">
        <v>703</v>
      </c>
      <c r="L561" s="6754"/>
      <c r="M561" s="7250"/>
      <c r="N561" s="6826"/>
      <c r="O561" s="7356"/>
      <c r="P561" s="6826"/>
      <c r="Q561" s="7356"/>
      <c r="R561" s="6663" t="s">
        <v>31</v>
      </c>
      <c r="S561" s="6557"/>
      <c r="T561" s="2468"/>
      <c r="U561" s="544"/>
      <c r="V561" s="545"/>
      <c r="W561" s="546"/>
      <c r="X561" s="547"/>
      <c r="Y561" s="548"/>
      <c r="Z561" s="277"/>
      <c r="AA561" s="277"/>
      <c r="AB561" s="187"/>
      <c r="AE561" s="1377" t="s">
        <v>465</v>
      </c>
    </row>
    <row r="562" spans="1:31" ht="20.100000000000001" customHeight="1">
      <c r="A562" s="11"/>
      <c r="B562" s="1360"/>
      <c r="C562" s="5598"/>
      <c r="D562" s="9598" t="s">
        <v>149</v>
      </c>
      <c r="E562" s="9600"/>
      <c r="F562" s="492" t="s">
        <v>420</v>
      </c>
      <c r="G562" s="666"/>
      <c r="H562" s="684"/>
      <c r="I562" s="9582" t="s">
        <v>150</v>
      </c>
      <c r="J562" s="9583"/>
      <c r="K562" s="285" t="s">
        <v>703</v>
      </c>
      <c r="L562" s="6754">
        <v>242</v>
      </c>
      <c r="M562" s="7259" t="s">
        <v>689</v>
      </c>
      <c r="N562" s="6826">
        <v>330</v>
      </c>
      <c r="O562" s="7311" t="s">
        <v>689</v>
      </c>
      <c r="P562" s="6826">
        <v>244</v>
      </c>
      <c r="Q562" s="7356"/>
      <c r="R562" s="6663" t="s">
        <v>31</v>
      </c>
      <c r="S562" s="6557"/>
      <c r="T562" s="2468"/>
      <c r="U562" s="544"/>
      <c r="V562" s="545"/>
      <c r="W562" s="546"/>
      <c r="X562" s="547"/>
      <c r="Y562" s="548"/>
      <c r="Z562" s="277"/>
      <c r="AA562" s="277"/>
      <c r="AB562" s="187"/>
      <c r="AE562" s="1377" t="s">
        <v>465</v>
      </c>
    </row>
    <row r="563" spans="1:31" ht="20.100000000000001" customHeight="1">
      <c r="A563" s="11"/>
      <c r="B563" s="1360"/>
      <c r="C563" s="5598"/>
      <c r="D563" s="9635" t="s">
        <v>232</v>
      </c>
      <c r="E563" s="9636"/>
      <c r="F563" s="492" t="s">
        <v>233</v>
      </c>
      <c r="G563" s="198"/>
      <c r="H563" s="177"/>
      <c r="I563" s="9635" t="s">
        <v>234</v>
      </c>
      <c r="J563" s="9636"/>
      <c r="K563" s="285" t="s">
        <v>235</v>
      </c>
      <c r="L563" s="6763" t="str">
        <f>IF(COUNTBLANK(L564:L569)&gt;0,"미취합법인有",SUM(L564:L569))</f>
        <v>미취합법인有</v>
      </c>
      <c r="M563" s="7233"/>
      <c r="N563" s="6847" t="str">
        <f>IF(COUNTBLANK(N564:N569)&gt;0,"미취합법인有",SUM(N564:N569))</f>
        <v>미취합법인有</v>
      </c>
      <c r="O563" s="7353"/>
      <c r="P563" s="6913" t="str">
        <f>IF(COUNTBLANK(P564:P569)&gt;0,"미취합법인有",SUM(P564:P569))</f>
        <v>미취합법인有</v>
      </c>
      <c r="Q563" s="7463"/>
      <c r="R563" s="6663" t="s">
        <v>31</v>
      </c>
      <c r="S563" s="6561"/>
      <c r="T563" s="2468"/>
      <c r="U563" s="276"/>
      <c r="V563" s="99" t="s">
        <v>189</v>
      </c>
      <c r="W563" s="547"/>
      <c r="X563" s="547"/>
      <c r="Y563" s="99"/>
      <c r="Z563" s="277" t="s">
        <v>462</v>
      </c>
      <c r="AA563" s="277"/>
      <c r="AB563" s="187"/>
      <c r="AE563" s="1377" t="s">
        <v>465</v>
      </c>
    </row>
    <row r="564" spans="1:31" ht="20.100000000000001" customHeight="1">
      <c r="A564" s="11"/>
      <c r="B564" s="1360"/>
      <c r="C564" s="5598"/>
      <c r="D564" s="9598" t="s">
        <v>134</v>
      </c>
      <c r="E564" s="9600"/>
      <c r="F564" s="492" t="s">
        <v>233</v>
      </c>
      <c r="G564" s="666"/>
      <c r="H564" s="684"/>
      <c r="I564" s="9579" t="s">
        <v>135</v>
      </c>
      <c r="J564" s="9581"/>
      <c r="K564" s="285" t="s">
        <v>235</v>
      </c>
      <c r="L564" s="6753">
        <v>3286.13</v>
      </c>
      <c r="M564" s="7249" t="s">
        <v>704</v>
      </c>
      <c r="N564" s="6825">
        <v>7066.13</v>
      </c>
      <c r="O564" s="7369" t="s">
        <v>704</v>
      </c>
      <c r="P564" s="6826">
        <v>7733.26</v>
      </c>
      <c r="Q564" s="7369" t="s">
        <v>704</v>
      </c>
      <c r="R564" s="6663" t="s">
        <v>31</v>
      </c>
      <c r="S564" s="6569"/>
      <c r="T564" s="2468"/>
      <c r="U564" s="544"/>
      <c r="V564" s="545"/>
      <c r="W564" s="546"/>
      <c r="X564" s="547"/>
      <c r="Y564" s="548"/>
      <c r="Z564" s="277"/>
      <c r="AA564" s="277"/>
      <c r="AB564" s="187"/>
    </row>
    <row r="565" spans="1:31" ht="20.100000000000001" customHeight="1">
      <c r="A565" s="11"/>
      <c r="B565" s="1360"/>
      <c r="C565" s="5598"/>
      <c r="D565" s="9598" t="s">
        <v>137</v>
      </c>
      <c r="E565" s="9600"/>
      <c r="F565" s="492" t="s">
        <v>233</v>
      </c>
      <c r="G565" s="666"/>
      <c r="H565" s="684"/>
      <c r="I565" s="9579" t="s">
        <v>138</v>
      </c>
      <c r="J565" s="9581"/>
      <c r="K565" s="285" t="s">
        <v>235</v>
      </c>
      <c r="L565" s="6753"/>
      <c r="M565" s="7249"/>
      <c r="N565" s="6825"/>
      <c r="O565" s="7355"/>
      <c r="P565" s="6922"/>
      <c r="Q565" s="7381"/>
      <c r="R565" s="6663" t="s">
        <v>31</v>
      </c>
      <c r="S565" s="6581"/>
      <c r="T565" s="2468"/>
      <c r="U565" s="544"/>
      <c r="V565" s="545"/>
      <c r="W565" s="546"/>
      <c r="X565" s="547"/>
      <c r="Y565" s="548"/>
      <c r="Z565" s="277"/>
      <c r="AA565" s="277"/>
      <c r="AB565" s="187"/>
    </row>
    <row r="566" spans="1:31" ht="20.100000000000001" customHeight="1">
      <c r="A566" s="11"/>
      <c r="B566" s="1360"/>
      <c r="C566" s="5598"/>
      <c r="D566" s="9598" t="s">
        <v>140</v>
      </c>
      <c r="E566" s="9600"/>
      <c r="F566" s="492" t="s">
        <v>233</v>
      </c>
      <c r="G566" s="666"/>
      <c r="H566" s="684"/>
      <c r="I566" s="9582" t="s">
        <v>141</v>
      </c>
      <c r="J566" s="9583"/>
      <c r="K566" s="285" t="s">
        <v>235</v>
      </c>
      <c r="L566" s="6752">
        <v>2611.0494603404391</v>
      </c>
      <c r="M566" s="7263"/>
      <c r="N566" s="6824">
        <v>1668.5697130160061</v>
      </c>
      <c r="O566" s="7365"/>
      <c r="P566" s="6922">
        <v>2984.3408941387597</v>
      </c>
      <c r="Q566" s="7381"/>
      <c r="R566" s="6663" t="s">
        <v>31</v>
      </c>
      <c r="S566" s="6581"/>
      <c r="T566" s="2468"/>
      <c r="U566" s="544"/>
      <c r="V566" s="545"/>
      <c r="W566" s="546"/>
      <c r="X566" s="547"/>
      <c r="Y566" s="548"/>
      <c r="Z566" s="277"/>
      <c r="AA566" s="277"/>
      <c r="AB566" s="187"/>
      <c r="AE566" s="1377" t="s">
        <v>465</v>
      </c>
    </row>
    <row r="567" spans="1:31" ht="20.100000000000001" customHeight="1">
      <c r="A567" s="11"/>
      <c r="B567" s="1360"/>
      <c r="C567" s="5598"/>
      <c r="D567" s="9598" t="s">
        <v>143</v>
      </c>
      <c r="E567" s="9600"/>
      <c r="F567" s="492" t="s">
        <v>233</v>
      </c>
      <c r="G567" s="666"/>
      <c r="H567" s="684"/>
      <c r="I567" s="9582" t="s">
        <v>144</v>
      </c>
      <c r="J567" s="9583"/>
      <c r="K567" s="285" t="s">
        <v>235</v>
      </c>
      <c r="L567" s="6790"/>
      <c r="M567" s="7272"/>
      <c r="N567" s="6868"/>
      <c r="O567" s="7378"/>
      <c r="P567" s="6868"/>
      <c r="Q567" s="7356"/>
      <c r="R567" s="6663" t="s">
        <v>31</v>
      </c>
      <c r="S567" s="6557"/>
      <c r="T567" s="2468"/>
      <c r="U567" s="544"/>
      <c r="V567" s="545"/>
      <c r="W567" s="546"/>
      <c r="X567" s="547"/>
      <c r="Y567" s="548"/>
      <c r="Z567" s="277"/>
      <c r="AA567" s="277"/>
      <c r="AB567" s="187"/>
      <c r="AE567" s="1377" t="s">
        <v>465</v>
      </c>
    </row>
    <row r="568" spans="1:31" ht="20.100000000000001" customHeight="1">
      <c r="A568" s="11"/>
      <c r="B568" s="1360"/>
      <c r="C568" s="5598"/>
      <c r="D568" s="9598" t="s">
        <v>146</v>
      </c>
      <c r="E568" s="9600"/>
      <c r="F568" s="492" t="s">
        <v>233</v>
      </c>
      <c r="G568" s="666"/>
      <c r="H568" s="684"/>
      <c r="I568" s="9582" t="s">
        <v>147</v>
      </c>
      <c r="J568" s="9583"/>
      <c r="K568" s="285" t="s">
        <v>235</v>
      </c>
      <c r="L568" s="6754"/>
      <c r="M568" s="7250"/>
      <c r="N568" s="6826"/>
      <c r="O568" s="7356"/>
      <c r="P568" s="6826"/>
      <c r="Q568" s="7356"/>
      <c r="R568" s="6663" t="s">
        <v>31</v>
      </c>
      <c r="S568" s="6557"/>
      <c r="T568" s="2468"/>
      <c r="U568" s="544"/>
      <c r="V568" s="545"/>
      <c r="W568" s="546"/>
      <c r="X568" s="547"/>
      <c r="Y568" s="548"/>
      <c r="Z568" s="277"/>
      <c r="AA568" s="277"/>
      <c r="AB568" s="187"/>
      <c r="AE568" s="1377" t="s">
        <v>465</v>
      </c>
    </row>
    <row r="569" spans="1:31" ht="20.100000000000001" customHeight="1">
      <c r="A569" s="11"/>
      <c r="B569" s="1360"/>
      <c r="C569" s="5598"/>
      <c r="D569" s="9598" t="s">
        <v>149</v>
      </c>
      <c r="E569" s="9600"/>
      <c r="F569" s="492" t="s">
        <v>233</v>
      </c>
      <c r="G569" s="666"/>
      <c r="H569" s="684"/>
      <c r="I569" s="9582" t="s">
        <v>150</v>
      </c>
      <c r="J569" s="9583"/>
      <c r="K569" s="285" t="s">
        <v>235</v>
      </c>
      <c r="L569" s="6779">
        <v>30280</v>
      </c>
      <c r="M569" s="7247"/>
      <c r="N569" s="6861">
        <v>84381</v>
      </c>
      <c r="O569" s="7247"/>
      <c r="P569" s="6861">
        <v>117191</v>
      </c>
      <c r="Q569" s="7356"/>
      <c r="R569" s="6663" t="s">
        <v>31</v>
      </c>
      <c r="S569" s="6557"/>
      <c r="T569" s="2468"/>
      <c r="U569" s="544"/>
      <c r="V569" s="545"/>
      <c r="W569" s="546"/>
      <c r="X569" s="547"/>
      <c r="Y569" s="548"/>
      <c r="Z569" s="277"/>
      <c r="AA569" s="277"/>
      <c r="AB569" s="187"/>
      <c r="AE569" s="1377" t="s">
        <v>465</v>
      </c>
    </row>
    <row r="570" spans="1:31" ht="20.100000000000001" customHeight="1">
      <c r="A570" s="11"/>
      <c r="B570" s="1360"/>
      <c r="C570" s="9656" t="s">
        <v>466</v>
      </c>
      <c r="D570" s="9587"/>
      <c r="E570" s="9588"/>
      <c r="F570" s="492" t="s">
        <v>420</v>
      </c>
      <c r="G570" s="386"/>
      <c r="H570" s="9587" t="s">
        <v>467</v>
      </c>
      <c r="I570" s="9587"/>
      <c r="J570" s="9588"/>
      <c r="K570" s="492" t="s">
        <v>344</v>
      </c>
      <c r="L570" s="6763" t="str">
        <f>IF(COUNTBLANK(L571:L576)&gt;0,"미취합법인有",SUM(L571:L576))</f>
        <v>미취합법인有</v>
      </c>
      <c r="M570" s="7233"/>
      <c r="N570" s="6847" t="str">
        <f>IF(COUNTBLANK(N571:N576)&gt;0,"미취합법인有",SUM(N571:N576))</f>
        <v>미취합법인有</v>
      </c>
      <c r="O570" s="7353"/>
      <c r="P570" s="6913" t="str">
        <f>IF(COUNTBLANK(P571:P576)&gt;0,"미취합법인有",SUM(P571:P576))</f>
        <v>미취합법인有</v>
      </c>
      <c r="Q570" s="7463"/>
      <c r="R570" s="6659" t="s">
        <v>155</v>
      </c>
      <c r="S570" s="6561"/>
      <c r="T570" s="2468" t="s">
        <v>468</v>
      </c>
      <c r="U570" s="276" t="s">
        <v>469</v>
      </c>
      <c r="V570" s="99" t="s">
        <v>189</v>
      </c>
      <c r="W570" s="547"/>
      <c r="X570" s="547"/>
      <c r="Y570" s="299" t="s">
        <v>193</v>
      </c>
      <c r="Z570" s="277" t="s">
        <v>470</v>
      </c>
      <c r="AA570" s="277" t="s">
        <v>442</v>
      </c>
      <c r="AB570" s="187"/>
      <c r="AE570" s="1377" t="s">
        <v>465</v>
      </c>
    </row>
    <row r="571" spans="1:31" ht="19.899999999999999" customHeight="1">
      <c r="A571" s="11"/>
      <c r="B571" s="5590"/>
      <c r="C571" s="9647" t="s">
        <v>134</v>
      </c>
      <c r="D571" s="9648"/>
      <c r="E571" s="9649"/>
      <c r="F571" s="492" t="s">
        <v>420</v>
      </c>
      <c r="G571" s="253"/>
      <c r="H571" s="9579" t="s">
        <v>135</v>
      </c>
      <c r="I571" s="9580"/>
      <c r="J571" s="9581"/>
      <c r="K571" s="492" t="s">
        <v>344</v>
      </c>
      <c r="L571" s="6754">
        <v>0</v>
      </c>
      <c r="M571" s="7250"/>
      <c r="N571" s="6826">
        <v>0</v>
      </c>
      <c r="O571" s="7250"/>
      <c r="P571" s="6826"/>
      <c r="Q571" s="7250"/>
      <c r="R571" s="6659" t="s">
        <v>155</v>
      </c>
      <c r="S571" s="6557"/>
      <c r="T571" s="1033"/>
      <c r="U571" s="263"/>
      <c r="V571" s="99"/>
      <c r="W571" s="138"/>
      <c r="X571" s="138"/>
      <c r="Y571" s="299" t="s">
        <v>193</v>
      </c>
      <c r="Z571" s="264"/>
      <c r="AA571" s="277"/>
      <c r="AB571" s="187"/>
    </row>
    <row r="572" spans="1:31" ht="19.899999999999999" customHeight="1">
      <c r="A572" s="11"/>
      <c r="B572" s="5590"/>
      <c r="C572" s="9647" t="s">
        <v>137</v>
      </c>
      <c r="D572" s="9648"/>
      <c r="E572" s="9649"/>
      <c r="F572" s="492" t="s">
        <v>420</v>
      </c>
      <c r="G572" s="253"/>
      <c r="H572" s="9579" t="s">
        <v>138</v>
      </c>
      <c r="I572" s="9580"/>
      <c r="J572" s="9581"/>
      <c r="K572" s="492" t="s">
        <v>344</v>
      </c>
      <c r="L572" s="6754"/>
      <c r="M572" s="7250"/>
      <c r="N572" s="6826"/>
      <c r="O572" s="7356"/>
      <c r="P572" s="6826"/>
      <c r="Q572" s="7356"/>
      <c r="R572" s="6659" t="s">
        <v>155</v>
      </c>
      <c r="S572" s="6557"/>
      <c r="T572" s="1033"/>
      <c r="U572" s="263"/>
      <c r="V572" s="99"/>
      <c r="W572" s="138"/>
      <c r="X572" s="138"/>
      <c r="Y572" s="299" t="s">
        <v>193</v>
      </c>
      <c r="Z572" s="264"/>
      <c r="AA572" s="277"/>
      <c r="AB572" s="187"/>
    </row>
    <row r="573" spans="1:31" ht="19.899999999999999" customHeight="1">
      <c r="A573" s="11"/>
      <c r="B573" s="5590"/>
      <c r="C573" s="9647" t="s">
        <v>140</v>
      </c>
      <c r="D573" s="9648"/>
      <c r="E573" s="9649"/>
      <c r="F573" s="492" t="s">
        <v>420</v>
      </c>
      <c r="G573" s="253"/>
      <c r="H573" s="9579" t="s">
        <v>141</v>
      </c>
      <c r="I573" s="9580"/>
      <c r="J573" s="9581"/>
      <c r="K573" s="492" t="s">
        <v>344</v>
      </c>
      <c r="L573" s="6754"/>
      <c r="M573" s="7250"/>
      <c r="N573" s="6826"/>
      <c r="O573" s="7356"/>
      <c r="P573" s="6826"/>
      <c r="Q573" s="7356"/>
      <c r="R573" s="6659" t="s">
        <v>155</v>
      </c>
      <c r="S573" s="6557"/>
      <c r="T573" s="1033"/>
      <c r="U573" s="263"/>
      <c r="V573" s="99"/>
      <c r="W573" s="138"/>
      <c r="X573" s="138"/>
      <c r="Y573" s="299" t="s">
        <v>193</v>
      </c>
      <c r="Z573" s="264"/>
      <c r="AA573" s="277"/>
      <c r="AB573" s="187"/>
      <c r="AE573" s="1377" t="s">
        <v>465</v>
      </c>
    </row>
    <row r="574" spans="1:31" ht="19.899999999999999" customHeight="1">
      <c r="A574" s="11"/>
      <c r="B574" s="5590"/>
      <c r="C574" s="9647" t="s">
        <v>143</v>
      </c>
      <c r="D574" s="9648"/>
      <c r="E574" s="9649"/>
      <c r="F574" s="492" t="s">
        <v>420</v>
      </c>
      <c r="G574" s="253"/>
      <c r="H574" s="9579" t="s">
        <v>144</v>
      </c>
      <c r="I574" s="9580"/>
      <c r="J574" s="9581"/>
      <c r="K574" s="492" t="s">
        <v>344</v>
      </c>
      <c r="L574" s="6754"/>
      <c r="M574" s="7250"/>
      <c r="N574" s="6826"/>
      <c r="O574" s="7356"/>
      <c r="P574" s="6826"/>
      <c r="Q574" s="7356"/>
      <c r="R574" s="6659" t="s">
        <v>155</v>
      </c>
      <c r="S574" s="6557"/>
      <c r="T574" s="1033"/>
      <c r="U574" s="263"/>
      <c r="V574" s="99"/>
      <c r="W574" s="138"/>
      <c r="X574" s="138"/>
      <c r="Y574" s="299" t="s">
        <v>193</v>
      </c>
      <c r="Z574" s="264"/>
      <c r="AA574" s="277"/>
      <c r="AB574" s="187"/>
      <c r="AE574" s="1377" t="s">
        <v>465</v>
      </c>
    </row>
    <row r="575" spans="1:31" ht="19.899999999999999" customHeight="1">
      <c r="A575" s="11"/>
      <c r="B575" s="5590"/>
      <c r="C575" s="9647" t="s">
        <v>146</v>
      </c>
      <c r="D575" s="9648"/>
      <c r="E575" s="9649"/>
      <c r="F575" s="492" t="s">
        <v>420</v>
      </c>
      <c r="G575" s="253"/>
      <c r="H575" s="9579" t="s">
        <v>147</v>
      </c>
      <c r="I575" s="9580"/>
      <c r="J575" s="9581"/>
      <c r="K575" s="492" t="s">
        <v>344</v>
      </c>
      <c r="L575" s="6774" t="s">
        <v>168</v>
      </c>
      <c r="M575" s="7250" t="s">
        <v>641</v>
      </c>
      <c r="N575" s="6826" t="s">
        <v>168</v>
      </c>
      <c r="O575" s="7356" t="s">
        <v>641</v>
      </c>
      <c r="P575" s="6826" t="s">
        <v>168</v>
      </c>
      <c r="Q575" s="7356" t="s">
        <v>641</v>
      </c>
      <c r="R575" s="6659" t="s">
        <v>155</v>
      </c>
      <c r="S575" s="6557"/>
      <c r="T575" s="1033"/>
      <c r="U575" s="263"/>
      <c r="V575" s="99"/>
      <c r="W575" s="138"/>
      <c r="X575" s="138"/>
      <c r="Y575" s="299" t="s">
        <v>193</v>
      </c>
      <c r="Z575" s="264"/>
      <c r="AA575" s="277"/>
      <c r="AB575" s="187"/>
      <c r="AE575" s="1377" t="s">
        <v>465</v>
      </c>
    </row>
    <row r="576" spans="1:31" ht="19.899999999999999" customHeight="1">
      <c r="A576" s="11"/>
      <c r="B576" s="5590"/>
      <c r="C576" s="9647" t="s">
        <v>149</v>
      </c>
      <c r="D576" s="9648"/>
      <c r="E576" s="9649"/>
      <c r="F576" s="492" t="s">
        <v>420</v>
      </c>
      <c r="G576" s="253"/>
      <c r="H576" s="9579" t="s">
        <v>150</v>
      </c>
      <c r="I576" s="9580"/>
      <c r="J576" s="9581"/>
      <c r="K576" s="492" t="s">
        <v>344</v>
      </c>
      <c r="L576" s="6754"/>
      <c r="M576" s="7250"/>
      <c r="N576" s="6826"/>
      <c r="O576" s="7356"/>
      <c r="P576" s="6826"/>
      <c r="Q576" s="7356"/>
      <c r="R576" s="6659" t="s">
        <v>155</v>
      </c>
      <c r="S576" s="6557"/>
      <c r="T576" s="1033"/>
      <c r="U576" s="263"/>
      <c r="V576" s="99"/>
      <c r="W576" s="138"/>
      <c r="X576" s="138"/>
      <c r="Y576" s="299" t="s">
        <v>193</v>
      </c>
      <c r="Z576" s="264"/>
      <c r="AA576" s="277"/>
      <c r="AB576" s="187"/>
      <c r="AE576" s="1377" t="s">
        <v>465</v>
      </c>
    </row>
    <row r="577" spans="1:31" ht="20.100000000000001" customHeight="1">
      <c r="A577" s="11"/>
      <c r="B577" s="1360"/>
      <c r="C577" s="5598"/>
      <c r="D577" s="9586" t="s">
        <v>471</v>
      </c>
      <c r="E577" s="9588"/>
      <c r="F577" s="492" t="s">
        <v>420</v>
      </c>
      <c r="G577" s="386"/>
      <c r="H577" s="386"/>
      <c r="I577" s="9586" t="s">
        <v>472</v>
      </c>
      <c r="J577" s="9588"/>
      <c r="K577" s="492" t="s">
        <v>344</v>
      </c>
      <c r="L577" s="6763" t="str">
        <f>IF(COUNTBLANK(L578:L583)&gt;0,"미취합법인有",SUM(L578:L583))</f>
        <v>미취합법인有</v>
      </c>
      <c r="M577" s="7233"/>
      <c r="N577" s="6847" t="str">
        <f>IF(COUNTBLANK(N578:N583)&gt;0,"미취합법인有",SUM(N578:N583))</f>
        <v>미취합법인有</v>
      </c>
      <c r="O577" s="7353"/>
      <c r="P577" s="6913" t="str">
        <f>IF(COUNTBLANK(P578:P583)&gt;0,"미취합법인有",SUM(P578:P583))</f>
        <v>미취합법인有</v>
      </c>
      <c r="Q577" s="7463"/>
      <c r="R577" s="6659" t="s">
        <v>155</v>
      </c>
      <c r="S577" s="6561"/>
      <c r="T577" s="2468"/>
      <c r="U577" s="276"/>
      <c r="V577" s="99" t="s">
        <v>189</v>
      </c>
      <c r="W577" s="547"/>
      <c r="X577" s="547"/>
      <c r="Y577" s="299" t="s">
        <v>193</v>
      </c>
      <c r="Z577" s="277" t="s">
        <v>470</v>
      </c>
      <c r="AA577" s="277" t="s">
        <v>442</v>
      </c>
      <c r="AB577" s="187"/>
      <c r="AE577" s="1377" t="s">
        <v>465</v>
      </c>
    </row>
    <row r="578" spans="1:31" ht="20.100000000000001" customHeight="1">
      <c r="A578" s="11"/>
      <c r="B578" s="1360"/>
      <c r="C578" s="5598"/>
      <c r="D578" s="9598" t="s">
        <v>134</v>
      </c>
      <c r="E578" s="9600"/>
      <c r="F578" s="492" t="s">
        <v>420</v>
      </c>
      <c r="G578" s="666"/>
      <c r="H578" s="666"/>
      <c r="I578" s="9579" t="s">
        <v>135</v>
      </c>
      <c r="J578" s="9581"/>
      <c r="K578" s="492" t="s">
        <v>344</v>
      </c>
      <c r="L578" s="6753"/>
      <c r="M578" s="7249"/>
      <c r="N578" s="6842"/>
      <c r="O578" s="7377"/>
      <c r="P578" s="6936"/>
      <c r="Q578" s="7469"/>
      <c r="R578" s="6659" t="s">
        <v>155</v>
      </c>
      <c r="S578" s="6579"/>
      <c r="T578" s="2468"/>
      <c r="U578" s="544"/>
      <c r="V578" s="545"/>
      <c r="W578" s="546"/>
      <c r="X578" s="547"/>
      <c r="Y578" s="299" t="s">
        <v>193</v>
      </c>
      <c r="Z578" s="277"/>
      <c r="AA578" s="277"/>
      <c r="AB578" s="187"/>
    </row>
    <row r="579" spans="1:31" ht="20.100000000000001" customHeight="1">
      <c r="A579" s="11"/>
      <c r="B579" s="1360"/>
      <c r="C579" s="5598"/>
      <c r="D579" s="9598" t="s">
        <v>137</v>
      </c>
      <c r="E579" s="9600"/>
      <c r="F579" s="492" t="s">
        <v>420</v>
      </c>
      <c r="G579" s="666"/>
      <c r="H579" s="666"/>
      <c r="I579" s="9579" t="s">
        <v>138</v>
      </c>
      <c r="J579" s="9581"/>
      <c r="K579" s="492" t="s">
        <v>344</v>
      </c>
      <c r="L579" s="6753"/>
      <c r="M579" s="7249"/>
      <c r="N579" s="6842"/>
      <c r="O579" s="7377"/>
      <c r="P579" s="6936"/>
      <c r="Q579" s="7469"/>
      <c r="R579" s="6659" t="s">
        <v>155</v>
      </c>
      <c r="S579" s="6579"/>
      <c r="T579" s="2468"/>
      <c r="U579" s="544"/>
      <c r="V579" s="545"/>
      <c r="W579" s="546"/>
      <c r="X579" s="547"/>
      <c r="Y579" s="299" t="s">
        <v>193</v>
      </c>
      <c r="Z579" s="277"/>
      <c r="AA579" s="277"/>
      <c r="AB579" s="187"/>
    </row>
    <row r="580" spans="1:31" ht="20.100000000000001" customHeight="1">
      <c r="A580" s="11"/>
      <c r="B580" s="1360"/>
      <c r="C580" s="5598"/>
      <c r="D580" s="9598" t="s">
        <v>140</v>
      </c>
      <c r="E580" s="9600"/>
      <c r="F580" s="492" t="s">
        <v>420</v>
      </c>
      <c r="G580" s="666"/>
      <c r="H580" s="666"/>
      <c r="I580" s="9582" t="s">
        <v>141</v>
      </c>
      <c r="J580" s="9583"/>
      <c r="K580" s="492" t="s">
        <v>344</v>
      </c>
      <c r="L580" s="6753"/>
      <c r="M580" s="7249"/>
      <c r="N580" s="6842"/>
      <c r="O580" s="7377"/>
      <c r="P580" s="6936"/>
      <c r="Q580" s="7469"/>
      <c r="R580" s="6659" t="s">
        <v>155</v>
      </c>
      <c r="S580" s="6579"/>
      <c r="T580" s="2468"/>
      <c r="U580" s="544"/>
      <c r="V580" s="545"/>
      <c r="W580" s="546"/>
      <c r="X580" s="547"/>
      <c r="Y580" s="299" t="s">
        <v>193</v>
      </c>
      <c r="Z580" s="277"/>
      <c r="AA580" s="277"/>
      <c r="AB580" s="187"/>
      <c r="AE580" s="1377" t="s">
        <v>465</v>
      </c>
    </row>
    <row r="581" spans="1:31" ht="20.100000000000001" customHeight="1">
      <c r="A581" s="11"/>
      <c r="B581" s="1360"/>
      <c r="C581" s="5598"/>
      <c r="D581" s="9598" t="s">
        <v>143</v>
      </c>
      <c r="E581" s="9600"/>
      <c r="F581" s="492" t="s">
        <v>420</v>
      </c>
      <c r="G581" s="666"/>
      <c r="H581" s="666"/>
      <c r="I581" s="9582" t="s">
        <v>144</v>
      </c>
      <c r="J581" s="9583"/>
      <c r="K581" s="492" t="s">
        <v>344</v>
      </c>
      <c r="L581" s="6753"/>
      <c r="M581" s="7249"/>
      <c r="N581" s="6842"/>
      <c r="O581" s="7377"/>
      <c r="P581" s="6936"/>
      <c r="Q581" s="7469"/>
      <c r="R581" s="6659" t="s">
        <v>155</v>
      </c>
      <c r="S581" s="6579"/>
      <c r="T581" s="2468"/>
      <c r="U581" s="544"/>
      <c r="V581" s="545"/>
      <c r="W581" s="546"/>
      <c r="X581" s="547"/>
      <c r="Y581" s="299" t="s">
        <v>193</v>
      </c>
      <c r="Z581" s="277"/>
      <c r="AA581" s="277"/>
      <c r="AB581" s="187"/>
      <c r="AE581" s="1377" t="s">
        <v>465</v>
      </c>
    </row>
    <row r="582" spans="1:31" ht="20.100000000000001" customHeight="1">
      <c r="A582" s="11"/>
      <c r="B582" s="1360"/>
      <c r="C582" s="5598"/>
      <c r="D582" s="9598" t="s">
        <v>146</v>
      </c>
      <c r="E582" s="9600"/>
      <c r="F582" s="492" t="s">
        <v>420</v>
      </c>
      <c r="G582" s="666"/>
      <c r="H582" s="666"/>
      <c r="I582" s="9582" t="s">
        <v>147</v>
      </c>
      <c r="J582" s="9583"/>
      <c r="K582" s="492" t="s">
        <v>344</v>
      </c>
      <c r="L582" s="6774" t="s">
        <v>168</v>
      </c>
      <c r="M582" s="7250" t="s">
        <v>641</v>
      </c>
      <c r="N582" s="6826" t="s">
        <v>168</v>
      </c>
      <c r="O582" s="7240" t="s">
        <v>641</v>
      </c>
      <c r="P582" s="6837" t="s">
        <v>168</v>
      </c>
      <c r="Q582" s="7240" t="s">
        <v>641</v>
      </c>
      <c r="R582" s="6659" t="s">
        <v>155</v>
      </c>
      <c r="S582" s="6538"/>
      <c r="T582" s="2468"/>
      <c r="U582" s="544"/>
      <c r="V582" s="545"/>
      <c r="W582" s="546"/>
      <c r="X582" s="547"/>
      <c r="Y582" s="299" t="s">
        <v>193</v>
      </c>
      <c r="Z582" s="277"/>
      <c r="AA582" s="277"/>
      <c r="AB582" s="187"/>
      <c r="AE582" s="1377" t="s">
        <v>465</v>
      </c>
    </row>
    <row r="583" spans="1:31" ht="20.100000000000001" customHeight="1">
      <c r="A583" s="11"/>
      <c r="B583" s="1360"/>
      <c r="C583" s="5598"/>
      <c r="D583" s="9598" t="s">
        <v>149</v>
      </c>
      <c r="E583" s="9600"/>
      <c r="F583" s="492" t="s">
        <v>420</v>
      </c>
      <c r="G583" s="666"/>
      <c r="H583" s="666"/>
      <c r="I583" s="9582" t="s">
        <v>150</v>
      </c>
      <c r="J583" s="9583"/>
      <c r="K583" s="492" t="s">
        <v>344</v>
      </c>
      <c r="L583" s="6753"/>
      <c r="M583" s="7249"/>
      <c r="N583" s="6842"/>
      <c r="O583" s="7377"/>
      <c r="P583" s="6936"/>
      <c r="Q583" s="7469"/>
      <c r="R583" s="6659" t="s">
        <v>155</v>
      </c>
      <c r="S583" s="6579"/>
      <c r="T583" s="2468"/>
      <c r="U583" s="544"/>
      <c r="V583" s="545"/>
      <c r="W583" s="546"/>
      <c r="X583" s="547"/>
      <c r="Y583" s="299" t="s">
        <v>193</v>
      </c>
      <c r="Z583" s="277"/>
      <c r="AA583" s="277"/>
      <c r="AB583" s="187"/>
      <c r="AE583" s="1377" t="s">
        <v>465</v>
      </c>
    </row>
    <row r="584" spans="1:31" ht="20.100000000000001" customHeight="1">
      <c r="A584" s="11"/>
      <c r="B584" s="1360"/>
      <c r="C584" s="5598"/>
      <c r="D584" s="9586" t="s">
        <v>473</v>
      </c>
      <c r="E584" s="9588"/>
      <c r="F584" s="492" t="s">
        <v>420</v>
      </c>
      <c r="G584" s="386"/>
      <c r="H584" s="386"/>
      <c r="I584" s="9586" t="s">
        <v>474</v>
      </c>
      <c r="J584" s="9588"/>
      <c r="K584" s="492" t="s">
        <v>344</v>
      </c>
      <c r="L584" s="6763" t="str">
        <f>IF(COUNTBLANK(L585:L590)&gt;0,"미취합법인有",SUM(L585:L590))</f>
        <v>미취합법인有</v>
      </c>
      <c r="M584" s="7233"/>
      <c r="N584" s="6847" t="str">
        <f>IF(COUNTBLANK(N585:N590)&gt;0,"미취합법인有",SUM(N585:N590))</f>
        <v>미취합법인有</v>
      </c>
      <c r="O584" s="7236"/>
      <c r="P584" s="6913" t="str">
        <f>IF(COUNTBLANK(P585:P590)&gt;0,"미취합법인有",SUM(P585:P590))</f>
        <v>미취합법인有</v>
      </c>
      <c r="Q584" s="7463"/>
      <c r="R584" s="6659" t="s">
        <v>155</v>
      </c>
      <c r="S584" s="6561"/>
      <c r="T584" s="2468"/>
      <c r="U584" s="276"/>
      <c r="V584" s="99" t="s">
        <v>189</v>
      </c>
      <c r="W584" s="547"/>
      <c r="X584" s="547"/>
      <c r="Y584" s="299" t="s">
        <v>193</v>
      </c>
      <c r="Z584" s="277" t="s">
        <v>475</v>
      </c>
      <c r="AA584" s="277" t="s">
        <v>442</v>
      </c>
      <c r="AB584" s="187"/>
      <c r="AE584" s="1377" t="s">
        <v>465</v>
      </c>
    </row>
    <row r="585" spans="1:31" ht="20.100000000000001" customHeight="1">
      <c r="A585" s="11"/>
      <c r="B585" s="1360"/>
      <c r="C585" s="5598"/>
      <c r="D585" s="9598" t="s">
        <v>134</v>
      </c>
      <c r="E585" s="9600"/>
      <c r="F585" s="492" t="s">
        <v>420</v>
      </c>
      <c r="G585" s="666"/>
      <c r="H585" s="666"/>
      <c r="I585" s="9579" t="s">
        <v>135</v>
      </c>
      <c r="J585" s="9581"/>
      <c r="K585" s="492" t="s">
        <v>344</v>
      </c>
      <c r="L585" s="6753"/>
      <c r="M585" s="7249"/>
      <c r="N585" s="6842"/>
      <c r="O585" s="7377"/>
      <c r="P585" s="6936"/>
      <c r="Q585" s="7469"/>
      <c r="R585" s="6659" t="s">
        <v>155</v>
      </c>
      <c r="S585" s="6579"/>
      <c r="T585" s="2468"/>
      <c r="U585" s="544"/>
      <c r="V585" s="545"/>
      <c r="W585" s="546"/>
      <c r="X585" s="547"/>
      <c r="Y585" s="299" t="s">
        <v>193</v>
      </c>
      <c r="Z585" s="277"/>
      <c r="AA585" s="277"/>
      <c r="AB585" s="187"/>
    </row>
    <row r="586" spans="1:31" ht="20.100000000000001" customHeight="1">
      <c r="A586" s="11"/>
      <c r="B586" s="1360"/>
      <c r="C586" s="5598"/>
      <c r="D586" s="9598" t="s">
        <v>137</v>
      </c>
      <c r="E586" s="9600"/>
      <c r="F586" s="492" t="s">
        <v>420</v>
      </c>
      <c r="G586" s="666"/>
      <c r="H586" s="666"/>
      <c r="I586" s="9579" t="s">
        <v>138</v>
      </c>
      <c r="J586" s="9581"/>
      <c r="K586" s="492" t="s">
        <v>344</v>
      </c>
      <c r="L586" s="6753"/>
      <c r="M586" s="7249"/>
      <c r="N586" s="6842"/>
      <c r="O586" s="7377"/>
      <c r="P586" s="6936"/>
      <c r="Q586" s="7469"/>
      <c r="R586" s="6659" t="s">
        <v>155</v>
      </c>
      <c r="S586" s="6579"/>
      <c r="T586" s="2468"/>
      <c r="U586" s="544"/>
      <c r="V586" s="545"/>
      <c r="W586" s="546"/>
      <c r="X586" s="547"/>
      <c r="Y586" s="299" t="s">
        <v>193</v>
      </c>
      <c r="Z586" s="277"/>
      <c r="AA586" s="277"/>
      <c r="AB586" s="187"/>
    </row>
    <row r="587" spans="1:31" ht="20.100000000000001" customHeight="1">
      <c r="A587" s="11"/>
      <c r="B587" s="1360"/>
      <c r="C587" s="5598"/>
      <c r="D587" s="9598" t="s">
        <v>140</v>
      </c>
      <c r="E587" s="9600"/>
      <c r="F587" s="492" t="s">
        <v>420</v>
      </c>
      <c r="G587" s="666"/>
      <c r="H587" s="666"/>
      <c r="I587" s="9582" t="s">
        <v>141</v>
      </c>
      <c r="J587" s="9583"/>
      <c r="K587" s="492" t="s">
        <v>344</v>
      </c>
      <c r="L587" s="6753"/>
      <c r="M587" s="7249"/>
      <c r="N587" s="6842"/>
      <c r="O587" s="7377"/>
      <c r="P587" s="6936"/>
      <c r="Q587" s="7469"/>
      <c r="R587" s="6659" t="s">
        <v>155</v>
      </c>
      <c r="S587" s="6579"/>
      <c r="T587" s="2468"/>
      <c r="U587" s="544"/>
      <c r="V587" s="545"/>
      <c r="W587" s="546"/>
      <c r="X587" s="547"/>
      <c r="Y587" s="299" t="s">
        <v>193</v>
      </c>
      <c r="Z587" s="277"/>
      <c r="AA587" s="277"/>
      <c r="AB587" s="187"/>
      <c r="AE587" s="1377" t="s">
        <v>465</v>
      </c>
    </row>
    <row r="588" spans="1:31" ht="20.100000000000001" customHeight="1">
      <c r="A588" s="11"/>
      <c r="B588" s="1360"/>
      <c r="C588" s="5598"/>
      <c r="D588" s="9598" t="s">
        <v>143</v>
      </c>
      <c r="E588" s="9600"/>
      <c r="F588" s="492" t="s">
        <v>420</v>
      </c>
      <c r="G588" s="666"/>
      <c r="H588" s="666"/>
      <c r="I588" s="9582" t="s">
        <v>144</v>
      </c>
      <c r="J588" s="9583"/>
      <c r="K588" s="492" t="s">
        <v>344</v>
      </c>
      <c r="L588" s="6753"/>
      <c r="M588" s="7249"/>
      <c r="N588" s="6842"/>
      <c r="O588" s="7377"/>
      <c r="P588" s="6936"/>
      <c r="Q588" s="7469"/>
      <c r="R588" s="6659" t="s">
        <v>155</v>
      </c>
      <c r="S588" s="6579"/>
      <c r="T588" s="2468"/>
      <c r="U588" s="544"/>
      <c r="V588" s="545"/>
      <c r="W588" s="546"/>
      <c r="X588" s="547"/>
      <c r="Y588" s="299" t="s">
        <v>193</v>
      </c>
      <c r="Z588" s="277"/>
      <c r="AA588" s="277"/>
      <c r="AB588" s="187"/>
      <c r="AE588" s="1377" t="s">
        <v>465</v>
      </c>
    </row>
    <row r="589" spans="1:31" ht="20.100000000000001" customHeight="1">
      <c r="A589" s="11"/>
      <c r="B589" s="1360"/>
      <c r="C589" s="5598"/>
      <c r="D589" s="9598" t="s">
        <v>146</v>
      </c>
      <c r="E589" s="9600"/>
      <c r="F589" s="492" t="s">
        <v>420</v>
      </c>
      <c r="G589" s="666"/>
      <c r="H589" s="666"/>
      <c r="I589" s="9582" t="s">
        <v>147</v>
      </c>
      <c r="J589" s="9583"/>
      <c r="K589" s="492" t="s">
        <v>344</v>
      </c>
      <c r="L589" s="6774" t="s">
        <v>168</v>
      </c>
      <c r="M589" s="7250" t="s">
        <v>641</v>
      </c>
      <c r="N589" s="6826" t="s">
        <v>168</v>
      </c>
      <c r="O589" s="7240" t="s">
        <v>641</v>
      </c>
      <c r="P589" s="6837" t="s">
        <v>168</v>
      </c>
      <c r="Q589" s="7240" t="s">
        <v>641</v>
      </c>
      <c r="R589" s="6659" t="s">
        <v>155</v>
      </c>
      <c r="S589" s="6538"/>
      <c r="T589" s="2468"/>
      <c r="U589" s="544"/>
      <c r="V589" s="545"/>
      <c r="W589" s="546"/>
      <c r="X589" s="547"/>
      <c r="Y589" s="299" t="s">
        <v>193</v>
      </c>
      <c r="Z589" s="277"/>
      <c r="AA589" s="277"/>
      <c r="AB589" s="187"/>
      <c r="AE589" s="1377" t="s">
        <v>465</v>
      </c>
    </row>
    <row r="590" spans="1:31" ht="20.100000000000001" customHeight="1">
      <c r="A590" s="11"/>
      <c r="B590" s="1360"/>
      <c r="C590" s="5598"/>
      <c r="D590" s="9598" t="s">
        <v>149</v>
      </c>
      <c r="E590" s="9600"/>
      <c r="F590" s="492" t="s">
        <v>420</v>
      </c>
      <c r="G590" s="666"/>
      <c r="H590" s="666"/>
      <c r="I590" s="9582" t="s">
        <v>150</v>
      </c>
      <c r="J590" s="9583"/>
      <c r="K590" s="492" t="s">
        <v>344</v>
      </c>
      <c r="L590" s="6753"/>
      <c r="M590" s="7249"/>
      <c r="N590" s="6842"/>
      <c r="O590" s="7380"/>
      <c r="P590" s="6936"/>
      <c r="Q590" s="7469"/>
      <c r="R590" s="6659" t="s">
        <v>155</v>
      </c>
      <c r="S590" s="6579"/>
      <c r="T590" s="2468"/>
      <c r="U590" s="544"/>
      <c r="V590" s="545"/>
      <c r="W590" s="546"/>
      <c r="X590" s="547"/>
      <c r="Y590" s="299" t="s">
        <v>193</v>
      </c>
      <c r="Z590" s="277"/>
      <c r="AA590" s="277"/>
      <c r="AB590" s="187"/>
      <c r="AE590" s="1377" t="s">
        <v>465</v>
      </c>
    </row>
    <row r="591" spans="1:31" ht="20.100000000000001" customHeight="1">
      <c r="A591" s="11"/>
      <c r="B591" s="1360"/>
      <c r="C591" s="9656" t="s">
        <v>476</v>
      </c>
      <c r="D591" s="9587"/>
      <c r="E591" s="9588"/>
      <c r="F591" s="492" t="s">
        <v>420</v>
      </c>
      <c r="G591" s="184"/>
      <c r="H591" s="9586" t="s">
        <v>477</v>
      </c>
      <c r="I591" s="9587"/>
      <c r="J591" s="9588"/>
      <c r="K591" s="492" t="s">
        <v>344</v>
      </c>
      <c r="L591" s="6763" t="str">
        <f>IF(COUNTBLANK(L592:L597)&gt;0,"미취합법인有",SUM(L592:L597))</f>
        <v>미취합법인有</v>
      </c>
      <c r="M591" s="7233"/>
      <c r="N591" s="6847" t="str">
        <f>IF(COUNTBLANK(N592:N597)&gt;0,"미취합법인有",SUM(N592:N597))</f>
        <v>미취합법인有</v>
      </c>
      <c r="O591" s="7353"/>
      <c r="P591" s="6913" t="str">
        <f>IF(COUNTBLANK(P592:P597)&gt;0,"미취합법인有",SUM(P592:P597))</f>
        <v>미취합법인有</v>
      </c>
      <c r="Q591" s="7463"/>
      <c r="R591" s="6659" t="s">
        <v>155</v>
      </c>
      <c r="S591" s="6561"/>
      <c r="T591" s="2468" t="s">
        <v>478</v>
      </c>
      <c r="U591" s="276" t="s">
        <v>479</v>
      </c>
      <c r="V591" s="99" t="s">
        <v>189</v>
      </c>
      <c r="W591" s="547"/>
      <c r="X591" s="547"/>
      <c r="Y591" s="299" t="s">
        <v>193</v>
      </c>
      <c r="Z591" s="277" t="s">
        <v>480</v>
      </c>
      <c r="AA591" s="277"/>
      <c r="AB591" s="187"/>
      <c r="AE591" s="1377" t="s">
        <v>465</v>
      </c>
    </row>
    <row r="592" spans="1:31" ht="19.899999999999999" customHeight="1">
      <c r="A592" s="11"/>
      <c r="B592" s="5590"/>
      <c r="C592" s="9647" t="s">
        <v>134</v>
      </c>
      <c r="D592" s="9648"/>
      <c r="E592" s="9649"/>
      <c r="F592" s="492" t="s">
        <v>420</v>
      </c>
      <c r="G592" s="253"/>
      <c r="H592" s="9579" t="s">
        <v>135</v>
      </c>
      <c r="I592" s="9580"/>
      <c r="J592" s="9581"/>
      <c r="K592" s="492" t="s">
        <v>344</v>
      </c>
      <c r="L592" s="6754"/>
      <c r="M592" s="7250"/>
      <c r="N592" s="6826"/>
      <c r="O592" s="7250"/>
      <c r="P592" s="6826"/>
      <c r="Q592" s="7250"/>
      <c r="R592" s="6659" t="s">
        <v>155</v>
      </c>
      <c r="S592" s="6557"/>
      <c r="T592" s="1033"/>
      <c r="U592" s="263"/>
      <c r="V592" s="99"/>
      <c r="W592" s="138"/>
      <c r="X592" s="138"/>
      <c r="Y592" s="299" t="s">
        <v>193</v>
      </c>
      <c r="Z592" s="264"/>
      <c r="AA592" s="277"/>
      <c r="AB592" s="187"/>
    </row>
    <row r="593" spans="1:31" ht="19.899999999999999" customHeight="1">
      <c r="A593" s="11"/>
      <c r="B593" s="5590"/>
      <c r="C593" s="9647" t="s">
        <v>137</v>
      </c>
      <c r="D593" s="9648"/>
      <c r="E593" s="9649"/>
      <c r="F593" s="492" t="s">
        <v>420</v>
      </c>
      <c r="G593" s="253"/>
      <c r="H593" s="9579" t="s">
        <v>138</v>
      </c>
      <c r="I593" s="9580"/>
      <c r="J593" s="9581"/>
      <c r="K593" s="492" t="s">
        <v>344</v>
      </c>
      <c r="L593" s="6754"/>
      <c r="M593" s="7250"/>
      <c r="N593" s="6826"/>
      <c r="O593" s="7356"/>
      <c r="P593" s="6826"/>
      <c r="Q593" s="7356"/>
      <c r="R593" s="6659" t="s">
        <v>155</v>
      </c>
      <c r="S593" s="6557"/>
      <c r="T593" s="1033"/>
      <c r="U593" s="263"/>
      <c r="V593" s="99"/>
      <c r="W593" s="138"/>
      <c r="X593" s="138"/>
      <c r="Y593" s="299" t="s">
        <v>193</v>
      </c>
      <c r="Z593" s="264"/>
      <c r="AA593" s="277"/>
      <c r="AB593" s="187"/>
    </row>
    <row r="594" spans="1:31" ht="19.899999999999999" customHeight="1">
      <c r="A594" s="11"/>
      <c r="B594" s="5590"/>
      <c r="C594" s="9647" t="s">
        <v>140</v>
      </c>
      <c r="D594" s="9648"/>
      <c r="E594" s="9649"/>
      <c r="F594" s="492" t="s">
        <v>420</v>
      </c>
      <c r="G594" s="253"/>
      <c r="H594" s="9579" t="s">
        <v>141</v>
      </c>
      <c r="I594" s="9580"/>
      <c r="J594" s="9581"/>
      <c r="K594" s="492" t="s">
        <v>344</v>
      </c>
      <c r="L594" s="6754">
        <v>0</v>
      </c>
      <c r="M594" s="7250"/>
      <c r="N594" s="6826">
        <v>0</v>
      </c>
      <c r="O594" s="7356"/>
      <c r="P594" s="6826">
        <v>0</v>
      </c>
      <c r="Q594" s="7356"/>
      <c r="R594" s="6659" t="s">
        <v>155</v>
      </c>
      <c r="S594" s="6557"/>
      <c r="T594" s="1033"/>
      <c r="U594" s="263"/>
      <c r="V594" s="99"/>
      <c r="W594" s="138"/>
      <c r="X594" s="138"/>
      <c r="Y594" s="299" t="s">
        <v>193</v>
      </c>
      <c r="Z594" s="264"/>
      <c r="AA594" s="277"/>
      <c r="AB594" s="187"/>
      <c r="AE594" s="1377" t="s">
        <v>465</v>
      </c>
    </row>
    <row r="595" spans="1:31" ht="19.899999999999999" customHeight="1">
      <c r="A595" s="11"/>
      <c r="B595" s="5590"/>
      <c r="C595" s="9647" t="s">
        <v>143</v>
      </c>
      <c r="D595" s="9648"/>
      <c r="E595" s="9649"/>
      <c r="F595" s="492" t="s">
        <v>420</v>
      </c>
      <c r="G595" s="253"/>
      <c r="H595" s="9579" t="s">
        <v>144</v>
      </c>
      <c r="I595" s="9580"/>
      <c r="J595" s="9581"/>
      <c r="K595" s="492" t="s">
        <v>344</v>
      </c>
      <c r="L595" s="6754">
        <v>0</v>
      </c>
      <c r="M595" s="7250"/>
      <c r="N595" s="6826">
        <v>0</v>
      </c>
      <c r="O595" s="7356"/>
      <c r="P595" s="6826">
        <v>0</v>
      </c>
      <c r="Q595" s="7356"/>
      <c r="R595" s="6659" t="s">
        <v>155</v>
      </c>
      <c r="S595" s="6557"/>
      <c r="T595" s="1033"/>
      <c r="U595" s="263"/>
      <c r="V595" s="99"/>
      <c r="W595" s="138"/>
      <c r="X595" s="138"/>
      <c r="Y595" s="299" t="s">
        <v>193</v>
      </c>
      <c r="Z595" s="264"/>
      <c r="AA595" s="277"/>
      <c r="AB595" s="187"/>
      <c r="AE595" s="1377" t="s">
        <v>465</v>
      </c>
    </row>
    <row r="596" spans="1:31" ht="19.899999999999999" customHeight="1">
      <c r="A596" s="11"/>
      <c r="B596" s="5590"/>
      <c r="C596" s="9647" t="s">
        <v>146</v>
      </c>
      <c r="D596" s="9648"/>
      <c r="E596" s="9649"/>
      <c r="F596" s="492" t="s">
        <v>420</v>
      </c>
      <c r="G596" s="253"/>
      <c r="H596" s="9579" t="s">
        <v>147</v>
      </c>
      <c r="I596" s="9580"/>
      <c r="J596" s="9581"/>
      <c r="K596" s="492" t="s">
        <v>344</v>
      </c>
      <c r="L596" s="6774" t="s">
        <v>168</v>
      </c>
      <c r="M596" s="7250" t="s">
        <v>641</v>
      </c>
      <c r="N596" s="6826" t="s">
        <v>168</v>
      </c>
      <c r="O596" s="7356" t="s">
        <v>641</v>
      </c>
      <c r="P596" s="6826" t="s">
        <v>168</v>
      </c>
      <c r="Q596" s="7356" t="s">
        <v>641</v>
      </c>
      <c r="R596" s="6659" t="s">
        <v>155</v>
      </c>
      <c r="S596" s="6557"/>
      <c r="T596" s="1033"/>
      <c r="U596" s="263"/>
      <c r="V596" s="99"/>
      <c r="W596" s="138"/>
      <c r="X596" s="138"/>
      <c r="Y596" s="299" t="s">
        <v>193</v>
      </c>
      <c r="Z596" s="264"/>
      <c r="AA596" s="277"/>
      <c r="AB596" s="187"/>
      <c r="AE596" s="1377" t="s">
        <v>465</v>
      </c>
    </row>
    <row r="597" spans="1:31" ht="19.899999999999999" customHeight="1">
      <c r="A597" s="11"/>
      <c r="B597" s="5590"/>
      <c r="C597" s="9647" t="s">
        <v>149</v>
      </c>
      <c r="D597" s="9648"/>
      <c r="E597" s="9649"/>
      <c r="F597" s="492" t="s">
        <v>420</v>
      </c>
      <c r="G597" s="253"/>
      <c r="H597" s="9579" t="s">
        <v>150</v>
      </c>
      <c r="I597" s="9580"/>
      <c r="J597" s="9581"/>
      <c r="K597" s="492" t="s">
        <v>344</v>
      </c>
      <c r="L597" s="6754"/>
      <c r="M597" s="7250"/>
      <c r="N597" s="6826"/>
      <c r="O597" s="7356"/>
      <c r="P597" s="6826"/>
      <c r="Q597" s="7356"/>
      <c r="R597" s="6659" t="s">
        <v>155</v>
      </c>
      <c r="S597" s="6557"/>
      <c r="T597" s="1033"/>
      <c r="U597" s="263"/>
      <c r="V597" s="99"/>
      <c r="W597" s="138"/>
      <c r="X597" s="138"/>
      <c r="Y597" s="299" t="s">
        <v>193</v>
      </c>
      <c r="Z597" s="264"/>
      <c r="AA597" s="277"/>
      <c r="AB597" s="187"/>
      <c r="AE597" s="1377" t="s">
        <v>465</v>
      </c>
    </row>
    <row r="598" spans="1:31" ht="20.100000000000001" customHeight="1">
      <c r="A598" s="11"/>
      <c r="B598" s="1360"/>
      <c r="C598" s="5598"/>
      <c r="D598" s="9594" t="s">
        <v>481</v>
      </c>
      <c r="E598" s="9595"/>
      <c r="F598" s="492" t="s">
        <v>420</v>
      </c>
      <c r="G598" s="345"/>
      <c r="H598" s="345"/>
      <c r="I598" s="9594" t="s">
        <v>482</v>
      </c>
      <c r="J598" s="9595"/>
      <c r="K598" s="492" t="s">
        <v>344</v>
      </c>
      <c r="L598" s="6763" t="str">
        <f>IF(COUNTBLANK(L599:L604)&gt;0,"미취합법인有",SUM(L599:L604))</f>
        <v>미취합법인有</v>
      </c>
      <c r="M598" s="7233"/>
      <c r="N598" s="6847" t="str">
        <f>IF(COUNTBLANK(N599:N604)&gt;0,"미취합법인有",SUM(N599:N604))</f>
        <v>미취합법인有</v>
      </c>
      <c r="O598" s="7353"/>
      <c r="P598" s="6913" t="str">
        <f>IF(COUNTBLANK(P599:P604)&gt;0,"미취합법인有",SUM(P599:P604))</f>
        <v>미취합법인有</v>
      </c>
      <c r="Q598" s="7463"/>
      <c r="R598" s="6659" t="s">
        <v>155</v>
      </c>
      <c r="S598" s="6561"/>
      <c r="T598" s="2468"/>
      <c r="U598" s="276"/>
      <c r="V598" s="99" t="s">
        <v>189</v>
      </c>
      <c r="W598" s="547"/>
      <c r="X598" s="547"/>
      <c r="Y598" s="299" t="s">
        <v>193</v>
      </c>
      <c r="Z598" s="277" t="s">
        <v>480</v>
      </c>
      <c r="AA598" s="277"/>
      <c r="AB598" s="187"/>
      <c r="AE598" s="1377" t="s">
        <v>465</v>
      </c>
    </row>
    <row r="599" spans="1:31" ht="20.100000000000001" customHeight="1">
      <c r="A599" s="11"/>
      <c r="B599" s="1360"/>
      <c r="C599" s="5598"/>
      <c r="D599" s="9598" t="s">
        <v>134</v>
      </c>
      <c r="E599" s="9600"/>
      <c r="F599" s="492" t="s">
        <v>420</v>
      </c>
      <c r="G599" s="666"/>
      <c r="H599" s="666"/>
      <c r="I599" s="9579" t="s">
        <v>135</v>
      </c>
      <c r="J599" s="9581"/>
      <c r="K599" s="492" t="s">
        <v>344</v>
      </c>
      <c r="L599" s="6753"/>
      <c r="M599" s="7249"/>
      <c r="N599" s="6842"/>
      <c r="O599" s="7377"/>
      <c r="P599" s="6936"/>
      <c r="Q599" s="7469"/>
      <c r="R599" s="6659" t="s">
        <v>155</v>
      </c>
      <c r="S599" s="6579"/>
      <c r="T599" s="2468"/>
      <c r="U599" s="544"/>
      <c r="V599" s="545"/>
      <c r="W599" s="546"/>
      <c r="X599" s="547"/>
      <c r="Y599" s="299" t="s">
        <v>193</v>
      </c>
      <c r="Z599" s="277"/>
      <c r="AA599" s="277"/>
      <c r="AB599" s="187"/>
    </row>
    <row r="600" spans="1:31" ht="20.100000000000001" customHeight="1">
      <c r="A600" s="11"/>
      <c r="B600" s="1360"/>
      <c r="C600" s="5598"/>
      <c r="D600" s="9598" t="s">
        <v>137</v>
      </c>
      <c r="E600" s="9600"/>
      <c r="F600" s="492" t="s">
        <v>420</v>
      </c>
      <c r="G600" s="666"/>
      <c r="H600" s="666"/>
      <c r="I600" s="9579" t="s">
        <v>138</v>
      </c>
      <c r="J600" s="9581"/>
      <c r="K600" s="492" t="s">
        <v>344</v>
      </c>
      <c r="L600" s="6753"/>
      <c r="M600" s="7249"/>
      <c r="N600" s="6842"/>
      <c r="O600" s="7377"/>
      <c r="P600" s="6936"/>
      <c r="Q600" s="7469"/>
      <c r="R600" s="6659" t="s">
        <v>155</v>
      </c>
      <c r="S600" s="6579"/>
      <c r="T600" s="2468"/>
      <c r="U600" s="544"/>
      <c r="V600" s="545"/>
      <c r="W600" s="546"/>
      <c r="X600" s="547"/>
      <c r="Y600" s="299" t="s">
        <v>193</v>
      </c>
      <c r="Z600" s="277"/>
      <c r="AA600" s="277"/>
      <c r="AB600" s="187"/>
    </row>
    <row r="601" spans="1:31" ht="20.100000000000001" customHeight="1">
      <c r="A601" s="11"/>
      <c r="B601" s="1360"/>
      <c r="C601" s="5598"/>
      <c r="D601" s="9598" t="s">
        <v>140</v>
      </c>
      <c r="E601" s="9600"/>
      <c r="F601" s="492" t="s">
        <v>420</v>
      </c>
      <c r="G601" s="666"/>
      <c r="H601" s="666"/>
      <c r="I601" s="9582" t="s">
        <v>141</v>
      </c>
      <c r="J601" s="9583"/>
      <c r="K601" s="492" t="s">
        <v>344</v>
      </c>
      <c r="L601" s="6753"/>
      <c r="M601" s="7249"/>
      <c r="N601" s="6842"/>
      <c r="O601" s="7377"/>
      <c r="P601" s="6936"/>
      <c r="Q601" s="7469"/>
      <c r="R601" s="6659" t="s">
        <v>155</v>
      </c>
      <c r="S601" s="6579"/>
      <c r="T601" s="2468"/>
      <c r="U601" s="544"/>
      <c r="V601" s="545"/>
      <c r="W601" s="546"/>
      <c r="X601" s="547"/>
      <c r="Y601" s="299" t="s">
        <v>193</v>
      </c>
      <c r="Z601" s="277"/>
      <c r="AA601" s="277"/>
      <c r="AB601" s="187"/>
      <c r="AE601" s="1377" t="s">
        <v>465</v>
      </c>
    </row>
    <row r="602" spans="1:31" ht="20.100000000000001" customHeight="1">
      <c r="A602" s="11"/>
      <c r="B602" s="1360"/>
      <c r="C602" s="5598"/>
      <c r="D602" s="9598" t="s">
        <v>143</v>
      </c>
      <c r="E602" s="9600"/>
      <c r="F602" s="492" t="s">
        <v>420</v>
      </c>
      <c r="G602" s="666"/>
      <c r="H602" s="666"/>
      <c r="I602" s="9582" t="s">
        <v>144</v>
      </c>
      <c r="J602" s="9583"/>
      <c r="K602" s="492" t="s">
        <v>344</v>
      </c>
      <c r="L602" s="6753"/>
      <c r="M602" s="7249"/>
      <c r="N602" s="6842"/>
      <c r="O602" s="7377"/>
      <c r="P602" s="6936"/>
      <c r="Q602" s="7469"/>
      <c r="R602" s="6659" t="s">
        <v>155</v>
      </c>
      <c r="S602" s="6579"/>
      <c r="T602" s="2468"/>
      <c r="U602" s="544"/>
      <c r="V602" s="545"/>
      <c r="W602" s="546"/>
      <c r="X602" s="547"/>
      <c r="Y602" s="299" t="s">
        <v>193</v>
      </c>
      <c r="Z602" s="277"/>
      <c r="AA602" s="277"/>
      <c r="AB602" s="187"/>
      <c r="AE602" s="1377" t="s">
        <v>465</v>
      </c>
    </row>
    <row r="603" spans="1:31" ht="20.100000000000001" customHeight="1">
      <c r="A603" s="11"/>
      <c r="B603" s="1360"/>
      <c r="C603" s="5598"/>
      <c r="D603" s="9598" t="s">
        <v>146</v>
      </c>
      <c r="E603" s="9600"/>
      <c r="F603" s="492" t="s">
        <v>420</v>
      </c>
      <c r="G603" s="666"/>
      <c r="H603" s="666"/>
      <c r="I603" s="9582" t="s">
        <v>147</v>
      </c>
      <c r="J603" s="9583"/>
      <c r="K603" s="492" t="s">
        <v>344</v>
      </c>
      <c r="L603" s="6774" t="s">
        <v>168</v>
      </c>
      <c r="M603" s="7250" t="s">
        <v>641</v>
      </c>
      <c r="N603" s="6826" t="s">
        <v>168</v>
      </c>
      <c r="O603" s="7240" t="s">
        <v>641</v>
      </c>
      <c r="P603" s="6837" t="s">
        <v>168</v>
      </c>
      <c r="Q603" s="7240" t="s">
        <v>641</v>
      </c>
      <c r="R603" s="6659" t="s">
        <v>155</v>
      </c>
      <c r="S603" s="6538"/>
      <c r="T603" s="2468"/>
      <c r="U603" s="544"/>
      <c r="V603" s="545"/>
      <c r="W603" s="546"/>
      <c r="X603" s="547"/>
      <c r="Y603" s="299" t="s">
        <v>193</v>
      </c>
      <c r="Z603" s="277"/>
      <c r="AA603" s="277"/>
      <c r="AB603" s="187"/>
      <c r="AE603" s="1377" t="s">
        <v>465</v>
      </c>
    </row>
    <row r="604" spans="1:31" ht="20.100000000000001" customHeight="1">
      <c r="A604" s="11"/>
      <c r="B604" s="1360"/>
      <c r="C604" s="5598"/>
      <c r="D604" s="9598" t="s">
        <v>149</v>
      </c>
      <c r="E604" s="9600"/>
      <c r="F604" s="492" t="s">
        <v>420</v>
      </c>
      <c r="G604" s="666"/>
      <c r="H604" s="666"/>
      <c r="I604" s="9582" t="s">
        <v>150</v>
      </c>
      <c r="J604" s="9583"/>
      <c r="K604" s="492" t="s">
        <v>344</v>
      </c>
      <c r="L604" s="6753"/>
      <c r="M604" s="7249"/>
      <c r="N604" s="6842"/>
      <c r="O604" s="7377"/>
      <c r="P604" s="6936"/>
      <c r="Q604" s="7469"/>
      <c r="R604" s="6659" t="s">
        <v>155</v>
      </c>
      <c r="S604" s="6579"/>
      <c r="T604" s="2468"/>
      <c r="U604" s="544"/>
      <c r="V604" s="545"/>
      <c r="W604" s="546"/>
      <c r="X604" s="547"/>
      <c r="Y604" s="299" t="s">
        <v>193</v>
      </c>
      <c r="Z604" s="277"/>
      <c r="AA604" s="277"/>
      <c r="AB604" s="187"/>
      <c r="AE604" s="1377" t="s">
        <v>465</v>
      </c>
    </row>
    <row r="605" spans="1:31" ht="20.100000000000001" customHeight="1">
      <c r="A605" s="11"/>
      <c r="B605" s="1360"/>
      <c r="C605" s="5598"/>
      <c r="D605" s="9593" t="s">
        <v>483</v>
      </c>
      <c r="E605" s="9595"/>
      <c r="F605" s="492" t="s">
        <v>420</v>
      </c>
      <c r="G605" s="345"/>
      <c r="H605" s="345"/>
      <c r="I605" s="9593" t="s">
        <v>484</v>
      </c>
      <c r="J605" s="9595"/>
      <c r="K605" s="492" t="s">
        <v>344</v>
      </c>
      <c r="L605" s="6763" t="str">
        <f>IF(COUNTBLANK(L606:L611)&gt;0,"미취합법인有",SUM(L606:L611))</f>
        <v>미취합법인有</v>
      </c>
      <c r="M605" s="7233"/>
      <c r="N605" s="6847" t="str">
        <f>IF(COUNTBLANK(N606:N611)&gt;0,"미취합법인有",SUM(N606:N611))</f>
        <v>미취합법인有</v>
      </c>
      <c r="O605" s="7236"/>
      <c r="P605" s="6913" t="str">
        <f>IF(COUNTBLANK(P606:P611)&gt;0,"미취합법인有",SUM(P606:P611))</f>
        <v>미취합법인有</v>
      </c>
      <c r="Q605" s="7463"/>
      <c r="R605" s="6659" t="s">
        <v>155</v>
      </c>
      <c r="S605" s="6561"/>
      <c r="T605" s="2468"/>
      <c r="U605" s="276"/>
      <c r="V605" s="99" t="s">
        <v>189</v>
      </c>
      <c r="W605" s="547"/>
      <c r="X605" s="547"/>
      <c r="Y605" s="299" t="s">
        <v>193</v>
      </c>
      <c r="Z605" s="277" t="s">
        <v>480</v>
      </c>
      <c r="AA605" s="277"/>
      <c r="AB605" s="187"/>
      <c r="AE605" s="1377" t="s">
        <v>465</v>
      </c>
    </row>
    <row r="606" spans="1:31" ht="20.100000000000001" customHeight="1">
      <c r="A606" s="11"/>
      <c r="B606" s="1360"/>
      <c r="C606" s="5598"/>
      <c r="D606" s="9598" t="s">
        <v>134</v>
      </c>
      <c r="E606" s="9600"/>
      <c r="F606" s="492" t="s">
        <v>420</v>
      </c>
      <c r="G606" s="666"/>
      <c r="H606" s="666"/>
      <c r="I606" s="9579" t="s">
        <v>135</v>
      </c>
      <c r="J606" s="9581"/>
      <c r="K606" s="492" t="s">
        <v>344</v>
      </c>
      <c r="L606" s="6753"/>
      <c r="M606" s="7249"/>
      <c r="N606" s="6842"/>
      <c r="O606" s="7377"/>
      <c r="P606" s="6936"/>
      <c r="Q606" s="7469"/>
      <c r="R606" s="6659" t="s">
        <v>155</v>
      </c>
      <c r="S606" s="6579"/>
      <c r="T606" s="2468"/>
      <c r="U606" s="544"/>
      <c r="V606" s="545"/>
      <c r="W606" s="546"/>
      <c r="X606" s="547"/>
      <c r="Y606" s="299" t="s">
        <v>193</v>
      </c>
      <c r="Z606" s="277"/>
      <c r="AA606" s="277"/>
      <c r="AB606" s="187"/>
    </row>
    <row r="607" spans="1:31" ht="20.100000000000001" customHeight="1">
      <c r="A607" s="11"/>
      <c r="B607" s="1360"/>
      <c r="C607" s="5598"/>
      <c r="D607" s="9598" t="s">
        <v>137</v>
      </c>
      <c r="E607" s="9600"/>
      <c r="F607" s="492" t="s">
        <v>420</v>
      </c>
      <c r="G607" s="666"/>
      <c r="H607" s="666"/>
      <c r="I607" s="9579" t="s">
        <v>138</v>
      </c>
      <c r="J607" s="9581"/>
      <c r="K607" s="492" t="s">
        <v>344</v>
      </c>
      <c r="L607" s="6753"/>
      <c r="M607" s="7249"/>
      <c r="N607" s="6842"/>
      <c r="O607" s="7377"/>
      <c r="P607" s="6936"/>
      <c r="Q607" s="7469"/>
      <c r="R607" s="6659" t="s">
        <v>155</v>
      </c>
      <c r="S607" s="6579"/>
      <c r="T607" s="2468"/>
      <c r="U607" s="544"/>
      <c r="V607" s="545"/>
      <c r="W607" s="546"/>
      <c r="X607" s="547"/>
      <c r="Y607" s="299" t="s">
        <v>193</v>
      </c>
      <c r="Z607" s="277"/>
      <c r="AA607" s="277"/>
      <c r="AB607" s="187"/>
    </row>
    <row r="608" spans="1:31" ht="20.100000000000001" customHeight="1">
      <c r="A608" s="11"/>
      <c r="B608" s="1360"/>
      <c r="C608" s="5598"/>
      <c r="D608" s="9598" t="s">
        <v>140</v>
      </c>
      <c r="E608" s="9600"/>
      <c r="F608" s="492" t="s">
        <v>420</v>
      </c>
      <c r="G608" s="666"/>
      <c r="H608" s="666"/>
      <c r="I608" s="9582" t="s">
        <v>141</v>
      </c>
      <c r="J608" s="9583"/>
      <c r="K608" s="492" t="s">
        <v>344</v>
      </c>
      <c r="L608" s="6753"/>
      <c r="M608" s="7249"/>
      <c r="N608" s="6842"/>
      <c r="O608" s="7377"/>
      <c r="P608" s="6936"/>
      <c r="Q608" s="7469"/>
      <c r="R608" s="6659" t="s">
        <v>155</v>
      </c>
      <c r="S608" s="6579"/>
      <c r="T608" s="2468"/>
      <c r="U608" s="544"/>
      <c r="V608" s="545"/>
      <c r="W608" s="546"/>
      <c r="X608" s="547"/>
      <c r="Y608" s="299" t="s">
        <v>193</v>
      </c>
      <c r="Z608" s="277"/>
      <c r="AA608" s="277"/>
      <c r="AB608" s="187"/>
      <c r="AE608" s="1377" t="s">
        <v>465</v>
      </c>
    </row>
    <row r="609" spans="1:31" ht="20.100000000000001" customHeight="1">
      <c r="A609" s="11"/>
      <c r="B609" s="1360"/>
      <c r="C609" s="5598"/>
      <c r="D609" s="9598" t="s">
        <v>143</v>
      </c>
      <c r="E609" s="9600"/>
      <c r="F609" s="492" t="s">
        <v>420</v>
      </c>
      <c r="G609" s="666"/>
      <c r="H609" s="666"/>
      <c r="I609" s="9582" t="s">
        <v>144</v>
      </c>
      <c r="J609" s="9583"/>
      <c r="K609" s="492" t="s">
        <v>344</v>
      </c>
      <c r="L609" s="6753"/>
      <c r="M609" s="7249"/>
      <c r="N609" s="6842"/>
      <c r="O609" s="7377"/>
      <c r="P609" s="6936"/>
      <c r="Q609" s="7469"/>
      <c r="R609" s="6659" t="s">
        <v>155</v>
      </c>
      <c r="S609" s="6579"/>
      <c r="T609" s="2468"/>
      <c r="U609" s="544"/>
      <c r="V609" s="545"/>
      <c r="W609" s="546"/>
      <c r="X609" s="547"/>
      <c r="Y609" s="299" t="s">
        <v>193</v>
      </c>
      <c r="Z609" s="277"/>
      <c r="AA609" s="277"/>
      <c r="AB609" s="187"/>
      <c r="AE609" s="1377" t="s">
        <v>465</v>
      </c>
    </row>
    <row r="610" spans="1:31" ht="20.100000000000001" customHeight="1">
      <c r="A610" s="11"/>
      <c r="B610" s="1360"/>
      <c r="C610" s="5598"/>
      <c r="D610" s="9598" t="s">
        <v>146</v>
      </c>
      <c r="E610" s="9600"/>
      <c r="F610" s="492" t="s">
        <v>420</v>
      </c>
      <c r="G610" s="666"/>
      <c r="H610" s="666"/>
      <c r="I610" s="9582" t="s">
        <v>147</v>
      </c>
      <c r="J610" s="9583"/>
      <c r="K610" s="492" t="s">
        <v>344</v>
      </c>
      <c r="L610" s="6774" t="s">
        <v>168</v>
      </c>
      <c r="M610" s="7250" t="s">
        <v>641</v>
      </c>
      <c r="N610" s="6826" t="s">
        <v>168</v>
      </c>
      <c r="O610" s="7240" t="s">
        <v>641</v>
      </c>
      <c r="P610" s="6837" t="s">
        <v>168</v>
      </c>
      <c r="Q610" s="7240" t="s">
        <v>641</v>
      </c>
      <c r="R610" s="6659" t="s">
        <v>155</v>
      </c>
      <c r="S610" s="6538"/>
      <c r="T610" s="2468"/>
      <c r="U610" s="544"/>
      <c r="V610" s="545"/>
      <c r="W610" s="546"/>
      <c r="X610" s="547"/>
      <c r="Y610" s="299" t="s">
        <v>193</v>
      </c>
      <c r="Z610" s="277"/>
      <c r="AA610" s="277"/>
      <c r="AB610" s="187"/>
      <c r="AE610" s="1377" t="s">
        <v>465</v>
      </c>
    </row>
    <row r="611" spans="1:31" ht="20.100000000000001" customHeight="1">
      <c r="A611" s="11"/>
      <c r="B611" s="1360"/>
      <c r="C611" s="5598"/>
      <c r="D611" s="9598" t="s">
        <v>149</v>
      </c>
      <c r="E611" s="9600"/>
      <c r="F611" s="492" t="s">
        <v>420</v>
      </c>
      <c r="G611" s="666"/>
      <c r="H611" s="666"/>
      <c r="I611" s="9582" t="s">
        <v>150</v>
      </c>
      <c r="J611" s="9583"/>
      <c r="K611" s="492" t="s">
        <v>344</v>
      </c>
      <c r="L611" s="6753"/>
      <c r="M611" s="7249"/>
      <c r="N611" s="6842"/>
      <c r="O611" s="7377"/>
      <c r="P611" s="6936"/>
      <c r="Q611" s="7469"/>
      <c r="R611" s="6659" t="s">
        <v>155</v>
      </c>
      <c r="S611" s="6579"/>
      <c r="T611" s="2468"/>
      <c r="U611" s="544"/>
      <c r="V611" s="545"/>
      <c r="W611" s="546"/>
      <c r="X611" s="547"/>
      <c r="Y611" s="299" t="s">
        <v>193</v>
      </c>
      <c r="Z611" s="277"/>
      <c r="AA611" s="277"/>
      <c r="AB611" s="187"/>
      <c r="AE611" s="1377" t="s">
        <v>465</v>
      </c>
    </row>
    <row r="612" spans="1:31" ht="20.100000000000001" customHeight="1">
      <c r="A612" s="11"/>
      <c r="B612" s="1360"/>
      <c r="C612" s="9596" t="s">
        <v>485</v>
      </c>
      <c r="D612" s="9597"/>
      <c r="E612" s="9592"/>
      <c r="F612" s="492" t="s">
        <v>420</v>
      </c>
      <c r="G612" s="349"/>
      <c r="H612" s="9591" t="s">
        <v>486</v>
      </c>
      <c r="I612" s="9597"/>
      <c r="J612" s="9592"/>
      <c r="K612" s="492" t="s">
        <v>344</v>
      </c>
      <c r="L612" s="6763" t="str">
        <f>IF(COUNTBLANK(L613:L618)&gt;0,"미취합법인有",SUM(L613:L618))</f>
        <v>미취합법인有</v>
      </c>
      <c r="M612" s="7233"/>
      <c r="N612" s="6847" t="str">
        <f>IF(COUNTBLANK(N613:N618)&gt;0,"미취합법인有",SUM(N613:N618))</f>
        <v>미취합법인有</v>
      </c>
      <c r="O612" s="7236"/>
      <c r="P612" s="6913" t="str">
        <f>IF(COUNTBLANK(P613:P618)&gt;0,"미취합법인有",SUM(P613:P618))</f>
        <v>미취합법인有</v>
      </c>
      <c r="Q612" s="7463"/>
      <c r="R612" s="6659" t="s">
        <v>155</v>
      </c>
      <c r="S612" s="6561"/>
      <c r="T612" s="2468" t="s">
        <v>487</v>
      </c>
      <c r="U612" s="276" t="s">
        <v>488</v>
      </c>
      <c r="V612" s="99" t="s">
        <v>189</v>
      </c>
      <c r="W612" s="547"/>
      <c r="X612" s="547"/>
      <c r="Y612" s="299" t="s">
        <v>193</v>
      </c>
      <c r="Z612" s="277" t="s">
        <v>489</v>
      </c>
      <c r="AA612" s="277" t="s">
        <v>442</v>
      </c>
      <c r="AB612" s="187"/>
      <c r="AE612" s="1377" t="s">
        <v>490</v>
      </c>
    </row>
    <row r="613" spans="1:31" ht="19.899999999999999" customHeight="1">
      <c r="A613" s="11"/>
      <c r="B613" s="5590"/>
      <c r="C613" s="9647" t="s">
        <v>134</v>
      </c>
      <c r="D613" s="9648"/>
      <c r="E613" s="9649"/>
      <c r="F613" s="492" t="s">
        <v>420</v>
      </c>
      <c r="G613" s="253"/>
      <c r="H613" s="9579" t="s">
        <v>135</v>
      </c>
      <c r="I613" s="9580"/>
      <c r="J613" s="9581"/>
      <c r="K613" s="492" t="s">
        <v>344</v>
      </c>
      <c r="L613" s="6754">
        <v>0.95</v>
      </c>
      <c r="M613" s="7250"/>
      <c r="N613" s="6826">
        <v>0</v>
      </c>
      <c r="O613" s="7356"/>
      <c r="P613" s="6826">
        <v>0</v>
      </c>
      <c r="Q613" s="7356"/>
      <c r="R613" s="6659" t="s">
        <v>155</v>
      </c>
      <c r="S613" s="6557"/>
      <c r="T613" s="1033"/>
      <c r="U613" s="263"/>
      <c r="V613" s="99"/>
      <c r="W613" s="138"/>
      <c r="X613" s="138"/>
      <c r="Y613" s="299" t="s">
        <v>193</v>
      </c>
      <c r="Z613" s="264"/>
      <c r="AA613" s="277"/>
      <c r="AB613" s="187"/>
      <c r="AE613" s="1377" t="s">
        <v>491</v>
      </c>
    </row>
    <row r="614" spans="1:31" ht="19.899999999999999" customHeight="1">
      <c r="A614" s="11"/>
      <c r="B614" s="5590"/>
      <c r="C614" s="9647" t="s">
        <v>137</v>
      </c>
      <c r="D614" s="9648"/>
      <c r="E614" s="9649"/>
      <c r="F614" s="492" t="s">
        <v>420</v>
      </c>
      <c r="G614" s="253"/>
      <c r="H614" s="9579" t="s">
        <v>138</v>
      </c>
      <c r="I614" s="9580"/>
      <c r="J614" s="9581"/>
      <c r="K614" s="492" t="s">
        <v>344</v>
      </c>
      <c r="L614" s="6754"/>
      <c r="M614" s="7250"/>
      <c r="N614" s="6826"/>
      <c r="O614" s="7356"/>
      <c r="P614" s="6826"/>
      <c r="Q614" s="7356"/>
      <c r="R614" s="6659" t="s">
        <v>155</v>
      </c>
      <c r="S614" s="6557"/>
      <c r="T614" s="1033"/>
      <c r="U614" s="263"/>
      <c r="V614" s="99"/>
      <c r="W614" s="138"/>
      <c r="X614" s="138"/>
      <c r="Y614" s="299" t="s">
        <v>193</v>
      </c>
      <c r="Z614" s="264"/>
      <c r="AA614" s="277"/>
      <c r="AB614" s="187"/>
      <c r="AE614" s="1377" t="s">
        <v>492</v>
      </c>
    </row>
    <row r="615" spans="1:31" ht="19.899999999999999" customHeight="1">
      <c r="A615" s="11"/>
      <c r="B615" s="5590"/>
      <c r="C615" s="9647" t="s">
        <v>140</v>
      </c>
      <c r="D615" s="9648"/>
      <c r="E615" s="9649"/>
      <c r="F615" s="492" t="s">
        <v>420</v>
      </c>
      <c r="G615" s="253"/>
      <c r="H615" s="9579" t="s">
        <v>141</v>
      </c>
      <c r="I615" s="9580"/>
      <c r="J615" s="9581"/>
      <c r="K615" s="492" t="s">
        <v>344</v>
      </c>
      <c r="L615" s="6754">
        <v>0</v>
      </c>
      <c r="M615" s="7250"/>
      <c r="N615" s="6826">
        <v>0</v>
      </c>
      <c r="O615" s="7356"/>
      <c r="P615" s="6826">
        <v>0</v>
      </c>
      <c r="Q615" s="7356"/>
      <c r="R615" s="6659" t="s">
        <v>155</v>
      </c>
      <c r="S615" s="6557"/>
      <c r="T615" s="1033"/>
      <c r="U615" s="263"/>
      <c r="V615" s="99"/>
      <c r="W615" s="138"/>
      <c r="X615" s="138"/>
      <c r="Y615" s="299" t="s">
        <v>193</v>
      </c>
      <c r="Z615" s="264"/>
      <c r="AA615" s="277"/>
      <c r="AB615" s="187"/>
      <c r="AE615" s="1377" t="s">
        <v>493</v>
      </c>
    </row>
    <row r="616" spans="1:31" ht="19.899999999999999" customHeight="1">
      <c r="A616" s="11"/>
      <c r="B616" s="5590"/>
      <c r="C616" s="9647" t="s">
        <v>143</v>
      </c>
      <c r="D616" s="9648"/>
      <c r="E616" s="9649"/>
      <c r="F616" s="492" t="s">
        <v>420</v>
      </c>
      <c r="G616" s="253"/>
      <c r="H616" s="9579" t="s">
        <v>144</v>
      </c>
      <c r="I616" s="9580"/>
      <c r="J616" s="9581"/>
      <c r="K616" s="492" t="s">
        <v>344</v>
      </c>
      <c r="L616" s="6754">
        <v>0</v>
      </c>
      <c r="M616" s="7250"/>
      <c r="N616" s="6826">
        <v>0</v>
      </c>
      <c r="O616" s="7356"/>
      <c r="P616" s="6826">
        <v>0</v>
      </c>
      <c r="Q616" s="7356"/>
      <c r="R616" s="6659" t="s">
        <v>155</v>
      </c>
      <c r="S616" s="6557"/>
      <c r="T616" s="1033"/>
      <c r="U616" s="263"/>
      <c r="V616" s="99"/>
      <c r="W616" s="138"/>
      <c r="X616" s="138"/>
      <c r="Y616" s="299" t="s">
        <v>193</v>
      </c>
      <c r="Z616" s="264"/>
      <c r="AA616" s="277"/>
      <c r="AB616" s="187"/>
      <c r="AE616" s="1377" t="s">
        <v>494</v>
      </c>
    </row>
    <row r="617" spans="1:31" ht="19.899999999999999" customHeight="1">
      <c r="A617" s="11"/>
      <c r="B617" s="5590"/>
      <c r="C617" s="9647" t="s">
        <v>146</v>
      </c>
      <c r="D617" s="9648"/>
      <c r="E617" s="9649"/>
      <c r="F617" s="492" t="s">
        <v>420</v>
      </c>
      <c r="G617" s="253"/>
      <c r="H617" s="9579" t="s">
        <v>147</v>
      </c>
      <c r="I617" s="9580"/>
      <c r="J617" s="9581"/>
      <c r="K617" s="492" t="s">
        <v>344</v>
      </c>
      <c r="L617" s="6774" t="s">
        <v>168</v>
      </c>
      <c r="M617" s="7250" t="s">
        <v>641</v>
      </c>
      <c r="N617" s="6826" t="s">
        <v>168</v>
      </c>
      <c r="O617" s="7356" t="s">
        <v>641</v>
      </c>
      <c r="P617" s="6826" t="s">
        <v>168</v>
      </c>
      <c r="Q617" s="7356" t="s">
        <v>641</v>
      </c>
      <c r="R617" s="6659" t="s">
        <v>155</v>
      </c>
      <c r="S617" s="6557"/>
      <c r="T617" s="1033"/>
      <c r="U617" s="263"/>
      <c r="V617" s="99"/>
      <c r="W617" s="138"/>
      <c r="X617" s="138"/>
      <c r="Y617" s="299" t="s">
        <v>193</v>
      </c>
      <c r="Z617" s="264"/>
      <c r="AA617" s="277"/>
      <c r="AB617" s="187"/>
      <c r="AE617" s="1377" t="s">
        <v>495</v>
      </c>
    </row>
    <row r="618" spans="1:31" ht="19.899999999999999" customHeight="1">
      <c r="A618" s="11"/>
      <c r="B618" s="5590"/>
      <c r="C618" s="9647" t="s">
        <v>149</v>
      </c>
      <c r="D618" s="9648"/>
      <c r="E618" s="9649"/>
      <c r="F618" s="492" t="s">
        <v>420</v>
      </c>
      <c r="G618" s="253"/>
      <c r="H618" s="9579" t="s">
        <v>150</v>
      </c>
      <c r="I618" s="9580"/>
      <c r="J618" s="9581"/>
      <c r="K618" s="492" t="s">
        <v>344</v>
      </c>
      <c r="L618" s="6754"/>
      <c r="M618" s="7250"/>
      <c r="N618" s="6826"/>
      <c r="O618" s="7356"/>
      <c r="P618" s="6826"/>
      <c r="Q618" s="7356"/>
      <c r="R618" s="6659" t="s">
        <v>155</v>
      </c>
      <c r="S618" s="6557"/>
      <c r="T618" s="1033"/>
      <c r="U618" s="263"/>
      <c r="V618" s="99"/>
      <c r="W618" s="138"/>
      <c r="X618" s="138"/>
      <c r="Y618" s="299" t="s">
        <v>193</v>
      </c>
      <c r="Z618" s="264"/>
      <c r="AA618" s="277"/>
      <c r="AB618" s="187"/>
      <c r="AE618" s="1377" t="s">
        <v>496</v>
      </c>
    </row>
    <row r="619" spans="1:31" ht="20.100000000000001" customHeight="1">
      <c r="A619" s="11"/>
      <c r="B619" s="1360"/>
      <c r="C619" s="5598"/>
      <c r="D619" s="9591" t="s">
        <v>497</v>
      </c>
      <c r="E619" s="9592"/>
      <c r="F619" s="492" t="s">
        <v>420</v>
      </c>
      <c r="G619" s="345"/>
      <c r="H619" s="144"/>
      <c r="I619" s="9591" t="s">
        <v>498</v>
      </c>
      <c r="J619" s="9592"/>
      <c r="K619" s="492" t="s">
        <v>344</v>
      </c>
      <c r="L619" s="6763" t="str">
        <f>IF(COUNTBLANK(L620:L625)&gt;0,"미취합법인有",SUM(L620:L625))</f>
        <v>미취합법인有</v>
      </c>
      <c r="M619" s="7233"/>
      <c r="N619" s="6847" t="str">
        <f>IF(COUNTBLANK(N620:N625)&gt;0,"미취합법인有",SUM(N620:N625))</f>
        <v>미취합법인有</v>
      </c>
      <c r="O619" s="7353"/>
      <c r="P619" s="6913" t="str">
        <f>IF(COUNTBLANK(P620:P625)&gt;0,"미취합법인有",SUM(P620:P625))</f>
        <v>미취합법인有</v>
      </c>
      <c r="Q619" s="7463"/>
      <c r="R619" s="6659" t="s">
        <v>155</v>
      </c>
      <c r="S619" s="6561"/>
      <c r="T619" s="2468"/>
      <c r="U619" s="276"/>
      <c r="V619" s="99" t="s">
        <v>189</v>
      </c>
      <c r="W619" s="547"/>
      <c r="X619" s="547"/>
      <c r="Y619" s="299" t="s">
        <v>193</v>
      </c>
      <c r="Z619" s="277" t="s">
        <v>499</v>
      </c>
      <c r="AA619" s="277" t="s">
        <v>442</v>
      </c>
      <c r="AB619" s="187"/>
      <c r="AE619" s="1377" t="s">
        <v>500</v>
      </c>
    </row>
    <row r="620" spans="1:31" ht="20.100000000000001" customHeight="1">
      <c r="A620" s="11"/>
      <c r="B620" s="1360"/>
      <c r="C620" s="5598"/>
      <c r="D620" s="9598" t="s">
        <v>134</v>
      </c>
      <c r="E620" s="9600"/>
      <c r="F620" s="492" t="s">
        <v>420</v>
      </c>
      <c r="G620" s="666"/>
      <c r="H620" s="684"/>
      <c r="I620" s="9579" t="s">
        <v>135</v>
      </c>
      <c r="J620" s="9581"/>
      <c r="K620" s="492" t="s">
        <v>344</v>
      </c>
      <c r="L620" s="6753"/>
      <c r="M620" s="7249"/>
      <c r="N620" s="6842"/>
      <c r="O620" s="7377"/>
      <c r="P620" s="6936"/>
      <c r="Q620" s="7469"/>
      <c r="R620" s="6659" t="s">
        <v>155</v>
      </c>
      <c r="S620" s="6579"/>
      <c r="T620" s="2468"/>
      <c r="U620" s="544"/>
      <c r="V620" s="545"/>
      <c r="W620" s="546"/>
      <c r="X620" s="547"/>
      <c r="Y620" s="299" t="s">
        <v>193</v>
      </c>
      <c r="Z620" s="277"/>
      <c r="AA620" s="277"/>
      <c r="AB620" s="187"/>
      <c r="AE620" s="1377" t="s">
        <v>501</v>
      </c>
    </row>
    <row r="621" spans="1:31" ht="20.100000000000001" customHeight="1">
      <c r="A621" s="11"/>
      <c r="B621" s="1360"/>
      <c r="C621" s="5598"/>
      <c r="D621" s="9598" t="s">
        <v>137</v>
      </c>
      <c r="E621" s="9600"/>
      <c r="F621" s="492" t="s">
        <v>420</v>
      </c>
      <c r="G621" s="666"/>
      <c r="H621" s="684"/>
      <c r="I621" s="9579" t="s">
        <v>138</v>
      </c>
      <c r="J621" s="9581"/>
      <c r="K621" s="492" t="s">
        <v>344</v>
      </c>
      <c r="L621" s="6753"/>
      <c r="M621" s="7249"/>
      <c r="N621" s="6842"/>
      <c r="O621" s="7377"/>
      <c r="P621" s="6936"/>
      <c r="Q621" s="7469"/>
      <c r="R621" s="6659" t="s">
        <v>155</v>
      </c>
      <c r="S621" s="6579"/>
      <c r="T621" s="2468"/>
      <c r="U621" s="544"/>
      <c r="V621" s="545"/>
      <c r="W621" s="546"/>
      <c r="X621" s="547"/>
      <c r="Y621" s="299" t="s">
        <v>193</v>
      </c>
      <c r="Z621" s="277"/>
      <c r="AA621" s="277"/>
      <c r="AB621" s="187"/>
      <c r="AE621" s="1377" t="s">
        <v>502</v>
      </c>
    </row>
    <row r="622" spans="1:31" ht="20.100000000000001" customHeight="1">
      <c r="A622" s="11"/>
      <c r="B622" s="1360"/>
      <c r="C622" s="5598"/>
      <c r="D622" s="9598" t="s">
        <v>140</v>
      </c>
      <c r="E622" s="9600"/>
      <c r="F622" s="492" t="s">
        <v>420</v>
      </c>
      <c r="G622" s="666"/>
      <c r="H622" s="684"/>
      <c r="I622" s="9582" t="s">
        <v>141</v>
      </c>
      <c r="J622" s="9583"/>
      <c r="K622" s="492" t="s">
        <v>344</v>
      </c>
      <c r="L622" s="6753"/>
      <c r="M622" s="7249"/>
      <c r="N622" s="6842"/>
      <c r="O622" s="7377"/>
      <c r="P622" s="6936"/>
      <c r="Q622" s="7469"/>
      <c r="R622" s="6659" t="s">
        <v>155</v>
      </c>
      <c r="S622" s="6579"/>
      <c r="T622" s="2468"/>
      <c r="U622" s="544"/>
      <c r="V622" s="545"/>
      <c r="W622" s="546"/>
      <c r="X622" s="547"/>
      <c r="Y622" s="299" t="s">
        <v>193</v>
      </c>
      <c r="Z622" s="277"/>
      <c r="AA622" s="277"/>
      <c r="AB622" s="187"/>
      <c r="AE622" s="1377" t="s">
        <v>503</v>
      </c>
    </row>
    <row r="623" spans="1:31" ht="20.100000000000001" customHeight="1">
      <c r="A623" s="11"/>
      <c r="B623" s="1360"/>
      <c r="C623" s="5598"/>
      <c r="D623" s="9598" t="s">
        <v>143</v>
      </c>
      <c r="E623" s="9600"/>
      <c r="F623" s="492" t="s">
        <v>420</v>
      </c>
      <c r="G623" s="666"/>
      <c r="H623" s="684"/>
      <c r="I623" s="9582" t="s">
        <v>144</v>
      </c>
      <c r="J623" s="9583"/>
      <c r="K623" s="492" t="s">
        <v>344</v>
      </c>
      <c r="L623" s="6753"/>
      <c r="M623" s="7249"/>
      <c r="N623" s="6842"/>
      <c r="O623" s="7377"/>
      <c r="P623" s="6936"/>
      <c r="Q623" s="7469"/>
      <c r="R623" s="6659" t="s">
        <v>155</v>
      </c>
      <c r="S623" s="6579"/>
      <c r="T623" s="2468"/>
      <c r="U623" s="544"/>
      <c r="V623" s="545"/>
      <c r="W623" s="546"/>
      <c r="X623" s="547"/>
      <c r="Y623" s="299" t="s">
        <v>193</v>
      </c>
      <c r="Z623" s="277"/>
      <c r="AA623" s="277"/>
      <c r="AB623" s="187"/>
      <c r="AE623" s="1377" t="s">
        <v>504</v>
      </c>
    </row>
    <row r="624" spans="1:31" ht="20.100000000000001" customHeight="1">
      <c r="A624" s="11"/>
      <c r="B624" s="1360"/>
      <c r="C624" s="5598"/>
      <c r="D624" s="9598" t="s">
        <v>146</v>
      </c>
      <c r="E624" s="9600"/>
      <c r="F624" s="492" t="s">
        <v>420</v>
      </c>
      <c r="G624" s="666"/>
      <c r="H624" s="684"/>
      <c r="I624" s="9582" t="s">
        <v>147</v>
      </c>
      <c r="J624" s="9583"/>
      <c r="K624" s="492" t="s">
        <v>344</v>
      </c>
      <c r="L624" s="6774" t="s">
        <v>168</v>
      </c>
      <c r="M624" s="7250" t="s">
        <v>641</v>
      </c>
      <c r="N624" s="6826" t="s">
        <v>168</v>
      </c>
      <c r="O624" s="7240" t="s">
        <v>641</v>
      </c>
      <c r="P624" s="6837" t="s">
        <v>168</v>
      </c>
      <c r="Q624" s="7240" t="s">
        <v>641</v>
      </c>
      <c r="R624" s="6659" t="s">
        <v>155</v>
      </c>
      <c r="S624" s="6538"/>
      <c r="T624" s="2468"/>
      <c r="U624" s="544"/>
      <c r="V624" s="545"/>
      <c r="W624" s="546"/>
      <c r="X624" s="547"/>
      <c r="Y624" s="299" t="s">
        <v>193</v>
      </c>
      <c r="Z624" s="277"/>
      <c r="AA624" s="277"/>
      <c r="AB624" s="187"/>
      <c r="AE624" s="1377" t="s">
        <v>505</v>
      </c>
    </row>
    <row r="625" spans="1:31" ht="20.100000000000001" customHeight="1">
      <c r="A625" s="11"/>
      <c r="B625" s="1360"/>
      <c r="C625" s="5598"/>
      <c r="D625" s="9598" t="s">
        <v>149</v>
      </c>
      <c r="E625" s="9600"/>
      <c r="F625" s="492" t="s">
        <v>420</v>
      </c>
      <c r="G625" s="666"/>
      <c r="H625" s="684"/>
      <c r="I625" s="9582" t="s">
        <v>150</v>
      </c>
      <c r="J625" s="9583"/>
      <c r="K625" s="492" t="s">
        <v>344</v>
      </c>
      <c r="L625" s="6753"/>
      <c r="M625" s="7249"/>
      <c r="N625" s="6842"/>
      <c r="O625" s="7377"/>
      <c r="P625" s="6936"/>
      <c r="Q625" s="7469"/>
      <c r="R625" s="6659" t="s">
        <v>155</v>
      </c>
      <c r="S625" s="6579"/>
      <c r="T625" s="2468"/>
      <c r="U625" s="544"/>
      <c r="V625" s="545"/>
      <c r="W625" s="546"/>
      <c r="X625" s="547"/>
      <c r="Y625" s="299" t="s">
        <v>193</v>
      </c>
      <c r="Z625" s="277"/>
      <c r="AA625" s="277"/>
      <c r="AB625" s="187"/>
      <c r="AE625" s="1377" t="s">
        <v>506</v>
      </c>
    </row>
    <row r="626" spans="1:31" ht="20.100000000000001" customHeight="1">
      <c r="A626" s="11"/>
      <c r="B626" s="1360"/>
      <c r="C626" s="5598"/>
      <c r="D626" s="9591" t="s">
        <v>507</v>
      </c>
      <c r="E626" s="9592"/>
      <c r="F626" s="492" t="s">
        <v>420</v>
      </c>
      <c r="G626" s="345"/>
      <c r="H626" s="144"/>
      <c r="I626" s="9591" t="s">
        <v>508</v>
      </c>
      <c r="J626" s="9592"/>
      <c r="K626" s="492" t="s">
        <v>344</v>
      </c>
      <c r="L626" s="6763" t="str">
        <f>IF(COUNTBLANK(L627:L632)&gt;0,"미취합법인有",SUM(L627:L632))</f>
        <v>미취합법인有</v>
      </c>
      <c r="M626" s="7233"/>
      <c r="N626" s="6847" t="str">
        <f>IF(COUNTBLANK(N627:N632)&gt;0,"미취합법인有",SUM(N627:N632))</f>
        <v>미취합법인有</v>
      </c>
      <c r="O626" s="7236"/>
      <c r="P626" s="6913" t="str">
        <f>IF(COUNTBLANK(P627:P632)&gt;0,"미취합법인有",SUM(P627:P632))</f>
        <v>미취합법인有</v>
      </c>
      <c r="Q626" s="7463"/>
      <c r="R626" s="6659" t="s">
        <v>155</v>
      </c>
      <c r="S626" s="6561"/>
      <c r="T626" s="2468"/>
      <c r="U626" s="276"/>
      <c r="V626" s="99" t="s">
        <v>189</v>
      </c>
      <c r="W626" s="547"/>
      <c r="X626" s="547"/>
      <c r="Y626" s="299" t="s">
        <v>193</v>
      </c>
      <c r="Z626" s="277" t="s">
        <v>499</v>
      </c>
      <c r="AA626" s="277" t="s">
        <v>442</v>
      </c>
      <c r="AB626" s="187"/>
      <c r="AE626" s="1377" t="s">
        <v>509</v>
      </c>
    </row>
    <row r="627" spans="1:31" ht="20.100000000000001" customHeight="1">
      <c r="A627" s="11"/>
      <c r="B627" s="1360"/>
      <c r="C627" s="5598"/>
      <c r="D627" s="9598" t="s">
        <v>134</v>
      </c>
      <c r="E627" s="9600"/>
      <c r="F627" s="492" t="s">
        <v>420</v>
      </c>
      <c r="G627" s="666"/>
      <c r="H627" s="684"/>
      <c r="I627" s="9579" t="s">
        <v>135</v>
      </c>
      <c r="J627" s="9581"/>
      <c r="K627" s="492" t="s">
        <v>344</v>
      </c>
      <c r="L627" s="6753">
        <v>0.95</v>
      </c>
      <c r="M627" s="7249"/>
      <c r="N627" s="6869">
        <v>0</v>
      </c>
      <c r="O627" s="7377"/>
      <c r="P627" s="6869">
        <v>0</v>
      </c>
      <c r="Q627" s="7469"/>
      <c r="R627" s="6659" t="s">
        <v>155</v>
      </c>
      <c r="S627" s="6579"/>
      <c r="T627" s="2468"/>
      <c r="U627" s="544"/>
      <c r="V627" s="545"/>
      <c r="W627" s="546"/>
      <c r="X627" s="547"/>
      <c r="Y627" s="299" t="s">
        <v>193</v>
      </c>
      <c r="Z627" s="277"/>
      <c r="AA627" s="277"/>
      <c r="AB627" s="187"/>
      <c r="AE627" s="1377" t="s">
        <v>510</v>
      </c>
    </row>
    <row r="628" spans="1:31" ht="20.100000000000001" customHeight="1">
      <c r="A628" s="11"/>
      <c r="B628" s="1360"/>
      <c r="C628" s="5598"/>
      <c r="D628" s="9598" t="s">
        <v>137</v>
      </c>
      <c r="E628" s="9600"/>
      <c r="F628" s="492" t="s">
        <v>420</v>
      </c>
      <c r="G628" s="666"/>
      <c r="H628" s="684"/>
      <c r="I628" s="9579" t="s">
        <v>138</v>
      </c>
      <c r="J628" s="9581"/>
      <c r="K628" s="492" t="s">
        <v>344</v>
      </c>
      <c r="L628" s="6753"/>
      <c r="M628" s="7249"/>
      <c r="N628" s="6842"/>
      <c r="O628" s="7377"/>
      <c r="P628" s="6936"/>
      <c r="Q628" s="7469"/>
      <c r="R628" s="6659" t="s">
        <v>155</v>
      </c>
      <c r="S628" s="6579"/>
      <c r="T628" s="2468"/>
      <c r="U628" s="544"/>
      <c r="V628" s="545"/>
      <c r="W628" s="546"/>
      <c r="X628" s="547"/>
      <c r="Y628" s="299" t="s">
        <v>193</v>
      </c>
      <c r="Z628" s="277"/>
      <c r="AA628" s="277"/>
      <c r="AB628" s="187"/>
      <c r="AE628" s="1377" t="s">
        <v>511</v>
      </c>
    </row>
    <row r="629" spans="1:31" ht="20.100000000000001" customHeight="1">
      <c r="A629" s="11"/>
      <c r="B629" s="1360"/>
      <c r="C629" s="5598"/>
      <c r="D629" s="9598" t="s">
        <v>140</v>
      </c>
      <c r="E629" s="9600"/>
      <c r="F629" s="492" t="s">
        <v>420</v>
      </c>
      <c r="G629" s="666"/>
      <c r="H629" s="684"/>
      <c r="I629" s="9582" t="s">
        <v>141</v>
      </c>
      <c r="J629" s="9583"/>
      <c r="K629" s="492" t="s">
        <v>344</v>
      </c>
      <c r="L629" s="6753"/>
      <c r="M629" s="7249"/>
      <c r="N629" s="6842"/>
      <c r="O629" s="7377"/>
      <c r="P629" s="6936"/>
      <c r="Q629" s="7469"/>
      <c r="R629" s="6659" t="s">
        <v>155</v>
      </c>
      <c r="S629" s="6579"/>
      <c r="T629" s="2468"/>
      <c r="U629" s="544"/>
      <c r="V629" s="545"/>
      <c r="W629" s="546"/>
      <c r="X629" s="547"/>
      <c r="Y629" s="299" t="s">
        <v>193</v>
      </c>
      <c r="Z629" s="277"/>
      <c r="AA629" s="277"/>
      <c r="AB629" s="187"/>
      <c r="AE629" s="1377" t="s">
        <v>512</v>
      </c>
    </row>
    <row r="630" spans="1:31" ht="20.100000000000001" customHeight="1">
      <c r="A630" s="11"/>
      <c r="B630" s="1360"/>
      <c r="C630" s="5598"/>
      <c r="D630" s="9598" t="s">
        <v>143</v>
      </c>
      <c r="E630" s="9600"/>
      <c r="F630" s="492" t="s">
        <v>420</v>
      </c>
      <c r="G630" s="666"/>
      <c r="H630" s="684"/>
      <c r="I630" s="9582" t="s">
        <v>144</v>
      </c>
      <c r="J630" s="9583"/>
      <c r="K630" s="492" t="s">
        <v>344</v>
      </c>
      <c r="L630" s="6753"/>
      <c r="M630" s="7249"/>
      <c r="N630" s="6842"/>
      <c r="O630" s="7377"/>
      <c r="P630" s="6936"/>
      <c r="Q630" s="7469"/>
      <c r="R630" s="6659" t="s">
        <v>155</v>
      </c>
      <c r="S630" s="6579"/>
      <c r="T630" s="2468"/>
      <c r="U630" s="544"/>
      <c r="V630" s="545"/>
      <c r="W630" s="546"/>
      <c r="X630" s="547"/>
      <c r="Y630" s="299" t="s">
        <v>193</v>
      </c>
      <c r="Z630" s="277"/>
      <c r="AA630" s="277"/>
      <c r="AB630" s="187"/>
      <c r="AE630" s="1377" t="s">
        <v>513</v>
      </c>
    </row>
    <row r="631" spans="1:31" ht="20.100000000000001" customHeight="1">
      <c r="A631" s="11"/>
      <c r="B631" s="1360"/>
      <c r="C631" s="5598"/>
      <c r="D631" s="9598" t="s">
        <v>146</v>
      </c>
      <c r="E631" s="9600"/>
      <c r="F631" s="492" t="s">
        <v>420</v>
      </c>
      <c r="G631" s="666"/>
      <c r="H631" s="684"/>
      <c r="I631" s="9582" t="s">
        <v>147</v>
      </c>
      <c r="J631" s="9583"/>
      <c r="K631" s="492" t="s">
        <v>344</v>
      </c>
      <c r="L631" s="6774" t="s">
        <v>168</v>
      </c>
      <c r="M631" s="7250" t="s">
        <v>641</v>
      </c>
      <c r="N631" s="6826" t="s">
        <v>168</v>
      </c>
      <c r="O631" s="7240" t="s">
        <v>641</v>
      </c>
      <c r="P631" s="6837" t="s">
        <v>168</v>
      </c>
      <c r="Q631" s="7240" t="s">
        <v>641</v>
      </c>
      <c r="R631" s="6659" t="s">
        <v>155</v>
      </c>
      <c r="S631" s="6538"/>
      <c r="T631" s="2468"/>
      <c r="U631" s="544"/>
      <c r="V631" s="545"/>
      <c r="W631" s="546"/>
      <c r="X631" s="547"/>
      <c r="Y631" s="299" t="s">
        <v>193</v>
      </c>
      <c r="Z631" s="277"/>
      <c r="AA631" s="277"/>
      <c r="AB631" s="187"/>
      <c r="AE631" s="1377" t="s">
        <v>514</v>
      </c>
    </row>
    <row r="632" spans="1:31" ht="20.100000000000001" customHeight="1">
      <c r="A632" s="11"/>
      <c r="B632" s="1360"/>
      <c r="C632" s="5598"/>
      <c r="D632" s="9598" t="s">
        <v>149</v>
      </c>
      <c r="E632" s="9600"/>
      <c r="F632" s="492" t="s">
        <v>420</v>
      </c>
      <c r="G632" s="666"/>
      <c r="H632" s="684"/>
      <c r="I632" s="9582" t="s">
        <v>150</v>
      </c>
      <c r="J632" s="9583"/>
      <c r="K632" s="492" t="s">
        <v>344</v>
      </c>
      <c r="L632" s="6753"/>
      <c r="M632" s="7249"/>
      <c r="N632" s="6842"/>
      <c r="O632" s="7377"/>
      <c r="P632" s="6936"/>
      <c r="Q632" s="7469"/>
      <c r="R632" s="6659" t="s">
        <v>155</v>
      </c>
      <c r="S632" s="6579"/>
      <c r="T632" s="2468"/>
      <c r="U632" s="544"/>
      <c r="V632" s="545"/>
      <c r="W632" s="546"/>
      <c r="X632" s="547"/>
      <c r="Y632" s="299" t="s">
        <v>193</v>
      </c>
      <c r="Z632" s="277"/>
      <c r="AA632" s="277"/>
      <c r="AB632" s="187"/>
      <c r="AE632" s="1377" t="s">
        <v>515</v>
      </c>
    </row>
    <row r="633" spans="1:31" ht="20.100000000000001" customHeight="1">
      <c r="A633" s="11"/>
      <c r="B633" s="1360"/>
      <c r="C633" s="9596" t="s">
        <v>516</v>
      </c>
      <c r="D633" s="9597"/>
      <c r="E633" s="9592"/>
      <c r="F633" s="492" t="s">
        <v>420</v>
      </c>
      <c r="G633" s="349"/>
      <c r="H633" s="9591" t="s">
        <v>517</v>
      </c>
      <c r="I633" s="9597"/>
      <c r="J633" s="9592"/>
      <c r="K633" s="492" t="s">
        <v>344</v>
      </c>
      <c r="L633" s="6763" t="str">
        <f>IF(COUNTBLANK(L634:L639)&gt;0,"미취합법인有",SUM(L634:L639))</f>
        <v>미취합법인有</v>
      </c>
      <c r="M633" s="7233"/>
      <c r="N633" s="6847" t="str">
        <f>IF(COUNTBLANK(N634:N639)&gt;0,"미취합법인有",SUM(N634:N639))</f>
        <v>미취합법인有</v>
      </c>
      <c r="O633" s="7236"/>
      <c r="P633" s="6913" t="str">
        <f>IF(COUNTBLANK(P634:P639)&gt;0,"미취합법인有",SUM(P634:P639))</f>
        <v>미취합법인有</v>
      </c>
      <c r="Q633" s="7463"/>
      <c r="R633" s="6659" t="s">
        <v>31</v>
      </c>
      <c r="S633" s="6561"/>
      <c r="T633" s="2468" t="s">
        <v>439</v>
      </c>
      <c r="U633" s="276" t="s">
        <v>440</v>
      </c>
      <c r="V633" s="99" t="s">
        <v>189</v>
      </c>
      <c r="W633" s="547"/>
      <c r="X633" s="547"/>
      <c r="Y633" s="582"/>
      <c r="Z633" s="277" t="s">
        <v>518</v>
      </c>
      <c r="AA633" s="265" t="s">
        <v>519</v>
      </c>
      <c r="AB633" s="187"/>
    </row>
    <row r="634" spans="1:31" ht="19.899999999999999" customHeight="1">
      <c r="A634" s="11"/>
      <c r="B634" s="5590"/>
      <c r="C634" s="9647" t="s">
        <v>134</v>
      </c>
      <c r="D634" s="9648"/>
      <c r="E634" s="9649"/>
      <c r="F634" s="492" t="s">
        <v>420</v>
      </c>
      <c r="G634" s="253"/>
      <c r="H634" s="9579" t="s">
        <v>135</v>
      </c>
      <c r="I634" s="9580"/>
      <c r="J634" s="9581"/>
      <c r="K634" s="492" t="s">
        <v>344</v>
      </c>
      <c r="L634" s="6754">
        <v>8.1</v>
      </c>
      <c r="M634" s="7259" t="s">
        <v>691</v>
      </c>
      <c r="N634" s="6826">
        <v>11.2</v>
      </c>
      <c r="O634" s="7259" t="s">
        <v>705</v>
      </c>
      <c r="P634" s="6857">
        <v>493.59</v>
      </c>
      <c r="Q634" s="6497" t="s">
        <v>706</v>
      </c>
      <c r="R634" s="6659" t="s">
        <v>31</v>
      </c>
      <c r="S634" s="6531"/>
      <c r="T634" s="1033"/>
      <c r="U634" s="263"/>
      <c r="V634" s="99"/>
      <c r="W634" s="138"/>
      <c r="X634" s="138"/>
      <c r="Y634" s="99"/>
      <c r="Z634" s="264"/>
      <c r="AA634" s="277"/>
      <c r="AB634" s="187"/>
      <c r="AD634" s="139" t="s">
        <v>520</v>
      </c>
    </row>
    <row r="635" spans="1:31" ht="19.899999999999999" customHeight="1">
      <c r="A635" s="11"/>
      <c r="B635" s="5590"/>
      <c r="C635" s="9647" t="s">
        <v>137</v>
      </c>
      <c r="D635" s="9648"/>
      <c r="E635" s="9649"/>
      <c r="F635" s="492" t="s">
        <v>420</v>
      </c>
      <c r="G635" s="253"/>
      <c r="H635" s="9579" t="s">
        <v>138</v>
      </c>
      <c r="I635" s="9580"/>
      <c r="J635" s="9581"/>
      <c r="K635" s="492" t="s">
        <v>344</v>
      </c>
      <c r="L635" s="6754"/>
      <c r="M635" s="7250"/>
      <c r="N635" s="6826"/>
      <c r="O635" s="7356"/>
      <c r="P635" s="6826"/>
      <c r="Q635" s="7356"/>
      <c r="R635" s="6659" t="s">
        <v>31</v>
      </c>
      <c r="S635" s="6557"/>
      <c r="T635" s="1033"/>
      <c r="U635" s="263"/>
      <c r="V635" s="99"/>
      <c r="W635" s="138"/>
      <c r="X635" s="138"/>
      <c r="Y635" s="99"/>
      <c r="Z635" s="264"/>
      <c r="AA635" s="277"/>
      <c r="AB635" s="187"/>
    </row>
    <row r="636" spans="1:31" ht="19.899999999999999" customHeight="1">
      <c r="A636" s="11"/>
      <c r="B636" s="5590"/>
      <c r="C636" s="9647" t="s">
        <v>140</v>
      </c>
      <c r="D636" s="9648"/>
      <c r="E636" s="9649"/>
      <c r="F636" s="492" t="s">
        <v>420</v>
      </c>
      <c r="G636" s="253"/>
      <c r="H636" s="9579" t="s">
        <v>141</v>
      </c>
      <c r="I636" s="9580"/>
      <c r="J636" s="9581"/>
      <c r="K636" s="492" t="s">
        <v>344</v>
      </c>
      <c r="L636" s="6754">
        <v>2976.7058823529414</v>
      </c>
      <c r="M636" s="7250" t="s">
        <v>707</v>
      </c>
      <c r="N636" s="6826">
        <v>3928.2352941176473</v>
      </c>
      <c r="O636" s="7356" t="s">
        <v>707</v>
      </c>
      <c r="P636" s="6826">
        <v>21810.352941176472</v>
      </c>
      <c r="Q636" s="7356" t="s">
        <v>707</v>
      </c>
      <c r="R636" s="6659" t="s">
        <v>31</v>
      </c>
      <c r="S636" s="6557"/>
      <c r="T636" s="1033"/>
      <c r="U636" s="263"/>
      <c r="V636" s="99"/>
      <c r="W636" s="138"/>
      <c r="X636" s="138"/>
      <c r="Y636" s="99"/>
      <c r="Z636" s="264"/>
      <c r="AA636" s="277"/>
      <c r="AB636" s="187"/>
    </row>
    <row r="637" spans="1:31" ht="19.899999999999999" customHeight="1">
      <c r="A637" s="11"/>
      <c r="B637" s="5590"/>
      <c r="C637" s="9647" t="s">
        <v>143</v>
      </c>
      <c r="D637" s="9648"/>
      <c r="E637" s="9649"/>
      <c r="F637" s="492" t="s">
        <v>420</v>
      </c>
      <c r="G637" s="253"/>
      <c r="H637" s="9579" t="s">
        <v>144</v>
      </c>
      <c r="I637" s="9580"/>
      <c r="J637" s="9581"/>
      <c r="K637" s="492" t="s">
        <v>344</v>
      </c>
      <c r="L637" s="6754"/>
      <c r="M637" s="7250"/>
      <c r="N637" s="6826"/>
      <c r="O637" s="7356"/>
      <c r="P637" s="6826"/>
      <c r="Q637" s="7356"/>
      <c r="R637" s="6659" t="s">
        <v>31</v>
      </c>
      <c r="S637" s="6557"/>
      <c r="T637" s="1033"/>
      <c r="U637" s="263"/>
      <c r="V637" s="99"/>
      <c r="W637" s="138"/>
      <c r="X637" s="138"/>
      <c r="Y637" s="99"/>
      <c r="Z637" s="264"/>
      <c r="AA637" s="277"/>
      <c r="AB637" s="187"/>
    </row>
    <row r="638" spans="1:31" ht="19.899999999999999" customHeight="1">
      <c r="A638" s="11"/>
      <c r="B638" s="5590"/>
      <c r="C638" s="9647" t="s">
        <v>146</v>
      </c>
      <c r="D638" s="9648"/>
      <c r="E638" s="9649"/>
      <c r="F638" s="492" t="s">
        <v>420</v>
      </c>
      <c r="G638" s="253"/>
      <c r="H638" s="9579" t="s">
        <v>147</v>
      </c>
      <c r="I638" s="9580"/>
      <c r="J638" s="9581"/>
      <c r="K638" s="492" t="s">
        <v>344</v>
      </c>
      <c r="L638" s="6774" t="s">
        <v>168</v>
      </c>
      <c r="M638" s="7250" t="s">
        <v>641</v>
      </c>
      <c r="N638" s="6826" t="s">
        <v>168</v>
      </c>
      <c r="O638" s="7356" t="s">
        <v>641</v>
      </c>
      <c r="P638" s="6826" t="s">
        <v>168</v>
      </c>
      <c r="Q638" s="7356" t="s">
        <v>641</v>
      </c>
      <c r="R638" s="6659" t="s">
        <v>31</v>
      </c>
      <c r="S638" s="6557"/>
      <c r="T638" s="1033"/>
      <c r="U638" s="263"/>
      <c r="V638" s="99"/>
      <c r="W638" s="138"/>
      <c r="X638" s="138"/>
      <c r="Y638" s="99"/>
      <c r="Z638" s="264"/>
      <c r="AA638" s="277"/>
      <c r="AB638" s="187"/>
    </row>
    <row r="639" spans="1:31" ht="19.899999999999999" customHeight="1" thickBot="1">
      <c r="A639" s="11"/>
      <c r="B639" s="5590"/>
      <c r="C639" s="9647" t="s">
        <v>149</v>
      </c>
      <c r="D639" s="9648"/>
      <c r="E639" s="9649"/>
      <c r="F639" s="492" t="s">
        <v>420</v>
      </c>
      <c r="G639" s="253"/>
      <c r="H639" s="9579" t="s">
        <v>150</v>
      </c>
      <c r="I639" s="9580"/>
      <c r="J639" s="9581"/>
      <c r="K639" s="492" t="s">
        <v>344</v>
      </c>
      <c r="L639" s="6754">
        <v>0</v>
      </c>
      <c r="M639" s="7250"/>
      <c r="N639" s="6826">
        <v>0</v>
      </c>
      <c r="O639" s="7356"/>
      <c r="P639" s="6826">
        <v>0</v>
      </c>
      <c r="Q639" s="7356"/>
      <c r="R639" s="6659" t="s">
        <v>31</v>
      </c>
      <c r="S639" s="6557"/>
      <c r="T639" s="1033"/>
      <c r="U639" s="263"/>
      <c r="V639" s="99"/>
      <c r="W639" s="138"/>
      <c r="X639" s="138"/>
      <c r="Y639" s="99"/>
      <c r="Z639" s="264"/>
      <c r="AA639" s="277"/>
      <c r="AB639" s="187"/>
    </row>
    <row r="640" spans="1:31" ht="27" thickBot="1">
      <c r="A640" s="11"/>
      <c r="B640" s="123" t="s">
        <v>521</v>
      </c>
      <c r="C640" s="124"/>
      <c r="D640" s="124"/>
      <c r="E640" s="124"/>
      <c r="F640" s="124"/>
      <c r="G640" s="124"/>
      <c r="H640" s="124"/>
      <c r="I640" s="124"/>
      <c r="J640" s="124"/>
      <c r="K640" s="124"/>
      <c r="L640" s="6783"/>
      <c r="M640" s="7268"/>
      <c r="N640" s="6862"/>
      <c r="O640" s="7268"/>
      <c r="P640" s="6862"/>
      <c r="Q640" s="7268"/>
      <c r="R640" s="6662"/>
      <c r="S640" s="6634"/>
      <c r="T640" s="80"/>
      <c r="U640" s="432"/>
      <c r="V640" s="1641"/>
      <c r="W640" s="1641"/>
      <c r="X640" s="1641"/>
      <c r="Y640" s="1641"/>
      <c r="Z640" s="328"/>
      <c r="AA640" s="328"/>
      <c r="AB640" s="329"/>
    </row>
    <row r="641" spans="1:29" ht="20.100000000000001" customHeight="1">
      <c r="A641" s="11"/>
      <c r="B641" s="1360"/>
      <c r="C641" s="9656" t="s">
        <v>522</v>
      </c>
      <c r="D641" s="9587"/>
      <c r="E641" s="9588"/>
      <c r="F641" s="492" t="s">
        <v>420</v>
      </c>
      <c r="G641" s="184"/>
      <c r="H641" s="9586" t="s">
        <v>523</v>
      </c>
      <c r="I641" s="9587"/>
      <c r="J641" s="9588"/>
      <c r="K641" s="492" t="s">
        <v>344</v>
      </c>
      <c r="L641" s="6763">
        <f>IF(COUNTBLANK(L642:L647)&gt;0,"미취합법인有",SUM(L642:L647))</f>
        <v>0</v>
      </c>
      <c r="M641" s="7233"/>
      <c r="N641" s="6847">
        <f>IF(COUNTBLANK(N642:N647)&gt;0,"미취합법인有",SUM(N642:N647))</f>
        <v>0</v>
      </c>
      <c r="O641" s="7353"/>
      <c r="P641" s="6913">
        <f>IF(COUNTBLANK(P642:P647)&gt;0,"미취합법인有",SUM(P642:P647))</f>
        <v>0</v>
      </c>
      <c r="Q641" s="7463"/>
      <c r="R641" s="6659" t="s">
        <v>31</v>
      </c>
      <c r="S641" s="6561"/>
      <c r="T641" s="2468"/>
      <c r="U641" s="544"/>
      <c r="V641" s="99" t="s">
        <v>189</v>
      </c>
      <c r="W641" s="547"/>
      <c r="X641" s="547"/>
      <c r="Y641" s="299" t="s">
        <v>193</v>
      </c>
      <c r="Z641" s="277" t="s">
        <v>524</v>
      </c>
      <c r="AA641" s="265"/>
      <c r="AB641" s="187"/>
      <c r="AC641" s="6305"/>
    </row>
    <row r="642" spans="1:29" ht="19.899999999999999" customHeight="1">
      <c r="A642" s="11"/>
      <c r="B642" s="5590"/>
      <c r="C642" s="9647" t="s">
        <v>134</v>
      </c>
      <c r="D642" s="9648"/>
      <c r="E642" s="9649"/>
      <c r="F642" s="492" t="s">
        <v>420</v>
      </c>
      <c r="G642" s="253"/>
      <c r="H642" s="9579" t="s">
        <v>135</v>
      </c>
      <c r="I642" s="9580"/>
      <c r="J642" s="9581"/>
      <c r="K642" s="492" t="s">
        <v>344</v>
      </c>
      <c r="L642" s="6761">
        <v>0</v>
      </c>
      <c r="M642" s="7250"/>
      <c r="N642" s="6858">
        <v>0</v>
      </c>
      <c r="O642" s="7250"/>
      <c r="P642" s="6858">
        <v>0</v>
      </c>
      <c r="Q642" s="7250"/>
      <c r="R642" s="6659" t="s">
        <v>31</v>
      </c>
      <c r="S642" s="6557"/>
      <c r="T642" s="1033"/>
      <c r="U642" s="263"/>
      <c r="V642" s="99"/>
      <c r="W642" s="138"/>
      <c r="X642" s="138"/>
      <c r="Y642" s="299" t="s">
        <v>193</v>
      </c>
      <c r="Z642" s="264"/>
      <c r="AA642" s="277"/>
      <c r="AB642" s="187"/>
    </row>
    <row r="643" spans="1:29" ht="19.899999999999999" customHeight="1">
      <c r="A643" s="11"/>
      <c r="B643" s="5590"/>
      <c r="C643" s="9647" t="s">
        <v>137</v>
      </c>
      <c r="D643" s="9648"/>
      <c r="E643" s="9649"/>
      <c r="F643" s="492" t="s">
        <v>420</v>
      </c>
      <c r="G643" s="253"/>
      <c r="H643" s="9579" t="s">
        <v>138</v>
      </c>
      <c r="I643" s="9580"/>
      <c r="J643" s="9581"/>
      <c r="K643" s="492" t="s">
        <v>344</v>
      </c>
      <c r="L643" s="6774" t="s">
        <v>168</v>
      </c>
      <c r="M643" s="7250"/>
      <c r="N643" s="6826" t="s">
        <v>168</v>
      </c>
      <c r="O643" s="7356"/>
      <c r="P643" s="6826" t="s">
        <v>168</v>
      </c>
      <c r="Q643" s="7356"/>
      <c r="R643" s="6659" t="s">
        <v>31</v>
      </c>
      <c r="S643" s="6557" t="s">
        <v>209</v>
      </c>
      <c r="T643" s="1033"/>
      <c r="U643" s="263"/>
      <c r="V643" s="99"/>
      <c r="W643" s="138"/>
      <c r="X643" s="138"/>
      <c r="Y643" s="299" t="s">
        <v>193</v>
      </c>
      <c r="Z643" s="264"/>
      <c r="AA643" s="277"/>
      <c r="AB643" s="187"/>
    </row>
    <row r="644" spans="1:29" ht="19.899999999999999" customHeight="1">
      <c r="A644" s="11"/>
      <c r="B644" s="5590"/>
      <c r="C644" s="9647" t="s">
        <v>140</v>
      </c>
      <c r="D644" s="9648"/>
      <c r="E644" s="9649"/>
      <c r="F644" s="492" t="s">
        <v>420</v>
      </c>
      <c r="G644" s="253"/>
      <c r="H644" s="9579" t="s">
        <v>141</v>
      </c>
      <c r="I644" s="9580"/>
      <c r="J644" s="9581"/>
      <c r="K644" s="492" t="s">
        <v>344</v>
      </c>
      <c r="L644" s="6774" t="s">
        <v>168</v>
      </c>
      <c r="M644" s="7250"/>
      <c r="N644" s="6826" t="s">
        <v>168</v>
      </c>
      <c r="O644" s="7356"/>
      <c r="P644" s="6826" t="s">
        <v>168</v>
      </c>
      <c r="Q644" s="7356"/>
      <c r="R644" s="6659" t="s">
        <v>31</v>
      </c>
      <c r="S644" s="6557" t="s">
        <v>209</v>
      </c>
      <c r="T644" s="1033"/>
      <c r="U644" s="263"/>
      <c r="V644" s="99"/>
      <c r="W644" s="138"/>
      <c r="X644" s="138"/>
      <c r="Y644" s="299" t="s">
        <v>193</v>
      </c>
      <c r="Z644" s="264"/>
      <c r="AA644" s="277"/>
      <c r="AB644" s="187"/>
    </row>
    <row r="645" spans="1:29" ht="19.899999999999999" customHeight="1">
      <c r="A645" s="11"/>
      <c r="B645" s="5590"/>
      <c r="C645" s="9647" t="s">
        <v>143</v>
      </c>
      <c r="D645" s="9648"/>
      <c r="E645" s="9649"/>
      <c r="F645" s="492" t="s">
        <v>420</v>
      </c>
      <c r="G645" s="253"/>
      <c r="H645" s="9579" t="s">
        <v>144</v>
      </c>
      <c r="I645" s="9580"/>
      <c r="J645" s="9581"/>
      <c r="K645" s="492" t="s">
        <v>344</v>
      </c>
      <c r="L645" s="6774" t="s">
        <v>168</v>
      </c>
      <c r="M645" s="7250"/>
      <c r="N645" s="6826" t="s">
        <v>168</v>
      </c>
      <c r="O645" s="7356"/>
      <c r="P645" s="6826" t="s">
        <v>168</v>
      </c>
      <c r="Q645" s="7356"/>
      <c r="R645" s="6659" t="s">
        <v>31</v>
      </c>
      <c r="S645" s="6557" t="s">
        <v>209</v>
      </c>
      <c r="T645" s="1033"/>
      <c r="U645" s="263"/>
      <c r="V645" s="99"/>
      <c r="W645" s="138"/>
      <c r="X645" s="138"/>
      <c r="Y645" s="299" t="s">
        <v>193</v>
      </c>
      <c r="Z645" s="264"/>
      <c r="AA645" s="277"/>
      <c r="AB645" s="187"/>
    </row>
    <row r="646" spans="1:29" ht="19.899999999999999" customHeight="1">
      <c r="A646" s="11"/>
      <c r="B646" s="5590"/>
      <c r="C646" s="9647" t="s">
        <v>146</v>
      </c>
      <c r="D646" s="9648"/>
      <c r="E646" s="9649"/>
      <c r="F646" s="492" t="s">
        <v>420</v>
      </c>
      <c r="G646" s="253"/>
      <c r="H646" s="9579" t="s">
        <v>147</v>
      </c>
      <c r="I646" s="9580"/>
      <c r="J646" s="9581"/>
      <c r="K646" s="492" t="s">
        <v>344</v>
      </c>
      <c r="L646" s="6774" t="s">
        <v>168</v>
      </c>
      <c r="M646" s="7250"/>
      <c r="N646" s="6826" t="s">
        <v>168</v>
      </c>
      <c r="O646" s="7356"/>
      <c r="P646" s="6826" t="s">
        <v>168</v>
      </c>
      <c r="Q646" s="7356"/>
      <c r="R646" s="6659" t="s">
        <v>31</v>
      </c>
      <c r="S646" s="6557" t="s">
        <v>209</v>
      </c>
      <c r="T646" s="1033"/>
      <c r="U646" s="263"/>
      <c r="V646" s="99"/>
      <c r="W646" s="138"/>
      <c r="X646" s="138"/>
      <c r="Y646" s="299" t="s">
        <v>193</v>
      </c>
      <c r="Z646" s="264"/>
      <c r="AA646" s="277"/>
      <c r="AB646" s="187"/>
    </row>
    <row r="647" spans="1:29" ht="19.899999999999999" customHeight="1">
      <c r="A647" s="11"/>
      <c r="B647" s="5590"/>
      <c r="C647" s="9647" t="s">
        <v>149</v>
      </c>
      <c r="D647" s="9648"/>
      <c r="E647" s="9649"/>
      <c r="F647" s="492" t="s">
        <v>420</v>
      </c>
      <c r="G647" s="253"/>
      <c r="H647" s="9579" t="s">
        <v>150</v>
      </c>
      <c r="I647" s="9580"/>
      <c r="J647" s="9581"/>
      <c r="K647" s="492" t="s">
        <v>344</v>
      </c>
      <c r="L647" s="6774" t="s">
        <v>168</v>
      </c>
      <c r="M647" s="7250"/>
      <c r="N647" s="6826" t="s">
        <v>168</v>
      </c>
      <c r="O647" s="7356"/>
      <c r="P647" s="6826" t="s">
        <v>168</v>
      </c>
      <c r="Q647" s="7356"/>
      <c r="R647" s="6659" t="s">
        <v>31</v>
      </c>
      <c r="S647" s="6557" t="s">
        <v>209</v>
      </c>
      <c r="T647" s="1033"/>
      <c r="U647" s="263"/>
      <c r="V647" s="99"/>
      <c r="W647" s="138"/>
      <c r="X647" s="138"/>
      <c r="Y647" s="299" t="s">
        <v>193</v>
      </c>
      <c r="Z647" s="264"/>
      <c r="AA647" s="277"/>
      <c r="AB647" s="187"/>
    </row>
    <row r="648" spans="1:29" ht="20.100000000000001" customHeight="1">
      <c r="A648" s="11"/>
      <c r="B648" s="1360"/>
      <c r="C648" s="5598"/>
      <c r="D648" s="9584" t="s">
        <v>526</v>
      </c>
      <c r="E648" s="9585"/>
      <c r="F648" s="492" t="s">
        <v>420</v>
      </c>
      <c r="G648" s="358"/>
      <c r="H648" s="643" t="s">
        <v>527</v>
      </c>
      <c r="I648" s="9584" t="s">
        <v>528</v>
      </c>
      <c r="J648" s="9585"/>
      <c r="K648" s="492" t="s">
        <v>344</v>
      </c>
      <c r="L648" s="6763" t="str">
        <f>IF(COUNTBLANK(L649:L654)&gt;0,"미취합법인有",SUM(L649:L654))</f>
        <v>미취합법인有</v>
      </c>
      <c r="M648" s="7233"/>
      <c r="N648" s="6847" t="str">
        <f>IF(COUNTBLANK(N649:N654)&gt;0,"미취합법인有",SUM(N649:N654))</f>
        <v>미취합법인有</v>
      </c>
      <c r="O648" s="7353"/>
      <c r="P648" s="6913" t="str">
        <f>IF(COUNTBLANK(P649:P654)&gt;0,"미취합법인有",SUM(P649:P654))</f>
        <v>미취합법인有</v>
      </c>
      <c r="Q648" s="7463"/>
      <c r="R648" s="6659" t="s">
        <v>31</v>
      </c>
      <c r="S648" s="6561"/>
      <c r="T648" s="2468"/>
      <c r="U648" s="544"/>
      <c r="V648" s="545" t="s">
        <v>189</v>
      </c>
      <c r="W648" s="547"/>
      <c r="X648" s="547"/>
      <c r="Y648" s="299" t="s">
        <v>193</v>
      </c>
      <c r="Z648" s="277" t="s">
        <v>524</v>
      </c>
      <c r="AA648" s="265"/>
      <c r="AB648" s="187"/>
      <c r="AC648" s="6305"/>
    </row>
    <row r="649" spans="1:29" ht="20.100000000000001" customHeight="1">
      <c r="A649" s="11"/>
      <c r="B649" s="1360"/>
      <c r="C649" s="5598"/>
      <c r="D649" s="9598" t="s">
        <v>134</v>
      </c>
      <c r="E649" s="9600"/>
      <c r="F649" s="492" t="s">
        <v>420</v>
      </c>
      <c r="G649" s="666"/>
      <c r="H649" s="684"/>
      <c r="I649" s="9579" t="s">
        <v>135</v>
      </c>
      <c r="J649" s="9581"/>
      <c r="K649" s="492" t="s">
        <v>344</v>
      </c>
      <c r="L649" s="6754"/>
      <c r="M649" s="7250" t="s">
        <v>369</v>
      </c>
      <c r="N649" s="6826"/>
      <c r="O649" s="7250" t="s">
        <v>369</v>
      </c>
      <c r="P649" s="6826"/>
      <c r="Q649" s="7250" t="s">
        <v>369</v>
      </c>
      <c r="R649" s="6659" t="s">
        <v>31</v>
      </c>
      <c r="S649" s="6557"/>
      <c r="T649" s="2468"/>
      <c r="U649" s="544"/>
      <c r="V649" s="545"/>
      <c r="W649" s="546"/>
      <c r="X649" s="547"/>
      <c r="Y649" s="299" t="s">
        <v>193</v>
      </c>
      <c r="Z649" s="277"/>
      <c r="AA649" s="277"/>
      <c r="AB649" s="187"/>
    </row>
    <row r="650" spans="1:29" ht="20.100000000000001" customHeight="1">
      <c r="A650" s="11"/>
      <c r="B650" s="1360"/>
      <c r="C650" s="5598"/>
      <c r="D650" s="9598" t="s">
        <v>137</v>
      </c>
      <c r="E650" s="9600"/>
      <c r="F650" s="492" t="s">
        <v>420</v>
      </c>
      <c r="G650" s="666"/>
      <c r="H650" s="684"/>
      <c r="I650" s="9579" t="s">
        <v>138</v>
      </c>
      <c r="J650" s="9581"/>
      <c r="K650" s="492" t="s">
        <v>344</v>
      </c>
      <c r="L650" s="6753"/>
      <c r="M650" s="7249"/>
      <c r="N650" s="6842"/>
      <c r="O650" s="7377"/>
      <c r="P650" s="6936"/>
      <c r="Q650" s="7469"/>
      <c r="R650" s="6659" t="s">
        <v>31</v>
      </c>
      <c r="S650" s="6579"/>
      <c r="T650" s="2468"/>
      <c r="U650" s="544"/>
      <c r="V650" s="545"/>
      <c r="W650" s="546"/>
      <c r="X650" s="547"/>
      <c r="Y650" s="299" t="s">
        <v>193</v>
      </c>
      <c r="Z650" s="277"/>
      <c r="AA650" s="277"/>
      <c r="AB650" s="187"/>
    </row>
    <row r="651" spans="1:29" ht="20.100000000000001" customHeight="1">
      <c r="A651" s="11"/>
      <c r="B651" s="1360"/>
      <c r="C651" s="5598"/>
      <c r="D651" s="9598" t="s">
        <v>140</v>
      </c>
      <c r="E651" s="9600"/>
      <c r="F651" s="492" t="s">
        <v>420</v>
      </c>
      <c r="G651" s="666"/>
      <c r="H651" s="684"/>
      <c r="I651" s="9582" t="s">
        <v>141</v>
      </c>
      <c r="J651" s="9583"/>
      <c r="K651" s="492" t="s">
        <v>344</v>
      </c>
      <c r="L651" s="6753"/>
      <c r="M651" s="7249"/>
      <c r="N651" s="6842"/>
      <c r="O651" s="7377"/>
      <c r="P651" s="6936"/>
      <c r="Q651" s="7469"/>
      <c r="R651" s="6659" t="s">
        <v>31</v>
      </c>
      <c r="S651" s="6579"/>
      <c r="T651" s="2468"/>
      <c r="U651" s="544"/>
      <c r="V651" s="545"/>
      <c r="W651" s="546"/>
      <c r="X651" s="547"/>
      <c r="Y651" s="299" t="s">
        <v>193</v>
      </c>
      <c r="Z651" s="277"/>
      <c r="AA651" s="277"/>
      <c r="AB651" s="187"/>
    </row>
    <row r="652" spans="1:29" ht="20.100000000000001" customHeight="1">
      <c r="A652" s="11"/>
      <c r="B652" s="1360"/>
      <c r="C652" s="5598"/>
      <c r="D652" s="9598" t="s">
        <v>143</v>
      </c>
      <c r="E652" s="9600"/>
      <c r="F652" s="492" t="s">
        <v>420</v>
      </c>
      <c r="G652" s="666"/>
      <c r="H652" s="684"/>
      <c r="I652" s="9582" t="s">
        <v>144</v>
      </c>
      <c r="J652" s="9583"/>
      <c r="K652" s="492" t="s">
        <v>344</v>
      </c>
      <c r="L652" s="6753"/>
      <c r="M652" s="7249"/>
      <c r="N652" s="6842"/>
      <c r="O652" s="7377"/>
      <c r="P652" s="6936"/>
      <c r="Q652" s="7469"/>
      <c r="R652" s="6659" t="s">
        <v>31</v>
      </c>
      <c r="S652" s="6579"/>
      <c r="T652" s="2468"/>
      <c r="U652" s="544"/>
      <c r="V652" s="545"/>
      <c r="W652" s="546"/>
      <c r="X652" s="547"/>
      <c r="Y652" s="299" t="s">
        <v>193</v>
      </c>
      <c r="Z652" s="277"/>
      <c r="AA652" s="277"/>
      <c r="AB652" s="187"/>
    </row>
    <row r="653" spans="1:29" ht="20.100000000000001" customHeight="1">
      <c r="A653" s="11"/>
      <c r="B653" s="1360"/>
      <c r="C653" s="5598"/>
      <c r="D653" s="9598" t="s">
        <v>146</v>
      </c>
      <c r="E653" s="9600"/>
      <c r="F653" s="492" t="s">
        <v>420</v>
      </c>
      <c r="G653" s="666"/>
      <c r="H653" s="684"/>
      <c r="I653" s="9582" t="s">
        <v>147</v>
      </c>
      <c r="J653" s="9583"/>
      <c r="K653" s="492" t="s">
        <v>344</v>
      </c>
      <c r="L653" s="6774" t="s">
        <v>168</v>
      </c>
      <c r="M653" s="7250" t="s">
        <v>641</v>
      </c>
      <c r="N653" s="6826" t="s">
        <v>168</v>
      </c>
      <c r="O653" s="7240" t="s">
        <v>641</v>
      </c>
      <c r="P653" s="6837" t="s">
        <v>168</v>
      </c>
      <c r="Q653" s="7240" t="s">
        <v>641</v>
      </c>
      <c r="R653" s="6659" t="s">
        <v>31</v>
      </c>
      <c r="S653" s="6538"/>
      <c r="T653" s="2468"/>
      <c r="U653" s="544"/>
      <c r="V653" s="545"/>
      <c r="W653" s="546"/>
      <c r="X653" s="547"/>
      <c r="Y653" s="299" t="s">
        <v>193</v>
      </c>
      <c r="Z653" s="277"/>
      <c r="AA653" s="277"/>
      <c r="AB653" s="187"/>
    </row>
    <row r="654" spans="1:29" ht="20.100000000000001" customHeight="1">
      <c r="A654" s="11"/>
      <c r="B654" s="1360"/>
      <c r="C654" s="5598"/>
      <c r="D654" s="9598" t="s">
        <v>149</v>
      </c>
      <c r="E654" s="9600"/>
      <c r="F654" s="492" t="s">
        <v>420</v>
      </c>
      <c r="G654" s="666"/>
      <c r="H654" s="684"/>
      <c r="I654" s="9582" t="s">
        <v>150</v>
      </c>
      <c r="J654" s="9583"/>
      <c r="K654" s="492" t="s">
        <v>344</v>
      </c>
      <c r="L654" s="6753"/>
      <c r="M654" s="7249"/>
      <c r="N654" s="6842"/>
      <c r="O654" s="7377"/>
      <c r="P654" s="6936"/>
      <c r="Q654" s="7469"/>
      <c r="R654" s="6659" t="s">
        <v>31</v>
      </c>
      <c r="S654" s="6579"/>
      <c r="T654" s="2468"/>
      <c r="U654" s="544"/>
      <c r="V654" s="545"/>
      <c r="W654" s="546"/>
      <c r="X654" s="547"/>
      <c r="Y654" s="299" t="s">
        <v>193</v>
      </c>
      <c r="Z654" s="277"/>
      <c r="AA654" s="277"/>
      <c r="AB654" s="187"/>
    </row>
    <row r="655" spans="1:29" ht="20.100000000000001" customHeight="1">
      <c r="A655" s="11"/>
      <c r="B655" s="1360"/>
      <c r="C655" s="5598"/>
      <c r="D655" s="9584" t="s">
        <v>529</v>
      </c>
      <c r="E655" s="9585"/>
      <c r="F655" s="492" t="s">
        <v>420</v>
      </c>
      <c r="G655" s="358"/>
      <c r="H655" s="643"/>
      <c r="I655" s="9584" t="s">
        <v>530</v>
      </c>
      <c r="J655" s="9585"/>
      <c r="K655" s="492" t="s">
        <v>344</v>
      </c>
      <c r="L655" s="6763" t="str">
        <f>IF(COUNTBLANK(L656:L661)&gt;0,"미취합법인有",SUM(L656:L661))</f>
        <v>미취합법인有</v>
      </c>
      <c r="M655" s="7233"/>
      <c r="N655" s="6847" t="str">
        <f>IF(COUNTBLANK(N656:N661)&gt;0,"미취합법인有",SUM(N656:N661))</f>
        <v>미취합법인有</v>
      </c>
      <c r="O655" s="7236"/>
      <c r="P655" s="6913" t="str">
        <f>IF(COUNTBLANK(P656:P661)&gt;0,"미취합법인有",SUM(P656:P661))</f>
        <v>미취합법인有</v>
      </c>
      <c r="Q655" s="7463"/>
      <c r="R655" s="6659" t="s">
        <v>31</v>
      </c>
      <c r="S655" s="6561"/>
      <c r="T655" s="2468"/>
      <c r="U655" s="544"/>
      <c r="V655" s="545" t="s">
        <v>189</v>
      </c>
      <c r="W655" s="547"/>
      <c r="X655" s="547"/>
      <c r="Y655" s="299" t="s">
        <v>193</v>
      </c>
      <c r="Z655" s="277" t="s">
        <v>524</v>
      </c>
      <c r="AA655" s="265"/>
      <c r="AB655" s="187"/>
      <c r="AC655" s="6305"/>
    </row>
    <row r="656" spans="1:29" ht="20.100000000000001" customHeight="1">
      <c r="A656" s="11"/>
      <c r="B656" s="1360"/>
      <c r="C656" s="5598"/>
      <c r="D656" s="9598" t="s">
        <v>134</v>
      </c>
      <c r="E656" s="9600"/>
      <c r="F656" s="492" t="s">
        <v>420</v>
      </c>
      <c r="G656" s="666"/>
      <c r="H656" s="684"/>
      <c r="I656" s="9579" t="s">
        <v>135</v>
      </c>
      <c r="J656" s="9581"/>
      <c r="K656" s="492" t="s">
        <v>344</v>
      </c>
      <c r="L656" s="6754"/>
      <c r="M656" s="7250" t="s">
        <v>369</v>
      </c>
      <c r="N656" s="6826"/>
      <c r="O656" s="7250" t="s">
        <v>369</v>
      </c>
      <c r="P656" s="6826"/>
      <c r="Q656" s="7250" t="s">
        <v>369</v>
      </c>
      <c r="R656" s="6659" t="s">
        <v>31</v>
      </c>
      <c r="S656" s="6557"/>
      <c r="T656" s="2468"/>
      <c r="U656" s="544"/>
      <c r="V656" s="545"/>
      <c r="W656" s="546"/>
      <c r="X656" s="547"/>
      <c r="Y656" s="299" t="s">
        <v>193</v>
      </c>
      <c r="Z656" s="277"/>
      <c r="AA656" s="277"/>
      <c r="AB656" s="187"/>
    </row>
    <row r="657" spans="1:29" ht="20.100000000000001" customHeight="1">
      <c r="A657" s="11"/>
      <c r="B657" s="1360"/>
      <c r="C657" s="5598"/>
      <c r="D657" s="9598" t="s">
        <v>137</v>
      </c>
      <c r="E657" s="9600"/>
      <c r="F657" s="492" t="s">
        <v>420</v>
      </c>
      <c r="G657" s="666"/>
      <c r="H657" s="684"/>
      <c r="I657" s="9579" t="s">
        <v>138</v>
      </c>
      <c r="J657" s="9581"/>
      <c r="K657" s="492" t="s">
        <v>344</v>
      </c>
      <c r="L657" s="6753"/>
      <c r="M657" s="7249"/>
      <c r="N657" s="6842"/>
      <c r="O657" s="7377"/>
      <c r="P657" s="6936"/>
      <c r="Q657" s="7469"/>
      <c r="R657" s="6659" t="s">
        <v>31</v>
      </c>
      <c r="S657" s="6579"/>
      <c r="T657" s="2468"/>
      <c r="U657" s="544"/>
      <c r="V657" s="545"/>
      <c r="W657" s="546"/>
      <c r="X657" s="547"/>
      <c r="Y657" s="299" t="s">
        <v>193</v>
      </c>
      <c r="Z657" s="277"/>
      <c r="AA657" s="277"/>
      <c r="AB657" s="187"/>
    </row>
    <row r="658" spans="1:29" ht="20.100000000000001" customHeight="1">
      <c r="A658" s="11"/>
      <c r="B658" s="1360"/>
      <c r="C658" s="5598"/>
      <c r="D658" s="9598" t="s">
        <v>140</v>
      </c>
      <c r="E658" s="9600"/>
      <c r="F658" s="492" t="s">
        <v>420</v>
      </c>
      <c r="G658" s="666"/>
      <c r="H658" s="684"/>
      <c r="I658" s="9582" t="s">
        <v>141</v>
      </c>
      <c r="J658" s="9583"/>
      <c r="K658" s="492" t="s">
        <v>344</v>
      </c>
      <c r="L658" s="6753"/>
      <c r="M658" s="7249"/>
      <c r="N658" s="6842"/>
      <c r="O658" s="7377"/>
      <c r="P658" s="6936"/>
      <c r="Q658" s="7469"/>
      <c r="R658" s="6659" t="s">
        <v>31</v>
      </c>
      <c r="S658" s="6579"/>
      <c r="T658" s="2468"/>
      <c r="U658" s="544"/>
      <c r="V658" s="545"/>
      <c r="W658" s="546"/>
      <c r="X658" s="547"/>
      <c r="Y658" s="299" t="s">
        <v>193</v>
      </c>
      <c r="Z658" s="277"/>
      <c r="AA658" s="277"/>
      <c r="AB658" s="187"/>
    </row>
    <row r="659" spans="1:29" ht="20.100000000000001" customHeight="1">
      <c r="A659" s="11"/>
      <c r="B659" s="1360"/>
      <c r="C659" s="5598"/>
      <c r="D659" s="9598" t="s">
        <v>143</v>
      </c>
      <c r="E659" s="9600"/>
      <c r="F659" s="492" t="s">
        <v>420</v>
      </c>
      <c r="G659" s="666"/>
      <c r="H659" s="684"/>
      <c r="I659" s="9582" t="s">
        <v>144</v>
      </c>
      <c r="J659" s="9583"/>
      <c r="K659" s="492" t="s">
        <v>344</v>
      </c>
      <c r="L659" s="6753"/>
      <c r="M659" s="7249"/>
      <c r="N659" s="6842"/>
      <c r="O659" s="7377"/>
      <c r="P659" s="6936"/>
      <c r="Q659" s="7469"/>
      <c r="R659" s="6659" t="s">
        <v>31</v>
      </c>
      <c r="S659" s="6579"/>
      <c r="T659" s="2468"/>
      <c r="U659" s="544"/>
      <c r="V659" s="545"/>
      <c r="W659" s="546"/>
      <c r="X659" s="547"/>
      <c r="Y659" s="299" t="s">
        <v>193</v>
      </c>
      <c r="Z659" s="277"/>
      <c r="AA659" s="277"/>
      <c r="AB659" s="187"/>
    </row>
    <row r="660" spans="1:29" ht="20.100000000000001" customHeight="1">
      <c r="A660" s="11"/>
      <c r="B660" s="1360"/>
      <c r="C660" s="5598"/>
      <c r="D660" s="9598" t="s">
        <v>146</v>
      </c>
      <c r="E660" s="9600"/>
      <c r="F660" s="492" t="s">
        <v>420</v>
      </c>
      <c r="G660" s="666"/>
      <c r="H660" s="684"/>
      <c r="I660" s="9582" t="s">
        <v>147</v>
      </c>
      <c r="J660" s="9583"/>
      <c r="K660" s="492" t="s">
        <v>344</v>
      </c>
      <c r="L660" s="6774" t="s">
        <v>168</v>
      </c>
      <c r="M660" s="7250" t="s">
        <v>641</v>
      </c>
      <c r="N660" s="6826" t="s">
        <v>168</v>
      </c>
      <c r="O660" s="7240" t="s">
        <v>641</v>
      </c>
      <c r="P660" s="6837" t="s">
        <v>168</v>
      </c>
      <c r="Q660" s="7240" t="s">
        <v>641</v>
      </c>
      <c r="R660" s="6659" t="s">
        <v>31</v>
      </c>
      <c r="S660" s="6538"/>
      <c r="T660" s="2468"/>
      <c r="U660" s="544"/>
      <c r="V660" s="545"/>
      <c r="W660" s="546"/>
      <c r="X660" s="547"/>
      <c r="Y660" s="299" t="s">
        <v>193</v>
      </c>
      <c r="Z660" s="277"/>
      <c r="AA660" s="277"/>
      <c r="AB660" s="187"/>
    </row>
    <row r="661" spans="1:29" ht="20.100000000000001" customHeight="1">
      <c r="A661" s="11"/>
      <c r="B661" s="1360"/>
      <c r="C661" s="5598"/>
      <c r="D661" s="9598" t="s">
        <v>149</v>
      </c>
      <c r="E661" s="9600"/>
      <c r="F661" s="492" t="s">
        <v>420</v>
      </c>
      <c r="G661" s="666"/>
      <c r="H661" s="684"/>
      <c r="I661" s="9582" t="s">
        <v>150</v>
      </c>
      <c r="J661" s="9583"/>
      <c r="K661" s="492" t="s">
        <v>344</v>
      </c>
      <c r="L661" s="6753"/>
      <c r="M661" s="7249"/>
      <c r="N661" s="6842"/>
      <c r="O661" s="7377"/>
      <c r="P661" s="6936"/>
      <c r="Q661" s="7469"/>
      <c r="R661" s="6659" t="s">
        <v>31</v>
      </c>
      <c r="S661" s="6579"/>
      <c r="T661" s="2468"/>
      <c r="U661" s="544"/>
      <c r="V661" s="545"/>
      <c r="W661" s="546"/>
      <c r="X661" s="547"/>
      <c r="Y661" s="299" t="s">
        <v>193</v>
      </c>
      <c r="Z661" s="277"/>
      <c r="AA661" s="277"/>
      <c r="AB661" s="187"/>
    </row>
    <row r="662" spans="1:29" ht="20.100000000000001" customHeight="1">
      <c r="A662" s="11"/>
      <c r="B662" s="1360"/>
      <c r="C662" s="5598"/>
      <c r="D662" s="9584" t="s">
        <v>531</v>
      </c>
      <c r="E662" s="9585"/>
      <c r="F662" s="492" t="s">
        <v>420</v>
      </c>
      <c r="G662" s="358"/>
      <c r="H662" s="643"/>
      <c r="I662" s="9584" t="s">
        <v>532</v>
      </c>
      <c r="J662" s="9585"/>
      <c r="K662" s="492" t="s">
        <v>344</v>
      </c>
      <c r="L662" s="6763" t="str">
        <f>IF(COUNTBLANK(L663:L668)&gt;0,"미취합법인有",SUM(L663:L668))</f>
        <v>미취합법인有</v>
      </c>
      <c r="M662" s="7233"/>
      <c r="N662" s="6847" t="str">
        <f>IF(COUNTBLANK(N663:N668)&gt;0,"미취합법인有",SUM(N663:N668))</f>
        <v>미취합법인有</v>
      </c>
      <c r="O662" s="7236"/>
      <c r="P662" s="6913" t="str">
        <f>IF(COUNTBLANK(P663:P668)&gt;0,"미취합법인有",SUM(P663:P668))</f>
        <v>미취합법인有</v>
      </c>
      <c r="Q662" s="7463"/>
      <c r="R662" s="6659" t="s">
        <v>31</v>
      </c>
      <c r="S662" s="6561"/>
      <c r="T662" s="2468"/>
      <c r="U662" s="544"/>
      <c r="V662" s="545" t="s">
        <v>189</v>
      </c>
      <c r="W662" s="547"/>
      <c r="X662" s="547"/>
      <c r="Y662" s="299" t="s">
        <v>193</v>
      </c>
      <c r="Z662" s="277" t="s">
        <v>524</v>
      </c>
      <c r="AA662" s="265"/>
      <c r="AB662" s="187"/>
      <c r="AC662" s="6305"/>
    </row>
    <row r="663" spans="1:29" ht="20.100000000000001" customHeight="1">
      <c r="A663" s="11"/>
      <c r="B663" s="1360"/>
      <c r="C663" s="5598"/>
      <c r="D663" s="9598" t="s">
        <v>134</v>
      </c>
      <c r="E663" s="9600"/>
      <c r="F663" s="492" t="s">
        <v>420</v>
      </c>
      <c r="G663" s="666"/>
      <c r="H663" s="684"/>
      <c r="I663" s="9579" t="s">
        <v>135</v>
      </c>
      <c r="J663" s="9581"/>
      <c r="K663" s="492" t="s">
        <v>344</v>
      </c>
      <c r="L663" s="6754"/>
      <c r="M663" s="7250" t="s">
        <v>369</v>
      </c>
      <c r="N663" s="6826"/>
      <c r="O663" s="7250" t="s">
        <v>369</v>
      </c>
      <c r="P663" s="6826"/>
      <c r="Q663" s="7250" t="s">
        <v>369</v>
      </c>
      <c r="R663" s="6659" t="s">
        <v>31</v>
      </c>
      <c r="S663" s="6557"/>
      <c r="T663" s="2468"/>
      <c r="U663" s="544"/>
      <c r="V663" s="545"/>
      <c r="W663" s="546"/>
      <c r="X663" s="547"/>
      <c r="Y663" s="299" t="s">
        <v>193</v>
      </c>
      <c r="Z663" s="277"/>
      <c r="AA663" s="277"/>
      <c r="AB663" s="187"/>
    </row>
    <row r="664" spans="1:29" ht="20.100000000000001" customHeight="1">
      <c r="A664" s="11"/>
      <c r="B664" s="1360"/>
      <c r="C664" s="5598"/>
      <c r="D664" s="9598" t="s">
        <v>137</v>
      </c>
      <c r="E664" s="9600"/>
      <c r="F664" s="492" t="s">
        <v>420</v>
      </c>
      <c r="G664" s="666"/>
      <c r="H664" s="684"/>
      <c r="I664" s="9579" t="s">
        <v>138</v>
      </c>
      <c r="J664" s="9581"/>
      <c r="K664" s="492" t="s">
        <v>344</v>
      </c>
      <c r="L664" s="6753"/>
      <c r="M664" s="7249"/>
      <c r="N664" s="6842"/>
      <c r="O664" s="7377"/>
      <c r="P664" s="6936"/>
      <c r="Q664" s="7469"/>
      <c r="R664" s="6659" t="s">
        <v>31</v>
      </c>
      <c r="S664" s="6579"/>
      <c r="T664" s="2468"/>
      <c r="U664" s="544"/>
      <c r="V664" s="545"/>
      <c r="W664" s="546"/>
      <c r="X664" s="547"/>
      <c r="Y664" s="299" t="s">
        <v>193</v>
      </c>
      <c r="Z664" s="277"/>
      <c r="AA664" s="277"/>
      <c r="AB664" s="187"/>
    </row>
    <row r="665" spans="1:29" ht="20.100000000000001" customHeight="1">
      <c r="A665" s="11"/>
      <c r="B665" s="1360"/>
      <c r="C665" s="5598"/>
      <c r="D665" s="9598" t="s">
        <v>140</v>
      </c>
      <c r="E665" s="9600"/>
      <c r="F665" s="492" t="s">
        <v>420</v>
      </c>
      <c r="G665" s="666"/>
      <c r="H665" s="684"/>
      <c r="I665" s="9582" t="s">
        <v>141</v>
      </c>
      <c r="J665" s="9583"/>
      <c r="K665" s="492" t="s">
        <v>344</v>
      </c>
      <c r="L665" s="6753"/>
      <c r="M665" s="7249"/>
      <c r="N665" s="6842"/>
      <c r="O665" s="7377"/>
      <c r="P665" s="6936"/>
      <c r="Q665" s="7469"/>
      <c r="R665" s="6659" t="s">
        <v>31</v>
      </c>
      <c r="S665" s="6579"/>
      <c r="T665" s="2468"/>
      <c r="U665" s="544"/>
      <c r="V665" s="545"/>
      <c r="W665" s="546"/>
      <c r="X665" s="547"/>
      <c r="Y665" s="299" t="s">
        <v>193</v>
      </c>
      <c r="Z665" s="277"/>
      <c r="AA665" s="277"/>
      <c r="AB665" s="187"/>
    </row>
    <row r="666" spans="1:29" ht="20.100000000000001" customHeight="1">
      <c r="A666" s="11"/>
      <c r="B666" s="1360"/>
      <c r="C666" s="5598"/>
      <c r="D666" s="9598" t="s">
        <v>143</v>
      </c>
      <c r="E666" s="9600"/>
      <c r="F666" s="492" t="s">
        <v>420</v>
      </c>
      <c r="G666" s="666"/>
      <c r="H666" s="684"/>
      <c r="I666" s="9582" t="s">
        <v>144</v>
      </c>
      <c r="J666" s="9583"/>
      <c r="K666" s="492" t="s">
        <v>344</v>
      </c>
      <c r="L666" s="6753"/>
      <c r="M666" s="7249"/>
      <c r="N666" s="6842"/>
      <c r="O666" s="7377"/>
      <c r="P666" s="6936"/>
      <c r="Q666" s="7469"/>
      <c r="R666" s="6659" t="s">
        <v>31</v>
      </c>
      <c r="S666" s="6579"/>
      <c r="T666" s="2468"/>
      <c r="U666" s="544"/>
      <c r="V666" s="545"/>
      <c r="W666" s="546"/>
      <c r="X666" s="547"/>
      <c r="Y666" s="299" t="s">
        <v>193</v>
      </c>
      <c r="Z666" s="277"/>
      <c r="AA666" s="277"/>
      <c r="AB666" s="187"/>
    </row>
    <row r="667" spans="1:29" ht="20.100000000000001" customHeight="1">
      <c r="A667" s="11"/>
      <c r="B667" s="1360"/>
      <c r="C667" s="5598"/>
      <c r="D667" s="9598" t="s">
        <v>146</v>
      </c>
      <c r="E667" s="9600"/>
      <c r="F667" s="492" t="s">
        <v>420</v>
      </c>
      <c r="G667" s="666"/>
      <c r="H667" s="684"/>
      <c r="I667" s="9582" t="s">
        <v>147</v>
      </c>
      <c r="J667" s="9583"/>
      <c r="K667" s="492" t="s">
        <v>344</v>
      </c>
      <c r="L667" s="6774" t="s">
        <v>168</v>
      </c>
      <c r="M667" s="7250" t="s">
        <v>641</v>
      </c>
      <c r="N667" s="6826" t="s">
        <v>168</v>
      </c>
      <c r="O667" s="7240" t="s">
        <v>641</v>
      </c>
      <c r="P667" s="6837" t="s">
        <v>168</v>
      </c>
      <c r="Q667" s="7240" t="s">
        <v>641</v>
      </c>
      <c r="R667" s="6659" t="s">
        <v>31</v>
      </c>
      <c r="S667" s="6538"/>
      <c r="T667" s="2468"/>
      <c r="U667" s="544"/>
      <c r="V667" s="545"/>
      <c r="W667" s="546"/>
      <c r="X667" s="547"/>
      <c r="Y667" s="299" t="s">
        <v>193</v>
      </c>
      <c r="Z667" s="277"/>
      <c r="AA667" s="277"/>
      <c r="AB667" s="187"/>
    </row>
    <row r="668" spans="1:29" ht="20.100000000000001" customHeight="1">
      <c r="A668" s="11"/>
      <c r="B668" s="1360"/>
      <c r="C668" s="5598"/>
      <c r="D668" s="9598" t="s">
        <v>149</v>
      </c>
      <c r="E668" s="9600"/>
      <c r="F668" s="492" t="s">
        <v>420</v>
      </c>
      <c r="G668" s="666"/>
      <c r="H668" s="684"/>
      <c r="I668" s="9582" t="s">
        <v>150</v>
      </c>
      <c r="J668" s="9583"/>
      <c r="K668" s="492" t="s">
        <v>344</v>
      </c>
      <c r="L668" s="6753"/>
      <c r="M668" s="7249"/>
      <c r="N668" s="6842"/>
      <c r="O668" s="7377"/>
      <c r="P668" s="6936"/>
      <c r="Q668" s="7469"/>
      <c r="R668" s="6659" t="s">
        <v>31</v>
      </c>
      <c r="S668" s="6579"/>
      <c r="T668" s="2468"/>
      <c r="U668" s="544"/>
      <c r="V668" s="545"/>
      <c r="W668" s="546"/>
      <c r="X668" s="547"/>
      <c r="Y668" s="299" t="s">
        <v>193</v>
      </c>
      <c r="Z668" s="277"/>
      <c r="AA668" s="277"/>
      <c r="AB668" s="187"/>
    </row>
    <row r="669" spans="1:29" ht="20.100000000000001" customHeight="1">
      <c r="A669" s="11"/>
      <c r="B669" s="1360"/>
      <c r="C669" s="5598"/>
      <c r="D669" s="9584" t="s">
        <v>533</v>
      </c>
      <c r="E669" s="9585"/>
      <c r="F669" s="492" t="s">
        <v>420</v>
      </c>
      <c r="G669" s="358"/>
      <c r="H669" s="643"/>
      <c r="I669" s="9584" t="s">
        <v>534</v>
      </c>
      <c r="J669" s="9585"/>
      <c r="K669" s="492" t="s">
        <v>344</v>
      </c>
      <c r="L669" s="6763" t="str">
        <f>IF(COUNTBLANK(L670:L675)&gt;0,"미취합법인有",SUM(L670:L675))</f>
        <v>미취합법인有</v>
      </c>
      <c r="M669" s="7233"/>
      <c r="N669" s="6847" t="str">
        <f>IF(COUNTBLANK(N670:N675)&gt;0,"미취합법인有",SUM(N670:N675))</f>
        <v>미취합법인有</v>
      </c>
      <c r="O669" s="7236"/>
      <c r="P669" s="6913" t="str">
        <f>IF(COUNTBLANK(P670:P675)&gt;0,"미취합법인有",SUM(P670:P675))</f>
        <v>미취합법인有</v>
      </c>
      <c r="Q669" s="7463"/>
      <c r="R669" s="6659" t="s">
        <v>31</v>
      </c>
      <c r="S669" s="6561"/>
      <c r="T669" s="2468"/>
      <c r="U669" s="544"/>
      <c r="V669" s="545" t="s">
        <v>189</v>
      </c>
      <c r="W669" s="547"/>
      <c r="X669" s="547"/>
      <c r="Y669" s="299" t="s">
        <v>193</v>
      </c>
      <c r="Z669" s="277" t="s">
        <v>524</v>
      </c>
      <c r="AA669" s="265"/>
      <c r="AB669" s="187"/>
      <c r="AC669" s="6305"/>
    </row>
    <row r="670" spans="1:29" ht="20.100000000000001" customHeight="1">
      <c r="A670" s="11"/>
      <c r="B670" s="1360"/>
      <c r="C670" s="5598"/>
      <c r="D670" s="9598" t="s">
        <v>134</v>
      </c>
      <c r="E670" s="9600"/>
      <c r="F670" s="492" t="s">
        <v>420</v>
      </c>
      <c r="G670" s="666"/>
      <c r="H670" s="684"/>
      <c r="I670" s="9579" t="s">
        <v>135</v>
      </c>
      <c r="J670" s="9581"/>
      <c r="K670" s="492" t="s">
        <v>344</v>
      </c>
      <c r="L670" s="6754"/>
      <c r="M670" s="7250" t="s">
        <v>369</v>
      </c>
      <c r="N670" s="6826"/>
      <c r="O670" s="7250" t="s">
        <v>369</v>
      </c>
      <c r="P670" s="6826"/>
      <c r="Q670" s="7250" t="s">
        <v>369</v>
      </c>
      <c r="R670" s="6659" t="s">
        <v>31</v>
      </c>
      <c r="S670" s="6557"/>
      <c r="T670" s="2468"/>
      <c r="U670" s="544"/>
      <c r="V670" s="545"/>
      <c r="W670" s="546"/>
      <c r="X670" s="547"/>
      <c r="Y670" s="299" t="s">
        <v>193</v>
      </c>
      <c r="Z670" s="277"/>
      <c r="AA670" s="277"/>
      <c r="AB670" s="187"/>
    </row>
    <row r="671" spans="1:29" ht="20.100000000000001" customHeight="1">
      <c r="A671" s="11"/>
      <c r="B671" s="1360"/>
      <c r="C671" s="5598"/>
      <c r="D671" s="9598" t="s">
        <v>137</v>
      </c>
      <c r="E671" s="9600"/>
      <c r="F671" s="492" t="s">
        <v>420</v>
      </c>
      <c r="G671" s="666"/>
      <c r="H671" s="684"/>
      <c r="I671" s="9579" t="s">
        <v>138</v>
      </c>
      <c r="J671" s="9581"/>
      <c r="K671" s="492" t="s">
        <v>344</v>
      </c>
      <c r="L671" s="6753"/>
      <c r="M671" s="7249"/>
      <c r="N671" s="6842"/>
      <c r="O671" s="7377"/>
      <c r="P671" s="6936"/>
      <c r="Q671" s="7469"/>
      <c r="R671" s="6659" t="s">
        <v>31</v>
      </c>
      <c r="S671" s="6579"/>
      <c r="T671" s="2468"/>
      <c r="U671" s="544"/>
      <c r="V671" s="545"/>
      <c r="W671" s="546"/>
      <c r="X671" s="547"/>
      <c r="Y671" s="299" t="s">
        <v>193</v>
      </c>
      <c r="Z671" s="277"/>
      <c r="AA671" s="277"/>
      <c r="AB671" s="187"/>
    </row>
    <row r="672" spans="1:29" ht="20.100000000000001" customHeight="1">
      <c r="A672" s="11"/>
      <c r="B672" s="1360"/>
      <c r="C672" s="5598"/>
      <c r="D672" s="9598" t="s">
        <v>140</v>
      </c>
      <c r="E672" s="9600"/>
      <c r="F672" s="492" t="s">
        <v>420</v>
      </c>
      <c r="G672" s="666"/>
      <c r="H672" s="684"/>
      <c r="I672" s="9582" t="s">
        <v>141</v>
      </c>
      <c r="J672" s="9583"/>
      <c r="K672" s="492" t="s">
        <v>344</v>
      </c>
      <c r="L672" s="6753"/>
      <c r="M672" s="7249"/>
      <c r="N672" s="6842"/>
      <c r="O672" s="7377"/>
      <c r="P672" s="6936"/>
      <c r="Q672" s="7469"/>
      <c r="R672" s="6659" t="s">
        <v>31</v>
      </c>
      <c r="S672" s="6579"/>
      <c r="T672" s="2468"/>
      <c r="U672" s="544"/>
      <c r="V672" s="545"/>
      <c r="W672" s="546"/>
      <c r="X672" s="547"/>
      <c r="Y672" s="299" t="s">
        <v>193</v>
      </c>
      <c r="Z672" s="277"/>
      <c r="AA672" s="277"/>
      <c r="AB672" s="187"/>
    </row>
    <row r="673" spans="1:29" ht="20.100000000000001" customHeight="1">
      <c r="A673" s="11"/>
      <c r="B673" s="1360"/>
      <c r="C673" s="5598"/>
      <c r="D673" s="9598" t="s">
        <v>143</v>
      </c>
      <c r="E673" s="9600"/>
      <c r="F673" s="492" t="s">
        <v>420</v>
      </c>
      <c r="G673" s="666"/>
      <c r="H673" s="684"/>
      <c r="I673" s="9582" t="s">
        <v>144</v>
      </c>
      <c r="J673" s="9583"/>
      <c r="K673" s="492" t="s">
        <v>344</v>
      </c>
      <c r="L673" s="6753"/>
      <c r="M673" s="7249"/>
      <c r="N673" s="6842"/>
      <c r="O673" s="7377"/>
      <c r="P673" s="6936"/>
      <c r="Q673" s="7469"/>
      <c r="R673" s="6659" t="s">
        <v>31</v>
      </c>
      <c r="S673" s="6579"/>
      <c r="T673" s="2468"/>
      <c r="U673" s="544"/>
      <c r="V673" s="545"/>
      <c r="W673" s="546"/>
      <c r="X673" s="547"/>
      <c r="Y673" s="299" t="s">
        <v>193</v>
      </c>
      <c r="Z673" s="277"/>
      <c r="AA673" s="277"/>
      <c r="AB673" s="187"/>
    </row>
    <row r="674" spans="1:29" ht="20.100000000000001" customHeight="1">
      <c r="A674" s="11"/>
      <c r="B674" s="1360"/>
      <c r="C674" s="5598"/>
      <c r="D674" s="9598" t="s">
        <v>146</v>
      </c>
      <c r="E674" s="9600"/>
      <c r="F674" s="492" t="s">
        <v>420</v>
      </c>
      <c r="G674" s="666"/>
      <c r="H674" s="684"/>
      <c r="I674" s="9582" t="s">
        <v>147</v>
      </c>
      <c r="J674" s="9583"/>
      <c r="K674" s="492" t="s">
        <v>344</v>
      </c>
      <c r="L674" s="6774" t="s">
        <v>168</v>
      </c>
      <c r="M674" s="7250" t="s">
        <v>641</v>
      </c>
      <c r="N674" s="6826" t="s">
        <v>168</v>
      </c>
      <c r="O674" s="7240" t="s">
        <v>641</v>
      </c>
      <c r="P674" s="6837" t="s">
        <v>168</v>
      </c>
      <c r="Q674" s="7240" t="s">
        <v>641</v>
      </c>
      <c r="R674" s="6659" t="s">
        <v>31</v>
      </c>
      <c r="S674" s="6538"/>
      <c r="T674" s="2468"/>
      <c r="U674" s="544"/>
      <c r="V674" s="545"/>
      <c r="W674" s="546"/>
      <c r="X674" s="547"/>
      <c r="Y674" s="299" t="s">
        <v>193</v>
      </c>
      <c r="Z674" s="277"/>
      <c r="AA674" s="277"/>
      <c r="AB674" s="187"/>
    </row>
    <row r="675" spans="1:29" ht="20.100000000000001" customHeight="1">
      <c r="A675" s="11"/>
      <c r="B675" s="1360"/>
      <c r="C675" s="5598"/>
      <c r="D675" s="9598" t="s">
        <v>149</v>
      </c>
      <c r="E675" s="9600"/>
      <c r="F675" s="492" t="s">
        <v>420</v>
      </c>
      <c r="G675" s="666"/>
      <c r="H675" s="684"/>
      <c r="I675" s="9582" t="s">
        <v>150</v>
      </c>
      <c r="J675" s="9583"/>
      <c r="K675" s="492" t="s">
        <v>344</v>
      </c>
      <c r="L675" s="6753"/>
      <c r="M675" s="7249"/>
      <c r="N675" s="6842"/>
      <c r="O675" s="7377"/>
      <c r="P675" s="6936"/>
      <c r="Q675" s="7469"/>
      <c r="R675" s="6659" t="s">
        <v>31</v>
      </c>
      <c r="S675" s="6579"/>
      <c r="T675" s="2468"/>
      <c r="U675" s="544"/>
      <c r="V675" s="545"/>
      <c r="W675" s="546"/>
      <c r="X675" s="547"/>
      <c r="Y675" s="299" t="s">
        <v>193</v>
      </c>
      <c r="Z675" s="277"/>
      <c r="AA675" s="277"/>
      <c r="AB675" s="187"/>
    </row>
    <row r="676" spans="1:29" ht="20.100000000000001" customHeight="1">
      <c r="A676" s="11"/>
      <c r="B676" s="1360"/>
      <c r="C676" s="5598"/>
      <c r="D676" s="9584" t="s">
        <v>535</v>
      </c>
      <c r="E676" s="9585"/>
      <c r="F676" s="492" t="s">
        <v>420</v>
      </c>
      <c r="G676" s="358"/>
      <c r="H676" s="643"/>
      <c r="I676" s="9584" t="s">
        <v>536</v>
      </c>
      <c r="J676" s="9585"/>
      <c r="K676" s="492" t="s">
        <v>344</v>
      </c>
      <c r="L676" s="6763" t="str">
        <f>IF(COUNTBLANK(L677:L682)&gt;0,"미취합법인有",SUM(L677:L682))</f>
        <v>미취합법인有</v>
      </c>
      <c r="M676" s="7233"/>
      <c r="N676" s="6847" t="str">
        <f>IF(COUNTBLANK(N677:N682)&gt;0,"미취합법인有",SUM(N677:N682))</f>
        <v>미취합법인有</v>
      </c>
      <c r="O676" s="7236"/>
      <c r="P676" s="6913" t="str">
        <f>IF(COUNTBLANK(P677:P682)&gt;0,"미취합법인有",SUM(P677:P682))</f>
        <v>미취합법인有</v>
      </c>
      <c r="Q676" s="7463"/>
      <c r="R676" s="6659" t="s">
        <v>31</v>
      </c>
      <c r="S676" s="6561"/>
      <c r="T676" s="2468"/>
      <c r="U676" s="544"/>
      <c r="V676" s="545" t="s">
        <v>189</v>
      </c>
      <c r="W676" s="547"/>
      <c r="X676" s="547"/>
      <c r="Y676" s="299" t="s">
        <v>193</v>
      </c>
      <c r="Z676" s="277" t="s">
        <v>524</v>
      </c>
      <c r="AA676" s="265"/>
      <c r="AB676" s="187"/>
      <c r="AC676" s="6305"/>
    </row>
    <row r="677" spans="1:29" ht="20.100000000000001" customHeight="1">
      <c r="A677" s="11"/>
      <c r="B677" s="1360"/>
      <c r="C677" s="5598"/>
      <c r="D677" s="9598" t="s">
        <v>134</v>
      </c>
      <c r="E677" s="9600"/>
      <c r="F677" s="492" t="s">
        <v>420</v>
      </c>
      <c r="G677" s="666"/>
      <c r="H677" s="684"/>
      <c r="I677" s="9579" t="s">
        <v>135</v>
      </c>
      <c r="J677" s="9581"/>
      <c r="K677" s="492" t="s">
        <v>344</v>
      </c>
      <c r="L677" s="6754"/>
      <c r="M677" s="7250" t="s">
        <v>369</v>
      </c>
      <c r="N677" s="6826"/>
      <c r="O677" s="7250" t="s">
        <v>369</v>
      </c>
      <c r="P677" s="6826"/>
      <c r="Q677" s="7250" t="s">
        <v>369</v>
      </c>
      <c r="R677" s="6659" t="s">
        <v>31</v>
      </c>
      <c r="S677" s="6557"/>
      <c r="T677" s="2468"/>
      <c r="U677" s="544"/>
      <c r="V677" s="545"/>
      <c r="W677" s="546"/>
      <c r="X677" s="547"/>
      <c r="Y677" s="299" t="s">
        <v>193</v>
      </c>
      <c r="Z677" s="277"/>
      <c r="AA677" s="277"/>
      <c r="AB677" s="187"/>
    </row>
    <row r="678" spans="1:29" ht="20.100000000000001" customHeight="1">
      <c r="A678" s="11"/>
      <c r="B678" s="1360"/>
      <c r="C678" s="5598"/>
      <c r="D678" s="9598" t="s">
        <v>137</v>
      </c>
      <c r="E678" s="9600"/>
      <c r="F678" s="492" t="s">
        <v>420</v>
      </c>
      <c r="G678" s="666"/>
      <c r="H678" s="684"/>
      <c r="I678" s="9579" t="s">
        <v>138</v>
      </c>
      <c r="J678" s="9581"/>
      <c r="K678" s="492" t="s">
        <v>344</v>
      </c>
      <c r="L678" s="6753"/>
      <c r="M678" s="7249"/>
      <c r="N678" s="6842"/>
      <c r="O678" s="7377"/>
      <c r="P678" s="6936"/>
      <c r="Q678" s="7469"/>
      <c r="R678" s="6659" t="s">
        <v>31</v>
      </c>
      <c r="S678" s="6579"/>
      <c r="T678" s="2468"/>
      <c r="U678" s="544"/>
      <c r="V678" s="545"/>
      <c r="W678" s="546"/>
      <c r="X678" s="547"/>
      <c r="Y678" s="299" t="s">
        <v>193</v>
      </c>
      <c r="Z678" s="277"/>
      <c r="AA678" s="277"/>
      <c r="AB678" s="187"/>
    </row>
    <row r="679" spans="1:29" ht="20.100000000000001" customHeight="1">
      <c r="A679" s="11"/>
      <c r="B679" s="1360"/>
      <c r="C679" s="5598"/>
      <c r="D679" s="9598" t="s">
        <v>140</v>
      </c>
      <c r="E679" s="9600"/>
      <c r="F679" s="492" t="s">
        <v>420</v>
      </c>
      <c r="G679" s="666"/>
      <c r="H679" s="684"/>
      <c r="I679" s="9582" t="s">
        <v>141</v>
      </c>
      <c r="J679" s="9583"/>
      <c r="K679" s="492" t="s">
        <v>344</v>
      </c>
      <c r="L679" s="6753"/>
      <c r="M679" s="7249"/>
      <c r="N679" s="6842"/>
      <c r="O679" s="7377"/>
      <c r="P679" s="6936"/>
      <c r="Q679" s="7469"/>
      <c r="R679" s="6659" t="s">
        <v>31</v>
      </c>
      <c r="S679" s="6579"/>
      <c r="T679" s="2468"/>
      <c r="U679" s="544"/>
      <c r="V679" s="545"/>
      <c r="W679" s="546"/>
      <c r="X679" s="547"/>
      <c r="Y679" s="299" t="s">
        <v>193</v>
      </c>
      <c r="Z679" s="277"/>
      <c r="AA679" s="277"/>
      <c r="AB679" s="187"/>
    </row>
    <row r="680" spans="1:29" ht="20.100000000000001" customHeight="1">
      <c r="A680" s="11"/>
      <c r="B680" s="1360"/>
      <c r="C680" s="5598"/>
      <c r="D680" s="9598" t="s">
        <v>143</v>
      </c>
      <c r="E680" s="9600"/>
      <c r="F680" s="492" t="s">
        <v>420</v>
      </c>
      <c r="G680" s="666"/>
      <c r="H680" s="684"/>
      <c r="I680" s="9582" t="s">
        <v>144</v>
      </c>
      <c r="J680" s="9583"/>
      <c r="K680" s="492" t="s">
        <v>344</v>
      </c>
      <c r="L680" s="6753"/>
      <c r="M680" s="7249"/>
      <c r="N680" s="6842"/>
      <c r="O680" s="7377"/>
      <c r="P680" s="6936"/>
      <c r="Q680" s="7469"/>
      <c r="R680" s="6659" t="s">
        <v>31</v>
      </c>
      <c r="S680" s="6579"/>
      <c r="T680" s="2468"/>
      <c r="U680" s="544"/>
      <c r="V680" s="545"/>
      <c r="W680" s="546"/>
      <c r="X680" s="547"/>
      <c r="Y680" s="299" t="s">
        <v>193</v>
      </c>
      <c r="Z680" s="277"/>
      <c r="AA680" s="277"/>
      <c r="AB680" s="187"/>
    </row>
    <row r="681" spans="1:29" ht="20.100000000000001" customHeight="1">
      <c r="A681" s="11"/>
      <c r="B681" s="1360"/>
      <c r="C681" s="5598"/>
      <c r="D681" s="9598" t="s">
        <v>146</v>
      </c>
      <c r="E681" s="9600"/>
      <c r="F681" s="492" t="s">
        <v>420</v>
      </c>
      <c r="G681" s="666"/>
      <c r="H681" s="684"/>
      <c r="I681" s="9582" t="s">
        <v>147</v>
      </c>
      <c r="J681" s="9583"/>
      <c r="K681" s="492" t="s">
        <v>344</v>
      </c>
      <c r="L681" s="6774" t="s">
        <v>168</v>
      </c>
      <c r="M681" s="7250" t="s">
        <v>641</v>
      </c>
      <c r="N681" s="6826" t="s">
        <v>168</v>
      </c>
      <c r="O681" s="7240" t="s">
        <v>641</v>
      </c>
      <c r="P681" s="6837" t="s">
        <v>168</v>
      </c>
      <c r="Q681" s="7240" t="s">
        <v>641</v>
      </c>
      <c r="R681" s="6659" t="s">
        <v>31</v>
      </c>
      <c r="S681" s="6538"/>
      <c r="T681" s="2468"/>
      <c r="U681" s="544"/>
      <c r="V681" s="545"/>
      <c r="W681" s="546"/>
      <c r="X681" s="547"/>
      <c r="Y681" s="299" t="s">
        <v>193</v>
      </c>
      <c r="Z681" s="277"/>
      <c r="AA681" s="277"/>
      <c r="AB681" s="187"/>
    </row>
    <row r="682" spans="1:29" ht="20.100000000000001" customHeight="1">
      <c r="A682" s="11"/>
      <c r="B682" s="1360"/>
      <c r="C682" s="5598"/>
      <c r="D682" s="9598" t="s">
        <v>149</v>
      </c>
      <c r="E682" s="9600"/>
      <c r="F682" s="492" t="s">
        <v>420</v>
      </c>
      <c r="G682" s="666"/>
      <c r="H682" s="684"/>
      <c r="I682" s="9582" t="s">
        <v>150</v>
      </c>
      <c r="J682" s="9583"/>
      <c r="K682" s="492" t="s">
        <v>344</v>
      </c>
      <c r="L682" s="6753"/>
      <c r="M682" s="7249"/>
      <c r="N682" s="6842"/>
      <c r="O682" s="7377"/>
      <c r="P682" s="6936"/>
      <c r="Q682" s="7469"/>
      <c r="R682" s="6659" t="s">
        <v>31</v>
      </c>
      <c r="S682" s="6579"/>
      <c r="T682" s="2468"/>
      <c r="U682" s="544"/>
      <c r="V682" s="545"/>
      <c r="W682" s="546"/>
      <c r="X682" s="547"/>
      <c r="Y682" s="299" t="s">
        <v>193</v>
      </c>
      <c r="Z682" s="277"/>
      <c r="AA682" s="277"/>
      <c r="AB682" s="187"/>
    </row>
    <row r="683" spans="1:29" ht="20.100000000000001" customHeight="1">
      <c r="A683" s="11"/>
      <c r="B683" s="1360"/>
      <c r="C683" s="5598"/>
      <c r="D683" s="9584" t="s">
        <v>537</v>
      </c>
      <c r="E683" s="9585"/>
      <c r="F683" s="492" t="s">
        <v>420</v>
      </c>
      <c r="G683" s="358"/>
      <c r="H683" s="643"/>
      <c r="I683" s="9584" t="s">
        <v>538</v>
      </c>
      <c r="J683" s="9585"/>
      <c r="K683" s="492" t="s">
        <v>344</v>
      </c>
      <c r="L683" s="6763" t="str">
        <f>IF(COUNTBLANK(L684:L689)&gt;0,"미취합법인有",SUM(L684:L689))</f>
        <v>미취합법인有</v>
      </c>
      <c r="M683" s="7233"/>
      <c r="N683" s="6847" t="str">
        <f>IF(COUNTBLANK(N684:N689)&gt;0,"미취합법인有",SUM(N684:N689))</f>
        <v>미취합법인有</v>
      </c>
      <c r="O683" s="7236"/>
      <c r="P683" s="6913" t="str">
        <f>IF(COUNTBLANK(P684:P689)&gt;0,"미취합법인有",SUM(P684:P689))</f>
        <v>미취합법인有</v>
      </c>
      <c r="Q683" s="7463"/>
      <c r="R683" s="6659" t="s">
        <v>31</v>
      </c>
      <c r="S683" s="6561"/>
      <c r="T683" s="2468"/>
      <c r="U683" s="544"/>
      <c r="V683" s="545" t="s">
        <v>189</v>
      </c>
      <c r="W683" s="547"/>
      <c r="X683" s="547"/>
      <c r="Y683" s="299" t="s">
        <v>193</v>
      </c>
      <c r="Z683" s="277" t="s">
        <v>524</v>
      </c>
      <c r="AA683" s="265"/>
      <c r="AB683" s="187"/>
      <c r="AC683" s="6305"/>
    </row>
    <row r="684" spans="1:29" ht="20.100000000000001" customHeight="1">
      <c r="A684" s="11"/>
      <c r="B684" s="1360"/>
      <c r="C684" s="5598"/>
      <c r="D684" s="9598" t="s">
        <v>134</v>
      </c>
      <c r="E684" s="9600"/>
      <c r="F684" s="492" t="s">
        <v>420</v>
      </c>
      <c r="G684" s="666"/>
      <c r="H684" s="684"/>
      <c r="I684" s="9579" t="s">
        <v>135</v>
      </c>
      <c r="J684" s="9581"/>
      <c r="K684" s="492" t="s">
        <v>344</v>
      </c>
      <c r="L684" s="6754"/>
      <c r="M684" s="7250" t="s">
        <v>369</v>
      </c>
      <c r="N684" s="6826"/>
      <c r="O684" s="7250" t="s">
        <v>369</v>
      </c>
      <c r="P684" s="6826"/>
      <c r="Q684" s="7250" t="s">
        <v>369</v>
      </c>
      <c r="R684" s="6659" t="s">
        <v>31</v>
      </c>
      <c r="S684" s="6557"/>
      <c r="T684" s="2468"/>
      <c r="U684" s="544"/>
      <c r="V684" s="545"/>
      <c r="W684" s="546"/>
      <c r="X684" s="547"/>
      <c r="Y684" s="299" t="s">
        <v>193</v>
      </c>
      <c r="Z684" s="277"/>
      <c r="AA684" s="277"/>
      <c r="AB684" s="187"/>
    </row>
    <row r="685" spans="1:29" ht="20.100000000000001" customHeight="1">
      <c r="A685" s="11"/>
      <c r="B685" s="1360"/>
      <c r="C685" s="5598"/>
      <c r="D685" s="9598" t="s">
        <v>137</v>
      </c>
      <c r="E685" s="9600"/>
      <c r="F685" s="492" t="s">
        <v>420</v>
      </c>
      <c r="G685" s="666"/>
      <c r="H685" s="684"/>
      <c r="I685" s="9579" t="s">
        <v>138</v>
      </c>
      <c r="J685" s="9581"/>
      <c r="K685" s="492" t="s">
        <v>344</v>
      </c>
      <c r="L685" s="6753"/>
      <c r="M685" s="7249"/>
      <c r="N685" s="6842"/>
      <c r="O685" s="7377"/>
      <c r="P685" s="6936"/>
      <c r="Q685" s="7469"/>
      <c r="R685" s="6659" t="s">
        <v>31</v>
      </c>
      <c r="S685" s="6579"/>
      <c r="T685" s="2468"/>
      <c r="U685" s="544"/>
      <c r="V685" s="545"/>
      <c r="W685" s="546"/>
      <c r="X685" s="547"/>
      <c r="Y685" s="299" t="s">
        <v>193</v>
      </c>
      <c r="Z685" s="277"/>
      <c r="AA685" s="277"/>
      <c r="AB685" s="187"/>
    </row>
    <row r="686" spans="1:29" ht="20.100000000000001" customHeight="1">
      <c r="A686" s="11"/>
      <c r="B686" s="1360"/>
      <c r="C686" s="5598"/>
      <c r="D686" s="9598" t="s">
        <v>140</v>
      </c>
      <c r="E686" s="9600"/>
      <c r="F686" s="492" t="s">
        <v>420</v>
      </c>
      <c r="G686" s="666"/>
      <c r="H686" s="684"/>
      <c r="I686" s="9582" t="s">
        <v>141</v>
      </c>
      <c r="J686" s="9583"/>
      <c r="K686" s="492" t="s">
        <v>344</v>
      </c>
      <c r="L686" s="6753"/>
      <c r="M686" s="7249"/>
      <c r="N686" s="6842"/>
      <c r="O686" s="7377"/>
      <c r="P686" s="6936"/>
      <c r="Q686" s="7469"/>
      <c r="R686" s="6659" t="s">
        <v>31</v>
      </c>
      <c r="S686" s="6579"/>
      <c r="T686" s="2468"/>
      <c r="U686" s="544"/>
      <c r="V686" s="545"/>
      <c r="W686" s="546"/>
      <c r="X686" s="547"/>
      <c r="Y686" s="299" t="s">
        <v>193</v>
      </c>
      <c r="Z686" s="277"/>
      <c r="AA686" s="277"/>
      <c r="AB686" s="187"/>
    </row>
    <row r="687" spans="1:29" ht="20.100000000000001" customHeight="1">
      <c r="A687" s="11"/>
      <c r="B687" s="1360"/>
      <c r="C687" s="5598"/>
      <c r="D687" s="9598" t="s">
        <v>143</v>
      </c>
      <c r="E687" s="9600"/>
      <c r="F687" s="492" t="s">
        <v>420</v>
      </c>
      <c r="G687" s="666"/>
      <c r="H687" s="684"/>
      <c r="I687" s="9582" t="s">
        <v>144</v>
      </c>
      <c r="J687" s="9583"/>
      <c r="K687" s="492" t="s">
        <v>344</v>
      </c>
      <c r="L687" s="6753"/>
      <c r="M687" s="7249"/>
      <c r="N687" s="6842"/>
      <c r="O687" s="7377"/>
      <c r="P687" s="6936"/>
      <c r="Q687" s="7469"/>
      <c r="R687" s="6659" t="s">
        <v>31</v>
      </c>
      <c r="S687" s="6579"/>
      <c r="T687" s="2468"/>
      <c r="U687" s="544"/>
      <c r="V687" s="545"/>
      <c r="W687" s="546"/>
      <c r="X687" s="547"/>
      <c r="Y687" s="299" t="s">
        <v>193</v>
      </c>
      <c r="Z687" s="277"/>
      <c r="AA687" s="277"/>
      <c r="AB687" s="187"/>
    </row>
    <row r="688" spans="1:29" ht="20.100000000000001" customHeight="1">
      <c r="A688" s="11"/>
      <c r="B688" s="1360"/>
      <c r="C688" s="5598"/>
      <c r="D688" s="9598" t="s">
        <v>146</v>
      </c>
      <c r="E688" s="9600"/>
      <c r="F688" s="492" t="s">
        <v>420</v>
      </c>
      <c r="G688" s="666"/>
      <c r="H688" s="684"/>
      <c r="I688" s="9582" t="s">
        <v>147</v>
      </c>
      <c r="J688" s="9583"/>
      <c r="K688" s="492" t="s">
        <v>344</v>
      </c>
      <c r="L688" s="6774" t="s">
        <v>168</v>
      </c>
      <c r="M688" s="7250" t="s">
        <v>641</v>
      </c>
      <c r="N688" s="6826" t="s">
        <v>168</v>
      </c>
      <c r="O688" s="7240" t="s">
        <v>641</v>
      </c>
      <c r="P688" s="6837" t="s">
        <v>168</v>
      </c>
      <c r="Q688" s="7240" t="s">
        <v>641</v>
      </c>
      <c r="R688" s="6659" t="s">
        <v>31</v>
      </c>
      <c r="S688" s="6538"/>
      <c r="T688" s="2468"/>
      <c r="U688" s="544"/>
      <c r="V688" s="545"/>
      <c r="W688" s="546"/>
      <c r="X688" s="547"/>
      <c r="Y688" s="299" t="s">
        <v>193</v>
      </c>
      <c r="Z688" s="277"/>
      <c r="AA688" s="277"/>
      <c r="AB688" s="187"/>
    </row>
    <row r="689" spans="1:29" ht="20.100000000000001" customHeight="1">
      <c r="A689" s="11"/>
      <c r="B689" s="1360"/>
      <c r="C689" s="5598"/>
      <c r="D689" s="9598" t="s">
        <v>149</v>
      </c>
      <c r="E689" s="9600"/>
      <c r="F689" s="492" t="s">
        <v>420</v>
      </c>
      <c r="G689" s="666"/>
      <c r="H689" s="684"/>
      <c r="I689" s="9582" t="s">
        <v>150</v>
      </c>
      <c r="J689" s="9583"/>
      <c r="K689" s="492" t="s">
        <v>344</v>
      </c>
      <c r="L689" s="6753"/>
      <c r="M689" s="7249"/>
      <c r="N689" s="6842"/>
      <c r="O689" s="7377"/>
      <c r="P689" s="6936"/>
      <c r="Q689" s="7469"/>
      <c r="R689" s="6659" t="s">
        <v>31</v>
      </c>
      <c r="S689" s="6579"/>
      <c r="T689" s="2468"/>
      <c r="U689" s="544"/>
      <c r="V689" s="545"/>
      <c r="W689" s="546"/>
      <c r="X689" s="547"/>
      <c r="Y689" s="299" t="s">
        <v>193</v>
      </c>
      <c r="Z689" s="277"/>
      <c r="AA689" s="277"/>
      <c r="AB689" s="187"/>
    </row>
    <row r="690" spans="1:29" ht="20.100000000000001" customHeight="1">
      <c r="A690" s="11"/>
      <c r="B690" s="1360"/>
      <c r="C690" s="5598"/>
      <c r="D690" s="9584" t="s">
        <v>539</v>
      </c>
      <c r="E690" s="9585"/>
      <c r="F690" s="492" t="s">
        <v>420</v>
      </c>
      <c r="G690" s="358"/>
      <c r="H690" s="643"/>
      <c r="I690" s="9584" t="s">
        <v>540</v>
      </c>
      <c r="J690" s="9585"/>
      <c r="K690" s="492" t="s">
        <v>344</v>
      </c>
      <c r="L690" s="6763" t="str">
        <f>IF(COUNTBLANK(L691:L696)&gt;0,"미취합법인有",SUM(L691:L696))</f>
        <v>미취합법인有</v>
      </c>
      <c r="M690" s="7233"/>
      <c r="N690" s="6847" t="str">
        <f>IF(COUNTBLANK(N691:N696)&gt;0,"미취합법인有",SUM(N691:N696))</f>
        <v>미취합법인有</v>
      </c>
      <c r="O690" s="7236"/>
      <c r="P690" s="6913" t="str">
        <f>IF(COUNTBLANK(P691:P696)&gt;0,"미취합법인有",SUM(P691:P696))</f>
        <v>미취합법인有</v>
      </c>
      <c r="Q690" s="7463"/>
      <c r="R690" s="6659" t="s">
        <v>31</v>
      </c>
      <c r="S690" s="6561"/>
      <c r="T690" s="2468"/>
      <c r="U690" s="544"/>
      <c r="V690" s="545" t="s">
        <v>189</v>
      </c>
      <c r="W690" s="547"/>
      <c r="X690" s="547"/>
      <c r="Y690" s="299" t="s">
        <v>193</v>
      </c>
      <c r="Z690" s="277" t="s">
        <v>524</v>
      </c>
      <c r="AA690" s="265"/>
      <c r="AB690" s="187"/>
      <c r="AC690" s="6305"/>
    </row>
    <row r="691" spans="1:29" ht="20.100000000000001" customHeight="1">
      <c r="A691" s="11"/>
      <c r="B691" s="1360"/>
      <c r="C691" s="5598"/>
      <c r="D691" s="9598" t="s">
        <v>134</v>
      </c>
      <c r="E691" s="9600"/>
      <c r="F691" s="492" t="s">
        <v>420</v>
      </c>
      <c r="G691" s="666"/>
      <c r="H691" s="684"/>
      <c r="I691" s="9579" t="s">
        <v>135</v>
      </c>
      <c r="J691" s="9581"/>
      <c r="K691" s="492" t="s">
        <v>344</v>
      </c>
      <c r="L691" s="6754"/>
      <c r="M691" s="7250" t="s">
        <v>369</v>
      </c>
      <c r="N691" s="6826"/>
      <c r="O691" s="7250" t="s">
        <v>369</v>
      </c>
      <c r="P691" s="6826"/>
      <c r="Q691" s="7250" t="s">
        <v>369</v>
      </c>
      <c r="R691" s="6659" t="s">
        <v>31</v>
      </c>
      <c r="S691" s="6557"/>
      <c r="T691" s="2468"/>
      <c r="U691" s="544"/>
      <c r="V691" s="545"/>
      <c r="W691" s="546"/>
      <c r="X691" s="547"/>
      <c r="Y691" s="299" t="s">
        <v>193</v>
      </c>
      <c r="Z691" s="277"/>
      <c r="AA691" s="277"/>
      <c r="AB691" s="187"/>
    </row>
    <row r="692" spans="1:29" ht="20.100000000000001" customHeight="1">
      <c r="A692" s="11"/>
      <c r="B692" s="1360"/>
      <c r="C692" s="5598"/>
      <c r="D692" s="9598" t="s">
        <v>137</v>
      </c>
      <c r="E692" s="9600"/>
      <c r="F692" s="492" t="s">
        <v>420</v>
      </c>
      <c r="G692" s="666"/>
      <c r="H692" s="684"/>
      <c r="I692" s="9579" t="s">
        <v>138</v>
      </c>
      <c r="J692" s="9581"/>
      <c r="K692" s="492" t="s">
        <v>344</v>
      </c>
      <c r="L692" s="6753"/>
      <c r="M692" s="7249"/>
      <c r="N692" s="6842"/>
      <c r="O692" s="7377"/>
      <c r="P692" s="6936"/>
      <c r="Q692" s="7469"/>
      <c r="R692" s="6659" t="s">
        <v>31</v>
      </c>
      <c r="S692" s="6579"/>
      <c r="T692" s="2468"/>
      <c r="U692" s="544"/>
      <c r="V692" s="545"/>
      <c r="W692" s="546"/>
      <c r="X692" s="547"/>
      <c r="Y692" s="299" t="s">
        <v>193</v>
      </c>
      <c r="Z692" s="277"/>
      <c r="AA692" s="277"/>
      <c r="AB692" s="187"/>
    </row>
    <row r="693" spans="1:29" ht="20.100000000000001" customHeight="1">
      <c r="A693" s="11"/>
      <c r="B693" s="1360"/>
      <c r="C693" s="5598"/>
      <c r="D693" s="9598" t="s">
        <v>140</v>
      </c>
      <c r="E693" s="9600"/>
      <c r="F693" s="492" t="s">
        <v>420</v>
      </c>
      <c r="G693" s="666"/>
      <c r="H693" s="684"/>
      <c r="I693" s="9582" t="s">
        <v>141</v>
      </c>
      <c r="J693" s="9583"/>
      <c r="K693" s="492" t="s">
        <v>344</v>
      </c>
      <c r="L693" s="6753"/>
      <c r="M693" s="7249"/>
      <c r="N693" s="6842"/>
      <c r="O693" s="7377"/>
      <c r="P693" s="6936"/>
      <c r="Q693" s="7469"/>
      <c r="R693" s="6659" t="s">
        <v>31</v>
      </c>
      <c r="S693" s="6579"/>
      <c r="T693" s="2468"/>
      <c r="U693" s="544"/>
      <c r="V693" s="545"/>
      <c r="W693" s="546"/>
      <c r="X693" s="547"/>
      <c r="Y693" s="299" t="s">
        <v>193</v>
      </c>
      <c r="Z693" s="277"/>
      <c r="AA693" s="277"/>
      <c r="AB693" s="187"/>
    </row>
    <row r="694" spans="1:29" ht="20.100000000000001" customHeight="1">
      <c r="A694" s="11"/>
      <c r="B694" s="1360"/>
      <c r="C694" s="5598"/>
      <c r="D694" s="9598" t="s">
        <v>143</v>
      </c>
      <c r="E694" s="9600"/>
      <c r="F694" s="492" t="s">
        <v>420</v>
      </c>
      <c r="G694" s="666"/>
      <c r="H694" s="684"/>
      <c r="I694" s="9582" t="s">
        <v>144</v>
      </c>
      <c r="J694" s="9583"/>
      <c r="K694" s="492" t="s">
        <v>344</v>
      </c>
      <c r="L694" s="6753"/>
      <c r="M694" s="7249"/>
      <c r="N694" s="6842"/>
      <c r="O694" s="7377"/>
      <c r="P694" s="6936"/>
      <c r="Q694" s="7469"/>
      <c r="R694" s="6659" t="s">
        <v>31</v>
      </c>
      <c r="S694" s="6579"/>
      <c r="T694" s="2468"/>
      <c r="U694" s="544"/>
      <c r="V694" s="545"/>
      <c r="W694" s="546"/>
      <c r="X694" s="547"/>
      <c r="Y694" s="299" t="s">
        <v>193</v>
      </c>
      <c r="Z694" s="277"/>
      <c r="AA694" s="277"/>
      <c r="AB694" s="187"/>
    </row>
    <row r="695" spans="1:29" ht="20.100000000000001" customHeight="1">
      <c r="A695" s="11"/>
      <c r="B695" s="1360"/>
      <c r="C695" s="5598"/>
      <c r="D695" s="9598" t="s">
        <v>146</v>
      </c>
      <c r="E695" s="9600"/>
      <c r="F695" s="492" t="s">
        <v>420</v>
      </c>
      <c r="G695" s="666"/>
      <c r="H695" s="684"/>
      <c r="I695" s="9582" t="s">
        <v>147</v>
      </c>
      <c r="J695" s="9583"/>
      <c r="K695" s="492" t="s">
        <v>344</v>
      </c>
      <c r="L695" s="6774" t="s">
        <v>168</v>
      </c>
      <c r="M695" s="7250" t="s">
        <v>641</v>
      </c>
      <c r="N695" s="6826" t="s">
        <v>168</v>
      </c>
      <c r="O695" s="7240" t="s">
        <v>641</v>
      </c>
      <c r="P695" s="6837" t="s">
        <v>168</v>
      </c>
      <c r="Q695" s="7240" t="s">
        <v>641</v>
      </c>
      <c r="R695" s="6659" t="s">
        <v>31</v>
      </c>
      <c r="S695" s="6538"/>
      <c r="T695" s="2468"/>
      <c r="U695" s="544"/>
      <c r="V695" s="545"/>
      <c r="W695" s="546"/>
      <c r="X695" s="547"/>
      <c r="Y695" s="299" t="s">
        <v>193</v>
      </c>
      <c r="Z695" s="277"/>
      <c r="AA695" s="277"/>
      <c r="AB695" s="187"/>
    </row>
    <row r="696" spans="1:29" ht="20.100000000000001" customHeight="1">
      <c r="A696" s="11"/>
      <c r="B696" s="1360"/>
      <c r="C696" s="5598"/>
      <c r="D696" s="9598" t="s">
        <v>149</v>
      </c>
      <c r="E696" s="9600"/>
      <c r="F696" s="492" t="s">
        <v>420</v>
      </c>
      <c r="G696" s="666"/>
      <c r="H696" s="684"/>
      <c r="I696" s="9582" t="s">
        <v>150</v>
      </c>
      <c r="J696" s="9583"/>
      <c r="K696" s="492" t="s">
        <v>344</v>
      </c>
      <c r="L696" s="6753"/>
      <c r="M696" s="7249"/>
      <c r="N696" s="6842"/>
      <c r="O696" s="7377"/>
      <c r="P696" s="6936"/>
      <c r="Q696" s="7469"/>
      <c r="R696" s="6659" t="s">
        <v>31</v>
      </c>
      <c r="S696" s="6579"/>
      <c r="T696" s="2468"/>
      <c r="U696" s="544"/>
      <c r="V696" s="545"/>
      <c r="W696" s="546"/>
      <c r="X696" s="547"/>
      <c r="Y696" s="299" t="s">
        <v>193</v>
      </c>
      <c r="Z696" s="277"/>
      <c r="AA696" s="277"/>
      <c r="AB696" s="187"/>
    </row>
    <row r="697" spans="1:29" ht="20.100000000000001" customHeight="1">
      <c r="A697" s="11"/>
      <c r="B697" s="1360"/>
      <c r="C697" s="5598"/>
      <c r="D697" s="9584" t="s">
        <v>541</v>
      </c>
      <c r="E697" s="9585"/>
      <c r="F697" s="492" t="s">
        <v>420</v>
      </c>
      <c r="G697" s="358"/>
      <c r="H697" s="643"/>
      <c r="I697" s="9584" t="s">
        <v>542</v>
      </c>
      <c r="J697" s="9585"/>
      <c r="K697" s="492" t="s">
        <v>344</v>
      </c>
      <c r="L697" s="6763" t="str">
        <f>IF(COUNTBLANK(L698:L703)&gt;0,"미취합법인有",SUM(L698:L703))</f>
        <v>미취합법인有</v>
      </c>
      <c r="M697" s="7233"/>
      <c r="N697" s="6847" t="str">
        <f>IF(COUNTBLANK(N698:N703)&gt;0,"미취합법인有",SUM(N698:N703))</f>
        <v>미취합법인有</v>
      </c>
      <c r="O697" s="7236"/>
      <c r="P697" s="6913" t="str">
        <f>IF(COUNTBLANK(P698:P703)&gt;0,"미취합법인有",SUM(P698:P703))</f>
        <v>미취합법인有</v>
      </c>
      <c r="Q697" s="7463"/>
      <c r="R697" s="6659" t="s">
        <v>31</v>
      </c>
      <c r="S697" s="6561"/>
      <c r="T697" s="2468"/>
      <c r="U697" s="544"/>
      <c r="V697" s="545" t="s">
        <v>189</v>
      </c>
      <c r="W697" s="547"/>
      <c r="X697" s="547"/>
      <c r="Y697" s="299" t="s">
        <v>193</v>
      </c>
      <c r="Z697" s="277" t="s">
        <v>524</v>
      </c>
      <c r="AA697" s="265"/>
      <c r="AB697" s="187"/>
      <c r="AC697" s="6305"/>
    </row>
    <row r="698" spans="1:29" ht="20.100000000000001" customHeight="1">
      <c r="A698" s="11"/>
      <c r="B698" s="1360"/>
      <c r="C698" s="5598"/>
      <c r="D698" s="9598" t="s">
        <v>134</v>
      </c>
      <c r="E698" s="9600"/>
      <c r="F698" s="492" t="s">
        <v>420</v>
      </c>
      <c r="G698" s="666"/>
      <c r="H698" s="684"/>
      <c r="I698" s="9579" t="s">
        <v>135</v>
      </c>
      <c r="J698" s="9581"/>
      <c r="K698" s="492" t="s">
        <v>344</v>
      </c>
      <c r="L698" s="6754"/>
      <c r="M698" s="7250" t="s">
        <v>369</v>
      </c>
      <c r="N698" s="6826"/>
      <c r="O698" s="7250" t="s">
        <v>369</v>
      </c>
      <c r="P698" s="6826"/>
      <c r="Q698" s="7250" t="s">
        <v>369</v>
      </c>
      <c r="R698" s="6659" t="s">
        <v>31</v>
      </c>
      <c r="S698" s="6557"/>
      <c r="T698" s="2468"/>
      <c r="U698" s="544"/>
      <c r="V698" s="545"/>
      <c r="W698" s="546"/>
      <c r="X698" s="547"/>
      <c r="Y698" s="299" t="s">
        <v>193</v>
      </c>
      <c r="Z698" s="277"/>
      <c r="AA698" s="277"/>
      <c r="AB698" s="187"/>
    </row>
    <row r="699" spans="1:29" ht="20.100000000000001" customHeight="1">
      <c r="A699" s="11"/>
      <c r="B699" s="1360"/>
      <c r="C699" s="5598"/>
      <c r="D699" s="9598" t="s">
        <v>137</v>
      </c>
      <c r="E699" s="9600"/>
      <c r="F699" s="492" t="s">
        <v>420</v>
      </c>
      <c r="G699" s="666"/>
      <c r="H699" s="684"/>
      <c r="I699" s="9579" t="s">
        <v>138</v>
      </c>
      <c r="J699" s="9581"/>
      <c r="K699" s="492" t="s">
        <v>344</v>
      </c>
      <c r="L699" s="6753"/>
      <c r="M699" s="7249"/>
      <c r="N699" s="6842"/>
      <c r="O699" s="7377"/>
      <c r="P699" s="6936"/>
      <c r="Q699" s="7469"/>
      <c r="R699" s="6659" t="s">
        <v>31</v>
      </c>
      <c r="S699" s="6579"/>
      <c r="T699" s="2468"/>
      <c r="U699" s="544"/>
      <c r="V699" s="545"/>
      <c r="W699" s="546"/>
      <c r="X699" s="547"/>
      <c r="Y699" s="299" t="s">
        <v>193</v>
      </c>
      <c r="Z699" s="277"/>
      <c r="AA699" s="277"/>
      <c r="AB699" s="187"/>
    </row>
    <row r="700" spans="1:29" ht="20.100000000000001" customHeight="1">
      <c r="A700" s="11"/>
      <c r="B700" s="1360"/>
      <c r="C700" s="5598"/>
      <c r="D700" s="9598" t="s">
        <v>140</v>
      </c>
      <c r="E700" s="9600"/>
      <c r="F700" s="492" t="s">
        <v>420</v>
      </c>
      <c r="G700" s="666"/>
      <c r="H700" s="684"/>
      <c r="I700" s="9582" t="s">
        <v>141</v>
      </c>
      <c r="J700" s="9583"/>
      <c r="K700" s="492" t="s">
        <v>344</v>
      </c>
      <c r="L700" s="6753"/>
      <c r="M700" s="7249"/>
      <c r="N700" s="6842"/>
      <c r="O700" s="7377"/>
      <c r="P700" s="6936"/>
      <c r="Q700" s="7469"/>
      <c r="R700" s="6659" t="s">
        <v>31</v>
      </c>
      <c r="S700" s="6579"/>
      <c r="T700" s="2468"/>
      <c r="U700" s="544"/>
      <c r="V700" s="545"/>
      <c r="W700" s="546"/>
      <c r="X700" s="547"/>
      <c r="Y700" s="299" t="s">
        <v>193</v>
      </c>
      <c r="Z700" s="277"/>
      <c r="AA700" s="277"/>
      <c r="AB700" s="187"/>
    </row>
    <row r="701" spans="1:29" ht="20.100000000000001" customHeight="1">
      <c r="A701" s="11"/>
      <c r="B701" s="1360"/>
      <c r="C701" s="5598"/>
      <c r="D701" s="9598" t="s">
        <v>143</v>
      </c>
      <c r="E701" s="9600"/>
      <c r="F701" s="492" t="s">
        <v>420</v>
      </c>
      <c r="G701" s="666"/>
      <c r="H701" s="684"/>
      <c r="I701" s="9582" t="s">
        <v>144</v>
      </c>
      <c r="J701" s="9583"/>
      <c r="K701" s="492" t="s">
        <v>344</v>
      </c>
      <c r="L701" s="6753"/>
      <c r="M701" s="7249"/>
      <c r="N701" s="6842"/>
      <c r="O701" s="7377"/>
      <c r="P701" s="6936"/>
      <c r="Q701" s="7469"/>
      <c r="R701" s="6659" t="s">
        <v>31</v>
      </c>
      <c r="S701" s="6579"/>
      <c r="T701" s="2468"/>
      <c r="U701" s="544"/>
      <c r="V701" s="545"/>
      <c r="W701" s="546"/>
      <c r="X701" s="547"/>
      <c r="Y701" s="299" t="s">
        <v>193</v>
      </c>
      <c r="Z701" s="277"/>
      <c r="AA701" s="277"/>
      <c r="AB701" s="187"/>
    </row>
    <row r="702" spans="1:29" ht="20.100000000000001" customHeight="1">
      <c r="A702" s="11"/>
      <c r="B702" s="1360"/>
      <c r="C702" s="5598"/>
      <c r="D702" s="9598" t="s">
        <v>146</v>
      </c>
      <c r="E702" s="9600"/>
      <c r="F702" s="492" t="s">
        <v>420</v>
      </c>
      <c r="G702" s="666"/>
      <c r="H702" s="684"/>
      <c r="I702" s="9582" t="s">
        <v>147</v>
      </c>
      <c r="J702" s="9583"/>
      <c r="K702" s="492" t="s">
        <v>344</v>
      </c>
      <c r="L702" s="6774" t="s">
        <v>168</v>
      </c>
      <c r="M702" s="7250" t="s">
        <v>641</v>
      </c>
      <c r="N702" s="6826" t="s">
        <v>168</v>
      </c>
      <c r="O702" s="7240" t="s">
        <v>641</v>
      </c>
      <c r="P702" s="6837" t="s">
        <v>168</v>
      </c>
      <c r="Q702" s="7240" t="s">
        <v>641</v>
      </c>
      <c r="R702" s="6659" t="s">
        <v>31</v>
      </c>
      <c r="S702" s="6538"/>
      <c r="T702" s="2468"/>
      <c r="U702" s="544"/>
      <c r="V702" s="545"/>
      <c r="W702" s="546"/>
      <c r="X702" s="547"/>
      <c r="Y702" s="299" t="s">
        <v>193</v>
      </c>
      <c r="Z702" s="277"/>
      <c r="AA702" s="277"/>
      <c r="AB702" s="187"/>
    </row>
    <row r="703" spans="1:29" ht="20.100000000000001" customHeight="1" thickBot="1">
      <c r="A703" s="11"/>
      <c r="B703" s="1360"/>
      <c r="C703" s="5598"/>
      <c r="D703" s="9598" t="s">
        <v>149</v>
      </c>
      <c r="E703" s="9600"/>
      <c r="F703" s="492" t="s">
        <v>420</v>
      </c>
      <c r="G703" s="6161"/>
      <c r="H703" s="4693"/>
      <c r="I703" s="9582" t="s">
        <v>150</v>
      </c>
      <c r="J703" s="9583"/>
      <c r="K703" s="492" t="s">
        <v>344</v>
      </c>
      <c r="L703" s="6753"/>
      <c r="M703" s="7249"/>
      <c r="N703" s="6842"/>
      <c r="O703" s="7377"/>
      <c r="P703" s="6936"/>
      <c r="Q703" s="7471"/>
      <c r="R703" s="6665" t="s">
        <v>31</v>
      </c>
      <c r="S703" s="6579"/>
      <c r="T703" s="2468"/>
      <c r="U703" s="544"/>
      <c r="V703" s="545"/>
      <c r="W703" s="546"/>
      <c r="X703" s="547"/>
      <c r="Y703" s="299" t="s">
        <v>193</v>
      </c>
      <c r="Z703" s="277"/>
      <c r="AA703" s="277"/>
      <c r="AB703" s="187"/>
    </row>
    <row r="704" spans="1:29" ht="27" thickBot="1">
      <c r="A704" s="11"/>
      <c r="B704" s="123" t="s">
        <v>543</v>
      </c>
      <c r="C704" s="124"/>
      <c r="D704" s="124"/>
      <c r="E704" s="124"/>
      <c r="F704" s="124"/>
      <c r="G704" s="124"/>
      <c r="H704" s="124"/>
      <c r="I704" s="124"/>
      <c r="J704" s="124"/>
      <c r="K704" s="124"/>
      <c r="L704" s="6783"/>
      <c r="M704" s="7268"/>
      <c r="N704" s="6862"/>
      <c r="O704" s="7268"/>
      <c r="P704" s="6862"/>
      <c r="Q704" s="7268"/>
      <c r="R704" s="6662"/>
      <c r="S704" s="6634"/>
      <c r="T704" s="80"/>
      <c r="U704" s="432"/>
      <c r="V704" s="1641"/>
      <c r="W704" s="1641"/>
      <c r="X704" s="1641"/>
      <c r="Y704" s="1641"/>
      <c r="Z704" s="328"/>
      <c r="AA704" s="328"/>
      <c r="AB704" s="329"/>
    </row>
    <row r="705" spans="1:28" ht="20.100000000000001" customHeight="1">
      <c r="A705" s="11"/>
      <c r="B705" s="1359"/>
      <c r="C705" s="9682" t="s">
        <v>544</v>
      </c>
      <c r="D705" s="9670"/>
      <c r="E705" s="9683"/>
      <c r="F705" s="492" t="s">
        <v>33</v>
      </c>
      <c r="G705" s="6162"/>
      <c r="H705" s="9702" t="s">
        <v>545</v>
      </c>
      <c r="I705" s="9670"/>
      <c r="J705" s="9683"/>
      <c r="K705" s="492" t="s">
        <v>35</v>
      </c>
      <c r="L705" s="6763">
        <f>IF(COUNTBLANK(L706:L711)&gt;0,"미취합법인有",SUM(L706:L711))</f>
        <v>0</v>
      </c>
      <c r="M705" s="7233"/>
      <c r="N705" s="6847">
        <f>IF(COUNTBLANK(N706:N711)&gt;0,"미취합법인有",SUM(N706:N711))</f>
        <v>0</v>
      </c>
      <c r="O705" s="7353"/>
      <c r="P705" s="6913">
        <f>IF(COUNTBLANK(P706:P711)&gt;0,"미취합법인有",SUM(P706:P711))</f>
        <v>0</v>
      </c>
      <c r="Q705" s="7472"/>
      <c r="R705" s="6661" t="s">
        <v>31</v>
      </c>
      <c r="S705" s="6569"/>
      <c r="T705" s="2468" t="s">
        <v>546</v>
      </c>
      <c r="U705" s="533" t="s">
        <v>545</v>
      </c>
      <c r="V705" s="309" t="s">
        <v>547</v>
      </c>
      <c r="W705" s="547"/>
      <c r="X705" s="547"/>
      <c r="Y705" s="582"/>
      <c r="Z705" s="154" t="s">
        <v>548</v>
      </c>
      <c r="AA705" s="154"/>
      <c r="AB705" s="159" t="s">
        <v>549</v>
      </c>
    </row>
    <row r="706" spans="1:28" ht="19.899999999999999" customHeight="1">
      <c r="A706" s="11"/>
      <c r="B706" s="5590"/>
      <c r="C706" s="9647" t="s">
        <v>134</v>
      </c>
      <c r="D706" s="9648"/>
      <c r="E706" s="9649"/>
      <c r="F706" s="492" t="s">
        <v>33</v>
      </c>
      <c r="G706" s="253"/>
      <c r="H706" s="9579" t="s">
        <v>135</v>
      </c>
      <c r="I706" s="9580"/>
      <c r="J706" s="9581"/>
      <c r="K706" s="5591" t="s">
        <v>35</v>
      </c>
      <c r="L706" s="6761">
        <v>0</v>
      </c>
      <c r="M706" s="7250"/>
      <c r="N706" s="6858">
        <v>0</v>
      </c>
      <c r="O706" s="7356"/>
      <c r="P706" s="6858">
        <v>0</v>
      </c>
      <c r="Q706" s="7356"/>
      <c r="R706" s="6658" t="s">
        <v>31</v>
      </c>
      <c r="S706" s="6557"/>
      <c r="T706" s="1033"/>
      <c r="U706" s="263"/>
      <c r="V706" s="99"/>
      <c r="W706" s="138"/>
      <c r="X706" s="138"/>
      <c r="Y706" s="99"/>
      <c r="Z706" s="264"/>
      <c r="AA706" s="277"/>
      <c r="AB706" s="187"/>
    </row>
    <row r="707" spans="1:28" ht="19.899999999999999" customHeight="1">
      <c r="A707" s="11"/>
      <c r="B707" s="5590"/>
      <c r="C707" s="9647" t="s">
        <v>137</v>
      </c>
      <c r="D707" s="9648"/>
      <c r="E707" s="9649"/>
      <c r="F707" s="492" t="s">
        <v>33</v>
      </c>
      <c r="G707" s="253"/>
      <c r="H707" s="9579" t="s">
        <v>138</v>
      </c>
      <c r="I707" s="9580"/>
      <c r="J707" s="9581"/>
      <c r="K707" s="5591" t="s">
        <v>35</v>
      </c>
      <c r="L707" s="6761">
        <v>0</v>
      </c>
      <c r="M707" s="7250"/>
      <c r="N707" s="6858">
        <v>0</v>
      </c>
      <c r="O707" s="7356"/>
      <c r="P707" s="6858">
        <v>0</v>
      </c>
      <c r="Q707" s="7356"/>
      <c r="R707" s="6658" t="s">
        <v>31</v>
      </c>
      <c r="S707" s="6557"/>
      <c r="T707" s="1033"/>
      <c r="U707" s="263"/>
      <c r="V707" s="99"/>
      <c r="W707" s="138"/>
      <c r="X707" s="138"/>
      <c r="Y707" s="99"/>
      <c r="Z707" s="264"/>
      <c r="AA707" s="277"/>
      <c r="AB707" s="187"/>
    </row>
    <row r="708" spans="1:28" ht="19.899999999999999" customHeight="1">
      <c r="A708" s="11"/>
      <c r="B708" s="5590"/>
      <c r="C708" s="9647" t="s">
        <v>140</v>
      </c>
      <c r="D708" s="9648"/>
      <c r="E708" s="9649"/>
      <c r="F708" s="492" t="s">
        <v>33</v>
      </c>
      <c r="G708" s="253"/>
      <c r="H708" s="9579" t="s">
        <v>141</v>
      </c>
      <c r="I708" s="9580"/>
      <c r="J708" s="9581"/>
      <c r="K708" s="5591" t="s">
        <v>35</v>
      </c>
      <c r="L708" s="6774" t="s">
        <v>168</v>
      </c>
      <c r="M708" s="7250"/>
      <c r="N708" s="6826" t="s">
        <v>168</v>
      </c>
      <c r="O708" s="7356"/>
      <c r="P708" s="6826" t="s">
        <v>168</v>
      </c>
      <c r="Q708" s="7356"/>
      <c r="R708" s="6658" t="s">
        <v>31</v>
      </c>
      <c r="S708" s="6557" t="s">
        <v>209</v>
      </c>
      <c r="T708" s="1033"/>
      <c r="U708" s="263"/>
      <c r="V708" s="99"/>
      <c r="W708" s="138"/>
      <c r="X708" s="138"/>
      <c r="Y708" s="99"/>
      <c r="Z708" s="264"/>
      <c r="AA708" s="277"/>
      <c r="AB708" s="187"/>
    </row>
    <row r="709" spans="1:28" ht="19.899999999999999" customHeight="1">
      <c r="A709" s="11"/>
      <c r="B709" s="5590"/>
      <c r="C709" s="9647" t="s">
        <v>143</v>
      </c>
      <c r="D709" s="9648"/>
      <c r="E709" s="9649"/>
      <c r="F709" s="492" t="s">
        <v>33</v>
      </c>
      <c r="G709" s="253"/>
      <c r="H709" s="9579" t="s">
        <v>144</v>
      </c>
      <c r="I709" s="9580"/>
      <c r="J709" s="9581"/>
      <c r="K709" s="5591" t="s">
        <v>35</v>
      </c>
      <c r="L709" s="6774" t="s">
        <v>168</v>
      </c>
      <c r="M709" s="7250"/>
      <c r="N709" s="6826" t="s">
        <v>168</v>
      </c>
      <c r="O709" s="7356"/>
      <c r="P709" s="6826" t="s">
        <v>168</v>
      </c>
      <c r="Q709" s="7356"/>
      <c r="R709" s="6658" t="s">
        <v>31</v>
      </c>
      <c r="S709" s="6557" t="s">
        <v>209</v>
      </c>
      <c r="T709" s="1033"/>
      <c r="U709" s="263"/>
      <c r="V709" s="99"/>
      <c r="W709" s="138"/>
      <c r="X709" s="138"/>
      <c r="Y709" s="99"/>
      <c r="Z709" s="264"/>
      <c r="AA709" s="277"/>
      <c r="AB709" s="187"/>
    </row>
    <row r="710" spans="1:28" ht="19.899999999999999" customHeight="1">
      <c r="A710" s="11"/>
      <c r="B710" s="5590"/>
      <c r="C710" s="9647" t="s">
        <v>146</v>
      </c>
      <c r="D710" s="9648"/>
      <c r="E710" s="9649"/>
      <c r="F710" s="492" t="s">
        <v>33</v>
      </c>
      <c r="G710" s="253"/>
      <c r="H710" s="9579" t="s">
        <v>147</v>
      </c>
      <c r="I710" s="9580"/>
      <c r="J710" s="9581"/>
      <c r="K710" s="5591" t="s">
        <v>35</v>
      </c>
      <c r="L710" s="6774" t="s">
        <v>168</v>
      </c>
      <c r="M710" s="7250"/>
      <c r="N710" s="6826" t="s">
        <v>168</v>
      </c>
      <c r="O710" s="7356"/>
      <c r="P710" s="6826" t="s">
        <v>168</v>
      </c>
      <c r="Q710" s="7356"/>
      <c r="R710" s="6658" t="s">
        <v>31</v>
      </c>
      <c r="S710" s="6557" t="s">
        <v>209</v>
      </c>
      <c r="T710" s="1033"/>
      <c r="U710" s="263"/>
      <c r="V710" s="99"/>
      <c r="W710" s="138"/>
      <c r="X710" s="138"/>
      <c r="Y710" s="99"/>
      <c r="Z710" s="264"/>
      <c r="AA710" s="277"/>
      <c r="AB710" s="187"/>
    </row>
    <row r="711" spans="1:28" ht="19.899999999999999" customHeight="1">
      <c r="A711" s="11"/>
      <c r="B711" s="5590"/>
      <c r="C711" s="9647" t="s">
        <v>149</v>
      </c>
      <c r="D711" s="9648"/>
      <c r="E711" s="9649"/>
      <c r="F711" s="492" t="s">
        <v>33</v>
      </c>
      <c r="G711" s="253"/>
      <c r="H711" s="9579" t="s">
        <v>150</v>
      </c>
      <c r="I711" s="9580"/>
      <c r="J711" s="9581"/>
      <c r="K711" s="5591" t="s">
        <v>35</v>
      </c>
      <c r="L711" s="6774" t="s">
        <v>168</v>
      </c>
      <c r="M711" s="7250"/>
      <c r="N711" s="6826" t="s">
        <v>168</v>
      </c>
      <c r="O711" s="7356"/>
      <c r="P711" s="6826" t="s">
        <v>168</v>
      </c>
      <c r="Q711" s="7356"/>
      <c r="R711" s="6658" t="s">
        <v>31</v>
      </c>
      <c r="S711" s="6557" t="s">
        <v>209</v>
      </c>
      <c r="T711" s="1033"/>
      <c r="U711" s="263"/>
      <c r="V711" s="99"/>
      <c r="W711" s="138"/>
      <c r="X711" s="138"/>
      <c r="Y711" s="99"/>
      <c r="Z711" s="264"/>
      <c r="AA711" s="277"/>
      <c r="AB711" s="187"/>
    </row>
    <row r="712" spans="1:28" ht="17.45" customHeight="1">
      <c r="A712" s="11"/>
      <c r="B712" s="1360"/>
      <c r="C712" s="9656" t="s">
        <v>550</v>
      </c>
      <c r="D712" s="9587"/>
      <c r="E712" s="9588"/>
      <c r="F712" s="492" t="s">
        <v>33</v>
      </c>
      <c r="G712" s="184"/>
      <c r="H712" s="9586" t="s">
        <v>551</v>
      </c>
      <c r="I712" s="9587"/>
      <c r="J712" s="9588"/>
      <c r="K712" s="492" t="s">
        <v>35</v>
      </c>
      <c r="L712" s="6763">
        <f>IF(COUNTBLANK(L713:L718)&gt;0,"미취합법인有",SUM(L713:L718))</f>
        <v>97.029875194958805</v>
      </c>
      <c r="M712" s="7233"/>
      <c r="N712" s="6847">
        <f>IF(COUNTBLANK(N713:N718)&gt;0,"미취합법인有",SUM(N713:N718))</f>
        <v>297.38362311171784</v>
      </c>
      <c r="O712" s="7353"/>
      <c r="P712" s="6913">
        <f>IF(COUNTBLANK(P713:P718)&gt;0,"미취합법인有",SUM(P713:P718))</f>
        <v>130.59983577152082</v>
      </c>
      <c r="Q712" s="7463"/>
      <c r="R712" s="6658" t="s">
        <v>31</v>
      </c>
      <c r="S712" s="6561"/>
      <c r="T712" s="2468" t="s">
        <v>552</v>
      </c>
      <c r="U712" s="276" t="s">
        <v>553</v>
      </c>
      <c r="V712" s="309" t="s">
        <v>554</v>
      </c>
      <c r="W712" s="547"/>
      <c r="X712" s="547"/>
      <c r="Y712" s="582"/>
      <c r="Z712" s="154" t="s">
        <v>555</v>
      </c>
      <c r="AA712" s="154"/>
      <c r="AB712" s="159"/>
    </row>
    <row r="713" spans="1:28" ht="19.899999999999999" customHeight="1">
      <c r="A713" s="11"/>
      <c r="B713" s="5590"/>
      <c r="C713" s="9647" t="s">
        <v>134</v>
      </c>
      <c r="D713" s="9648"/>
      <c r="E713" s="9649"/>
      <c r="F713" s="492" t="s">
        <v>33</v>
      </c>
      <c r="G713" s="253"/>
      <c r="H713" s="9579" t="s">
        <v>135</v>
      </c>
      <c r="I713" s="9580"/>
      <c r="J713" s="9581"/>
      <c r="K713" s="5591" t="s">
        <v>35</v>
      </c>
      <c r="L713" s="6754">
        <v>74</v>
      </c>
      <c r="M713" s="7259" t="s">
        <v>716</v>
      </c>
      <c r="N713" s="6826">
        <v>276</v>
      </c>
      <c r="O713" s="7259" t="s">
        <v>717</v>
      </c>
      <c r="P713" s="6826">
        <v>95</v>
      </c>
      <c r="Q713" s="7311" t="s">
        <v>718</v>
      </c>
      <c r="R713" s="6658" t="s">
        <v>31</v>
      </c>
      <c r="S713" s="6572"/>
      <c r="T713" s="1033"/>
      <c r="U713" s="263"/>
      <c r="V713" s="99"/>
      <c r="W713" s="138"/>
      <c r="X713" s="138"/>
      <c r="Y713" s="99"/>
      <c r="Z713" s="264"/>
      <c r="AA713" s="277"/>
      <c r="AB713" s="187"/>
    </row>
    <row r="714" spans="1:28" ht="19.899999999999999" customHeight="1">
      <c r="A714" s="11"/>
      <c r="B714" s="5590"/>
      <c r="C714" s="9647" t="s">
        <v>137</v>
      </c>
      <c r="D714" s="9648"/>
      <c r="E714" s="9649"/>
      <c r="F714" s="492" t="s">
        <v>33</v>
      </c>
      <c r="G714" s="253"/>
      <c r="H714" s="9579" t="s">
        <v>138</v>
      </c>
      <c r="I714" s="9580"/>
      <c r="J714" s="9581"/>
      <c r="K714" s="5591" t="s">
        <v>35</v>
      </c>
      <c r="L714" s="6774" t="s">
        <v>168</v>
      </c>
      <c r="M714" s="7250"/>
      <c r="N714" s="6826" t="s">
        <v>168</v>
      </c>
      <c r="O714" s="7356"/>
      <c r="P714" s="6826" t="s">
        <v>168</v>
      </c>
      <c r="Q714" s="7356"/>
      <c r="R714" s="6658" t="s">
        <v>31</v>
      </c>
      <c r="S714" s="6557"/>
      <c r="T714" s="1033"/>
      <c r="U714" s="263"/>
      <c r="V714" s="99"/>
      <c r="W714" s="138"/>
      <c r="X714" s="138"/>
      <c r="Y714" s="99"/>
      <c r="Z714" s="264"/>
      <c r="AA714" s="277"/>
      <c r="AB714" s="187"/>
    </row>
    <row r="715" spans="1:28" ht="19.899999999999999" customHeight="1">
      <c r="A715" s="11"/>
      <c r="B715" s="5590"/>
      <c r="C715" s="9647" t="s">
        <v>140</v>
      </c>
      <c r="D715" s="9648"/>
      <c r="E715" s="9649"/>
      <c r="F715" s="492" t="s">
        <v>33</v>
      </c>
      <c r="G715" s="253"/>
      <c r="H715" s="9579" t="s">
        <v>141</v>
      </c>
      <c r="I715" s="9580"/>
      <c r="J715" s="9581"/>
      <c r="K715" s="5591" t="s">
        <v>35</v>
      </c>
      <c r="L715" s="6754">
        <v>23.029875194958798</v>
      </c>
      <c r="M715" s="7250"/>
      <c r="N715" s="6826">
        <v>21.383623111717842</v>
      </c>
      <c r="O715" s="7356"/>
      <c r="P715" s="6826">
        <v>35.59983577152083</v>
      </c>
      <c r="Q715" s="7356"/>
      <c r="R715" s="6658" t="s">
        <v>31</v>
      </c>
      <c r="S715" s="6557"/>
      <c r="T715" s="1033"/>
      <c r="U715" s="263"/>
      <c r="V715" s="99"/>
      <c r="W715" s="138"/>
      <c r="X715" s="138"/>
      <c r="Y715" s="99"/>
      <c r="Z715" s="264"/>
      <c r="AA715" s="277"/>
      <c r="AB715" s="187"/>
    </row>
    <row r="716" spans="1:28" ht="19.899999999999999" customHeight="1">
      <c r="A716" s="11"/>
      <c r="B716" s="5590"/>
      <c r="C716" s="9647" t="s">
        <v>143</v>
      </c>
      <c r="D716" s="9648"/>
      <c r="E716" s="9649"/>
      <c r="F716" s="492" t="s">
        <v>33</v>
      </c>
      <c r="G716" s="253"/>
      <c r="H716" s="9579" t="s">
        <v>144</v>
      </c>
      <c r="I716" s="9580"/>
      <c r="J716" s="9581"/>
      <c r="K716" s="5591" t="s">
        <v>35</v>
      </c>
      <c r="L716" s="6774" t="s">
        <v>168</v>
      </c>
      <c r="M716" s="7250"/>
      <c r="N716" s="6826" t="s">
        <v>168</v>
      </c>
      <c r="O716" s="7356"/>
      <c r="P716" s="6826" t="s">
        <v>168</v>
      </c>
      <c r="Q716" s="7356"/>
      <c r="R716" s="6658" t="s">
        <v>31</v>
      </c>
      <c r="S716" s="6557"/>
      <c r="T716" s="1033"/>
      <c r="U716" s="263"/>
      <c r="V716" s="99"/>
      <c r="W716" s="138"/>
      <c r="X716" s="138"/>
      <c r="Y716" s="99"/>
      <c r="Z716" s="264"/>
      <c r="AA716" s="277"/>
      <c r="AB716" s="187"/>
    </row>
    <row r="717" spans="1:28" ht="19.899999999999999" customHeight="1">
      <c r="A717" s="11"/>
      <c r="B717" s="5590"/>
      <c r="C717" s="9647" t="s">
        <v>146</v>
      </c>
      <c r="D717" s="9648"/>
      <c r="E717" s="9649"/>
      <c r="F717" s="492" t="s">
        <v>33</v>
      </c>
      <c r="G717" s="253"/>
      <c r="H717" s="9579" t="s">
        <v>147</v>
      </c>
      <c r="I717" s="9580"/>
      <c r="J717" s="9581"/>
      <c r="K717" s="5591" t="s">
        <v>35</v>
      </c>
      <c r="L717" s="6774" t="s">
        <v>168</v>
      </c>
      <c r="M717" s="7250"/>
      <c r="N717" s="6826" t="s">
        <v>168</v>
      </c>
      <c r="O717" s="7356"/>
      <c r="P717" s="6826" t="s">
        <v>168</v>
      </c>
      <c r="Q717" s="7356"/>
      <c r="R717" s="6658" t="s">
        <v>31</v>
      </c>
      <c r="S717" s="6557"/>
      <c r="T717" s="1033"/>
      <c r="U717" s="263"/>
      <c r="V717" s="99"/>
      <c r="W717" s="138"/>
      <c r="X717" s="138"/>
      <c r="Y717" s="99"/>
      <c r="Z717" s="264"/>
      <c r="AA717" s="277"/>
      <c r="AB717" s="187"/>
    </row>
    <row r="718" spans="1:28" ht="19.899999999999999" customHeight="1">
      <c r="A718" s="11"/>
      <c r="B718" s="5590"/>
      <c r="C718" s="9647" t="s">
        <v>149</v>
      </c>
      <c r="D718" s="9648"/>
      <c r="E718" s="9649"/>
      <c r="F718" s="492" t="s">
        <v>33</v>
      </c>
      <c r="G718" s="253"/>
      <c r="H718" s="9579" t="s">
        <v>150</v>
      </c>
      <c r="I718" s="9580"/>
      <c r="J718" s="9581"/>
      <c r="K718" s="5591" t="s">
        <v>35</v>
      </c>
      <c r="L718" s="6774" t="s">
        <v>168</v>
      </c>
      <c r="M718" s="7250"/>
      <c r="N718" s="6826" t="s">
        <v>168</v>
      </c>
      <c r="O718" s="7356"/>
      <c r="P718" s="6826" t="s">
        <v>168</v>
      </c>
      <c r="Q718" s="7356"/>
      <c r="R718" s="6658" t="s">
        <v>31</v>
      </c>
      <c r="S718" s="6557"/>
      <c r="T718" s="1033"/>
      <c r="U718" s="263"/>
      <c r="V718" s="99"/>
      <c r="W718" s="138"/>
      <c r="X718" s="138"/>
      <c r="Y718" s="99"/>
      <c r="Z718" s="264"/>
      <c r="AA718" s="277"/>
      <c r="AB718" s="187"/>
    </row>
    <row r="719" spans="1:28" ht="20.100000000000001" customHeight="1">
      <c r="A719" s="11"/>
      <c r="B719" s="1360"/>
      <c r="C719" s="9656" t="s">
        <v>556</v>
      </c>
      <c r="D719" s="9587"/>
      <c r="E719" s="9588"/>
      <c r="F719" s="492" t="s">
        <v>557</v>
      </c>
      <c r="G719" s="386"/>
      <c r="H719" s="9586" t="s">
        <v>558</v>
      </c>
      <c r="I719" s="9587"/>
      <c r="J719" s="9588"/>
      <c r="K719" s="492" t="s">
        <v>559</v>
      </c>
      <c r="L719" s="6763">
        <f>IF(COUNTBLANK(L720:L725)&gt;0,"미취합법인有",SUM(L720:L725))</f>
        <v>1</v>
      </c>
      <c r="M719" s="7233"/>
      <c r="N719" s="6847">
        <f>IF(COUNTBLANK(N720:N725)&gt;0,"미취합법인有",SUM(N720:N725))</f>
        <v>1</v>
      </c>
      <c r="O719" s="7353"/>
      <c r="P719" s="6913">
        <f>IF(COUNTBLANK(P720:P725)&gt;0,"미취합법인有",SUM(P720:P725))</f>
        <v>125</v>
      </c>
      <c r="Q719" s="7463"/>
      <c r="R719" s="6658" t="s">
        <v>31</v>
      </c>
      <c r="S719" s="6561" t="s">
        <v>560</v>
      </c>
      <c r="T719" s="2472"/>
      <c r="U719" s="457"/>
      <c r="V719" s="99" t="s">
        <v>189</v>
      </c>
      <c r="W719" s="547"/>
      <c r="X719" s="547"/>
      <c r="Y719" s="99"/>
      <c r="Z719" s="154" t="s">
        <v>561</v>
      </c>
      <c r="AA719" s="154"/>
      <c r="AB719" s="159"/>
    </row>
    <row r="720" spans="1:28" ht="19.899999999999999" customHeight="1">
      <c r="A720" s="11"/>
      <c r="B720" s="5590"/>
      <c r="C720" s="9647" t="s">
        <v>134</v>
      </c>
      <c r="D720" s="9648"/>
      <c r="E720" s="9649"/>
      <c r="F720" s="492" t="s">
        <v>557</v>
      </c>
      <c r="G720" s="253"/>
      <c r="H720" s="9579" t="s">
        <v>135</v>
      </c>
      <c r="I720" s="9580"/>
      <c r="J720" s="9581"/>
      <c r="K720" s="492" t="s">
        <v>559</v>
      </c>
      <c r="L720" s="6754" t="s">
        <v>168</v>
      </c>
      <c r="M720" s="7250"/>
      <c r="N720" s="6826" t="s">
        <v>168</v>
      </c>
      <c r="O720" s="7250"/>
      <c r="P720" s="6826">
        <v>124</v>
      </c>
      <c r="Q720" s="7356"/>
      <c r="R720" s="6658" t="s">
        <v>31</v>
      </c>
      <c r="S720" s="6557" t="s">
        <v>562</v>
      </c>
      <c r="T720" s="1033"/>
      <c r="U720" s="263"/>
      <c r="V720" s="99"/>
      <c r="W720" s="138"/>
      <c r="X720" s="138"/>
      <c r="Y720" s="99"/>
      <c r="Z720" s="264"/>
      <c r="AA720" s="277"/>
      <c r="AB720" s="187"/>
    </row>
    <row r="721" spans="1:28" ht="19.899999999999999" customHeight="1">
      <c r="A721" s="11"/>
      <c r="B721" s="5590"/>
      <c r="C721" s="9647" t="s">
        <v>137</v>
      </c>
      <c r="D721" s="9648"/>
      <c r="E721" s="9649"/>
      <c r="F721" s="492" t="s">
        <v>557</v>
      </c>
      <c r="G721" s="253"/>
      <c r="H721" s="9579" t="s">
        <v>138</v>
      </c>
      <c r="I721" s="9580"/>
      <c r="J721" s="9581"/>
      <c r="K721" s="492" t="s">
        <v>559</v>
      </c>
      <c r="L721" s="6754">
        <v>1</v>
      </c>
      <c r="M721" s="7273"/>
      <c r="N721" s="6826">
        <v>1</v>
      </c>
      <c r="O721" s="7276"/>
      <c r="P721" s="6826">
        <v>1</v>
      </c>
      <c r="Q721" s="7356"/>
      <c r="R721" s="6658" t="s">
        <v>31</v>
      </c>
      <c r="S721" s="6557" t="s">
        <v>2049</v>
      </c>
      <c r="T721" s="1033"/>
      <c r="U721" s="263"/>
      <c r="V721" s="99"/>
      <c r="W721" s="138"/>
      <c r="X721" s="138"/>
      <c r="Y721" s="99"/>
      <c r="Z721" s="264"/>
      <c r="AA721" s="277"/>
      <c r="AB721" s="187"/>
    </row>
    <row r="722" spans="1:28" ht="19.899999999999999" customHeight="1">
      <c r="A722" s="11"/>
      <c r="B722" s="5590"/>
      <c r="C722" s="9647" t="s">
        <v>140</v>
      </c>
      <c r="D722" s="9648"/>
      <c r="E722" s="9649"/>
      <c r="F722" s="492" t="s">
        <v>557</v>
      </c>
      <c r="G722" s="253"/>
      <c r="H722" s="9579" t="s">
        <v>141</v>
      </c>
      <c r="I722" s="9580"/>
      <c r="J722" s="9581"/>
      <c r="K722" s="492" t="s">
        <v>559</v>
      </c>
      <c r="L722" s="6774" t="s">
        <v>168</v>
      </c>
      <c r="M722" s="7250"/>
      <c r="N722" s="6826" t="s">
        <v>168</v>
      </c>
      <c r="O722" s="7356"/>
      <c r="P722" s="6826" t="s">
        <v>168</v>
      </c>
      <c r="Q722" s="7356"/>
      <c r="R722" s="6658" t="s">
        <v>31</v>
      </c>
      <c r="S722" s="6557"/>
      <c r="T722" s="1033"/>
      <c r="U722" s="263"/>
      <c r="V722" s="99"/>
      <c r="W722" s="138"/>
      <c r="X722" s="138"/>
      <c r="Y722" s="99"/>
      <c r="Z722" s="264"/>
      <c r="AA722" s="277"/>
      <c r="AB722" s="187"/>
    </row>
    <row r="723" spans="1:28" ht="19.899999999999999" customHeight="1">
      <c r="A723" s="11"/>
      <c r="B723" s="5590"/>
      <c r="C723" s="9647" t="s">
        <v>143</v>
      </c>
      <c r="D723" s="9648"/>
      <c r="E723" s="9649"/>
      <c r="F723" s="492" t="s">
        <v>557</v>
      </c>
      <c r="G723" s="253"/>
      <c r="H723" s="9579" t="s">
        <v>144</v>
      </c>
      <c r="I723" s="9580"/>
      <c r="J723" s="9581"/>
      <c r="K723" s="492" t="s">
        <v>559</v>
      </c>
      <c r="L723" s="6774" t="s">
        <v>168</v>
      </c>
      <c r="M723" s="7250"/>
      <c r="N723" s="6826" t="s">
        <v>168</v>
      </c>
      <c r="O723" s="7356"/>
      <c r="P723" s="6826" t="s">
        <v>168</v>
      </c>
      <c r="Q723" s="7356"/>
      <c r="R723" s="6658" t="s">
        <v>31</v>
      </c>
      <c r="S723" s="6557"/>
      <c r="T723" s="1033"/>
      <c r="U723" s="263"/>
      <c r="V723" s="99"/>
      <c r="W723" s="138"/>
      <c r="X723" s="138"/>
      <c r="Y723" s="99"/>
      <c r="Z723" s="264"/>
      <c r="AA723" s="277"/>
      <c r="AB723" s="187"/>
    </row>
    <row r="724" spans="1:28" ht="19.899999999999999" customHeight="1">
      <c r="A724" s="11"/>
      <c r="B724" s="5590"/>
      <c r="C724" s="9647" t="s">
        <v>146</v>
      </c>
      <c r="D724" s="9648"/>
      <c r="E724" s="9649"/>
      <c r="F724" s="492" t="s">
        <v>557</v>
      </c>
      <c r="G724" s="253"/>
      <c r="H724" s="9579" t="s">
        <v>147</v>
      </c>
      <c r="I724" s="9580"/>
      <c r="J724" s="9581"/>
      <c r="K724" s="492" t="s">
        <v>559</v>
      </c>
      <c r="L724" s="6774" t="s">
        <v>168</v>
      </c>
      <c r="M724" s="7274"/>
      <c r="N724" s="6826" t="s">
        <v>168</v>
      </c>
      <c r="O724" s="7381"/>
      <c r="P724" s="6826" t="s">
        <v>168</v>
      </c>
      <c r="Q724" s="7381"/>
      <c r="R724" s="6658" t="s">
        <v>31</v>
      </c>
      <c r="S724" s="6557"/>
      <c r="T724" s="1033"/>
      <c r="U724" s="263"/>
      <c r="V724" s="99"/>
      <c r="W724" s="138"/>
      <c r="X724" s="138"/>
      <c r="Y724" s="99"/>
      <c r="Z724" s="264"/>
      <c r="AA724" s="277"/>
      <c r="AB724" s="187"/>
    </row>
    <row r="725" spans="1:28" ht="19.899999999999999" customHeight="1">
      <c r="A725" s="11"/>
      <c r="B725" s="5590"/>
      <c r="C725" s="9647" t="s">
        <v>149</v>
      </c>
      <c r="D725" s="9648"/>
      <c r="E725" s="9649"/>
      <c r="F725" s="492" t="s">
        <v>557</v>
      </c>
      <c r="G725" s="253"/>
      <c r="H725" s="9579" t="s">
        <v>150</v>
      </c>
      <c r="I725" s="9580"/>
      <c r="J725" s="9581"/>
      <c r="K725" s="492" t="s">
        <v>559</v>
      </c>
      <c r="L725" s="6774" t="s">
        <v>168</v>
      </c>
      <c r="M725" s="7250"/>
      <c r="N725" s="6826" t="s">
        <v>168</v>
      </c>
      <c r="O725" s="7356"/>
      <c r="P725" s="6826" t="s">
        <v>168</v>
      </c>
      <c r="Q725" s="7356"/>
      <c r="R725" s="6658" t="s">
        <v>31</v>
      </c>
      <c r="S725" s="6557"/>
      <c r="T725" s="1033"/>
      <c r="U725" s="263"/>
      <c r="V725" s="99"/>
      <c r="W725" s="138"/>
      <c r="X725" s="138"/>
      <c r="Y725" s="99"/>
      <c r="Z725" s="264"/>
      <c r="AA725" s="277"/>
      <c r="AB725" s="187"/>
    </row>
    <row r="726" spans="1:28" ht="20.100000000000001" customHeight="1">
      <c r="A726" s="11"/>
      <c r="B726" s="1360"/>
      <c r="C726" s="9656" t="s">
        <v>563</v>
      </c>
      <c r="D726" s="9587"/>
      <c r="E726" s="9588"/>
      <c r="F726" s="492" t="s">
        <v>557</v>
      </c>
      <c r="G726" s="386"/>
      <c r="H726" s="9586" t="s">
        <v>564</v>
      </c>
      <c r="I726" s="9587"/>
      <c r="J726" s="9588"/>
      <c r="K726" s="492" t="s">
        <v>559</v>
      </c>
      <c r="L726" s="6763" t="str">
        <f>IF(COUNTBLANK(L727:L732)&gt;0,"미취합법인有",SUM(L727:L732))</f>
        <v>미취합법인有</v>
      </c>
      <c r="M726" s="7233"/>
      <c r="N726" s="6847" t="str">
        <f>IF(COUNTBLANK(N727:N732)&gt;0,"미취합법인有",SUM(N727:N732))</f>
        <v>미취합법인有</v>
      </c>
      <c r="O726" s="7353"/>
      <c r="P726" s="6913" t="str">
        <f>IF(COUNTBLANK(P727:P732)&gt;0,"미취합법인有",SUM(P727:P732))</f>
        <v>미취합법인有</v>
      </c>
      <c r="Q726" s="7463"/>
      <c r="R726" s="6658" t="s">
        <v>31</v>
      </c>
      <c r="S726" s="6561"/>
      <c r="T726" s="2468" t="s">
        <v>565</v>
      </c>
      <c r="U726" s="276" t="s">
        <v>566</v>
      </c>
      <c r="V726" s="99" t="s">
        <v>567</v>
      </c>
      <c r="W726" s="547"/>
      <c r="X726" s="547"/>
      <c r="Y726" s="99"/>
      <c r="Z726" s="154" t="s">
        <v>568</v>
      </c>
      <c r="AA726" s="154"/>
      <c r="AB726" s="159" t="s">
        <v>569</v>
      </c>
    </row>
    <row r="727" spans="1:28" ht="19.899999999999999" customHeight="1">
      <c r="A727" s="11"/>
      <c r="B727" s="5590"/>
      <c r="C727" s="9647" t="s">
        <v>134</v>
      </c>
      <c r="D727" s="9648"/>
      <c r="E727" s="9649"/>
      <c r="F727" s="492" t="s">
        <v>557</v>
      </c>
      <c r="G727" s="253"/>
      <c r="H727" s="9579" t="s">
        <v>135</v>
      </c>
      <c r="I727" s="9580"/>
      <c r="J727" s="9581"/>
      <c r="K727" s="492" t="s">
        <v>559</v>
      </c>
      <c r="L727" s="6754">
        <v>0</v>
      </c>
      <c r="M727" s="7250"/>
      <c r="N727" s="6826">
        <v>0</v>
      </c>
      <c r="O727" s="7250"/>
      <c r="P727" s="6826">
        <v>0</v>
      </c>
      <c r="Q727" s="7356"/>
      <c r="R727" s="6658" t="s">
        <v>31</v>
      </c>
      <c r="S727" s="6557"/>
      <c r="T727" s="1033"/>
      <c r="U727" s="263"/>
      <c r="V727" s="99"/>
      <c r="W727" s="138"/>
      <c r="X727" s="138"/>
      <c r="Y727" s="99"/>
      <c r="Z727" s="264"/>
      <c r="AA727" s="277"/>
      <c r="AB727" s="187"/>
    </row>
    <row r="728" spans="1:28" ht="19.899999999999999" customHeight="1">
      <c r="A728" s="11"/>
      <c r="B728" s="5590"/>
      <c r="C728" s="9647" t="s">
        <v>137</v>
      </c>
      <c r="D728" s="9648"/>
      <c r="E728" s="9649"/>
      <c r="F728" s="492" t="s">
        <v>557</v>
      </c>
      <c r="G728" s="253"/>
      <c r="H728" s="9579" t="s">
        <v>138</v>
      </c>
      <c r="I728" s="9580"/>
      <c r="J728" s="9581"/>
      <c r="K728" s="492" t="s">
        <v>559</v>
      </c>
      <c r="L728" s="6754">
        <v>0</v>
      </c>
      <c r="M728" s="7273"/>
      <c r="N728" s="6826">
        <v>0</v>
      </c>
      <c r="O728" s="7276"/>
      <c r="P728" s="6826">
        <v>0</v>
      </c>
      <c r="Q728" s="7356"/>
      <c r="R728" s="6658" t="s">
        <v>31</v>
      </c>
      <c r="S728" s="6557"/>
      <c r="T728" s="1033"/>
      <c r="U728" s="263"/>
      <c r="V728" s="99"/>
      <c r="W728" s="138"/>
      <c r="X728" s="138"/>
      <c r="Y728" s="99"/>
      <c r="Z728" s="264"/>
      <c r="AA728" s="277"/>
      <c r="AB728" s="187"/>
    </row>
    <row r="729" spans="1:28" ht="19.899999999999999" customHeight="1">
      <c r="A729" s="11"/>
      <c r="B729" s="5590"/>
      <c r="C729" s="9647" t="s">
        <v>140</v>
      </c>
      <c r="D729" s="9648"/>
      <c r="E729" s="9649"/>
      <c r="F729" s="492" t="s">
        <v>557</v>
      </c>
      <c r="G729" s="253"/>
      <c r="H729" s="9579" t="s">
        <v>141</v>
      </c>
      <c r="I729" s="9580"/>
      <c r="J729" s="9581"/>
      <c r="K729" s="492" t="s">
        <v>559</v>
      </c>
      <c r="L729" s="6754">
        <v>0</v>
      </c>
      <c r="M729" s="7250"/>
      <c r="N729" s="6826">
        <v>0</v>
      </c>
      <c r="O729" s="7356"/>
      <c r="P729" s="6826">
        <v>0</v>
      </c>
      <c r="Q729" s="7356"/>
      <c r="R729" s="6658" t="s">
        <v>31</v>
      </c>
      <c r="S729" s="6557"/>
      <c r="T729" s="1033"/>
      <c r="U729" s="263"/>
      <c r="V729" s="99"/>
      <c r="W729" s="138"/>
      <c r="X729" s="138"/>
      <c r="Y729" s="99"/>
      <c r="Z729" s="264"/>
      <c r="AA729" s="277"/>
      <c r="AB729" s="187"/>
    </row>
    <row r="730" spans="1:28" ht="19.899999999999999" customHeight="1">
      <c r="A730" s="11"/>
      <c r="B730" s="5590"/>
      <c r="C730" s="9647" t="s">
        <v>143</v>
      </c>
      <c r="D730" s="9648"/>
      <c r="E730" s="9649"/>
      <c r="F730" s="492" t="s">
        <v>557</v>
      </c>
      <c r="G730" s="253"/>
      <c r="H730" s="9579" t="s">
        <v>144</v>
      </c>
      <c r="I730" s="9580"/>
      <c r="J730" s="9581"/>
      <c r="K730" s="492" t="s">
        <v>559</v>
      </c>
      <c r="L730" s="6754"/>
      <c r="M730" s="7259"/>
      <c r="N730" s="6826"/>
      <c r="O730" s="7356"/>
      <c r="P730" s="6826"/>
      <c r="Q730" s="7356"/>
      <c r="R730" s="6658" t="s">
        <v>31</v>
      </c>
      <c r="S730" s="6557"/>
      <c r="T730" s="1033"/>
      <c r="U730" s="263"/>
      <c r="V730" s="99"/>
      <c r="W730" s="138"/>
      <c r="X730" s="138"/>
      <c r="Y730" s="99"/>
      <c r="Z730" s="264"/>
      <c r="AA730" s="277"/>
      <c r="AB730" s="187"/>
    </row>
    <row r="731" spans="1:28" ht="19.899999999999999" customHeight="1">
      <c r="A731" s="11"/>
      <c r="B731" s="5590"/>
      <c r="C731" s="9647" t="s">
        <v>146</v>
      </c>
      <c r="D731" s="9648"/>
      <c r="E731" s="9649"/>
      <c r="F731" s="492" t="s">
        <v>557</v>
      </c>
      <c r="G731" s="253"/>
      <c r="H731" s="9579" t="s">
        <v>147</v>
      </c>
      <c r="I731" s="9580"/>
      <c r="J731" s="9581"/>
      <c r="K731" s="492" t="s">
        <v>559</v>
      </c>
      <c r="L731" s="6774" t="s">
        <v>168</v>
      </c>
      <c r="M731" s="7250" t="s">
        <v>641</v>
      </c>
      <c r="N731" s="6826" t="s">
        <v>168</v>
      </c>
      <c r="O731" s="7356" t="s">
        <v>641</v>
      </c>
      <c r="P731" s="6826" t="s">
        <v>168</v>
      </c>
      <c r="Q731" s="7356" t="s">
        <v>641</v>
      </c>
      <c r="R731" s="6658" t="s">
        <v>31</v>
      </c>
      <c r="S731" s="6557"/>
      <c r="T731" s="1033"/>
      <c r="U731" s="263"/>
      <c r="V731" s="99"/>
      <c r="W731" s="138"/>
      <c r="X731" s="138"/>
      <c r="Y731" s="99"/>
      <c r="Z731" s="264"/>
      <c r="AA731" s="277"/>
      <c r="AB731" s="187"/>
    </row>
    <row r="732" spans="1:28" ht="19.899999999999999" customHeight="1">
      <c r="A732" s="11"/>
      <c r="B732" s="5590"/>
      <c r="C732" s="9647" t="s">
        <v>149</v>
      </c>
      <c r="D732" s="9648"/>
      <c r="E732" s="9649"/>
      <c r="F732" s="492" t="s">
        <v>557</v>
      </c>
      <c r="G732" s="253"/>
      <c r="H732" s="9579" t="s">
        <v>150</v>
      </c>
      <c r="I732" s="9580"/>
      <c r="J732" s="9581"/>
      <c r="K732" s="492" t="s">
        <v>559</v>
      </c>
      <c r="L732" s="6754">
        <v>0</v>
      </c>
      <c r="M732" s="7250"/>
      <c r="N732" s="6826">
        <v>0</v>
      </c>
      <c r="O732" s="7356"/>
      <c r="P732" s="6826">
        <v>0</v>
      </c>
      <c r="Q732" s="7356"/>
      <c r="R732" s="6658" t="s">
        <v>31</v>
      </c>
      <c r="S732" s="6557"/>
      <c r="T732" s="1033"/>
      <c r="U732" s="263"/>
      <c r="V732" s="99"/>
      <c r="W732" s="138"/>
      <c r="X732" s="138"/>
      <c r="Y732" s="99"/>
      <c r="Z732" s="264"/>
      <c r="AA732" s="277"/>
      <c r="AB732" s="187"/>
    </row>
    <row r="733" spans="1:28" ht="21" customHeight="1">
      <c r="A733" s="11"/>
      <c r="B733" s="1360"/>
      <c r="C733" s="9656" t="s">
        <v>570</v>
      </c>
      <c r="D733" s="9587"/>
      <c r="E733" s="9588"/>
      <c r="F733" s="285" t="s">
        <v>33</v>
      </c>
      <c r="G733" s="386"/>
      <c r="H733" s="9586" t="s">
        <v>571</v>
      </c>
      <c r="I733" s="9587"/>
      <c r="J733" s="9588"/>
      <c r="K733" s="285" t="s">
        <v>35</v>
      </c>
      <c r="L733" s="6763" t="str">
        <f>IF(COUNTBLANK(L734:L739)&gt;0,"미취합법인有",SUM(L734:L739))</f>
        <v>미취합법인有</v>
      </c>
      <c r="M733" s="7233"/>
      <c r="N733" s="6847" t="str">
        <f>IF(COUNTBLANK(N734:N739)&gt;0,"미취합법인有",SUM(N734:N739))</f>
        <v>미취합법인有</v>
      </c>
      <c r="O733" s="7353"/>
      <c r="P733" s="6913" t="str">
        <f>IF(COUNTBLANK(P734:P739)&gt;0,"미취합법인有",SUM(P734:P739))</f>
        <v>미취합법인有</v>
      </c>
      <c r="Q733" s="7463"/>
      <c r="R733" s="6658" t="s">
        <v>31</v>
      </c>
      <c r="S733" s="6561"/>
      <c r="T733" s="2472" t="s">
        <v>572</v>
      </c>
      <c r="U733" s="276" t="s">
        <v>573</v>
      </c>
      <c r="V733" s="309" t="s">
        <v>574</v>
      </c>
      <c r="W733" s="547"/>
      <c r="X733" s="547"/>
      <c r="Y733" s="99"/>
      <c r="Z733" s="154" t="s">
        <v>575</v>
      </c>
      <c r="AA733" s="154"/>
      <c r="AB733" s="159"/>
    </row>
    <row r="734" spans="1:28" ht="19.899999999999999" customHeight="1">
      <c r="A734" s="11"/>
      <c r="B734" s="5590"/>
      <c r="C734" s="9647" t="s">
        <v>134</v>
      </c>
      <c r="D734" s="9648"/>
      <c r="E734" s="9649"/>
      <c r="F734" s="285" t="s">
        <v>33</v>
      </c>
      <c r="G734" s="253"/>
      <c r="H734" s="9579" t="s">
        <v>135</v>
      </c>
      <c r="I734" s="9580"/>
      <c r="J734" s="9581"/>
      <c r="K734" s="285" t="s">
        <v>35</v>
      </c>
      <c r="L734" s="6754">
        <v>1035</v>
      </c>
      <c r="M734" s="7259" t="s">
        <v>720</v>
      </c>
      <c r="N734" s="6826">
        <v>121</v>
      </c>
      <c r="O734" s="7259" t="s">
        <v>721</v>
      </c>
      <c r="P734" s="6826">
        <v>91.5</v>
      </c>
      <c r="Q734" s="7311" t="s">
        <v>722</v>
      </c>
      <c r="R734" s="6658" t="s">
        <v>31</v>
      </c>
      <c r="S734" s="6572"/>
      <c r="T734" s="1033"/>
      <c r="U734" s="263"/>
      <c r="V734" s="99"/>
      <c r="W734" s="138"/>
      <c r="X734" s="138"/>
      <c r="Y734" s="99"/>
      <c r="Z734" s="264"/>
      <c r="AA734" s="277"/>
      <c r="AB734" s="187"/>
    </row>
    <row r="735" spans="1:28" ht="19.899999999999999" customHeight="1">
      <c r="A735" s="11"/>
      <c r="B735" s="5590"/>
      <c r="C735" s="9647" t="s">
        <v>137</v>
      </c>
      <c r="D735" s="9648"/>
      <c r="E735" s="9649"/>
      <c r="F735" s="285" t="s">
        <v>33</v>
      </c>
      <c r="G735" s="253"/>
      <c r="H735" s="9579" t="s">
        <v>138</v>
      </c>
      <c r="I735" s="9580"/>
      <c r="J735" s="9581"/>
      <c r="K735" s="285" t="s">
        <v>35</v>
      </c>
      <c r="L735" s="6754"/>
      <c r="M735" s="7250"/>
      <c r="N735" s="6826"/>
      <c r="O735" s="7356"/>
      <c r="P735" s="6826"/>
      <c r="Q735" s="7356"/>
      <c r="R735" s="6658" t="s">
        <v>31</v>
      </c>
      <c r="S735" s="6557"/>
      <c r="T735" s="1033"/>
      <c r="U735" s="263"/>
      <c r="V735" s="99"/>
      <c r="W735" s="138"/>
      <c r="X735" s="138"/>
      <c r="Y735" s="99"/>
      <c r="Z735" s="264"/>
      <c r="AA735" s="277"/>
      <c r="AB735" s="187"/>
    </row>
    <row r="736" spans="1:28" ht="19.899999999999999" customHeight="1">
      <c r="A736" s="11"/>
      <c r="B736" s="5590"/>
      <c r="C736" s="9647" t="s">
        <v>140</v>
      </c>
      <c r="D736" s="9648"/>
      <c r="E736" s="9649"/>
      <c r="F736" s="285" t="s">
        <v>33</v>
      </c>
      <c r="G736" s="253"/>
      <c r="H736" s="9579" t="s">
        <v>141</v>
      </c>
      <c r="I736" s="9580"/>
      <c r="J736" s="9581"/>
      <c r="K736" s="285" t="s">
        <v>35</v>
      </c>
      <c r="L736" s="6754">
        <v>0</v>
      </c>
      <c r="M736" s="7250"/>
      <c r="N736" s="6826">
        <v>0</v>
      </c>
      <c r="O736" s="7356"/>
      <c r="P736" s="6826">
        <v>0</v>
      </c>
      <c r="Q736" s="7356"/>
      <c r="R736" s="6658" t="s">
        <v>31</v>
      </c>
      <c r="S736" s="6557"/>
      <c r="T736" s="1033"/>
      <c r="U736" s="263"/>
      <c r="V736" s="99"/>
      <c r="W736" s="138"/>
      <c r="X736" s="138"/>
      <c r="Y736" s="99"/>
      <c r="Z736" s="264"/>
      <c r="AA736" s="277"/>
      <c r="AB736" s="187"/>
    </row>
    <row r="737" spans="1:29" ht="19.899999999999999" customHeight="1">
      <c r="A737" s="11"/>
      <c r="B737" s="5590"/>
      <c r="C737" s="9647" t="s">
        <v>143</v>
      </c>
      <c r="D737" s="9648"/>
      <c r="E737" s="9649"/>
      <c r="F737" s="285" t="s">
        <v>33</v>
      </c>
      <c r="G737" s="253"/>
      <c r="H737" s="9579" t="s">
        <v>144</v>
      </c>
      <c r="I737" s="9580"/>
      <c r="J737" s="9581"/>
      <c r="K737" s="285" t="s">
        <v>35</v>
      </c>
      <c r="L737" s="6754"/>
      <c r="M737" s="7250"/>
      <c r="N737" s="6826"/>
      <c r="O737" s="7356"/>
      <c r="P737" s="6826"/>
      <c r="Q737" s="7356"/>
      <c r="R737" s="6658" t="s">
        <v>31</v>
      </c>
      <c r="S737" s="6557"/>
      <c r="T737" s="1033"/>
      <c r="U737" s="263"/>
      <c r="V737" s="99"/>
      <c r="W737" s="138"/>
      <c r="X737" s="138"/>
      <c r="Y737" s="99"/>
      <c r="Z737" s="264"/>
      <c r="AA737" s="277"/>
      <c r="AB737" s="187"/>
    </row>
    <row r="738" spans="1:29" ht="19.899999999999999" customHeight="1">
      <c r="A738" s="11"/>
      <c r="B738" s="5590"/>
      <c r="C738" s="9647" t="s">
        <v>146</v>
      </c>
      <c r="D738" s="9648"/>
      <c r="E738" s="9649"/>
      <c r="F738" s="285" t="s">
        <v>33</v>
      </c>
      <c r="G738" s="253"/>
      <c r="H738" s="9579" t="s">
        <v>147</v>
      </c>
      <c r="I738" s="9580"/>
      <c r="J738" s="9581"/>
      <c r="K738" s="285" t="s">
        <v>35</v>
      </c>
      <c r="L738" s="6774" t="s">
        <v>168</v>
      </c>
      <c r="M738" s="7250" t="s">
        <v>641</v>
      </c>
      <c r="N738" s="6826" t="s">
        <v>168</v>
      </c>
      <c r="O738" s="7356" t="s">
        <v>641</v>
      </c>
      <c r="P738" s="6826" t="s">
        <v>168</v>
      </c>
      <c r="Q738" s="7356" t="s">
        <v>641</v>
      </c>
      <c r="R738" s="6658" t="s">
        <v>31</v>
      </c>
      <c r="S738" s="6557"/>
      <c r="T738" s="1033"/>
      <c r="U738" s="263"/>
      <c r="V738" s="99"/>
      <c r="W738" s="138"/>
      <c r="X738" s="138"/>
      <c r="Y738" s="99"/>
      <c r="Z738" s="264"/>
      <c r="AA738" s="277"/>
      <c r="AB738" s="187"/>
    </row>
    <row r="739" spans="1:29" ht="19.899999999999999" customHeight="1">
      <c r="A739" s="11"/>
      <c r="B739" s="5590"/>
      <c r="C739" s="9647" t="s">
        <v>149</v>
      </c>
      <c r="D739" s="9648"/>
      <c r="E739" s="9649"/>
      <c r="F739" s="285" t="s">
        <v>33</v>
      </c>
      <c r="G739" s="253"/>
      <c r="H739" s="9579" t="s">
        <v>150</v>
      </c>
      <c r="I739" s="9580"/>
      <c r="J739" s="9581"/>
      <c r="K739" s="285" t="s">
        <v>35</v>
      </c>
      <c r="L739" s="6754">
        <v>0</v>
      </c>
      <c r="M739" s="7250"/>
      <c r="N739" s="6826">
        <v>0</v>
      </c>
      <c r="O739" s="7356"/>
      <c r="P739" s="6826">
        <v>0</v>
      </c>
      <c r="Q739" s="7356"/>
      <c r="R739" s="6658" t="s">
        <v>31</v>
      </c>
      <c r="S739" s="6557"/>
      <c r="T739" s="1033"/>
      <c r="U739" s="263"/>
      <c r="V739" s="99"/>
      <c r="W739" s="138"/>
      <c r="X739" s="138"/>
      <c r="Y739" s="99"/>
      <c r="Z739" s="264"/>
      <c r="AA739" s="277"/>
      <c r="AB739" s="187"/>
    </row>
    <row r="740" spans="1:29" ht="20.100000000000001" customHeight="1">
      <c r="A740" s="11"/>
      <c r="B740" s="1360"/>
      <c r="C740" s="9656" t="s">
        <v>576</v>
      </c>
      <c r="D740" s="9587"/>
      <c r="E740" s="9588"/>
      <c r="F740" s="285" t="s">
        <v>413</v>
      </c>
      <c r="G740" s="386"/>
      <c r="H740" s="9586" t="s">
        <v>577</v>
      </c>
      <c r="I740" s="9587"/>
      <c r="J740" s="9588"/>
      <c r="K740" s="492" t="s">
        <v>578</v>
      </c>
      <c r="L740" s="6763" t="str">
        <f>IF(COUNTBLANK(L741:L746)&gt;0,"미취합법인有",SUM(L741:L746))</f>
        <v>미취합법인有</v>
      </c>
      <c r="M740" s="7233"/>
      <c r="N740" s="6847" t="str">
        <f>IF(COUNTBLANK(N741:N746)&gt;0,"미취합법인有",SUM(N741:N746))</f>
        <v>미취합법인有</v>
      </c>
      <c r="O740" s="7353"/>
      <c r="P740" s="6913" t="str">
        <f>IF(COUNTBLANK(P741:P746)&gt;0,"미취합법인有",SUM(P741:P746))</f>
        <v>미취합법인有</v>
      </c>
      <c r="Q740" s="7463"/>
      <c r="R740" s="6658" t="s">
        <v>31</v>
      </c>
      <c r="S740" s="6561"/>
      <c r="T740" s="2468" t="s">
        <v>579</v>
      </c>
      <c r="U740" s="24" t="s">
        <v>580</v>
      </c>
      <c r="V740" s="99" t="s">
        <v>189</v>
      </c>
      <c r="W740" s="547"/>
      <c r="X740" s="547"/>
      <c r="Y740" s="299" t="s">
        <v>193</v>
      </c>
      <c r="Z740" s="154" t="s">
        <v>581</v>
      </c>
      <c r="AA740" s="154"/>
      <c r="AB740" s="159"/>
      <c r="AC740" s="6305"/>
    </row>
    <row r="741" spans="1:29" ht="19.899999999999999" customHeight="1">
      <c r="A741" s="11"/>
      <c r="B741" s="5590"/>
      <c r="C741" s="9647" t="s">
        <v>134</v>
      </c>
      <c r="D741" s="9648"/>
      <c r="E741" s="9649"/>
      <c r="F741" s="285" t="s">
        <v>413</v>
      </c>
      <c r="G741" s="253"/>
      <c r="H741" s="9579" t="s">
        <v>135</v>
      </c>
      <c r="I741" s="9580"/>
      <c r="J741" s="9581"/>
      <c r="K741" s="492" t="s">
        <v>578</v>
      </c>
      <c r="L741" s="6754" t="s">
        <v>168</v>
      </c>
      <c r="M741" s="7250" t="s">
        <v>369</v>
      </c>
      <c r="N741" s="6826" t="s">
        <v>168</v>
      </c>
      <c r="O741" s="7250" t="s">
        <v>369</v>
      </c>
      <c r="P741" s="6826" t="s">
        <v>723</v>
      </c>
      <c r="Q741" s="7356"/>
      <c r="R741" s="6658" t="s">
        <v>31</v>
      </c>
      <c r="S741" s="6557" t="s">
        <v>2050</v>
      </c>
      <c r="T741" s="1033"/>
      <c r="U741" s="263"/>
      <c r="V741" s="99"/>
      <c r="W741" s="138"/>
      <c r="X741" s="138"/>
      <c r="Y741" s="299" t="s">
        <v>193</v>
      </c>
      <c r="Z741" s="264"/>
      <c r="AA741" s="277"/>
      <c r="AB741" s="187"/>
    </row>
    <row r="742" spans="1:29" ht="19.899999999999999" customHeight="1">
      <c r="A742" s="11"/>
      <c r="B742" s="5590"/>
      <c r="C742" s="9647" t="s">
        <v>137</v>
      </c>
      <c r="D742" s="9648"/>
      <c r="E742" s="9649"/>
      <c r="F742" s="285" t="s">
        <v>413</v>
      </c>
      <c r="G742" s="253"/>
      <c r="H742" s="9579" t="s">
        <v>138</v>
      </c>
      <c r="I742" s="9580"/>
      <c r="J742" s="9581"/>
      <c r="K742" s="492" t="s">
        <v>578</v>
      </c>
      <c r="L742" s="6754"/>
      <c r="M742" s="7250"/>
      <c r="N742" s="6826"/>
      <c r="O742" s="7356"/>
      <c r="P742" s="6826"/>
      <c r="Q742" s="7356"/>
      <c r="R742" s="6658" t="s">
        <v>31</v>
      </c>
      <c r="S742" s="6557"/>
      <c r="T742" s="1033"/>
      <c r="U742" s="263"/>
      <c r="V742" s="99"/>
      <c r="W742" s="138"/>
      <c r="X742" s="138"/>
      <c r="Y742" s="299" t="s">
        <v>193</v>
      </c>
      <c r="Z742" s="264"/>
      <c r="AA742" s="277"/>
      <c r="AB742" s="187"/>
    </row>
    <row r="743" spans="1:29" ht="19.899999999999999" customHeight="1">
      <c r="A743" s="11"/>
      <c r="B743" s="5590"/>
      <c r="C743" s="9647" t="s">
        <v>140</v>
      </c>
      <c r="D743" s="9648"/>
      <c r="E743" s="9649"/>
      <c r="F743" s="285" t="s">
        <v>413</v>
      </c>
      <c r="G743" s="253"/>
      <c r="H743" s="9579" t="s">
        <v>141</v>
      </c>
      <c r="I743" s="9580"/>
      <c r="J743" s="9581"/>
      <c r="K743" s="492" t="s">
        <v>578</v>
      </c>
      <c r="L743" s="6754">
        <v>0</v>
      </c>
      <c r="M743" s="7250"/>
      <c r="N743" s="6826">
        <v>0</v>
      </c>
      <c r="O743" s="7356"/>
      <c r="P743" s="6826"/>
      <c r="Q743" s="7356"/>
      <c r="R743" s="6658" t="s">
        <v>31</v>
      </c>
      <c r="S743" s="6557"/>
      <c r="T743" s="1033"/>
      <c r="U743" s="263"/>
      <c r="V743" s="99"/>
      <c r="W743" s="138"/>
      <c r="X743" s="138"/>
      <c r="Y743" s="299" t="s">
        <v>193</v>
      </c>
      <c r="Z743" s="264"/>
      <c r="AA743" s="277"/>
      <c r="AB743" s="187"/>
    </row>
    <row r="744" spans="1:29" ht="19.899999999999999" customHeight="1">
      <c r="A744" s="11"/>
      <c r="B744" s="5590"/>
      <c r="C744" s="9647" t="s">
        <v>143</v>
      </c>
      <c r="D744" s="9648"/>
      <c r="E744" s="9649"/>
      <c r="F744" s="285" t="s">
        <v>413</v>
      </c>
      <c r="G744" s="253"/>
      <c r="H744" s="9579" t="s">
        <v>144</v>
      </c>
      <c r="I744" s="9580"/>
      <c r="J744" s="9581"/>
      <c r="K744" s="492" t="s">
        <v>578</v>
      </c>
      <c r="L744" s="6754">
        <v>0</v>
      </c>
      <c r="M744" s="7259" t="s">
        <v>724</v>
      </c>
      <c r="N744" s="6826">
        <v>0</v>
      </c>
      <c r="O744" s="7311" t="s">
        <v>724</v>
      </c>
      <c r="P744" s="6826"/>
      <c r="Q744" s="7356"/>
      <c r="R744" s="6658" t="s">
        <v>31</v>
      </c>
      <c r="S744" s="6557"/>
      <c r="T744" s="1033"/>
      <c r="U744" s="263"/>
      <c r="V744" s="99"/>
      <c r="W744" s="138"/>
      <c r="X744" s="138"/>
      <c r="Y744" s="299" t="s">
        <v>193</v>
      </c>
      <c r="Z744" s="264"/>
      <c r="AA744" s="277"/>
      <c r="AB744" s="187"/>
    </row>
    <row r="745" spans="1:29" ht="19.899999999999999" customHeight="1">
      <c r="A745" s="11"/>
      <c r="B745" s="5590"/>
      <c r="C745" s="9647" t="s">
        <v>146</v>
      </c>
      <c r="D745" s="9648"/>
      <c r="E745" s="9649"/>
      <c r="F745" s="285" t="s">
        <v>413</v>
      </c>
      <c r="G745" s="253"/>
      <c r="H745" s="9579" t="s">
        <v>147</v>
      </c>
      <c r="I745" s="9580"/>
      <c r="J745" s="9581"/>
      <c r="K745" s="492" t="s">
        <v>578</v>
      </c>
      <c r="L745" s="6774" t="s">
        <v>168</v>
      </c>
      <c r="M745" s="7250" t="s">
        <v>641</v>
      </c>
      <c r="N745" s="6826" t="s">
        <v>168</v>
      </c>
      <c r="O745" s="7356" t="s">
        <v>641</v>
      </c>
      <c r="P745" s="6826" t="s">
        <v>168</v>
      </c>
      <c r="Q745" s="7356" t="s">
        <v>641</v>
      </c>
      <c r="R745" s="6658" t="s">
        <v>31</v>
      </c>
      <c r="S745" s="6557"/>
      <c r="T745" s="1033"/>
      <c r="U745" s="263"/>
      <c r="V745" s="99"/>
      <c r="W745" s="138"/>
      <c r="X745" s="138"/>
      <c r="Y745" s="299" t="s">
        <v>193</v>
      </c>
      <c r="Z745" s="264"/>
      <c r="AA745" s="277"/>
      <c r="AB745" s="187"/>
    </row>
    <row r="746" spans="1:29" ht="19.899999999999999" customHeight="1">
      <c r="A746" s="11"/>
      <c r="B746" s="5590"/>
      <c r="C746" s="9647" t="s">
        <v>149</v>
      </c>
      <c r="D746" s="9648"/>
      <c r="E746" s="9649"/>
      <c r="F746" s="285" t="s">
        <v>413</v>
      </c>
      <c r="G746" s="253"/>
      <c r="H746" s="9579" t="s">
        <v>150</v>
      </c>
      <c r="I746" s="9580"/>
      <c r="J746" s="9581"/>
      <c r="K746" s="492" t="s">
        <v>578</v>
      </c>
      <c r="L746" s="6754"/>
      <c r="M746" s="7250"/>
      <c r="N746" s="6826"/>
      <c r="O746" s="7356"/>
      <c r="P746" s="6826"/>
      <c r="Q746" s="7356"/>
      <c r="R746" s="6658" t="s">
        <v>31</v>
      </c>
      <c r="S746" s="6557"/>
      <c r="T746" s="1033"/>
      <c r="U746" s="263"/>
      <c r="V746" s="99"/>
      <c r="W746" s="138"/>
      <c r="X746" s="138"/>
      <c r="Y746" s="299" t="s">
        <v>193</v>
      </c>
      <c r="Z746" s="264"/>
      <c r="AA746" s="277"/>
      <c r="AB746" s="187"/>
    </row>
    <row r="747" spans="1:29" ht="20.100000000000001" customHeight="1">
      <c r="A747" s="11"/>
      <c r="B747" s="1360"/>
      <c r="C747" s="5598"/>
      <c r="D747" s="9660" t="s">
        <v>582</v>
      </c>
      <c r="E747" s="9661"/>
      <c r="F747" s="285" t="s">
        <v>413</v>
      </c>
      <c r="G747" s="666"/>
      <c r="H747" s="684"/>
      <c r="I747" s="9586" t="s">
        <v>583</v>
      </c>
      <c r="J747" s="9587"/>
      <c r="K747" s="285" t="s">
        <v>413</v>
      </c>
      <c r="L747" s="6763" t="str">
        <f>IF(COUNTBLANK(L748:L753)&gt;0,"미취합법인有",SUM(L748:L753))</f>
        <v>미취합법인有</v>
      </c>
      <c r="M747" s="7233"/>
      <c r="N747" s="6847" t="str">
        <f>IF(COUNTBLANK(N748:N753)&gt;0,"미취합법인有",SUM(N748:N753))</f>
        <v>미취합법인有</v>
      </c>
      <c r="O747" s="7353"/>
      <c r="P747" s="6913" t="str">
        <f>IF(COUNTBLANK(P748:P753)&gt;0,"미취합법인有",SUM(P748:P753))</f>
        <v>미취합법인有</v>
      </c>
      <c r="Q747" s="7463"/>
      <c r="R747" s="6658" t="s">
        <v>155</v>
      </c>
      <c r="S747" s="6561"/>
      <c r="T747" s="2472"/>
      <c r="U747" s="276"/>
      <c r="V747" s="99" t="s">
        <v>189</v>
      </c>
      <c r="W747" s="547"/>
      <c r="X747" s="547"/>
      <c r="Y747" s="299" t="s">
        <v>193</v>
      </c>
      <c r="Z747" s="154" t="s">
        <v>581</v>
      </c>
      <c r="AA747" s="154"/>
      <c r="AB747" s="159"/>
      <c r="AC747" s="6305"/>
    </row>
    <row r="748" spans="1:29" ht="20.100000000000001" customHeight="1">
      <c r="A748" s="11"/>
      <c r="B748" s="1360"/>
      <c r="C748" s="5598"/>
      <c r="D748" s="9598" t="s">
        <v>134</v>
      </c>
      <c r="E748" s="9600"/>
      <c r="F748" s="285" t="s">
        <v>413</v>
      </c>
      <c r="G748" s="666"/>
      <c r="H748" s="684"/>
      <c r="I748" s="9579" t="s">
        <v>135</v>
      </c>
      <c r="J748" s="9581"/>
      <c r="K748" s="285" t="s">
        <v>413</v>
      </c>
      <c r="L748" s="6753"/>
      <c r="M748" s="7249" t="s">
        <v>369</v>
      </c>
      <c r="N748" s="6842"/>
      <c r="O748" s="7377" t="s">
        <v>369</v>
      </c>
      <c r="P748" s="6936"/>
      <c r="Q748" s="7245" t="s">
        <v>725</v>
      </c>
      <c r="R748" s="6658" t="s">
        <v>155</v>
      </c>
      <c r="S748" s="6561"/>
      <c r="T748" s="2468"/>
      <c r="U748" s="544"/>
      <c r="V748" s="545"/>
      <c r="W748" s="546"/>
      <c r="X748" s="547"/>
      <c r="Y748" s="299" t="s">
        <v>193</v>
      </c>
      <c r="Z748" s="277"/>
      <c r="AA748" s="277"/>
      <c r="AB748" s="187"/>
    </row>
    <row r="749" spans="1:29" ht="20.100000000000001" customHeight="1">
      <c r="A749" s="11"/>
      <c r="B749" s="1360"/>
      <c r="C749" s="5598"/>
      <c r="D749" s="9598" t="s">
        <v>137</v>
      </c>
      <c r="E749" s="9600"/>
      <c r="F749" s="285" t="s">
        <v>413</v>
      </c>
      <c r="G749" s="666"/>
      <c r="H749" s="684"/>
      <c r="I749" s="9579" t="s">
        <v>138</v>
      </c>
      <c r="J749" s="9581"/>
      <c r="K749" s="285" t="s">
        <v>413</v>
      </c>
      <c r="L749" s="6753"/>
      <c r="M749" s="7249"/>
      <c r="N749" s="6842"/>
      <c r="O749" s="7375"/>
      <c r="P749" s="6939"/>
      <c r="Q749" s="7473"/>
      <c r="R749" s="6658" t="s">
        <v>155</v>
      </c>
      <c r="S749" s="6582"/>
      <c r="T749" s="2468"/>
      <c r="U749" s="544"/>
      <c r="V749" s="545"/>
      <c r="W749" s="546"/>
      <c r="X749" s="547"/>
      <c r="Y749" s="299" t="s">
        <v>193</v>
      </c>
      <c r="Z749" s="277"/>
      <c r="AA749" s="277"/>
      <c r="AB749" s="187"/>
    </row>
    <row r="750" spans="1:29" ht="20.100000000000001" customHeight="1">
      <c r="A750" s="11"/>
      <c r="B750" s="1360"/>
      <c r="C750" s="5598"/>
      <c r="D750" s="9598" t="s">
        <v>140</v>
      </c>
      <c r="E750" s="9600"/>
      <c r="F750" s="285" t="s">
        <v>413</v>
      </c>
      <c r="G750" s="666"/>
      <c r="H750" s="684"/>
      <c r="I750" s="9582" t="s">
        <v>141</v>
      </c>
      <c r="J750" s="9583"/>
      <c r="K750" s="285" t="s">
        <v>413</v>
      </c>
      <c r="L750" s="6754">
        <v>0</v>
      </c>
      <c r="M750" s="7250"/>
      <c r="N750" s="6826">
        <v>0</v>
      </c>
      <c r="O750" s="7375"/>
      <c r="P750" s="6939"/>
      <c r="Q750" s="7473"/>
      <c r="R750" s="6658" t="s">
        <v>155</v>
      </c>
      <c r="S750" s="6582"/>
      <c r="T750" s="2468"/>
      <c r="U750" s="544"/>
      <c r="V750" s="545"/>
      <c r="W750" s="546"/>
      <c r="X750" s="547"/>
      <c r="Y750" s="299" t="s">
        <v>193</v>
      </c>
      <c r="Z750" s="277"/>
      <c r="AA750" s="277"/>
      <c r="AB750" s="187"/>
    </row>
    <row r="751" spans="1:29" ht="20.100000000000001" customHeight="1">
      <c r="A751" s="11"/>
      <c r="B751" s="1360"/>
      <c r="C751" s="5598"/>
      <c r="D751" s="9598" t="s">
        <v>143</v>
      </c>
      <c r="E751" s="9600"/>
      <c r="F751" s="285" t="s">
        <v>413</v>
      </c>
      <c r="G751" s="666"/>
      <c r="H751" s="684"/>
      <c r="I751" s="9582" t="s">
        <v>144</v>
      </c>
      <c r="J751" s="9583"/>
      <c r="K751" s="285" t="s">
        <v>413</v>
      </c>
      <c r="L751" s="6753">
        <v>0</v>
      </c>
      <c r="M751" s="7261" t="s">
        <v>726</v>
      </c>
      <c r="N751" s="6842">
        <v>0</v>
      </c>
      <c r="O751" s="7379" t="s">
        <v>726</v>
      </c>
      <c r="P751" s="6936"/>
      <c r="Q751" s="7469"/>
      <c r="R751" s="6658" t="s">
        <v>155</v>
      </c>
      <c r="S751" s="6579"/>
      <c r="T751" s="2468"/>
      <c r="U751" s="544"/>
      <c r="V751" s="545"/>
      <c r="W751" s="546"/>
      <c r="X751" s="547"/>
      <c r="Y751" s="299" t="s">
        <v>193</v>
      </c>
      <c r="Z751" s="277"/>
      <c r="AA751" s="277"/>
      <c r="AB751" s="187"/>
    </row>
    <row r="752" spans="1:29" ht="20.100000000000001" customHeight="1">
      <c r="A752" s="11"/>
      <c r="B752" s="1360"/>
      <c r="C752" s="5598"/>
      <c r="D752" s="9598" t="s">
        <v>146</v>
      </c>
      <c r="E752" s="9600"/>
      <c r="F752" s="285" t="s">
        <v>413</v>
      </c>
      <c r="G752" s="666"/>
      <c r="H752" s="684"/>
      <c r="I752" s="9582" t="s">
        <v>147</v>
      </c>
      <c r="J752" s="9583"/>
      <c r="K752" s="285" t="s">
        <v>413</v>
      </c>
      <c r="L752" s="6774" t="s">
        <v>168</v>
      </c>
      <c r="M752" s="7250" t="s">
        <v>641</v>
      </c>
      <c r="N752" s="6826" t="s">
        <v>168</v>
      </c>
      <c r="O752" s="7240" t="s">
        <v>641</v>
      </c>
      <c r="P752" s="6837" t="s">
        <v>168</v>
      </c>
      <c r="Q752" s="7240" t="s">
        <v>641</v>
      </c>
      <c r="R752" s="6658" t="s">
        <v>155</v>
      </c>
      <c r="S752" s="6538"/>
      <c r="T752" s="2468"/>
      <c r="U752" s="544"/>
      <c r="V752" s="545"/>
      <c r="W752" s="546"/>
      <c r="X752" s="547"/>
      <c r="Y752" s="299" t="s">
        <v>193</v>
      </c>
      <c r="Z752" s="277"/>
      <c r="AA752" s="277"/>
      <c r="AB752" s="187"/>
    </row>
    <row r="753" spans="1:29" ht="20.100000000000001" customHeight="1">
      <c r="A753" s="11"/>
      <c r="B753" s="1360"/>
      <c r="C753" s="5598"/>
      <c r="D753" s="9598" t="s">
        <v>149</v>
      </c>
      <c r="E753" s="9600"/>
      <c r="F753" s="285" t="s">
        <v>413</v>
      </c>
      <c r="G753" s="666"/>
      <c r="H753" s="684"/>
      <c r="I753" s="9582" t="s">
        <v>150</v>
      </c>
      <c r="J753" s="9583"/>
      <c r="K753" s="285" t="s">
        <v>413</v>
      </c>
      <c r="L753" s="6753"/>
      <c r="M753" s="7249"/>
      <c r="N753" s="6842"/>
      <c r="O753" s="7377"/>
      <c r="P753" s="6936"/>
      <c r="Q753" s="7469"/>
      <c r="R753" s="6658" t="s">
        <v>155</v>
      </c>
      <c r="S753" s="6579"/>
      <c r="T753" s="2468"/>
      <c r="U753" s="544"/>
      <c r="V753" s="545"/>
      <c r="W753" s="546"/>
      <c r="X753" s="547"/>
      <c r="Y753" s="299" t="s">
        <v>193</v>
      </c>
      <c r="Z753" s="277"/>
      <c r="AA753" s="277"/>
      <c r="AB753" s="187"/>
    </row>
    <row r="754" spans="1:29" ht="20.100000000000001" customHeight="1">
      <c r="A754" s="11"/>
      <c r="B754" s="1360"/>
      <c r="C754" s="5598"/>
      <c r="D754" s="9662" t="s">
        <v>584</v>
      </c>
      <c r="E754" s="9663"/>
      <c r="F754" s="285" t="s">
        <v>413</v>
      </c>
      <c r="G754" s="666"/>
      <c r="H754" s="684"/>
      <c r="I754" s="9586" t="s">
        <v>585</v>
      </c>
      <c r="J754" s="9587"/>
      <c r="K754" s="285" t="s">
        <v>413</v>
      </c>
      <c r="L754" s="6763" t="str">
        <f>IF(COUNTBLANK(L755:L760)&gt;0,"미취합법인有",SUM(L755:L760))</f>
        <v>미취합법인有</v>
      </c>
      <c r="M754" s="7233"/>
      <c r="N754" s="6847" t="str">
        <f>IF(COUNTBLANK(N755:N760)&gt;0,"미취합법인有",SUM(N755:N760))</f>
        <v>미취합법인有</v>
      </c>
      <c r="O754" s="7236"/>
      <c r="P754" s="6940" t="str">
        <f>IF(COUNTBLANK(P755:P760)&gt;0,"미취합법인有",SUM(P755:P760))</f>
        <v>미취합법인有</v>
      </c>
      <c r="Q754" s="7463"/>
      <c r="R754" s="6658" t="s">
        <v>155</v>
      </c>
      <c r="S754" s="6561"/>
      <c r="T754" s="2472"/>
      <c r="U754" s="457"/>
      <c r="V754" s="99" t="s">
        <v>189</v>
      </c>
      <c r="W754" s="547"/>
      <c r="X754" s="547"/>
      <c r="Y754" s="299" t="s">
        <v>193</v>
      </c>
      <c r="Z754" s="154" t="s">
        <v>581</v>
      </c>
      <c r="AA754" s="154"/>
      <c r="AB754" s="159"/>
      <c r="AC754" s="6305"/>
    </row>
    <row r="755" spans="1:29" ht="20.100000000000001" customHeight="1">
      <c r="A755" s="11"/>
      <c r="B755" s="1360"/>
      <c r="C755" s="5598"/>
      <c r="D755" s="9598" t="s">
        <v>134</v>
      </c>
      <c r="E755" s="9600"/>
      <c r="F755" s="285" t="s">
        <v>413</v>
      </c>
      <c r="G755" s="666"/>
      <c r="H755" s="684"/>
      <c r="I755" s="9579" t="s">
        <v>135</v>
      </c>
      <c r="J755" s="9581"/>
      <c r="K755" s="285" t="s">
        <v>413</v>
      </c>
      <c r="L755" s="6753"/>
      <c r="M755" s="7249" t="s">
        <v>369</v>
      </c>
      <c r="N755" s="6842"/>
      <c r="O755" s="7377" t="s">
        <v>369</v>
      </c>
      <c r="P755" s="6936"/>
      <c r="Q755" s="7469" t="s">
        <v>369</v>
      </c>
      <c r="R755" s="6658" t="s">
        <v>155</v>
      </c>
      <c r="S755" s="6579"/>
      <c r="T755" s="2468"/>
      <c r="U755" s="544"/>
      <c r="V755" s="545"/>
      <c r="W755" s="546"/>
      <c r="X755" s="547"/>
      <c r="Y755" s="299" t="s">
        <v>193</v>
      </c>
      <c r="Z755" s="277"/>
      <c r="AA755" s="277"/>
      <c r="AB755" s="187"/>
    </row>
    <row r="756" spans="1:29" ht="20.100000000000001" customHeight="1">
      <c r="A756" s="11"/>
      <c r="B756" s="1360"/>
      <c r="C756" s="5598"/>
      <c r="D756" s="9598" t="s">
        <v>137</v>
      </c>
      <c r="E756" s="9600"/>
      <c r="F756" s="285" t="s">
        <v>413</v>
      </c>
      <c r="G756" s="666"/>
      <c r="H756" s="684"/>
      <c r="I756" s="9579" t="s">
        <v>138</v>
      </c>
      <c r="J756" s="9581"/>
      <c r="K756" s="285" t="s">
        <v>413</v>
      </c>
      <c r="L756" s="6753"/>
      <c r="M756" s="7249"/>
      <c r="N756" s="6842"/>
      <c r="O756" s="7377"/>
      <c r="P756" s="6842"/>
      <c r="Q756" s="7375"/>
      <c r="R756" s="6658" t="s">
        <v>155</v>
      </c>
      <c r="S756" s="6577"/>
      <c r="T756" s="2468"/>
      <c r="U756" s="544"/>
      <c r="V756" s="545"/>
      <c r="W756" s="546"/>
      <c r="X756" s="547"/>
      <c r="Y756" s="299" t="s">
        <v>193</v>
      </c>
      <c r="Z756" s="277"/>
      <c r="AA756" s="277"/>
      <c r="AB756" s="187"/>
    </row>
    <row r="757" spans="1:29" ht="20.100000000000001" customHeight="1">
      <c r="A757" s="11"/>
      <c r="B757" s="1360"/>
      <c r="C757" s="5598"/>
      <c r="D757" s="9598" t="s">
        <v>140</v>
      </c>
      <c r="E757" s="9600"/>
      <c r="F757" s="285" t="s">
        <v>413</v>
      </c>
      <c r="G757" s="666"/>
      <c r="H757" s="684"/>
      <c r="I757" s="9582" t="s">
        <v>141</v>
      </c>
      <c r="J757" s="9583"/>
      <c r="K757" s="285" t="s">
        <v>413</v>
      </c>
      <c r="L757" s="6754"/>
      <c r="M757" s="7250"/>
      <c r="N757" s="6826"/>
      <c r="O757" s="7382"/>
      <c r="P757" s="6826"/>
      <c r="Q757" s="7356"/>
      <c r="R757" s="6658" t="s">
        <v>155</v>
      </c>
      <c r="S757" s="6557"/>
      <c r="T757" s="2468"/>
      <c r="U757" s="544"/>
      <c r="V757" s="545"/>
      <c r="W757" s="546"/>
      <c r="X757" s="547"/>
      <c r="Y757" s="299" t="s">
        <v>193</v>
      </c>
      <c r="Z757" s="277"/>
      <c r="AA757" s="277"/>
      <c r="AB757" s="187"/>
    </row>
    <row r="758" spans="1:29" ht="20.100000000000001" customHeight="1">
      <c r="A758" s="11"/>
      <c r="B758" s="1360"/>
      <c r="C758" s="5598"/>
      <c r="D758" s="9598" t="s">
        <v>143</v>
      </c>
      <c r="E758" s="9600"/>
      <c r="F758" s="285" t="s">
        <v>413</v>
      </c>
      <c r="G758" s="666"/>
      <c r="H758" s="684"/>
      <c r="I758" s="9582" t="s">
        <v>144</v>
      </c>
      <c r="J758" s="9583"/>
      <c r="K758" s="285" t="s">
        <v>413</v>
      </c>
      <c r="L758" s="6753"/>
      <c r="M758" s="7249"/>
      <c r="N758" s="6842"/>
      <c r="O758" s="7377"/>
      <c r="P758" s="6936"/>
      <c r="Q758" s="7469"/>
      <c r="R758" s="6658" t="s">
        <v>155</v>
      </c>
      <c r="S758" s="6579"/>
      <c r="T758" s="2468"/>
      <c r="U758" s="544"/>
      <c r="V758" s="545"/>
      <c r="W758" s="546"/>
      <c r="X758" s="547"/>
      <c r="Y758" s="299" t="s">
        <v>193</v>
      </c>
      <c r="Z758" s="277"/>
      <c r="AA758" s="277"/>
      <c r="AB758" s="187"/>
    </row>
    <row r="759" spans="1:29" ht="20.100000000000001" customHeight="1">
      <c r="A759" s="11"/>
      <c r="B759" s="1360"/>
      <c r="C759" s="5598"/>
      <c r="D759" s="9598" t="s">
        <v>146</v>
      </c>
      <c r="E759" s="9600"/>
      <c r="F759" s="285" t="s">
        <v>413</v>
      </c>
      <c r="G759" s="666"/>
      <c r="H759" s="684"/>
      <c r="I759" s="9582" t="s">
        <v>147</v>
      </c>
      <c r="J759" s="9583"/>
      <c r="K759" s="285" t="s">
        <v>413</v>
      </c>
      <c r="L759" s="6774" t="s">
        <v>168</v>
      </c>
      <c r="M759" s="7250" t="s">
        <v>641</v>
      </c>
      <c r="N759" s="6826" t="s">
        <v>168</v>
      </c>
      <c r="O759" s="7240" t="s">
        <v>641</v>
      </c>
      <c r="P759" s="6837" t="s">
        <v>168</v>
      </c>
      <c r="Q759" s="7240" t="s">
        <v>641</v>
      </c>
      <c r="R759" s="6658" t="s">
        <v>155</v>
      </c>
      <c r="S759" s="6538"/>
      <c r="T759" s="2468"/>
      <c r="U759" s="544"/>
      <c r="V759" s="545"/>
      <c r="W759" s="546"/>
      <c r="X759" s="547"/>
      <c r="Y759" s="299" t="s">
        <v>193</v>
      </c>
      <c r="Z759" s="277"/>
      <c r="AA759" s="277"/>
      <c r="AB759" s="187"/>
    </row>
    <row r="760" spans="1:29" ht="20.100000000000001" customHeight="1">
      <c r="A760" s="11"/>
      <c r="B760" s="1360"/>
      <c r="C760" s="5598"/>
      <c r="D760" s="9598" t="s">
        <v>149</v>
      </c>
      <c r="E760" s="9600"/>
      <c r="F760" s="285" t="s">
        <v>413</v>
      </c>
      <c r="G760" s="666"/>
      <c r="H760" s="684"/>
      <c r="I760" s="9582" t="s">
        <v>150</v>
      </c>
      <c r="J760" s="9583"/>
      <c r="K760" s="285" t="s">
        <v>413</v>
      </c>
      <c r="L760" s="6753"/>
      <c r="M760" s="7249"/>
      <c r="N760" s="6842"/>
      <c r="O760" s="7377"/>
      <c r="P760" s="6936"/>
      <c r="Q760" s="7469"/>
      <c r="R760" s="6658" t="s">
        <v>155</v>
      </c>
      <c r="S760" s="6579"/>
      <c r="T760" s="2468"/>
      <c r="U760" s="544"/>
      <c r="V760" s="545"/>
      <c r="W760" s="546"/>
      <c r="X760" s="547"/>
      <c r="Y760" s="299" t="s">
        <v>193</v>
      </c>
      <c r="Z760" s="277"/>
      <c r="AA760" s="277"/>
      <c r="AB760" s="187"/>
    </row>
    <row r="761" spans="1:29" ht="20.100000000000001" customHeight="1">
      <c r="A761" s="11"/>
      <c r="B761" s="1360"/>
      <c r="C761" s="5598"/>
      <c r="D761" s="9660" t="s">
        <v>586</v>
      </c>
      <c r="E761" s="9661"/>
      <c r="F761" s="285" t="s">
        <v>413</v>
      </c>
      <c r="G761" s="666"/>
      <c r="H761" s="684"/>
      <c r="I761" s="9586" t="s">
        <v>587</v>
      </c>
      <c r="J761" s="9587"/>
      <c r="K761" s="285" t="s">
        <v>413</v>
      </c>
      <c r="L761" s="6763" t="str">
        <f>IF(COUNTBLANK(L762:L767)&gt;0,"미취합법인有",SUM(L762:L767))</f>
        <v>미취합법인有</v>
      </c>
      <c r="M761" s="7233"/>
      <c r="N761" s="6847" t="str">
        <f>IF(COUNTBLANK(N762:N767)&gt;0,"미취합법인有",SUM(N762:N767))</f>
        <v>미취합법인有</v>
      </c>
      <c r="O761" s="7236"/>
      <c r="P761" s="6913" t="str">
        <f>IF(COUNTBLANK(P762:P767)&gt;0,"미취합법인有",SUM(P762:P767))</f>
        <v>미취합법인有</v>
      </c>
      <c r="Q761" s="7463"/>
      <c r="R761" s="6658" t="s">
        <v>155</v>
      </c>
      <c r="S761" s="6561"/>
      <c r="T761" s="2472"/>
      <c r="U761" s="457"/>
      <c r="V761" s="99" t="s">
        <v>189</v>
      </c>
      <c r="W761" s="547"/>
      <c r="X761" s="547"/>
      <c r="Y761" s="299" t="s">
        <v>193</v>
      </c>
      <c r="Z761" s="154" t="s">
        <v>581</v>
      </c>
      <c r="AA761" s="154"/>
      <c r="AB761" s="159"/>
      <c r="AC761" s="6305"/>
    </row>
    <row r="762" spans="1:29" ht="20.100000000000001" customHeight="1">
      <c r="A762" s="11"/>
      <c r="B762" s="1360"/>
      <c r="C762" s="5598"/>
      <c r="D762" s="9598" t="s">
        <v>134</v>
      </c>
      <c r="E762" s="9600"/>
      <c r="F762" s="285" t="s">
        <v>413</v>
      </c>
      <c r="G762" s="666"/>
      <c r="H762" s="684"/>
      <c r="I762" s="9579" t="s">
        <v>135</v>
      </c>
      <c r="J762" s="9581"/>
      <c r="K762" s="285" t="s">
        <v>413</v>
      </c>
      <c r="L762" s="6753"/>
      <c r="M762" s="7249" t="s">
        <v>369</v>
      </c>
      <c r="N762" s="6842"/>
      <c r="O762" s="7377" t="s">
        <v>369</v>
      </c>
      <c r="P762" s="6936"/>
      <c r="Q762" s="7469" t="s">
        <v>369</v>
      </c>
      <c r="R762" s="6658" t="s">
        <v>155</v>
      </c>
      <c r="S762" s="6579"/>
      <c r="T762" s="2468"/>
      <c r="U762" s="544"/>
      <c r="V762" s="545"/>
      <c r="W762" s="546"/>
      <c r="X762" s="547"/>
      <c r="Y762" s="299" t="s">
        <v>193</v>
      </c>
      <c r="Z762" s="277"/>
      <c r="AA762" s="277"/>
      <c r="AB762" s="187"/>
    </row>
    <row r="763" spans="1:29" ht="20.100000000000001" customHeight="1">
      <c r="A763" s="11"/>
      <c r="B763" s="1360"/>
      <c r="C763" s="5598"/>
      <c r="D763" s="9598" t="s">
        <v>137</v>
      </c>
      <c r="E763" s="9600"/>
      <c r="F763" s="285" t="s">
        <v>413</v>
      </c>
      <c r="G763" s="666"/>
      <c r="H763" s="684"/>
      <c r="I763" s="9579" t="s">
        <v>138</v>
      </c>
      <c r="J763" s="9581"/>
      <c r="K763" s="285" t="s">
        <v>413</v>
      </c>
      <c r="L763" s="6753"/>
      <c r="M763" s="7249"/>
      <c r="N763" s="6842"/>
      <c r="O763" s="7377"/>
      <c r="P763" s="6842"/>
      <c r="Q763" s="7375"/>
      <c r="R763" s="6658" t="s">
        <v>155</v>
      </c>
      <c r="S763" s="6577"/>
      <c r="T763" s="2468"/>
      <c r="U763" s="544"/>
      <c r="V763" s="545"/>
      <c r="W763" s="546"/>
      <c r="X763" s="547"/>
      <c r="Y763" s="299" t="s">
        <v>193</v>
      </c>
      <c r="Z763" s="277"/>
      <c r="AA763" s="277"/>
      <c r="AB763" s="187"/>
    </row>
    <row r="764" spans="1:29" ht="20.100000000000001" customHeight="1">
      <c r="A764" s="11"/>
      <c r="B764" s="1360"/>
      <c r="C764" s="5598"/>
      <c r="D764" s="9598" t="s">
        <v>140</v>
      </c>
      <c r="E764" s="9600"/>
      <c r="F764" s="285" t="s">
        <v>413</v>
      </c>
      <c r="G764" s="666"/>
      <c r="H764" s="684"/>
      <c r="I764" s="9582" t="s">
        <v>141</v>
      </c>
      <c r="J764" s="9583"/>
      <c r="K764" s="285" t="s">
        <v>413</v>
      </c>
      <c r="L764" s="6754">
        <v>0</v>
      </c>
      <c r="M764" s="7250"/>
      <c r="N764" s="6826">
        <v>0</v>
      </c>
      <c r="O764" s="7377"/>
      <c r="P764" s="6826"/>
      <c r="Q764" s="7356"/>
      <c r="R764" s="6658" t="s">
        <v>155</v>
      </c>
      <c r="S764" s="6557"/>
      <c r="T764" s="2468"/>
      <c r="U764" s="544"/>
      <c r="V764" s="545"/>
      <c r="W764" s="546"/>
      <c r="X764" s="547"/>
      <c r="Y764" s="299" t="s">
        <v>193</v>
      </c>
      <c r="Z764" s="277"/>
      <c r="AA764" s="277"/>
      <c r="AB764" s="187"/>
    </row>
    <row r="765" spans="1:29" ht="20.100000000000001" customHeight="1">
      <c r="A765" s="11"/>
      <c r="B765" s="1360"/>
      <c r="C765" s="5598"/>
      <c r="D765" s="9598" t="s">
        <v>143</v>
      </c>
      <c r="E765" s="9600"/>
      <c r="F765" s="285" t="s">
        <v>413</v>
      </c>
      <c r="G765" s="666"/>
      <c r="H765" s="684"/>
      <c r="I765" s="9582" t="s">
        <v>144</v>
      </c>
      <c r="J765" s="9583"/>
      <c r="K765" s="285" t="s">
        <v>413</v>
      </c>
      <c r="L765" s="6753">
        <v>0</v>
      </c>
      <c r="M765" s="7261" t="s">
        <v>726</v>
      </c>
      <c r="N765" s="6842">
        <v>0</v>
      </c>
      <c r="O765" s="7379" t="s">
        <v>726</v>
      </c>
      <c r="P765" s="6936"/>
      <c r="Q765" s="7469"/>
      <c r="R765" s="6658" t="s">
        <v>155</v>
      </c>
      <c r="S765" s="6579"/>
      <c r="T765" s="2468"/>
      <c r="U765" s="544"/>
      <c r="V765" s="545"/>
      <c r="W765" s="546"/>
      <c r="X765" s="547"/>
      <c r="Y765" s="299" t="s">
        <v>193</v>
      </c>
      <c r="Z765" s="277"/>
      <c r="AA765" s="277"/>
      <c r="AB765" s="187"/>
    </row>
    <row r="766" spans="1:29" ht="20.100000000000001" customHeight="1">
      <c r="A766" s="11"/>
      <c r="B766" s="1360"/>
      <c r="C766" s="5598"/>
      <c r="D766" s="9598" t="s">
        <v>146</v>
      </c>
      <c r="E766" s="9600"/>
      <c r="F766" s="285" t="s">
        <v>413</v>
      </c>
      <c r="G766" s="666"/>
      <c r="H766" s="684"/>
      <c r="I766" s="9582" t="s">
        <v>147</v>
      </c>
      <c r="J766" s="9583"/>
      <c r="K766" s="285" t="s">
        <v>413</v>
      </c>
      <c r="L766" s="6774" t="s">
        <v>168</v>
      </c>
      <c r="M766" s="7250" t="s">
        <v>641</v>
      </c>
      <c r="N766" s="6826" t="s">
        <v>168</v>
      </c>
      <c r="O766" s="7240" t="s">
        <v>641</v>
      </c>
      <c r="P766" s="6837" t="s">
        <v>168</v>
      </c>
      <c r="Q766" s="7240" t="s">
        <v>641</v>
      </c>
      <c r="R766" s="6658" t="s">
        <v>155</v>
      </c>
      <c r="S766" s="6538"/>
      <c r="T766" s="2468"/>
      <c r="U766" s="544"/>
      <c r="V766" s="545"/>
      <c r="W766" s="546"/>
      <c r="X766" s="547"/>
      <c r="Y766" s="299" t="s">
        <v>193</v>
      </c>
      <c r="Z766" s="277"/>
      <c r="AA766" s="277"/>
      <c r="AB766" s="187"/>
    </row>
    <row r="767" spans="1:29" ht="20.100000000000001" customHeight="1">
      <c r="A767" s="11"/>
      <c r="B767" s="1360"/>
      <c r="C767" s="5598"/>
      <c r="D767" s="9598" t="s">
        <v>149</v>
      </c>
      <c r="E767" s="9600"/>
      <c r="F767" s="285" t="s">
        <v>413</v>
      </c>
      <c r="G767" s="666"/>
      <c r="H767" s="684"/>
      <c r="I767" s="9582" t="s">
        <v>150</v>
      </c>
      <c r="J767" s="9583"/>
      <c r="K767" s="285" t="s">
        <v>413</v>
      </c>
      <c r="L767" s="6753"/>
      <c r="M767" s="7249"/>
      <c r="N767" s="6842"/>
      <c r="O767" s="7377"/>
      <c r="P767" s="6936"/>
      <c r="Q767" s="7469"/>
      <c r="R767" s="6658" t="s">
        <v>155</v>
      </c>
      <c r="S767" s="6579"/>
      <c r="T767" s="2468"/>
      <c r="U767" s="544"/>
      <c r="V767" s="545"/>
      <c r="W767" s="546"/>
      <c r="X767" s="547"/>
      <c r="Y767" s="299" t="s">
        <v>193</v>
      </c>
      <c r="Z767" s="277"/>
      <c r="AA767" s="277"/>
      <c r="AB767" s="187"/>
    </row>
    <row r="768" spans="1:29" ht="20.100000000000001" customHeight="1">
      <c r="A768" s="11"/>
      <c r="B768" s="1360"/>
      <c r="C768" s="5598"/>
      <c r="D768" s="9660" t="s">
        <v>588</v>
      </c>
      <c r="E768" s="9661"/>
      <c r="F768" s="285" t="s">
        <v>413</v>
      </c>
      <c r="G768" s="666"/>
      <c r="H768" s="684"/>
      <c r="I768" s="9586" t="s">
        <v>589</v>
      </c>
      <c r="J768" s="9587"/>
      <c r="K768" s="285" t="s">
        <v>413</v>
      </c>
      <c r="L768" s="6763" t="str">
        <f>IF(COUNTBLANK(L769:L774)&gt;0,"미취합법인有",SUM(L769:L774))</f>
        <v>미취합법인有</v>
      </c>
      <c r="M768" s="7233"/>
      <c r="N768" s="6847" t="str">
        <f>IF(COUNTBLANK(N769:N774)&gt;0,"미취합법인有",SUM(N769:N774))</f>
        <v>미취합법인有</v>
      </c>
      <c r="O768" s="7236"/>
      <c r="P768" s="6913" t="str">
        <f>IF(COUNTBLANK(P769:P774)&gt;0,"미취합법인有",SUM(P769:P774))</f>
        <v>미취합법인有</v>
      </c>
      <c r="Q768" s="7463"/>
      <c r="R768" s="6658" t="s">
        <v>155</v>
      </c>
      <c r="S768" s="6561"/>
      <c r="T768" s="2472"/>
      <c r="U768" s="457"/>
      <c r="V768" s="99" t="s">
        <v>189</v>
      </c>
      <c r="W768" s="547"/>
      <c r="X768" s="547"/>
      <c r="Y768" s="299" t="s">
        <v>193</v>
      </c>
      <c r="Z768" s="154" t="s">
        <v>581</v>
      </c>
      <c r="AA768" s="154"/>
      <c r="AB768" s="159"/>
      <c r="AC768" s="6305"/>
    </row>
    <row r="769" spans="1:29" ht="20.100000000000001" customHeight="1">
      <c r="A769" s="11"/>
      <c r="B769" s="1360"/>
      <c r="C769" s="5598"/>
      <c r="D769" s="9598" t="s">
        <v>134</v>
      </c>
      <c r="E769" s="9600"/>
      <c r="F769" s="285" t="s">
        <v>413</v>
      </c>
      <c r="G769" s="666"/>
      <c r="H769" s="684"/>
      <c r="I769" s="9579" t="s">
        <v>135</v>
      </c>
      <c r="J769" s="9581"/>
      <c r="K769" s="285" t="s">
        <v>413</v>
      </c>
      <c r="L769" s="6753"/>
      <c r="M769" s="7249" t="s">
        <v>369</v>
      </c>
      <c r="N769" s="6842"/>
      <c r="O769" s="7377" t="s">
        <v>369</v>
      </c>
      <c r="P769" s="6936"/>
      <c r="Q769" s="7469" t="s">
        <v>369</v>
      </c>
      <c r="R769" s="6658" t="s">
        <v>155</v>
      </c>
      <c r="S769" s="6579"/>
      <c r="T769" s="2468"/>
      <c r="U769" s="544"/>
      <c r="V769" s="545"/>
      <c r="W769" s="546"/>
      <c r="X769" s="547"/>
      <c r="Y769" s="299" t="s">
        <v>193</v>
      </c>
      <c r="Z769" s="277"/>
      <c r="AA769" s="277"/>
      <c r="AB769" s="187"/>
    </row>
    <row r="770" spans="1:29" ht="20.100000000000001" customHeight="1">
      <c r="A770" s="11"/>
      <c r="B770" s="1360"/>
      <c r="C770" s="5598"/>
      <c r="D770" s="9598" t="s">
        <v>137</v>
      </c>
      <c r="E770" s="9600"/>
      <c r="F770" s="285" t="s">
        <v>413</v>
      </c>
      <c r="G770" s="666"/>
      <c r="H770" s="684"/>
      <c r="I770" s="9579" t="s">
        <v>138</v>
      </c>
      <c r="J770" s="9581"/>
      <c r="K770" s="285" t="s">
        <v>413</v>
      </c>
      <c r="L770" s="6753"/>
      <c r="M770" s="7249"/>
      <c r="N770" s="6842"/>
      <c r="O770" s="7377"/>
      <c r="P770" s="6936"/>
      <c r="Q770" s="7469"/>
      <c r="R770" s="6658" t="s">
        <v>155</v>
      </c>
      <c r="S770" s="6579"/>
      <c r="T770" s="2468"/>
      <c r="U770" s="544"/>
      <c r="V770" s="545"/>
      <c r="W770" s="546"/>
      <c r="X770" s="547"/>
      <c r="Y770" s="299" t="s">
        <v>193</v>
      </c>
      <c r="Z770" s="277"/>
      <c r="AA770" s="277"/>
      <c r="AB770" s="187"/>
    </row>
    <row r="771" spans="1:29" ht="20.100000000000001" customHeight="1">
      <c r="A771" s="11"/>
      <c r="B771" s="1360"/>
      <c r="C771" s="5598"/>
      <c r="D771" s="9598" t="s">
        <v>140</v>
      </c>
      <c r="E771" s="9600"/>
      <c r="F771" s="285" t="s">
        <v>413</v>
      </c>
      <c r="G771" s="666"/>
      <c r="H771" s="684"/>
      <c r="I771" s="9582" t="s">
        <v>141</v>
      </c>
      <c r="J771" s="9583"/>
      <c r="K771" s="285" t="s">
        <v>413</v>
      </c>
      <c r="L771" s="6754">
        <v>0</v>
      </c>
      <c r="M771" s="7250"/>
      <c r="N771" s="6842">
        <v>0</v>
      </c>
      <c r="O771" s="7377"/>
      <c r="P771" s="6936"/>
      <c r="Q771" s="7469"/>
      <c r="R771" s="6658" t="s">
        <v>155</v>
      </c>
      <c r="S771" s="6579"/>
      <c r="T771" s="2468"/>
      <c r="U771" s="544"/>
      <c r="V771" s="545"/>
      <c r="W771" s="546"/>
      <c r="X771" s="547"/>
      <c r="Y771" s="299" t="s">
        <v>193</v>
      </c>
      <c r="Z771" s="277"/>
      <c r="AA771" s="277"/>
      <c r="AB771" s="187"/>
    </row>
    <row r="772" spans="1:29" ht="20.100000000000001" customHeight="1">
      <c r="A772" s="11"/>
      <c r="B772" s="1360"/>
      <c r="C772" s="5598"/>
      <c r="D772" s="9598" t="s">
        <v>143</v>
      </c>
      <c r="E772" s="9600"/>
      <c r="F772" s="285" t="s">
        <v>413</v>
      </c>
      <c r="G772" s="666"/>
      <c r="H772" s="684"/>
      <c r="I772" s="9582" t="s">
        <v>144</v>
      </c>
      <c r="J772" s="9583"/>
      <c r="K772" s="285" t="s">
        <v>413</v>
      </c>
      <c r="L772" s="6753">
        <v>0</v>
      </c>
      <c r="M772" s="7261" t="s">
        <v>726</v>
      </c>
      <c r="N772" s="6842">
        <v>0</v>
      </c>
      <c r="O772" s="7379" t="s">
        <v>726</v>
      </c>
      <c r="P772" s="6936"/>
      <c r="Q772" s="7469"/>
      <c r="R772" s="6658" t="s">
        <v>155</v>
      </c>
      <c r="S772" s="6579"/>
      <c r="T772" s="2468"/>
      <c r="U772" s="544"/>
      <c r="V772" s="545"/>
      <c r="W772" s="546"/>
      <c r="X772" s="547"/>
      <c r="Y772" s="299" t="s">
        <v>193</v>
      </c>
      <c r="Z772" s="277"/>
      <c r="AA772" s="277"/>
      <c r="AB772" s="187"/>
    </row>
    <row r="773" spans="1:29" ht="20.100000000000001" customHeight="1">
      <c r="A773" s="11"/>
      <c r="B773" s="1360"/>
      <c r="C773" s="5598"/>
      <c r="D773" s="9598" t="s">
        <v>146</v>
      </c>
      <c r="E773" s="9600"/>
      <c r="F773" s="285" t="s">
        <v>413</v>
      </c>
      <c r="G773" s="666"/>
      <c r="H773" s="684"/>
      <c r="I773" s="9582" t="s">
        <v>147</v>
      </c>
      <c r="J773" s="9583"/>
      <c r="K773" s="285" t="s">
        <v>413</v>
      </c>
      <c r="L773" s="6774" t="s">
        <v>168</v>
      </c>
      <c r="M773" s="7250" t="s">
        <v>641</v>
      </c>
      <c r="N773" s="6826" t="s">
        <v>168</v>
      </c>
      <c r="O773" s="7240" t="s">
        <v>641</v>
      </c>
      <c r="P773" s="6837" t="s">
        <v>168</v>
      </c>
      <c r="Q773" s="7240" t="s">
        <v>641</v>
      </c>
      <c r="R773" s="6658" t="s">
        <v>155</v>
      </c>
      <c r="S773" s="6538"/>
      <c r="T773" s="2468"/>
      <c r="U773" s="544"/>
      <c r="V773" s="545"/>
      <c r="W773" s="546"/>
      <c r="X773" s="547"/>
      <c r="Y773" s="299" t="s">
        <v>193</v>
      </c>
      <c r="Z773" s="277"/>
      <c r="AA773" s="277"/>
      <c r="AB773" s="187"/>
    </row>
    <row r="774" spans="1:29" ht="20.100000000000001" customHeight="1">
      <c r="A774" s="11"/>
      <c r="B774" s="1360"/>
      <c r="C774" s="5598"/>
      <c r="D774" s="9598" t="s">
        <v>149</v>
      </c>
      <c r="E774" s="9600"/>
      <c r="F774" s="285" t="s">
        <v>413</v>
      </c>
      <c r="G774" s="666"/>
      <c r="H774" s="684"/>
      <c r="I774" s="9582" t="s">
        <v>150</v>
      </c>
      <c r="J774" s="9583"/>
      <c r="K774" s="285" t="s">
        <v>413</v>
      </c>
      <c r="L774" s="6753"/>
      <c r="M774" s="7249"/>
      <c r="N774" s="6842"/>
      <c r="O774" s="7377"/>
      <c r="P774" s="6936"/>
      <c r="Q774" s="7469"/>
      <c r="R774" s="6658" t="s">
        <v>155</v>
      </c>
      <c r="S774" s="6579"/>
      <c r="T774" s="2468"/>
      <c r="U774" s="544"/>
      <c r="V774" s="545"/>
      <c r="W774" s="546"/>
      <c r="X774" s="547"/>
      <c r="Y774" s="299" t="s">
        <v>193</v>
      </c>
      <c r="Z774" s="277"/>
      <c r="AA774" s="277"/>
      <c r="AB774" s="187"/>
    </row>
    <row r="775" spans="1:29" ht="20.100000000000001" customHeight="1">
      <c r="A775" s="11"/>
      <c r="B775" s="1360"/>
      <c r="C775" s="5598"/>
      <c r="D775" s="9586" t="s">
        <v>590</v>
      </c>
      <c r="E775" s="9588"/>
      <c r="F775" s="285" t="s">
        <v>413</v>
      </c>
      <c r="G775" s="666"/>
      <c r="H775" s="684"/>
      <c r="I775" s="9586" t="s">
        <v>591</v>
      </c>
      <c r="J775" s="9587"/>
      <c r="K775" s="285" t="s">
        <v>413</v>
      </c>
      <c r="L775" s="6763" t="str">
        <f>IF(COUNTBLANK(L776:L781)&gt;0,"미취합법인有",SUM(L776:L781))</f>
        <v>미취합법인有</v>
      </c>
      <c r="M775" s="7233"/>
      <c r="N775" s="6847" t="str">
        <f>IF(COUNTBLANK(N776:N781)&gt;0,"미취합법인有",SUM(N776:N781))</f>
        <v>미취합법인有</v>
      </c>
      <c r="O775" s="7236"/>
      <c r="P775" s="6913" t="str">
        <f>IF(COUNTBLANK(P776:P781)&gt;0,"미취합법인有",SUM(P776:P781))</f>
        <v>미취합법인有</v>
      </c>
      <c r="Q775" s="7463"/>
      <c r="R775" s="6658" t="s">
        <v>155</v>
      </c>
      <c r="S775" s="6561"/>
      <c r="T775" s="2468"/>
      <c r="U775" s="276"/>
      <c r="V775" s="99" t="s">
        <v>189</v>
      </c>
      <c r="W775" s="547"/>
      <c r="X775" s="547"/>
      <c r="Y775" s="299" t="s">
        <v>193</v>
      </c>
      <c r="Z775" s="620" t="s">
        <v>581</v>
      </c>
      <c r="AA775" s="154"/>
      <c r="AB775" s="159"/>
      <c r="AC775" s="6305"/>
    </row>
    <row r="776" spans="1:29" ht="20.100000000000001" customHeight="1">
      <c r="A776" s="11"/>
      <c r="B776" s="1360"/>
      <c r="C776" s="5598"/>
      <c r="D776" s="9598" t="s">
        <v>134</v>
      </c>
      <c r="E776" s="9600"/>
      <c r="F776" s="285" t="s">
        <v>413</v>
      </c>
      <c r="G776" s="666"/>
      <c r="H776" s="684"/>
      <c r="I776" s="9579" t="s">
        <v>135</v>
      </c>
      <c r="J776" s="9581"/>
      <c r="K776" s="285" t="s">
        <v>413</v>
      </c>
      <c r="L776" s="6753"/>
      <c r="M776" s="7249" t="s">
        <v>369</v>
      </c>
      <c r="N776" s="6842"/>
      <c r="O776" s="7377" t="s">
        <v>369</v>
      </c>
      <c r="P776" s="6936"/>
      <c r="Q776" s="7469" t="s">
        <v>369</v>
      </c>
      <c r="R776" s="6658" t="s">
        <v>155</v>
      </c>
      <c r="S776" s="6579"/>
      <c r="T776" s="2468"/>
      <c r="U776" s="544"/>
      <c r="V776" s="545"/>
      <c r="W776" s="546"/>
      <c r="X776" s="547"/>
      <c r="Y776" s="299" t="s">
        <v>193</v>
      </c>
      <c r="Z776" s="277"/>
      <c r="AA776" s="277"/>
      <c r="AB776" s="187"/>
    </row>
    <row r="777" spans="1:29" ht="20.100000000000001" customHeight="1">
      <c r="A777" s="11"/>
      <c r="B777" s="1360"/>
      <c r="C777" s="5598"/>
      <c r="D777" s="9598" t="s">
        <v>137</v>
      </c>
      <c r="E777" s="9600"/>
      <c r="F777" s="285" t="s">
        <v>413</v>
      </c>
      <c r="G777" s="666"/>
      <c r="H777" s="684"/>
      <c r="I777" s="9579" t="s">
        <v>138</v>
      </c>
      <c r="J777" s="9581"/>
      <c r="K777" s="285" t="s">
        <v>413</v>
      </c>
      <c r="L777" s="6753"/>
      <c r="M777" s="7249"/>
      <c r="N777" s="6842"/>
      <c r="O777" s="7377"/>
      <c r="P777" s="6936"/>
      <c r="Q777" s="7469"/>
      <c r="R777" s="6658" t="s">
        <v>155</v>
      </c>
      <c r="S777" s="6579"/>
      <c r="T777" s="2468"/>
      <c r="U777" s="544"/>
      <c r="V777" s="545"/>
      <c r="W777" s="546"/>
      <c r="X777" s="547"/>
      <c r="Y777" s="299" t="s">
        <v>193</v>
      </c>
      <c r="Z777" s="277"/>
      <c r="AA777" s="277"/>
      <c r="AB777" s="187"/>
    </row>
    <row r="778" spans="1:29" ht="20.100000000000001" customHeight="1">
      <c r="A778" s="11"/>
      <c r="B778" s="1360"/>
      <c r="C778" s="5598"/>
      <c r="D778" s="9598" t="s">
        <v>140</v>
      </c>
      <c r="E778" s="9600"/>
      <c r="F778" s="285" t="s">
        <v>413</v>
      </c>
      <c r="G778" s="666"/>
      <c r="H778" s="684"/>
      <c r="I778" s="9582" t="s">
        <v>141</v>
      </c>
      <c r="J778" s="9583"/>
      <c r="K778" s="285" t="s">
        <v>413</v>
      </c>
      <c r="L778" s="6754"/>
      <c r="M778" s="7250"/>
      <c r="N778" s="6842"/>
      <c r="O778" s="7377"/>
      <c r="P778" s="6936"/>
      <c r="Q778" s="7469"/>
      <c r="R778" s="6658" t="s">
        <v>155</v>
      </c>
      <c r="S778" s="6579"/>
      <c r="T778" s="2468"/>
      <c r="U778" s="544"/>
      <c r="V778" s="545"/>
      <c r="W778" s="546"/>
      <c r="X778" s="547"/>
      <c r="Y778" s="299" t="s">
        <v>193</v>
      </c>
      <c r="Z778" s="277"/>
      <c r="AA778" s="277"/>
      <c r="AB778" s="187"/>
    </row>
    <row r="779" spans="1:29" ht="20.100000000000001" customHeight="1">
      <c r="A779" s="11"/>
      <c r="B779" s="1360"/>
      <c r="C779" s="5598"/>
      <c r="D779" s="9598" t="s">
        <v>143</v>
      </c>
      <c r="E779" s="9600"/>
      <c r="F779" s="285" t="s">
        <v>413</v>
      </c>
      <c r="G779" s="666"/>
      <c r="H779" s="684"/>
      <c r="I779" s="9582" t="s">
        <v>144</v>
      </c>
      <c r="J779" s="9583"/>
      <c r="K779" s="285" t="s">
        <v>413</v>
      </c>
      <c r="L779" s="6753"/>
      <c r="M779" s="7249"/>
      <c r="N779" s="6842"/>
      <c r="O779" s="7377"/>
      <c r="P779" s="6936"/>
      <c r="Q779" s="7469"/>
      <c r="R779" s="6658" t="s">
        <v>155</v>
      </c>
      <c r="S779" s="6579"/>
      <c r="T779" s="2468"/>
      <c r="U779" s="544"/>
      <c r="V779" s="545"/>
      <c r="W779" s="546"/>
      <c r="X779" s="547"/>
      <c r="Y779" s="299" t="s">
        <v>193</v>
      </c>
      <c r="Z779" s="277"/>
      <c r="AA779" s="277"/>
      <c r="AB779" s="187"/>
    </row>
    <row r="780" spans="1:29" ht="20.100000000000001" customHeight="1">
      <c r="A780" s="11"/>
      <c r="B780" s="1360"/>
      <c r="C780" s="5598"/>
      <c r="D780" s="9598" t="s">
        <v>146</v>
      </c>
      <c r="E780" s="9600"/>
      <c r="F780" s="285" t="s">
        <v>413</v>
      </c>
      <c r="G780" s="666"/>
      <c r="H780" s="684"/>
      <c r="I780" s="9582" t="s">
        <v>147</v>
      </c>
      <c r="J780" s="9583"/>
      <c r="K780" s="285" t="s">
        <v>413</v>
      </c>
      <c r="L780" s="6774" t="s">
        <v>168</v>
      </c>
      <c r="M780" s="7250" t="s">
        <v>641</v>
      </c>
      <c r="N780" s="6826" t="s">
        <v>168</v>
      </c>
      <c r="O780" s="7240" t="s">
        <v>641</v>
      </c>
      <c r="P780" s="6837" t="s">
        <v>168</v>
      </c>
      <c r="Q780" s="7240" t="s">
        <v>641</v>
      </c>
      <c r="R780" s="6658" t="s">
        <v>155</v>
      </c>
      <c r="S780" s="6538"/>
      <c r="T780" s="2468"/>
      <c r="U780" s="544"/>
      <c r="V780" s="545"/>
      <c r="W780" s="546"/>
      <c r="X780" s="547"/>
      <c r="Y780" s="299" t="s">
        <v>193</v>
      </c>
      <c r="Z780" s="277"/>
      <c r="AA780" s="277"/>
      <c r="AB780" s="187"/>
    </row>
    <row r="781" spans="1:29" ht="20.100000000000001" customHeight="1">
      <c r="A781" s="11"/>
      <c r="B781" s="1360"/>
      <c r="C781" s="5598"/>
      <c r="D781" s="9598" t="s">
        <v>149</v>
      </c>
      <c r="E781" s="9600"/>
      <c r="F781" s="285" t="s">
        <v>413</v>
      </c>
      <c r="G781" s="666"/>
      <c r="H781" s="684"/>
      <c r="I781" s="9582" t="s">
        <v>150</v>
      </c>
      <c r="J781" s="9583"/>
      <c r="K781" s="285" t="s">
        <v>413</v>
      </c>
      <c r="L781" s="6753"/>
      <c r="M781" s="7249"/>
      <c r="N781" s="6842"/>
      <c r="O781" s="7377"/>
      <c r="P781" s="6936"/>
      <c r="Q781" s="7469"/>
      <c r="R781" s="6658" t="s">
        <v>155</v>
      </c>
      <c r="S781" s="6579"/>
      <c r="T781" s="2468"/>
      <c r="U781" s="544"/>
      <c r="V781" s="545"/>
      <c r="W781" s="546"/>
      <c r="X781" s="547"/>
      <c r="Y781" s="299" t="s">
        <v>193</v>
      </c>
      <c r="Z781" s="277"/>
      <c r="AA781" s="277"/>
      <c r="AB781" s="187"/>
    </row>
    <row r="782" spans="1:29" ht="20.100000000000001" customHeight="1">
      <c r="A782" s="11"/>
      <c r="B782" s="1360"/>
      <c r="C782" s="9587" t="s">
        <v>592</v>
      </c>
      <c r="D782" s="9587"/>
      <c r="E782" s="9588"/>
      <c r="F782" s="285" t="s">
        <v>156</v>
      </c>
      <c r="G782" s="621"/>
      <c r="H782" s="9586" t="s">
        <v>593</v>
      </c>
      <c r="I782" s="9587"/>
      <c r="J782" s="5606"/>
      <c r="K782" s="285" t="s">
        <v>156</v>
      </c>
      <c r="L782" s="6763" t="str">
        <f>IF(COUNTBLANK(L783:L788)&gt;0,"미취합법인有",AVERAGE(L783:L788))</f>
        <v>미취합법인有</v>
      </c>
      <c r="M782" s="7233"/>
      <c r="N782" s="6847" t="str">
        <f>IF(COUNTBLANK(N783:N788)&gt;0,"미취합법인有",AVERAGE(N783:N788))</f>
        <v>미취합법인有</v>
      </c>
      <c r="O782" s="7236"/>
      <c r="P782" s="6913" t="str">
        <f>IF(COUNTBLANK(P783:P788)&gt;0,"미취합법인有",AVERAGE(P783:P788))</f>
        <v>미취합법인有</v>
      </c>
      <c r="Q782" s="7463"/>
      <c r="R782" s="6659" t="s">
        <v>31</v>
      </c>
      <c r="S782" s="6561"/>
      <c r="T782" s="2468" t="s">
        <v>594</v>
      </c>
      <c r="U782" s="276" t="s">
        <v>595</v>
      </c>
      <c r="V782" s="99" t="s">
        <v>189</v>
      </c>
      <c r="W782" s="547"/>
      <c r="X782" s="547"/>
      <c r="Y782" s="299" t="s">
        <v>193</v>
      </c>
      <c r="Z782" s="620" t="s">
        <v>596</v>
      </c>
      <c r="AA782" s="154"/>
      <c r="AB782" s="159" t="s">
        <v>597</v>
      </c>
      <c r="AC782" s="6305"/>
    </row>
    <row r="783" spans="1:29" ht="19.899999999999999" customHeight="1">
      <c r="A783" s="11"/>
      <c r="B783" s="5590"/>
      <c r="C783" s="9647" t="s">
        <v>134</v>
      </c>
      <c r="D783" s="9648"/>
      <c r="E783" s="9649"/>
      <c r="F783" s="285" t="s">
        <v>156</v>
      </c>
      <c r="G783" s="253"/>
      <c r="H783" s="9579" t="s">
        <v>135</v>
      </c>
      <c r="I783" s="9580"/>
      <c r="J783" s="9581"/>
      <c r="K783" s="285" t="s">
        <v>156</v>
      </c>
      <c r="L783" s="6753"/>
      <c r="M783" s="7249" t="s">
        <v>369</v>
      </c>
      <c r="N783" s="6842"/>
      <c r="O783" s="7249" t="s">
        <v>369</v>
      </c>
      <c r="P783" s="6811"/>
      <c r="Q783" s="7375" t="s">
        <v>369</v>
      </c>
      <c r="R783" s="6659" t="s">
        <v>31</v>
      </c>
      <c r="S783" s="6583"/>
      <c r="T783" s="1033"/>
      <c r="U783" s="263"/>
      <c r="V783" s="99"/>
      <c r="W783" s="138"/>
      <c r="X783" s="138"/>
      <c r="Y783" s="299" t="s">
        <v>193</v>
      </c>
      <c r="Z783" s="264"/>
      <c r="AA783" s="277"/>
      <c r="AB783" s="187"/>
    </row>
    <row r="784" spans="1:29" ht="19.899999999999999" customHeight="1">
      <c r="A784" s="11"/>
      <c r="B784" s="5590"/>
      <c r="C784" s="9647" t="s">
        <v>137</v>
      </c>
      <c r="D784" s="9648"/>
      <c r="E784" s="9649"/>
      <c r="F784" s="285" t="s">
        <v>156</v>
      </c>
      <c r="G784" s="253"/>
      <c r="H784" s="9579" t="s">
        <v>138</v>
      </c>
      <c r="I784" s="9580"/>
      <c r="J784" s="9581"/>
      <c r="K784" s="285" t="s">
        <v>156</v>
      </c>
      <c r="L784" s="6754" t="s">
        <v>169</v>
      </c>
      <c r="M784" s="7250"/>
      <c r="N784" s="6826" t="s">
        <v>169</v>
      </c>
      <c r="O784" s="7250"/>
      <c r="P784" s="6884" t="s">
        <v>169</v>
      </c>
      <c r="Q784" s="7356" t="s">
        <v>169</v>
      </c>
      <c r="R784" s="6659" t="s">
        <v>31</v>
      </c>
      <c r="S784" s="6557"/>
      <c r="T784" s="1033"/>
      <c r="U784" s="263"/>
      <c r="V784" s="99"/>
      <c r="W784" s="138"/>
      <c r="X784" s="138"/>
      <c r="Y784" s="299" t="s">
        <v>193</v>
      </c>
      <c r="Z784" s="264"/>
      <c r="AA784" s="277"/>
      <c r="AB784" s="187"/>
    </row>
    <row r="785" spans="1:29" ht="19.899999999999999" customHeight="1">
      <c r="A785" s="11"/>
      <c r="B785" s="5590"/>
      <c r="C785" s="9647" t="s">
        <v>140</v>
      </c>
      <c r="D785" s="9648"/>
      <c r="E785" s="9649"/>
      <c r="F785" s="285" t="s">
        <v>156</v>
      </c>
      <c r="G785" s="253"/>
      <c r="H785" s="9579" t="s">
        <v>141</v>
      </c>
      <c r="I785" s="9580"/>
      <c r="J785" s="9581"/>
      <c r="K785" s="285" t="s">
        <v>156</v>
      </c>
      <c r="L785" s="6754"/>
      <c r="M785" s="7250"/>
      <c r="N785" s="6826"/>
      <c r="O785" s="7250"/>
      <c r="P785" s="6811"/>
      <c r="Q785" s="7375"/>
      <c r="R785" s="6659" t="s">
        <v>31</v>
      </c>
      <c r="S785" s="6583"/>
      <c r="T785" s="1033"/>
      <c r="U785" s="263"/>
      <c r="V785" s="99"/>
      <c r="W785" s="138"/>
      <c r="X785" s="138"/>
      <c r="Y785" s="299" t="s">
        <v>193</v>
      </c>
      <c r="Z785" s="264"/>
      <c r="AA785" s="277"/>
      <c r="AB785" s="187"/>
    </row>
    <row r="786" spans="1:29" ht="19.899999999999999" customHeight="1">
      <c r="A786" s="11"/>
      <c r="B786" s="5590"/>
      <c r="C786" s="9647" t="s">
        <v>143</v>
      </c>
      <c r="D786" s="9648"/>
      <c r="E786" s="9649"/>
      <c r="F786" s="285" t="s">
        <v>156</v>
      </c>
      <c r="G786" s="253"/>
      <c r="H786" s="9579" t="s">
        <v>144</v>
      </c>
      <c r="I786" s="9580"/>
      <c r="J786" s="9581"/>
      <c r="K786" s="285" t="s">
        <v>156</v>
      </c>
      <c r="L786" s="6754"/>
      <c r="M786" s="7250"/>
      <c r="N786" s="6826"/>
      <c r="O786" s="7250"/>
      <c r="P786" s="6884"/>
      <c r="Q786" s="7356"/>
      <c r="R786" s="6659" t="s">
        <v>31</v>
      </c>
      <c r="S786" s="6557"/>
      <c r="T786" s="1033"/>
      <c r="U786" s="263"/>
      <c r="V786" s="99"/>
      <c r="W786" s="138"/>
      <c r="X786" s="138"/>
      <c r="Y786" s="299" t="s">
        <v>193</v>
      </c>
      <c r="Z786" s="264"/>
      <c r="AA786" s="277"/>
      <c r="AB786" s="187"/>
    </row>
    <row r="787" spans="1:29" ht="19.899999999999999" customHeight="1">
      <c r="A787" s="11"/>
      <c r="B787" s="5590"/>
      <c r="C787" s="9647" t="s">
        <v>146</v>
      </c>
      <c r="D787" s="9648"/>
      <c r="E787" s="9649"/>
      <c r="F787" s="285" t="s">
        <v>156</v>
      </c>
      <c r="G787" s="253"/>
      <c r="H787" s="9579" t="s">
        <v>147</v>
      </c>
      <c r="I787" s="9580"/>
      <c r="J787" s="9581"/>
      <c r="K787" s="285" t="s">
        <v>156</v>
      </c>
      <c r="L787" s="6774" t="s">
        <v>168</v>
      </c>
      <c r="M787" s="7250" t="s">
        <v>641</v>
      </c>
      <c r="N787" s="6826" t="s">
        <v>168</v>
      </c>
      <c r="O787" s="7356" t="s">
        <v>641</v>
      </c>
      <c r="P787" s="6826" t="s">
        <v>168</v>
      </c>
      <c r="Q787" s="7356" t="s">
        <v>641</v>
      </c>
      <c r="R787" s="6659" t="s">
        <v>31</v>
      </c>
      <c r="S787" s="6557"/>
      <c r="T787" s="1033"/>
      <c r="U787" s="263"/>
      <c r="V787" s="99"/>
      <c r="W787" s="138"/>
      <c r="X787" s="138"/>
      <c r="Y787" s="299" t="s">
        <v>193</v>
      </c>
      <c r="Z787" s="264"/>
      <c r="AA787" s="277"/>
      <c r="AB787" s="187"/>
    </row>
    <row r="788" spans="1:29" ht="19.899999999999999" customHeight="1">
      <c r="A788" s="11"/>
      <c r="B788" s="5590"/>
      <c r="C788" s="9647" t="s">
        <v>149</v>
      </c>
      <c r="D788" s="9648"/>
      <c r="E788" s="9649"/>
      <c r="F788" s="285" t="s">
        <v>156</v>
      </c>
      <c r="G788" s="253"/>
      <c r="H788" s="9579" t="s">
        <v>150</v>
      </c>
      <c r="I788" s="9580"/>
      <c r="J788" s="9581"/>
      <c r="K788" s="285" t="s">
        <v>156</v>
      </c>
      <c r="L788" s="6754"/>
      <c r="M788" s="7250"/>
      <c r="N788" s="6826"/>
      <c r="O788" s="7356"/>
      <c r="P788" s="6826"/>
      <c r="Q788" s="7356"/>
      <c r="R788" s="6659" t="s">
        <v>31</v>
      </c>
      <c r="S788" s="6557"/>
      <c r="T788" s="1033"/>
      <c r="U788" s="263"/>
      <c r="V788" s="99"/>
      <c r="W788" s="138"/>
      <c r="X788" s="138"/>
      <c r="Y788" s="299" t="s">
        <v>193</v>
      </c>
      <c r="Z788" s="264"/>
      <c r="AA788" s="277"/>
      <c r="AB788" s="187"/>
    </row>
    <row r="789" spans="1:29" ht="20.100000000000001" customHeight="1">
      <c r="A789" s="11"/>
      <c r="B789" s="1360"/>
      <c r="C789" s="5598"/>
      <c r="D789" s="9586" t="s">
        <v>598</v>
      </c>
      <c r="E789" s="9588"/>
      <c r="F789" s="285" t="s">
        <v>413</v>
      </c>
      <c r="G789" s="666"/>
      <c r="H789" s="666"/>
      <c r="I789" s="9586" t="s">
        <v>599</v>
      </c>
      <c r="J789" s="9587"/>
      <c r="K789" s="285" t="s">
        <v>413</v>
      </c>
      <c r="L789" s="6763" t="str">
        <f>IF(COUNTBLANK(L790:L795)&gt;0,"미취합법인有",SUM(L790:L795))</f>
        <v>미취합법인有</v>
      </c>
      <c r="M789" s="7233"/>
      <c r="N789" s="6847" t="str">
        <f>IF(COUNTBLANK(N790:N795)&gt;0,"미취합법인有",SUM(N790:N795))</f>
        <v>미취합법인有</v>
      </c>
      <c r="O789" s="7353"/>
      <c r="P789" s="6913" t="str">
        <f>IF(COUNTBLANK(P790:P795)&gt;0,"미취합법인有",SUM(P790:P795))</f>
        <v>미취합법인有</v>
      </c>
      <c r="Q789" s="7463"/>
      <c r="R789" s="6658" t="s">
        <v>155</v>
      </c>
      <c r="S789" s="6561"/>
      <c r="T789" s="2468"/>
      <c r="U789" s="276"/>
      <c r="V789" s="99" t="s">
        <v>189</v>
      </c>
      <c r="W789" s="547"/>
      <c r="X789" s="547"/>
      <c r="Y789" s="299" t="s">
        <v>193</v>
      </c>
      <c r="Z789" s="620" t="s">
        <v>600</v>
      </c>
      <c r="AA789" s="154"/>
      <c r="AB789" s="159"/>
      <c r="AC789" s="6305"/>
    </row>
    <row r="790" spans="1:29" ht="20.100000000000001" customHeight="1">
      <c r="A790" s="11"/>
      <c r="B790" s="1360"/>
      <c r="C790" s="5598"/>
      <c r="D790" s="9598" t="s">
        <v>134</v>
      </c>
      <c r="E790" s="9600"/>
      <c r="F790" s="285" t="s">
        <v>413</v>
      </c>
      <c r="G790" s="666"/>
      <c r="H790" s="666"/>
      <c r="I790" s="9579" t="s">
        <v>135</v>
      </c>
      <c r="J790" s="9581"/>
      <c r="K790" s="285" t="s">
        <v>413</v>
      </c>
      <c r="L790" s="6753"/>
      <c r="M790" s="7249" t="s">
        <v>369</v>
      </c>
      <c r="N790" s="6842"/>
      <c r="O790" s="7377" t="s">
        <v>369</v>
      </c>
      <c r="P790" s="6936"/>
      <c r="Q790" s="7469" t="s">
        <v>369</v>
      </c>
      <c r="R790" s="6658" t="s">
        <v>155</v>
      </c>
      <c r="S790" s="6579"/>
      <c r="T790" s="2468"/>
      <c r="U790" s="544"/>
      <c r="V790" s="545"/>
      <c r="W790" s="546"/>
      <c r="X790" s="547"/>
      <c r="Y790" s="299" t="s">
        <v>193</v>
      </c>
      <c r="Z790" s="277"/>
      <c r="AA790" s="277"/>
      <c r="AB790" s="187"/>
    </row>
    <row r="791" spans="1:29" ht="20.100000000000001" customHeight="1">
      <c r="A791" s="11"/>
      <c r="B791" s="1360"/>
      <c r="C791" s="5598"/>
      <c r="D791" s="9598" t="s">
        <v>137</v>
      </c>
      <c r="E791" s="9600"/>
      <c r="F791" s="285" t="s">
        <v>413</v>
      </c>
      <c r="G791" s="666"/>
      <c r="H791" s="666"/>
      <c r="I791" s="9579" t="s">
        <v>138</v>
      </c>
      <c r="J791" s="9581"/>
      <c r="K791" s="285" t="s">
        <v>413</v>
      </c>
      <c r="L791" s="6753"/>
      <c r="M791" s="7249"/>
      <c r="N791" s="6842"/>
      <c r="O791" s="7377"/>
      <c r="P791" s="6936"/>
      <c r="Q791" s="7469"/>
      <c r="R791" s="6658" t="s">
        <v>155</v>
      </c>
      <c r="S791" s="6579"/>
      <c r="T791" s="2468"/>
      <c r="U791" s="544"/>
      <c r="V791" s="545"/>
      <c r="W791" s="546"/>
      <c r="X791" s="547"/>
      <c r="Y791" s="299" t="s">
        <v>193</v>
      </c>
      <c r="Z791" s="277"/>
      <c r="AA791" s="277"/>
      <c r="AB791" s="187"/>
    </row>
    <row r="792" spans="1:29" ht="20.100000000000001" customHeight="1">
      <c r="A792" s="11"/>
      <c r="B792" s="1360"/>
      <c r="C792" s="5598"/>
      <c r="D792" s="9598" t="s">
        <v>140</v>
      </c>
      <c r="E792" s="9600"/>
      <c r="F792" s="285" t="s">
        <v>413</v>
      </c>
      <c r="G792" s="666"/>
      <c r="H792" s="666"/>
      <c r="I792" s="9582" t="s">
        <v>141</v>
      </c>
      <c r="J792" s="9583"/>
      <c r="K792" s="285" t="s">
        <v>413</v>
      </c>
      <c r="L792" s="6753"/>
      <c r="M792" s="7249"/>
      <c r="N792" s="6842"/>
      <c r="O792" s="7377"/>
      <c r="P792" s="6936"/>
      <c r="Q792" s="7469"/>
      <c r="R792" s="6658" t="s">
        <v>155</v>
      </c>
      <c r="S792" s="6579"/>
      <c r="T792" s="2468"/>
      <c r="U792" s="544"/>
      <c r="V792" s="545"/>
      <c r="W792" s="546"/>
      <c r="X792" s="547"/>
      <c r="Y792" s="299" t="s">
        <v>193</v>
      </c>
      <c r="Z792" s="277"/>
      <c r="AA792" s="277"/>
      <c r="AB792" s="187"/>
    </row>
    <row r="793" spans="1:29" ht="20.100000000000001" customHeight="1">
      <c r="A793" s="11"/>
      <c r="B793" s="1360"/>
      <c r="C793" s="5598"/>
      <c r="D793" s="9598" t="s">
        <v>143</v>
      </c>
      <c r="E793" s="9600"/>
      <c r="F793" s="285" t="s">
        <v>413</v>
      </c>
      <c r="G793" s="666"/>
      <c r="H793" s="666"/>
      <c r="I793" s="9582" t="s">
        <v>144</v>
      </c>
      <c r="J793" s="9583"/>
      <c r="K793" s="285" t="s">
        <v>413</v>
      </c>
      <c r="L793" s="6753"/>
      <c r="M793" s="7249"/>
      <c r="N793" s="6842"/>
      <c r="O793" s="7377"/>
      <c r="P793" s="6936"/>
      <c r="Q793" s="7469"/>
      <c r="R793" s="6658" t="s">
        <v>155</v>
      </c>
      <c r="S793" s="6579"/>
      <c r="T793" s="2468"/>
      <c r="U793" s="544"/>
      <c r="V793" s="545"/>
      <c r="W793" s="546"/>
      <c r="X793" s="547"/>
      <c r="Y793" s="299" t="s">
        <v>193</v>
      </c>
      <c r="Z793" s="277"/>
      <c r="AA793" s="277"/>
      <c r="AB793" s="187"/>
    </row>
    <row r="794" spans="1:29" ht="20.100000000000001" customHeight="1">
      <c r="A794" s="11"/>
      <c r="B794" s="1360"/>
      <c r="C794" s="5598"/>
      <c r="D794" s="9598" t="s">
        <v>146</v>
      </c>
      <c r="E794" s="9600"/>
      <c r="F794" s="285" t="s">
        <v>413</v>
      </c>
      <c r="G794" s="666"/>
      <c r="H794" s="666"/>
      <c r="I794" s="9582" t="s">
        <v>147</v>
      </c>
      <c r="J794" s="9583"/>
      <c r="K794" s="285" t="s">
        <v>413</v>
      </c>
      <c r="L794" s="6774" t="s">
        <v>168</v>
      </c>
      <c r="M794" s="7250" t="s">
        <v>641</v>
      </c>
      <c r="N794" s="6826" t="s">
        <v>168</v>
      </c>
      <c r="O794" s="7240" t="s">
        <v>641</v>
      </c>
      <c r="P794" s="6837" t="s">
        <v>168</v>
      </c>
      <c r="Q794" s="7240" t="s">
        <v>641</v>
      </c>
      <c r="R794" s="6658" t="s">
        <v>155</v>
      </c>
      <c r="S794" s="6538"/>
      <c r="T794" s="2468"/>
      <c r="U794" s="544"/>
      <c r="V794" s="545"/>
      <c r="W794" s="546"/>
      <c r="X794" s="547"/>
      <c r="Y794" s="299" t="s">
        <v>193</v>
      </c>
      <c r="Z794" s="277"/>
      <c r="AA794" s="277"/>
      <c r="AB794" s="187"/>
    </row>
    <row r="795" spans="1:29" ht="20.100000000000001" customHeight="1">
      <c r="A795" s="11"/>
      <c r="B795" s="1360"/>
      <c r="C795" s="5598"/>
      <c r="D795" s="9598" t="s">
        <v>149</v>
      </c>
      <c r="E795" s="9600"/>
      <c r="F795" s="285" t="s">
        <v>413</v>
      </c>
      <c r="G795" s="666"/>
      <c r="H795" s="666"/>
      <c r="I795" s="9582" t="s">
        <v>150</v>
      </c>
      <c r="J795" s="9583"/>
      <c r="K795" s="285" t="s">
        <v>413</v>
      </c>
      <c r="L795" s="6753"/>
      <c r="M795" s="7249"/>
      <c r="N795" s="6842"/>
      <c r="O795" s="7377"/>
      <c r="P795" s="6936"/>
      <c r="Q795" s="7469"/>
      <c r="R795" s="6658" t="s">
        <v>155</v>
      </c>
      <c r="S795" s="6579"/>
      <c r="T795" s="2468"/>
      <c r="U795" s="544"/>
      <c r="V795" s="545"/>
      <c r="W795" s="546"/>
      <c r="X795" s="547"/>
      <c r="Y795" s="299" t="s">
        <v>193</v>
      </c>
      <c r="Z795" s="277"/>
      <c r="AA795" s="277"/>
      <c r="AB795" s="187"/>
    </row>
    <row r="796" spans="1:29" ht="20.100000000000001" customHeight="1">
      <c r="A796" s="11"/>
      <c r="B796" s="1360"/>
      <c r="C796" s="5598"/>
      <c r="D796" s="9586" t="s">
        <v>601</v>
      </c>
      <c r="E796" s="9588"/>
      <c r="F796" s="285" t="s">
        <v>413</v>
      </c>
      <c r="G796" s="666"/>
      <c r="H796" s="666"/>
      <c r="I796" s="9586" t="s">
        <v>602</v>
      </c>
      <c r="J796" s="9587"/>
      <c r="K796" s="285" t="s">
        <v>413</v>
      </c>
      <c r="L796" s="6763" t="str">
        <f>IF(COUNTBLANK(L797:L802)&gt;0,"미취합법인有",SUM(L797:L802))</f>
        <v>미취합법인有</v>
      </c>
      <c r="M796" s="7233"/>
      <c r="N796" s="6847" t="str">
        <f>IF(COUNTBLANK(N797:N802)&gt;0,"미취합법인有",SUM(N797:N802))</f>
        <v>미취합법인有</v>
      </c>
      <c r="O796" s="7236"/>
      <c r="P796" s="6913" t="str">
        <f>IF(COUNTBLANK(P797:P802)&gt;0,"미취합법인有",SUM(P797:P802))</f>
        <v>미취합법인有</v>
      </c>
      <c r="Q796" s="7463"/>
      <c r="R796" s="6658" t="s">
        <v>155</v>
      </c>
      <c r="S796" s="6561"/>
      <c r="T796" s="2468"/>
      <c r="U796" s="276"/>
      <c r="V796" s="99" t="s">
        <v>189</v>
      </c>
      <c r="W796" s="547"/>
      <c r="X796" s="547"/>
      <c r="Y796" s="299" t="s">
        <v>193</v>
      </c>
      <c r="Z796" s="620" t="s">
        <v>600</v>
      </c>
      <c r="AA796" s="154"/>
      <c r="AB796" s="159"/>
      <c r="AC796" s="6305"/>
    </row>
    <row r="797" spans="1:29" ht="20.100000000000001" customHeight="1">
      <c r="A797" s="11"/>
      <c r="B797" s="1360"/>
      <c r="C797" s="5598"/>
      <c r="D797" s="9598" t="s">
        <v>134</v>
      </c>
      <c r="E797" s="9600"/>
      <c r="F797" s="285" t="s">
        <v>413</v>
      </c>
      <c r="G797" s="666"/>
      <c r="H797" s="666"/>
      <c r="I797" s="9579" t="s">
        <v>135</v>
      </c>
      <c r="J797" s="9581"/>
      <c r="K797" s="285" t="s">
        <v>413</v>
      </c>
      <c r="L797" s="6753"/>
      <c r="M797" s="7249" t="s">
        <v>369</v>
      </c>
      <c r="N797" s="6842"/>
      <c r="O797" s="7377" t="s">
        <v>369</v>
      </c>
      <c r="P797" s="6936"/>
      <c r="Q797" s="7469" t="s">
        <v>369</v>
      </c>
      <c r="R797" s="6658" t="s">
        <v>155</v>
      </c>
      <c r="S797" s="6579"/>
      <c r="T797" s="2468"/>
      <c r="U797" s="544"/>
      <c r="V797" s="545"/>
      <c r="W797" s="546"/>
      <c r="X797" s="547"/>
      <c r="Y797" s="299" t="s">
        <v>193</v>
      </c>
      <c r="Z797" s="277"/>
      <c r="AA797" s="277"/>
      <c r="AB797" s="187"/>
    </row>
    <row r="798" spans="1:29" ht="20.100000000000001" customHeight="1">
      <c r="A798" s="11"/>
      <c r="B798" s="1360"/>
      <c r="C798" s="5598"/>
      <c r="D798" s="9598" t="s">
        <v>137</v>
      </c>
      <c r="E798" s="9600"/>
      <c r="F798" s="285" t="s">
        <v>413</v>
      </c>
      <c r="G798" s="666"/>
      <c r="H798" s="666"/>
      <c r="I798" s="9579" t="s">
        <v>138</v>
      </c>
      <c r="J798" s="9581"/>
      <c r="K798" s="285" t="s">
        <v>413</v>
      </c>
      <c r="L798" s="6753"/>
      <c r="M798" s="7249"/>
      <c r="N798" s="6842"/>
      <c r="O798" s="7377"/>
      <c r="P798" s="6936"/>
      <c r="Q798" s="7469"/>
      <c r="R798" s="6658" t="s">
        <v>155</v>
      </c>
      <c r="S798" s="6579"/>
      <c r="T798" s="2468"/>
      <c r="U798" s="544"/>
      <c r="V798" s="545"/>
      <c r="W798" s="546"/>
      <c r="X798" s="547"/>
      <c r="Y798" s="299" t="s">
        <v>193</v>
      </c>
      <c r="Z798" s="277"/>
      <c r="AA798" s="277"/>
      <c r="AB798" s="187"/>
    </row>
    <row r="799" spans="1:29" ht="20.100000000000001" customHeight="1">
      <c r="A799" s="11"/>
      <c r="B799" s="1360"/>
      <c r="C799" s="5598"/>
      <c r="D799" s="9598" t="s">
        <v>140</v>
      </c>
      <c r="E799" s="9600"/>
      <c r="F799" s="285" t="s">
        <v>413</v>
      </c>
      <c r="G799" s="666"/>
      <c r="H799" s="666"/>
      <c r="I799" s="9582" t="s">
        <v>141</v>
      </c>
      <c r="J799" s="9583"/>
      <c r="K799" s="285" t="s">
        <v>413</v>
      </c>
      <c r="L799" s="6753"/>
      <c r="M799" s="7249"/>
      <c r="N799" s="6842"/>
      <c r="O799" s="7377"/>
      <c r="P799" s="6936"/>
      <c r="Q799" s="7469"/>
      <c r="R799" s="6658" t="s">
        <v>155</v>
      </c>
      <c r="S799" s="6579"/>
      <c r="T799" s="2468"/>
      <c r="U799" s="544"/>
      <c r="V799" s="545"/>
      <c r="W799" s="546"/>
      <c r="X799" s="547"/>
      <c r="Y799" s="299" t="s">
        <v>193</v>
      </c>
      <c r="Z799" s="277"/>
      <c r="AA799" s="277"/>
      <c r="AB799" s="187"/>
    </row>
    <row r="800" spans="1:29" ht="20.100000000000001" customHeight="1">
      <c r="A800" s="11"/>
      <c r="B800" s="1360"/>
      <c r="C800" s="5598"/>
      <c r="D800" s="9598" t="s">
        <v>143</v>
      </c>
      <c r="E800" s="9600"/>
      <c r="F800" s="285" t="s">
        <v>413</v>
      </c>
      <c r="G800" s="666"/>
      <c r="H800" s="666"/>
      <c r="I800" s="9582" t="s">
        <v>144</v>
      </c>
      <c r="J800" s="9583"/>
      <c r="K800" s="285" t="s">
        <v>413</v>
      </c>
      <c r="L800" s="6753"/>
      <c r="M800" s="7249"/>
      <c r="N800" s="6842"/>
      <c r="O800" s="7377"/>
      <c r="P800" s="6936"/>
      <c r="Q800" s="7469"/>
      <c r="R800" s="6658" t="s">
        <v>155</v>
      </c>
      <c r="S800" s="6579"/>
      <c r="T800" s="2468"/>
      <c r="U800" s="544"/>
      <c r="V800" s="545"/>
      <c r="W800" s="546"/>
      <c r="X800" s="547"/>
      <c r="Y800" s="299" t="s">
        <v>193</v>
      </c>
      <c r="Z800" s="277"/>
      <c r="AA800" s="277"/>
      <c r="AB800" s="187"/>
    </row>
    <row r="801" spans="1:29" ht="20.100000000000001" customHeight="1">
      <c r="A801" s="11"/>
      <c r="B801" s="1360"/>
      <c r="C801" s="5598"/>
      <c r="D801" s="9598" t="s">
        <v>146</v>
      </c>
      <c r="E801" s="9600"/>
      <c r="F801" s="285" t="s">
        <v>413</v>
      </c>
      <c r="G801" s="666"/>
      <c r="H801" s="666"/>
      <c r="I801" s="9582" t="s">
        <v>147</v>
      </c>
      <c r="J801" s="9583"/>
      <c r="K801" s="285" t="s">
        <v>413</v>
      </c>
      <c r="L801" s="6774" t="s">
        <v>168</v>
      </c>
      <c r="M801" s="7250" t="s">
        <v>641</v>
      </c>
      <c r="N801" s="6826" t="s">
        <v>168</v>
      </c>
      <c r="O801" s="7240" t="s">
        <v>641</v>
      </c>
      <c r="P801" s="6837" t="s">
        <v>168</v>
      </c>
      <c r="Q801" s="7240" t="s">
        <v>641</v>
      </c>
      <c r="R801" s="6658" t="s">
        <v>155</v>
      </c>
      <c r="S801" s="6538"/>
      <c r="T801" s="2468"/>
      <c r="U801" s="544"/>
      <c r="V801" s="545"/>
      <c r="W801" s="546"/>
      <c r="X801" s="547"/>
      <c r="Y801" s="299" t="s">
        <v>193</v>
      </c>
      <c r="Z801" s="277"/>
      <c r="AA801" s="277"/>
      <c r="AB801" s="187"/>
    </row>
    <row r="802" spans="1:29" ht="20.100000000000001" customHeight="1">
      <c r="A802" s="11"/>
      <c r="B802" s="1360"/>
      <c r="C802" s="5598"/>
      <c r="D802" s="9598" t="s">
        <v>149</v>
      </c>
      <c r="E802" s="9600"/>
      <c r="F802" s="285" t="s">
        <v>413</v>
      </c>
      <c r="G802" s="666"/>
      <c r="H802" s="666"/>
      <c r="I802" s="9582" t="s">
        <v>150</v>
      </c>
      <c r="J802" s="9583"/>
      <c r="K802" s="285" t="s">
        <v>413</v>
      </c>
      <c r="L802" s="6753"/>
      <c r="M802" s="7249"/>
      <c r="N802" s="6842"/>
      <c r="O802" s="7377"/>
      <c r="P802" s="6936"/>
      <c r="Q802" s="7469"/>
      <c r="R802" s="6658" t="s">
        <v>155</v>
      </c>
      <c r="S802" s="6579"/>
      <c r="T802" s="2468"/>
      <c r="U802" s="544"/>
      <c r="V802" s="545"/>
      <c r="W802" s="546"/>
      <c r="X802" s="547"/>
      <c r="Y802" s="299" t="s">
        <v>193</v>
      </c>
      <c r="Z802" s="277"/>
      <c r="AA802" s="277"/>
      <c r="AB802" s="187"/>
    </row>
    <row r="803" spans="1:29" ht="20.100000000000001" customHeight="1">
      <c r="A803" s="11"/>
      <c r="B803" s="1360"/>
      <c r="C803" s="9587" t="s">
        <v>603</v>
      </c>
      <c r="D803" s="9587"/>
      <c r="E803" s="9588"/>
      <c r="F803" s="285" t="s">
        <v>156</v>
      </c>
      <c r="G803" s="621"/>
      <c r="H803" s="9586" t="s">
        <v>604</v>
      </c>
      <c r="I803" s="9587"/>
      <c r="J803" s="9588"/>
      <c r="K803" s="285" t="s">
        <v>156</v>
      </c>
      <c r="L803" s="6763" t="str">
        <f>IF(COUNTBLANK(L804:L809)&gt;0,"미취합법인有",AVERAGE(L804:L809))</f>
        <v>미취합법인有</v>
      </c>
      <c r="M803" s="7233"/>
      <c r="N803" s="6847" t="str">
        <f>IF(COUNTBLANK(N804:N809)&gt;0,"미취합법인有",AVERAGE(N804:N809))</f>
        <v>미취합법인有</v>
      </c>
      <c r="O803" s="7236"/>
      <c r="P803" s="6913" t="str">
        <f>IF(COUNTBLANK(P804:P809)&gt;0,"미취합법인有",AVERAGE(P804:P809))</f>
        <v>미취합법인有</v>
      </c>
      <c r="Q803" s="7463"/>
      <c r="R803" s="6658" t="s">
        <v>155</v>
      </c>
      <c r="S803" s="6561"/>
      <c r="T803" s="2468" t="s">
        <v>605</v>
      </c>
      <c r="U803" s="276" t="s">
        <v>606</v>
      </c>
      <c r="V803" s="99" t="s">
        <v>189</v>
      </c>
      <c r="W803" s="547"/>
      <c r="X803" s="547"/>
      <c r="Y803" s="299" t="s">
        <v>193</v>
      </c>
      <c r="Z803" s="620" t="s">
        <v>607</v>
      </c>
      <c r="AA803" s="154"/>
      <c r="AB803" s="159" t="s">
        <v>597</v>
      </c>
      <c r="AC803" s="6305"/>
    </row>
    <row r="804" spans="1:29" ht="19.899999999999999" customHeight="1">
      <c r="A804" s="11"/>
      <c r="B804" s="5590"/>
      <c r="C804" s="9647" t="s">
        <v>134</v>
      </c>
      <c r="D804" s="9648"/>
      <c r="E804" s="9649"/>
      <c r="F804" s="285" t="s">
        <v>156</v>
      </c>
      <c r="G804" s="253"/>
      <c r="H804" s="9579" t="s">
        <v>135</v>
      </c>
      <c r="I804" s="9580"/>
      <c r="J804" s="9581"/>
      <c r="K804" s="285" t="s">
        <v>156</v>
      </c>
      <c r="L804" s="6753"/>
      <c r="M804" s="7249" t="s">
        <v>369</v>
      </c>
      <c r="N804" s="6842"/>
      <c r="O804" s="7377" t="s">
        <v>369</v>
      </c>
      <c r="P804" s="6936"/>
      <c r="Q804" s="7469" t="s">
        <v>369</v>
      </c>
      <c r="R804" s="6658" t="s">
        <v>155</v>
      </c>
      <c r="S804" s="6584"/>
      <c r="T804" s="1033"/>
      <c r="U804" s="263"/>
      <c r="V804" s="99"/>
      <c r="W804" s="138"/>
      <c r="X804" s="138"/>
      <c r="Y804" s="299" t="s">
        <v>193</v>
      </c>
      <c r="Z804" s="264"/>
      <c r="AA804" s="277"/>
      <c r="AB804" s="187"/>
    </row>
    <row r="805" spans="1:29" ht="19.899999999999999" customHeight="1">
      <c r="A805" s="11"/>
      <c r="B805" s="5590"/>
      <c r="C805" s="9647" t="s">
        <v>137</v>
      </c>
      <c r="D805" s="9648"/>
      <c r="E805" s="9649"/>
      <c r="F805" s="285" t="s">
        <v>156</v>
      </c>
      <c r="G805" s="253"/>
      <c r="H805" s="9579" t="s">
        <v>138</v>
      </c>
      <c r="I805" s="9580"/>
      <c r="J805" s="9581"/>
      <c r="K805" s="285" t="s">
        <v>156</v>
      </c>
      <c r="L805" s="6753"/>
      <c r="M805" s="7249"/>
      <c r="N805" s="6842"/>
      <c r="O805" s="7377"/>
      <c r="P805" s="6936"/>
      <c r="Q805" s="7469"/>
      <c r="R805" s="6658" t="s">
        <v>155</v>
      </c>
      <c r="S805" s="6584"/>
      <c r="T805" s="1033"/>
      <c r="U805" s="263"/>
      <c r="V805" s="99"/>
      <c r="W805" s="138"/>
      <c r="X805" s="138"/>
      <c r="Y805" s="299" t="s">
        <v>193</v>
      </c>
      <c r="Z805" s="264"/>
      <c r="AA805" s="277"/>
      <c r="AB805" s="187"/>
    </row>
    <row r="806" spans="1:29" ht="19.899999999999999" customHeight="1">
      <c r="A806" s="11"/>
      <c r="B806" s="5590"/>
      <c r="C806" s="9647" t="s">
        <v>140</v>
      </c>
      <c r="D806" s="9648"/>
      <c r="E806" s="9649"/>
      <c r="F806" s="285" t="s">
        <v>156</v>
      </c>
      <c r="G806" s="253"/>
      <c r="H806" s="9579" t="s">
        <v>141</v>
      </c>
      <c r="I806" s="9580"/>
      <c r="J806" s="9581"/>
      <c r="K806" s="285" t="s">
        <v>156</v>
      </c>
      <c r="L806" s="6753"/>
      <c r="M806" s="7249"/>
      <c r="N806" s="6842"/>
      <c r="O806" s="7249"/>
      <c r="P806" s="6811"/>
      <c r="Q806" s="7375"/>
      <c r="R806" s="6658" t="s">
        <v>155</v>
      </c>
      <c r="S806" s="6583"/>
      <c r="T806" s="1033"/>
      <c r="U806" s="263"/>
      <c r="V806" s="99"/>
      <c r="W806" s="138"/>
      <c r="X806" s="138"/>
      <c r="Y806" s="299" t="s">
        <v>193</v>
      </c>
      <c r="Z806" s="264"/>
      <c r="AA806" s="277"/>
      <c r="AB806" s="187"/>
    </row>
    <row r="807" spans="1:29" ht="19.899999999999999" customHeight="1">
      <c r="A807" s="11"/>
      <c r="B807" s="5590"/>
      <c r="C807" s="9647" t="s">
        <v>143</v>
      </c>
      <c r="D807" s="9648"/>
      <c r="E807" s="9649"/>
      <c r="F807" s="285" t="s">
        <v>156</v>
      </c>
      <c r="G807" s="253"/>
      <c r="H807" s="9579" t="s">
        <v>144</v>
      </c>
      <c r="I807" s="9580"/>
      <c r="J807" s="9581"/>
      <c r="K807" s="285" t="s">
        <v>156</v>
      </c>
      <c r="L807" s="6754"/>
      <c r="M807" s="7250"/>
      <c r="N807" s="6826"/>
      <c r="O807" s="7250"/>
      <c r="P807" s="6884"/>
      <c r="Q807" s="7356"/>
      <c r="R807" s="6658" t="s">
        <v>155</v>
      </c>
      <c r="S807" s="6557"/>
      <c r="T807" s="1033"/>
      <c r="U807" s="263"/>
      <c r="V807" s="99"/>
      <c r="W807" s="138"/>
      <c r="X807" s="138"/>
      <c r="Y807" s="299" t="s">
        <v>193</v>
      </c>
      <c r="Z807" s="264"/>
      <c r="AA807" s="277"/>
      <c r="AB807" s="187"/>
    </row>
    <row r="808" spans="1:29" ht="19.899999999999999" customHeight="1">
      <c r="A808" s="11"/>
      <c r="B808" s="5590"/>
      <c r="C808" s="9647" t="s">
        <v>146</v>
      </c>
      <c r="D808" s="9648"/>
      <c r="E808" s="9649"/>
      <c r="F808" s="285" t="s">
        <v>156</v>
      </c>
      <c r="G808" s="253"/>
      <c r="H808" s="9579" t="s">
        <v>147</v>
      </c>
      <c r="I808" s="9580"/>
      <c r="J808" s="9581"/>
      <c r="K808" s="285" t="s">
        <v>156</v>
      </c>
      <c r="L808" s="6774" t="s">
        <v>168</v>
      </c>
      <c r="M808" s="7250" t="s">
        <v>641</v>
      </c>
      <c r="N808" s="6826" t="s">
        <v>168</v>
      </c>
      <c r="O808" s="7356" t="s">
        <v>641</v>
      </c>
      <c r="P808" s="6826" t="s">
        <v>168</v>
      </c>
      <c r="Q808" s="7356" t="s">
        <v>641</v>
      </c>
      <c r="R808" s="6658" t="s">
        <v>155</v>
      </c>
      <c r="S808" s="6557"/>
      <c r="T808" s="1033"/>
      <c r="U808" s="263"/>
      <c r="V808" s="99"/>
      <c r="W808" s="138"/>
      <c r="X808" s="138"/>
      <c r="Y808" s="299" t="s">
        <v>193</v>
      </c>
      <c r="Z808" s="264"/>
      <c r="AA808" s="277"/>
      <c r="AB808" s="187"/>
    </row>
    <row r="809" spans="1:29" ht="19.899999999999999" customHeight="1">
      <c r="A809" s="11"/>
      <c r="B809" s="5590"/>
      <c r="C809" s="9647" t="s">
        <v>149</v>
      </c>
      <c r="D809" s="9648"/>
      <c r="E809" s="9649"/>
      <c r="F809" s="285" t="s">
        <v>156</v>
      </c>
      <c r="G809" s="253"/>
      <c r="H809" s="9579" t="s">
        <v>150</v>
      </c>
      <c r="I809" s="9580"/>
      <c r="J809" s="9581"/>
      <c r="K809" s="285" t="s">
        <v>156</v>
      </c>
      <c r="L809" s="6754"/>
      <c r="M809" s="7250"/>
      <c r="N809" s="6826"/>
      <c r="O809" s="7356"/>
      <c r="P809" s="6826"/>
      <c r="Q809" s="7356"/>
      <c r="R809" s="6658" t="s">
        <v>155</v>
      </c>
      <c r="S809" s="6557"/>
      <c r="T809" s="1033"/>
      <c r="U809" s="263"/>
      <c r="V809" s="99"/>
      <c r="W809" s="138"/>
      <c r="X809" s="138"/>
      <c r="Y809" s="299" t="s">
        <v>193</v>
      </c>
      <c r="Z809" s="264"/>
      <c r="AA809" s="277"/>
      <c r="AB809" s="187"/>
    </row>
    <row r="810" spans="1:29" ht="20.100000000000001" customHeight="1">
      <c r="A810" s="11"/>
      <c r="B810" s="1360"/>
      <c r="C810" s="5598"/>
      <c r="D810" s="5615" t="s">
        <v>582</v>
      </c>
      <c r="E810" s="5616"/>
      <c r="F810" s="285" t="s">
        <v>413</v>
      </c>
      <c r="G810" s="666"/>
      <c r="H810" s="684"/>
      <c r="I810" s="9586" t="s">
        <v>608</v>
      </c>
      <c r="J810" s="9587"/>
      <c r="K810" s="285" t="s">
        <v>413</v>
      </c>
      <c r="L810" s="6763" t="str">
        <f>IF(COUNTBLANK(L811:L816)&gt;0,"미취합법인有",SUM(L811:L816))</f>
        <v>미취합법인有</v>
      </c>
      <c r="M810" s="7233"/>
      <c r="N810" s="6847" t="str">
        <f>IF(COUNTBLANK(N811:N816)&gt;0,"미취합법인有",SUM(N811:N816))</f>
        <v>미취합법인有</v>
      </c>
      <c r="O810" s="7353"/>
      <c r="P810" s="6913" t="str">
        <f>IF(COUNTBLANK(P811:P816)&gt;0,"미취합법인有",SUM(P811:P816))</f>
        <v>미취합법인有</v>
      </c>
      <c r="Q810" s="7463"/>
      <c r="R810" s="6658" t="s">
        <v>155</v>
      </c>
      <c r="S810" s="6561"/>
      <c r="T810" s="2468"/>
      <c r="U810" s="276"/>
      <c r="V810" s="99" t="s">
        <v>189</v>
      </c>
      <c r="W810" s="547"/>
      <c r="X810" s="547"/>
      <c r="Y810" s="299" t="s">
        <v>193</v>
      </c>
      <c r="Z810" s="620" t="s">
        <v>607</v>
      </c>
      <c r="AA810" s="154"/>
      <c r="AB810" s="159"/>
      <c r="AC810" s="6305"/>
    </row>
    <row r="811" spans="1:29" ht="20.100000000000001" customHeight="1">
      <c r="A811" s="11"/>
      <c r="B811" s="1360"/>
      <c r="C811" s="5598"/>
      <c r="D811" s="9598" t="s">
        <v>134</v>
      </c>
      <c r="E811" s="9600"/>
      <c r="F811" s="285" t="s">
        <v>413</v>
      </c>
      <c r="G811" s="666"/>
      <c r="H811" s="684"/>
      <c r="I811" s="9579" t="s">
        <v>135</v>
      </c>
      <c r="J811" s="9581"/>
      <c r="K811" s="285" t="s">
        <v>413</v>
      </c>
      <c r="L811" s="6753"/>
      <c r="M811" s="7245" t="s">
        <v>369</v>
      </c>
      <c r="N811" s="6842"/>
      <c r="O811" s="7375" t="s">
        <v>369</v>
      </c>
      <c r="P811" s="6825"/>
      <c r="Q811" s="7375" t="s">
        <v>369</v>
      </c>
      <c r="R811" s="6658" t="s">
        <v>155</v>
      </c>
      <c r="S811" s="6577"/>
      <c r="T811" s="2468"/>
      <c r="U811" s="544"/>
      <c r="V811" s="545"/>
      <c r="W811" s="546"/>
      <c r="X811" s="547"/>
      <c r="Y811" s="299" t="s">
        <v>193</v>
      </c>
      <c r="Z811" s="277"/>
      <c r="AA811" s="277"/>
      <c r="AB811" s="187"/>
    </row>
    <row r="812" spans="1:29" ht="20.100000000000001" customHeight="1">
      <c r="A812" s="11"/>
      <c r="B812" s="1360"/>
      <c r="C812" s="5598"/>
      <c r="D812" s="9598" t="s">
        <v>137</v>
      </c>
      <c r="E812" s="9600"/>
      <c r="F812" s="285" t="s">
        <v>413</v>
      </c>
      <c r="G812" s="666"/>
      <c r="H812" s="684"/>
      <c r="I812" s="9579" t="s">
        <v>138</v>
      </c>
      <c r="J812" s="9581"/>
      <c r="K812" s="285" t="s">
        <v>413</v>
      </c>
      <c r="L812" s="6753"/>
      <c r="M812" s="7245"/>
      <c r="N812" s="6842"/>
      <c r="O812" s="7375"/>
      <c r="P812" s="6825"/>
      <c r="Q812" s="7375"/>
      <c r="R812" s="6658" t="s">
        <v>155</v>
      </c>
      <c r="S812" s="6577"/>
      <c r="T812" s="2468"/>
      <c r="U812" s="544"/>
      <c r="V812" s="545"/>
      <c r="W812" s="546"/>
      <c r="X812" s="547"/>
      <c r="Y812" s="299" t="s">
        <v>193</v>
      </c>
      <c r="Z812" s="277"/>
      <c r="AA812" s="277"/>
      <c r="AB812" s="187"/>
    </row>
    <row r="813" spans="1:29" ht="20.100000000000001" customHeight="1">
      <c r="A813" s="11"/>
      <c r="B813" s="1360"/>
      <c r="C813" s="5598"/>
      <c r="D813" s="9598" t="s">
        <v>140</v>
      </c>
      <c r="E813" s="9600"/>
      <c r="F813" s="285" t="s">
        <v>413</v>
      </c>
      <c r="G813" s="666"/>
      <c r="H813" s="684"/>
      <c r="I813" s="9582" t="s">
        <v>141</v>
      </c>
      <c r="J813" s="9583"/>
      <c r="K813" s="285" t="s">
        <v>413</v>
      </c>
      <c r="L813" s="6753"/>
      <c r="M813" s="7245"/>
      <c r="N813" s="6842"/>
      <c r="O813" s="7375"/>
      <c r="P813" s="6825"/>
      <c r="Q813" s="7375"/>
      <c r="R813" s="6658" t="s">
        <v>155</v>
      </c>
      <c r="S813" s="6577"/>
      <c r="T813" s="2468"/>
      <c r="U813" s="544"/>
      <c r="V813" s="545"/>
      <c r="W813" s="546"/>
      <c r="X813" s="547"/>
      <c r="Y813" s="299" t="s">
        <v>193</v>
      </c>
      <c r="Z813" s="277"/>
      <c r="AA813" s="277"/>
      <c r="AB813" s="187"/>
    </row>
    <row r="814" spans="1:29" ht="20.100000000000001" customHeight="1">
      <c r="A814" s="11"/>
      <c r="B814" s="1360"/>
      <c r="C814" s="5598"/>
      <c r="D814" s="9598" t="s">
        <v>143</v>
      </c>
      <c r="E814" s="9600"/>
      <c r="F814" s="285" t="s">
        <v>413</v>
      </c>
      <c r="G814" s="666"/>
      <c r="H814" s="684"/>
      <c r="I814" s="9582" t="s">
        <v>144</v>
      </c>
      <c r="J814" s="9583"/>
      <c r="K814" s="285" t="s">
        <v>413</v>
      </c>
      <c r="L814" s="6753"/>
      <c r="M814" s="7245"/>
      <c r="N814" s="6842"/>
      <c r="O814" s="7375"/>
      <c r="P814" s="6825"/>
      <c r="Q814" s="7375"/>
      <c r="R814" s="6658" t="s">
        <v>155</v>
      </c>
      <c r="S814" s="6577"/>
      <c r="T814" s="2468"/>
      <c r="U814" s="544"/>
      <c r="V814" s="545"/>
      <c r="W814" s="546"/>
      <c r="X814" s="547"/>
      <c r="Y814" s="299" t="s">
        <v>193</v>
      </c>
      <c r="Z814" s="277"/>
      <c r="AA814" s="277"/>
      <c r="AB814" s="187"/>
    </row>
    <row r="815" spans="1:29" ht="20.100000000000001" customHeight="1">
      <c r="A815" s="11"/>
      <c r="B815" s="1360"/>
      <c r="C815" s="5598"/>
      <c r="D815" s="9598" t="s">
        <v>146</v>
      </c>
      <c r="E815" s="9600"/>
      <c r="F815" s="285" t="s">
        <v>413</v>
      </c>
      <c r="G815" s="666"/>
      <c r="H815" s="684"/>
      <c r="I815" s="9582" t="s">
        <v>147</v>
      </c>
      <c r="J815" s="9583"/>
      <c r="K815" s="285" t="s">
        <v>413</v>
      </c>
      <c r="L815" s="6774" t="s">
        <v>168</v>
      </c>
      <c r="M815" s="7240" t="s">
        <v>641</v>
      </c>
      <c r="N815" s="6837" t="s">
        <v>168</v>
      </c>
      <c r="O815" s="7240" t="s">
        <v>641</v>
      </c>
      <c r="P815" s="6837" t="s">
        <v>168</v>
      </c>
      <c r="Q815" s="7240" t="s">
        <v>641</v>
      </c>
      <c r="R815" s="6658" t="s">
        <v>155</v>
      </c>
      <c r="S815" s="6538"/>
      <c r="T815" s="2468"/>
      <c r="U815" s="544"/>
      <c r="V815" s="545"/>
      <c r="W815" s="546"/>
      <c r="X815" s="547"/>
      <c r="Y815" s="299" t="s">
        <v>193</v>
      </c>
      <c r="Z815" s="277"/>
      <c r="AA815" s="277"/>
      <c r="AB815" s="187"/>
    </row>
    <row r="816" spans="1:29" ht="20.100000000000001" customHeight="1">
      <c r="A816" s="11"/>
      <c r="B816" s="1360"/>
      <c r="C816" s="5598"/>
      <c r="D816" s="9598" t="s">
        <v>149</v>
      </c>
      <c r="E816" s="9600"/>
      <c r="F816" s="285" t="s">
        <v>413</v>
      </c>
      <c r="G816" s="666"/>
      <c r="H816" s="684"/>
      <c r="I816" s="9582" t="s">
        <v>150</v>
      </c>
      <c r="J816" s="9583"/>
      <c r="K816" s="285" t="s">
        <v>413</v>
      </c>
      <c r="L816" s="6753"/>
      <c r="M816" s="7245"/>
      <c r="N816" s="6842"/>
      <c r="O816" s="7375"/>
      <c r="P816" s="6825"/>
      <c r="Q816" s="7375"/>
      <c r="R816" s="6658" t="s">
        <v>155</v>
      </c>
      <c r="S816" s="6577"/>
      <c r="T816" s="2468"/>
      <c r="U816" s="544"/>
      <c r="V816" s="545"/>
      <c r="W816" s="546"/>
      <c r="X816" s="547"/>
      <c r="Y816" s="299" t="s">
        <v>193</v>
      </c>
      <c r="Z816" s="277"/>
      <c r="AA816" s="277"/>
      <c r="AB816" s="187"/>
    </row>
    <row r="817" spans="1:29" ht="20.100000000000001" customHeight="1">
      <c r="A817" s="11"/>
      <c r="B817" s="1360"/>
      <c r="C817" s="5598"/>
      <c r="D817" s="5615" t="s">
        <v>584</v>
      </c>
      <c r="E817" s="5616"/>
      <c r="F817" s="285" t="s">
        <v>413</v>
      </c>
      <c r="G817" s="666"/>
      <c r="H817" s="684"/>
      <c r="I817" s="9586" t="s">
        <v>609</v>
      </c>
      <c r="J817" s="9587"/>
      <c r="K817" s="285" t="s">
        <v>413</v>
      </c>
      <c r="L817" s="6763" t="str">
        <f>IF(COUNTBLANK(L818:L823)&gt;0,"미취합법인有",SUM(L818:L823))</f>
        <v>미취합법인有</v>
      </c>
      <c r="M817" s="7236"/>
      <c r="N817" s="6840" t="str">
        <f>IF(COUNTBLANK(N818:N823)&gt;0,"미취합법인有",SUM(N818:N823))</f>
        <v>미취합법인有</v>
      </c>
      <c r="O817" s="7236"/>
      <c r="P817" s="6914" t="str">
        <f>IF(COUNTBLANK(P818:P823)&gt;0,"미취합법인有",SUM(P818:P823))</f>
        <v>미취합법인有</v>
      </c>
      <c r="Q817" s="7463"/>
      <c r="R817" s="6658" t="s">
        <v>155</v>
      </c>
      <c r="S817" s="6561"/>
      <c r="T817" s="2468"/>
      <c r="U817" s="276"/>
      <c r="V817" s="99" t="s">
        <v>189</v>
      </c>
      <c r="W817" s="547"/>
      <c r="X817" s="547"/>
      <c r="Y817" s="299" t="s">
        <v>193</v>
      </c>
      <c r="Z817" s="620" t="s">
        <v>607</v>
      </c>
      <c r="AA817" s="154"/>
      <c r="AB817" s="159"/>
      <c r="AC817" s="6305"/>
    </row>
    <row r="818" spans="1:29" ht="20.100000000000001" customHeight="1">
      <c r="A818" s="11"/>
      <c r="B818" s="1360"/>
      <c r="C818" s="5598"/>
      <c r="D818" s="9598" t="s">
        <v>134</v>
      </c>
      <c r="E818" s="9600"/>
      <c r="F818" s="285" t="s">
        <v>413</v>
      </c>
      <c r="G818" s="666"/>
      <c r="H818" s="684"/>
      <c r="I818" s="9579" t="s">
        <v>135</v>
      </c>
      <c r="J818" s="9581"/>
      <c r="K818" s="285" t="s">
        <v>413</v>
      </c>
      <c r="L818" s="6753"/>
      <c r="M818" s="7245" t="s">
        <v>369</v>
      </c>
      <c r="N818" s="6842"/>
      <c r="O818" s="7375" t="s">
        <v>369</v>
      </c>
      <c r="P818" s="6825"/>
      <c r="Q818" s="7375" t="s">
        <v>369</v>
      </c>
      <c r="R818" s="6658" t="s">
        <v>155</v>
      </c>
      <c r="S818" s="6577"/>
      <c r="T818" s="2468"/>
      <c r="U818" s="544"/>
      <c r="V818" s="545"/>
      <c r="W818" s="546"/>
      <c r="X818" s="547"/>
      <c r="Y818" s="299" t="s">
        <v>193</v>
      </c>
      <c r="Z818" s="277"/>
      <c r="AA818" s="277"/>
      <c r="AB818" s="187"/>
    </row>
    <row r="819" spans="1:29" ht="20.100000000000001" customHeight="1">
      <c r="A819" s="11"/>
      <c r="B819" s="1360"/>
      <c r="C819" s="5598"/>
      <c r="D819" s="9598" t="s">
        <v>137</v>
      </c>
      <c r="E819" s="9600"/>
      <c r="F819" s="285" t="s">
        <v>413</v>
      </c>
      <c r="G819" s="666"/>
      <c r="H819" s="684"/>
      <c r="I819" s="9579" t="s">
        <v>138</v>
      </c>
      <c r="J819" s="9581"/>
      <c r="K819" s="285" t="s">
        <v>413</v>
      </c>
      <c r="L819" s="6753"/>
      <c r="M819" s="7245"/>
      <c r="N819" s="6842"/>
      <c r="O819" s="7375"/>
      <c r="P819" s="6825"/>
      <c r="Q819" s="7375"/>
      <c r="R819" s="6658" t="s">
        <v>155</v>
      </c>
      <c r="S819" s="6577"/>
      <c r="T819" s="2468"/>
      <c r="U819" s="544"/>
      <c r="V819" s="545"/>
      <c r="W819" s="546"/>
      <c r="X819" s="547"/>
      <c r="Y819" s="299" t="s">
        <v>193</v>
      </c>
      <c r="Z819" s="277"/>
      <c r="AA819" s="277"/>
      <c r="AB819" s="187"/>
    </row>
    <row r="820" spans="1:29" ht="20.100000000000001" customHeight="1">
      <c r="A820" s="11"/>
      <c r="B820" s="1360"/>
      <c r="C820" s="5598"/>
      <c r="D820" s="9598" t="s">
        <v>140</v>
      </c>
      <c r="E820" s="9600"/>
      <c r="F820" s="285" t="s">
        <v>413</v>
      </c>
      <c r="G820" s="666"/>
      <c r="H820" s="684"/>
      <c r="I820" s="9582" t="s">
        <v>141</v>
      </c>
      <c r="J820" s="9583"/>
      <c r="K820" s="285" t="s">
        <v>413</v>
      </c>
      <c r="L820" s="6753"/>
      <c r="M820" s="7245"/>
      <c r="N820" s="6842"/>
      <c r="O820" s="7375"/>
      <c r="P820" s="6825"/>
      <c r="Q820" s="7375"/>
      <c r="R820" s="6658" t="s">
        <v>155</v>
      </c>
      <c r="S820" s="6577"/>
      <c r="T820" s="2468"/>
      <c r="U820" s="544"/>
      <c r="V820" s="545"/>
      <c r="W820" s="546"/>
      <c r="X820" s="547"/>
      <c r="Y820" s="299" t="s">
        <v>193</v>
      </c>
      <c r="Z820" s="277"/>
      <c r="AA820" s="277"/>
      <c r="AB820" s="187"/>
    </row>
    <row r="821" spans="1:29" ht="20.100000000000001" customHeight="1">
      <c r="A821" s="11"/>
      <c r="B821" s="1360"/>
      <c r="C821" s="5598"/>
      <c r="D821" s="9598" t="s">
        <v>143</v>
      </c>
      <c r="E821" s="9600"/>
      <c r="F821" s="285" t="s">
        <v>413</v>
      </c>
      <c r="G821" s="666"/>
      <c r="H821" s="684"/>
      <c r="I821" s="9582" t="s">
        <v>144</v>
      </c>
      <c r="J821" s="9583"/>
      <c r="K821" s="285" t="s">
        <v>413</v>
      </c>
      <c r="L821" s="6753"/>
      <c r="M821" s="7245"/>
      <c r="N821" s="6842"/>
      <c r="O821" s="7375"/>
      <c r="P821" s="6825"/>
      <c r="Q821" s="7375"/>
      <c r="R821" s="6658" t="s">
        <v>155</v>
      </c>
      <c r="S821" s="6577"/>
      <c r="T821" s="2468"/>
      <c r="U821" s="544"/>
      <c r="V821" s="545"/>
      <c r="W821" s="546"/>
      <c r="X821" s="547"/>
      <c r="Y821" s="299" t="s">
        <v>193</v>
      </c>
      <c r="Z821" s="277"/>
      <c r="AA821" s="277"/>
      <c r="AB821" s="187"/>
    </row>
    <row r="822" spans="1:29" ht="20.100000000000001" customHeight="1">
      <c r="A822" s="11"/>
      <c r="B822" s="1360"/>
      <c r="C822" s="5598"/>
      <c r="D822" s="9598" t="s">
        <v>146</v>
      </c>
      <c r="E822" s="9600"/>
      <c r="F822" s="285" t="s">
        <v>413</v>
      </c>
      <c r="G822" s="666"/>
      <c r="H822" s="684"/>
      <c r="I822" s="9582" t="s">
        <v>147</v>
      </c>
      <c r="J822" s="9583"/>
      <c r="K822" s="285" t="s">
        <v>413</v>
      </c>
      <c r="L822" s="6774" t="s">
        <v>168</v>
      </c>
      <c r="M822" s="7240" t="s">
        <v>641</v>
      </c>
      <c r="N822" s="6837" t="s">
        <v>168</v>
      </c>
      <c r="O822" s="7240" t="s">
        <v>641</v>
      </c>
      <c r="P822" s="6837" t="s">
        <v>168</v>
      </c>
      <c r="Q822" s="7240" t="s">
        <v>641</v>
      </c>
      <c r="R822" s="6658" t="s">
        <v>155</v>
      </c>
      <c r="S822" s="6538"/>
      <c r="T822" s="2468"/>
      <c r="U822" s="544"/>
      <c r="V822" s="545"/>
      <c r="W822" s="546"/>
      <c r="X822" s="547"/>
      <c r="Y822" s="299" t="s">
        <v>193</v>
      </c>
      <c r="Z822" s="277"/>
      <c r="AA822" s="277"/>
      <c r="AB822" s="187"/>
    </row>
    <row r="823" spans="1:29" ht="20.100000000000001" customHeight="1">
      <c r="A823" s="11"/>
      <c r="B823" s="1360"/>
      <c r="C823" s="5598"/>
      <c r="D823" s="9598" t="s">
        <v>149</v>
      </c>
      <c r="E823" s="9600"/>
      <c r="F823" s="285" t="s">
        <v>413</v>
      </c>
      <c r="G823" s="666"/>
      <c r="H823" s="684"/>
      <c r="I823" s="9582" t="s">
        <v>150</v>
      </c>
      <c r="J823" s="9583"/>
      <c r="K823" s="285" t="s">
        <v>413</v>
      </c>
      <c r="L823" s="6753"/>
      <c r="M823" s="7245"/>
      <c r="N823" s="6842"/>
      <c r="O823" s="7375"/>
      <c r="P823" s="6825"/>
      <c r="Q823" s="7375"/>
      <c r="R823" s="6658" t="s">
        <v>155</v>
      </c>
      <c r="S823" s="6577"/>
      <c r="T823" s="2468"/>
      <c r="U823" s="544"/>
      <c r="V823" s="545"/>
      <c r="W823" s="546"/>
      <c r="X823" s="547"/>
      <c r="Y823" s="299" t="s">
        <v>193</v>
      </c>
      <c r="Z823" s="277"/>
      <c r="AA823" s="277"/>
      <c r="AB823" s="187"/>
    </row>
    <row r="824" spans="1:29" ht="20.100000000000001" customHeight="1">
      <c r="A824" s="11"/>
      <c r="B824" s="1360"/>
      <c r="C824" s="5598"/>
      <c r="D824" s="5615" t="s">
        <v>586</v>
      </c>
      <c r="E824" s="5616"/>
      <c r="F824" s="285" t="s">
        <v>413</v>
      </c>
      <c r="G824" s="666"/>
      <c r="H824" s="684"/>
      <c r="I824" s="9586" t="s">
        <v>610</v>
      </c>
      <c r="J824" s="9587"/>
      <c r="K824" s="285" t="s">
        <v>413</v>
      </c>
      <c r="L824" s="6763" t="str">
        <f>IF(COUNTBLANK(L825:L830)&gt;0,"미취합법인有",SUM(L825:L830))</f>
        <v>미취합법인有</v>
      </c>
      <c r="M824" s="7236"/>
      <c r="N824" s="6840" t="str">
        <f>IF(COUNTBLANK(N825:N830)&gt;0,"미취합법인有",SUM(N825:N830))</f>
        <v>미취합법인有</v>
      </c>
      <c r="O824" s="7236"/>
      <c r="P824" s="6914" t="str">
        <f>IF(COUNTBLANK(P825:P830)&gt;0,"미취합법인有",SUM(P825:P830))</f>
        <v>미취합법인有</v>
      </c>
      <c r="Q824" s="7463"/>
      <c r="R824" s="6658" t="s">
        <v>155</v>
      </c>
      <c r="S824" s="6561"/>
      <c r="T824" s="2468"/>
      <c r="U824" s="276"/>
      <c r="V824" s="99" t="s">
        <v>189</v>
      </c>
      <c r="W824" s="547"/>
      <c r="X824" s="547"/>
      <c r="Y824" s="299" t="s">
        <v>193</v>
      </c>
      <c r="Z824" s="620" t="s">
        <v>607</v>
      </c>
      <c r="AA824" s="154"/>
      <c r="AB824" s="159"/>
      <c r="AC824" s="6305"/>
    </row>
    <row r="825" spans="1:29" ht="20.100000000000001" customHeight="1">
      <c r="A825" s="11"/>
      <c r="B825" s="1360"/>
      <c r="C825" s="5598"/>
      <c r="D825" s="9598" t="s">
        <v>134</v>
      </c>
      <c r="E825" s="9600"/>
      <c r="F825" s="285" t="s">
        <v>413</v>
      </c>
      <c r="G825" s="666"/>
      <c r="H825" s="684"/>
      <c r="I825" s="9579" t="s">
        <v>135</v>
      </c>
      <c r="J825" s="9581"/>
      <c r="K825" s="285" t="s">
        <v>413</v>
      </c>
      <c r="L825" s="6753"/>
      <c r="M825" s="7245" t="s">
        <v>369</v>
      </c>
      <c r="N825" s="6842"/>
      <c r="O825" s="7375" t="s">
        <v>369</v>
      </c>
      <c r="P825" s="6825"/>
      <c r="Q825" s="7375" t="s">
        <v>369</v>
      </c>
      <c r="R825" s="6658" t="s">
        <v>155</v>
      </c>
      <c r="S825" s="6577"/>
      <c r="T825" s="2468"/>
      <c r="U825" s="544"/>
      <c r="V825" s="545"/>
      <c r="W825" s="546"/>
      <c r="X825" s="547"/>
      <c r="Y825" s="299" t="s">
        <v>193</v>
      </c>
      <c r="Z825" s="277"/>
      <c r="AA825" s="277"/>
      <c r="AB825" s="187"/>
    </row>
    <row r="826" spans="1:29" ht="20.100000000000001" customHeight="1">
      <c r="A826" s="11"/>
      <c r="B826" s="1360"/>
      <c r="C826" s="5598"/>
      <c r="D826" s="9598" t="s">
        <v>137</v>
      </c>
      <c r="E826" s="9600"/>
      <c r="F826" s="285" t="s">
        <v>413</v>
      </c>
      <c r="G826" s="666"/>
      <c r="H826" s="684"/>
      <c r="I826" s="9579" t="s">
        <v>138</v>
      </c>
      <c r="J826" s="9581"/>
      <c r="K826" s="285" t="s">
        <v>413</v>
      </c>
      <c r="L826" s="6753"/>
      <c r="M826" s="7245"/>
      <c r="N826" s="6842"/>
      <c r="O826" s="7375"/>
      <c r="P826" s="6825"/>
      <c r="Q826" s="7375"/>
      <c r="R826" s="6658" t="s">
        <v>155</v>
      </c>
      <c r="S826" s="6577"/>
      <c r="T826" s="2468"/>
      <c r="U826" s="544"/>
      <c r="V826" s="545"/>
      <c r="W826" s="546"/>
      <c r="X826" s="547"/>
      <c r="Y826" s="299" t="s">
        <v>193</v>
      </c>
      <c r="Z826" s="277"/>
      <c r="AA826" s="277"/>
      <c r="AB826" s="187"/>
    </row>
    <row r="827" spans="1:29" ht="20.100000000000001" customHeight="1">
      <c r="A827" s="11"/>
      <c r="B827" s="1360"/>
      <c r="C827" s="5598"/>
      <c r="D827" s="9598" t="s">
        <v>140</v>
      </c>
      <c r="E827" s="9600"/>
      <c r="F827" s="285" t="s">
        <v>413</v>
      </c>
      <c r="G827" s="666"/>
      <c r="H827" s="684"/>
      <c r="I827" s="9582" t="s">
        <v>141</v>
      </c>
      <c r="J827" s="9583"/>
      <c r="K827" s="285" t="s">
        <v>413</v>
      </c>
      <c r="L827" s="6753"/>
      <c r="M827" s="7245"/>
      <c r="N827" s="6842"/>
      <c r="O827" s="7375"/>
      <c r="P827" s="6825"/>
      <c r="Q827" s="7375"/>
      <c r="R827" s="6658" t="s">
        <v>155</v>
      </c>
      <c r="S827" s="6577"/>
      <c r="T827" s="2468"/>
      <c r="U827" s="544"/>
      <c r="V827" s="545"/>
      <c r="W827" s="546"/>
      <c r="X827" s="547"/>
      <c r="Y827" s="299" t="s">
        <v>193</v>
      </c>
      <c r="Z827" s="277"/>
      <c r="AA827" s="277"/>
      <c r="AB827" s="187"/>
    </row>
    <row r="828" spans="1:29" ht="20.100000000000001" customHeight="1">
      <c r="A828" s="11"/>
      <c r="B828" s="1360"/>
      <c r="C828" s="5598"/>
      <c r="D828" s="9598" t="s">
        <v>143</v>
      </c>
      <c r="E828" s="9600"/>
      <c r="F828" s="285" t="s">
        <v>413</v>
      </c>
      <c r="G828" s="666"/>
      <c r="H828" s="684"/>
      <c r="I828" s="9582" t="s">
        <v>144</v>
      </c>
      <c r="J828" s="9583"/>
      <c r="K828" s="285" t="s">
        <v>413</v>
      </c>
      <c r="L828" s="6753"/>
      <c r="M828" s="7245"/>
      <c r="N828" s="6842"/>
      <c r="O828" s="7375"/>
      <c r="P828" s="6825"/>
      <c r="Q828" s="7375"/>
      <c r="R828" s="6658" t="s">
        <v>155</v>
      </c>
      <c r="S828" s="6577"/>
      <c r="T828" s="2468"/>
      <c r="U828" s="544"/>
      <c r="V828" s="545"/>
      <c r="W828" s="546"/>
      <c r="X828" s="547"/>
      <c r="Y828" s="299" t="s">
        <v>193</v>
      </c>
      <c r="Z828" s="277"/>
      <c r="AA828" s="277"/>
      <c r="AB828" s="187"/>
    </row>
    <row r="829" spans="1:29" ht="20.100000000000001" customHeight="1">
      <c r="A829" s="11"/>
      <c r="B829" s="1360"/>
      <c r="C829" s="5598"/>
      <c r="D829" s="9598" t="s">
        <v>146</v>
      </c>
      <c r="E829" s="9600"/>
      <c r="F829" s="285" t="s">
        <v>413</v>
      </c>
      <c r="G829" s="666"/>
      <c r="H829" s="684"/>
      <c r="I829" s="9582" t="s">
        <v>147</v>
      </c>
      <c r="J829" s="9583"/>
      <c r="K829" s="285" t="s">
        <v>413</v>
      </c>
      <c r="L829" s="6774" t="s">
        <v>168</v>
      </c>
      <c r="M829" s="7240" t="s">
        <v>641</v>
      </c>
      <c r="N829" s="6837" t="s">
        <v>168</v>
      </c>
      <c r="O829" s="7240" t="s">
        <v>641</v>
      </c>
      <c r="P829" s="6837" t="s">
        <v>168</v>
      </c>
      <c r="Q829" s="7240" t="s">
        <v>641</v>
      </c>
      <c r="R829" s="6658" t="s">
        <v>155</v>
      </c>
      <c r="S829" s="6538"/>
      <c r="T829" s="2468"/>
      <c r="U829" s="544"/>
      <c r="V829" s="545"/>
      <c r="W829" s="546"/>
      <c r="X829" s="547"/>
      <c r="Y829" s="299" t="s">
        <v>193</v>
      </c>
      <c r="Z829" s="277"/>
      <c r="AA829" s="277"/>
      <c r="AB829" s="187"/>
    </row>
    <row r="830" spans="1:29" ht="20.100000000000001" customHeight="1">
      <c r="A830" s="11"/>
      <c r="B830" s="1360"/>
      <c r="C830" s="5598"/>
      <c r="D830" s="9598" t="s">
        <v>149</v>
      </c>
      <c r="E830" s="9600"/>
      <c r="F830" s="285" t="s">
        <v>413</v>
      </c>
      <c r="G830" s="666"/>
      <c r="H830" s="684"/>
      <c r="I830" s="9582" t="s">
        <v>150</v>
      </c>
      <c r="J830" s="9583"/>
      <c r="K830" s="285" t="s">
        <v>413</v>
      </c>
      <c r="L830" s="6753"/>
      <c r="M830" s="7245"/>
      <c r="N830" s="6842"/>
      <c r="O830" s="7375"/>
      <c r="P830" s="6825"/>
      <c r="Q830" s="7375"/>
      <c r="R830" s="6658" t="s">
        <v>155</v>
      </c>
      <c r="S830" s="6577"/>
      <c r="T830" s="2468"/>
      <c r="U830" s="544"/>
      <c r="V830" s="545"/>
      <c r="W830" s="546"/>
      <c r="X830" s="547"/>
      <c r="Y830" s="299" t="s">
        <v>193</v>
      </c>
      <c r="Z830" s="277"/>
      <c r="AA830" s="277"/>
      <c r="AB830" s="187"/>
    </row>
    <row r="831" spans="1:29" ht="20.100000000000001" customHeight="1">
      <c r="A831" s="11"/>
      <c r="B831" s="1360"/>
      <c r="C831" s="5598"/>
      <c r="D831" s="5615" t="s">
        <v>588</v>
      </c>
      <c r="E831" s="5616"/>
      <c r="F831" s="285" t="s">
        <v>413</v>
      </c>
      <c r="G831" s="666"/>
      <c r="H831" s="684"/>
      <c r="I831" s="9586" t="s">
        <v>611</v>
      </c>
      <c r="J831" s="9587"/>
      <c r="K831" s="285" t="s">
        <v>413</v>
      </c>
      <c r="L831" s="6763" t="str">
        <f>IF(COUNTBLANK(L832:L837)&gt;0,"미취합법인有",SUM(L832:L837))</f>
        <v>미취합법인有</v>
      </c>
      <c r="M831" s="7236"/>
      <c r="N831" s="6840" t="str">
        <f>IF(COUNTBLANK(N832:N837)&gt;0,"미취합법인有",SUM(N832:N837))</f>
        <v>미취합법인有</v>
      </c>
      <c r="O831" s="7236"/>
      <c r="P831" s="6914" t="str">
        <f>IF(COUNTBLANK(P832:P837)&gt;0,"미취합법인有",SUM(P832:P837))</f>
        <v>미취합법인有</v>
      </c>
      <c r="Q831" s="7463"/>
      <c r="R831" s="6658" t="s">
        <v>155</v>
      </c>
      <c r="S831" s="6561"/>
      <c r="T831" s="2468"/>
      <c r="U831" s="276"/>
      <c r="V831" s="99" t="s">
        <v>189</v>
      </c>
      <c r="W831" s="547"/>
      <c r="X831" s="547"/>
      <c r="Y831" s="299" t="s">
        <v>193</v>
      </c>
      <c r="Z831" s="620" t="s">
        <v>607</v>
      </c>
      <c r="AA831" s="154"/>
      <c r="AB831" s="159"/>
      <c r="AC831" s="6305"/>
    </row>
    <row r="832" spans="1:29" ht="20.100000000000001" customHeight="1">
      <c r="A832" s="11"/>
      <c r="B832" s="1360"/>
      <c r="C832" s="5598"/>
      <c r="D832" s="9598" t="s">
        <v>134</v>
      </c>
      <c r="E832" s="9600"/>
      <c r="F832" s="285" t="s">
        <v>413</v>
      </c>
      <c r="G832" s="666"/>
      <c r="H832" s="684"/>
      <c r="I832" s="9579" t="s">
        <v>135</v>
      </c>
      <c r="J832" s="9581"/>
      <c r="K832" s="285" t="s">
        <v>413</v>
      </c>
      <c r="L832" s="6753"/>
      <c r="M832" s="7245" t="s">
        <v>369</v>
      </c>
      <c r="N832" s="6842"/>
      <c r="O832" s="7375" t="s">
        <v>369</v>
      </c>
      <c r="P832" s="6825"/>
      <c r="Q832" s="7375" t="s">
        <v>369</v>
      </c>
      <c r="R832" s="6658" t="s">
        <v>155</v>
      </c>
      <c r="S832" s="6577"/>
      <c r="T832" s="2468"/>
      <c r="U832" s="544"/>
      <c r="V832" s="545"/>
      <c r="W832" s="546"/>
      <c r="X832" s="547"/>
      <c r="Y832" s="299" t="s">
        <v>193</v>
      </c>
      <c r="Z832" s="277"/>
      <c r="AA832" s="277"/>
      <c r="AB832" s="187"/>
    </row>
    <row r="833" spans="1:29" ht="20.100000000000001" customHeight="1">
      <c r="A833" s="11"/>
      <c r="B833" s="1360"/>
      <c r="C833" s="5598"/>
      <c r="D833" s="9598" t="s">
        <v>137</v>
      </c>
      <c r="E833" s="9600"/>
      <c r="F833" s="285" t="s">
        <v>413</v>
      </c>
      <c r="G833" s="666"/>
      <c r="H833" s="684"/>
      <c r="I833" s="9579" t="s">
        <v>138</v>
      </c>
      <c r="J833" s="9581"/>
      <c r="K833" s="285" t="s">
        <v>413</v>
      </c>
      <c r="L833" s="6753"/>
      <c r="M833" s="7245"/>
      <c r="N833" s="6842"/>
      <c r="O833" s="7375"/>
      <c r="P833" s="6825"/>
      <c r="Q833" s="7375"/>
      <c r="R833" s="6658" t="s">
        <v>155</v>
      </c>
      <c r="S833" s="6577"/>
      <c r="T833" s="2468"/>
      <c r="U833" s="544"/>
      <c r="V833" s="545"/>
      <c r="W833" s="546"/>
      <c r="X833" s="547"/>
      <c r="Y833" s="299" t="s">
        <v>193</v>
      </c>
      <c r="Z833" s="277"/>
      <c r="AA833" s="277"/>
      <c r="AB833" s="187"/>
    </row>
    <row r="834" spans="1:29" ht="20.100000000000001" customHeight="1">
      <c r="A834" s="11"/>
      <c r="B834" s="1360"/>
      <c r="C834" s="5598"/>
      <c r="D834" s="9598" t="s">
        <v>140</v>
      </c>
      <c r="E834" s="9600"/>
      <c r="F834" s="285" t="s">
        <v>413</v>
      </c>
      <c r="G834" s="666"/>
      <c r="H834" s="684"/>
      <c r="I834" s="9582" t="s">
        <v>141</v>
      </c>
      <c r="J834" s="9583"/>
      <c r="K834" s="285" t="s">
        <v>413</v>
      </c>
      <c r="L834" s="6753"/>
      <c r="M834" s="7245"/>
      <c r="N834" s="6842"/>
      <c r="O834" s="7375"/>
      <c r="P834" s="6825"/>
      <c r="Q834" s="7375"/>
      <c r="R834" s="6658" t="s">
        <v>155</v>
      </c>
      <c r="S834" s="6577"/>
      <c r="T834" s="2468"/>
      <c r="U834" s="544"/>
      <c r="V834" s="545"/>
      <c r="W834" s="546"/>
      <c r="X834" s="547"/>
      <c r="Y834" s="299" t="s">
        <v>193</v>
      </c>
      <c r="Z834" s="277"/>
      <c r="AA834" s="277"/>
      <c r="AB834" s="187"/>
    </row>
    <row r="835" spans="1:29" ht="20.100000000000001" customHeight="1">
      <c r="A835" s="11"/>
      <c r="B835" s="1360"/>
      <c r="C835" s="5598"/>
      <c r="D835" s="9598" t="s">
        <v>143</v>
      </c>
      <c r="E835" s="9600"/>
      <c r="F835" s="285" t="s">
        <v>413</v>
      </c>
      <c r="G835" s="666"/>
      <c r="H835" s="684"/>
      <c r="I835" s="9582" t="s">
        <v>144</v>
      </c>
      <c r="J835" s="9583"/>
      <c r="K835" s="285" t="s">
        <v>413</v>
      </c>
      <c r="L835" s="6753"/>
      <c r="M835" s="7245"/>
      <c r="N835" s="6842"/>
      <c r="O835" s="7375"/>
      <c r="P835" s="6825"/>
      <c r="Q835" s="7375"/>
      <c r="R835" s="6658" t="s">
        <v>155</v>
      </c>
      <c r="S835" s="6577"/>
      <c r="T835" s="2468"/>
      <c r="U835" s="544"/>
      <c r="V835" s="545"/>
      <c r="W835" s="546"/>
      <c r="X835" s="547"/>
      <c r="Y835" s="299" t="s">
        <v>193</v>
      </c>
      <c r="Z835" s="277"/>
      <c r="AA835" s="277"/>
      <c r="AB835" s="187"/>
    </row>
    <row r="836" spans="1:29" ht="20.100000000000001" customHeight="1">
      <c r="A836" s="11"/>
      <c r="B836" s="1360"/>
      <c r="C836" s="5598"/>
      <c r="D836" s="9598" t="s">
        <v>146</v>
      </c>
      <c r="E836" s="9600"/>
      <c r="F836" s="285" t="s">
        <v>413</v>
      </c>
      <c r="G836" s="666"/>
      <c r="H836" s="684"/>
      <c r="I836" s="9582" t="s">
        <v>147</v>
      </c>
      <c r="J836" s="9583"/>
      <c r="K836" s="285" t="s">
        <v>413</v>
      </c>
      <c r="L836" s="6774" t="s">
        <v>168</v>
      </c>
      <c r="M836" s="7240" t="s">
        <v>641</v>
      </c>
      <c r="N836" s="6837" t="s">
        <v>168</v>
      </c>
      <c r="O836" s="7240" t="s">
        <v>641</v>
      </c>
      <c r="P836" s="6837" t="s">
        <v>168</v>
      </c>
      <c r="Q836" s="7240" t="s">
        <v>641</v>
      </c>
      <c r="R836" s="6658" t="s">
        <v>155</v>
      </c>
      <c r="S836" s="6538"/>
      <c r="T836" s="2468"/>
      <c r="U836" s="544"/>
      <c r="V836" s="545"/>
      <c r="W836" s="546"/>
      <c r="X836" s="547"/>
      <c r="Y836" s="299" t="s">
        <v>193</v>
      </c>
      <c r="Z836" s="277"/>
      <c r="AA836" s="277"/>
      <c r="AB836" s="187"/>
    </row>
    <row r="837" spans="1:29" ht="20.100000000000001" customHeight="1">
      <c r="A837" s="11"/>
      <c r="B837" s="1360"/>
      <c r="C837" s="5598"/>
      <c r="D837" s="9598" t="s">
        <v>149</v>
      </c>
      <c r="E837" s="9600"/>
      <c r="F837" s="285" t="s">
        <v>413</v>
      </c>
      <c r="G837" s="666"/>
      <c r="H837" s="684"/>
      <c r="I837" s="9582" t="s">
        <v>150</v>
      </c>
      <c r="J837" s="9583"/>
      <c r="K837" s="285" t="s">
        <v>413</v>
      </c>
      <c r="L837" s="6753"/>
      <c r="M837" s="7245"/>
      <c r="N837" s="6842"/>
      <c r="O837" s="7375"/>
      <c r="P837" s="6825"/>
      <c r="Q837" s="7375"/>
      <c r="R837" s="6658" t="s">
        <v>155</v>
      </c>
      <c r="S837" s="6577"/>
      <c r="T837" s="2468"/>
      <c r="U837" s="544"/>
      <c r="V837" s="545"/>
      <c r="W837" s="546"/>
      <c r="X837" s="547"/>
      <c r="Y837" s="299" t="s">
        <v>193</v>
      </c>
      <c r="Z837" s="277"/>
      <c r="AA837" s="277"/>
      <c r="AB837" s="187"/>
    </row>
    <row r="838" spans="1:29" ht="20.100000000000001" customHeight="1">
      <c r="A838" s="11"/>
      <c r="B838" s="1360"/>
      <c r="C838" s="5598"/>
      <c r="D838" s="5617" t="s">
        <v>590</v>
      </c>
      <c r="E838" s="5617"/>
      <c r="F838" s="285" t="s">
        <v>413</v>
      </c>
      <c r="G838" s="666"/>
      <c r="H838" s="684"/>
      <c r="I838" s="9586" t="s">
        <v>612</v>
      </c>
      <c r="J838" s="9587"/>
      <c r="K838" s="285" t="s">
        <v>413</v>
      </c>
      <c r="L838" s="6763" t="str">
        <f>IF(COUNTBLANK(L839:L844)&gt;0,"미취합법인有",SUM(L839:L844))</f>
        <v>미취합법인有</v>
      </c>
      <c r="M838" s="7236"/>
      <c r="N838" s="6840" t="str">
        <f>IF(COUNTBLANK(N839:N844)&gt;0,"미취합법인有",SUM(N839:N844))</f>
        <v>미취합법인有</v>
      </c>
      <c r="O838" s="7236"/>
      <c r="P838" s="6914" t="str">
        <f>IF(COUNTBLANK(P839:P844)&gt;0,"미취합법인有",SUM(P839:P844))</f>
        <v>미취합법인有</v>
      </c>
      <c r="Q838" s="7463"/>
      <c r="R838" s="6658" t="s">
        <v>155</v>
      </c>
      <c r="S838" s="6561"/>
      <c r="T838" s="2468"/>
      <c r="U838" s="276"/>
      <c r="V838" s="99" t="s">
        <v>189</v>
      </c>
      <c r="W838" s="547"/>
      <c r="X838" s="547"/>
      <c r="Y838" s="299" t="s">
        <v>193</v>
      </c>
      <c r="Z838" s="620" t="s">
        <v>607</v>
      </c>
      <c r="AA838" s="154"/>
      <c r="AB838" s="159"/>
      <c r="AC838" s="6305"/>
    </row>
    <row r="839" spans="1:29" ht="20.100000000000001" customHeight="1">
      <c r="A839" s="11"/>
      <c r="B839" s="1360"/>
      <c r="C839" s="5598"/>
      <c r="D839" s="9598" t="s">
        <v>134</v>
      </c>
      <c r="E839" s="9600"/>
      <c r="F839" s="285" t="s">
        <v>413</v>
      </c>
      <c r="G839" s="666"/>
      <c r="H839" s="684"/>
      <c r="I839" s="9579" t="s">
        <v>135</v>
      </c>
      <c r="J839" s="9581"/>
      <c r="K839" s="285" t="s">
        <v>413</v>
      </c>
      <c r="L839" s="6753"/>
      <c r="M839" s="7249" t="s">
        <v>369</v>
      </c>
      <c r="N839" s="6842"/>
      <c r="O839" s="7377" t="s">
        <v>369</v>
      </c>
      <c r="P839" s="6936"/>
      <c r="Q839" s="7469" t="s">
        <v>369</v>
      </c>
      <c r="R839" s="6658" t="s">
        <v>155</v>
      </c>
      <c r="S839" s="6579"/>
      <c r="T839" s="2468"/>
      <c r="U839" s="544"/>
      <c r="V839" s="545"/>
      <c r="W839" s="546"/>
      <c r="X839" s="547"/>
      <c r="Y839" s="299" t="s">
        <v>193</v>
      </c>
      <c r="Z839" s="277"/>
      <c r="AA839" s="277"/>
      <c r="AB839" s="187"/>
    </row>
    <row r="840" spans="1:29" ht="20.100000000000001" customHeight="1">
      <c r="A840" s="11"/>
      <c r="B840" s="1360"/>
      <c r="C840" s="5598"/>
      <c r="D840" s="9598" t="s">
        <v>137</v>
      </c>
      <c r="E840" s="9600"/>
      <c r="F840" s="285" t="s">
        <v>413</v>
      </c>
      <c r="G840" s="666"/>
      <c r="H840" s="684"/>
      <c r="I840" s="9579" t="s">
        <v>138</v>
      </c>
      <c r="J840" s="9581"/>
      <c r="K840" s="285" t="s">
        <v>413</v>
      </c>
      <c r="L840" s="6753"/>
      <c r="M840" s="7249"/>
      <c r="N840" s="6842"/>
      <c r="O840" s="7377"/>
      <c r="P840" s="6936"/>
      <c r="Q840" s="7469"/>
      <c r="R840" s="6658" t="s">
        <v>155</v>
      </c>
      <c r="S840" s="6579"/>
      <c r="T840" s="2468"/>
      <c r="U840" s="544"/>
      <c r="V840" s="545"/>
      <c r="W840" s="546"/>
      <c r="X840" s="547"/>
      <c r="Y840" s="299" t="s">
        <v>193</v>
      </c>
      <c r="Z840" s="277"/>
      <c r="AA840" s="277"/>
      <c r="AB840" s="187"/>
    </row>
    <row r="841" spans="1:29" ht="20.100000000000001" customHeight="1">
      <c r="A841" s="11"/>
      <c r="B841" s="1360"/>
      <c r="C841" s="5598"/>
      <c r="D841" s="9598" t="s">
        <v>140</v>
      </c>
      <c r="E841" s="9600"/>
      <c r="F841" s="285" t="s">
        <v>413</v>
      </c>
      <c r="G841" s="666"/>
      <c r="H841" s="684"/>
      <c r="I841" s="9582" t="s">
        <v>141</v>
      </c>
      <c r="J841" s="9583"/>
      <c r="K841" s="285" t="s">
        <v>413</v>
      </c>
      <c r="L841" s="6753"/>
      <c r="M841" s="7249"/>
      <c r="N841" s="6842"/>
      <c r="O841" s="7377"/>
      <c r="P841" s="6936"/>
      <c r="Q841" s="7469"/>
      <c r="R841" s="6658" t="s">
        <v>155</v>
      </c>
      <c r="S841" s="6579"/>
      <c r="T841" s="2468"/>
      <c r="U841" s="544"/>
      <c r="V841" s="545"/>
      <c r="W841" s="546"/>
      <c r="X841" s="547"/>
      <c r="Y841" s="299" t="s">
        <v>193</v>
      </c>
      <c r="Z841" s="277"/>
      <c r="AA841" s="277"/>
      <c r="AB841" s="187"/>
    </row>
    <row r="842" spans="1:29" ht="20.100000000000001" customHeight="1">
      <c r="A842" s="11"/>
      <c r="B842" s="1360"/>
      <c r="C842" s="5598"/>
      <c r="D842" s="9598" t="s">
        <v>143</v>
      </c>
      <c r="E842" s="9600"/>
      <c r="F842" s="285" t="s">
        <v>413</v>
      </c>
      <c r="G842" s="666"/>
      <c r="H842" s="684"/>
      <c r="I842" s="9582" t="s">
        <v>144</v>
      </c>
      <c r="J842" s="9583"/>
      <c r="K842" s="285" t="s">
        <v>413</v>
      </c>
      <c r="L842" s="6753"/>
      <c r="M842" s="7249"/>
      <c r="N842" s="6842"/>
      <c r="O842" s="7377"/>
      <c r="P842" s="6936"/>
      <c r="Q842" s="7469"/>
      <c r="R842" s="6658" t="s">
        <v>155</v>
      </c>
      <c r="S842" s="6579"/>
      <c r="T842" s="2468"/>
      <c r="U842" s="544"/>
      <c r="V842" s="545"/>
      <c r="W842" s="546"/>
      <c r="X842" s="547"/>
      <c r="Y842" s="299" t="s">
        <v>193</v>
      </c>
      <c r="Z842" s="277"/>
      <c r="AA842" s="277"/>
      <c r="AB842" s="187"/>
    </row>
    <row r="843" spans="1:29" ht="20.100000000000001" customHeight="1">
      <c r="A843" s="11"/>
      <c r="B843" s="1360"/>
      <c r="C843" s="5598"/>
      <c r="D843" s="9598" t="s">
        <v>146</v>
      </c>
      <c r="E843" s="9600"/>
      <c r="F843" s="285" t="s">
        <v>413</v>
      </c>
      <c r="G843" s="666"/>
      <c r="H843" s="684"/>
      <c r="I843" s="9582" t="s">
        <v>147</v>
      </c>
      <c r="J843" s="9583"/>
      <c r="K843" s="285" t="s">
        <v>413</v>
      </c>
      <c r="L843" s="6774" t="s">
        <v>168</v>
      </c>
      <c r="M843" s="7240" t="s">
        <v>641</v>
      </c>
      <c r="N843" s="6837" t="s">
        <v>168</v>
      </c>
      <c r="O843" s="7240" t="s">
        <v>641</v>
      </c>
      <c r="P843" s="6837" t="s">
        <v>168</v>
      </c>
      <c r="Q843" s="7240" t="s">
        <v>641</v>
      </c>
      <c r="R843" s="6658" t="s">
        <v>155</v>
      </c>
      <c r="S843" s="6538"/>
      <c r="T843" s="2468"/>
      <c r="U843" s="544"/>
      <c r="V843" s="545"/>
      <c r="W843" s="546"/>
      <c r="X843" s="547"/>
      <c r="Y843" s="299" t="s">
        <v>193</v>
      </c>
      <c r="Z843" s="277"/>
      <c r="AA843" s="277"/>
      <c r="AB843" s="187"/>
    </row>
    <row r="844" spans="1:29" ht="20.100000000000001" customHeight="1">
      <c r="A844" s="11"/>
      <c r="B844" s="1360"/>
      <c r="C844" s="5598"/>
      <c r="D844" s="9598" t="s">
        <v>149</v>
      </c>
      <c r="E844" s="9600"/>
      <c r="F844" s="285" t="s">
        <v>413</v>
      </c>
      <c r="G844" s="666"/>
      <c r="H844" s="684"/>
      <c r="I844" s="9582" t="s">
        <v>150</v>
      </c>
      <c r="J844" s="9583"/>
      <c r="K844" s="285" t="s">
        <v>413</v>
      </c>
      <c r="L844" s="6753"/>
      <c r="M844" s="7245"/>
      <c r="N844" s="6842"/>
      <c r="O844" s="7375"/>
      <c r="P844" s="6825"/>
      <c r="Q844" s="7375"/>
      <c r="R844" s="6658" t="s">
        <v>155</v>
      </c>
      <c r="S844" s="6577"/>
      <c r="T844" s="2468"/>
      <c r="U844" s="544"/>
      <c r="V844" s="545"/>
      <c r="W844" s="546"/>
      <c r="X844" s="547"/>
      <c r="Y844" s="299" t="s">
        <v>193</v>
      </c>
      <c r="Z844" s="277"/>
      <c r="AA844" s="277"/>
      <c r="AB844" s="187"/>
    </row>
    <row r="845" spans="1:29" ht="20.100000000000001" customHeight="1">
      <c r="A845" s="11"/>
      <c r="B845" s="1360"/>
      <c r="C845" s="5607" t="s">
        <v>613</v>
      </c>
      <c r="D845" s="5607"/>
      <c r="E845" s="5607"/>
      <c r="F845" s="285" t="s">
        <v>156</v>
      </c>
      <c r="G845" s="621"/>
      <c r="H845" s="9586" t="s">
        <v>614</v>
      </c>
      <c r="I845" s="9587"/>
      <c r="J845" s="9588"/>
      <c r="K845" s="285" t="s">
        <v>156</v>
      </c>
      <c r="L845" s="6763" t="str">
        <f>IF(COUNTBLANK(L846:L851)&gt;0,"미취합법인有",AVERAGE(L846:L851))</f>
        <v>미취합법인有</v>
      </c>
      <c r="M845" s="7236"/>
      <c r="N845" s="6840" t="str">
        <f>IF(COUNTBLANK(N846:N851)&gt;0,"미취합법인有",AVERAGE(N846:N851))</f>
        <v>미취합법인有</v>
      </c>
      <c r="O845" s="7236"/>
      <c r="P845" s="6914" t="str">
        <f>IF(COUNTBLANK(P846:P851)&gt;0,"미취합법인有",AVERAGE(P846:P851))</f>
        <v>미취합법인有</v>
      </c>
      <c r="Q845" s="7463"/>
      <c r="R845" s="6658" t="s">
        <v>155</v>
      </c>
      <c r="S845" s="6561"/>
      <c r="T845" s="2468" t="s">
        <v>615</v>
      </c>
      <c r="U845" s="276" t="s">
        <v>616</v>
      </c>
      <c r="V845" s="99" t="s">
        <v>189</v>
      </c>
      <c r="W845" s="547"/>
      <c r="X845" s="547"/>
      <c r="Y845" s="299" t="s">
        <v>193</v>
      </c>
      <c r="Z845" s="620" t="s">
        <v>617</v>
      </c>
      <c r="AA845" s="154"/>
      <c r="AB845" s="159"/>
      <c r="AC845" s="6305"/>
    </row>
    <row r="846" spans="1:29" ht="19.899999999999999" customHeight="1">
      <c r="A846" s="11"/>
      <c r="B846" s="5590"/>
      <c r="C846" s="9647" t="s">
        <v>134</v>
      </c>
      <c r="D846" s="9648"/>
      <c r="E846" s="9649"/>
      <c r="F846" s="285" t="s">
        <v>156</v>
      </c>
      <c r="G846" s="253"/>
      <c r="H846" s="9579" t="s">
        <v>135</v>
      </c>
      <c r="I846" s="9580"/>
      <c r="J846" s="9581"/>
      <c r="K846" s="285" t="s">
        <v>156</v>
      </c>
      <c r="L846" s="6754"/>
      <c r="M846" s="7240" t="s">
        <v>302</v>
      </c>
      <c r="N846" s="6837"/>
      <c r="O846" s="7240" t="s">
        <v>302</v>
      </c>
      <c r="P846" s="6837"/>
      <c r="Q846" s="7240" t="s">
        <v>302</v>
      </c>
      <c r="R846" s="6658" t="s">
        <v>155</v>
      </c>
      <c r="S846" s="6557"/>
      <c r="T846" s="1033"/>
      <c r="U846" s="263"/>
      <c r="V846" s="99"/>
      <c r="W846" s="138"/>
      <c r="X846" s="138"/>
      <c r="Y846" s="299" t="s">
        <v>193</v>
      </c>
      <c r="Z846" s="264"/>
      <c r="AA846" s="277"/>
      <c r="AB846" s="187"/>
    </row>
    <row r="847" spans="1:29" ht="19.899999999999999" customHeight="1">
      <c r="A847" s="11"/>
      <c r="B847" s="5590"/>
      <c r="C847" s="9647" t="s">
        <v>137</v>
      </c>
      <c r="D847" s="9648"/>
      <c r="E847" s="9649"/>
      <c r="F847" s="285" t="s">
        <v>156</v>
      </c>
      <c r="G847" s="253"/>
      <c r="H847" s="9579" t="s">
        <v>138</v>
      </c>
      <c r="I847" s="9580"/>
      <c r="J847" s="9581"/>
      <c r="K847" s="285" t="s">
        <v>156</v>
      </c>
      <c r="L847" s="6754"/>
      <c r="M847" s="7240"/>
      <c r="N847" s="6837"/>
      <c r="O847" s="7240"/>
      <c r="P847" s="6837"/>
      <c r="Q847" s="7240"/>
      <c r="R847" s="6658" t="s">
        <v>155</v>
      </c>
      <c r="S847" s="6557"/>
      <c r="T847" s="1033"/>
      <c r="U847" s="263"/>
      <c r="V847" s="99"/>
      <c r="W847" s="138"/>
      <c r="X847" s="138"/>
      <c r="Y847" s="299" t="s">
        <v>193</v>
      </c>
      <c r="Z847" s="264"/>
      <c r="AA847" s="277"/>
      <c r="AB847" s="187"/>
    </row>
    <row r="848" spans="1:29" ht="19.899999999999999" customHeight="1">
      <c r="A848" s="11"/>
      <c r="B848" s="5590"/>
      <c r="C848" s="9647" t="s">
        <v>140</v>
      </c>
      <c r="D848" s="9648"/>
      <c r="E848" s="9649"/>
      <c r="F848" s="285" t="s">
        <v>156</v>
      </c>
      <c r="G848" s="253"/>
      <c r="H848" s="9579" t="s">
        <v>141</v>
      </c>
      <c r="I848" s="9580"/>
      <c r="J848" s="9581"/>
      <c r="K848" s="285" t="s">
        <v>156</v>
      </c>
      <c r="L848" s="6754"/>
      <c r="M848" s="7240"/>
      <c r="N848" s="6837"/>
      <c r="O848" s="7240"/>
      <c r="P848" s="6837"/>
      <c r="Q848" s="7240"/>
      <c r="R848" s="6658" t="s">
        <v>155</v>
      </c>
      <c r="S848" s="6557"/>
      <c r="T848" s="1033"/>
      <c r="U848" s="263"/>
      <c r="V848" s="99"/>
      <c r="W848" s="138"/>
      <c r="X848" s="138"/>
      <c r="Y848" s="299" t="s">
        <v>193</v>
      </c>
      <c r="Z848" s="264"/>
      <c r="AA848" s="277"/>
      <c r="AB848" s="187"/>
    </row>
    <row r="849" spans="1:29" ht="19.899999999999999" customHeight="1">
      <c r="A849" s="11"/>
      <c r="B849" s="5590"/>
      <c r="C849" s="9647" t="s">
        <v>143</v>
      </c>
      <c r="D849" s="9648"/>
      <c r="E849" s="9649"/>
      <c r="F849" s="285" t="s">
        <v>156</v>
      </c>
      <c r="G849" s="253"/>
      <c r="H849" s="9579" t="s">
        <v>144</v>
      </c>
      <c r="I849" s="9580"/>
      <c r="J849" s="9581"/>
      <c r="K849" s="285" t="s">
        <v>156</v>
      </c>
      <c r="L849" s="6754"/>
      <c r="M849" s="7240"/>
      <c r="N849" s="6837"/>
      <c r="O849" s="7240"/>
      <c r="P849" s="6837"/>
      <c r="Q849" s="7240"/>
      <c r="R849" s="6658" t="s">
        <v>155</v>
      </c>
      <c r="S849" s="6557"/>
      <c r="T849" s="1033"/>
      <c r="U849" s="263"/>
      <c r="V849" s="99"/>
      <c r="W849" s="138"/>
      <c r="X849" s="138"/>
      <c r="Y849" s="299" t="s">
        <v>193</v>
      </c>
      <c r="Z849" s="264"/>
      <c r="AA849" s="277"/>
      <c r="AB849" s="187"/>
    </row>
    <row r="850" spans="1:29" ht="19.899999999999999" customHeight="1">
      <c r="A850" s="11"/>
      <c r="B850" s="5590"/>
      <c r="C850" s="9647" t="s">
        <v>146</v>
      </c>
      <c r="D850" s="9648"/>
      <c r="E850" s="9649"/>
      <c r="F850" s="285" t="s">
        <v>156</v>
      </c>
      <c r="G850" s="253"/>
      <c r="H850" s="9579" t="s">
        <v>147</v>
      </c>
      <c r="I850" s="9580"/>
      <c r="J850" s="9581"/>
      <c r="K850" s="285" t="s">
        <v>156</v>
      </c>
      <c r="L850" s="6774" t="s">
        <v>168</v>
      </c>
      <c r="M850" s="7240" t="s">
        <v>641</v>
      </c>
      <c r="N850" s="6837" t="s">
        <v>168</v>
      </c>
      <c r="O850" s="7240" t="s">
        <v>641</v>
      </c>
      <c r="P850" s="6837" t="s">
        <v>168</v>
      </c>
      <c r="Q850" s="7240" t="s">
        <v>641</v>
      </c>
      <c r="R850" s="6658" t="s">
        <v>155</v>
      </c>
      <c r="S850" s="6557"/>
      <c r="T850" s="1033"/>
      <c r="U850" s="263"/>
      <c r="V850" s="99"/>
      <c r="W850" s="138"/>
      <c r="X850" s="138"/>
      <c r="Y850" s="299" t="s">
        <v>193</v>
      </c>
      <c r="Z850" s="264"/>
      <c r="AA850" s="277"/>
      <c r="AB850" s="187"/>
    </row>
    <row r="851" spans="1:29" ht="19.899999999999999" customHeight="1">
      <c r="A851" s="11"/>
      <c r="B851" s="5590"/>
      <c r="C851" s="9647" t="s">
        <v>149</v>
      </c>
      <c r="D851" s="9648"/>
      <c r="E851" s="9649"/>
      <c r="F851" s="285" t="s">
        <v>156</v>
      </c>
      <c r="G851" s="253"/>
      <c r="H851" s="9579" t="s">
        <v>150</v>
      </c>
      <c r="I851" s="9580"/>
      <c r="J851" s="9581"/>
      <c r="K851" s="285" t="s">
        <v>156</v>
      </c>
      <c r="L851" s="6754"/>
      <c r="M851" s="7240"/>
      <c r="N851" s="6837"/>
      <c r="O851" s="7240"/>
      <c r="P851" s="6837"/>
      <c r="Q851" s="7240"/>
      <c r="R851" s="6658" t="s">
        <v>155</v>
      </c>
      <c r="S851" s="6557"/>
      <c r="T851" s="1033"/>
      <c r="U851" s="263"/>
      <c r="V851" s="99"/>
      <c r="W851" s="138"/>
      <c r="X851" s="138"/>
      <c r="Y851" s="299" t="s">
        <v>193</v>
      </c>
      <c r="Z851" s="264"/>
      <c r="AA851" s="277"/>
      <c r="AB851" s="187"/>
    </row>
    <row r="852" spans="1:29" ht="20.100000000000001" customHeight="1">
      <c r="A852" s="11"/>
      <c r="B852" s="1360"/>
      <c r="C852" s="5598"/>
      <c r="D852" s="5615" t="s">
        <v>618</v>
      </c>
      <c r="E852" s="5616"/>
      <c r="F852" s="285" t="s">
        <v>413</v>
      </c>
      <c r="G852" s="621"/>
      <c r="H852" s="6163"/>
      <c r="I852" s="9586" t="s">
        <v>619</v>
      </c>
      <c r="J852" s="9588"/>
      <c r="K852" s="285" t="s">
        <v>413</v>
      </c>
      <c r="L852" s="6763" t="str">
        <f>IF(COUNTBLANK(L853:L858)&gt;0,"미취합법인有",SUM(L853:L858))</f>
        <v>미취합법인有</v>
      </c>
      <c r="M852" s="7236"/>
      <c r="N852" s="6840" t="str">
        <f>IF(COUNTBLANK(N853:N858)&gt;0,"미취합법인有",SUM(N853:N858))</f>
        <v>미취합법인有</v>
      </c>
      <c r="O852" s="7236"/>
      <c r="P852" s="6914" t="str">
        <f>IF(COUNTBLANK(P853:P858)&gt;0,"미취합법인有",SUM(P853:P858))</f>
        <v>미취합법인有</v>
      </c>
      <c r="Q852" s="7463"/>
      <c r="R852" s="6658" t="s">
        <v>155</v>
      </c>
      <c r="S852" s="6561"/>
      <c r="T852" s="2468"/>
      <c r="U852" s="276"/>
      <c r="V852" s="99" t="s">
        <v>189</v>
      </c>
      <c r="W852" s="547"/>
      <c r="X852" s="547"/>
      <c r="Y852" s="299" t="s">
        <v>193</v>
      </c>
      <c r="Z852" s="620" t="s">
        <v>617</v>
      </c>
      <c r="AA852" s="154"/>
      <c r="AB852" s="159"/>
      <c r="AC852" s="6305"/>
    </row>
    <row r="853" spans="1:29" ht="20.100000000000001" customHeight="1">
      <c r="A853" s="11"/>
      <c r="B853" s="1360"/>
      <c r="C853" s="5598"/>
      <c r="D853" s="9598" t="s">
        <v>134</v>
      </c>
      <c r="E853" s="9600"/>
      <c r="F853" s="285" t="s">
        <v>413</v>
      </c>
      <c r="G853" s="666"/>
      <c r="H853" s="684"/>
      <c r="I853" s="9579" t="s">
        <v>135</v>
      </c>
      <c r="J853" s="9581"/>
      <c r="K853" s="285" t="s">
        <v>413</v>
      </c>
      <c r="L853" s="6754"/>
      <c r="M853" s="7240" t="s">
        <v>302</v>
      </c>
      <c r="N853" s="6837"/>
      <c r="O853" s="7240" t="s">
        <v>302</v>
      </c>
      <c r="P853" s="6837"/>
      <c r="Q853" s="7240" t="s">
        <v>302</v>
      </c>
      <c r="R853" s="6658" t="s">
        <v>155</v>
      </c>
      <c r="S853" s="6538"/>
      <c r="T853" s="2468"/>
      <c r="U853" s="544"/>
      <c r="V853" s="545"/>
      <c r="W853" s="546"/>
      <c r="X853" s="547"/>
      <c r="Y853" s="299" t="s">
        <v>193</v>
      </c>
      <c r="Z853" s="277"/>
      <c r="AA853" s="277"/>
      <c r="AB853" s="187"/>
    </row>
    <row r="854" spans="1:29" ht="20.100000000000001" customHeight="1">
      <c r="A854" s="11"/>
      <c r="B854" s="1360"/>
      <c r="C854" s="5598"/>
      <c r="D854" s="9598" t="s">
        <v>137</v>
      </c>
      <c r="E854" s="9600"/>
      <c r="F854" s="285" t="s">
        <v>413</v>
      </c>
      <c r="G854" s="666"/>
      <c r="H854" s="684"/>
      <c r="I854" s="9579" t="s">
        <v>138</v>
      </c>
      <c r="J854" s="9581"/>
      <c r="K854" s="285" t="s">
        <v>413</v>
      </c>
      <c r="L854" s="6753"/>
      <c r="M854" s="7245"/>
      <c r="N854" s="6842"/>
      <c r="O854" s="7375"/>
      <c r="P854" s="6825"/>
      <c r="Q854" s="7375"/>
      <c r="R854" s="6658" t="s">
        <v>155</v>
      </c>
      <c r="S854" s="6577"/>
      <c r="T854" s="2468"/>
      <c r="U854" s="544"/>
      <c r="V854" s="545"/>
      <c r="W854" s="546"/>
      <c r="X854" s="547"/>
      <c r="Y854" s="299" t="s">
        <v>193</v>
      </c>
      <c r="Z854" s="277"/>
      <c r="AA854" s="277"/>
      <c r="AB854" s="187"/>
    </row>
    <row r="855" spans="1:29" ht="20.100000000000001" customHeight="1">
      <c r="A855" s="11"/>
      <c r="B855" s="1360"/>
      <c r="C855" s="5598"/>
      <c r="D855" s="9598" t="s">
        <v>140</v>
      </c>
      <c r="E855" s="9600"/>
      <c r="F855" s="285" t="s">
        <v>413</v>
      </c>
      <c r="G855" s="666"/>
      <c r="H855" s="684"/>
      <c r="I855" s="9582" t="s">
        <v>141</v>
      </c>
      <c r="J855" s="9583"/>
      <c r="K855" s="285" t="s">
        <v>413</v>
      </c>
      <c r="L855" s="6753"/>
      <c r="M855" s="7245"/>
      <c r="N855" s="6842"/>
      <c r="O855" s="7375"/>
      <c r="P855" s="6825"/>
      <c r="Q855" s="7375"/>
      <c r="R855" s="6658" t="s">
        <v>155</v>
      </c>
      <c r="S855" s="6577"/>
      <c r="T855" s="2468"/>
      <c r="U855" s="544"/>
      <c r="V855" s="545"/>
      <c r="W855" s="546"/>
      <c r="X855" s="547"/>
      <c r="Y855" s="299" t="s">
        <v>193</v>
      </c>
      <c r="Z855" s="277"/>
      <c r="AA855" s="277"/>
      <c r="AB855" s="187"/>
    </row>
    <row r="856" spans="1:29" ht="20.100000000000001" customHeight="1">
      <c r="A856" s="11"/>
      <c r="B856" s="1360"/>
      <c r="C856" s="5598"/>
      <c r="D856" s="9598" t="s">
        <v>143</v>
      </c>
      <c r="E856" s="9600"/>
      <c r="F856" s="285" t="s">
        <v>413</v>
      </c>
      <c r="G856" s="666"/>
      <c r="H856" s="684"/>
      <c r="I856" s="9582" t="s">
        <v>144</v>
      </c>
      <c r="J856" s="9583"/>
      <c r="K856" s="285" t="s">
        <v>413</v>
      </c>
      <c r="L856" s="6753"/>
      <c r="M856" s="7245"/>
      <c r="N856" s="6842"/>
      <c r="O856" s="7375"/>
      <c r="P856" s="6825"/>
      <c r="Q856" s="7375"/>
      <c r="R856" s="6658" t="s">
        <v>155</v>
      </c>
      <c r="S856" s="6577"/>
      <c r="T856" s="2468"/>
      <c r="U856" s="544"/>
      <c r="V856" s="545"/>
      <c r="W856" s="546"/>
      <c r="X856" s="547"/>
      <c r="Y856" s="299" t="s">
        <v>193</v>
      </c>
      <c r="Z856" s="277"/>
      <c r="AA856" s="277"/>
      <c r="AB856" s="187"/>
    </row>
    <row r="857" spans="1:29" ht="20.100000000000001" customHeight="1">
      <c r="A857" s="11"/>
      <c r="B857" s="1360"/>
      <c r="C857" s="5598"/>
      <c r="D857" s="9598" t="s">
        <v>146</v>
      </c>
      <c r="E857" s="9600"/>
      <c r="F857" s="285" t="s">
        <v>413</v>
      </c>
      <c r="G857" s="666"/>
      <c r="H857" s="684"/>
      <c r="I857" s="9582" t="s">
        <v>147</v>
      </c>
      <c r="J857" s="9583"/>
      <c r="K857" s="285" t="s">
        <v>413</v>
      </c>
      <c r="L857" s="6774" t="s">
        <v>168</v>
      </c>
      <c r="M857" s="7240" t="s">
        <v>641</v>
      </c>
      <c r="N857" s="6837" t="s">
        <v>168</v>
      </c>
      <c r="O857" s="7240" t="s">
        <v>641</v>
      </c>
      <c r="P857" s="6837" t="s">
        <v>168</v>
      </c>
      <c r="Q857" s="7240" t="s">
        <v>641</v>
      </c>
      <c r="R857" s="6658" t="s">
        <v>155</v>
      </c>
      <c r="S857" s="6538"/>
      <c r="T857" s="2468"/>
      <c r="U857" s="544"/>
      <c r="V857" s="545"/>
      <c r="W857" s="546"/>
      <c r="X857" s="547"/>
      <c r="Y857" s="299" t="s">
        <v>193</v>
      </c>
      <c r="Z857" s="277"/>
      <c r="AA857" s="277"/>
      <c r="AB857" s="187"/>
    </row>
    <row r="858" spans="1:29" ht="20.100000000000001" customHeight="1">
      <c r="A858" s="11"/>
      <c r="B858" s="1360"/>
      <c r="C858" s="5598"/>
      <c r="D858" s="9598" t="s">
        <v>149</v>
      </c>
      <c r="E858" s="9600"/>
      <c r="F858" s="285" t="s">
        <v>413</v>
      </c>
      <c r="G858" s="666"/>
      <c r="H858" s="684"/>
      <c r="I858" s="9582" t="s">
        <v>150</v>
      </c>
      <c r="J858" s="9583"/>
      <c r="K858" s="285" t="s">
        <v>413</v>
      </c>
      <c r="L858" s="6753"/>
      <c r="M858" s="7245"/>
      <c r="N858" s="6842"/>
      <c r="O858" s="7375"/>
      <c r="P858" s="6825"/>
      <c r="Q858" s="7375"/>
      <c r="R858" s="6658" t="s">
        <v>155</v>
      </c>
      <c r="S858" s="6577"/>
      <c r="T858" s="2468"/>
      <c r="U858" s="544"/>
      <c r="V858" s="545"/>
      <c r="W858" s="546"/>
      <c r="X858" s="547"/>
      <c r="Y858" s="299" t="s">
        <v>193</v>
      </c>
      <c r="Z858" s="277"/>
      <c r="AA858" s="277"/>
      <c r="AB858" s="187"/>
    </row>
    <row r="859" spans="1:29" ht="20.100000000000001" customHeight="1">
      <c r="A859" s="11"/>
      <c r="B859" s="1360"/>
      <c r="C859" s="5598"/>
      <c r="D859" s="5615" t="s">
        <v>620</v>
      </c>
      <c r="E859" s="5616"/>
      <c r="F859" s="285" t="s">
        <v>413</v>
      </c>
      <c r="G859" s="621"/>
      <c r="H859" s="6163"/>
      <c r="I859" s="9586" t="s">
        <v>621</v>
      </c>
      <c r="J859" s="9588"/>
      <c r="K859" s="285" t="s">
        <v>413</v>
      </c>
      <c r="L859" s="6763" t="str">
        <f>IF(COUNTBLANK(L860:L865)&gt;0,"미취합법인有",SUM(L860:L865))</f>
        <v>미취합법인有</v>
      </c>
      <c r="M859" s="7236"/>
      <c r="N859" s="6840" t="str">
        <f>IF(COUNTBLANK(N860:N865)&gt;0,"미취합법인有",SUM(N860:N865))</f>
        <v>미취합법인有</v>
      </c>
      <c r="O859" s="7236"/>
      <c r="P859" s="6914" t="str">
        <f>IF(COUNTBLANK(P860:P865)&gt;0,"미취합법인有",SUM(P860:P865))</f>
        <v>미취합법인有</v>
      </c>
      <c r="Q859" s="7463"/>
      <c r="R859" s="6658" t="s">
        <v>155</v>
      </c>
      <c r="S859" s="6561"/>
      <c r="T859" s="2468"/>
      <c r="U859" s="276"/>
      <c r="V859" s="99" t="s">
        <v>189</v>
      </c>
      <c r="W859" s="547"/>
      <c r="X859" s="547"/>
      <c r="Y859" s="299" t="s">
        <v>193</v>
      </c>
      <c r="Z859" s="620" t="s">
        <v>617</v>
      </c>
      <c r="AA859" s="154"/>
      <c r="AB859" s="159"/>
      <c r="AC859" s="6305"/>
    </row>
    <row r="860" spans="1:29" ht="20.100000000000001" customHeight="1">
      <c r="A860" s="11"/>
      <c r="B860" s="1360"/>
      <c r="C860" s="5598"/>
      <c r="D860" s="9598" t="s">
        <v>134</v>
      </c>
      <c r="E860" s="9600"/>
      <c r="F860" s="285" t="s">
        <v>413</v>
      </c>
      <c r="G860" s="666"/>
      <c r="H860" s="684"/>
      <c r="I860" s="9579" t="s">
        <v>135</v>
      </c>
      <c r="J860" s="9581"/>
      <c r="K860" s="285" t="s">
        <v>413</v>
      </c>
      <c r="L860" s="6754"/>
      <c r="M860" s="7240" t="s">
        <v>302</v>
      </c>
      <c r="N860" s="6837"/>
      <c r="O860" s="7240" t="s">
        <v>302</v>
      </c>
      <c r="P860" s="6837"/>
      <c r="Q860" s="7240" t="s">
        <v>302</v>
      </c>
      <c r="R860" s="6658" t="s">
        <v>155</v>
      </c>
      <c r="S860" s="6538"/>
      <c r="T860" s="2468"/>
      <c r="U860" s="544"/>
      <c r="V860" s="545"/>
      <c r="W860" s="546"/>
      <c r="X860" s="547"/>
      <c r="Y860" s="299" t="s">
        <v>193</v>
      </c>
      <c r="Z860" s="277"/>
      <c r="AA860" s="277"/>
      <c r="AB860" s="187"/>
    </row>
    <row r="861" spans="1:29" ht="20.100000000000001" customHeight="1">
      <c r="A861" s="11"/>
      <c r="B861" s="1360"/>
      <c r="C861" s="5598"/>
      <c r="D861" s="9598" t="s">
        <v>137</v>
      </c>
      <c r="E861" s="9600"/>
      <c r="F861" s="285" t="s">
        <v>413</v>
      </c>
      <c r="G861" s="666"/>
      <c r="H861" s="684"/>
      <c r="I861" s="9579" t="s">
        <v>138</v>
      </c>
      <c r="J861" s="9581"/>
      <c r="K861" s="285" t="s">
        <v>413</v>
      </c>
      <c r="L861" s="6753"/>
      <c r="M861" s="7245"/>
      <c r="N861" s="6842"/>
      <c r="O861" s="7375"/>
      <c r="P861" s="6825"/>
      <c r="Q861" s="7375"/>
      <c r="R861" s="6658" t="s">
        <v>155</v>
      </c>
      <c r="S861" s="6577"/>
      <c r="T861" s="2468"/>
      <c r="U861" s="544"/>
      <c r="V861" s="545"/>
      <c r="W861" s="546"/>
      <c r="X861" s="547"/>
      <c r="Y861" s="299" t="s">
        <v>193</v>
      </c>
      <c r="Z861" s="277"/>
      <c r="AA861" s="277"/>
      <c r="AB861" s="187"/>
    </row>
    <row r="862" spans="1:29" ht="20.100000000000001" customHeight="1">
      <c r="A862" s="11"/>
      <c r="B862" s="1360"/>
      <c r="C862" s="5598"/>
      <c r="D862" s="9598" t="s">
        <v>140</v>
      </c>
      <c r="E862" s="9600"/>
      <c r="F862" s="285" t="s">
        <v>413</v>
      </c>
      <c r="G862" s="666"/>
      <c r="H862" s="684"/>
      <c r="I862" s="9582" t="s">
        <v>141</v>
      </c>
      <c r="J862" s="9583"/>
      <c r="K862" s="285" t="s">
        <v>413</v>
      </c>
      <c r="L862" s="6753"/>
      <c r="M862" s="7245"/>
      <c r="N862" s="6842"/>
      <c r="O862" s="7375"/>
      <c r="P862" s="6825"/>
      <c r="Q862" s="7375"/>
      <c r="R862" s="6658" t="s">
        <v>155</v>
      </c>
      <c r="S862" s="6577"/>
      <c r="T862" s="2468"/>
      <c r="U862" s="544"/>
      <c r="V862" s="545"/>
      <c r="W862" s="546"/>
      <c r="X862" s="547"/>
      <c r="Y862" s="299" t="s">
        <v>193</v>
      </c>
      <c r="Z862" s="277"/>
      <c r="AA862" s="277"/>
      <c r="AB862" s="187"/>
    </row>
    <row r="863" spans="1:29" ht="20.100000000000001" customHeight="1">
      <c r="A863" s="11"/>
      <c r="B863" s="1360"/>
      <c r="C863" s="5598"/>
      <c r="D863" s="9598" t="s">
        <v>143</v>
      </c>
      <c r="E863" s="9600"/>
      <c r="F863" s="285" t="s">
        <v>413</v>
      </c>
      <c r="G863" s="666"/>
      <c r="H863" s="684"/>
      <c r="I863" s="9582" t="s">
        <v>144</v>
      </c>
      <c r="J863" s="9583"/>
      <c r="K863" s="285" t="s">
        <v>413</v>
      </c>
      <c r="L863" s="6753"/>
      <c r="M863" s="7245"/>
      <c r="N863" s="6842"/>
      <c r="O863" s="7375"/>
      <c r="P863" s="6825"/>
      <c r="Q863" s="7375"/>
      <c r="R863" s="6658" t="s">
        <v>155</v>
      </c>
      <c r="S863" s="6577"/>
      <c r="T863" s="2468"/>
      <c r="U863" s="544"/>
      <c r="V863" s="545"/>
      <c r="W863" s="546"/>
      <c r="X863" s="547"/>
      <c r="Y863" s="299" t="s">
        <v>193</v>
      </c>
      <c r="Z863" s="277"/>
      <c r="AA863" s="277"/>
      <c r="AB863" s="187"/>
    </row>
    <row r="864" spans="1:29" ht="20.100000000000001" customHeight="1">
      <c r="A864" s="11"/>
      <c r="B864" s="1360"/>
      <c r="C864" s="5598"/>
      <c r="D864" s="9598" t="s">
        <v>146</v>
      </c>
      <c r="E864" s="9600"/>
      <c r="F864" s="285" t="s">
        <v>413</v>
      </c>
      <c r="G864" s="666"/>
      <c r="H864" s="684"/>
      <c r="I864" s="9582" t="s">
        <v>147</v>
      </c>
      <c r="J864" s="9583"/>
      <c r="K864" s="285" t="s">
        <v>413</v>
      </c>
      <c r="L864" s="6774" t="s">
        <v>168</v>
      </c>
      <c r="M864" s="7240" t="s">
        <v>641</v>
      </c>
      <c r="N864" s="6837" t="s">
        <v>168</v>
      </c>
      <c r="O864" s="7240" t="s">
        <v>641</v>
      </c>
      <c r="P864" s="6837" t="s">
        <v>168</v>
      </c>
      <c r="Q864" s="7240" t="s">
        <v>641</v>
      </c>
      <c r="R864" s="6658" t="s">
        <v>155</v>
      </c>
      <c r="S864" s="6538"/>
      <c r="T864" s="2468"/>
      <c r="U864" s="544"/>
      <c r="V864" s="545"/>
      <c r="W864" s="546"/>
      <c r="X864" s="547"/>
      <c r="Y864" s="299" t="s">
        <v>193</v>
      </c>
      <c r="Z864" s="277"/>
      <c r="AA864" s="277"/>
      <c r="AB864" s="187"/>
    </row>
    <row r="865" spans="1:30" ht="20.100000000000001" customHeight="1">
      <c r="A865" s="11"/>
      <c r="B865" s="1360"/>
      <c r="C865" s="5598"/>
      <c r="D865" s="9598" t="s">
        <v>149</v>
      </c>
      <c r="E865" s="9600"/>
      <c r="F865" s="285" t="s">
        <v>413</v>
      </c>
      <c r="G865" s="666"/>
      <c r="H865" s="684"/>
      <c r="I865" s="9582" t="s">
        <v>150</v>
      </c>
      <c r="J865" s="9583"/>
      <c r="K865" s="285" t="s">
        <v>413</v>
      </c>
      <c r="L865" s="6753"/>
      <c r="M865" s="7245"/>
      <c r="N865" s="6842"/>
      <c r="O865" s="7375"/>
      <c r="P865" s="6825"/>
      <c r="Q865" s="7375"/>
      <c r="R865" s="6658" t="s">
        <v>155</v>
      </c>
      <c r="S865" s="6577"/>
      <c r="T865" s="2468"/>
      <c r="U865" s="544"/>
      <c r="V865" s="545"/>
      <c r="W865" s="546"/>
      <c r="X865" s="547"/>
      <c r="Y865" s="299" t="s">
        <v>193</v>
      </c>
      <c r="Z865" s="277"/>
      <c r="AA865" s="277"/>
      <c r="AB865" s="187"/>
    </row>
    <row r="866" spans="1:30" ht="20.100000000000001" customHeight="1">
      <c r="A866" s="11"/>
      <c r="B866" s="1360"/>
      <c r="C866" s="5598"/>
      <c r="D866" s="5615" t="s">
        <v>622</v>
      </c>
      <c r="E866" s="5616"/>
      <c r="F866" s="285" t="s">
        <v>413</v>
      </c>
      <c r="G866" s="621"/>
      <c r="H866" s="6163"/>
      <c r="I866" s="9586" t="s">
        <v>623</v>
      </c>
      <c r="J866" s="9588"/>
      <c r="K866" s="285" t="s">
        <v>413</v>
      </c>
      <c r="L866" s="6763" t="str">
        <f>IF(COUNTBLANK(L867:L872)&gt;0,"미취합법인有",SUM(L867:L872))</f>
        <v>미취합법인有</v>
      </c>
      <c r="M866" s="7236"/>
      <c r="N866" s="6840" t="str">
        <f>IF(COUNTBLANK(N867:N872)&gt;0,"미취합법인有",SUM(N867:N872))</f>
        <v>미취합법인有</v>
      </c>
      <c r="O866" s="7236"/>
      <c r="P866" s="6914" t="str">
        <f>IF(COUNTBLANK(P867:P872)&gt;0,"미취합법인有",SUM(P867:P872))</f>
        <v>미취합법인有</v>
      </c>
      <c r="Q866" s="7463"/>
      <c r="R866" s="6658" t="s">
        <v>155</v>
      </c>
      <c r="S866" s="6561"/>
      <c r="T866" s="2472"/>
      <c r="U866" s="457"/>
      <c r="V866" s="99" t="s">
        <v>189</v>
      </c>
      <c r="W866" s="547"/>
      <c r="X866" s="547"/>
      <c r="Y866" s="299" t="s">
        <v>193</v>
      </c>
      <c r="Z866" s="620" t="s">
        <v>617</v>
      </c>
      <c r="AA866" s="154"/>
      <c r="AB866" s="159"/>
      <c r="AC866" s="6305"/>
    </row>
    <row r="867" spans="1:30" ht="20.100000000000001" customHeight="1">
      <c r="A867" s="11"/>
      <c r="B867" s="1360"/>
      <c r="C867" s="5598"/>
      <c r="D867" s="9598" t="s">
        <v>134</v>
      </c>
      <c r="E867" s="9600"/>
      <c r="F867" s="285" t="s">
        <v>413</v>
      </c>
      <c r="G867" s="666"/>
      <c r="H867" s="684"/>
      <c r="I867" s="9579" t="s">
        <v>135</v>
      </c>
      <c r="J867" s="9581"/>
      <c r="K867" s="285" t="s">
        <v>413</v>
      </c>
      <c r="L867" s="6754"/>
      <c r="M867" s="7240" t="s">
        <v>302</v>
      </c>
      <c r="N867" s="6837"/>
      <c r="O867" s="7240" t="s">
        <v>302</v>
      </c>
      <c r="P867" s="6837"/>
      <c r="Q867" s="7240" t="s">
        <v>302</v>
      </c>
      <c r="R867" s="6658" t="s">
        <v>155</v>
      </c>
      <c r="S867" s="6538"/>
      <c r="T867" s="2468"/>
      <c r="U867" s="544"/>
      <c r="V867" s="545"/>
      <c r="W867" s="546"/>
      <c r="X867" s="547"/>
      <c r="Y867" s="299" t="s">
        <v>193</v>
      </c>
      <c r="Z867" s="277"/>
      <c r="AA867" s="277"/>
      <c r="AB867" s="187"/>
    </row>
    <row r="868" spans="1:30" ht="20.100000000000001" customHeight="1">
      <c r="A868" s="11"/>
      <c r="B868" s="1360"/>
      <c r="C868" s="5598"/>
      <c r="D868" s="9598" t="s">
        <v>137</v>
      </c>
      <c r="E868" s="9600"/>
      <c r="F868" s="285" t="s">
        <v>413</v>
      </c>
      <c r="G868" s="666"/>
      <c r="H868" s="684"/>
      <c r="I868" s="9579" t="s">
        <v>138</v>
      </c>
      <c r="J868" s="9581"/>
      <c r="K868" s="285" t="s">
        <v>413</v>
      </c>
      <c r="L868" s="6753"/>
      <c r="M868" s="7245"/>
      <c r="N868" s="6842"/>
      <c r="O868" s="7375"/>
      <c r="P868" s="6825"/>
      <c r="Q868" s="7375"/>
      <c r="R868" s="6658" t="s">
        <v>155</v>
      </c>
      <c r="S868" s="6577"/>
      <c r="T868" s="2468"/>
      <c r="U868" s="544"/>
      <c r="V868" s="545"/>
      <c r="W868" s="546"/>
      <c r="X868" s="547"/>
      <c r="Y868" s="299" t="s">
        <v>193</v>
      </c>
      <c r="Z868" s="277"/>
      <c r="AA868" s="277"/>
      <c r="AB868" s="187"/>
    </row>
    <row r="869" spans="1:30" ht="20.100000000000001" customHeight="1">
      <c r="A869" s="11"/>
      <c r="B869" s="1360"/>
      <c r="C869" s="5598"/>
      <c r="D869" s="9598" t="s">
        <v>140</v>
      </c>
      <c r="E869" s="9600"/>
      <c r="F869" s="285" t="s">
        <v>413</v>
      </c>
      <c r="G869" s="666"/>
      <c r="H869" s="684"/>
      <c r="I869" s="9582" t="s">
        <v>141</v>
      </c>
      <c r="J869" s="9583"/>
      <c r="K869" s="285" t="s">
        <v>413</v>
      </c>
      <c r="L869" s="6753"/>
      <c r="M869" s="7245"/>
      <c r="N869" s="6842"/>
      <c r="O869" s="7375"/>
      <c r="P869" s="6825"/>
      <c r="Q869" s="7375"/>
      <c r="R869" s="6658" t="s">
        <v>155</v>
      </c>
      <c r="S869" s="6577"/>
      <c r="T869" s="2468"/>
      <c r="U869" s="544"/>
      <c r="V869" s="545"/>
      <c r="W869" s="546"/>
      <c r="X869" s="547"/>
      <c r="Y869" s="299" t="s">
        <v>193</v>
      </c>
      <c r="Z869" s="277"/>
      <c r="AA869" s="277"/>
      <c r="AB869" s="187"/>
    </row>
    <row r="870" spans="1:30" ht="20.100000000000001" customHeight="1">
      <c r="A870" s="11"/>
      <c r="B870" s="1360"/>
      <c r="C870" s="5598"/>
      <c r="D870" s="9598" t="s">
        <v>143</v>
      </c>
      <c r="E870" s="9600"/>
      <c r="F870" s="285" t="s">
        <v>413</v>
      </c>
      <c r="G870" s="666"/>
      <c r="H870" s="684"/>
      <c r="I870" s="9582" t="s">
        <v>144</v>
      </c>
      <c r="J870" s="9583"/>
      <c r="K870" s="285" t="s">
        <v>413</v>
      </c>
      <c r="L870" s="6753"/>
      <c r="M870" s="7245"/>
      <c r="N870" s="6842"/>
      <c r="O870" s="7375"/>
      <c r="P870" s="6825"/>
      <c r="Q870" s="7375"/>
      <c r="R870" s="6658" t="s">
        <v>155</v>
      </c>
      <c r="S870" s="6577"/>
      <c r="T870" s="2468"/>
      <c r="U870" s="544"/>
      <c r="V870" s="545"/>
      <c r="W870" s="546"/>
      <c r="X870" s="547"/>
      <c r="Y870" s="299" t="s">
        <v>193</v>
      </c>
      <c r="Z870" s="277"/>
      <c r="AA870" s="277"/>
      <c r="AB870" s="187"/>
    </row>
    <row r="871" spans="1:30" ht="20.100000000000001" customHeight="1">
      <c r="A871" s="11"/>
      <c r="B871" s="1360"/>
      <c r="C871" s="5598"/>
      <c r="D871" s="9598" t="s">
        <v>146</v>
      </c>
      <c r="E871" s="9600"/>
      <c r="F871" s="285" t="s">
        <v>413</v>
      </c>
      <c r="G871" s="666"/>
      <c r="H871" s="684"/>
      <c r="I871" s="9582" t="s">
        <v>147</v>
      </c>
      <c r="J871" s="9583"/>
      <c r="K871" s="285" t="s">
        <v>413</v>
      </c>
      <c r="L871" s="6774" t="s">
        <v>168</v>
      </c>
      <c r="M871" s="7240" t="s">
        <v>641</v>
      </c>
      <c r="N871" s="6837" t="s">
        <v>168</v>
      </c>
      <c r="O871" s="7240" t="s">
        <v>641</v>
      </c>
      <c r="P871" s="6837" t="s">
        <v>168</v>
      </c>
      <c r="Q871" s="7240" t="s">
        <v>641</v>
      </c>
      <c r="R871" s="6658" t="s">
        <v>155</v>
      </c>
      <c r="S871" s="6538"/>
      <c r="T871" s="2468"/>
      <c r="U871" s="544"/>
      <c r="V871" s="545"/>
      <c r="W871" s="546"/>
      <c r="X871" s="547"/>
      <c r="Y871" s="299" t="s">
        <v>193</v>
      </c>
      <c r="Z871" s="277"/>
      <c r="AA871" s="277"/>
      <c r="AB871" s="187"/>
    </row>
    <row r="872" spans="1:30" ht="20.100000000000001" customHeight="1">
      <c r="A872" s="11"/>
      <c r="B872" s="1360"/>
      <c r="C872" s="5598"/>
      <c r="D872" s="9598" t="s">
        <v>149</v>
      </c>
      <c r="E872" s="9600"/>
      <c r="F872" s="285" t="s">
        <v>413</v>
      </c>
      <c r="G872" s="666"/>
      <c r="H872" s="684"/>
      <c r="I872" s="9582" t="s">
        <v>150</v>
      </c>
      <c r="J872" s="9583"/>
      <c r="K872" s="285" t="s">
        <v>413</v>
      </c>
      <c r="L872" s="6753"/>
      <c r="M872" s="7245"/>
      <c r="N872" s="6842"/>
      <c r="O872" s="7375"/>
      <c r="P872" s="6825"/>
      <c r="Q872" s="7375"/>
      <c r="R872" s="6658" t="s">
        <v>155</v>
      </c>
      <c r="S872" s="6577"/>
      <c r="T872" s="2468"/>
      <c r="U872" s="544"/>
      <c r="V872" s="545"/>
      <c r="W872" s="546"/>
      <c r="X872" s="547"/>
      <c r="Y872" s="299" t="s">
        <v>193</v>
      </c>
      <c r="Z872" s="277"/>
      <c r="AA872" s="277"/>
      <c r="AB872" s="187"/>
    </row>
    <row r="873" spans="1:30" ht="20.100000000000001" customHeight="1">
      <c r="A873" s="11"/>
      <c r="B873" s="1360"/>
      <c r="C873" s="5598"/>
      <c r="D873" s="5615" t="s">
        <v>624</v>
      </c>
      <c r="E873" s="5616"/>
      <c r="F873" s="285" t="s">
        <v>413</v>
      </c>
      <c r="G873" s="621"/>
      <c r="H873" s="6163"/>
      <c r="I873" s="9586" t="s">
        <v>625</v>
      </c>
      <c r="J873" s="9588"/>
      <c r="K873" s="285" t="s">
        <v>413</v>
      </c>
      <c r="L873" s="6763" t="str">
        <f>IF(COUNTBLANK(L874:L879)&gt;0,"미취합법인有",SUM(L874:L879))</f>
        <v>미취합법인有</v>
      </c>
      <c r="M873" s="7236"/>
      <c r="N873" s="6840" t="str">
        <f>IF(COUNTBLANK(N874:N879)&gt;0,"미취합법인有",SUM(N874:N879))</f>
        <v>미취합법인有</v>
      </c>
      <c r="O873" s="7236"/>
      <c r="P873" s="6914" t="str">
        <f>IF(COUNTBLANK(P874:P879)&gt;0,"미취합법인有",SUM(P874:P879))</f>
        <v>미취합법인有</v>
      </c>
      <c r="Q873" s="7463"/>
      <c r="R873" s="6658" t="s">
        <v>155</v>
      </c>
      <c r="S873" s="6561"/>
      <c r="T873" s="2472"/>
      <c r="U873" s="457"/>
      <c r="V873" s="99" t="s">
        <v>189</v>
      </c>
      <c r="W873" s="547"/>
      <c r="X873" s="547"/>
      <c r="Y873" s="299" t="s">
        <v>193</v>
      </c>
      <c r="Z873" s="620" t="s">
        <v>617</v>
      </c>
      <c r="AA873" s="154"/>
      <c r="AB873" s="159" t="s">
        <v>597</v>
      </c>
      <c r="AC873" s="6305"/>
    </row>
    <row r="874" spans="1:30" ht="20.100000000000001" customHeight="1">
      <c r="A874" s="11"/>
      <c r="B874" s="1360"/>
      <c r="C874" s="5598"/>
      <c r="D874" s="9598" t="s">
        <v>134</v>
      </c>
      <c r="E874" s="9600"/>
      <c r="F874" s="285" t="s">
        <v>413</v>
      </c>
      <c r="G874" s="666"/>
      <c r="H874" s="684"/>
      <c r="I874" s="9579" t="s">
        <v>135</v>
      </c>
      <c r="J874" s="9581"/>
      <c r="K874" s="285" t="s">
        <v>413</v>
      </c>
      <c r="L874" s="6754"/>
      <c r="M874" s="7240" t="s">
        <v>302</v>
      </c>
      <c r="N874" s="6837"/>
      <c r="O874" s="7240" t="s">
        <v>302</v>
      </c>
      <c r="P874" s="6837"/>
      <c r="Q874" s="7240" t="s">
        <v>302</v>
      </c>
      <c r="R874" s="6658" t="s">
        <v>155</v>
      </c>
      <c r="S874" s="6538"/>
      <c r="T874" s="2468"/>
      <c r="U874" s="544"/>
      <c r="V874" s="545"/>
      <c r="W874" s="546"/>
      <c r="X874" s="547"/>
      <c r="Y874" s="299" t="s">
        <v>193</v>
      </c>
      <c r="Z874" s="277"/>
      <c r="AA874" s="277"/>
      <c r="AB874" s="187"/>
    </row>
    <row r="875" spans="1:30" ht="20.100000000000001" customHeight="1">
      <c r="A875" s="11"/>
      <c r="B875" s="1360"/>
      <c r="C875" s="5598"/>
      <c r="D875" s="9598" t="s">
        <v>137</v>
      </c>
      <c r="E875" s="9600"/>
      <c r="F875" s="285" t="s">
        <v>413</v>
      </c>
      <c r="G875" s="666"/>
      <c r="H875" s="684"/>
      <c r="I875" s="9579" t="s">
        <v>138</v>
      </c>
      <c r="J875" s="9581"/>
      <c r="K875" s="285" t="s">
        <v>413</v>
      </c>
      <c r="L875" s="6753"/>
      <c r="M875" s="7245"/>
      <c r="N875" s="6842"/>
      <c r="O875" s="7375"/>
      <c r="P875" s="6825"/>
      <c r="Q875" s="7375"/>
      <c r="R875" s="6658" t="s">
        <v>155</v>
      </c>
      <c r="S875" s="6577"/>
      <c r="T875" s="2468"/>
      <c r="U875" s="544"/>
      <c r="V875" s="545"/>
      <c r="W875" s="546"/>
      <c r="X875" s="547"/>
      <c r="Y875" s="299" t="s">
        <v>193</v>
      </c>
      <c r="Z875" s="277"/>
      <c r="AA875" s="277"/>
      <c r="AB875" s="187"/>
    </row>
    <row r="876" spans="1:30" ht="20.100000000000001" customHeight="1">
      <c r="A876" s="11"/>
      <c r="B876" s="1360"/>
      <c r="C876" s="5598"/>
      <c r="D876" s="9598" t="s">
        <v>140</v>
      </c>
      <c r="E876" s="9600"/>
      <c r="F876" s="285" t="s">
        <v>413</v>
      </c>
      <c r="G876" s="666"/>
      <c r="H876" s="684"/>
      <c r="I876" s="9582" t="s">
        <v>141</v>
      </c>
      <c r="J876" s="9583"/>
      <c r="K876" s="285" t="s">
        <v>413</v>
      </c>
      <c r="L876" s="6753"/>
      <c r="M876" s="7245"/>
      <c r="N876" s="6842"/>
      <c r="O876" s="7375"/>
      <c r="P876" s="6825"/>
      <c r="Q876" s="7375"/>
      <c r="R876" s="6658" t="s">
        <v>155</v>
      </c>
      <c r="S876" s="6577"/>
      <c r="T876" s="2468"/>
      <c r="U876" s="544"/>
      <c r="V876" s="545"/>
      <c r="W876" s="546"/>
      <c r="X876" s="547"/>
      <c r="Y876" s="299" t="s">
        <v>193</v>
      </c>
      <c r="Z876" s="277"/>
      <c r="AA876" s="277"/>
      <c r="AB876" s="187"/>
    </row>
    <row r="877" spans="1:30" ht="20.100000000000001" customHeight="1">
      <c r="A877" s="11"/>
      <c r="B877" s="1360"/>
      <c r="C877" s="5598"/>
      <c r="D877" s="9598" t="s">
        <v>143</v>
      </c>
      <c r="E877" s="9600"/>
      <c r="F877" s="285" t="s">
        <v>413</v>
      </c>
      <c r="G877" s="666"/>
      <c r="H877" s="684"/>
      <c r="I877" s="9582" t="s">
        <v>144</v>
      </c>
      <c r="J877" s="9583"/>
      <c r="K877" s="285" t="s">
        <v>413</v>
      </c>
      <c r="L877" s="6753"/>
      <c r="M877" s="7245"/>
      <c r="N877" s="6842"/>
      <c r="O877" s="7375"/>
      <c r="P877" s="6825"/>
      <c r="Q877" s="7375"/>
      <c r="R877" s="6658" t="s">
        <v>155</v>
      </c>
      <c r="S877" s="6577"/>
      <c r="T877" s="2468"/>
      <c r="U877" s="544"/>
      <c r="V877" s="545"/>
      <c r="W877" s="546"/>
      <c r="X877" s="547"/>
      <c r="Y877" s="299" t="s">
        <v>193</v>
      </c>
      <c r="Z877" s="277"/>
      <c r="AA877" s="277"/>
      <c r="AB877" s="187"/>
    </row>
    <row r="878" spans="1:30" ht="20.100000000000001" customHeight="1">
      <c r="A878" s="11"/>
      <c r="B878" s="1360"/>
      <c r="C878" s="5598"/>
      <c r="D878" s="9598" t="s">
        <v>146</v>
      </c>
      <c r="E878" s="9600"/>
      <c r="F878" s="285" t="s">
        <v>413</v>
      </c>
      <c r="G878" s="666"/>
      <c r="H878" s="684"/>
      <c r="I878" s="9582" t="s">
        <v>147</v>
      </c>
      <c r="J878" s="9583"/>
      <c r="K878" s="285" t="s">
        <v>413</v>
      </c>
      <c r="L878" s="6774" t="s">
        <v>168</v>
      </c>
      <c r="M878" s="7240" t="s">
        <v>641</v>
      </c>
      <c r="N878" s="6837" t="s">
        <v>168</v>
      </c>
      <c r="O878" s="7240" t="s">
        <v>641</v>
      </c>
      <c r="P878" s="6837" t="s">
        <v>168</v>
      </c>
      <c r="Q878" s="7240" t="s">
        <v>641</v>
      </c>
      <c r="R878" s="6658" t="s">
        <v>155</v>
      </c>
      <c r="S878" s="6538"/>
      <c r="T878" s="2468"/>
      <c r="U878" s="544"/>
      <c r="V878" s="545"/>
      <c r="W878" s="546"/>
      <c r="X878" s="547"/>
      <c r="Y878" s="299" t="s">
        <v>193</v>
      </c>
      <c r="Z878" s="277"/>
      <c r="AA878" s="277"/>
      <c r="AB878" s="187"/>
    </row>
    <row r="879" spans="1:30" ht="20.100000000000001" customHeight="1" thickBot="1">
      <c r="A879" s="11"/>
      <c r="B879" s="1361"/>
      <c r="C879" s="6112"/>
      <c r="D879" s="9684" t="s">
        <v>149</v>
      </c>
      <c r="E879" s="9685"/>
      <c r="F879" s="5641" t="s">
        <v>413</v>
      </c>
      <c r="G879" s="6161"/>
      <c r="H879" s="4693"/>
      <c r="I879" s="9589" t="s">
        <v>150</v>
      </c>
      <c r="J879" s="9590"/>
      <c r="K879" s="6164" t="s">
        <v>413</v>
      </c>
      <c r="L879" s="6791"/>
      <c r="M879" s="7275"/>
      <c r="N879" s="6870"/>
      <c r="O879" s="7383"/>
      <c r="P879" s="6941"/>
      <c r="Q879" s="7471"/>
      <c r="R879" s="6668" t="s">
        <v>155</v>
      </c>
      <c r="S879" s="6585"/>
      <c r="T879" s="2477"/>
      <c r="U879" s="6117"/>
      <c r="V879" s="6118"/>
      <c r="W879" s="1973"/>
      <c r="X879" s="597"/>
      <c r="Y879" s="1130" t="s">
        <v>193</v>
      </c>
      <c r="Z879" s="1991"/>
      <c r="AA879" s="1991"/>
      <c r="AB879" s="6119"/>
    </row>
    <row r="880" spans="1:30" ht="27" thickBot="1">
      <c r="A880" s="50"/>
      <c r="B880" s="65" t="s">
        <v>727</v>
      </c>
      <c r="C880" s="244"/>
      <c r="D880" s="244"/>
      <c r="E880" s="244"/>
      <c r="F880" s="245"/>
      <c r="G880" s="246" t="s">
        <v>728</v>
      </c>
      <c r="H880" s="247"/>
      <c r="I880" s="247"/>
      <c r="J880" s="247"/>
      <c r="K880" s="245"/>
      <c r="L880" s="6792"/>
      <c r="M880" s="247"/>
      <c r="N880" s="6871"/>
      <c r="O880" s="247"/>
      <c r="P880" s="6871"/>
      <c r="Q880" s="247"/>
      <c r="R880" s="247"/>
      <c r="S880" s="247"/>
      <c r="T880" s="249"/>
      <c r="U880" s="249"/>
      <c r="V880" s="250"/>
      <c r="W880" s="250"/>
      <c r="X880" s="250"/>
      <c r="Y880" s="250"/>
      <c r="Z880" s="4798"/>
      <c r="AA880" s="4798"/>
      <c r="AB880" s="251"/>
      <c r="AD880" s="6402"/>
    </row>
    <row r="881" spans="1:28" ht="27" thickBot="1">
      <c r="A881" s="11"/>
      <c r="B881" s="123" t="s">
        <v>729</v>
      </c>
      <c r="C881" s="124"/>
      <c r="D881" s="124"/>
      <c r="E881" s="124"/>
      <c r="F881" s="78"/>
      <c r="G881" s="125" t="s">
        <v>730</v>
      </c>
      <c r="H881" s="126"/>
      <c r="I881" s="126"/>
      <c r="J881" s="126"/>
      <c r="K881" s="78"/>
      <c r="L881" s="6775"/>
      <c r="M881" s="5600"/>
      <c r="N881" s="6853"/>
      <c r="O881" s="5600"/>
      <c r="P881" s="6853"/>
      <c r="Q881" s="5600"/>
      <c r="R881" s="5600"/>
      <c r="S881" s="5600"/>
      <c r="T881" s="80"/>
      <c r="U881" s="80"/>
      <c r="V881" s="129"/>
      <c r="W881" s="129"/>
      <c r="X881" s="129"/>
      <c r="Y881" s="6023"/>
      <c r="Z881" s="328"/>
      <c r="AA881" s="328"/>
      <c r="AB881" s="329"/>
    </row>
    <row r="882" spans="1:28" ht="19.899999999999999" customHeight="1">
      <c r="A882" s="11"/>
      <c r="B882" s="1359"/>
      <c r="C882" s="9634" t="s">
        <v>731</v>
      </c>
      <c r="D882" s="9634"/>
      <c r="E882" s="9634"/>
      <c r="F882" s="6999" t="s">
        <v>732</v>
      </c>
      <c r="G882" s="7000"/>
      <c r="H882" s="9634" t="s">
        <v>733</v>
      </c>
      <c r="I882" s="9634"/>
      <c r="J882" s="9634"/>
      <c r="K882" s="6999" t="s">
        <v>734</v>
      </c>
      <c r="L882" s="7111">
        <f>IF(COUNTBLANK(L883:L888)&gt;0,"미취합법인有",SUM(L883:L888))</f>
        <v>7609</v>
      </c>
      <c r="M882" s="7026"/>
      <c r="N882" s="7115">
        <f>IF(COUNTBLANK(N883:N888)&gt;0,"미취합법인有",SUM(N883:N888))</f>
        <v>9630</v>
      </c>
      <c r="O882" s="7384"/>
      <c r="P882" s="7121">
        <f>IF(COUNTBLANK(P883:P888)&gt;0,"미취합법인有",SUM(P883:P888))</f>
        <v>9635</v>
      </c>
      <c r="Q882" s="7474"/>
      <c r="R882" s="7003" t="s">
        <v>31</v>
      </c>
      <c r="S882" s="7004"/>
      <c r="T882" s="7005" t="s">
        <v>735</v>
      </c>
      <c r="U882" s="367" t="s">
        <v>736</v>
      </c>
      <c r="V882" s="642" t="s">
        <v>737</v>
      </c>
      <c r="W882" s="547" t="s">
        <v>738</v>
      </c>
      <c r="X882" s="534"/>
      <c r="Y882" s="642"/>
      <c r="Z882" s="620" t="s">
        <v>739</v>
      </c>
      <c r="AA882" s="620" t="s">
        <v>740</v>
      </c>
      <c r="AB882" s="159" t="s">
        <v>741</v>
      </c>
    </row>
    <row r="883" spans="1:28" ht="19.899999999999999" customHeight="1">
      <c r="A883" s="11"/>
      <c r="B883" s="5590"/>
      <c r="C883" s="9647" t="s">
        <v>134</v>
      </c>
      <c r="D883" s="9648"/>
      <c r="E883" s="9649"/>
      <c r="F883" s="285" t="s">
        <v>742</v>
      </c>
      <c r="G883" s="253"/>
      <c r="H883" s="9579" t="s">
        <v>135</v>
      </c>
      <c r="I883" s="9580"/>
      <c r="J883" s="9581"/>
      <c r="K883" s="5591" t="s">
        <v>734</v>
      </c>
      <c r="L883" s="7112">
        <f t="shared" ref="L883:L888" si="3">L890+L897+L904</f>
        <v>3601</v>
      </c>
      <c r="M883" s="7273"/>
      <c r="N883" s="7116">
        <f t="shared" ref="N883:N888" si="4">N890+N897+N904</f>
        <v>4502</v>
      </c>
      <c r="O883" s="7273"/>
      <c r="P883" s="7510">
        <f t="shared" ref="P883:P888" si="5">P890+P897+P904</f>
        <v>4682</v>
      </c>
      <c r="Q883" s="7356"/>
      <c r="R883" s="6658" t="s">
        <v>31</v>
      </c>
      <c r="S883" s="6557" t="s">
        <v>2051</v>
      </c>
      <c r="T883" s="1033"/>
      <c r="U883" s="263"/>
      <c r="V883" s="99"/>
      <c r="W883" s="138"/>
      <c r="X883" s="138"/>
      <c r="Y883" s="99"/>
      <c r="Z883" s="264"/>
      <c r="AA883" s="277"/>
      <c r="AB883" s="187"/>
    </row>
    <row r="884" spans="1:28" ht="19.899999999999999" customHeight="1">
      <c r="A884" s="11"/>
      <c r="B884" s="5590"/>
      <c r="C884" s="9647" t="s">
        <v>137</v>
      </c>
      <c r="D884" s="9648"/>
      <c r="E884" s="9649"/>
      <c r="F884" s="285" t="s">
        <v>742</v>
      </c>
      <c r="G884" s="253"/>
      <c r="H884" s="9579" t="s">
        <v>138</v>
      </c>
      <c r="I884" s="9580"/>
      <c r="J884" s="9581"/>
      <c r="K884" s="5591" t="s">
        <v>734</v>
      </c>
      <c r="L884" s="7112">
        <v>183</v>
      </c>
      <c r="M884" s="7273"/>
      <c r="N884" s="7116">
        <v>231</v>
      </c>
      <c r="O884" s="7276"/>
      <c r="P884" s="7116">
        <v>249</v>
      </c>
      <c r="Q884" s="7356"/>
      <c r="R884" s="6658" t="s">
        <v>31</v>
      </c>
      <c r="S884" s="6557"/>
      <c r="T884" s="1033"/>
      <c r="U884" s="263"/>
      <c r="V884" s="99"/>
      <c r="W884" s="138"/>
      <c r="X884" s="138"/>
      <c r="Y884" s="99"/>
      <c r="Z884" s="264"/>
      <c r="AA884" s="277"/>
      <c r="AB884" s="187"/>
    </row>
    <row r="885" spans="1:28" ht="19.899999999999999" customHeight="1">
      <c r="A885" s="11"/>
      <c r="B885" s="5590"/>
      <c r="C885" s="9647" t="s">
        <v>140</v>
      </c>
      <c r="D885" s="9648"/>
      <c r="E885" s="9649"/>
      <c r="F885" s="285" t="s">
        <v>742</v>
      </c>
      <c r="G885" s="253"/>
      <c r="H885" s="9579" t="s">
        <v>141</v>
      </c>
      <c r="I885" s="9580"/>
      <c r="J885" s="9581"/>
      <c r="K885" s="5591" t="s">
        <v>734</v>
      </c>
      <c r="L885" s="7112">
        <f t="shared" si="3"/>
        <v>1054</v>
      </c>
      <c r="M885" s="7273"/>
      <c r="N885" s="7116">
        <f t="shared" si="4"/>
        <v>909</v>
      </c>
      <c r="O885" s="7276"/>
      <c r="P885" s="7116">
        <f t="shared" si="5"/>
        <v>750</v>
      </c>
      <c r="Q885" s="7356"/>
      <c r="R885" s="6658" t="s">
        <v>31</v>
      </c>
      <c r="S885" s="6557"/>
      <c r="T885" s="1033"/>
      <c r="U885" s="263"/>
      <c r="V885" s="99"/>
      <c r="W885" s="138"/>
      <c r="X885" s="138"/>
      <c r="Y885" s="99"/>
      <c r="Z885" s="264"/>
      <c r="AA885" s="277"/>
      <c r="AB885" s="187"/>
    </row>
    <row r="886" spans="1:28" ht="19.899999999999999" customHeight="1">
      <c r="A886" s="11"/>
      <c r="B886" s="5590"/>
      <c r="C886" s="9647" t="s">
        <v>143</v>
      </c>
      <c r="D886" s="9648"/>
      <c r="E886" s="9649"/>
      <c r="F886" s="285" t="s">
        <v>742</v>
      </c>
      <c r="G886" s="253"/>
      <c r="H886" s="9579" t="s">
        <v>144</v>
      </c>
      <c r="I886" s="9580"/>
      <c r="J886" s="9581"/>
      <c r="K886" s="5591" t="s">
        <v>734</v>
      </c>
      <c r="L886" s="7112">
        <f t="shared" si="3"/>
        <v>1110</v>
      </c>
      <c r="M886" s="7276"/>
      <c r="N886" s="7116">
        <f t="shared" si="4"/>
        <v>2451</v>
      </c>
      <c r="O886" s="7276"/>
      <c r="P886" s="7116">
        <f t="shared" si="5"/>
        <v>2483</v>
      </c>
      <c r="Q886" s="7356"/>
      <c r="R886" s="6658" t="s">
        <v>31</v>
      </c>
      <c r="S886" s="6557"/>
      <c r="T886" s="1033"/>
      <c r="U886" s="263"/>
      <c r="V886" s="99"/>
      <c r="W886" s="138"/>
      <c r="X886" s="138"/>
      <c r="Y886" s="99"/>
      <c r="Z886" s="264"/>
      <c r="AA886" s="277"/>
      <c r="AB886" s="187"/>
    </row>
    <row r="887" spans="1:28" ht="19.899999999999999" customHeight="1">
      <c r="A887" s="11"/>
      <c r="B887" s="5590"/>
      <c r="C887" s="9647" t="s">
        <v>146</v>
      </c>
      <c r="D887" s="9648"/>
      <c r="E887" s="9649"/>
      <c r="F887" s="285" t="s">
        <v>742</v>
      </c>
      <c r="G887" s="253"/>
      <c r="H887" s="9579" t="s">
        <v>147</v>
      </c>
      <c r="I887" s="9580"/>
      <c r="J887" s="9581"/>
      <c r="K887" s="5591" t="s">
        <v>734</v>
      </c>
      <c r="L887" s="7112">
        <f t="shared" si="3"/>
        <v>381</v>
      </c>
      <c r="M887" s="7273"/>
      <c r="N887" s="7116">
        <f t="shared" si="4"/>
        <v>393</v>
      </c>
      <c r="O887" s="7276"/>
      <c r="P887" s="7116">
        <f t="shared" si="5"/>
        <v>412</v>
      </c>
      <c r="Q887" s="7356"/>
      <c r="R887" s="6658" t="s">
        <v>31</v>
      </c>
      <c r="S887" s="6557"/>
      <c r="T887" s="1033"/>
      <c r="U887" s="263"/>
      <c r="V887" s="99"/>
      <c r="W887" s="138"/>
      <c r="X887" s="138"/>
      <c r="Y887" s="99"/>
      <c r="Z887" s="264"/>
      <c r="AA887" s="277"/>
      <c r="AB887" s="187"/>
    </row>
    <row r="888" spans="1:28" ht="19.899999999999999" customHeight="1">
      <c r="A888" s="11"/>
      <c r="B888" s="5590"/>
      <c r="C888" s="9647" t="s">
        <v>149</v>
      </c>
      <c r="D888" s="9648"/>
      <c r="E888" s="9649"/>
      <c r="F888" s="285" t="s">
        <v>742</v>
      </c>
      <c r="G888" s="253"/>
      <c r="H888" s="9579" t="s">
        <v>150</v>
      </c>
      <c r="I888" s="9580"/>
      <c r="J888" s="9581"/>
      <c r="K888" s="5591" t="s">
        <v>734</v>
      </c>
      <c r="L888" s="7112">
        <f t="shared" si="3"/>
        <v>1280</v>
      </c>
      <c r="M888" s="7250"/>
      <c r="N888" s="7116">
        <f t="shared" si="4"/>
        <v>1144</v>
      </c>
      <c r="O888" s="7356"/>
      <c r="P888" s="7116">
        <f t="shared" si="5"/>
        <v>1059</v>
      </c>
      <c r="Q888" s="7356"/>
      <c r="R888" s="6658" t="s">
        <v>31</v>
      </c>
      <c r="S888" s="6557"/>
      <c r="T888" s="1033"/>
      <c r="U888" s="263"/>
      <c r="V888" s="99"/>
      <c r="W888" s="138"/>
      <c r="X888" s="138"/>
      <c r="Y888" s="99"/>
      <c r="Z888" s="264"/>
      <c r="AA888" s="277"/>
      <c r="AB888" s="187"/>
    </row>
    <row r="889" spans="1:28" ht="20.100000000000001" customHeight="1">
      <c r="A889" s="11"/>
      <c r="B889" s="1360"/>
      <c r="C889" s="5598"/>
      <c r="D889" s="9586" t="s">
        <v>743</v>
      </c>
      <c r="E889" s="9588"/>
      <c r="F889" s="7006" t="s">
        <v>732</v>
      </c>
      <c r="G889" s="6697"/>
      <c r="H889" s="6697"/>
      <c r="I889" s="9586" t="s">
        <v>744</v>
      </c>
      <c r="J889" s="9588"/>
      <c r="K889" s="7006" t="s">
        <v>734</v>
      </c>
      <c r="L889" s="7111">
        <f>IF(COUNTBLANK(L890:L895)&gt;0,"미취합법인有",SUM(L890:L895))</f>
        <v>5332</v>
      </c>
      <c r="M889" s="7026"/>
      <c r="N889" s="7115">
        <f>IF(COUNTBLANK(N890:N895)&gt;0,"미취합법인有",SUM(N890:N895))</f>
        <v>5755</v>
      </c>
      <c r="O889" s="7384"/>
      <c r="P889" s="7121">
        <f>IF(COUNTBLANK(P890:P895)&gt;0,"미취합법인有",SUM(P890:P895))</f>
        <v>5762</v>
      </c>
      <c r="Q889" s="7029"/>
      <c r="R889" s="6994" t="s">
        <v>31</v>
      </c>
      <c r="S889" s="7007"/>
      <c r="T889" s="7008" t="s">
        <v>1876</v>
      </c>
      <c r="U889" s="367" t="s">
        <v>736</v>
      </c>
      <c r="V889" s="99" t="s">
        <v>745</v>
      </c>
      <c r="W889" s="547" t="s">
        <v>738</v>
      </c>
      <c r="X889" s="547"/>
      <c r="Y889" s="99"/>
      <c r="Z889" s="620" t="s">
        <v>739</v>
      </c>
      <c r="AA889" s="620" t="s">
        <v>740</v>
      </c>
      <c r="AB889" s="159"/>
    </row>
    <row r="890" spans="1:28" ht="20.100000000000001" customHeight="1">
      <c r="A890" s="11"/>
      <c r="B890" s="1360"/>
      <c r="C890" s="5598"/>
      <c r="D890" s="9598" t="s">
        <v>134</v>
      </c>
      <c r="E890" s="9600"/>
      <c r="F890" s="492" t="s">
        <v>732</v>
      </c>
      <c r="G890" s="666"/>
      <c r="H890" s="666"/>
      <c r="I890" s="9579" t="s">
        <v>135</v>
      </c>
      <c r="J890" s="9581"/>
      <c r="K890" s="492" t="s">
        <v>734</v>
      </c>
      <c r="L890" s="7113">
        <v>3031</v>
      </c>
      <c r="M890" s="7277" t="s">
        <v>746</v>
      </c>
      <c r="N890" s="7117">
        <v>3629</v>
      </c>
      <c r="O890" s="7375" t="s">
        <v>747</v>
      </c>
      <c r="P890" s="7122">
        <v>3726</v>
      </c>
      <c r="Q890" s="7240" t="s">
        <v>746</v>
      </c>
      <c r="R890" s="6658" t="s">
        <v>31</v>
      </c>
      <c r="S890" s="6538"/>
      <c r="T890" s="2468"/>
      <c r="U890" s="544"/>
      <c r="V890" s="545"/>
      <c r="W890" s="546"/>
      <c r="X890" s="547"/>
      <c r="Y890" s="548"/>
      <c r="Z890" s="277"/>
      <c r="AA890" s="277"/>
      <c r="AB890" s="187"/>
    </row>
    <row r="891" spans="1:28" ht="20.100000000000001" customHeight="1">
      <c r="A891" s="11"/>
      <c r="B891" s="1360"/>
      <c r="C891" s="5598"/>
      <c r="D891" s="9598" t="s">
        <v>137</v>
      </c>
      <c r="E891" s="9600"/>
      <c r="F891" s="492" t="s">
        <v>732</v>
      </c>
      <c r="G891" s="666"/>
      <c r="H891" s="666"/>
      <c r="I891" s="9579" t="s">
        <v>138</v>
      </c>
      <c r="J891" s="9581"/>
      <c r="K891" s="492" t="s">
        <v>734</v>
      </c>
      <c r="L891" s="7172">
        <v>133</v>
      </c>
      <c r="M891" s="7277"/>
      <c r="N891" s="7178">
        <v>166</v>
      </c>
      <c r="O891" s="7375"/>
      <c r="P891" s="7500">
        <v>183</v>
      </c>
      <c r="Q891" s="7240"/>
      <c r="R891" s="6658" t="s">
        <v>31</v>
      </c>
      <c r="S891" s="6538" t="str">
        <f>"4D 연도별 합계 "&amp;ROW($C$884)&amp;"행(총 임직원)과 불일치"</f>
        <v>4D 연도별 합계 884행(총 임직원)과 불일치</v>
      </c>
      <c r="T891" s="2468"/>
      <c r="U891" s="544"/>
      <c r="V891" s="545"/>
      <c r="W891" s="546"/>
      <c r="X891" s="547"/>
      <c r="Y891" s="548"/>
      <c r="Z891" s="277"/>
      <c r="AA891" s="277"/>
      <c r="AB891" s="187"/>
    </row>
    <row r="892" spans="1:28" ht="20.100000000000001" customHeight="1">
      <c r="A892" s="11"/>
      <c r="B892" s="1360"/>
      <c r="C892" s="5598"/>
      <c r="D892" s="9598" t="s">
        <v>140</v>
      </c>
      <c r="E892" s="9600"/>
      <c r="F892" s="492" t="s">
        <v>732</v>
      </c>
      <c r="G892" s="666"/>
      <c r="H892" s="666"/>
      <c r="I892" s="9582" t="s">
        <v>141</v>
      </c>
      <c r="J892" s="9583"/>
      <c r="K892" s="492" t="s">
        <v>734</v>
      </c>
      <c r="L892" s="7113">
        <v>52</v>
      </c>
      <c r="M892" s="7277" t="s">
        <v>748</v>
      </c>
      <c r="N892" s="7118">
        <v>77</v>
      </c>
      <c r="O892" s="7373" t="s">
        <v>748</v>
      </c>
      <c r="P892" s="7124">
        <v>100</v>
      </c>
      <c r="Q892" s="7372" t="s">
        <v>748</v>
      </c>
      <c r="R892" s="6658" t="s">
        <v>31</v>
      </c>
      <c r="S892" s="6586"/>
      <c r="T892" s="2468"/>
      <c r="U892" s="544"/>
      <c r="V892" s="545"/>
      <c r="W892" s="546"/>
      <c r="X892" s="547"/>
      <c r="Y892" s="548"/>
      <c r="Z892" s="277"/>
      <c r="AA892" s="277"/>
      <c r="AB892" s="187"/>
    </row>
    <row r="893" spans="1:28" ht="20.100000000000001" customHeight="1">
      <c r="A893" s="11"/>
      <c r="B893" s="1360"/>
      <c r="C893" s="5598"/>
      <c r="D893" s="9598" t="s">
        <v>143</v>
      </c>
      <c r="E893" s="9600"/>
      <c r="F893" s="492" t="s">
        <v>732</v>
      </c>
      <c r="G893" s="666"/>
      <c r="H893" s="666"/>
      <c r="I893" s="9582" t="s">
        <v>144</v>
      </c>
      <c r="J893" s="9583"/>
      <c r="K893" s="492" t="s">
        <v>734</v>
      </c>
      <c r="L893" s="7113">
        <v>476</v>
      </c>
      <c r="M893" s="7277" t="s">
        <v>749</v>
      </c>
      <c r="N893" s="7118">
        <v>407</v>
      </c>
      <c r="O893" s="7373" t="s">
        <v>750</v>
      </c>
      <c r="P893" s="7124">
        <v>352</v>
      </c>
      <c r="Q893" s="7372"/>
      <c r="R893" s="6658" t="s">
        <v>31</v>
      </c>
      <c r="S893" s="6586"/>
      <c r="T893" s="2468"/>
      <c r="U893" s="544"/>
      <c r="V893" s="545"/>
      <c r="W893" s="546"/>
      <c r="X893" s="547"/>
      <c r="Y893" s="548"/>
      <c r="Z893" s="277"/>
      <c r="AA893" s="277"/>
      <c r="AB893" s="187"/>
    </row>
    <row r="894" spans="1:28" ht="20.100000000000001" customHeight="1">
      <c r="A894" s="11"/>
      <c r="B894" s="1360"/>
      <c r="C894" s="5598"/>
      <c r="D894" s="9598" t="s">
        <v>146</v>
      </c>
      <c r="E894" s="9600"/>
      <c r="F894" s="492" t="s">
        <v>732</v>
      </c>
      <c r="G894" s="666"/>
      <c r="H894" s="666"/>
      <c r="I894" s="9582" t="s">
        <v>147</v>
      </c>
      <c r="J894" s="9583"/>
      <c r="K894" s="492" t="s">
        <v>734</v>
      </c>
      <c r="L894" s="7113">
        <v>365</v>
      </c>
      <c r="M894" s="7277" t="s">
        <v>751</v>
      </c>
      <c r="N894" s="7118">
        <v>337</v>
      </c>
      <c r="O894" s="7373" t="s">
        <v>751</v>
      </c>
      <c r="P894" s="7124">
        <v>347</v>
      </c>
      <c r="Q894" s="7372"/>
      <c r="R894" s="6658" t="s">
        <v>31</v>
      </c>
      <c r="S894" s="6586"/>
      <c r="T894" s="2468"/>
      <c r="U894" s="544"/>
      <c r="V894" s="545"/>
      <c r="W894" s="546"/>
      <c r="X894" s="547"/>
      <c r="Y894" s="548"/>
      <c r="Z894" s="277"/>
      <c r="AA894" s="277"/>
      <c r="AB894" s="187"/>
    </row>
    <row r="895" spans="1:28" ht="20.100000000000001" customHeight="1">
      <c r="A895" s="11"/>
      <c r="B895" s="1360"/>
      <c r="C895" s="5598"/>
      <c r="D895" s="9598" t="s">
        <v>149</v>
      </c>
      <c r="E895" s="9600"/>
      <c r="F895" s="492" t="s">
        <v>732</v>
      </c>
      <c r="G895" s="666"/>
      <c r="H895" s="666"/>
      <c r="I895" s="9582" t="s">
        <v>150</v>
      </c>
      <c r="J895" s="9583"/>
      <c r="K895" s="492" t="s">
        <v>734</v>
      </c>
      <c r="L895" s="7113">
        <v>1275</v>
      </c>
      <c r="M895" s="7277"/>
      <c r="N895" s="7124">
        <v>1139</v>
      </c>
      <c r="O895" s="7373"/>
      <c r="P895" s="7124">
        <v>1054</v>
      </c>
      <c r="Q895" s="7372"/>
      <c r="R895" s="6658" t="s">
        <v>31</v>
      </c>
      <c r="S895" s="6586"/>
      <c r="T895" s="2468"/>
      <c r="U895" s="544"/>
      <c r="V895" s="545"/>
      <c r="W895" s="546"/>
      <c r="X895" s="547"/>
      <c r="Y895" s="548"/>
      <c r="Z895" s="277"/>
      <c r="AA895" s="277"/>
      <c r="AB895" s="187"/>
    </row>
    <row r="896" spans="1:28" ht="20.100000000000001" customHeight="1">
      <c r="A896" s="11"/>
      <c r="B896" s="1360"/>
      <c r="C896" s="5598"/>
      <c r="D896" s="9586" t="s">
        <v>752</v>
      </c>
      <c r="E896" s="9588"/>
      <c r="F896" s="7006" t="s">
        <v>732</v>
      </c>
      <c r="G896" s="6697"/>
      <c r="H896" s="6697"/>
      <c r="I896" s="9586" t="s">
        <v>753</v>
      </c>
      <c r="J896" s="9588"/>
      <c r="K896" s="7006" t="s">
        <v>734</v>
      </c>
      <c r="L896" s="7111">
        <f>IF(COUNTBLANK(L897:L902)&gt;0,"미취합법인有",SUM(L897:L902))</f>
        <v>2212</v>
      </c>
      <c r="M896" s="6988"/>
      <c r="N896" s="7119">
        <f>IF(COUNTBLANK(N897:N902)&gt;0,"미취합법인有",SUM(N897:N902))</f>
        <v>3799</v>
      </c>
      <c r="O896" s="6988"/>
      <c r="P896" s="7125">
        <f>IF(COUNTBLANK(P897:P902)&gt;0,"미취합법인有",SUM(P897:P902))</f>
        <v>3795</v>
      </c>
      <c r="Q896" s="7029"/>
      <c r="R896" s="6994" t="s">
        <v>31</v>
      </c>
      <c r="S896" s="7007"/>
      <c r="T896" s="7008" t="s">
        <v>1877</v>
      </c>
      <c r="U896" s="367" t="s">
        <v>754</v>
      </c>
      <c r="V896" s="99" t="s">
        <v>745</v>
      </c>
      <c r="W896" s="547" t="s">
        <v>738</v>
      </c>
      <c r="X896" s="547"/>
      <c r="Y896" s="99"/>
      <c r="Z896" s="620" t="s">
        <v>739</v>
      </c>
      <c r="AA896" s="620" t="s">
        <v>740</v>
      </c>
      <c r="AB896" s="159"/>
    </row>
    <row r="897" spans="1:28" ht="20.100000000000001" customHeight="1">
      <c r="A897" s="11"/>
      <c r="B897" s="1360"/>
      <c r="C897" s="5598"/>
      <c r="D897" s="9598" t="s">
        <v>134</v>
      </c>
      <c r="E897" s="9600"/>
      <c r="F897" s="492" t="s">
        <v>732</v>
      </c>
      <c r="G897" s="666"/>
      <c r="H897" s="666"/>
      <c r="I897" s="9579" t="s">
        <v>135</v>
      </c>
      <c r="J897" s="9581"/>
      <c r="K897" s="492" t="s">
        <v>734</v>
      </c>
      <c r="L897" s="7113">
        <v>565</v>
      </c>
      <c r="M897" s="7277" t="s">
        <v>746</v>
      </c>
      <c r="N897" s="7117">
        <v>865</v>
      </c>
      <c r="O897" s="7373" t="s">
        <v>747</v>
      </c>
      <c r="P897" s="7122">
        <v>950</v>
      </c>
      <c r="Q897" s="7240" t="s">
        <v>746</v>
      </c>
      <c r="R897" s="6658" t="s">
        <v>31</v>
      </c>
      <c r="S897" s="6538"/>
      <c r="T897" s="2468"/>
      <c r="U897" s="544"/>
      <c r="V897" s="545"/>
      <c r="W897" s="546"/>
      <c r="X897" s="547"/>
      <c r="Y897" s="548"/>
      <c r="Z897" s="277"/>
      <c r="AA897" s="277"/>
      <c r="AB897" s="187"/>
    </row>
    <row r="898" spans="1:28" ht="20.100000000000001" customHeight="1">
      <c r="A898" s="11"/>
      <c r="B898" s="1360"/>
      <c r="C898" s="5598"/>
      <c r="D898" s="9598" t="s">
        <v>137</v>
      </c>
      <c r="E898" s="9600"/>
      <c r="F898" s="492" t="s">
        <v>732</v>
      </c>
      <c r="G898" s="666"/>
      <c r="H898" s="666"/>
      <c r="I898" s="9579" t="s">
        <v>138</v>
      </c>
      <c r="J898" s="9581"/>
      <c r="K898" s="492" t="s">
        <v>734</v>
      </c>
      <c r="L898" s="7172">
        <v>8</v>
      </c>
      <c r="M898" s="7277"/>
      <c r="N898" s="7178">
        <v>15</v>
      </c>
      <c r="O898" s="7373"/>
      <c r="P898" s="7500">
        <v>12</v>
      </c>
      <c r="Q898" s="7240"/>
      <c r="R898" s="6658" t="s">
        <v>31</v>
      </c>
      <c r="S898" s="6538" t="str">
        <f>"4D 연도별 합계 "&amp;ROW($C$884)&amp;"행(총 임직원)과 불일치"</f>
        <v>4D 연도별 합계 884행(총 임직원)과 불일치</v>
      </c>
      <c r="T898" s="2468"/>
      <c r="U898" s="544"/>
      <c r="V898" s="545"/>
      <c r="W898" s="546"/>
      <c r="X898" s="547"/>
      <c r="Y898" s="548"/>
      <c r="Z898" s="277"/>
      <c r="AA898" s="277"/>
      <c r="AB898" s="187"/>
    </row>
    <row r="899" spans="1:28" ht="20.100000000000001" customHeight="1">
      <c r="A899" s="11"/>
      <c r="B899" s="1360"/>
      <c r="C899" s="5598"/>
      <c r="D899" s="9598" t="s">
        <v>140</v>
      </c>
      <c r="E899" s="9600"/>
      <c r="F899" s="492" t="s">
        <v>732</v>
      </c>
      <c r="G899" s="666"/>
      <c r="H899" s="666"/>
      <c r="I899" s="9582" t="s">
        <v>141</v>
      </c>
      <c r="J899" s="9583"/>
      <c r="K899" s="492" t="s">
        <v>734</v>
      </c>
      <c r="L899" s="7113">
        <v>1001</v>
      </c>
      <c r="M899" s="7277" t="s">
        <v>748</v>
      </c>
      <c r="N899" s="7117">
        <v>831</v>
      </c>
      <c r="O899" s="7373" t="s">
        <v>748</v>
      </c>
      <c r="P899" s="7123">
        <v>649</v>
      </c>
      <c r="Q899" s="7372" t="s">
        <v>748</v>
      </c>
      <c r="R899" s="6658" t="s">
        <v>31</v>
      </c>
      <c r="S899" s="6586"/>
      <c r="T899" s="2468"/>
      <c r="U899" s="544"/>
      <c r="V899" s="545"/>
      <c r="W899" s="546"/>
      <c r="X899" s="547"/>
      <c r="Y899" s="548"/>
      <c r="Z899" s="277"/>
      <c r="AA899" s="277"/>
      <c r="AB899" s="187"/>
    </row>
    <row r="900" spans="1:28" ht="20.100000000000001" customHeight="1">
      <c r="A900" s="11"/>
      <c r="B900" s="1360"/>
      <c r="C900" s="5598"/>
      <c r="D900" s="9598" t="s">
        <v>143</v>
      </c>
      <c r="E900" s="9600"/>
      <c r="F900" s="492" t="s">
        <v>732</v>
      </c>
      <c r="G900" s="666"/>
      <c r="H900" s="666"/>
      <c r="I900" s="9582" t="s">
        <v>144</v>
      </c>
      <c r="J900" s="9583"/>
      <c r="K900" s="492" t="s">
        <v>734</v>
      </c>
      <c r="L900" s="7113">
        <v>629</v>
      </c>
      <c r="M900" s="7277" t="s">
        <v>755</v>
      </c>
      <c r="N900" s="7117">
        <v>2039</v>
      </c>
      <c r="O900" s="7373" t="s">
        <v>755</v>
      </c>
      <c r="P900" s="7123">
        <v>2126</v>
      </c>
      <c r="Q900" s="7240"/>
      <c r="R900" s="6658" t="s">
        <v>31</v>
      </c>
      <c r="S900" s="6538"/>
      <c r="T900" s="2468"/>
      <c r="U900" s="544"/>
      <c r="V900" s="545"/>
      <c r="W900" s="546"/>
      <c r="X900" s="547"/>
      <c r="Y900" s="548"/>
      <c r="Z900" s="277"/>
      <c r="AA900" s="277"/>
      <c r="AB900" s="187"/>
    </row>
    <row r="901" spans="1:28" ht="20.100000000000001" customHeight="1">
      <c r="A901" s="11"/>
      <c r="B901" s="1360"/>
      <c r="C901" s="5598"/>
      <c r="D901" s="9598" t="s">
        <v>146</v>
      </c>
      <c r="E901" s="9600"/>
      <c r="F901" s="492" t="s">
        <v>732</v>
      </c>
      <c r="G901" s="666"/>
      <c r="H901" s="666"/>
      <c r="I901" s="9582" t="s">
        <v>147</v>
      </c>
      <c r="J901" s="9583"/>
      <c r="K901" s="492" t="s">
        <v>734</v>
      </c>
      <c r="L901" s="7113">
        <v>9</v>
      </c>
      <c r="M901" s="7277" t="s">
        <v>751</v>
      </c>
      <c r="N901" s="7117">
        <v>49</v>
      </c>
      <c r="O901" s="7373" t="s">
        <v>751</v>
      </c>
      <c r="P901" s="7123">
        <v>58</v>
      </c>
      <c r="Q901" s="7240"/>
      <c r="R901" s="6658" t="s">
        <v>31</v>
      </c>
      <c r="S901" s="6538"/>
      <c r="T901" s="2468"/>
      <c r="U901" s="544"/>
      <c r="V901" s="545"/>
      <c r="W901" s="546"/>
      <c r="X901" s="547"/>
      <c r="Y901" s="548"/>
      <c r="Z901" s="277"/>
      <c r="AA901" s="277"/>
      <c r="AB901" s="187"/>
    </row>
    <row r="902" spans="1:28" ht="20.100000000000001" customHeight="1">
      <c r="A902" s="11"/>
      <c r="B902" s="1360"/>
      <c r="C902" s="5598"/>
      <c r="D902" s="9598" t="s">
        <v>149</v>
      </c>
      <c r="E902" s="9600"/>
      <c r="F902" s="492" t="s">
        <v>732</v>
      </c>
      <c r="G902" s="666"/>
      <c r="H902" s="666"/>
      <c r="I902" s="9582" t="s">
        <v>150</v>
      </c>
      <c r="J902" s="9583"/>
      <c r="K902" s="492" t="s">
        <v>734</v>
      </c>
      <c r="L902" s="7113">
        <v>0</v>
      </c>
      <c r="M902" s="7277"/>
      <c r="N902" s="7117">
        <v>0</v>
      </c>
      <c r="O902" s="7373"/>
      <c r="P902" s="7123">
        <v>0</v>
      </c>
      <c r="Q902" s="7240"/>
      <c r="R902" s="6658" t="s">
        <v>31</v>
      </c>
      <c r="S902" s="6538"/>
      <c r="T902" s="2468"/>
      <c r="U902" s="544"/>
      <c r="V902" s="545"/>
      <c r="W902" s="546"/>
      <c r="X902" s="547"/>
      <c r="Y902" s="548"/>
      <c r="Z902" s="277"/>
      <c r="AA902" s="277"/>
      <c r="AB902" s="187"/>
    </row>
    <row r="903" spans="1:28" ht="20.100000000000001" customHeight="1">
      <c r="A903" s="11"/>
      <c r="B903" s="1360"/>
      <c r="C903" s="5598"/>
      <c r="D903" s="9586" t="s">
        <v>756</v>
      </c>
      <c r="E903" s="9588"/>
      <c r="F903" s="6682" t="s">
        <v>732</v>
      </c>
      <c r="G903" s="6697"/>
      <c r="H903" s="6697"/>
      <c r="I903" s="9586" t="s">
        <v>757</v>
      </c>
      <c r="J903" s="9588"/>
      <c r="K903" s="6682" t="s">
        <v>734</v>
      </c>
      <c r="L903" s="7111">
        <f>IF(COUNTBLANK(L904:L909)&gt;0,"미취합법인有",SUM(L904:L909))</f>
        <v>24</v>
      </c>
      <c r="M903" s="6988"/>
      <c r="N903" s="7119">
        <f>IF(COUNTBLANK(N904:N909)&gt;0,"미취합법인有",SUM(N904:N909))</f>
        <v>27</v>
      </c>
      <c r="O903" s="6988"/>
      <c r="P903" s="7125">
        <f>IF(COUNTBLANK(P904:P909)&gt;0,"미취합법인有",SUM(P904:P909))</f>
        <v>25</v>
      </c>
      <c r="Q903" s="7029"/>
      <c r="R903" s="6994" t="s">
        <v>31</v>
      </c>
      <c r="S903" s="7007"/>
      <c r="T903" s="7008" t="s">
        <v>1878</v>
      </c>
      <c r="U903" s="367" t="s">
        <v>736</v>
      </c>
      <c r="V903" s="99" t="s">
        <v>758</v>
      </c>
      <c r="W903" s="547" t="s">
        <v>738</v>
      </c>
      <c r="X903" s="547"/>
      <c r="Y903" s="99"/>
      <c r="Z903" s="620" t="s">
        <v>739</v>
      </c>
      <c r="AA903" s="620" t="s">
        <v>740</v>
      </c>
      <c r="AB903" s="159"/>
    </row>
    <row r="904" spans="1:28" ht="20.100000000000001" customHeight="1">
      <c r="A904" s="11"/>
      <c r="B904" s="1360"/>
      <c r="C904" s="5598"/>
      <c r="D904" s="9598" t="s">
        <v>134</v>
      </c>
      <c r="E904" s="9600"/>
      <c r="F904" s="492" t="s">
        <v>732</v>
      </c>
      <c r="G904" s="666"/>
      <c r="H904" s="666"/>
      <c r="I904" s="9579" t="s">
        <v>135</v>
      </c>
      <c r="J904" s="9581"/>
      <c r="K904" s="492" t="s">
        <v>734</v>
      </c>
      <c r="L904" s="7113">
        <v>5</v>
      </c>
      <c r="M904" s="7277" t="s">
        <v>759</v>
      </c>
      <c r="N904" s="7117">
        <v>8</v>
      </c>
      <c r="O904" s="7373" t="s">
        <v>759</v>
      </c>
      <c r="P904" s="7123">
        <v>6</v>
      </c>
      <c r="Q904" s="7240" t="s">
        <v>759</v>
      </c>
      <c r="R904" s="6658" t="s">
        <v>31</v>
      </c>
      <c r="S904" s="6538"/>
      <c r="T904" s="2468"/>
      <c r="U904" s="544"/>
      <c r="V904" s="545"/>
      <c r="W904" s="546"/>
      <c r="X904" s="547"/>
      <c r="Y904" s="548"/>
      <c r="Z904" s="277"/>
      <c r="AA904" s="277"/>
      <c r="AB904" s="187"/>
    </row>
    <row r="905" spans="1:28" ht="20.100000000000001" customHeight="1">
      <c r="A905" s="11"/>
      <c r="B905" s="1360"/>
      <c r="C905" s="5598"/>
      <c r="D905" s="9598" t="s">
        <v>137</v>
      </c>
      <c r="E905" s="9600"/>
      <c r="F905" s="492" t="s">
        <v>732</v>
      </c>
      <c r="G905" s="666"/>
      <c r="H905" s="666"/>
      <c r="I905" s="9579" t="s">
        <v>138</v>
      </c>
      <c r="J905" s="9581"/>
      <c r="K905" s="492" t="s">
        <v>734</v>
      </c>
      <c r="L905" s="7172">
        <v>1</v>
      </c>
      <c r="M905" s="7277"/>
      <c r="N905" s="7178">
        <v>1</v>
      </c>
      <c r="O905" s="7373"/>
      <c r="P905" s="7500">
        <v>1</v>
      </c>
      <c r="Q905" s="7240"/>
      <c r="R905" s="6658" t="s">
        <v>31</v>
      </c>
      <c r="S905" s="6538" t="str">
        <f>"4D 연도별 합계 "&amp;ROW($C$884)&amp;"행(총 임직원)과 불일치"</f>
        <v>4D 연도별 합계 884행(총 임직원)과 불일치</v>
      </c>
      <c r="T905" s="2468"/>
      <c r="U905" s="544"/>
      <c r="V905" s="545"/>
      <c r="W905" s="546"/>
      <c r="X905" s="547"/>
      <c r="Y905" s="548"/>
      <c r="Z905" s="277"/>
      <c r="AA905" s="277"/>
      <c r="AB905" s="187"/>
    </row>
    <row r="906" spans="1:28" ht="20.100000000000001" customHeight="1">
      <c r="A906" s="11"/>
      <c r="B906" s="1360"/>
      <c r="C906" s="5598"/>
      <c r="D906" s="9598" t="s">
        <v>140</v>
      </c>
      <c r="E906" s="9600"/>
      <c r="F906" s="492" t="s">
        <v>732</v>
      </c>
      <c r="G906" s="666"/>
      <c r="H906" s="666"/>
      <c r="I906" s="9582" t="s">
        <v>141</v>
      </c>
      <c r="J906" s="9583"/>
      <c r="K906" s="492" t="s">
        <v>734</v>
      </c>
      <c r="L906" s="7113">
        <v>1</v>
      </c>
      <c r="M906" s="7277">
        <v>0</v>
      </c>
      <c r="N906" s="7117">
        <v>1</v>
      </c>
      <c r="O906" s="7373" t="s">
        <v>760</v>
      </c>
      <c r="P906" s="7123">
        <v>1</v>
      </c>
      <c r="Q906" s="7240" t="s">
        <v>760</v>
      </c>
      <c r="R906" s="6658" t="s">
        <v>31</v>
      </c>
      <c r="S906" s="6538"/>
      <c r="T906" s="2468"/>
      <c r="U906" s="544"/>
      <c r="V906" s="545"/>
      <c r="W906" s="546"/>
      <c r="X906" s="547"/>
      <c r="Y906" s="548"/>
      <c r="Z906" s="277"/>
      <c r="AA906" s="277"/>
      <c r="AB906" s="187"/>
    </row>
    <row r="907" spans="1:28" ht="20.100000000000001" customHeight="1">
      <c r="A907" s="11"/>
      <c r="B907" s="1360"/>
      <c r="C907" s="5598"/>
      <c r="D907" s="9598" t="s">
        <v>143</v>
      </c>
      <c r="E907" s="9600"/>
      <c r="F907" s="492" t="s">
        <v>732</v>
      </c>
      <c r="G907" s="666"/>
      <c r="H907" s="666"/>
      <c r="I907" s="9582" t="s">
        <v>144</v>
      </c>
      <c r="J907" s="9583"/>
      <c r="K907" s="492" t="s">
        <v>734</v>
      </c>
      <c r="L907" s="7113">
        <v>5</v>
      </c>
      <c r="M907" s="7277" t="s">
        <v>761</v>
      </c>
      <c r="N907" s="7117">
        <v>5</v>
      </c>
      <c r="O907" s="7373" t="s">
        <v>761</v>
      </c>
      <c r="P907" s="7123">
        <v>5</v>
      </c>
      <c r="Q907" s="7240" t="s">
        <v>762</v>
      </c>
      <c r="R907" s="6658" t="s">
        <v>31</v>
      </c>
      <c r="S907" s="6538"/>
      <c r="T907" s="2468"/>
      <c r="U907" s="544"/>
      <c r="V907" s="545"/>
      <c r="W907" s="546"/>
      <c r="X907" s="547"/>
      <c r="Y907" s="548"/>
      <c r="Z907" s="277"/>
      <c r="AA907" s="277"/>
      <c r="AB907" s="187"/>
    </row>
    <row r="908" spans="1:28" ht="20.100000000000001" customHeight="1">
      <c r="A908" s="11"/>
      <c r="B908" s="1360"/>
      <c r="C908" s="5598"/>
      <c r="D908" s="9598" t="s">
        <v>146</v>
      </c>
      <c r="E908" s="9600"/>
      <c r="F908" s="492" t="s">
        <v>732</v>
      </c>
      <c r="G908" s="666"/>
      <c r="H908" s="666"/>
      <c r="I908" s="9582" t="s">
        <v>147</v>
      </c>
      <c r="J908" s="9583"/>
      <c r="K908" s="492" t="s">
        <v>734</v>
      </c>
      <c r="L908" s="7113">
        <v>7</v>
      </c>
      <c r="M908" s="7277" t="s">
        <v>763</v>
      </c>
      <c r="N908" s="7117">
        <v>7</v>
      </c>
      <c r="O908" s="7373" t="s">
        <v>763</v>
      </c>
      <c r="P908" s="7123">
        <v>7</v>
      </c>
      <c r="Q908" s="7240"/>
      <c r="R908" s="6658" t="s">
        <v>31</v>
      </c>
      <c r="S908" s="6538"/>
      <c r="T908" s="2468"/>
      <c r="U908" s="544"/>
      <c r="V908" s="545"/>
      <c r="W908" s="546"/>
      <c r="X908" s="547"/>
      <c r="Y908" s="548"/>
      <c r="Z908" s="277"/>
      <c r="AA908" s="277"/>
      <c r="AB908" s="187"/>
    </row>
    <row r="909" spans="1:28" ht="20.100000000000001" customHeight="1">
      <c r="A909" s="11"/>
      <c r="B909" s="1360"/>
      <c r="C909" s="5598"/>
      <c r="D909" s="9598" t="s">
        <v>149</v>
      </c>
      <c r="E909" s="9600"/>
      <c r="F909" s="492" t="s">
        <v>732</v>
      </c>
      <c r="G909" s="666"/>
      <c r="H909" s="666"/>
      <c r="I909" s="9582" t="s">
        <v>150</v>
      </c>
      <c r="J909" s="9583"/>
      <c r="K909" s="492" t="s">
        <v>734</v>
      </c>
      <c r="L909" s="7113">
        <v>5</v>
      </c>
      <c r="M909" s="7277"/>
      <c r="N909" s="7131">
        <v>5</v>
      </c>
      <c r="O909" s="7373"/>
      <c r="P909" s="7123">
        <v>5</v>
      </c>
      <c r="Q909" s="7240"/>
      <c r="R909" s="6658" t="s">
        <v>31</v>
      </c>
      <c r="S909" s="6538"/>
      <c r="T909" s="2468"/>
      <c r="U909" s="544"/>
      <c r="V909" s="545"/>
      <c r="W909" s="546"/>
      <c r="X909" s="547"/>
      <c r="Y909" s="548"/>
      <c r="Z909" s="277"/>
      <c r="AA909" s="277"/>
      <c r="AB909" s="187"/>
    </row>
    <row r="910" spans="1:28" ht="20.100000000000001" customHeight="1">
      <c r="A910" s="11"/>
      <c r="B910" s="1360"/>
      <c r="C910" s="9871" t="s">
        <v>791</v>
      </c>
      <c r="D910" s="9872"/>
      <c r="E910" s="9873"/>
      <c r="F910" s="7502"/>
      <c r="G910" s="7503"/>
      <c r="H910" s="9874" t="s">
        <v>792</v>
      </c>
      <c r="I910" s="9875"/>
      <c r="J910" s="9876"/>
      <c r="K910" s="7504"/>
      <c r="L910" s="7505"/>
      <c r="M910" s="7506"/>
      <c r="N910" s="7507"/>
      <c r="O910" s="7506"/>
      <c r="P910" s="7507"/>
      <c r="Q910" s="7506"/>
      <c r="R910" s="7508" t="s">
        <v>36</v>
      </c>
      <c r="S910" s="7509"/>
      <c r="T910" s="7130"/>
      <c r="U910" s="367"/>
      <c r="V910" s="99" t="s">
        <v>758</v>
      </c>
      <c r="W910" s="547"/>
      <c r="X910" s="547"/>
      <c r="Y910" s="99"/>
      <c r="Z910" s="620" t="s">
        <v>793</v>
      </c>
      <c r="AA910" s="664" t="s">
        <v>794</v>
      </c>
      <c r="AB910" s="159" t="s">
        <v>795</v>
      </c>
    </row>
    <row r="911" spans="1:28" ht="20.100000000000001" customHeight="1">
      <c r="A911" s="11"/>
      <c r="B911" s="1360"/>
      <c r="C911" s="5598"/>
      <c r="D911" s="9584" t="s">
        <v>796</v>
      </c>
      <c r="E911" s="9585"/>
      <c r="F911" s="6683" t="s">
        <v>732</v>
      </c>
      <c r="G911" s="7009"/>
      <c r="H911" s="7011"/>
      <c r="I911" s="9584" t="s">
        <v>797</v>
      </c>
      <c r="J911" s="9585"/>
      <c r="K911" s="6683" t="s">
        <v>734</v>
      </c>
      <c r="L911" s="7132">
        <f>IF(COUNTBLANK(L912:L917)&gt;0,"미취합법인有",SUM(L912:L917))</f>
        <v>3951</v>
      </c>
      <c r="M911" s="7279"/>
      <c r="N911" s="7115">
        <f>IF(COUNTBLANK(N912:N917)&gt;0,"미취합법인有",SUM(N912:N917))</f>
        <v>4852</v>
      </c>
      <c r="O911" s="7385"/>
      <c r="P911" s="7121">
        <f>IF(COUNTBLANK(P912:P917)&gt;0,"미취합법인有",SUM(P912:P917))</f>
        <v>4695</v>
      </c>
      <c r="Q911" s="7029"/>
      <c r="R911" s="7010" t="s">
        <v>36</v>
      </c>
      <c r="S911" s="7007"/>
      <c r="T911" s="7008" t="s">
        <v>798</v>
      </c>
      <c r="U911" s="367" t="s">
        <v>799</v>
      </c>
      <c r="V911" s="99" t="s">
        <v>758</v>
      </c>
      <c r="W911" s="547" t="s">
        <v>800</v>
      </c>
      <c r="X911" s="547"/>
      <c r="Y911" s="665"/>
      <c r="Z911" s="620" t="s">
        <v>793</v>
      </c>
      <c r="AA911" s="664" t="s">
        <v>794</v>
      </c>
      <c r="AB911" s="159" t="s">
        <v>795</v>
      </c>
    </row>
    <row r="912" spans="1:28" ht="20.100000000000001" customHeight="1">
      <c r="A912" s="11"/>
      <c r="B912" s="1360"/>
      <c r="C912" s="5598"/>
      <c r="D912" s="9598" t="s">
        <v>134</v>
      </c>
      <c r="E912" s="9600"/>
      <c r="F912" s="492" t="s">
        <v>732</v>
      </c>
      <c r="G912" s="666"/>
      <c r="H912" s="684"/>
      <c r="I912" s="9579" t="s">
        <v>135</v>
      </c>
      <c r="J912" s="9581"/>
      <c r="K912" s="285" t="s">
        <v>734</v>
      </c>
      <c r="L912" s="7113">
        <v>1678</v>
      </c>
      <c r="M912" s="7280" t="s">
        <v>746</v>
      </c>
      <c r="N912" s="7117">
        <v>2124</v>
      </c>
      <c r="O912" s="7386" t="s">
        <v>747</v>
      </c>
      <c r="P912" s="7501">
        <v>2101</v>
      </c>
      <c r="Q912" s="7240" t="s">
        <v>746</v>
      </c>
      <c r="R912" s="6616" t="s">
        <v>36</v>
      </c>
      <c r="S912" s="6538" t="str">
        <f>"2023년 남성+여성 합계 "&amp;ROW($C$883)&amp;"행(총 임직원)과 불일치"</f>
        <v>2023년 남성+여성 합계 883행(총 임직원)과 불일치</v>
      </c>
      <c r="T912" s="4849"/>
      <c r="U912" s="544"/>
      <c r="V912" s="545"/>
      <c r="W912" s="546"/>
      <c r="X912" s="547"/>
      <c r="Y912" s="548"/>
      <c r="Z912" s="277"/>
      <c r="AA912" s="277"/>
      <c r="AB912" s="187"/>
    </row>
    <row r="913" spans="1:34" ht="20.100000000000001" customHeight="1">
      <c r="A913" s="11"/>
      <c r="B913" s="1360"/>
      <c r="C913" s="5598"/>
      <c r="D913" s="9598" t="s">
        <v>137</v>
      </c>
      <c r="E913" s="9600"/>
      <c r="F913" s="492" t="s">
        <v>732</v>
      </c>
      <c r="G913" s="666"/>
      <c r="H913" s="684"/>
      <c r="I913" s="9579" t="s">
        <v>138</v>
      </c>
      <c r="J913" s="9581"/>
      <c r="K913" s="285" t="s">
        <v>734</v>
      </c>
      <c r="L913" s="7113">
        <v>134</v>
      </c>
      <c r="M913" s="7280"/>
      <c r="N913" s="7117">
        <v>154</v>
      </c>
      <c r="O913" s="7386"/>
      <c r="P913" s="7123">
        <v>147</v>
      </c>
      <c r="Q913" s="7240"/>
      <c r="R913" s="6616" t="s">
        <v>36</v>
      </c>
      <c r="S913" s="6538"/>
      <c r="T913" s="2468"/>
      <c r="U913" s="544"/>
      <c r="V913" s="545"/>
      <c r="W913" s="546"/>
      <c r="X913" s="547"/>
      <c r="Y913" s="548"/>
      <c r="Z913" s="277"/>
      <c r="AA913" s="277"/>
      <c r="AB913" s="187"/>
    </row>
    <row r="914" spans="1:34" ht="20.100000000000001" customHeight="1">
      <c r="A914" s="11"/>
      <c r="B914" s="1360"/>
      <c r="C914" s="5598"/>
      <c r="D914" s="9598" t="s">
        <v>140</v>
      </c>
      <c r="E914" s="9600"/>
      <c r="F914" s="492" t="s">
        <v>732</v>
      </c>
      <c r="G914" s="666"/>
      <c r="H914" s="684"/>
      <c r="I914" s="9582" t="s">
        <v>141</v>
      </c>
      <c r="J914" s="9583"/>
      <c r="K914" s="285" t="s">
        <v>734</v>
      </c>
      <c r="L914" s="7113">
        <v>541</v>
      </c>
      <c r="M914" s="7280" t="s">
        <v>748</v>
      </c>
      <c r="N914" s="7117">
        <v>452</v>
      </c>
      <c r="O914" s="7386" t="s">
        <v>748</v>
      </c>
      <c r="P914" s="7123">
        <v>372</v>
      </c>
      <c r="Q914" s="7372" t="s">
        <v>748</v>
      </c>
      <c r="R914" s="6669" t="s">
        <v>36</v>
      </c>
      <c r="S914" s="6586"/>
      <c r="T914" s="2468"/>
      <c r="U914" s="544"/>
      <c r="V914" s="545"/>
      <c r="W914" s="546"/>
      <c r="X914" s="547"/>
      <c r="Y914" s="548"/>
      <c r="Z914" s="277"/>
      <c r="AA914" s="277"/>
      <c r="AB914" s="187"/>
    </row>
    <row r="915" spans="1:34" ht="20.100000000000001" customHeight="1">
      <c r="A915" s="11"/>
      <c r="B915" s="1360"/>
      <c r="C915" s="5598"/>
      <c r="D915" s="9598" t="s">
        <v>143</v>
      </c>
      <c r="E915" s="9600"/>
      <c r="F915" s="492" t="s">
        <v>732</v>
      </c>
      <c r="G915" s="666"/>
      <c r="H915" s="684"/>
      <c r="I915" s="9582" t="s">
        <v>144</v>
      </c>
      <c r="J915" s="9583"/>
      <c r="K915" s="285" t="s">
        <v>734</v>
      </c>
      <c r="L915" s="7172">
        <v>568</v>
      </c>
      <c r="M915" s="7280" t="s">
        <v>801</v>
      </c>
      <c r="N915" s="7178">
        <v>1195</v>
      </c>
      <c r="O915" s="7386" t="s">
        <v>801</v>
      </c>
      <c r="P915" s="7500">
        <v>1190</v>
      </c>
      <c r="Q915" s="7240"/>
      <c r="R915" s="6616" t="s">
        <v>36</v>
      </c>
      <c r="S915" s="6538" t="str">
        <f>"연도별 남성+여성 합계 "&amp;ROW($C$886)&amp;"행(총 임직원)과 불일치"</f>
        <v>연도별 남성+여성 합계 886행(총 임직원)과 불일치</v>
      </c>
      <c r="T915" s="2468"/>
      <c r="U915" s="544"/>
      <c r="V915" s="545"/>
      <c r="W915" s="546"/>
      <c r="X915" s="547"/>
      <c r="Y915" s="548"/>
      <c r="Z915" s="277"/>
      <c r="AA915" s="277"/>
      <c r="AB915" s="187"/>
    </row>
    <row r="916" spans="1:34" ht="20.100000000000001" customHeight="1">
      <c r="A916" s="11"/>
      <c r="B916" s="1360"/>
      <c r="C916" s="5598"/>
      <c r="D916" s="9598" t="s">
        <v>146</v>
      </c>
      <c r="E916" s="9600"/>
      <c r="F916" s="492" t="s">
        <v>732</v>
      </c>
      <c r="G916" s="666"/>
      <c r="H916" s="684"/>
      <c r="I916" s="9582" t="s">
        <v>147</v>
      </c>
      <c r="J916" s="9583"/>
      <c r="K916" s="285" t="s">
        <v>734</v>
      </c>
      <c r="L916" s="7113">
        <v>293</v>
      </c>
      <c r="M916" s="7280" t="s">
        <v>751</v>
      </c>
      <c r="N916" s="7117">
        <v>281</v>
      </c>
      <c r="O916" s="7386" t="s">
        <v>751</v>
      </c>
      <c r="P916" s="7123">
        <v>288</v>
      </c>
      <c r="Q916" s="7240"/>
      <c r="R916" s="6616" t="s">
        <v>36</v>
      </c>
      <c r="S916" s="6538"/>
      <c r="T916" s="2468"/>
      <c r="U916" s="544"/>
      <c r="V916" s="545"/>
      <c r="W916" s="546"/>
      <c r="X916" s="547"/>
      <c r="Y916" s="548"/>
      <c r="Z916" s="277"/>
      <c r="AA916" s="277"/>
      <c r="AB916" s="187"/>
    </row>
    <row r="917" spans="1:34" ht="20.100000000000001" customHeight="1">
      <c r="A917" s="11"/>
      <c r="B917" s="1360"/>
      <c r="C917" s="5598"/>
      <c r="D917" s="9598" t="s">
        <v>149</v>
      </c>
      <c r="E917" s="9600"/>
      <c r="F917" s="492" t="s">
        <v>732</v>
      </c>
      <c r="G917" s="666"/>
      <c r="H917" s="684"/>
      <c r="I917" s="9582" t="s">
        <v>150</v>
      </c>
      <c r="J917" s="9583"/>
      <c r="K917" s="285" t="s">
        <v>734</v>
      </c>
      <c r="L917" s="7113">
        <v>737</v>
      </c>
      <c r="M917" s="7280"/>
      <c r="N917" s="7117">
        <v>646</v>
      </c>
      <c r="O917" s="7386"/>
      <c r="P917" s="7123">
        <v>597</v>
      </c>
      <c r="Q917" s="7240"/>
      <c r="R917" s="6616" t="s">
        <v>36</v>
      </c>
      <c r="S917" s="6538"/>
      <c r="T917" s="2468"/>
      <c r="U917" s="544"/>
      <c r="V917" s="545"/>
      <c r="W917" s="546"/>
      <c r="X917" s="547"/>
      <c r="Y917" s="548"/>
      <c r="Z917" s="277"/>
      <c r="AA917" s="277"/>
      <c r="AB917" s="187"/>
    </row>
    <row r="918" spans="1:34" ht="19.899999999999999" customHeight="1">
      <c r="A918" s="11"/>
      <c r="B918" s="1360"/>
      <c r="C918" s="5598"/>
      <c r="D918" s="9584" t="s">
        <v>802</v>
      </c>
      <c r="E918" s="9585"/>
      <c r="F918" s="6683" t="s">
        <v>732</v>
      </c>
      <c r="G918" s="7009"/>
      <c r="H918" s="7011"/>
      <c r="I918" s="9584" t="s">
        <v>803</v>
      </c>
      <c r="J918" s="9585"/>
      <c r="K918" s="6683" t="s">
        <v>734</v>
      </c>
      <c r="L918" s="7111">
        <f>IF(COUNTBLANK(L919:L924)&gt;0,"미취합법인有",SUM(L919:L924))</f>
        <v>3653</v>
      </c>
      <c r="M918" s="7279"/>
      <c r="N918" s="7115">
        <f>IF(COUNTBLANK(N919:N924)&gt;0,"미취합법인有",SUM(N919:N924))</f>
        <v>4773</v>
      </c>
      <c r="O918" s="7385"/>
      <c r="P918" s="7121">
        <f>IF(COUNTBLANK(P919:P924)&gt;0,"미취합법인有",SUM(P919:P924))</f>
        <v>4937</v>
      </c>
      <c r="Q918" s="7476"/>
      <c r="R918" s="7012" t="s">
        <v>36</v>
      </c>
      <c r="S918" s="7013"/>
      <c r="T918" s="7008" t="s">
        <v>798</v>
      </c>
      <c r="U918" s="367" t="s">
        <v>799</v>
      </c>
      <c r="V918" s="99" t="s">
        <v>758</v>
      </c>
      <c r="W918" s="547" t="s">
        <v>800</v>
      </c>
      <c r="X918" s="547"/>
      <c r="Y918" s="665"/>
      <c r="Z918" s="620" t="s">
        <v>793</v>
      </c>
      <c r="AA918" s="620" t="s">
        <v>740</v>
      </c>
      <c r="AB918" s="159" t="s">
        <v>795</v>
      </c>
    </row>
    <row r="919" spans="1:34" ht="20.100000000000001" customHeight="1">
      <c r="A919" s="11"/>
      <c r="B919" s="1360"/>
      <c r="C919" s="5598"/>
      <c r="D919" s="9598" t="s">
        <v>134</v>
      </c>
      <c r="E919" s="9600"/>
      <c r="F919" s="492" t="s">
        <v>732</v>
      </c>
      <c r="G919" s="666"/>
      <c r="H919" s="684"/>
      <c r="I919" s="9579" t="s">
        <v>135</v>
      </c>
      <c r="J919" s="9581"/>
      <c r="K919" s="285" t="s">
        <v>734</v>
      </c>
      <c r="L919" s="7113">
        <v>1923</v>
      </c>
      <c r="M919" s="7280" t="s">
        <v>746</v>
      </c>
      <c r="N919" s="7117">
        <v>2378</v>
      </c>
      <c r="O919" s="7386" t="s">
        <v>747</v>
      </c>
      <c r="P919" s="7501">
        <v>2583</v>
      </c>
      <c r="Q919" s="7240" t="s">
        <v>746</v>
      </c>
      <c r="R919" s="6616" t="s">
        <v>36</v>
      </c>
      <c r="S919" s="6538" t="str">
        <f>"2023년 남성+여성 합계 "&amp;ROW($C$883)&amp;"행(총 임직원)과 불일치"</f>
        <v>2023년 남성+여성 합계 883행(총 임직원)과 불일치</v>
      </c>
      <c r="T919" s="2468"/>
      <c r="U919" s="544"/>
      <c r="V919" s="545"/>
      <c r="W919" s="546"/>
      <c r="X919" s="547"/>
      <c r="Y919" s="548"/>
      <c r="Z919" s="277"/>
      <c r="AA919" s="277"/>
      <c r="AB919" s="187"/>
    </row>
    <row r="920" spans="1:34" ht="20.100000000000001" customHeight="1">
      <c r="A920" s="11"/>
      <c r="B920" s="1360"/>
      <c r="C920" s="5598"/>
      <c r="D920" s="9598" t="s">
        <v>137</v>
      </c>
      <c r="E920" s="9600"/>
      <c r="F920" s="492" t="s">
        <v>732</v>
      </c>
      <c r="G920" s="666"/>
      <c r="H920" s="684"/>
      <c r="I920" s="9579" t="s">
        <v>138</v>
      </c>
      <c r="J920" s="9581"/>
      <c r="K920" s="285" t="s">
        <v>734</v>
      </c>
      <c r="L920" s="7113">
        <v>49</v>
      </c>
      <c r="M920" s="7280"/>
      <c r="N920" s="7117">
        <v>77</v>
      </c>
      <c r="O920" s="7386"/>
      <c r="P920" s="7123">
        <v>102</v>
      </c>
      <c r="Q920" s="7240"/>
      <c r="R920" s="6616" t="s">
        <v>36</v>
      </c>
      <c r="S920" s="6538"/>
      <c r="T920" s="2468"/>
      <c r="U920" s="544"/>
      <c r="V920" s="545"/>
      <c r="W920" s="546"/>
      <c r="X920" s="547"/>
      <c r="Y920" s="548"/>
      <c r="Z920" s="277"/>
      <c r="AA920" s="277"/>
      <c r="AB920" s="187"/>
    </row>
    <row r="921" spans="1:34" ht="20.100000000000001" customHeight="1">
      <c r="A921" s="11"/>
      <c r="B921" s="1360"/>
      <c r="C921" s="5598"/>
      <c r="D921" s="9598" t="s">
        <v>140</v>
      </c>
      <c r="E921" s="9600"/>
      <c r="F921" s="492" t="s">
        <v>732</v>
      </c>
      <c r="G921" s="666"/>
      <c r="H921" s="684"/>
      <c r="I921" s="9582" t="s">
        <v>141</v>
      </c>
      <c r="J921" s="9583"/>
      <c r="K921" s="285" t="s">
        <v>734</v>
      </c>
      <c r="L921" s="7113">
        <v>513</v>
      </c>
      <c r="M921" s="7280" t="s">
        <v>748</v>
      </c>
      <c r="N921" s="7117">
        <v>457</v>
      </c>
      <c r="O921" s="7386" t="s">
        <v>748</v>
      </c>
      <c r="P921" s="7123">
        <v>378</v>
      </c>
      <c r="Q921" s="7372" t="s">
        <v>748</v>
      </c>
      <c r="R921" s="6669" t="s">
        <v>36</v>
      </c>
      <c r="S921" s="6586"/>
      <c r="T921" s="2468"/>
      <c r="U921" s="544"/>
      <c r="V921" s="545"/>
      <c r="W921" s="546"/>
      <c r="X921" s="547"/>
      <c r="Y921" s="548"/>
      <c r="Z921" s="277"/>
      <c r="AA921" s="277"/>
      <c r="AB921" s="187"/>
    </row>
    <row r="922" spans="1:34" ht="20.100000000000001" customHeight="1">
      <c r="A922" s="11"/>
      <c r="B922" s="1360"/>
      <c r="C922" s="5598"/>
      <c r="D922" s="9598" t="s">
        <v>143</v>
      </c>
      <c r="E922" s="9600"/>
      <c r="F922" s="492" t="s">
        <v>732</v>
      </c>
      <c r="G922" s="666"/>
      <c r="H922" s="684"/>
      <c r="I922" s="9582" t="s">
        <v>144</v>
      </c>
      <c r="J922" s="9583"/>
      <c r="K922" s="285" t="s">
        <v>734</v>
      </c>
      <c r="L922" s="7172">
        <v>537</v>
      </c>
      <c r="M922" s="7280" t="s">
        <v>801</v>
      </c>
      <c r="N922" s="7178">
        <v>1251</v>
      </c>
      <c r="O922" s="7386" t="s">
        <v>801</v>
      </c>
      <c r="P922" s="7500">
        <v>1288</v>
      </c>
      <c r="Q922" s="7240"/>
      <c r="R922" s="6616" t="s">
        <v>36</v>
      </c>
      <c r="S922" s="6538" t="str">
        <f>"연도별 남성+여성 합계 "&amp;ROW($C$886)&amp;"행(총 임직원)과 불일치"</f>
        <v>연도별 남성+여성 합계 886행(총 임직원)과 불일치</v>
      </c>
      <c r="T922" s="2468"/>
      <c r="U922" s="544"/>
      <c r="V922" s="545"/>
      <c r="W922" s="546"/>
      <c r="X922" s="547"/>
      <c r="Y922" s="548"/>
      <c r="Z922" s="277"/>
      <c r="AA922" s="277"/>
      <c r="AB922" s="187"/>
    </row>
    <row r="923" spans="1:34" ht="20.100000000000001" customHeight="1">
      <c r="A923" s="11"/>
      <c r="B923" s="1360"/>
      <c r="C923" s="5598"/>
      <c r="D923" s="9598" t="s">
        <v>146</v>
      </c>
      <c r="E923" s="9600"/>
      <c r="F923" s="492" t="s">
        <v>732</v>
      </c>
      <c r="G923" s="666"/>
      <c r="H923" s="684"/>
      <c r="I923" s="9582" t="s">
        <v>147</v>
      </c>
      <c r="J923" s="9583"/>
      <c r="K923" s="285" t="s">
        <v>734</v>
      </c>
      <c r="L923" s="7133">
        <v>88</v>
      </c>
      <c r="M923" s="7281" t="s">
        <v>804</v>
      </c>
      <c r="N923" s="7122">
        <v>112</v>
      </c>
      <c r="O923" s="7281" t="s">
        <v>804</v>
      </c>
      <c r="P923" s="7135">
        <v>124</v>
      </c>
      <c r="Q923" s="7240"/>
      <c r="R923" s="6616" t="s">
        <v>36</v>
      </c>
      <c r="S923" s="6538"/>
      <c r="T923" s="2468"/>
      <c r="U923" s="544"/>
      <c r="V923" s="545"/>
      <c r="W923" s="546"/>
      <c r="X923" s="547"/>
      <c r="Y923" s="548"/>
      <c r="Z923" s="277"/>
      <c r="AA923" s="277"/>
      <c r="AB923" s="187"/>
    </row>
    <row r="924" spans="1:34" ht="20.100000000000001" customHeight="1">
      <c r="A924" s="11"/>
      <c r="B924" s="1360"/>
      <c r="C924" s="5598"/>
      <c r="D924" s="9598" t="s">
        <v>149</v>
      </c>
      <c r="E924" s="9600"/>
      <c r="F924" s="492" t="s">
        <v>732</v>
      </c>
      <c r="G924" s="666"/>
      <c r="H924" s="684"/>
      <c r="I924" s="9582" t="s">
        <v>150</v>
      </c>
      <c r="J924" s="9583"/>
      <c r="K924" s="285" t="s">
        <v>734</v>
      </c>
      <c r="L924" s="7113">
        <v>543</v>
      </c>
      <c r="M924" s="7280"/>
      <c r="N924" s="7117">
        <v>498</v>
      </c>
      <c r="O924" s="7280"/>
      <c r="P924" s="7117">
        <v>462</v>
      </c>
      <c r="Q924" s="7240"/>
      <c r="R924" s="6616" t="s">
        <v>36</v>
      </c>
      <c r="S924" s="6538"/>
      <c r="T924" s="2468"/>
      <c r="U924" s="544"/>
      <c r="V924" s="545"/>
      <c r="W924" s="546"/>
      <c r="X924" s="547"/>
      <c r="Y924" s="548"/>
      <c r="Z924" s="277"/>
      <c r="AA924" s="277"/>
      <c r="AB924" s="187"/>
    </row>
    <row r="925" spans="1:34" ht="19.899999999999999" customHeight="1">
      <c r="A925" s="11"/>
      <c r="B925" s="1360"/>
      <c r="C925" s="7857" t="s">
        <v>805</v>
      </c>
      <c r="D925" s="7511"/>
      <c r="E925" s="7512"/>
      <c r="F925" s="7513"/>
      <c r="G925" s="7514"/>
      <c r="H925" s="7515" t="s">
        <v>806</v>
      </c>
      <c r="I925" s="7516"/>
      <c r="J925" s="7517"/>
      <c r="K925" s="7504" t="s">
        <v>168</v>
      </c>
      <c r="L925" s="7505"/>
      <c r="M925" s="7506"/>
      <c r="N925" s="7507"/>
      <c r="O925" s="7518"/>
      <c r="P925" s="7507"/>
      <c r="Q925" s="7506"/>
      <c r="R925" s="7508" t="s">
        <v>36</v>
      </c>
      <c r="S925" s="7519"/>
      <c r="T925" s="6979"/>
      <c r="U925" s="367"/>
      <c r="V925" s="99" t="s">
        <v>758</v>
      </c>
      <c r="W925" s="547"/>
      <c r="X925" s="547"/>
      <c r="Y925" s="665"/>
      <c r="Z925" s="620"/>
      <c r="AA925" s="672" t="s">
        <v>807</v>
      </c>
      <c r="AB925" s="673" t="s">
        <v>795</v>
      </c>
    </row>
    <row r="926" spans="1:34" ht="20.100000000000001" customHeight="1">
      <c r="A926"/>
      <c r="B926" s="1360"/>
      <c r="C926" s="5598"/>
      <c r="D926" s="9584" t="s">
        <v>796</v>
      </c>
      <c r="E926" s="9585"/>
      <c r="F926" s="6683" t="s">
        <v>156</v>
      </c>
      <c r="G926" s="6698"/>
      <c r="H926" s="7014"/>
      <c r="I926" s="9584" t="s">
        <v>808</v>
      </c>
      <c r="J926" s="9585"/>
      <c r="K926" s="7015" t="s">
        <v>156</v>
      </c>
      <c r="L926" s="7016" t="str">
        <f>IF(COUNTBLANK(L927:L932)&gt;0,"미취합법인有",AVERAGE(L927:L932))</f>
        <v>미취합법인有</v>
      </c>
      <c r="M926" s="7282"/>
      <c r="N926" s="7001" t="str">
        <f>IF(COUNTBLANK(N927:N932)&gt;0,"미취합법인有",AVERAGE(N927:N932))</f>
        <v>미취합법인有</v>
      </c>
      <c r="O926" s="7388"/>
      <c r="P926" s="7002" t="str">
        <f>IF(COUNTBLANK(P927:P932)&gt;0,"미취합법인有",AVERAGE(P927:P932))</f>
        <v>미취합법인有</v>
      </c>
      <c r="Q926" s="7476"/>
      <c r="R926" s="7012" t="s">
        <v>36</v>
      </c>
      <c r="S926" s="7013"/>
      <c r="T926" s="6973" t="s">
        <v>809</v>
      </c>
      <c r="U926" s="6050" t="s">
        <v>810</v>
      </c>
      <c r="V926" s="99" t="s">
        <v>758</v>
      </c>
      <c r="W926" s="681" t="s">
        <v>800</v>
      </c>
      <c r="X926" s="681"/>
      <c r="Y926" s="665"/>
      <c r="Z926" s="620"/>
      <c r="AA926" s="672" t="s">
        <v>807</v>
      </c>
      <c r="AB926" s="673" t="s">
        <v>795</v>
      </c>
      <c r="AD926" s="6403"/>
    </row>
    <row r="927" spans="1:34" ht="20.100000000000001" customHeight="1">
      <c r="A927" s="11"/>
      <c r="B927" s="1360"/>
      <c r="C927" s="5598"/>
      <c r="D927" s="9598" t="s">
        <v>134</v>
      </c>
      <c r="E927" s="9600"/>
      <c r="F927" s="285" t="s">
        <v>156</v>
      </c>
      <c r="G927" s="666"/>
      <c r="H927" s="684"/>
      <c r="I927" s="9579" t="s">
        <v>135</v>
      </c>
      <c r="J927" s="9581"/>
      <c r="K927" s="674" t="s">
        <v>156</v>
      </c>
      <c r="L927" s="6794">
        <v>80</v>
      </c>
      <c r="M927" s="7283"/>
      <c r="N927" s="6843">
        <v>100</v>
      </c>
      <c r="O927" s="7389" t="s">
        <v>747</v>
      </c>
      <c r="P927" s="6887">
        <v>100</v>
      </c>
      <c r="Q927" s="7449" t="s">
        <v>747</v>
      </c>
      <c r="R927" s="6648" t="s">
        <v>36</v>
      </c>
      <c r="S927" s="6538"/>
      <c r="T927" s="2468"/>
      <c r="U927" s="544"/>
      <c r="V927" s="545"/>
      <c r="W927" s="546"/>
      <c r="X927" s="547"/>
      <c r="Y927" s="548"/>
      <c r="Z927" s="277"/>
      <c r="AA927" s="277"/>
      <c r="AB927" s="187"/>
    </row>
    <row r="928" spans="1:34" ht="20.100000000000001" customHeight="1">
      <c r="A928" s="11"/>
      <c r="B928" s="1360"/>
      <c r="C928" s="5598"/>
      <c r="D928" s="9598" t="s">
        <v>137</v>
      </c>
      <c r="E928" s="9600"/>
      <c r="F928" s="285" t="s">
        <v>156</v>
      </c>
      <c r="G928" s="666"/>
      <c r="H928" s="684"/>
      <c r="I928" s="9579" t="s">
        <v>138</v>
      </c>
      <c r="J928" s="9581"/>
      <c r="K928" s="674" t="s">
        <v>156</v>
      </c>
      <c r="L928" s="6794">
        <v>100</v>
      </c>
      <c r="M928" s="7283"/>
      <c r="N928" s="6843">
        <v>100</v>
      </c>
      <c r="O928" s="7284"/>
      <c r="P928" s="6887">
        <v>100</v>
      </c>
      <c r="Q928" s="7448"/>
      <c r="R928" s="6647" t="s">
        <v>36</v>
      </c>
      <c r="S928" s="6538"/>
      <c r="T928" s="2468"/>
      <c r="U928" s="544"/>
      <c r="V928" s="545"/>
      <c r="W928" s="546"/>
      <c r="X928" s="547"/>
      <c r="Y928" s="548"/>
      <c r="Z928" s="277"/>
      <c r="AA928" s="277"/>
      <c r="AB928" s="187"/>
      <c r="AC928" s="6159"/>
      <c r="AD928" s="6403"/>
      <c r="AE928" s="6403"/>
      <c r="AF928" s="6403"/>
      <c r="AG928" s="6403"/>
      <c r="AH928" s="6403"/>
    </row>
    <row r="929" spans="1:34" ht="20.100000000000001" customHeight="1">
      <c r="A929" s="11"/>
      <c r="B929" s="1360"/>
      <c r="C929" s="5598"/>
      <c r="D929" s="9598" t="s">
        <v>140</v>
      </c>
      <c r="E929" s="9600"/>
      <c r="F929" s="285" t="s">
        <v>156</v>
      </c>
      <c r="G929" s="666"/>
      <c r="H929" s="684"/>
      <c r="I929" s="9582" t="s">
        <v>141</v>
      </c>
      <c r="J929" s="9583"/>
      <c r="K929" s="674" t="s">
        <v>156</v>
      </c>
      <c r="L929" s="6794">
        <v>100</v>
      </c>
      <c r="M929" s="7283"/>
      <c r="N929" s="6843">
        <v>100</v>
      </c>
      <c r="O929" s="7284"/>
      <c r="P929" s="6843">
        <v>100</v>
      </c>
      <c r="Q929" s="7448"/>
      <c r="R929" s="6647" t="s">
        <v>36</v>
      </c>
      <c r="S929" s="6538"/>
      <c r="T929" s="2468"/>
      <c r="U929" s="544"/>
      <c r="V929" s="545"/>
      <c r="W929" s="546"/>
      <c r="X929" s="547"/>
      <c r="Y929" s="548"/>
      <c r="Z929" s="277"/>
      <c r="AA929" s="277"/>
      <c r="AB929" s="187"/>
      <c r="AD929" s="6403"/>
      <c r="AE929" s="6403"/>
      <c r="AF929" s="6403"/>
      <c r="AG929" s="6403"/>
      <c r="AH929" s="6403"/>
    </row>
    <row r="930" spans="1:34" ht="20.100000000000001" customHeight="1">
      <c r="A930" s="11"/>
      <c r="B930" s="1360"/>
      <c r="C930" s="5598"/>
      <c r="D930" s="9598" t="s">
        <v>143</v>
      </c>
      <c r="E930" s="9600"/>
      <c r="F930" s="285" t="s">
        <v>156</v>
      </c>
      <c r="G930" s="666"/>
      <c r="H930" s="684"/>
      <c r="I930" s="9582" t="s">
        <v>144</v>
      </c>
      <c r="J930" s="9583"/>
      <c r="K930" s="674" t="s">
        <v>156</v>
      </c>
      <c r="L930" s="6794">
        <v>100</v>
      </c>
      <c r="M930" s="7283"/>
      <c r="N930" s="6843">
        <v>100</v>
      </c>
      <c r="O930" s="7284"/>
      <c r="P930" s="6843">
        <v>100</v>
      </c>
      <c r="Q930" s="7448"/>
      <c r="R930" s="6647" t="s">
        <v>36</v>
      </c>
      <c r="S930" s="6538"/>
      <c r="T930" s="2468"/>
      <c r="U930" s="544"/>
      <c r="V930" s="545"/>
      <c r="W930" s="546"/>
      <c r="X930" s="547"/>
      <c r="Y930" s="548"/>
      <c r="Z930" s="277"/>
      <c r="AA930" s="277"/>
      <c r="AB930" s="187"/>
      <c r="AD930" s="6403"/>
      <c r="AE930" s="6403"/>
      <c r="AF930" s="6403"/>
      <c r="AG930" s="6403"/>
      <c r="AH930" s="6403"/>
    </row>
    <row r="931" spans="1:34" ht="20.100000000000001" customHeight="1">
      <c r="A931" s="11"/>
      <c r="B931" s="1360"/>
      <c r="C931" s="5598"/>
      <c r="D931" s="9598" t="s">
        <v>146</v>
      </c>
      <c r="E931" s="9600"/>
      <c r="F931" s="285" t="s">
        <v>156</v>
      </c>
      <c r="G931" s="666"/>
      <c r="H931" s="684"/>
      <c r="I931" s="9582" t="s">
        <v>147</v>
      </c>
      <c r="J931" s="9583"/>
      <c r="K931" s="674" t="s">
        <v>156</v>
      </c>
      <c r="L931" s="6794">
        <f>5/L908*100</f>
        <v>71.428571428571431</v>
      </c>
      <c r="M931" s="7284"/>
      <c r="N931" s="6843">
        <f>5/N908*100</f>
        <v>71.428571428571431</v>
      </c>
      <c r="O931" s="7284"/>
      <c r="P931" s="6887">
        <f>5/P908*100</f>
        <v>71.428571428571431</v>
      </c>
      <c r="Q931" s="7448"/>
      <c r="R931" s="6647" t="s">
        <v>36</v>
      </c>
      <c r="S931" s="6538"/>
      <c r="T931" s="2468"/>
      <c r="U931" s="544"/>
      <c r="V931" s="5846"/>
      <c r="W931" s="546"/>
      <c r="X931" s="547"/>
      <c r="Y931" s="548"/>
      <c r="Z931" s="277"/>
      <c r="AA931" s="277"/>
      <c r="AB931" s="187"/>
      <c r="AD931" s="6403"/>
      <c r="AE931" s="6403"/>
      <c r="AF931" s="6403"/>
      <c r="AG931" s="6403"/>
      <c r="AH931" s="6403"/>
    </row>
    <row r="932" spans="1:34" ht="20.100000000000001" customHeight="1">
      <c r="A932" s="11"/>
      <c r="B932" s="1360"/>
      <c r="C932" s="5598"/>
      <c r="D932" s="9598" t="s">
        <v>149</v>
      </c>
      <c r="E932" s="9600"/>
      <c r="F932" s="285" t="s">
        <v>156</v>
      </c>
      <c r="G932" s="666"/>
      <c r="H932" s="684"/>
      <c r="I932" s="9582" t="s">
        <v>150</v>
      </c>
      <c r="J932" s="9583"/>
      <c r="K932" s="674" t="s">
        <v>156</v>
      </c>
      <c r="L932" s="6759"/>
      <c r="M932" s="7284"/>
      <c r="N932" s="7603"/>
      <c r="O932" s="7284"/>
      <c r="P932" s="7604"/>
      <c r="Q932" s="7448"/>
      <c r="R932" s="6647" t="s">
        <v>36</v>
      </c>
      <c r="S932" s="6538" t="s">
        <v>1880</v>
      </c>
      <c r="T932" s="2468"/>
      <c r="U932" s="544"/>
      <c r="V932" s="5846"/>
      <c r="W932" s="546"/>
      <c r="X932" s="547"/>
      <c r="Y932" s="548"/>
      <c r="Z932" s="277"/>
      <c r="AA932" s="277"/>
      <c r="AB932" s="187"/>
      <c r="AD932" s="6403"/>
      <c r="AE932" s="6403"/>
      <c r="AF932" s="6403"/>
      <c r="AG932" s="6403"/>
      <c r="AH932" s="6403"/>
    </row>
    <row r="933" spans="1:34" ht="20.100000000000001" customHeight="1">
      <c r="A933"/>
      <c r="B933" s="1360"/>
      <c r="C933" s="5598"/>
      <c r="D933" s="9584" t="s">
        <v>802</v>
      </c>
      <c r="E933" s="9585"/>
      <c r="F933" s="6683" t="s">
        <v>156</v>
      </c>
      <c r="G933" s="6698"/>
      <c r="H933" s="7014"/>
      <c r="I933" s="9584" t="s">
        <v>811</v>
      </c>
      <c r="J933" s="9585"/>
      <c r="K933" s="7015" t="s">
        <v>156</v>
      </c>
      <c r="L933" s="7016" t="str">
        <f>IF(COUNTBLANK(L934:L939)&gt;0,"미취합법인有",AVERAGE(L934:L939))</f>
        <v>미취합법인有</v>
      </c>
      <c r="M933" s="7282"/>
      <c r="N933" s="7001" t="str">
        <f>IF(COUNTBLANK(N934:N939)&gt;0,"미취합법인有",AVERAGE(N934:N939))</f>
        <v>미취합법인有</v>
      </c>
      <c r="O933" s="7388"/>
      <c r="P933" s="7002" t="str">
        <f>IF(COUNTBLANK(P934:P939)&gt;0,"미취합법인有",AVERAGE(P934:P939))</f>
        <v>미취합법인有</v>
      </c>
      <c r="Q933" s="7476"/>
      <c r="R933" s="7012" t="s">
        <v>36</v>
      </c>
      <c r="S933" s="7013"/>
      <c r="T933" s="6973" t="s">
        <v>812</v>
      </c>
      <c r="U933" s="6050" t="s">
        <v>813</v>
      </c>
      <c r="V933" s="99" t="s">
        <v>758</v>
      </c>
      <c r="W933" s="681" t="s">
        <v>800</v>
      </c>
      <c r="X933" s="681"/>
      <c r="Y933" s="665"/>
      <c r="Z933" s="620"/>
      <c r="AA933" s="672" t="s">
        <v>807</v>
      </c>
      <c r="AB933" s="673" t="s">
        <v>795</v>
      </c>
      <c r="AD933" s="6403"/>
      <c r="AE933" s="6403"/>
      <c r="AF933" s="6403"/>
      <c r="AG933" s="6403"/>
      <c r="AH933" s="6403"/>
    </row>
    <row r="934" spans="1:34" ht="20.100000000000001" customHeight="1">
      <c r="A934" s="11"/>
      <c r="B934" s="1360"/>
      <c r="C934" s="5598"/>
      <c r="D934" s="9598" t="s">
        <v>134</v>
      </c>
      <c r="E934" s="9600"/>
      <c r="F934" s="285" t="s">
        <v>156</v>
      </c>
      <c r="G934" s="666"/>
      <c r="H934" s="684"/>
      <c r="I934" s="9579" t="s">
        <v>135</v>
      </c>
      <c r="J934" s="9581"/>
      <c r="K934" s="674" t="s">
        <v>156</v>
      </c>
      <c r="L934" s="6794">
        <v>20</v>
      </c>
      <c r="M934" s="7283"/>
      <c r="N934" s="6873">
        <v>0</v>
      </c>
      <c r="O934" s="7389" t="s">
        <v>747</v>
      </c>
      <c r="P934" s="6881">
        <v>0</v>
      </c>
      <c r="Q934" s="7449" t="s">
        <v>747</v>
      </c>
      <c r="R934" s="6648" t="s">
        <v>36</v>
      </c>
      <c r="S934" s="6538"/>
      <c r="T934" s="2468"/>
      <c r="U934" s="544"/>
      <c r="V934" s="5846"/>
      <c r="W934" s="546"/>
      <c r="X934" s="547"/>
      <c r="Y934" s="548"/>
      <c r="Z934" s="277"/>
      <c r="AA934" s="277"/>
      <c r="AB934" s="187"/>
      <c r="AD934" s="6403"/>
      <c r="AE934" s="6403"/>
      <c r="AF934" s="6403"/>
      <c r="AG934" s="6403"/>
      <c r="AH934" s="6403"/>
    </row>
    <row r="935" spans="1:34" ht="20.100000000000001" customHeight="1">
      <c r="A935" s="11"/>
      <c r="B935" s="1360"/>
      <c r="C935" s="5598"/>
      <c r="D935" s="9598" t="s">
        <v>137</v>
      </c>
      <c r="E935" s="9600"/>
      <c r="F935" s="285" t="s">
        <v>156</v>
      </c>
      <c r="G935" s="666"/>
      <c r="H935" s="684"/>
      <c r="I935" s="9579" t="s">
        <v>138</v>
      </c>
      <c r="J935" s="9581"/>
      <c r="K935" s="674" t="s">
        <v>156</v>
      </c>
      <c r="L935" s="6794">
        <v>0</v>
      </c>
      <c r="M935" s="7283"/>
      <c r="N935" s="6887">
        <v>0</v>
      </c>
      <c r="O935" s="7389"/>
      <c r="P935" s="6887">
        <v>0</v>
      </c>
      <c r="Q935" s="7449"/>
      <c r="R935" s="6648" t="s">
        <v>36</v>
      </c>
      <c r="S935" s="6538"/>
      <c r="T935" s="2468"/>
      <c r="U935" s="544"/>
      <c r="V935" s="5846"/>
      <c r="W935" s="546"/>
      <c r="X935" s="547"/>
      <c r="Y935" s="548"/>
      <c r="Z935" s="277"/>
      <c r="AA935" s="277"/>
      <c r="AB935" s="187"/>
      <c r="AC935" s="6159"/>
      <c r="AD935" s="6403"/>
      <c r="AE935" s="6403"/>
      <c r="AF935" s="6403"/>
      <c r="AG935" s="6403"/>
      <c r="AH935" s="6403"/>
    </row>
    <row r="936" spans="1:34" ht="20.100000000000001" customHeight="1">
      <c r="A936" s="11"/>
      <c r="B936" s="1360"/>
      <c r="C936" s="5598"/>
      <c r="D936" s="9598" t="s">
        <v>140</v>
      </c>
      <c r="E936" s="9600"/>
      <c r="F936" s="285" t="s">
        <v>156</v>
      </c>
      <c r="G936" s="666"/>
      <c r="H936" s="684"/>
      <c r="I936" s="9582" t="s">
        <v>141</v>
      </c>
      <c r="J936" s="9583"/>
      <c r="K936" s="674" t="s">
        <v>156</v>
      </c>
      <c r="L936" s="6794">
        <v>0</v>
      </c>
      <c r="M936" s="7283"/>
      <c r="N936" s="6843">
        <v>0</v>
      </c>
      <c r="O936" s="7389"/>
      <c r="P936" s="6843">
        <v>0</v>
      </c>
      <c r="Q936" s="7449"/>
      <c r="R936" s="6648" t="s">
        <v>36</v>
      </c>
      <c r="S936" s="6538"/>
      <c r="T936" s="2468"/>
      <c r="U936" s="544"/>
      <c r="V936" s="5846"/>
      <c r="W936" s="546"/>
      <c r="X936" s="547"/>
      <c r="Y936" s="548"/>
      <c r="Z936" s="277"/>
      <c r="AA936" s="277"/>
      <c r="AB936" s="187"/>
      <c r="AD936" s="6403"/>
      <c r="AE936" s="6403"/>
      <c r="AF936" s="6403"/>
      <c r="AG936" s="6403"/>
      <c r="AH936" s="6403"/>
    </row>
    <row r="937" spans="1:34" ht="20.100000000000001" customHeight="1">
      <c r="A937" s="11"/>
      <c r="B937" s="1360"/>
      <c r="C937" s="5598"/>
      <c r="D937" s="9598" t="s">
        <v>143</v>
      </c>
      <c r="E937" s="9600"/>
      <c r="F937" s="285" t="s">
        <v>156</v>
      </c>
      <c r="G937" s="666"/>
      <c r="H937" s="684"/>
      <c r="I937" s="9582" t="s">
        <v>144</v>
      </c>
      <c r="J937" s="9583"/>
      <c r="K937" s="674" t="s">
        <v>156</v>
      </c>
      <c r="L937" s="6794">
        <v>0</v>
      </c>
      <c r="M937" s="7283"/>
      <c r="N937" s="6843">
        <v>0</v>
      </c>
      <c r="O937" s="7389"/>
      <c r="P937" s="6843">
        <v>0</v>
      </c>
      <c r="Q937" s="7449"/>
      <c r="R937" s="6648" t="s">
        <v>36</v>
      </c>
      <c r="S937" s="6538"/>
      <c r="T937" s="2468"/>
      <c r="U937" s="544"/>
      <c r="V937" s="5846"/>
      <c r="W937" s="546"/>
      <c r="X937" s="547"/>
      <c r="Y937" s="548"/>
      <c r="Z937" s="277"/>
      <c r="AA937" s="277"/>
      <c r="AB937" s="187"/>
      <c r="AD937" s="6403"/>
      <c r="AE937" s="6403"/>
      <c r="AF937" s="6403"/>
      <c r="AG937" s="6403"/>
      <c r="AH937" s="6403"/>
    </row>
    <row r="938" spans="1:34" ht="20.100000000000001" customHeight="1">
      <c r="A938" s="11"/>
      <c r="B938" s="1360"/>
      <c r="C938" s="5598"/>
      <c r="D938" s="9598" t="s">
        <v>146</v>
      </c>
      <c r="E938" s="9600"/>
      <c r="F938" s="285" t="s">
        <v>156</v>
      </c>
      <c r="G938" s="666"/>
      <c r="H938" s="684"/>
      <c r="I938" s="9582" t="s">
        <v>147</v>
      </c>
      <c r="J938" s="9583"/>
      <c r="K938" s="674" t="s">
        <v>156</v>
      </c>
      <c r="L938" s="6794">
        <f>100-L931</f>
        <v>28.571428571428569</v>
      </c>
      <c r="M938" s="7284"/>
      <c r="N938" s="6843">
        <f>100-N931</f>
        <v>28.571428571428569</v>
      </c>
      <c r="O938" s="7284"/>
      <c r="P938" s="6887">
        <f>100-P931</f>
        <v>28.571428571428569</v>
      </c>
      <c r="Q938" s="7449"/>
      <c r="R938" s="6648" t="s">
        <v>36</v>
      </c>
      <c r="S938" s="6538"/>
      <c r="T938" s="2468"/>
      <c r="U938" s="4849"/>
      <c r="V938" s="5846"/>
      <c r="W938" s="546"/>
      <c r="X938" s="547"/>
      <c r="Y938" s="548"/>
      <c r="Z938" s="277"/>
      <c r="AA938" s="277"/>
      <c r="AB938" s="187"/>
      <c r="AD938" s="6403"/>
      <c r="AE938" s="6403"/>
      <c r="AF938" s="6403"/>
      <c r="AG938" s="6403"/>
      <c r="AH938" s="6403"/>
    </row>
    <row r="939" spans="1:34" ht="20.100000000000001" customHeight="1">
      <c r="A939" s="11"/>
      <c r="B939" s="1360"/>
      <c r="C939" s="5598"/>
      <c r="D939" s="9598" t="s">
        <v>149</v>
      </c>
      <c r="E939" s="9600"/>
      <c r="F939" s="285" t="s">
        <v>156</v>
      </c>
      <c r="G939" s="666"/>
      <c r="H939" s="684"/>
      <c r="I939" s="9582" t="s">
        <v>150</v>
      </c>
      <c r="J939" s="9583"/>
      <c r="K939" s="674" t="s">
        <v>156</v>
      </c>
      <c r="L939" s="6759"/>
      <c r="M939" s="7284"/>
      <c r="N939" s="7603"/>
      <c r="O939" s="7284"/>
      <c r="P939" s="7603"/>
      <c r="Q939" s="7449"/>
      <c r="R939" s="6648" t="s">
        <v>36</v>
      </c>
      <c r="S939" s="6538" t="s">
        <v>1880</v>
      </c>
      <c r="T939" s="2468"/>
      <c r="U939" s="4849"/>
      <c r="V939" s="5846"/>
      <c r="W939" s="546"/>
      <c r="X939" s="547"/>
      <c r="Y939" s="548"/>
      <c r="Z939" s="277"/>
      <c r="AA939" s="277"/>
      <c r="AB939" s="187"/>
      <c r="AD939" s="6403"/>
      <c r="AE939" s="6403"/>
      <c r="AF939" s="6403"/>
      <c r="AG939" s="6403"/>
      <c r="AH939" s="6403"/>
    </row>
    <row r="940" spans="1:34" ht="20.100000000000001" customHeight="1">
      <c r="A940"/>
      <c r="B940" s="1353"/>
      <c r="C940" s="6980" t="s">
        <v>814</v>
      </c>
      <c r="D940" s="7511"/>
      <c r="E940" s="7511"/>
      <c r="F940" s="7513"/>
      <c r="G940" s="7605"/>
      <c r="H940" s="7606" t="s">
        <v>815</v>
      </c>
      <c r="I940" s="7516"/>
      <c r="J940" s="7517"/>
      <c r="K940" s="7504" t="s">
        <v>168</v>
      </c>
      <c r="L940" s="7505"/>
      <c r="M940" s="7506"/>
      <c r="N940" s="7507"/>
      <c r="O940" s="7518"/>
      <c r="P940" s="7507"/>
      <c r="Q940" s="7506"/>
      <c r="R940" s="7508" t="s">
        <v>31</v>
      </c>
      <c r="S940" s="7509" t="s">
        <v>1882</v>
      </c>
      <c r="T940" s="6979"/>
      <c r="U940" s="4849"/>
      <c r="V940" s="5846" t="s">
        <v>758</v>
      </c>
      <c r="W940" s="547"/>
      <c r="X940" s="681"/>
      <c r="Y940" s="299" t="s">
        <v>193</v>
      </c>
      <c r="Z940" s="620"/>
      <c r="AA940" s="265"/>
      <c r="AB940" s="159"/>
      <c r="AD940" s="6403"/>
      <c r="AE940" s="6403"/>
      <c r="AF940" s="6403"/>
      <c r="AG940" s="6403"/>
      <c r="AH940" s="6403"/>
    </row>
    <row r="941" spans="1:34" ht="15.6" customHeight="1">
      <c r="A941" s="11"/>
      <c r="B941" s="1360"/>
      <c r="C941" s="5598"/>
      <c r="D941" s="9584" t="s">
        <v>796</v>
      </c>
      <c r="E941" s="9585"/>
      <c r="F941" s="6683" t="s">
        <v>156</v>
      </c>
      <c r="G941" s="6697"/>
      <c r="H941" s="6694"/>
      <c r="I941" s="9584" t="s">
        <v>808</v>
      </c>
      <c r="J941" s="9585"/>
      <c r="K941" s="6683" t="s">
        <v>156</v>
      </c>
      <c r="L941" s="7016" t="s">
        <v>168</v>
      </c>
      <c r="M941" s="7026"/>
      <c r="N941" s="7001" t="s">
        <v>168</v>
      </c>
      <c r="O941" s="7384"/>
      <c r="P941" s="7002" t="s">
        <v>168</v>
      </c>
      <c r="Q941" s="7029"/>
      <c r="R941" s="7017" t="s">
        <v>31</v>
      </c>
      <c r="S941" s="7018" t="s">
        <v>1882</v>
      </c>
      <c r="T941" s="6973" t="s">
        <v>816</v>
      </c>
      <c r="U941" s="4849" t="s">
        <v>817</v>
      </c>
      <c r="V941" s="5846" t="s">
        <v>758</v>
      </c>
      <c r="W941" s="547"/>
      <c r="X941" s="547"/>
      <c r="Y941" s="299" t="s">
        <v>193</v>
      </c>
      <c r="Z941" s="620"/>
      <c r="AA941" s="694"/>
      <c r="AB941" s="159" t="s">
        <v>795</v>
      </c>
    </row>
    <row r="942" spans="1:34" ht="20.100000000000001" customHeight="1">
      <c r="A942" s="11"/>
      <c r="B942" s="1360"/>
      <c r="C942" s="5598"/>
      <c r="D942" s="9598" t="s">
        <v>134</v>
      </c>
      <c r="E942" s="9600"/>
      <c r="F942" s="285" t="s">
        <v>156</v>
      </c>
      <c r="G942" s="666"/>
      <c r="H942" s="684"/>
      <c r="I942" s="9579" t="s">
        <v>135</v>
      </c>
      <c r="J942" s="9581"/>
      <c r="K942" s="285" t="s">
        <v>156</v>
      </c>
      <c r="L942" s="6764" t="s">
        <v>168</v>
      </c>
      <c r="M942" s="7285" t="s">
        <v>818</v>
      </c>
      <c r="N942" s="6842" t="s">
        <v>168</v>
      </c>
      <c r="O942" s="7285" t="s">
        <v>818</v>
      </c>
      <c r="P942" s="6842" t="s">
        <v>168</v>
      </c>
      <c r="Q942" s="7285" t="s">
        <v>818</v>
      </c>
      <c r="R942" s="6670" t="s">
        <v>31</v>
      </c>
      <c r="S942" s="6532" t="s">
        <v>1882</v>
      </c>
      <c r="T942" s="2468"/>
      <c r="U942" s="4849"/>
      <c r="V942" s="5846"/>
      <c r="W942" s="546"/>
      <c r="X942" s="547"/>
      <c r="Y942" s="299" t="s">
        <v>193</v>
      </c>
      <c r="Z942" s="277"/>
      <c r="AA942" s="277"/>
      <c r="AB942" s="187"/>
    </row>
    <row r="943" spans="1:34" ht="20.100000000000001" customHeight="1">
      <c r="A943" s="11"/>
      <c r="B943" s="1360"/>
      <c r="C943" s="5598"/>
      <c r="D943" s="9598" t="s">
        <v>137</v>
      </c>
      <c r="E943" s="9600"/>
      <c r="F943" s="285" t="s">
        <v>156</v>
      </c>
      <c r="G943" s="666"/>
      <c r="H943" s="684"/>
      <c r="I943" s="9579" t="s">
        <v>138</v>
      </c>
      <c r="J943" s="9581"/>
      <c r="K943" s="285" t="s">
        <v>156</v>
      </c>
      <c r="L943" s="6764" t="s">
        <v>168</v>
      </c>
      <c r="M943" s="7285" t="s">
        <v>818</v>
      </c>
      <c r="N943" s="6842" t="s">
        <v>168</v>
      </c>
      <c r="O943" s="7285" t="s">
        <v>818</v>
      </c>
      <c r="P943" s="6842" t="s">
        <v>168</v>
      </c>
      <c r="Q943" s="7285" t="s">
        <v>818</v>
      </c>
      <c r="R943" s="6670" t="s">
        <v>31</v>
      </c>
      <c r="S943" s="6532" t="s">
        <v>1882</v>
      </c>
      <c r="T943" s="2468"/>
      <c r="U943" s="4849"/>
      <c r="V943" s="5846"/>
      <c r="W943" s="546"/>
      <c r="X943" s="547"/>
      <c r="Y943" s="299" t="s">
        <v>193</v>
      </c>
      <c r="Z943" s="277"/>
      <c r="AA943" s="277"/>
      <c r="AB943" s="187"/>
    </row>
    <row r="944" spans="1:34" ht="20.100000000000001" customHeight="1">
      <c r="A944" s="11"/>
      <c r="B944" s="1360"/>
      <c r="C944" s="5598"/>
      <c r="D944" s="9598" t="s">
        <v>140</v>
      </c>
      <c r="E944" s="9600"/>
      <c r="F944" s="285" t="s">
        <v>156</v>
      </c>
      <c r="G944" s="666"/>
      <c r="H944" s="684"/>
      <c r="I944" s="9582" t="s">
        <v>141</v>
      </c>
      <c r="J944" s="9583"/>
      <c r="K944" s="285" t="s">
        <v>156</v>
      </c>
      <c r="L944" s="6764" t="s">
        <v>168</v>
      </c>
      <c r="M944" s="7286"/>
      <c r="N944" s="6842" t="s">
        <v>168</v>
      </c>
      <c r="O944" s="7390"/>
      <c r="P944" s="6842" t="s">
        <v>168</v>
      </c>
      <c r="Q944" s="7247"/>
      <c r="R944" s="6670" t="s">
        <v>31</v>
      </c>
      <c r="S944" s="6532" t="s">
        <v>1882</v>
      </c>
      <c r="T944" s="2468"/>
      <c r="U944" s="4849"/>
      <c r="V944" s="5846"/>
      <c r="W944" s="546"/>
      <c r="X944" s="547"/>
      <c r="Y944" s="299" t="s">
        <v>193</v>
      </c>
      <c r="Z944" s="277"/>
      <c r="AA944" s="277"/>
      <c r="AB944" s="187"/>
    </row>
    <row r="945" spans="1:29" ht="20.100000000000001" customHeight="1">
      <c r="A945" s="11"/>
      <c r="B945" s="1360"/>
      <c r="C945" s="5598"/>
      <c r="D945" s="9598" t="s">
        <v>143</v>
      </c>
      <c r="E945" s="9600"/>
      <c r="F945" s="285" t="s">
        <v>156</v>
      </c>
      <c r="G945" s="666"/>
      <c r="H945" s="684"/>
      <c r="I945" s="9582" t="s">
        <v>144</v>
      </c>
      <c r="J945" s="9583"/>
      <c r="K945" s="285" t="s">
        <v>156</v>
      </c>
      <c r="L945" s="6764" t="s">
        <v>168</v>
      </c>
      <c r="M945" s="7286"/>
      <c r="N945" s="6842" t="s">
        <v>168</v>
      </c>
      <c r="O945" s="7391"/>
      <c r="P945" s="6842" t="s">
        <v>168</v>
      </c>
      <c r="Q945" s="7247"/>
      <c r="R945" s="6670" t="s">
        <v>31</v>
      </c>
      <c r="S945" s="6532" t="s">
        <v>1882</v>
      </c>
      <c r="T945" s="2468"/>
      <c r="U945" s="4849"/>
      <c r="V945" s="5846"/>
      <c r="W945" s="546"/>
      <c r="X945" s="547"/>
      <c r="Y945" s="299" t="s">
        <v>193</v>
      </c>
      <c r="Z945" s="277"/>
      <c r="AA945" s="277"/>
      <c r="AB945" s="187"/>
    </row>
    <row r="946" spans="1:29" ht="20.100000000000001" customHeight="1">
      <c r="A946" s="11"/>
      <c r="B946" s="1360"/>
      <c r="C946" s="5598"/>
      <c r="D946" s="9598" t="s">
        <v>146</v>
      </c>
      <c r="E946" s="9600"/>
      <c r="F946" s="285" t="s">
        <v>156</v>
      </c>
      <c r="G946" s="666"/>
      <c r="H946" s="684"/>
      <c r="I946" s="9582" t="s">
        <v>147</v>
      </c>
      <c r="J946" s="9583"/>
      <c r="K946" s="285" t="s">
        <v>156</v>
      </c>
      <c r="L946" s="6764" t="s">
        <v>168</v>
      </c>
      <c r="M946" s="7245"/>
      <c r="N946" s="6842" t="s">
        <v>168</v>
      </c>
      <c r="O946" s="7375"/>
      <c r="P946" s="6842" t="s">
        <v>168</v>
      </c>
      <c r="Q946" s="7247"/>
      <c r="R946" s="6670" t="s">
        <v>31</v>
      </c>
      <c r="S946" s="6532" t="s">
        <v>1882</v>
      </c>
      <c r="T946" s="2468"/>
      <c r="U946" s="4849"/>
      <c r="V946" s="5846"/>
      <c r="W946" s="546"/>
      <c r="X946" s="547"/>
      <c r="Y946" s="299" t="s">
        <v>193</v>
      </c>
      <c r="Z946" s="277"/>
      <c r="AA946" s="277"/>
      <c r="AB946" s="187"/>
    </row>
    <row r="947" spans="1:29" ht="20.100000000000001" customHeight="1">
      <c r="A947" s="11"/>
      <c r="B947" s="1360"/>
      <c r="C947" s="5598"/>
      <c r="D947" s="9598" t="s">
        <v>149</v>
      </c>
      <c r="E947" s="9600"/>
      <c r="F947" s="285" t="s">
        <v>156</v>
      </c>
      <c r="G947" s="666"/>
      <c r="H947" s="684"/>
      <c r="I947" s="9582" t="s">
        <v>150</v>
      </c>
      <c r="J947" s="9583"/>
      <c r="K947" s="285" t="s">
        <v>156</v>
      </c>
      <c r="L947" s="6764" t="s">
        <v>168</v>
      </c>
      <c r="M947" s="7245"/>
      <c r="N947" s="6842" t="s">
        <v>168</v>
      </c>
      <c r="O947" s="7375"/>
      <c r="P947" s="6842" t="s">
        <v>168</v>
      </c>
      <c r="Q947" s="7247"/>
      <c r="R947" s="6670" t="s">
        <v>31</v>
      </c>
      <c r="S947" s="6532" t="s">
        <v>1882</v>
      </c>
      <c r="T947" s="2468"/>
      <c r="U947" s="4849"/>
      <c r="V947" s="5846"/>
      <c r="W947" s="546"/>
      <c r="X947" s="547"/>
      <c r="Y947" s="299" t="s">
        <v>193</v>
      </c>
      <c r="Z947" s="277"/>
      <c r="AA947" s="277"/>
      <c r="AB947" s="187"/>
    </row>
    <row r="948" spans="1:29" ht="17.45" customHeight="1">
      <c r="A948" s="11"/>
      <c r="B948" s="1360"/>
      <c r="C948" s="5598"/>
      <c r="D948" s="9584" t="s">
        <v>802</v>
      </c>
      <c r="E948" s="9585"/>
      <c r="F948" s="6683" t="s">
        <v>156</v>
      </c>
      <c r="G948" s="6697"/>
      <c r="H948" s="6694"/>
      <c r="I948" s="9584" t="s">
        <v>811</v>
      </c>
      <c r="J948" s="9585"/>
      <c r="K948" s="6683" t="s">
        <v>156</v>
      </c>
      <c r="L948" s="7016" t="s">
        <v>168</v>
      </c>
      <c r="M948" s="7287"/>
      <c r="N948" s="7001" t="s">
        <v>168</v>
      </c>
      <c r="O948" s="7392"/>
      <c r="P948" s="7002" t="s">
        <v>168</v>
      </c>
      <c r="Q948" s="7029"/>
      <c r="R948" s="7017" t="s">
        <v>31</v>
      </c>
      <c r="S948" s="7018" t="s">
        <v>1882</v>
      </c>
      <c r="T948" s="6973" t="s">
        <v>816</v>
      </c>
      <c r="U948" s="4849" t="s">
        <v>819</v>
      </c>
      <c r="V948" s="5846" t="s">
        <v>758</v>
      </c>
      <c r="W948" s="547"/>
      <c r="X948" s="547"/>
      <c r="Y948" s="299" t="s">
        <v>193</v>
      </c>
      <c r="Z948" s="620"/>
      <c r="AA948" s="694"/>
      <c r="AB948" s="159" t="s">
        <v>795</v>
      </c>
    </row>
    <row r="949" spans="1:29" ht="20.100000000000001" customHeight="1">
      <c r="A949" s="11"/>
      <c r="B949" s="1360"/>
      <c r="C949" s="5598"/>
      <c r="D949" s="9598" t="s">
        <v>134</v>
      </c>
      <c r="E949" s="9600"/>
      <c r="F949" s="285" t="s">
        <v>156</v>
      </c>
      <c r="G949" s="666"/>
      <c r="H949" s="684"/>
      <c r="I949" s="9579" t="s">
        <v>135</v>
      </c>
      <c r="J949" s="9581"/>
      <c r="K949" s="285" t="s">
        <v>156</v>
      </c>
      <c r="L949" s="6764" t="s">
        <v>168</v>
      </c>
      <c r="M949" s="7285" t="s">
        <v>818</v>
      </c>
      <c r="N949" s="6842" t="s">
        <v>168</v>
      </c>
      <c r="O949" s="7285" t="s">
        <v>818</v>
      </c>
      <c r="P949" s="6837" t="s">
        <v>168</v>
      </c>
      <c r="Q949" s="7285" t="s">
        <v>818</v>
      </c>
      <c r="R949" s="6670" t="s">
        <v>31</v>
      </c>
      <c r="S949" s="6532" t="s">
        <v>1882</v>
      </c>
      <c r="T949" s="2468"/>
      <c r="U949" s="4849"/>
      <c r="V949" s="5846"/>
      <c r="W949" s="546"/>
      <c r="X949" s="547"/>
      <c r="Y949" s="299" t="s">
        <v>193</v>
      </c>
      <c r="Z949" s="277"/>
      <c r="AA949" s="277"/>
      <c r="AB949" s="187"/>
    </row>
    <row r="950" spans="1:29" ht="20.100000000000001" customHeight="1">
      <c r="A950" s="11"/>
      <c r="B950" s="1360"/>
      <c r="C950" s="5598"/>
      <c r="D950" s="9598" t="s">
        <v>137</v>
      </c>
      <c r="E950" s="9600"/>
      <c r="F950" s="285" t="s">
        <v>156</v>
      </c>
      <c r="G950" s="666"/>
      <c r="H950" s="684"/>
      <c r="I950" s="9579" t="s">
        <v>138</v>
      </c>
      <c r="J950" s="9581"/>
      <c r="K950" s="285" t="s">
        <v>156</v>
      </c>
      <c r="L950" s="6764" t="s">
        <v>168</v>
      </c>
      <c r="M950" s="7285" t="s">
        <v>818</v>
      </c>
      <c r="N950" s="6842" t="s">
        <v>168</v>
      </c>
      <c r="O950" s="7285" t="s">
        <v>818</v>
      </c>
      <c r="P950" s="6837" t="s">
        <v>168</v>
      </c>
      <c r="Q950" s="7285" t="s">
        <v>818</v>
      </c>
      <c r="R950" s="6670" t="s">
        <v>31</v>
      </c>
      <c r="S950" s="6532" t="s">
        <v>1882</v>
      </c>
      <c r="T950" s="2468"/>
      <c r="U950" s="4849"/>
      <c r="V950" s="5846"/>
      <c r="W950" s="546"/>
      <c r="X950" s="547"/>
      <c r="Y950" s="299" t="s">
        <v>193</v>
      </c>
      <c r="Z950" s="277"/>
      <c r="AA950" s="277"/>
      <c r="AB950" s="187"/>
    </row>
    <row r="951" spans="1:29" ht="20.100000000000001" customHeight="1">
      <c r="A951" s="11"/>
      <c r="B951" s="1360"/>
      <c r="C951" s="5598"/>
      <c r="D951" s="9598" t="s">
        <v>140</v>
      </c>
      <c r="E951" s="9600"/>
      <c r="F951" s="285" t="s">
        <v>156</v>
      </c>
      <c r="G951" s="666"/>
      <c r="H951" s="684"/>
      <c r="I951" s="9582" t="s">
        <v>141</v>
      </c>
      <c r="J951" s="9583"/>
      <c r="K951" s="285" t="s">
        <v>156</v>
      </c>
      <c r="L951" s="6764" t="s">
        <v>168</v>
      </c>
      <c r="M951" s="7286"/>
      <c r="N951" s="6842" t="s">
        <v>168</v>
      </c>
      <c r="O951" s="7391"/>
      <c r="P951" s="6837" t="s">
        <v>168</v>
      </c>
      <c r="Q951" s="7247"/>
      <c r="R951" s="6670" t="s">
        <v>31</v>
      </c>
      <c r="S951" s="6532" t="s">
        <v>1882</v>
      </c>
      <c r="T951" s="2468"/>
      <c r="U951" s="4849"/>
      <c r="V951" s="5846"/>
      <c r="W951" s="546"/>
      <c r="X951" s="547"/>
      <c r="Y951" s="299" t="s">
        <v>193</v>
      </c>
      <c r="Z951" s="277"/>
      <c r="AA951" s="277"/>
      <c r="AB951" s="187"/>
    </row>
    <row r="952" spans="1:29" ht="20.100000000000001" customHeight="1">
      <c r="A952" s="11"/>
      <c r="B952" s="1360"/>
      <c r="C952" s="5598"/>
      <c r="D952" s="9598" t="s">
        <v>143</v>
      </c>
      <c r="E952" s="9600"/>
      <c r="F952" s="285" t="s">
        <v>156</v>
      </c>
      <c r="G952" s="666"/>
      <c r="H952" s="684"/>
      <c r="I952" s="9582" t="s">
        <v>144</v>
      </c>
      <c r="J952" s="9583"/>
      <c r="K952" s="285" t="s">
        <v>156</v>
      </c>
      <c r="L952" s="6764" t="s">
        <v>168</v>
      </c>
      <c r="M952" s="7245"/>
      <c r="N952" s="6842" t="s">
        <v>168</v>
      </c>
      <c r="O952" s="7375"/>
      <c r="P952" s="6837" t="s">
        <v>168</v>
      </c>
      <c r="Q952" s="7247"/>
      <c r="R952" s="6670" t="s">
        <v>31</v>
      </c>
      <c r="S952" s="6532" t="s">
        <v>1882</v>
      </c>
      <c r="T952" s="2468"/>
      <c r="U952" s="4849"/>
      <c r="V952" s="5846"/>
      <c r="W952" s="546"/>
      <c r="X952" s="547"/>
      <c r="Y952" s="299" t="s">
        <v>193</v>
      </c>
      <c r="Z952" s="277"/>
      <c r="AA952" s="277"/>
      <c r="AB952" s="187"/>
    </row>
    <row r="953" spans="1:29" ht="20.100000000000001" customHeight="1">
      <c r="A953" s="11"/>
      <c r="B953" s="1360"/>
      <c r="C953" s="5598"/>
      <c r="D953" s="9598" t="s">
        <v>146</v>
      </c>
      <c r="E953" s="9600"/>
      <c r="F953" s="285" t="s">
        <v>156</v>
      </c>
      <c r="G953" s="666"/>
      <c r="H953" s="684"/>
      <c r="I953" s="9582" t="s">
        <v>147</v>
      </c>
      <c r="J953" s="9583"/>
      <c r="K953" s="285" t="s">
        <v>156</v>
      </c>
      <c r="L953" s="6764" t="s">
        <v>168</v>
      </c>
      <c r="M953" s="7245"/>
      <c r="N953" s="6842" t="s">
        <v>168</v>
      </c>
      <c r="O953" s="7375"/>
      <c r="P953" s="6837" t="s">
        <v>168</v>
      </c>
      <c r="Q953" s="7247"/>
      <c r="R953" s="6670" t="s">
        <v>31</v>
      </c>
      <c r="S953" s="6532" t="s">
        <v>1882</v>
      </c>
      <c r="T953" s="2468"/>
      <c r="U953" s="4849"/>
      <c r="V953" s="5846"/>
      <c r="W953" s="546"/>
      <c r="X953" s="547"/>
      <c r="Y953" s="299" t="s">
        <v>193</v>
      </c>
      <c r="Z953" s="277"/>
      <c r="AA953" s="277"/>
      <c r="AB953" s="187"/>
    </row>
    <row r="954" spans="1:29" ht="20.100000000000001" customHeight="1">
      <c r="A954" s="11"/>
      <c r="B954" s="1360"/>
      <c r="C954" s="5598"/>
      <c r="D954" s="9598" t="s">
        <v>149</v>
      </c>
      <c r="E954" s="9600"/>
      <c r="F954" s="285" t="s">
        <v>156</v>
      </c>
      <c r="G954" s="666"/>
      <c r="H954" s="684"/>
      <c r="I954" s="9582" t="s">
        <v>150</v>
      </c>
      <c r="J954" s="9583"/>
      <c r="K954" s="285" t="s">
        <v>156</v>
      </c>
      <c r="L954" s="6764" t="s">
        <v>168</v>
      </c>
      <c r="M954" s="7245"/>
      <c r="N954" s="6842" t="s">
        <v>168</v>
      </c>
      <c r="O954" s="7375"/>
      <c r="P954" s="6837" t="s">
        <v>168</v>
      </c>
      <c r="Q954" s="7247"/>
      <c r="R954" s="6670" t="s">
        <v>31</v>
      </c>
      <c r="S954" s="6532" t="s">
        <v>1882</v>
      </c>
      <c r="T954" s="2468"/>
      <c r="U954" s="4849"/>
      <c r="V954" s="5846"/>
      <c r="W954" s="546"/>
      <c r="X954" s="547"/>
      <c r="Y954" s="299" t="s">
        <v>193</v>
      </c>
      <c r="Z954" s="277"/>
      <c r="AA954" s="277"/>
      <c r="AB954" s="187"/>
    </row>
    <row r="955" spans="1:29" s="7571" customFormat="1" ht="18.600000000000001" customHeight="1">
      <c r="B955" s="7572"/>
      <c r="C955" s="9883" t="s">
        <v>870</v>
      </c>
      <c r="D955" s="9884"/>
      <c r="E955" s="9885"/>
      <c r="F955" s="7573" t="s">
        <v>156</v>
      </c>
      <c r="G955" s="7574"/>
      <c r="H955" s="9886" t="s">
        <v>871</v>
      </c>
      <c r="I955" s="9884"/>
      <c r="J955" s="9885"/>
      <c r="K955" s="7573" t="s">
        <v>156</v>
      </c>
      <c r="L955" s="7575"/>
      <c r="M955" s="7576"/>
      <c r="N955" s="7577"/>
      <c r="O955" s="7578"/>
      <c r="P955" s="7579"/>
      <c r="Q955" s="7533"/>
      <c r="R955" s="7580" t="s">
        <v>155</v>
      </c>
      <c r="S955" s="7533"/>
      <c r="T955" s="7537" t="s">
        <v>872</v>
      </c>
      <c r="U955" s="7581" t="s">
        <v>873</v>
      </c>
      <c r="V955" s="7582" t="s">
        <v>758</v>
      </c>
      <c r="W955" s="7583" t="s">
        <v>800</v>
      </c>
      <c r="X955" s="7584" t="s">
        <v>874</v>
      </c>
      <c r="Y955" s="7585"/>
      <c r="Z955" s="7586"/>
      <c r="AA955" s="7587" t="s">
        <v>807</v>
      </c>
      <c r="AB955" s="7588" t="s">
        <v>875</v>
      </c>
      <c r="AC955" s="7589"/>
    </row>
    <row r="956" spans="1:29" s="7571" customFormat="1" ht="19.899999999999999" customHeight="1">
      <c r="B956" s="7590"/>
      <c r="C956" s="9877" t="s">
        <v>134</v>
      </c>
      <c r="D956" s="9878"/>
      <c r="E956" s="9879"/>
      <c r="F956" s="7573" t="s">
        <v>156</v>
      </c>
      <c r="G956" s="7591"/>
      <c r="H956" s="9880" t="s">
        <v>135</v>
      </c>
      <c r="I956" s="9881"/>
      <c r="J956" s="9882"/>
      <c r="K956" s="7573" t="s">
        <v>156</v>
      </c>
      <c r="L956" s="7592" t="s">
        <v>168</v>
      </c>
      <c r="M956" s="7593"/>
      <c r="N956" s="7594" t="s">
        <v>168</v>
      </c>
      <c r="O956" s="7593"/>
      <c r="P956" s="7594" t="s">
        <v>168</v>
      </c>
      <c r="Q956" s="7595" t="s">
        <v>876</v>
      </c>
      <c r="R956" s="7580" t="s">
        <v>155</v>
      </c>
      <c r="S956" s="7558" t="s">
        <v>2052</v>
      </c>
      <c r="T956" s="7596"/>
      <c r="U956" s="7597"/>
      <c r="V956" s="7582"/>
      <c r="W956" s="7598"/>
      <c r="X956" s="7598"/>
      <c r="Y956" s="7582"/>
      <c r="Z956" s="7599"/>
      <c r="AA956" s="7586"/>
      <c r="AB956" s="7588"/>
      <c r="AC956" s="7589"/>
    </row>
    <row r="957" spans="1:29" s="7571" customFormat="1" ht="19.899999999999999" customHeight="1">
      <c r="B957" s="7590"/>
      <c r="C957" s="9877" t="s">
        <v>137</v>
      </c>
      <c r="D957" s="9878"/>
      <c r="E957" s="9879"/>
      <c r="F957" s="7573" t="s">
        <v>156</v>
      </c>
      <c r="G957" s="7584"/>
      <c r="H957" s="9880" t="s">
        <v>138</v>
      </c>
      <c r="I957" s="9881"/>
      <c r="J957" s="9882"/>
      <c r="K957" s="7573" t="s">
        <v>156</v>
      </c>
      <c r="L957" s="7592"/>
      <c r="M957" s="7593"/>
      <c r="N957" s="7594"/>
      <c r="O957" s="7600"/>
      <c r="P957" s="7594"/>
      <c r="Q957" s="7601"/>
      <c r="R957" s="7580" t="s">
        <v>155</v>
      </c>
      <c r="S957" s="7576"/>
      <c r="T957" s="7596"/>
      <c r="U957" s="7597"/>
      <c r="V957" s="7582"/>
      <c r="W957" s="7598"/>
      <c r="X957" s="7598"/>
      <c r="Y957" s="7582"/>
      <c r="Z957" s="7599"/>
      <c r="AA957" s="7586"/>
      <c r="AB957" s="7588"/>
      <c r="AC957" s="7589"/>
    </row>
    <row r="958" spans="1:29" s="7571" customFormat="1" ht="19.899999999999999" customHeight="1">
      <c r="B958" s="7590"/>
      <c r="C958" s="9877" t="s">
        <v>140</v>
      </c>
      <c r="D958" s="9878"/>
      <c r="E958" s="9879"/>
      <c r="F958" s="7573" t="s">
        <v>156</v>
      </c>
      <c r="G958" s="7584"/>
      <c r="H958" s="9880" t="s">
        <v>141</v>
      </c>
      <c r="I958" s="9881"/>
      <c r="J958" s="9882"/>
      <c r="K958" s="7573" t="s">
        <v>156</v>
      </c>
      <c r="L958" s="7592"/>
      <c r="M958" s="7593"/>
      <c r="N958" s="7594"/>
      <c r="O958" s="7600"/>
      <c r="P958" s="7594"/>
      <c r="Q958" s="7601"/>
      <c r="R958" s="7580" t="s">
        <v>155</v>
      </c>
      <c r="S958" s="7576"/>
      <c r="T958" s="7596"/>
      <c r="U958" s="7597"/>
      <c r="V958" s="7582"/>
      <c r="W958" s="7598"/>
      <c r="X958" s="7598"/>
      <c r="Y958" s="7582"/>
      <c r="Z958" s="7599"/>
      <c r="AA958" s="7586"/>
      <c r="AB958" s="7588"/>
      <c r="AC958" s="7589"/>
    </row>
    <row r="959" spans="1:29" s="7571" customFormat="1" ht="19.899999999999999" customHeight="1">
      <c r="B959" s="7590"/>
      <c r="C959" s="9877" t="s">
        <v>143</v>
      </c>
      <c r="D959" s="9878"/>
      <c r="E959" s="9879"/>
      <c r="F959" s="7573" t="s">
        <v>156</v>
      </c>
      <c r="G959" s="7584"/>
      <c r="H959" s="9880" t="s">
        <v>144</v>
      </c>
      <c r="I959" s="9881"/>
      <c r="J959" s="9882"/>
      <c r="K959" s="7573" t="s">
        <v>156</v>
      </c>
      <c r="L959" s="7592"/>
      <c r="M959" s="7593"/>
      <c r="N959" s="7594"/>
      <c r="O959" s="7600"/>
      <c r="P959" s="7594"/>
      <c r="Q959" s="7601"/>
      <c r="R959" s="7580" t="s">
        <v>155</v>
      </c>
      <c r="S959" s="7576"/>
      <c r="T959" s="7596"/>
      <c r="U959" s="7597"/>
      <c r="V959" s="7582"/>
      <c r="W959" s="7598"/>
      <c r="X959" s="7598"/>
      <c r="Y959" s="7582"/>
      <c r="Z959" s="7599"/>
      <c r="AA959" s="7586"/>
      <c r="AB959" s="7588"/>
      <c r="AC959" s="7589"/>
    </row>
    <row r="960" spans="1:29" s="7571" customFormat="1" ht="19.899999999999999" customHeight="1">
      <c r="B960" s="7590"/>
      <c r="C960" s="9877" t="s">
        <v>146</v>
      </c>
      <c r="D960" s="9878"/>
      <c r="E960" s="9879"/>
      <c r="F960" s="7573" t="s">
        <v>156</v>
      </c>
      <c r="G960" s="7584"/>
      <c r="H960" s="9880" t="s">
        <v>147</v>
      </c>
      <c r="I960" s="9881"/>
      <c r="J960" s="9882"/>
      <c r="K960" s="7573" t="s">
        <v>156</v>
      </c>
      <c r="L960" s="7592" t="s">
        <v>168</v>
      </c>
      <c r="M960" s="7593" t="s">
        <v>641</v>
      </c>
      <c r="N960" s="7594" t="s">
        <v>168</v>
      </c>
      <c r="O960" s="7600" t="s">
        <v>641</v>
      </c>
      <c r="P960" s="7594" t="s">
        <v>168</v>
      </c>
      <c r="Q960" s="7601" t="s">
        <v>641</v>
      </c>
      <c r="R960" s="7580" t="s">
        <v>2053</v>
      </c>
      <c r="S960" s="7576"/>
      <c r="T960" s="7596"/>
      <c r="U960" s="7597"/>
      <c r="V960" s="7582"/>
      <c r="W960" s="7598"/>
      <c r="X960" s="7598"/>
      <c r="Y960" s="7582"/>
      <c r="Z960" s="7599"/>
      <c r="AA960" s="7586"/>
      <c r="AB960" s="7588"/>
      <c r="AC960" s="7589"/>
    </row>
    <row r="961" spans="1:29" s="7571" customFormat="1" ht="19.899999999999999" customHeight="1">
      <c r="B961" s="7590"/>
      <c r="C961" s="9877" t="s">
        <v>149</v>
      </c>
      <c r="D961" s="9878"/>
      <c r="E961" s="9879"/>
      <c r="F961" s="7573" t="s">
        <v>156</v>
      </c>
      <c r="G961" s="7584"/>
      <c r="H961" s="9880" t="s">
        <v>150</v>
      </c>
      <c r="I961" s="9881"/>
      <c r="J961" s="9882"/>
      <c r="K961" s="7573" t="s">
        <v>156</v>
      </c>
      <c r="L961" s="7592" t="s">
        <v>168</v>
      </c>
      <c r="M961" s="7593" t="s">
        <v>641</v>
      </c>
      <c r="N961" s="7594" t="s">
        <v>168</v>
      </c>
      <c r="O961" s="7600" t="s">
        <v>641</v>
      </c>
      <c r="P961" s="7594" t="s">
        <v>168</v>
      </c>
      <c r="Q961" s="7601" t="s">
        <v>641</v>
      </c>
      <c r="R961" s="7602"/>
      <c r="S961" s="7576"/>
      <c r="T961" s="7596"/>
      <c r="U961" s="7597"/>
      <c r="V961" s="7582"/>
      <c r="W961" s="7598"/>
      <c r="X961" s="7598"/>
      <c r="Y961" s="7582"/>
      <c r="Z961" s="7599"/>
      <c r="AA961" s="7586"/>
      <c r="AB961" s="7588"/>
      <c r="AC961" s="7589"/>
    </row>
    <row r="962" spans="1:29" ht="20.100000000000001" customHeight="1">
      <c r="A962" s="11"/>
      <c r="B962" s="1662"/>
      <c r="C962" s="9887" t="s">
        <v>1883</v>
      </c>
      <c r="D962" s="9888"/>
      <c r="E962" s="9888"/>
      <c r="F962" s="9889"/>
      <c r="G962" s="7605"/>
      <c r="H962" s="9890" t="s">
        <v>821</v>
      </c>
      <c r="I962" s="9891"/>
      <c r="J962" s="9891"/>
      <c r="K962" s="9892"/>
      <c r="L962" s="7607"/>
      <c r="M962" s="7608"/>
      <c r="N962" s="7609"/>
      <c r="O962" s="7608"/>
      <c r="P962" s="7609"/>
      <c r="Q962" s="7509"/>
      <c r="R962" s="7508" t="s">
        <v>36</v>
      </c>
      <c r="S962" s="7509"/>
      <c r="T962" s="6979"/>
      <c r="U962" s="4849"/>
      <c r="V962" s="5846" t="s">
        <v>758</v>
      </c>
      <c r="W962" s="547"/>
      <c r="X962" s="547"/>
      <c r="Y962" s="665"/>
      <c r="Z962" s="620" t="s">
        <v>822</v>
      </c>
      <c r="AA962" s="620" t="s">
        <v>740</v>
      </c>
      <c r="AB962" s="159"/>
    </row>
    <row r="963" spans="1:29" ht="20.100000000000001" customHeight="1">
      <c r="A963" s="11"/>
      <c r="B963" s="1360"/>
      <c r="C963" s="5598"/>
      <c r="D963" s="9584" t="s">
        <v>823</v>
      </c>
      <c r="E963" s="9585"/>
      <c r="F963" s="6683" t="s">
        <v>732</v>
      </c>
      <c r="G963" s="7019"/>
      <c r="H963" s="7020"/>
      <c r="I963" s="9584" t="s">
        <v>824</v>
      </c>
      <c r="J963" s="9585"/>
      <c r="K963" s="6683" t="s">
        <v>734</v>
      </c>
      <c r="L963" s="7136">
        <f>IF(COUNTBLANK(L964:L969)&gt;0,"미취합법인有",SUM(L964:L969))</f>
        <v>4546</v>
      </c>
      <c r="M963" s="7279"/>
      <c r="N963" s="7115">
        <f>IF(COUNTBLANK(N964:N969)&gt;0,"미취합법인有",SUM(N964:N969))</f>
        <v>6620</v>
      </c>
      <c r="O963" s="7385"/>
      <c r="P963" s="7121">
        <f>IF(COUNTBLANK(P964:P969)&gt;0,"미취합법인有",SUM(P964:P969))</f>
        <v>6268</v>
      </c>
      <c r="Q963" s="7029"/>
      <c r="R963" s="7010" t="s">
        <v>36</v>
      </c>
      <c r="S963" s="7007"/>
      <c r="T963" s="7008" t="s">
        <v>825</v>
      </c>
      <c r="U963" s="276" t="s">
        <v>826</v>
      </c>
      <c r="V963" s="99" t="s">
        <v>758</v>
      </c>
      <c r="W963" s="696" t="s">
        <v>738</v>
      </c>
      <c r="X963" s="547"/>
      <c r="Y963" s="665"/>
      <c r="Z963" s="620" t="s">
        <v>822</v>
      </c>
      <c r="AA963" s="620" t="s">
        <v>740</v>
      </c>
      <c r="AB963" s="159"/>
    </row>
    <row r="964" spans="1:29" ht="19.149999999999999" customHeight="1">
      <c r="A964" s="11"/>
      <c r="B964" s="1360"/>
      <c r="C964" s="5598"/>
      <c r="D964" s="9598" t="s">
        <v>134</v>
      </c>
      <c r="E964" s="9600"/>
      <c r="F964" s="492" t="s">
        <v>732</v>
      </c>
      <c r="G964" s="666"/>
      <c r="H964" s="684"/>
      <c r="I964" s="9579" t="s">
        <v>135</v>
      </c>
      <c r="J964" s="9581"/>
      <c r="K964" s="285" t="s">
        <v>734</v>
      </c>
      <c r="L964" s="7113">
        <v>2437</v>
      </c>
      <c r="M964" s="7280" t="s">
        <v>746</v>
      </c>
      <c r="N964" s="7117">
        <v>3385</v>
      </c>
      <c r="O964" s="7386" t="s">
        <v>747</v>
      </c>
      <c r="P964" s="7501">
        <v>3115</v>
      </c>
      <c r="Q964" s="7240" t="s">
        <v>746</v>
      </c>
      <c r="R964" s="6616" t="s">
        <v>36</v>
      </c>
      <c r="S964" s="6538" t="str">
        <f>"2023년 연령별 합계 "&amp;ROW($C$883)&amp;"행(총 임직원)과 불일치"</f>
        <v>2023년 연령별 합계 883행(총 임직원)과 불일치</v>
      </c>
      <c r="T964" s="2468"/>
      <c r="U964" s="544"/>
      <c r="V964" s="545"/>
      <c r="W964" s="546"/>
      <c r="X964" s="547"/>
      <c r="Y964" s="548"/>
      <c r="Z964" s="277"/>
      <c r="AA964" s="277"/>
      <c r="AB964" s="187"/>
    </row>
    <row r="965" spans="1:29" ht="20.100000000000001" customHeight="1">
      <c r="A965" s="11"/>
      <c r="B965" s="1360"/>
      <c r="C965" s="5598"/>
      <c r="D965" s="9598" t="s">
        <v>137</v>
      </c>
      <c r="E965" s="9600"/>
      <c r="F965" s="492" t="s">
        <v>732</v>
      </c>
      <c r="G965" s="666"/>
      <c r="H965" s="684"/>
      <c r="I965" s="9579" t="s">
        <v>138</v>
      </c>
      <c r="J965" s="9581"/>
      <c r="K965" s="285" t="s">
        <v>734</v>
      </c>
      <c r="L965" s="7113">
        <v>29</v>
      </c>
      <c r="M965" s="7280"/>
      <c r="N965" s="7117">
        <v>50</v>
      </c>
      <c r="O965" s="7386"/>
      <c r="P965" s="7123">
        <v>64</v>
      </c>
      <c r="Q965" s="7372"/>
      <c r="R965" s="6669" t="s">
        <v>36</v>
      </c>
      <c r="S965" s="6586"/>
      <c r="T965" s="2468"/>
      <c r="U965" s="544"/>
      <c r="V965" s="545"/>
      <c r="W965" s="546"/>
      <c r="X965" s="547"/>
      <c r="Y965" s="548"/>
      <c r="Z965" s="277"/>
      <c r="AA965" s="277"/>
      <c r="AB965" s="187"/>
    </row>
    <row r="966" spans="1:29" ht="20.100000000000001" customHeight="1">
      <c r="A966" s="11"/>
      <c r="B966" s="1360"/>
      <c r="C966" s="5598"/>
      <c r="D966" s="9598" t="s">
        <v>140</v>
      </c>
      <c r="E966" s="9600"/>
      <c r="F966" s="492" t="s">
        <v>732</v>
      </c>
      <c r="G966" s="666"/>
      <c r="H966" s="684"/>
      <c r="I966" s="9582" t="s">
        <v>141</v>
      </c>
      <c r="J966" s="9583"/>
      <c r="K966" s="285" t="s">
        <v>734</v>
      </c>
      <c r="L966" s="7113">
        <v>272</v>
      </c>
      <c r="M966" s="7280" t="s">
        <v>748</v>
      </c>
      <c r="N966" s="7117">
        <v>209</v>
      </c>
      <c r="O966" s="7386" t="s">
        <v>748</v>
      </c>
      <c r="P966" s="7123">
        <v>122</v>
      </c>
      <c r="Q966" s="7372" t="s">
        <v>748</v>
      </c>
      <c r="R966" s="6669" t="s">
        <v>36</v>
      </c>
      <c r="S966" s="6586"/>
      <c r="T966" s="2468"/>
      <c r="U966" s="544"/>
      <c r="V966" s="545"/>
      <c r="W966" s="546"/>
      <c r="X966" s="547"/>
      <c r="Y966" s="548"/>
      <c r="Z966" s="277"/>
      <c r="AA966" s="277"/>
      <c r="AB966" s="187"/>
    </row>
    <row r="967" spans="1:29" ht="20.100000000000001" customHeight="1">
      <c r="A967" s="11"/>
      <c r="B967" s="1360"/>
      <c r="C967" s="5598"/>
      <c r="D967" s="9598" t="s">
        <v>143</v>
      </c>
      <c r="E967" s="9600"/>
      <c r="F967" s="492" t="s">
        <v>732</v>
      </c>
      <c r="G967" s="666"/>
      <c r="H967" s="684"/>
      <c r="I967" s="9582" t="s">
        <v>144</v>
      </c>
      <c r="J967" s="9583"/>
      <c r="K967" s="285" t="s">
        <v>734</v>
      </c>
      <c r="L967" s="7172">
        <v>809</v>
      </c>
      <c r="M967" s="7280" t="s">
        <v>801</v>
      </c>
      <c r="N967" s="7178">
        <v>2118</v>
      </c>
      <c r="O967" s="7386" t="s">
        <v>801</v>
      </c>
      <c r="P967" s="7500">
        <v>2144</v>
      </c>
      <c r="Q967" s="7372"/>
      <c r="R967" s="6669" t="s">
        <v>36</v>
      </c>
      <c r="S967" s="6538" t="str">
        <f>"연도별 연령 합계 "&amp;ROW($C$886)&amp;"행(총 임직원)과 불일치"</f>
        <v>연도별 연령 합계 886행(총 임직원)과 불일치</v>
      </c>
      <c r="T967" s="2468"/>
      <c r="U967" s="544"/>
      <c r="V967" s="545"/>
      <c r="W967" s="546"/>
      <c r="X967" s="547"/>
      <c r="Y967" s="548"/>
      <c r="Z967" s="277"/>
      <c r="AA967" s="277"/>
      <c r="AB967" s="187"/>
    </row>
    <row r="968" spans="1:29" ht="20.100000000000001" customHeight="1">
      <c r="A968" s="11"/>
      <c r="B968" s="1360"/>
      <c r="C968" s="5598"/>
      <c r="D968" s="9598" t="s">
        <v>146</v>
      </c>
      <c r="E968" s="9600"/>
      <c r="F968" s="492" t="s">
        <v>732</v>
      </c>
      <c r="G968" s="666"/>
      <c r="H968" s="684"/>
      <c r="I968" s="9582" t="s">
        <v>147</v>
      </c>
      <c r="J968" s="9583"/>
      <c r="K968" s="285" t="s">
        <v>734</v>
      </c>
      <c r="L968" s="7113">
        <v>116</v>
      </c>
      <c r="M968" s="7280" t="s">
        <v>751</v>
      </c>
      <c r="N968" s="7117">
        <v>114</v>
      </c>
      <c r="O968" s="7386" t="s">
        <v>751</v>
      </c>
      <c r="P968" s="7123">
        <v>139</v>
      </c>
      <c r="Q968" s="7372"/>
      <c r="R968" s="6669" t="s">
        <v>36</v>
      </c>
      <c r="S968" s="6586"/>
      <c r="T968" s="2468"/>
      <c r="U968" s="544"/>
      <c r="V968" s="545"/>
      <c r="W968" s="546"/>
      <c r="X968" s="547"/>
      <c r="Y968" s="548"/>
      <c r="Z968" s="277"/>
      <c r="AA968" s="277"/>
      <c r="AB968" s="187"/>
    </row>
    <row r="969" spans="1:29" ht="20.100000000000001" customHeight="1">
      <c r="A969" s="11"/>
      <c r="B969" s="1360"/>
      <c r="C969" s="5598"/>
      <c r="D969" s="9598" t="s">
        <v>149</v>
      </c>
      <c r="E969" s="9600"/>
      <c r="F969" s="492" t="s">
        <v>732</v>
      </c>
      <c r="G969" s="666"/>
      <c r="H969" s="684"/>
      <c r="I969" s="9582" t="s">
        <v>150</v>
      </c>
      <c r="J969" s="9583"/>
      <c r="K969" s="285" t="s">
        <v>734</v>
      </c>
      <c r="L969" s="7113">
        <v>883</v>
      </c>
      <c r="M969" s="7280"/>
      <c r="N969" s="7117">
        <v>744</v>
      </c>
      <c r="O969" s="7386"/>
      <c r="P969" s="7123">
        <v>684</v>
      </c>
      <c r="Q969" s="7372"/>
      <c r="R969" s="6669" t="s">
        <v>36</v>
      </c>
      <c r="S969" s="6586"/>
      <c r="T969" s="2468"/>
      <c r="U969" s="544"/>
      <c r="V969" s="545"/>
      <c r="W969" s="546"/>
      <c r="X969" s="547"/>
      <c r="Y969" s="548"/>
      <c r="Z969" s="277"/>
      <c r="AA969" s="277"/>
      <c r="AB969" s="187"/>
    </row>
    <row r="970" spans="1:29" ht="20.100000000000001" customHeight="1">
      <c r="A970" s="11"/>
      <c r="B970" s="1360"/>
      <c r="C970" s="5598"/>
      <c r="D970" s="9584" t="s">
        <v>827</v>
      </c>
      <c r="E970" s="9585"/>
      <c r="F970" s="6683" t="s">
        <v>732</v>
      </c>
      <c r="G970" s="7019"/>
      <c r="H970" s="7020"/>
      <c r="I970" s="9584" t="s">
        <v>828</v>
      </c>
      <c r="J970" s="9585"/>
      <c r="K970" s="6683" t="s">
        <v>734</v>
      </c>
      <c r="L970" s="7111">
        <f>IF(COUNTBLANK(L971:L976)&gt;0,"미취합법인有",SUM(L971:L976))</f>
        <v>2885</v>
      </c>
      <c r="M970" s="7279"/>
      <c r="N970" s="7115">
        <f>IF(COUNTBLANK(N971:N976)&gt;0,"미취합법인有",SUM(N971:N976))</f>
        <v>2866</v>
      </c>
      <c r="O970" s="7385"/>
      <c r="P970" s="7121">
        <f>IF(COUNTBLANK(P971:P976)&gt;0,"미취합법인有",SUM(P971:P976))</f>
        <v>3241</v>
      </c>
      <c r="Q970" s="7029"/>
      <c r="R970" s="7010" t="s">
        <v>36</v>
      </c>
      <c r="S970" s="7007"/>
      <c r="T970" s="7008" t="s">
        <v>825</v>
      </c>
      <c r="U970" s="276" t="s">
        <v>829</v>
      </c>
      <c r="V970" s="99" t="s">
        <v>758</v>
      </c>
      <c r="W970" s="547" t="s">
        <v>738</v>
      </c>
      <c r="X970" s="547"/>
      <c r="Y970" s="665"/>
      <c r="Z970" s="620" t="s">
        <v>822</v>
      </c>
      <c r="AA970" s="620" t="s">
        <v>740</v>
      </c>
      <c r="AB970" s="159"/>
    </row>
    <row r="971" spans="1:29" ht="20.100000000000001" customHeight="1">
      <c r="A971" s="11"/>
      <c r="B971" s="1360"/>
      <c r="C971" s="5598"/>
      <c r="D971" s="9598" t="s">
        <v>134</v>
      </c>
      <c r="E971" s="9600"/>
      <c r="F971" s="492" t="s">
        <v>732</v>
      </c>
      <c r="G971" s="666"/>
      <c r="H971" s="684"/>
      <c r="I971" s="9579" t="s">
        <v>135</v>
      </c>
      <c r="J971" s="9581"/>
      <c r="K971" s="285" t="s">
        <v>734</v>
      </c>
      <c r="L971" s="7113">
        <v>1027</v>
      </c>
      <c r="M971" s="7280" t="s">
        <v>746</v>
      </c>
      <c r="N971" s="7117">
        <v>1020</v>
      </c>
      <c r="O971" s="7386" t="s">
        <v>747</v>
      </c>
      <c r="P971" s="7501">
        <v>1491</v>
      </c>
      <c r="Q971" s="7372" t="s">
        <v>746</v>
      </c>
      <c r="R971" s="6669" t="s">
        <v>36</v>
      </c>
      <c r="S971" s="6538" t="str">
        <f>"2023년 연령별 합계 "&amp;ROW($C$883)&amp;"행(총 임직원)과 불일치"</f>
        <v>2023년 연령별 합계 883행(총 임직원)과 불일치</v>
      </c>
      <c r="T971" s="2468"/>
      <c r="U971" s="544"/>
      <c r="V971" s="545"/>
      <c r="W971" s="546"/>
      <c r="X971" s="547"/>
      <c r="Y971" s="548"/>
      <c r="Z971" s="277"/>
      <c r="AA971" s="277"/>
      <c r="AB971" s="187"/>
    </row>
    <row r="972" spans="1:29" ht="20.100000000000001" customHeight="1">
      <c r="A972" s="11"/>
      <c r="B972" s="1360"/>
      <c r="C972" s="5598"/>
      <c r="D972" s="9598" t="s">
        <v>137</v>
      </c>
      <c r="E972" s="9600"/>
      <c r="F972" s="492" t="s">
        <v>732</v>
      </c>
      <c r="G972" s="666"/>
      <c r="H972" s="684"/>
      <c r="I972" s="9579" t="s">
        <v>138</v>
      </c>
      <c r="J972" s="9581"/>
      <c r="K972" s="285" t="s">
        <v>734</v>
      </c>
      <c r="L972" s="7113">
        <v>148</v>
      </c>
      <c r="M972" s="7280"/>
      <c r="N972" s="7117">
        <v>173</v>
      </c>
      <c r="O972" s="7386"/>
      <c r="P972" s="7123">
        <v>174</v>
      </c>
      <c r="Q972" s="7372"/>
      <c r="R972" s="6669" t="s">
        <v>36</v>
      </c>
      <c r="S972" s="6586"/>
      <c r="T972" s="2468"/>
      <c r="U972" s="544"/>
      <c r="V972" s="545"/>
      <c r="W972" s="546"/>
      <c r="X972" s="547"/>
      <c r="Y972" s="548"/>
      <c r="Z972" s="277"/>
      <c r="AA972" s="277"/>
      <c r="AB972" s="187"/>
    </row>
    <row r="973" spans="1:29" ht="20.100000000000001" customHeight="1">
      <c r="A973" s="11"/>
      <c r="B973" s="1360"/>
      <c r="C973" s="5598"/>
      <c r="D973" s="9598" t="s">
        <v>140</v>
      </c>
      <c r="E973" s="9600"/>
      <c r="F973" s="492" t="s">
        <v>732</v>
      </c>
      <c r="G973" s="666"/>
      <c r="H973" s="684"/>
      <c r="I973" s="9582" t="s">
        <v>141</v>
      </c>
      <c r="J973" s="9583"/>
      <c r="K973" s="285" t="s">
        <v>734</v>
      </c>
      <c r="L973" s="7113">
        <v>778</v>
      </c>
      <c r="M973" s="7280" t="s">
        <v>748</v>
      </c>
      <c r="N973" s="7117">
        <v>694</v>
      </c>
      <c r="O973" s="7386" t="s">
        <v>748</v>
      </c>
      <c r="P973" s="7123">
        <v>623</v>
      </c>
      <c r="Q973" s="7372" t="s">
        <v>748</v>
      </c>
      <c r="R973" s="6669" t="s">
        <v>36</v>
      </c>
      <c r="S973" s="6586"/>
      <c r="T973" s="2468"/>
      <c r="U973" s="544"/>
      <c r="V973" s="545"/>
      <c r="W973" s="546"/>
      <c r="X973" s="547"/>
      <c r="Y973" s="548"/>
      <c r="Z973" s="277"/>
      <c r="AA973" s="277"/>
      <c r="AB973" s="187"/>
    </row>
    <row r="974" spans="1:29" ht="20.100000000000001" customHeight="1">
      <c r="A974" s="11"/>
      <c r="B974" s="1360"/>
      <c r="C974" s="5598"/>
      <c r="D974" s="9598" t="s">
        <v>143</v>
      </c>
      <c r="E974" s="9600"/>
      <c r="F974" s="492" t="s">
        <v>732</v>
      </c>
      <c r="G974" s="666"/>
      <c r="H974" s="684"/>
      <c r="I974" s="9582" t="s">
        <v>144</v>
      </c>
      <c r="J974" s="9583"/>
      <c r="K974" s="285" t="s">
        <v>734</v>
      </c>
      <c r="L974" s="7172">
        <v>294</v>
      </c>
      <c r="M974" s="7280" t="s">
        <v>801</v>
      </c>
      <c r="N974" s="7178">
        <v>327</v>
      </c>
      <c r="O974" s="7386" t="s">
        <v>801</v>
      </c>
      <c r="P974" s="7500">
        <v>333</v>
      </c>
      <c r="Q974" s="7372"/>
      <c r="R974" s="6669" t="s">
        <v>36</v>
      </c>
      <c r="S974" s="6538" t="str">
        <f>"연도별 연령 합계 "&amp;ROW($C$886)&amp;"행(총 임직원)과 불일치"</f>
        <v>연도별 연령 합계 886행(총 임직원)과 불일치</v>
      </c>
      <c r="T974" s="2468"/>
      <c r="U974" s="544"/>
      <c r="V974" s="545"/>
      <c r="W974" s="546"/>
      <c r="X974" s="547"/>
      <c r="Y974" s="548"/>
      <c r="Z974" s="277"/>
      <c r="AA974" s="277"/>
      <c r="AB974" s="187"/>
    </row>
    <row r="975" spans="1:29" ht="20.100000000000001" customHeight="1">
      <c r="A975" s="11"/>
      <c r="B975" s="1360"/>
      <c r="C975" s="5598"/>
      <c r="D975" s="9598" t="s">
        <v>146</v>
      </c>
      <c r="E975" s="9600"/>
      <c r="F975" s="492" t="s">
        <v>732</v>
      </c>
      <c r="G975" s="666"/>
      <c r="H975" s="684"/>
      <c r="I975" s="9582" t="s">
        <v>147</v>
      </c>
      <c r="J975" s="9583"/>
      <c r="K975" s="285" t="s">
        <v>734</v>
      </c>
      <c r="L975" s="7113">
        <v>257</v>
      </c>
      <c r="M975" s="7288" t="s">
        <v>751</v>
      </c>
      <c r="N975" s="7117">
        <v>270</v>
      </c>
      <c r="O975" s="7393" t="s">
        <v>751</v>
      </c>
      <c r="P975" s="7138">
        <v>267</v>
      </c>
      <c r="Q975" s="7372"/>
      <c r="R975" s="6669" t="s">
        <v>36</v>
      </c>
      <c r="S975" s="6586"/>
      <c r="T975" s="2468"/>
      <c r="U975" s="544"/>
      <c r="V975" s="545"/>
      <c r="W975" s="546"/>
      <c r="X975" s="547"/>
      <c r="Y975" s="548"/>
      <c r="Z975" s="277"/>
      <c r="AA975" s="277"/>
      <c r="AB975" s="187"/>
    </row>
    <row r="976" spans="1:29" ht="20.100000000000001" customHeight="1">
      <c r="A976" s="11"/>
      <c r="B976" s="1360"/>
      <c r="C976" s="5598"/>
      <c r="D976" s="9598" t="s">
        <v>149</v>
      </c>
      <c r="E976" s="9600"/>
      <c r="F976" s="492" t="s">
        <v>732</v>
      </c>
      <c r="G976" s="666"/>
      <c r="H976" s="684"/>
      <c r="I976" s="9582" t="s">
        <v>150</v>
      </c>
      <c r="J976" s="9583"/>
      <c r="K976" s="285" t="s">
        <v>734</v>
      </c>
      <c r="L976" s="7113">
        <v>381</v>
      </c>
      <c r="M976" s="7288"/>
      <c r="N976" s="7117">
        <v>382</v>
      </c>
      <c r="O976" s="7393"/>
      <c r="P976" s="7138">
        <v>353</v>
      </c>
      <c r="Q976" s="7372"/>
      <c r="R976" s="6669" t="s">
        <v>36</v>
      </c>
      <c r="S976" s="6586"/>
      <c r="T976" s="2468"/>
      <c r="U976" s="544"/>
      <c r="V976" s="545"/>
      <c r="W976" s="546"/>
      <c r="X976" s="547"/>
      <c r="Y976" s="548"/>
      <c r="Z976" s="277"/>
      <c r="AA976" s="277"/>
      <c r="AB976" s="187"/>
    </row>
    <row r="977" spans="1:28" ht="20.100000000000001" customHeight="1">
      <c r="A977" s="11"/>
      <c r="B977" s="1360"/>
      <c r="C977" s="5619"/>
      <c r="D977" s="9584" t="s">
        <v>830</v>
      </c>
      <c r="E977" s="9585"/>
      <c r="F977" s="6683" t="s">
        <v>732</v>
      </c>
      <c r="G977" s="7019"/>
      <c r="H977" s="7020"/>
      <c r="I977" s="9584" t="s">
        <v>831</v>
      </c>
      <c r="J977" s="9585"/>
      <c r="K977" s="6683" t="s">
        <v>734</v>
      </c>
      <c r="L977" s="7111">
        <f>IF(COUNTBLANK(L978:L983)&gt;0,"미취합법인有",SUM(L978:L983))</f>
        <v>173</v>
      </c>
      <c r="M977" s="7279"/>
      <c r="N977" s="7115">
        <f>IF(COUNTBLANK(N978:N983)&gt;0,"미취합법인有",SUM(N978:N983))</f>
        <v>139</v>
      </c>
      <c r="O977" s="7293"/>
      <c r="P977" s="7121">
        <f>IF(COUNTBLANK(P978:P983)&gt;0,"미취합법인有",SUM(P978:P983))</f>
        <v>123</v>
      </c>
      <c r="Q977" s="7029"/>
      <c r="R977" s="7010" t="s">
        <v>36</v>
      </c>
      <c r="S977" s="7007"/>
      <c r="T977" s="7008" t="s">
        <v>825</v>
      </c>
      <c r="U977" s="276" t="s">
        <v>832</v>
      </c>
      <c r="V977" s="99" t="s">
        <v>758</v>
      </c>
      <c r="W977" s="547" t="s">
        <v>738</v>
      </c>
      <c r="X977" s="547"/>
      <c r="Y977" s="665"/>
      <c r="Z977" s="620" t="s">
        <v>822</v>
      </c>
      <c r="AA977" s="620" t="s">
        <v>740</v>
      </c>
      <c r="AB977" s="159"/>
    </row>
    <row r="978" spans="1:28" ht="20.100000000000001" customHeight="1">
      <c r="A978" s="11"/>
      <c r="B978" s="1360"/>
      <c r="C978" s="5598"/>
      <c r="D978" s="9598" t="s">
        <v>134</v>
      </c>
      <c r="E978" s="9600"/>
      <c r="F978" s="492" t="s">
        <v>732</v>
      </c>
      <c r="G978" s="666"/>
      <c r="H978" s="684"/>
      <c r="I978" s="9579" t="s">
        <v>135</v>
      </c>
      <c r="J978" s="9581"/>
      <c r="K978" s="285" t="s">
        <v>734</v>
      </c>
      <c r="L978" s="7113">
        <v>137</v>
      </c>
      <c r="M978" s="7288" t="s">
        <v>746</v>
      </c>
      <c r="N978" s="7117">
        <v>97</v>
      </c>
      <c r="O978" s="7393" t="s">
        <v>747</v>
      </c>
      <c r="P978" s="7610">
        <v>78</v>
      </c>
      <c r="Q978" s="7240" t="s">
        <v>746</v>
      </c>
      <c r="R978" s="6616" t="s">
        <v>36</v>
      </c>
      <c r="S978" s="6538" t="str">
        <f>"2023년 연령별 합계 "&amp;ROW($C$883)&amp;"행(총 임직원)과 불일치"</f>
        <v>2023년 연령별 합계 883행(총 임직원)과 불일치</v>
      </c>
      <c r="T978" s="2468"/>
      <c r="U978" s="544"/>
      <c r="V978" s="545"/>
      <c r="W978" s="546"/>
      <c r="X978" s="547"/>
      <c r="Y978" s="548"/>
      <c r="Z978" s="277"/>
      <c r="AA978" s="277"/>
      <c r="AB978" s="187"/>
    </row>
    <row r="979" spans="1:28" ht="20.100000000000001" customHeight="1">
      <c r="A979" s="11"/>
      <c r="B979" s="1360"/>
      <c r="C979" s="5598"/>
      <c r="D979" s="9598" t="s">
        <v>137</v>
      </c>
      <c r="E979" s="9600"/>
      <c r="F979" s="492" t="s">
        <v>732</v>
      </c>
      <c r="G979" s="666"/>
      <c r="H979" s="684"/>
      <c r="I979" s="9579" t="s">
        <v>138</v>
      </c>
      <c r="J979" s="9581"/>
      <c r="K979" s="285" t="s">
        <v>734</v>
      </c>
      <c r="L979" s="7113">
        <v>6</v>
      </c>
      <c r="M979" s="7288"/>
      <c r="N979" s="7117">
        <v>8</v>
      </c>
      <c r="O979" s="7393"/>
      <c r="P979" s="7138">
        <v>11</v>
      </c>
      <c r="Q979" s="7240"/>
      <c r="R979" s="6616" t="s">
        <v>36</v>
      </c>
      <c r="S979" s="6538"/>
      <c r="T979" s="2468"/>
      <c r="U979" s="544"/>
      <c r="V979" s="545"/>
      <c r="W979" s="546"/>
      <c r="X979" s="547"/>
      <c r="Y979" s="548"/>
      <c r="Z979" s="277"/>
      <c r="AA979" s="277"/>
      <c r="AB979" s="187"/>
    </row>
    <row r="980" spans="1:28" ht="20.100000000000001" customHeight="1">
      <c r="A980" s="11"/>
      <c r="B980" s="1360"/>
      <c r="C980" s="5598"/>
      <c r="D980" s="9598" t="s">
        <v>140</v>
      </c>
      <c r="E980" s="9600"/>
      <c r="F980" s="492" t="s">
        <v>732</v>
      </c>
      <c r="G980" s="666"/>
      <c r="H980" s="684"/>
      <c r="I980" s="9582" t="s">
        <v>141</v>
      </c>
      <c r="J980" s="9583"/>
      <c r="K980" s="285" t="s">
        <v>734</v>
      </c>
      <c r="L980" s="7113">
        <v>4</v>
      </c>
      <c r="M980" s="7288" t="s">
        <v>748</v>
      </c>
      <c r="N980" s="7117">
        <v>6</v>
      </c>
      <c r="O980" s="7393" t="s">
        <v>748</v>
      </c>
      <c r="P980" s="7138">
        <v>5</v>
      </c>
      <c r="Q980" s="7372" t="s">
        <v>748</v>
      </c>
      <c r="R980" s="6669" t="s">
        <v>36</v>
      </c>
      <c r="S980" s="6586"/>
      <c r="T980" s="2468"/>
      <c r="U980" s="544"/>
      <c r="V980" s="545"/>
      <c r="W980" s="546"/>
      <c r="X980" s="547"/>
      <c r="Y980" s="548"/>
      <c r="Z980" s="277"/>
      <c r="AA980" s="277"/>
      <c r="AB980" s="187"/>
    </row>
    <row r="981" spans="1:28" ht="20.100000000000001" customHeight="1">
      <c r="A981" s="11"/>
      <c r="B981" s="1360"/>
      <c r="C981" s="5598"/>
      <c r="D981" s="9598" t="s">
        <v>143</v>
      </c>
      <c r="E981" s="9600"/>
      <c r="F981" s="492" t="s">
        <v>732</v>
      </c>
      <c r="G981" s="666"/>
      <c r="H981" s="684"/>
      <c r="I981" s="9582" t="s">
        <v>144</v>
      </c>
      <c r="J981" s="9583"/>
      <c r="K981" s="285" t="s">
        <v>734</v>
      </c>
      <c r="L981" s="7172">
        <v>2</v>
      </c>
      <c r="M981" s="7288" t="s">
        <v>801</v>
      </c>
      <c r="N981" s="7178">
        <v>1</v>
      </c>
      <c r="O981" s="7393" t="s">
        <v>801</v>
      </c>
      <c r="P981" s="7611">
        <v>1</v>
      </c>
      <c r="Q981" s="7240"/>
      <c r="R981" s="6616" t="s">
        <v>36</v>
      </c>
      <c r="S981" s="6538" t="str">
        <f>"연도별 연령 합계 "&amp;ROW($C$886)&amp;"행(총 임직원)과 불일치"</f>
        <v>연도별 연령 합계 886행(총 임직원)과 불일치</v>
      </c>
      <c r="T981" s="2468"/>
      <c r="U981" s="544"/>
      <c r="V981" s="545"/>
      <c r="W981" s="546"/>
      <c r="X981" s="547"/>
      <c r="Y981" s="548"/>
      <c r="Z981" s="277"/>
      <c r="AA981" s="277"/>
      <c r="AB981" s="187"/>
    </row>
    <row r="982" spans="1:28" ht="20.100000000000001" customHeight="1">
      <c r="A982" s="11"/>
      <c r="B982" s="1360"/>
      <c r="C982" s="5598"/>
      <c r="D982" s="9598" t="s">
        <v>146</v>
      </c>
      <c r="E982" s="9600"/>
      <c r="F982" s="492" t="s">
        <v>732</v>
      </c>
      <c r="G982" s="666"/>
      <c r="H982" s="684"/>
      <c r="I982" s="9582" t="s">
        <v>147</v>
      </c>
      <c r="J982" s="9583"/>
      <c r="K982" s="285" t="s">
        <v>734</v>
      </c>
      <c r="L982" s="7113">
        <v>8</v>
      </c>
      <c r="M982" s="7288" t="s">
        <v>751</v>
      </c>
      <c r="N982" s="7117">
        <v>9</v>
      </c>
      <c r="O982" s="7393" t="s">
        <v>751</v>
      </c>
      <c r="P982" s="7138">
        <v>6</v>
      </c>
      <c r="Q982" s="7240"/>
      <c r="R982" s="6616" t="s">
        <v>36</v>
      </c>
      <c r="S982" s="6538"/>
      <c r="T982" s="2468"/>
      <c r="U982" s="544"/>
      <c r="V982" s="545"/>
      <c r="W982" s="546"/>
      <c r="X982" s="547"/>
      <c r="Y982" s="548"/>
      <c r="Z982" s="277"/>
      <c r="AA982" s="277"/>
      <c r="AB982" s="187"/>
    </row>
    <row r="983" spans="1:28" ht="20.100000000000001" customHeight="1">
      <c r="A983" s="11"/>
      <c r="B983" s="1360"/>
      <c r="C983" s="5598"/>
      <c r="D983" s="9598" t="s">
        <v>149</v>
      </c>
      <c r="E983" s="9600"/>
      <c r="F983" s="492" t="s">
        <v>732</v>
      </c>
      <c r="G983" s="666"/>
      <c r="H983" s="684"/>
      <c r="I983" s="9582" t="s">
        <v>150</v>
      </c>
      <c r="J983" s="9583"/>
      <c r="K983" s="285" t="s">
        <v>734</v>
      </c>
      <c r="L983" s="7113">
        <v>16</v>
      </c>
      <c r="M983" s="7289"/>
      <c r="N983" s="7140">
        <v>18</v>
      </c>
      <c r="O983" s="7393"/>
      <c r="P983" s="7138">
        <v>22</v>
      </c>
      <c r="Q983" s="7240"/>
      <c r="R983" s="6616" t="s">
        <v>36</v>
      </c>
      <c r="S983" s="6538"/>
      <c r="T983" s="2468"/>
      <c r="U983" s="544"/>
      <c r="V983" s="545"/>
      <c r="W983" s="546"/>
      <c r="X983" s="547"/>
      <c r="Y983" s="548"/>
      <c r="Z983" s="277"/>
      <c r="AA983" s="277"/>
      <c r="AB983" s="187"/>
    </row>
    <row r="984" spans="1:28" ht="20.100000000000001" customHeight="1">
      <c r="A984" s="11"/>
      <c r="B984" s="1662"/>
      <c r="C984" s="7127" t="s">
        <v>1884</v>
      </c>
      <c r="D984" s="7612"/>
      <c r="E984" s="7612"/>
      <c r="F984" s="7513"/>
      <c r="G984" s="7605"/>
      <c r="H984" s="7606" t="s">
        <v>844</v>
      </c>
      <c r="I984" s="7613"/>
      <c r="J984" s="7614"/>
      <c r="K984" s="7504" t="s">
        <v>168</v>
      </c>
      <c r="L984" s="7615"/>
      <c r="M984" s="7616"/>
      <c r="N984" s="7617"/>
      <c r="O984" s="7617"/>
      <c r="P984" s="7617"/>
      <c r="Q984" s="7506"/>
      <c r="R984" s="7508" t="s">
        <v>36</v>
      </c>
      <c r="S984" s="7509"/>
      <c r="T984" s="7130"/>
      <c r="U984" s="276"/>
      <c r="V984" s="99" t="s">
        <v>758</v>
      </c>
      <c r="W984" s="547" t="s">
        <v>738</v>
      </c>
      <c r="X984" s="547"/>
      <c r="Y984" s="665"/>
      <c r="Z984" s="264"/>
      <c r="AA984" s="277"/>
      <c r="AB984" s="187"/>
    </row>
    <row r="985" spans="1:28" ht="20.100000000000001" customHeight="1">
      <c r="A985" s="11"/>
      <c r="B985" s="1360"/>
      <c r="C985" s="5598"/>
      <c r="D985" s="9584" t="s">
        <v>823</v>
      </c>
      <c r="E985" s="9585"/>
      <c r="F985" s="6683" t="s">
        <v>732</v>
      </c>
      <c r="G985" s="6697"/>
      <c r="H985" s="6694"/>
      <c r="I985" s="9584" t="s">
        <v>824</v>
      </c>
      <c r="J985" s="9585"/>
      <c r="K985" s="6683" t="s">
        <v>734</v>
      </c>
      <c r="L985" s="7136" t="str">
        <f>IF(COUNTBLANK(L986:L991)&gt;0,"미취합법인有",SUM(L986:L991))</f>
        <v>미취합법인有</v>
      </c>
      <c r="M985" s="7293"/>
      <c r="N985" s="7119" t="str">
        <f>IF(COUNTBLANK(N986:N991)&gt;0,"미취합법인有",SUM(N986:N991))</f>
        <v>미취합법인有</v>
      </c>
      <c r="O985" s="7293"/>
      <c r="P985" s="7125" t="str">
        <f>IF(COUNTBLANK(P986:P991)&gt;0,"미취합법인有",SUM(P986:P991))</f>
        <v>미취합법인有</v>
      </c>
      <c r="Q985" s="7029"/>
      <c r="R985" s="7010" t="s">
        <v>36</v>
      </c>
      <c r="S985" s="7007"/>
      <c r="T985" s="7008"/>
      <c r="U985" s="276"/>
      <c r="V985" s="99" t="s">
        <v>758</v>
      </c>
      <c r="W985" s="696" t="s">
        <v>800</v>
      </c>
      <c r="X985" s="547"/>
      <c r="Y985" s="665"/>
      <c r="Z985" s="620"/>
      <c r="AA985" s="672" t="s">
        <v>807</v>
      </c>
      <c r="AB985" s="159"/>
    </row>
    <row r="986" spans="1:28" ht="20.100000000000001" customHeight="1">
      <c r="A986" s="11"/>
      <c r="B986" s="1360"/>
      <c r="C986" s="5598"/>
      <c r="D986" s="9598" t="s">
        <v>134</v>
      </c>
      <c r="E986" s="9600"/>
      <c r="F986" s="492" t="s">
        <v>732</v>
      </c>
      <c r="G986" s="666"/>
      <c r="H986" s="684"/>
      <c r="I986" s="9579" t="s">
        <v>135</v>
      </c>
      <c r="J986" s="9581"/>
      <c r="K986" s="285" t="s">
        <v>734</v>
      </c>
      <c r="L986" s="7113">
        <v>0</v>
      </c>
      <c r="M986" s="7294"/>
      <c r="N986" s="7117">
        <v>0</v>
      </c>
      <c r="O986" s="7387"/>
      <c r="P986" s="7122">
        <v>0</v>
      </c>
      <c r="Q986" s="7240" t="s">
        <v>845</v>
      </c>
      <c r="R986" s="6616" t="s">
        <v>36</v>
      </c>
      <c r="S986" s="6538"/>
      <c r="T986" s="2468"/>
      <c r="U986" s="544"/>
      <c r="V986" s="545"/>
      <c r="W986" s="546"/>
      <c r="X986" s="547"/>
      <c r="Y986" s="548"/>
      <c r="Z986" s="277"/>
      <c r="AA986" s="277"/>
      <c r="AB986" s="187"/>
    </row>
    <row r="987" spans="1:28" ht="20.100000000000001" customHeight="1">
      <c r="A987" s="11"/>
      <c r="B987" s="1360"/>
      <c r="C987" s="5598"/>
      <c r="D987" s="9598" t="s">
        <v>137</v>
      </c>
      <c r="E987" s="9600"/>
      <c r="F987" s="492" t="s">
        <v>732</v>
      </c>
      <c r="G987" s="666"/>
      <c r="H987" s="684"/>
      <c r="I987" s="9579" t="s">
        <v>138</v>
      </c>
      <c r="J987" s="9581"/>
      <c r="K987" s="285" t="s">
        <v>734</v>
      </c>
      <c r="L987" s="7172"/>
      <c r="M987" s="7294"/>
      <c r="N987" s="7178"/>
      <c r="O987" s="7387"/>
      <c r="P987" s="7500"/>
      <c r="Q987" s="7240"/>
      <c r="R987" s="6616" t="s">
        <v>36</v>
      </c>
      <c r="S987" s="6538" t="s">
        <v>2054</v>
      </c>
      <c r="T987" s="2468"/>
      <c r="U987" s="544"/>
      <c r="V987" s="545"/>
      <c r="W987" s="546"/>
      <c r="X987" s="547"/>
      <c r="Y987" s="548"/>
      <c r="Z987" s="277"/>
      <c r="AA987" s="277"/>
      <c r="AB987" s="187"/>
    </row>
    <row r="988" spans="1:28" ht="20.100000000000001" customHeight="1">
      <c r="A988" s="11"/>
      <c r="B988" s="1360"/>
      <c r="C988" s="5598"/>
      <c r="D988" s="9598" t="s">
        <v>140</v>
      </c>
      <c r="E988" s="9600"/>
      <c r="F988" s="492" t="s">
        <v>732</v>
      </c>
      <c r="G988" s="666"/>
      <c r="H988" s="684"/>
      <c r="I988" s="9582" t="s">
        <v>141</v>
      </c>
      <c r="J988" s="9583"/>
      <c r="K988" s="285" t="s">
        <v>734</v>
      </c>
      <c r="L988" s="7113">
        <v>0</v>
      </c>
      <c r="M988" s="7294"/>
      <c r="N988" s="7117">
        <v>0</v>
      </c>
      <c r="O988" s="7387"/>
      <c r="P988" s="7123">
        <v>0</v>
      </c>
      <c r="Q988" s="7240"/>
      <c r="R988" s="6616" t="s">
        <v>36</v>
      </c>
      <c r="S988" s="6538" t="str">
        <f>"연령별 임원 합계 "&amp;ROW($D$906)&amp;"행과 불일치"</f>
        <v>연령별 임원 합계 906행과 불일치</v>
      </c>
      <c r="T988" s="2468"/>
      <c r="U988" s="544"/>
      <c r="V988" s="545"/>
      <c r="W988" s="546"/>
      <c r="X988" s="547"/>
      <c r="Y988" s="548"/>
      <c r="Z988" s="277"/>
      <c r="AA988" s="277"/>
      <c r="AB988" s="187"/>
    </row>
    <row r="989" spans="1:28" ht="20.100000000000001" customHeight="1">
      <c r="A989" s="11"/>
      <c r="B989" s="1360"/>
      <c r="C989" s="5598"/>
      <c r="D989" s="9598" t="s">
        <v>143</v>
      </c>
      <c r="E989" s="9600"/>
      <c r="F989" s="492" t="s">
        <v>732</v>
      </c>
      <c r="G989" s="666"/>
      <c r="H989" s="684"/>
      <c r="I989" s="9582" t="s">
        <v>144</v>
      </c>
      <c r="J989" s="9583"/>
      <c r="K989" s="285" t="s">
        <v>734</v>
      </c>
      <c r="L989" s="7113">
        <v>0</v>
      </c>
      <c r="M989" s="7294"/>
      <c r="N989" s="7117">
        <v>0</v>
      </c>
      <c r="O989" s="7387"/>
      <c r="P989" s="7123">
        <v>0</v>
      </c>
      <c r="Q989" s="7240"/>
      <c r="R989" s="6616" t="s">
        <v>36</v>
      </c>
      <c r="S989" s="6538"/>
      <c r="T989" s="2468"/>
      <c r="U989" s="544"/>
      <c r="V989" s="545"/>
      <c r="W989" s="546"/>
      <c r="X989" s="547"/>
      <c r="Y989" s="548"/>
      <c r="Z989" s="277"/>
      <c r="AA989" s="277"/>
      <c r="AB989" s="187"/>
    </row>
    <row r="990" spans="1:28" ht="20.100000000000001" customHeight="1">
      <c r="A990" s="11"/>
      <c r="B990" s="1360"/>
      <c r="C990" s="5598"/>
      <c r="D990" s="9598" t="s">
        <v>146</v>
      </c>
      <c r="E990" s="9600"/>
      <c r="F990" s="492" t="s">
        <v>732</v>
      </c>
      <c r="G990" s="666"/>
      <c r="H990" s="684"/>
      <c r="I990" s="9582" t="s">
        <v>147</v>
      </c>
      <c r="J990" s="9583"/>
      <c r="K990" s="285" t="s">
        <v>734</v>
      </c>
      <c r="L990" s="7113">
        <v>0</v>
      </c>
      <c r="M990" s="7294"/>
      <c r="N990" s="7117">
        <v>0</v>
      </c>
      <c r="O990" s="7387"/>
      <c r="P990" s="7123">
        <v>0</v>
      </c>
      <c r="Q990" s="7240"/>
      <c r="R990" s="6616" t="s">
        <v>36</v>
      </c>
      <c r="S990" s="6538"/>
      <c r="T990" s="2468"/>
      <c r="U990" s="544"/>
      <c r="V990" s="545"/>
      <c r="W990" s="546"/>
      <c r="X990" s="547"/>
      <c r="Y990" s="548"/>
      <c r="Z990" s="277"/>
      <c r="AA990" s="277"/>
      <c r="AB990" s="187"/>
    </row>
    <row r="991" spans="1:28" ht="20.100000000000001" customHeight="1">
      <c r="A991" s="11"/>
      <c r="B991" s="1360"/>
      <c r="C991" s="5598"/>
      <c r="D991" s="9598" t="s">
        <v>149</v>
      </c>
      <c r="E991" s="9600"/>
      <c r="F991" s="492" t="s">
        <v>732</v>
      </c>
      <c r="G991" s="666"/>
      <c r="H991" s="684"/>
      <c r="I991" s="9582" t="s">
        <v>150</v>
      </c>
      <c r="J991" s="9583"/>
      <c r="K991" s="285" t="s">
        <v>734</v>
      </c>
      <c r="L991" s="7113">
        <v>0</v>
      </c>
      <c r="M991" s="7294"/>
      <c r="N991" s="7117">
        <v>0</v>
      </c>
      <c r="O991" s="7387"/>
      <c r="P991" s="7123">
        <v>0</v>
      </c>
      <c r="Q991" s="7240"/>
      <c r="R991" s="6616" t="s">
        <v>36</v>
      </c>
      <c r="S991" s="6538"/>
      <c r="T991" s="2468"/>
      <c r="U991" s="544"/>
      <c r="V991" s="545"/>
      <c r="W991" s="546"/>
      <c r="X991" s="547"/>
      <c r="Y991" s="548"/>
      <c r="Z991" s="277"/>
      <c r="AA991" s="277"/>
      <c r="AB991" s="187"/>
    </row>
    <row r="992" spans="1:28" ht="20.100000000000001" customHeight="1">
      <c r="A992" s="11"/>
      <c r="B992" s="1360"/>
      <c r="C992" s="5598"/>
      <c r="D992" s="9584" t="s">
        <v>827</v>
      </c>
      <c r="E992" s="9585"/>
      <c r="F992" s="6683" t="s">
        <v>732</v>
      </c>
      <c r="G992" s="6697"/>
      <c r="H992" s="6694"/>
      <c r="I992" s="9584" t="s">
        <v>828</v>
      </c>
      <c r="J992" s="9585"/>
      <c r="K992" s="6683" t="s">
        <v>734</v>
      </c>
      <c r="L992" s="7111" t="str">
        <f>IF(COUNTBLANK(L993:L998)&gt;0,"미취합법인有",SUM(L993:L998))</f>
        <v>미취합법인有</v>
      </c>
      <c r="M992" s="7293"/>
      <c r="N992" s="7119" t="str">
        <f>IF(COUNTBLANK(N993:N998)&gt;0,"미취합법인有",SUM(N993:N998))</f>
        <v>미취합법인有</v>
      </c>
      <c r="O992" s="7293"/>
      <c r="P992" s="7125" t="str">
        <f>IF(COUNTBLANK(P993:P998)&gt;0,"미취합법인有",SUM(P993:P998))</f>
        <v>미취합법인有</v>
      </c>
      <c r="Q992" s="7029"/>
      <c r="R992" s="7010" t="s">
        <v>36</v>
      </c>
      <c r="S992" s="7007"/>
      <c r="T992" s="7008"/>
      <c r="U992" s="276"/>
      <c r="V992" s="99" t="s">
        <v>758</v>
      </c>
      <c r="W992" s="547" t="s">
        <v>800</v>
      </c>
      <c r="X992" s="547"/>
      <c r="Y992" s="665"/>
      <c r="Z992" s="620"/>
      <c r="AA992" s="672" t="s">
        <v>807</v>
      </c>
      <c r="AB992" s="159"/>
    </row>
    <row r="993" spans="1:30" ht="20.100000000000001" customHeight="1">
      <c r="A993" s="11"/>
      <c r="B993" s="1360"/>
      <c r="C993" s="5598"/>
      <c r="D993" s="9598" t="s">
        <v>134</v>
      </c>
      <c r="E993" s="9600"/>
      <c r="F993" s="492" t="s">
        <v>732</v>
      </c>
      <c r="G993" s="666"/>
      <c r="H993" s="684"/>
      <c r="I993" s="9579" t="s">
        <v>135</v>
      </c>
      <c r="J993" s="9581"/>
      <c r="K993" s="285" t="s">
        <v>734</v>
      </c>
      <c r="L993" s="7113">
        <v>1</v>
      </c>
      <c r="M993" s="7294"/>
      <c r="N993" s="7117">
        <v>4</v>
      </c>
      <c r="O993" s="7387"/>
      <c r="P993" s="7122">
        <v>2</v>
      </c>
      <c r="Q993" s="7372" t="s">
        <v>846</v>
      </c>
      <c r="R993" s="6669" t="s">
        <v>36</v>
      </c>
      <c r="S993" s="6586"/>
      <c r="T993" s="2468"/>
      <c r="U993" s="544"/>
      <c r="V993" s="545"/>
      <c r="W993" s="546"/>
      <c r="X993" s="547"/>
      <c r="Y993" s="548"/>
      <c r="Z993" s="277"/>
      <c r="AA993" s="277"/>
      <c r="AB993" s="187"/>
      <c r="AD993" s="139" t="s">
        <v>847</v>
      </c>
    </row>
    <row r="994" spans="1:30" ht="20.100000000000001" customHeight="1">
      <c r="A994" s="11"/>
      <c r="B994" s="1360"/>
      <c r="C994" s="5598"/>
      <c r="D994" s="9598" t="s">
        <v>137</v>
      </c>
      <c r="E994" s="9600"/>
      <c r="F994" s="492" t="s">
        <v>732</v>
      </c>
      <c r="G994" s="666"/>
      <c r="H994" s="684"/>
      <c r="I994" s="9579" t="s">
        <v>138</v>
      </c>
      <c r="J994" s="9581"/>
      <c r="K994" s="285" t="s">
        <v>734</v>
      </c>
      <c r="L994" s="7172"/>
      <c r="M994" s="7294"/>
      <c r="N994" s="7178"/>
      <c r="O994" s="7387"/>
      <c r="P994" s="7500"/>
      <c r="Q994" s="7240"/>
      <c r="R994" s="6616" t="s">
        <v>36</v>
      </c>
      <c r="S994" s="6538" t="s">
        <v>2054</v>
      </c>
      <c r="T994" s="2468"/>
      <c r="U994" s="544"/>
      <c r="V994" s="545"/>
      <c r="W994" s="546"/>
      <c r="X994" s="547"/>
      <c r="Y994" s="548"/>
      <c r="Z994" s="277"/>
      <c r="AA994" s="277"/>
      <c r="AB994" s="187"/>
    </row>
    <row r="995" spans="1:30" ht="20.100000000000001" customHeight="1">
      <c r="A995" s="11"/>
      <c r="B995" s="1360"/>
      <c r="C995" s="5598"/>
      <c r="D995" s="9598" t="s">
        <v>140</v>
      </c>
      <c r="E995" s="9600"/>
      <c r="F995" s="492" t="s">
        <v>732</v>
      </c>
      <c r="G995" s="666"/>
      <c r="H995" s="684"/>
      <c r="I995" s="9582" t="s">
        <v>141</v>
      </c>
      <c r="J995" s="9583"/>
      <c r="K995" s="285" t="s">
        <v>734</v>
      </c>
      <c r="L995" s="7172">
        <v>18</v>
      </c>
      <c r="M995" s="7294"/>
      <c r="N995" s="7178">
        <v>22</v>
      </c>
      <c r="O995" s="7387"/>
      <c r="P995" s="7500">
        <v>35</v>
      </c>
      <c r="Q995" s="7240"/>
      <c r="R995" s="6616" t="s">
        <v>36</v>
      </c>
      <c r="S995" s="6538" t="str">
        <f>"연령별 임원 합계 "&amp;ROW($D$906)&amp;"행과 불일치"</f>
        <v>연령별 임원 합계 906행과 불일치</v>
      </c>
      <c r="T995" s="2468"/>
      <c r="U995" s="544"/>
      <c r="V995" s="545"/>
      <c r="W995" s="546"/>
      <c r="X995" s="547"/>
      <c r="Y995" s="548"/>
      <c r="Z995" s="277"/>
      <c r="AA995" s="277"/>
      <c r="AB995" s="187"/>
    </row>
    <row r="996" spans="1:30" ht="20.100000000000001" customHeight="1">
      <c r="A996" s="11"/>
      <c r="B996" s="1360"/>
      <c r="C996" s="5598"/>
      <c r="D996" s="9598" t="s">
        <v>143</v>
      </c>
      <c r="E996" s="9600"/>
      <c r="F996" s="492" t="s">
        <v>732</v>
      </c>
      <c r="G996" s="666"/>
      <c r="H996" s="684"/>
      <c r="I996" s="9582" t="s">
        <v>144</v>
      </c>
      <c r="J996" s="9583"/>
      <c r="K996" s="285" t="s">
        <v>734</v>
      </c>
      <c r="L996" s="7113">
        <v>5</v>
      </c>
      <c r="M996" s="7294"/>
      <c r="N996" s="7117">
        <v>5</v>
      </c>
      <c r="O996" s="7387"/>
      <c r="P996" s="7123">
        <v>5</v>
      </c>
      <c r="Q996" s="7240"/>
      <c r="R996" s="6616" t="s">
        <v>36</v>
      </c>
      <c r="S996" s="6538"/>
      <c r="T996" s="2468"/>
      <c r="U996" s="544"/>
      <c r="V996" s="545"/>
      <c r="W996" s="546"/>
      <c r="X996" s="547"/>
      <c r="Y996" s="548"/>
      <c r="Z996" s="277"/>
      <c r="AA996" s="277"/>
      <c r="AB996" s="187"/>
    </row>
    <row r="997" spans="1:30" ht="20.100000000000001" customHeight="1">
      <c r="A997" s="11"/>
      <c r="B997" s="1360"/>
      <c r="C997" s="5598"/>
      <c r="D997" s="9598" t="s">
        <v>146</v>
      </c>
      <c r="E997" s="9600"/>
      <c r="F997" s="492" t="s">
        <v>732</v>
      </c>
      <c r="G997" s="666"/>
      <c r="H997" s="684"/>
      <c r="I997" s="9582" t="s">
        <v>147</v>
      </c>
      <c r="J997" s="9583"/>
      <c r="K997" s="285" t="s">
        <v>734</v>
      </c>
      <c r="L997" s="7113">
        <v>5</v>
      </c>
      <c r="M997" s="7294"/>
      <c r="N997" s="7131">
        <v>5</v>
      </c>
      <c r="O997" s="7387"/>
      <c r="P997" s="7123">
        <v>5</v>
      </c>
      <c r="Q997" s="7240"/>
      <c r="R997" s="6616" t="s">
        <v>36</v>
      </c>
      <c r="S997" s="6538"/>
      <c r="T997" s="2468"/>
      <c r="U997" s="544"/>
      <c r="V997" s="545"/>
      <c r="W997" s="546"/>
      <c r="X997" s="547"/>
      <c r="Y997" s="548"/>
      <c r="Z997" s="277"/>
      <c r="AA997" s="277"/>
      <c r="AB997" s="187"/>
    </row>
    <row r="998" spans="1:30" ht="20.100000000000001" customHeight="1">
      <c r="A998" s="11"/>
      <c r="B998" s="1360"/>
      <c r="C998" s="5598"/>
      <c r="D998" s="9598" t="s">
        <v>149</v>
      </c>
      <c r="E998" s="9600"/>
      <c r="F998" s="492" t="s">
        <v>732</v>
      </c>
      <c r="G998" s="666"/>
      <c r="H998" s="684"/>
      <c r="I998" s="9582" t="s">
        <v>150</v>
      </c>
      <c r="J998" s="9583"/>
      <c r="K998" s="285" t="s">
        <v>734</v>
      </c>
      <c r="L998" s="7113">
        <v>4</v>
      </c>
      <c r="M998" s="7294"/>
      <c r="N998" s="7131">
        <v>4</v>
      </c>
      <c r="O998" s="7387"/>
      <c r="P998" s="7123">
        <v>4</v>
      </c>
      <c r="Q998" s="7240"/>
      <c r="R998" s="6616" t="s">
        <v>36</v>
      </c>
      <c r="S998" s="6538"/>
      <c r="T998" s="2468"/>
      <c r="U998" s="544"/>
      <c r="V998" s="545"/>
      <c r="W998" s="546"/>
      <c r="X998" s="547"/>
      <c r="Y998" s="548"/>
      <c r="Z998" s="277"/>
      <c r="AA998" s="277"/>
      <c r="AB998" s="187"/>
    </row>
    <row r="999" spans="1:30" ht="20.100000000000001" customHeight="1">
      <c r="A999" s="11"/>
      <c r="B999" s="1360"/>
      <c r="C999" s="5619"/>
      <c r="D999" s="9584" t="s">
        <v>830</v>
      </c>
      <c r="E999" s="9585"/>
      <c r="F999" s="6683" t="s">
        <v>732</v>
      </c>
      <c r="G999" s="6697"/>
      <c r="H999" s="6694"/>
      <c r="I999" s="9584" t="s">
        <v>831</v>
      </c>
      <c r="J999" s="9585"/>
      <c r="K999" s="6683" t="s">
        <v>734</v>
      </c>
      <c r="L999" s="7111" t="str">
        <f>IF(COUNTBLANK(L1000:L1005)&gt;0,"미취합법인有",SUM(L1000:L1005))</f>
        <v>미취합법인有</v>
      </c>
      <c r="M999" s="7293"/>
      <c r="N999" s="7119" t="str">
        <f>IF(COUNTBLANK(N1000:N1005)&gt;0,"미취합법인有",SUM(N1000:N1005))</f>
        <v>미취합법인有</v>
      </c>
      <c r="O999" s="7293"/>
      <c r="P999" s="7125" t="str">
        <f>IF(COUNTBLANK(P1000:P1005)&gt;0,"미취합법인有",SUM(P1000:P1005))</f>
        <v>미취합법인有</v>
      </c>
      <c r="Q999" s="7029"/>
      <c r="R999" s="7010" t="s">
        <v>36</v>
      </c>
      <c r="S999" s="7007"/>
      <c r="T999" s="7008"/>
      <c r="U999" s="276"/>
      <c r="V999" s="99" t="s">
        <v>758</v>
      </c>
      <c r="W999" s="547" t="s">
        <v>800</v>
      </c>
      <c r="X999" s="547"/>
      <c r="Y999" s="665"/>
      <c r="Z999" s="620"/>
      <c r="AA999" s="672" t="s">
        <v>807</v>
      </c>
      <c r="AB999" s="159"/>
    </row>
    <row r="1000" spans="1:30" ht="20.100000000000001" customHeight="1">
      <c r="A1000" s="11"/>
      <c r="B1000" s="1360"/>
      <c r="C1000" s="5598"/>
      <c r="D1000" s="9598" t="s">
        <v>134</v>
      </c>
      <c r="E1000" s="9600"/>
      <c r="F1000" s="492" t="s">
        <v>732</v>
      </c>
      <c r="G1000" s="666"/>
      <c r="H1000" s="684"/>
      <c r="I1000" s="9579" t="s">
        <v>135</v>
      </c>
      <c r="J1000" s="9581"/>
      <c r="K1000" s="285" t="s">
        <v>734</v>
      </c>
      <c r="L1000" s="7113">
        <v>4</v>
      </c>
      <c r="M1000" s="7294"/>
      <c r="N1000" s="7117">
        <v>4</v>
      </c>
      <c r="O1000" s="7387"/>
      <c r="P1000" s="7122">
        <v>4</v>
      </c>
      <c r="Q1000" s="7372" t="s">
        <v>848</v>
      </c>
      <c r="R1000" s="6669" t="s">
        <v>36</v>
      </c>
      <c r="S1000" s="6586"/>
      <c r="T1000" s="2468"/>
      <c r="U1000" s="544"/>
      <c r="V1000" s="545"/>
      <c r="W1000" s="546"/>
      <c r="X1000" s="547"/>
      <c r="Y1000" s="548"/>
      <c r="Z1000" s="277"/>
      <c r="AA1000" s="277"/>
      <c r="AB1000" s="187"/>
      <c r="AD1000" s="139" t="s">
        <v>847</v>
      </c>
    </row>
    <row r="1001" spans="1:30" ht="20.100000000000001" customHeight="1">
      <c r="A1001" s="11"/>
      <c r="B1001" s="1360"/>
      <c r="C1001" s="5598"/>
      <c r="D1001" s="9598" t="s">
        <v>137</v>
      </c>
      <c r="E1001" s="9600"/>
      <c r="F1001" s="492" t="s">
        <v>732</v>
      </c>
      <c r="G1001" s="666"/>
      <c r="H1001" s="684"/>
      <c r="I1001" s="9579" t="s">
        <v>138</v>
      </c>
      <c r="J1001" s="9581"/>
      <c r="K1001" s="285" t="s">
        <v>734</v>
      </c>
      <c r="L1001" s="7172"/>
      <c r="M1001" s="7295"/>
      <c r="N1001" s="7178"/>
      <c r="O1001" s="7394"/>
      <c r="P1001" s="7611"/>
      <c r="Q1001" s="7240"/>
      <c r="R1001" s="6616" t="s">
        <v>36</v>
      </c>
      <c r="S1001" s="6538" t="s">
        <v>2054</v>
      </c>
      <c r="T1001" s="2468"/>
      <c r="U1001" s="544"/>
      <c r="V1001" s="545"/>
      <c r="W1001" s="546"/>
      <c r="X1001" s="547"/>
      <c r="Y1001" s="548"/>
      <c r="Z1001" s="277"/>
      <c r="AA1001" s="277"/>
      <c r="AB1001" s="187"/>
    </row>
    <row r="1002" spans="1:30" ht="20.100000000000001" customHeight="1">
      <c r="A1002" s="11"/>
      <c r="B1002" s="1360"/>
      <c r="C1002" s="5598"/>
      <c r="D1002" s="9598" t="s">
        <v>140</v>
      </c>
      <c r="E1002" s="9600"/>
      <c r="F1002" s="492" t="s">
        <v>732</v>
      </c>
      <c r="G1002" s="666"/>
      <c r="H1002" s="684"/>
      <c r="I1002" s="9582" t="s">
        <v>141</v>
      </c>
      <c r="J1002" s="9583"/>
      <c r="K1002" s="285" t="s">
        <v>734</v>
      </c>
      <c r="L1002" s="7172">
        <v>2</v>
      </c>
      <c r="M1002" s="7295"/>
      <c r="N1002" s="7117">
        <v>1</v>
      </c>
      <c r="O1002" s="7394"/>
      <c r="P1002" s="7138">
        <v>1</v>
      </c>
      <c r="Q1002" s="7240"/>
      <c r="R1002" s="6616" t="s">
        <v>36</v>
      </c>
      <c r="S1002" s="6538" t="str">
        <f>"연령별 임원 합계 "&amp;ROW($D$906)&amp;"행과 불일치"</f>
        <v>연령별 임원 합계 906행과 불일치</v>
      </c>
      <c r="T1002" s="2468"/>
      <c r="U1002" s="544"/>
      <c r="V1002" s="545"/>
      <c r="W1002" s="546"/>
      <c r="X1002" s="547"/>
      <c r="Y1002" s="548"/>
      <c r="Z1002" s="277"/>
      <c r="AA1002" s="277"/>
      <c r="AB1002" s="187"/>
    </row>
    <row r="1003" spans="1:30" ht="20.100000000000001" customHeight="1">
      <c r="A1003" s="11"/>
      <c r="B1003" s="1360"/>
      <c r="C1003" s="5598"/>
      <c r="D1003" s="9598" t="s">
        <v>143</v>
      </c>
      <c r="E1003" s="9600"/>
      <c r="F1003" s="492" t="s">
        <v>732</v>
      </c>
      <c r="G1003" s="666"/>
      <c r="H1003" s="684"/>
      <c r="I1003" s="9582" t="s">
        <v>144</v>
      </c>
      <c r="J1003" s="9583"/>
      <c r="K1003" s="285" t="s">
        <v>734</v>
      </c>
      <c r="L1003" s="7113">
        <v>0</v>
      </c>
      <c r="M1003" s="7295"/>
      <c r="N1003" s="7117">
        <v>0</v>
      </c>
      <c r="O1003" s="7394"/>
      <c r="P1003" s="7138">
        <v>0</v>
      </c>
      <c r="Q1003" s="7240"/>
      <c r="R1003" s="6616" t="s">
        <v>36</v>
      </c>
      <c r="S1003" s="6538"/>
      <c r="T1003" s="2468"/>
      <c r="U1003" s="544"/>
      <c r="V1003" s="545"/>
      <c r="W1003" s="546"/>
      <c r="X1003" s="547"/>
      <c r="Y1003" s="548"/>
      <c r="Z1003" s="277"/>
      <c r="AA1003" s="277"/>
      <c r="AB1003" s="187"/>
    </row>
    <row r="1004" spans="1:30" ht="20.100000000000001" customHeight="1">
      <c r="A1004" s="11"/>
      <c r="B1004" s="1360"/>
      <c r="C1004" s="5598"/>
      <c r="D1004" s="9598" t="s">
        <v>146</v>
      </c>
      <c r="E1004" s="9600"/>
      <c r="F1004" s="492" t="s">
        <v>732</v>
      </c>
      <c r="G1004" s="666"/>
      <c r="H1004" s="684"/>
      <c r="I1004" s="9582" t="s">
        <v>147</v>
      </c>
      <c r="J1004" s="9583"/>
      <c r="K1004" s="285" t="s">
        <v>734</v>
      </c>
      <c r="L1004" s="7113">
        <v>2</v>
      </c>
      <c r="M1004" s="7295"/>
      <c r="N1004" s="7117">
        <v>2</v>
      </c>
      <c r="O1004" s="7394"/>
      <c r="P1004" s="7138">
        <v>2</v>
      </c>
      <c r="Q1004" s="7240"/>
      <c r="R1004" s="6616" t="s">
        <v>36</v>
      </c>
      <c r="S1004" s="6538"/>
      <c r="T1004" s="2468"/>
      <c r="U1004" s="544"/>
      <c r="V1004" s="545"/>
      <c r="W1004" s="546"/>
      <c r="X1004" s="547"/>
      <c r="Y1004" s="548"/>
      <c r="Z1004" s="277"/>
      <c r="AA1004" s="277"/>
      <c r="AB1004" s="187"/>
    </row>
    <row r="1005" spans="1:30" ht="20.100000000000001" customHeight="1">
      <c r="A1005" s="11"/>
      <c r="B1005" s="1360"/>
      <c r="C1005" s="5598"/>
      <c r="D1005" s="9598" t="s">
        <v>149</v>
      </c>
      <c r="E1005" s="9600"/>
      <c r="F1005" s="492" t="s">
        <v>732</v>
      </c>
      <c r="G1005" s="666"/>
      <c r="H1005" s="684"/>
      <c r="I1005" s="9582" t="s">
        <v>150</v>
      </c>
      <c r="J1005" s="9583"/>
      <c r="K1005" s="285" t="s">
        <v>734</v>
      </c>
      <c r="L1005" s="7113">
        <v>1</v>
      </c>
      <c r="M1005" s="7295"/>
      <c r="N1005" s="7131">
        <v>1</v>
      </c>
      <c r="O1005" s="7394"/>
      <c r="P1005" s="7131">
        <v>1</v>
      </c>
      <c r="Q1005" s="7240"/>
      <c r="R1005" s="6616" t="s">
        <v>36</v>
      </c>
      <c r="S1005" s="6538"/>
      <c r="T1005" s="2468"/>
      <c r="U1005" s="544"/>
      <c r="V1005" s="545"/>
      <c r="W1005" s="546"/>
      <c r="X1005" s="547"/>
      <c r="Y1005" s="548"/>
      <c r="Z1005" s="277"/>
      <c r="AA1005" s="277"/>
      <c r="AB1005" s="187"/>
    </row>
    <row r="1006" spans="1:30" ht="20.100000000000001" customHeight="1">
      <c r="A1006" s="11"/>
      <c r="B1006" s="1360"/>
      <c r="C1006" s="7126" t="s">
        <v>769</v>
      </c>
      <c r="D1006" s="7127"/>
      <c r="E1006" s="7127"/>
      <c r="F1006" s="7127"/>
      <c r="G1006" s="7127"/>
      <c r="H1006" s="7127"/>
      <c r="I1006" s="7127"/>
      <c r="J1006" s="7127"/>
      <c r="K1006" s="7127"/>
      <c r="L1006" s="7127"/>
      <c r="M1006" s="7278"/>
      <c r="N1006" s="7127"/>
      <c r="O1006" s="7278"/>
      <c r="P1006" s="7127"/>
      <c r="Q1006" s="7475"/>
      <c r="R1006" s="7128" t="s">
        <v>36</v>
      </c>
      <c r="S1006" s="7129"/>
      <c r="T1006" s="7130"/>
      <c r="U1006" s="367"/>
      <c r="V1006" s="99" t="s">
        <v>737</v>
      </c>
      <c r="W1006" s="547"/>
      <c r="X1006" s="547"/>
      <c r="Y1006" s="99"/>
      <c r="Z1006" s="620" t="s">
        <v>770</v>
      </c>
      <c r="AA1006" s="620" t="s">
        <v>740</v>
      </c>
      <c r="AB1006" s="159"/>
    </row>
    <row r="1007" spans="1:30" ht="19.899999999999999" customHeight="1">
      <c r="A1007" s="11"/>
      <c r="B1007" s="1360"/>
      <c r="C1007" s="5598"/>
      <c r="D1007" s="9586" t="s">
        <v>781</v>
      </c>
      <c r="E1007" s="9588"/>
      <c r="F1007" s="6683" t="s">
        <v>732</v>
      </c>
      <c r="G1007" s="7009"/>
      <c r="H1007" s="7009"/>
      <c r="I1007" s="9586" t="s">
        <v>782</v>
      </c>
      <c r="J1007" s="9588"/>
      <c r="K1007" s="6683" t="s">
        <v>734</v>
      </c>
      <c r="L1007" s="7111">
        <f>IF(COUNTBLANK(L1008:L1013)&gt;0,"미취합법인有",SUM(L1008:L1013))</f>
        <v>4155</v>
      </c>
      <c r="M1007" s="7279"/>
      <c r="N1007" s="7115">
        <f>IF(COUNTBLANK(N1008:N1013)&gt;0,"미취합법인有",SUM(N1008:N1013))</f>
        <v>3937</v>
      </c>
      <c r="O1007" s="7385"/>
      <c r="P1007" s="7121">
        <f>IF(COUNTBLANK(P1008:P1013)&gt;0,"미취합법인有",SUM(P1008:P1013))</f>
        <v>3825</v>
      </c>
      <c r="Q1007" s="7029"/>
      <c r="R1007" s="7010" t="s">
        <v>36</v>
      </c>
      <c r="S1007" s="7007"/>
      <c r="T1007" s="7008" t="s">
        <v>1885</v>
      </c>
      <c r="U1007" s="367" t="s">
        <v>774</v>
      </c>
      <c r="V1007" s="99" t="s">
        <v>758</v>
      </c>
      <c r="W1007" s="547" t="s">
        <v>738</v>
      </c>
      <c r="X1007" s="547"/>
      <c r="Y1007" s="99"/>
      <c r="Z1007" s="620" t="s">
        <v>770</v>
      </c>
      <c r="AA1007" s="620" t="s">
        <v>740</v>
      </c>
      <c r="AB1007" s="159"/>
    </row>
    <row r="1008" spans="1:30" ht="20.100000000000001" customHeight="1">
      <c r="A1008" s="11"/>
      <c r="B1008" s="1360"/>
      <c r="C1008" s="5598"/>
      <c r="D1008" s="9598" t="s">
        <v>134</v>
      </c>
      <c r="E1008" s="9600"/>
      <c r="F1008" s="492" t="s">
        <v>732</v>
      </c>
      <c r="G1008" s="666"/>
      <c r="H1008" s="666"/>
      <c r="I1008" s="9579" t="s">
        <v>135</v>
      </c>
      <c r="J1008" s="9581"/>
      <c r="K1008" s="285" t="s">
        <v>734</v>
      </c>
      <c r="L1008" s="7113">
        <v>1135</v>
      </c>
      <c r="M1008" s="7280" t="s">
        <v>747</v>
      </c>
      <c r="N1008" s="7117">
        <v>1097</v>
      </c>
      <c r="O1008" s="7386" t="s">
        <v>783</v>
      </c>
      <c r="P1008" s="7501">
        <v>1210</v>
      </c>
      <c r="Q1008" s="7240" t="s">
        <v>747</v>
      </c>
      <c r="R1008" s="6616" t="s">
        <v>36</v>
      </c>
      <c r="S1008" s="6538" t="str">
        <f>"2023년 전일제+파트타임 합계 "&amp;ROW($C$883)&amp;"행(총 임직원)과 불일치"</f>
        <v>2023년 전일제+파트타임 합계 883행(총 임직원)과 불일치</v>
      </c>
      <c r="T1008" s="4849"/>
      <c r="U1008" s="544"/>
      <c r="V1008" s="545"/>
      <c r="W1008" s="546"/>
      <c r="X1008" s="547"/>
      <c r="Y1008" s="548"/>
      <c r="Z1008" s="277"/>
      <c r="AA1008" s="277"/>
      <c r="AB1008" s="187"/>
    </row>
    <row r="1009" spans="1:30" ht="20.100000000000001" customHeight="1">
      <c r="A1009" s="11"/>
      <c r="B1009" s="1360"/>
      <c r="C1009" s="5598"/>
      <c r="D1009" s="9598" t="s">
        <v>137</v>
      </c>
      <c r="E1009" s="9600"/>
      <c r="F1009" s="492" t="s">
        <v>732</v>
      </c>
      <c r="G1009" s="666"/>
      <c r="H1009" s="666"/>
      <c r="I1009" s="9579" t="s">
        <v>138</v>
      </c>
      <c r="J1009" s="9581"/>
      <c r="K1009" s="285" t="s">
        <v>734</v>
      </c>
      <c r="L1009" s="7113">
        <v>183</v>
      </c>
      <c r="M1009" s="7280"/>
      <c r="N1009" s="7117">
        <v>231</v>
      </c>
      <c r="O1009" s="7386"/>
      <c r="P1009" s="7500">
        <v>196</v>
      </c>
      <c r="Q1009" s="7240"/>
      <c r="R1009" s="6616" t="s">
        <v>36</v>
      </c>
      <c r="S1009" s="6538" t="str">
        <f>"2023년 전일제+파트타임 합계 "&amp;ROW($C$884)&amp;"행(총 임직원)과 불일치"</f>
        <v>2023년 전일제+파트타임 합계 884행(총 임직원)과 불일치</v>
      </c>
      <c r="T1009" s="2468"/>
      <c r="U1009" s="544"/>
      <c r="V1009" s="545"/>
      <c r="W1009" s="546"/>
      <c r="X1009" s="547"/>
      <c r="Y1009" s="548"/>
      <c r="Z1009" s="277"/>
      <c r="AA1009" s="277"/>
      <c r="AB1009" s="187"/>
    </row>
    <row r="1010" spans="1:30" ht="20.100000000000001" customHeight="1">
      <c r="A1010" s="11"/>
      <c r="B1010" s="1360"/>
      <c r="C1010" s="5598"/>
      <c r="D1010" s="9598" t="s">
        <v>140</v>
      </c>
      <c r="E1010" s="9600"/>
      <c r="F1010" s="492" t="s">
        <v>732</v>
      </c>
      <c r="G1010" s="666"/>
      <c r="H1010" s="666"/>
      <c r="I1010" s="9582" t="s">
        <v>141</v>
      </c>
      <c r="J1010" s="9583"/>
      <c r="K1010" s="285" t="s">
        <v>734</v>
      </c>
      <c r="L1010" s="7113">
        <v>1054</v>
      </c>
      <c r="M1010" s="7280"/>
      <c r="N1010" s="7117">
        <v>909</v>
      </c>
      <c r="O1010" s="7386"/>
      <c r="P1010" s="7123">
        <v>750</v>
      </c>
      <c r="Q1010" s="7240"/>
      <c r="R1010" s="6616" t="s">
        <v>36</v>
      </c>
      <c r="S1010" s="6538"/>
      <c r="T1010" s="2468"/>
      <c r="U1010" s="544"/>
      <c r="V1010" s="545"/>
      <c r="W1010" s="546"/>
      <c r="X1010" s="547"/>
      <c r="Y1010" s="548"/>
      <c r="Z1010" s="277"/>
      <c r="AA1010" s="277"/>
      <c r="AB1010" s="187"/>
    </row>
    <row r="1011" spans="1:30" ht="20.100000000000001" customHeight="1">
      <c r="A1011" s="11"/>
      <c r="B1011" s="1360"/>
      <c r="C1011" s="5598"/>
      <c r="D1011" s="9598" t="s">
        <v>143</v>
      </c>
      <c r="E1011" s="9600"/>
      <c r="F1011" s="492" t="s">
        <v>732</v>
      </c>
      <c r="G1011" s="666"/>
      <c r="H1011" s="666"/>
      <c r="I1011" s="9582" t="s">
        <v>144</v>
      </c>
      <c r="J1011" s="9583"/>
      <c r="K1011" s="285" t="s">
        <v>734</v>
      </c>
      <c r="L1011" s="7172">
        <v>564</v>
      </c>
      <c r="M1011" s="7280"/>
      <c r="N1011" s="7178">
        <v>577</v>
      </c>
      <c r="O1011" s="7386"/>
      <c r="P1011" s="7500">
        <v>572</v>
      </c>
      <c r="Q1011" s="7240"/>
      <c r="R1011" s="6616" t="s">
        <v>36</v>
      </c>
      <c r="S1011" s="6538" t="str">
        <f>"2023년 전일제+파트타임 합계 "&amp;ROW($C$886)&amp;"행(총 임직원)과 불일치"</f>
        <v>2023년 전일제+파트타임 합계 886행(총 임직원)과 불일치</v>
      </c>
      <c r="T1011" s="2468"/>
      <c r="U1011" s="544"/>
      <c r="V1011" s="545"/>
      <c r="W1011" s="546"/>
      <c r="X1011" s="547"/>
      <c r="Y1011" s="548"/>
      <c r="Z1011" s="277"/>
      <c r="AA1011" s="277"/>
      <c r="AB1011" s="187"/>
    </row>
    <row r="1012" spans="1:30" ht="20.100000000000001" customHeight="1">
      <c r="A1012" s="11"/>
      <c r="B1012" s="1360"/>
      <c r="C1012" s="5598"/>
      <c r="D1012" s="9598" t="s">
        <v>146</v>
      </c>
      <c r="E1012" s="9600"/>
      <c r="F1012" s="492" t="s">
        <v>732</v>
      </c>
      <c r="G1012" s="666"/>
      <c r="H1012" s="666"/>
      <c r="I1012" s="9582" t="s">
        <v>147</v>
      </c>
      <c r="J1012" s="9583"/>
      <c r="K1012" s="285" t="s">
        <v>734</v>
      </c>
      <c r="L1012" s="7113">
        <v>381</v>
      </c>
      <c r="M1012" s="7280"/>
      <c r="N1012" s="7117">
        <v>393</v>
      </c>
      <c r="O1012" s="7386"/>
      <c r="P1012" s="7123">
        <v>412</v>
      </c>
      <c r="Q1012" s="7240"/>
      <c r="R1012" s="6616" t="s">
        <v>36</v>
      </c>
      <c r="S1012" s="6538"/>
      <c r="T1012" s="2468"/>
      <c r="U1012" s="544"/>
      <c r="V1012" s="545"/>
      <c r="W1012" s="546"/>
      <c r="X1012" s="547"/>
      <c r="Y1012" s="548"/>
      <c r="Z1012" s="277"/>
      <c r="AA1012" s="277"/>
      <c r="AB1012" s="187"/>
    </row>
    <row r="1013" spans="1:30" ht="20.100000000000001" customHeight="1">
      <c r="A1013" s="11"/>
      <c r="B1013" s="1360"/>
      <c r="C1013" s="5598"/>
      <c r="D1013" s="9598" t="s">
        <v>149</v>
      </c>
      <c r="E1013" s="9600"/>
      <c r="F1013" s="492" t="s">
        <v>732</v>
      </c>
      <c r="G1013" s="666"/>
      <c r="H1013" s="666"/>
      <c r="I1013" s="9582" t="s">
        <v>150</v>
      </c>
      <c r="J1013" s="9583"/>
      <c r="K1013" s="285" t="s">
        <v>734</v>
      </c>
      <c r="L1013" s="7113">
        <v>838</v>
      </c>
      <c r="M1013" s="7280"/>
      <c r="N1013" s="7117">
        <v>730</v>
      </c>
      <c r="O1013" s="7386"/>
      <c r="P1013" s="7123">
        <v>685</v>
      </c>
      <c r="Q1013" s="7240"/>
      <c r="R1013" s="6616" t="s">
        <v>36</v>
      </c>
      <c r="S1013" s="6538"/>
      <c r="T1013" s="2468"/>
      <c r="U1013" s="544"/>
      <c r="V1013" s="545"/>
      <c r="W1013" s="546"/>
      <c r="X1013" s="547"/>
      <c r="Y1013" s="548"/>
      <c r="Z1013" s="277"/>
      <c r="AA1013" s="277"/>
      <c r="AB1013" s="187"/>
    </row>
    <row r="1014" spans="1:30" ht="20.100000000000001" customHeight="1">
      <c r="A1014" s="11"/>
      <c r="B1014" s="1360"/>
      <c r="C1014" s="5598"/>
      <c r="D1014" s="9586" t="s">
        <v>784</v>
      </c>
      <c r="E1014" s="9588"/>
      <c r="F1014" s="6683" t="s">
        <v>732</v>
      </c>
      <c r="G1014" s="7009"/>
      <c r="H1014" s="7009"/>
      <c r="I1014" s="9586" t="s">
        <v>785</v>
      </c>
      <c r="J1014" s="9588"/>
      <c r="K1014" s="6683" t="s">
        <v>734</v>
      </c>
      <c r="L1014" s="7111">
        <f>IF(COUNTBLANK(L1015:L1020)&gt;0,"미취합법인有",SUM(L1015:L1020))</f>
        <v>3449</v>
      </c>
      <c r="M1014" s="7279"/>
      <c r="N1014" s="7115">
        <f>IF(COUNTBLANK(N1015:N1020)&gt;0,"미취합법인有",SUM(N1015:N1020))</f>
        <v>5688</v>
      </c>
      <c r="O1014" s="7385"/>
      <c r="P1014" s="7121">
        <f>IF(COUNTBLANK(P1015:P1020)&gt;0,"미취합법인有",SUM(P1015:P1020))</f>
        <v>5754</v>
      </c>
      <c r="Q1014" s="7029"/>
      <c r="R1014" s="7010" t="s">
        <v>36</v>
      </c>
      <c r="S1014" s="7007"/>
      <c r="T1014" s="7008" t="s">
        <v>773</v>
      </c>
      <c r="U1014" s="367" t="s">
        <v>774</v>
      </c>
      <c r="V1014" s="99" t="s">
        <v>737</v>
      </c>
      <c r="W1014" s="547" t="s">
        <v>738</v>
      </c>
      <c r="X1014" s="547"/>
      <c r="Y1014" s="99"/>
      <c r="Z1014" s="620" t="s">
        <v>770</v>
      </c>
      <c r="AA1014" s="620" t="s">
        <v>740</v>
      </c>
      <c r="AB1014" s="159"/>
    </row>
    <row r="1015" spans="1:30" ht="20.100000000000001" customHeight="1">
      <c r="A1015" s="11"/>
      <c r="B1015" s="1360"/>
      <c r="C1015" s="5598"/>
      <c r="D1015" s="9598" t="s">
        <v>134</v>
      </c>
      <c r="E1015" s="9600"/>
      <c r="F1015" s="492" t="s">
        <v>732</v>
      </c>
      <c r="G1015" s="666"/>
      <c r="H1015" s="666"/>
      <c r="I1015" s="9579" t="s">
        <v>135</v>
      </c>
      <c r="J1015" s="9581"/>
      <c r="K1015" s="285" t="s">
        <v>734</v>
      </c>
      <c r="L1015" s="7113">
        <v>2466</v>
      </c>
      <c r="M1015" s="7280" t="s">
        <v>786</v>
      </c>
      <c r="N1015" s="7117">
        <v>3405</v>
      </c>
      <c r="O1015" s="7386" t="s">
        <v>786</v>
      </c>
      <c r="P1015" s="7501">
        <v>3474</v>
      </c>
      <c r="Q1015" s="7240" t="s">
        <v>786</v>
      </c>
      <c r="R1015" s="6616" t="s">
        <v>36</v>
      </c>
      <c r="S1015" s="6538" t="str">
        <f>"2023년 전일제+파트타임 합계 "&amp;ROW($C$883)&amp;"행(총 임직원)과 불일치"</f>
        <v>2023년 전일제+파트타임 합계 883행(총 임직원)과 불일치</v>
      </c>
      <c r="T1015" s="2468"/>
      <c r="U1015" s="544"/>
      <c r="V1015" s="545"/>
      <c r="W1015" s="546"/>
      <c r="X1015" s="547"/>
      <c r="Y1015" s="548"/>
      <c r="Z1015" s="277"/>
      <c r="AA1015" s="277"/>
      <c r="AB1015" s="187"/>
    </row>
    <row r="1016" spans="1:30" ht="20.100000000000001" customHeight="1">
      <c r="A1016" s="11"/>
      <c r="B1016" s="1360"/>
      <c r="C1016" s="5598"/>
      <c r="D1016" s="9598" t="s">
        <v>137</v>
      </c>
      <c r="E1016" s="9600"/>
      <c r="F1016" s="492" t="s">
        <v>732</v>
      </c>
      <c r="G1016" s="666"/>
      <c r="H1016" s="666"/>
      <c r="I1016" s="9579" t="s">
        <v>138</v>
      </c>
      <c r="J1016" s="9581"/>
      <c r="K1016" s="285" t="s">
        <v>734</v>
      </c>
      <c r="L1016" s="7113">
        <v>0</v>
      </c>
      <c r="M1016" s="7280"/>
      <c r="N1016" s="7117">
        <v>0</v>
      </c>
      <c r="O1016" s="7386"/>
      <c r="P1016" s="7500">
        <v>0</v>
      </c>
      <c r="Q1016" s="7240"/>
      <c r="R1016" s="6616" t="s">
        <v>36</v>
      </c>
      <c r="S1016" s="6538" t="str">
        <f>"2023년 전일제+파트타임 합계 "&amp;ROW($C$884)&amp;"행(총 임직원)과 불일치"</f>
        <v>2023년 전일제+파트타임 합계 884행(총 임직원)과 불일치</v>
      </c>
      <c r="T1016" s="2468"/>
      <c r="U1016" s="544"/>
      <c r="V1016" s="545"/>
      <c r="W1016" s="546"/>
      <c r="X1016" s="547"/>
      <c r="Y1016" s="548"/>
      <c r="Z1016" s="277"/>
      <c r="AA1016" s="277"/>
      <c r="AB1016" s="187"/>
    </row>
    <row r="1017" spans="1:30" ht="20.100000000000001" customHeight="1">
      <c r="A1017" s="11"/>
      <c r="B1017" s="1360"/>
      <c r="C1017" s="5598"/>
      <c r="D1017" s="9598" t="s">
        <v>140</v>
      </c>
      <c r="E1017" s="9600"/>
      <c r="F1017" s="492" t="s">
        <v>732</v>
      </c>
      <c r="G1017" s="666"/>
      <c r="H1017" s="666"/>
      <c r="I1017" s="9582" t="s">
        <v>141</v>
      </c>
      <c r="J1017" s="9583"/>
      <c r="K1017" s="285" t="s">
        <v>734</v>
      </c>
      <c r="L1017" s="7113">
        <v>0</v>
      </c>
      <c r="M1017" s="7280"/>
      <c r="N1017" s="7117">
        <v>0</v>
      </c>
      <c r="O1017" s="7386"/>
      <c r="P1017" s="7123">
        <v>0</v>
      </c>
      <c r="Q1017" s="7240"/>
      <c r="R1017" s="6616" t="s">
        <v>36</v>
      </c>
      <c r="S1017" s="6538"/>
      <c r="T1017" s="2468"/>
      <c r="U1017" s="544"/>
      <c r="V1017" s="545"/>
      <c r="W1017" s="546"/>
      <c r="X1017" s="547"/>
      <c r="Y1017" s="548"/>
      <c r="Z1017" s="277"/>
      <c r="AA1017" s="277"/>
      <c r="AB1017" s="187"/>
    </row>
    <row r="1018" spans="1:30" ht="20.100000000000001" customHeight="1">
      <c r="A1018" s="11"/>
      <c r="B1018" s="1360"/>
      <c r="C1018" s="5598"/>
      <c r="D1018" s="9598" t="s">
        <v>143</v>
      </c>
      <c r="E1018" s="9600"/>
      <c r="F1018" s="492" t="s">
        <v>732</v>
      </c>
      <c r="G1018" s="666"/>
      <c r="H1018" s="666"/>
      <c r="I1018" s="9582" t="s">
        <v>144</v>
      </c>
      <c r="J1018" s="9583"/>
      <c r="K1018" s="285" t="s">
        <v>734</v>
      </c>
      <c r="L1018" s="7172">
        <v>541</v>
      </c>
      <c r="M1018" s="7280"/>
      <c r="N1018" s="7178">
        <v>1869</v>
      </c>
      <c r="O1018" s="7386"/>
      <c r="P1018" s="7500">
        <v>1906</v>
      </c>
      <c r="Q1018" s="7240"/>
      <c r="R1018" s="6616" t="s">
        <v>36</v>
      </c>
      <c r="S1018" s="6538" t="str">
        <f>"2023년 전일제+파트타임 합계 "&amp;ROW($C$886)&amp;"행(총 임직원)과 불일치"</f>
        <v>2023년 전일제+파트타임 합계 886행(총 임직원)과 불일치</v>
      </c>
      <c r="T1018" s="2468"/>
      <c r="U1018" s="544"/>
      <c r="V1018" s="545"/>
      <c r="W1018" s="546"/>
      <c r="X1018" s="547"/>
      <c r="Y1018" s="548"/>
      <c r="Z1018" s="277"/>
      <c r="AA1018" s="277"/>
      <c r="AB1018" s="187"/>
    </row>
    <row r="1019" spans="1:30" ht="20.100000000000001" customHeight="1">
      <c r="A1019" s="11"/>
      <c r="B1019" s="1360"/>
      <c r="C1019" s="5598"/>
      <c r="D1019" s="9598" t="s">
        <v>146</v>
      </c>
      <c r="E1019" s="9600"/>
      <c r="F1019" s="492" t="s">
        <v>732</v>
      </c>
      <c r="G1019" s="666"/>
      <c r="H1019" s="666"/>
      <c r="I1019" s="9582" t="s">
        <v>147</v>
      </c>
      <c r="J1019" s="9583"/>
      <c r="K1019" s="285" t="s">
        <v>734</v>
      </c>
      <c r="L1019" s="7113">
        <v>0</v>
      </c>
      <c r="M1019" s="7280" t="s">
        <v>787</v>
      </c>
      <c r="N1019" s="7117">
        <v>0</v>
      </c>
      <c r="O1019" s="7386" t="s">
        <v>787</v>
      </c>
      <c r="P1019" s="7123">
        <v>0</v>
      </c>
      <c r="Q1019" s="7240"/>
      <c r="R1019" s="6616" t="s">
        <v>36</v>
      </c>
      <c r="S1019" s="6538"/>
      <c r="T1019" s="2468"/>
      <c r="U1019" s="544"/>
      <c r="V1019" s="545"/>
      <c r="W1019" s="546"/>
      <c r="X1019" s="547"/>
      <c r="Y1019" s="548"/>
      <c r="Z1019" s="277"/>
      <c r="AA1019" s="277"/>
      <c r="AB1019" s="187"/>
    </row>
    <row r="1020" spans="1:30" ht="20.100000000000001" customHeight="1">
      <c r="A1020" s="11"/>
      <c r="B1020" s="1360"/>
      <c r="C1020" s="5598"/>
      <c r="D1020" s="9598" t="s">
        <v>149</v>
      </c>
      <c r="E1020" s="9600"/>
      <c r="F1020" s="492" t="s">
        <v>732</v>
      </c>
      <c r="G1020" s="666"/>
      <c r="H1020" s="666"/>
      <c r="I1020" s="9582" t="s">
        <v>150</v>
      </c>
      <c r="J1020" s="9583"/>
      <c r="K1020" s="285" t="s">
        <v>734</v>
      </c>
      <c r="L1020" s="7113">
        <v>442</v>
      </c>
      <c r="M1020" s="7280"/>
      <c r="N1020" s="7117">
        <v>414</v>
      </c>
      <c r="O1020" s="7386"/>
      <c r="P1020" s="7123">
        <v>374</v>
      </c>
      <c r="Q1020" s="7240"/>
      <c r="R1020" s="6616" t="s">
        <v>36</v>
      </c>
      <c r="S1020" s="6538"/>
      <c r="T1020" s="2468"/>
      <c r="U1020" s="544"/>
      <c r="V1020" s="545"/>
      <c r="W1020" s="546"/>
      <c r="X1020" s="547"/>
      <c r="Y1020" s="548"/>
      <c r="Z1020" s="277"/>
      <c r="AA1020" s="277"/>
      <c r="AB1020" s="187"/>
    </row>
    <row r="1021" spans="1:30" ht="19.899999999999999" customHeight="1">
      <c r="A1021" s="11"/>
      <c r="B1021" s="1360"/>
      <c r="C1021" s="9887" t="s">
        <v>833</v>
      </c>
      <c r="D1021" s="9888"/>
      <c r="E1021" s="9893"/>
      <c r="F1021" s="7021"/>
      <c r="G1021" s="7022"/>
      <c r="H1021" s="9894" t="s">
        <v>834</v>
      </c>
      <c r="I1021" s="9895"/>
      <c r="J1021" s="9896"/>
      <c r="K1021" s="7021" t="s">
        <v>734</v>
      </c>
      <c r="L1021" s="7141"/>
      <c r="M1021" s="7290"/>
      <c r="N1021" s="7142"/>
      <c r="O1021" s="7290"/>
      <c r="P1021" s="7143"/>
      <c r="Q1021" s="7477"/>
      <c r="R1021" s="7023"/>
      <c r="S1021" s="7024"/>
      <c r="T1021" s="7623" t="s">
        <v>835</v>
      </c>
      <c r="U1021" s="276" t="s">
        <v>836</v>
      </c>
      <c r="V1021" s="99" t="s">
        <v>758</v>
      </c>
      <c r="W1021" s="547" t="s">
        <v>738</v>
      </c>
      <c r="X1021" s="547"/>
      <c r="Y1021" s="665"/>
      <c r="Z1021" s="620" t="s">
        <v>837</v>
      </c>
      <c r="AA1021" s="620" t="s">
        <v>740</v>
      </c>
      <c r="AB1021" s="159"/>
      <c r="AD1021" s="139" t="s">
        <v>838</v>
      </c>
    </row>
    <row r="1022" spans="1:30" ht="19.899999999999999" customHeight="1">
      <c r="A1022" s="11"/>
      <c r="B1022" s="5590"/>
      <c r="C1022" s="6693"/>
      <c r="D1022" s="9584" t="s">
        <v>1819</v>
      </c>
      <c r="E1022" s="9585"/>
      <c r="F1022" s="5766" t="s">
        <v>732</v>
      </c>
      <c r="G1022" s="5694"/>
      <c r="H1022" s="9897"/>
      <c r="I1022" s="9898"/>
      <c r="J1022" s="9899"/>
      <c r="K1022" s="5766"/>
      <c r="L1022" s="7619">
        <f>SUM(L1023:L1028)</f>
        <v>1277</v>
      </c>
      <c r="M1022" s="7620"/>
      <c r="N1022" s="7621">
        <f>SUM(N1023:N1028)</f>
        <v>1280</v>
      </c>
      <c r="O1022" s="7620"/>
      <c r="P1022" s="7621">
        <f>SUM(P1023:P1028)</f>
        <v>1345</v>
      </c>
      <c r="Q1022" s="7622"/>
      <c r="R1022" s="6994"/>
      <c r="S1022" s="7026"/>
      <c r="T1022" s="7027"/>
      <c r="U1022" s="263"/>
      <c r="V1022" s="99"/>
      <c r="W1022" s="138"/>
      <c r="X1022" s="138"/>
      <c r="Y1022" s="99"/>
      <c r="Z1022" s="620" t="s">
        <v>837</v>
      </c>
      <c r="AA1022" s="620" t="s">
        <v>740</v>
      </c>
      <c r="AB1022" s="187"/>
    </row>
    <row r="1023" spans="1:30" ht="19.899999999999999" customHeight="1">
      <c r="A1023" s="11"/>
      <c r="B1023" s="5590"/>
      <c r="C1023" s="6693"/>
      <c r="D1023" s="357" t="s">
        <v>134</v>
      </c>
      <c r="E1023" s="614"/>
      <c r="F1023" s="285" t="s">
        <v>742</v>
      </c>
      <c r="G1023" s="253"/>
      <c r="H1023" s="9579" t="s">
        <v>135</v>
      </c>
      <c r="I1023" s="9580"/>
      <c r="J1023" s="9581"/>
      <c r="K1023" s="285" t="s">
        <v>734</v>
      </c>
      <c r="L1023" s="7618">
        <v>1135</v>
      </c>
      <c r="M1023" s="7292" t="s">
        <v>839</v>
      </c>
      <c r="N1023" s="7501">
        <v>1097</v>
      </c>
      <c r="O1023" s="7292" t="s">
        <v>839</v>
      </c>
      <c r="P1023" s="7501">
        <v>1096</v>
      </c>
      <c r="Q1023" s="7240" t="s">
        <v>839</v>
      </c>
      <c r="R1023" s="6658"/>
      <c r="S1023" s="6538" t="s">
        <v>1886</v>
      </c>
      <c r="T1023" s="1033"/>
      <c r="U1023" s="263"/>
      <c r="V1023" s="99"/>
      <c r="W1023" s="138"/>
      <c r="X1023" s="138"/>
      <c r="Y1023" s="99"/>
      <c r="Z1023" s="264"/>
      <c r="AA1023" s="277"/>
      <c r="AB1023" s="187"/>
    </row>
    <row r="1024" spans="1:30" ht="19.899999999999999" customHeight="1">
      <c r="A1024" s="11"/>
      <c r="B1024" s="5590"/>
      <c r="C1024" s="6693"/>
      <c r="D1024" s="357" t="s">
        <v>137</v>
      </c>
      <c r="E1024" s="614"/>
      <c r="F1024" s="285" t="s">
        <v>742</v>
      </c>
      <c r="G1024" s="253"/>
      <c r="H1024" s="9579" t="s">
        <v>138</v>
      </c>
      <c r="I1024" s="9580"/>
      <c r="J1024" s="9581"/>
      <c r="K1024" s="285" t="s">
        <v>734</v>
      </c>
      <c r="L1024" s="7144">
        <v>138</v>
      </c>
      <c r="M1024" s="7292"/>
      <c r="N1024" s="7122">
        <v>179</v>
      </c>
      <c r="O1024" s="7292"/>
      <c r="P1024" s="7501">
        <v>249</v>
      </c>
      <c r="Q1024" s="7449"/>
      <c r="R1024" s="6671"/>
      <c r="S1024" s="6538" t="s">
        <v>1887</v>
      </c>
      <c r="T1024" s="1033"/>
      <c r="U1024" s="263"/>
      <c r="V1024" s="99"/>
      <c r="W1024" s="138"/>
      <c r="X1024" s="138"/>
      <c r="Y1024" s="99"/>
      <c r="Z1024" s="264"/>
      <c r="AA1024" s="277"/>
      <c r="AB1024" s="187"/>
    </row>
    <row r="1025" spans="1:28" ht="19.899999999999999" customHeight="1">
      <c r="A1025" s="11"/>
      <c r="B1025" s="5590"/>
      <c r="C1025" s="6693"/>
      <c r="D1025" s="357" t="s">
        <v>140</v>
      </c>
      <c r="E1025" s="614"/>
      <c r="F1025" s="285" t="s">
        <v>742</v>
      </c>
      <c r="G1025" s="253"/>
      <c r="H1025" s="9579" t="s">
        <v>141</v>
      </c>
      <c r="I1025" s="9580"/>
      <c r="J1025" s="9581"/>
      <c r="K1025" s="285" t="s">
        <v>734</v>
      </c>
      <c r="L1025" s="7112"/>
      <c r="M1025" s="7292"/>
      <c r="N1025" s="7135"/>
      <c r="O1025" s="7292"/>
      <c r="P1025" s="7135"/>
      <c r="Q1025" s="7448"/>
      <c r="R1025" s="6672"/>
      <c r="S1025" s="6538" t="s">
        <v>1888</v>
      </c>
      <c r="T1025" s="1033"/>
      <c r="U1025" s="263"/>
      <c r="V1025" s="99"/>
      <c r="W1025" s="138"/>
      <c r="X1025" s="138"/>
      <c r="Y1025" s="99"/>
      <c r="Z1025" s="264"/>
      <c r="AA1025" s="277"/>
      <c r="AB1025" s="187"/>
    </row>
    <row r="1026" spans="1:28" ht="19.899999999999999" customHeight="1">
      <c r="A1026" s="11"/>
      <c r="B1026" s="5590"/>
      <c r="C1026" s="6693"/>
      <c r="D1026" s="357" t="s">
        <v>143</v>
      </c>
      <c r="E1026" s="614"/>
      <c r="F1026" s="285" t="s">
        <v>742</v>
      </c>
      <c r="G1026" s="253"/>
      <c r="H1026" s="9579" t="s">
        <v>144</v>
      </c>
      <c r="I1026" s="9580"/>
      <c r="J1026" s="9581"/>
      <c r="K1026" s="285" t="s">
        <v>734</v>
      </c>
      <c r="L1026" s="7144">
        <v>4</v>
      </c>
      <c r="M1026" s="7292"/>
      <c r="N1026" s="7145">
        <v>4</v>
      </c>
      <c r="O1026" s="7292"/>
      <c r="P1026" s="7145"/>
      <c r="Q1026" s="7448"/>
      <c r="R1026" s="6658"/>
      <c r="S1026" s="6538" t="s">
        <v>1889</v>
      </c>
      <c r="T1026" s="1033"/>
      <c r="U1026" s="263"/>
      <c r="V1026" s="99"/>
      <c r="W1026" s="138"/>
      <c r="X1026" s="138"/>
      <c r="Y1026" s="99"/>
      <c r="Z1026" s="264"/>
      <c r="AA1026" s="277"/>
      <c r="AB1026" s="187"/>
    </row>
    <row r="1027" spans="1:28" ht="19.899999999999999" customHeight="1">
      <c r="A1027" s="11"/>
      <c r="B1027" s="5590"/>
      <c r="C1027" s="6693"/>
      <c r="D1027" s="357" t="s">
        <v>146</v>
      </c>
      <c r="E1027" s="614"/>
      <c r="F1027" s="285" t="s">
        <v>742</v>
      </c>
      <c r="G1027" s="253"/>
      <c r="H1027" s="9579" t="s">
        <v>147</v>
      </c>
      <c r="I1027" s="9580"/>
      <c r="J1027" s="9581"/>
      <c r="K1027" s="285" t="s">
        <v>734</v>
      </c>
      <c r="L1027" s="7144"/>
      <c r="M1027" s="7292"/>
      <c r="N1027" s="7145"/>
      <c r="O1027" s="7292"/>
      <c r="P1027" s="7145"/>
      <c r="Q1027" s="7372"/>
      <c r="R1027" s="6663"/>
      <c r="S1027" s="6538" t="s">
        <v>1888</v>
      </c>
      <c r="T1027" s="1033"/>
      <c r="U1027" s="263"/>
      <c r="V1027" s="99"/>
      <c r="W1027" s="138"/>
      <c r="X1027" s="138"/>
      <c r="Y1027" s="99"/>
      <c r="Z1027" s="264"/>
      <c r="AA1027" s="277"/>
      <c r="AB1027" s="187"/>
    </row>
    <row r="1028" spans="1:28" ht="19.899999999999999" customHeight="1">
      <c r="A1028" s="11"/>
      <c r="B1028" s="5590"/>
      <c r="C1028" s="6693"/>
      <c r="D1028" s="357" t="s">
        <v>149</v>
      </c>
      <c r="E1028" s="614"/>
      <c r="F1028" s="285" t="s">
        <v>742</v>
      </c>
      <c r="G1028" s="253"/>
      <c r="H1028" s="9579" t="s">
        <v>150</v>
      </c>
      <c r="I1028" s="9580"/>
      <c r="J1028" s="9581"/>
      <c r="K1028" s="285" t="s">
        <v>734</v>
      </c>
      <c r="L1028" s="7144" t="s">
        <v>168</v>
      </c>
      <c r="M1028" s="7292" t="s">
        <v>641</v>
      </c>
      <c r="N1028" s="7145" t="s">
        <v>168</v>
      </c>
      <c r="O1028" s="7292" t="s">
        <v>641</v>
      </c>
      <c r="P1028" s="7145" t="s">
        <v>168</v>
      </c>
      <c r="Q1028" s="7372" t="s">
        <v>641</v>
      </c>
      <c r="R1028" s="6663"/>
      <c r="S1028" s="6538"/>
      <c r="T1028" s="1033"/>
      <c r="U1028" s="263"/>
      <c r="V1028" s="99"/>
      <c r="W1028" s="138"/>
      <c r="X1028" s="138"/>
      <c r="Y1028" s="99"/>
      <c r="Z1028" s="264"/>
      <c r="AA1028" s="277"/>
      <c r="AB1028" s="187"/>
    </row>
    <row r="1029" spans="1:28" ht="19.899999999999999" customHeight="1">
      <c r="A1029" s="11"/>
      <c r="B1029" s="5590"/>
      <c r="C1029" s="6693"/>
      <c r="D1029" s="9584" t="s">
        <v>1890</v>
      </c>
      <c r="E1029" s="9585"/>
      <c r="F1029" s="6683"/>
      <c r="G1029" s="7025"/>
      <c r="H1029" s="9900"/>
      <c r="I1029" s="9901"/>
      <c r="J1029" s="9902"/>
      <c r="K1029" s="6683"/>
      <c r="L1029" s="7111"/>
      <c r="M1029" s="7291"/>
      <c r="N1029" s="7119"/>
      <c r="O1029" s="7291"/>
      <c r="P1029" s="7119"/>
      <c r="Q1029" s="6988"/>
      <c r="R1029" s="6994"/>
      <c r="S1029" s="7026"/>
      <c r="T1029" s="7027"/>
      <c r="U1029" s="263"/>
      <c r="V1029" s="99"/>
      <c r="W1029" s="138"/>
      <c r="X1029" s="138"/>
      <c r="Y1029" s="99"/>
      <c r="Z1029" s="620" t="s">
        <v>837</v>
      </c>
      <c r="AA1029" s="620" t="s">
        <v>740</v>
      </c>
      <c r="AB1029" s="187"/>
    </row>
    <row r="1030" spans="1:28" ht="19.899999999999999" customHeight="1">
      <c r="A1030" s="11"/>
      <c r="B1030" s="5590"/>
      <c r="C1030" s="6693"/>
      <c r="D1030" s="357" t="s">
        <v>134</v>
      </c>
      <c r="E1030" s="614"/>
      <c r="F1030" s="285" t="s">
        <v>742</v>
      </c>
      <c r="G1030" s="253"/>
      <c r="H1030" s="9579" t="s">
        <v>135</v>
      </c>
      <c r="I1030" s="9580"/>
      <c r="J1030" s="9581"/>
      <c r="K1030" s="285" t="s">
        <v>734</v>
      </c>
      <c r="L1030" s="7144"/>
      <c r="M1030" s="7292"/>
      <c r="N1030" s="7122"/>
      <c r="O1030" s="7292"/>
      <c r="P1030" s="7122"/>
      <c r="Q1030" s="7240"/>
      <c r="R1030" s="6658"/>
      <c r="S1030" s="6538" t="s">
        <v>1891</v>
      </c>
      <c r="T1030" s="1033"/>
      <c r="U1030" s="263"/>
      <c r="V1030" s="99"/>
      <c r="W1030" s="138"/>
      <c r="X1030" s="138"/>
      <c r="Y1030" s="99"/>
      <c r="Z1030" s="264"/>
      <c r="AA1030" s="277"/>
      <c r="AB1030" s="187"/>
    </row>
    <row r="1031" spans="1:28" ht="19.899999999999999" customHeight="1">
      <c r="A1031" s="11"/>
      <c r="B1031" s="5590"/>
      <c r="C1031" s="6693"/>
      <c r="D1031" s="357" t="s">
        <v>137</v>
      </c>
      <c r="E1031" s="614"/>
      <c r="F1031" s="285" t="s">
        <v>742</v>
      </c>
      <c r="G1031" s="253"/>
      <c r="H1031" s="9579" t="s">
        <v>138</v>
      </c>
      <c r="I1031" s="9580"/>
      <c r="J1031" s="9581"/>
      <c r="K1031" s="285" t="s">
        <v>734</v>
      </c>
      <c r="L1031" s="7144">
        <v>14</v>
      </c>
      <c r="M1031" s="7292"/>
      <c r="N1031" s="7122">
        <v>20</v>
      </c>
      <c r="O1031" s="7292"/>
      <c r="P1031" s="7122"/>
      <c r="Q1031" s="7449"/>
      <c r="R1031" s="6671"/>
      <c r="S1031" s="6538" t="s">
        <v>1892</v>
      </c>
      <c r="T1031" s="1033"/>
      <c r="U1031" s="263"/>
      <c r="V1031" s="99"/>
      <c r="W1031" s="138"/>
      <c r="X1031" s="138"/>
      <c r="Y1031" s="99"/>
      <c r="Z1031" s="264"/>
      <c r="AA1031" s="277"/>
      <c r="AB1031" s="187"/>
    </row>
    <row r="1032" spans="1:28" ht="19.899999999999999" customHeight="1">
      <c r="A1032" s="11"/>
      <c r="B1032" s="5590"/>
      <c r="C1032" s="6693"/>
      <c r="D1032" s="357" t="s">
        <v>140</v>
      </c>
      <c r="E1032" s="614"/>
      <c r="F1032" s="285" t="s">
        <v>742</v>
      </c>
      <c r="G1032" s="253"/>
      <c r="H1032" s="9579" t="s">
        <v>141</v>
      </c>
      <c r="I1032" s="9580"/>
      <c r="J1032" s="9581"/>
      <c r="K1032" s="285" t="s">
        <v>734</v>
      </c>
      <c r="L1032" s="7146"/>
      <c r="M1032" s="7292"/>
      <c r="N1032" s="7147"/>
      <c r="O1032" s="7292"/>
      <c r="P1032" s="7147"/>
      <c r="Q1032" s="7448"/>
      <c r="R1032" s="6672"/>
      <c r="S1032" s="6538" t="s">
        <v>1891</v>
      </c>
      <c r="T1032" s="1033"/>
      <c r="U1032" s="263"/>
      <c r="V1032" s="99"/>
      <c r="W1032" s="138"/>
      <c r="X1032" s="138"/>
      <c r="Y1032" s="99"/>
      <c r="Z1032" s="264"/>
      <c r="AA1032" s="277"/>
      <c r="AB1032" s="187"/>
    </row>
    <row r="1033" spans="1:28" ht="19.899999999999999" customHeight="1">
      <c r="A1033" s="11"/>
      <c r="B1033" s="5590"/>
      <c r="C1033" s="6693"/>
      <c r="D1033" s="357" t="s">
        <v>143</v>
      </c>
      <c r="E1033" s="614"/>
      <c r="F1033" s="285" t="s">
        <v>742</v>
      </c>
      <c r="G1033" s="253"/>
      <c r="H1033" s="9579" t="s">
        <v>144</v>
      </c>
      <c r="I1033" s="9580"/>
      <c r="J1033" s="9581"/>
      <c r="K1033" s="285" t="s">
        <v>734</v>
      </c>
      <c r="L1033" s="7144">
        <v>0</v>
      </c>
      <c r="M1033" s="7292"/>
      <c r="N1033" s="7145">
        <v>0</v>
      </c>
      <c r="O1033" s="7292"/>
      <c r="P1033" s="7122"/>
      <c r="Q1033" s="7240"/>
      <c r="R1033" s="6658"/>
      <c r="S1033" s="6538" t="s">
        <v>1892</v>
      </c>
      <c r="T1033" s="1033"/>
      <c r="U1033" s="263"/>
      <c r="V1033" s="99"/>
      <c r="W1033" s="138"/>
      <c r="X1033" s="138"/>
      <c r="Y1033" s="99"/>
      <c r="Z1033" s="264"/>
      <c r="AA1033" s="277"/>
      <c r="AB1033" s="187"/>
    </row>
    <row r="1034" spans="1:28" ht="19.899999999999999" customHeight="1">
      <c r="A1034" s="11"/>
      <c r="B1034" s="5590"/>
      <c r="C1034" s="6693"/>
      <c r="D1034" s="357" t="s">
        <v>146</v>
      </c>
      <c r="E1034" s="614"/>
      <c r="F1034" s="285" t="s">
        <v>742</v>
      </c>
      <c r="G1034" s="253"/>
      <c r="H1034" s="9579" t="s">
        <v>147</v>
      </c>
      <c r="I1034" s="9580"/>
      <c r="J1034" s="9581"/>
      <c r="K1034" s="285" t="s">
        <v>734</v>
      </c>
      <c r="L1034" s="7144"/>
      <c r="M1034" s="7292"/>
      <c r="N1034" s="7145"/>
      <c r="O1034" s="7292"/>
      <c r="P1034" s="7145"/>
      <c r="Q1034" s="7372"/>
      <c r="R1034" s="6663"/>
      <c r="S1034" s="6538" t="s">
        <v>1891</v>
      </c>
      <c r="T1034" s="1033"/>
      <c r="U1034" s="263"/>
      <c r="V1034" s="99"/>
      <c r="W1034" s="138"/>
      <c r="X1034" s="138"/>
      <c r="Y1034" s="99"/>
      <c r="Z1034" s="264"/>
      <c r="AA1034" s="277"/>
      <c r="AB1034" s="187"/>
    </row>
    <row r="1035" spans="1:28" ht="19.899999999999999" customHeight="1">
      <c r="A1035" s="11"/>
      <c r="B1035" s="5590"/>
      <c r="C1035" s="6693"/>
      <c r="D1035" s="357" t="s">
        <v>149</v>
      </c>
      <c r="E1035" s="614"/>
      <c r="F1035" s="285" t="s">
        <v>742</v>
      </c>
      <c r="G1035" s="253"/>
      <c r="H1035" s="9579" t="s">
        <v>150</v>
      </c>
      <c r="I1035" s="9580"/>
      <c r="J1035" s="9581"/>
      <c r="K1035" s="285" t="s">
        <v>734</v>
      </c>
      <c r="L1035" s="7144" t="s">
        <v>168</v>
      </c>
      <c r="M1035" s="7292" t="s">
        <v>641</v>
      </c>
      <c r="N1035" s="7145" t="s">
        <v>168</v>
      </c>
      <c r="O1035" s="7292" t="s">
        <v>641</v>
      </c>
      <c r="P1035" s="7145" t="s">
        <v>168</v>
      </c>
      <c r="Q1035" s="7372" t="s">
        <v>641</v>
      </c>
      <c r="R1035" s="6663"/>
      <c r="S1035" s="6538"/>
      <c r="T1035" s="1033"/>
      <c r="U1035" s="263"/>
      <c r="V1035" s="99"/>
      <c r="W1035" s="138"/>
      <c r="X1035" s="138"/>
      <c r="Y1035" s="99"/>
      <c r="Z1035" s="264"/>
      <c r="AA1035" s="277"/>
      <c r="AB1035" s="187"/>
    </row>
    <row r="1036" spans="1:28" ht="19.899999999999999" customHeight="1">
      <c r="A1036" s="11"/>
      <c r="B1036" s="5590"/>
      <c r="C1036" s="6693"/>
      <c r="D1036" s="9584" t="s">
        <v>1893</v>
      </c>
      <c r="E1036" s="9585"/>
      <c r="F1036" s="6683"/>
      <c r="G1036" s="7025"/>
      <c r="H1036" s="9900"/>
      <c r="I1036" s="9901"/>
      <c r="J1036" s="9902"/>
      <c r="K1036" s="6683"/>
      <c r="L1036" s="7111"/>
      <c r="M1036" s="7291"/>
      <c r="N1036" s="7119"/>
      <c r="O1036" s="7291"/>
      <c r="P1036" s="7119"/>
      <c r="Q1036" s="6988"/>
      <c r="R1036" s="6994"/>
      <c r="S1036" s="7026"/>
      <c r="T1036" s="7027"/>
      <c r="U1036" s="263"/>
      <c r="V1036" s="99"/>
      <c r="W1036" s="138"/>
      <c r="X1036" s="138"/>
      <c r="Y1036" s="99"/>
      <c r="Z1036" s="620" t="s">
        <v>837</v>
      </c>
      <c r="AA1036" s="620" t="s">
        <v>740</v>
      </c>
      <c r="AB1036" s="187"/>
    </row>
    <row r="1037" spans="1:28" ht="19.899999999999999" customHeight="1">
      <c r="A1037" s="11"/>
      <c r="B1037" s="5590"/>
      <c r="C1037" s="6693"/>
      <c r="D1037" s="357" t="s">
        <v>134</v>
      </c>
      <c r="E1037" s="614"/>
      <c r="F1037" s="285" t="s">
        <v>742</v>
      </c>
      <c r="G1037" s="253"/>
      <c r="H1037" s="9579" t="s">
        <v>135</v>
      </c>
      <c r="I1037" s="9580"/>
      <c r="J1037" s="9581"/>
      <c r="K1037" s="285" t="s">
        <v>734</v>
      </c>
      <c r="L1037" s="7144"/>
      <c r="M1037" s="7292"/>
      <c r="N1037" s="7122"/>
      <c r="O1037" s="7292"/>
      <c r="P1037" s="7122"/>
      <c r="Q1037" s="7240"/>
      <c r="R1037" s="6658"/>
      <c r="S1037" s="6538" t="s">
        <v>1894</v>
      </c>
      <c r="T1037" s="1033"/>
      <c r="U1037" s="263"/>
      <c r="V1037" s="99"/>
      <c r="W1037" s="138"/>
      <c r="X1037" s="138"/>
      <c r="Y1037" s="99"/>
      <c r="Z1037" s="264"/>
      <c r="AA1037" s="277"/>
      <c r="AB1037" s="187"/>
    </row>
    <row r="1038" spans="1:28" ht="19.899999999999999" customHeight="1">
      <c r="A1038" s="11"/>
      <c r="B1038" s="5590"/>
      <c r="C1038" s="6693"/>
      <c r="D1038" s="357" t="s">
        <v>137</v>
      </c>
      <c r="E1038" s="614"/>
      <c r="F1038" s="285" t="s">
        <v>742</v>
      </c>
      <c r="G1038" s="253"/>
      <c r="H1038" s="9579" t="s">
        <v>138</v>
      </c>
      <c r="I1038" s="9580"/>
      <c r="J1038" s="9581"/>
      <c r="K1038" s="285" t="s">
        <v>734</v>
      </c>
      <c r="L1038" s="7144">
        <v>27</v>
      </c>
      <c r="M1038" s="7292"/>
      <c r="N1038" s="7122">
        <v>29</v>
      </c>
      <c r="O1038" s="7292"/>
      <c r="P1038" s="7122"/>
      <c r="Q1038" s="7449"/>
      <c r="R1038" s="6671"/>
      <c r="S1038" s="6538" t="s">
        <v>1895</v>
      </c>
      <c r="T1038" s="1033"/>
      <c r="U1038" s="263"/>
      <c r="V1038" s="99"/>
      <c r="W1038" s="138"/>
      <c r="X1038" s="138"/>
      <c r="Y1038" s="99"/>
      <c r="Z1038" s="264"/>
      <c r="AA1038" s="277"/>
      <c r="AB1038" s="187"/>
    </row>
    <row r="1039" spans="1:28" ht="19.899999999999999" customHeight="1">
      <c r="A1039" s="11"/>
      <c r="B1039" s="5590"/>
      <c r="C1039" s="6693"/>
      <c r="D1039" s="357" t="s">
        <v>140</v>
      </c>
      <c r="E1039" s="614"/>
      <c r="F1039" s="285" t="s">
        <v>742</v>
      </c>
      <c r="G1039" s="253"/>
      <c r="H1039" s="9579" t="s">
        <v>141</v>
      </c>
      <c r="I1039" s="9580"/>
      <c r="J1039" s="9581"/>
      <c r="K1039" s="285" t="s">
        <v>734</v>
      </c>
      <c r="L1039" s="7146"/>
      <c r="M1039" s="7292"/>
      <c r="N1039" s="7147"/>
      <c r="O1039" s="7292"/>
      <c r="P1039" s="7147"/>
      <c r="Q1039" s="7448"/>
      <c r="R1039" s="6672"/>
      <c r="S1039" s="6538" t="s">
        <v>1894</v>
      </c>
      <c r="T1039" s="1033"/>
      <c r="U1039" s="263"/>
      <c r="V1039" s="99"/>
      <c r="W1039" s="138"/>
      <c r="X1039" s="138"/>
      <c r="Y1039" s="99"/>
      <c r="Z1039" s="264"/>
      <c r="AA1039" s="277"/>
      <c r="AB1039" s="187"/>
    </row>
    <row r="1040" spans="1:28" ht="19.899999999999999" customHeight="1">
      <c r="A1040" s="11"/>
      <c r="B1040" s="5590"/>
      <c r="C1040" s="6693"/>
      <c r="D1040" s="357" t="s">
        <v>143</v>
      </c>
      <c r="E1040" s="614"/>
      <c r="F1040" s="285" t="s">
        <v>742</v>
      </c>
      <c r="G1040" s="253"/>
      <c r="H1040" s="9579" t="s">
        <v>144</v>
      </c>
      <c r="I1040" s="9580"/>
      <c r="J1040" s="9581"/>
      <c r="K1040" s="285" t="s">
        <v>734</v>
      </c>
      <c r="L1040" s="7144">
        <v>0</v>
      </c>
      <c r="M1040" s="7292"/>
      <c r="N1040" s="7145">
        <v>0</v>
      </c>
      <c r="O1040" s="7292"/>
      <c r="P1040" s="7122"/>
      <c r="Q1040" s="7240"/>
      <c r="R1040" s="6658"/>
      <c r="S1040" s="6538" t="s">
        <v>1895</v>
      </c>
      <c r="T1040" s="1033"/>
      <c r="U1040" s="263"/>
      <c r="V1040" s="99"/>
      <c r="W1040" s="138"/>
      <c r="X1040" s="138"/>
      <c r="Y1040" s="99"/>
      <c r="Z1040" s="264"/>
      <c r="AA1040" s="277"/>
      <c r="AB1040" s="187"/>
    </row>
    <row r="1041" spans="1:28" ht="19.899999999999999" customHeight="1">
      <c r="A1041" s="11"/>
      <c r="B1041" s="5590"/>
      <c r="C1041" s="6693"/>
      <c r="D1041" s="357" t="s">
        <v>146</v>
      </c>
      <c r="E1041" s="614"/>
      <c r="F1041" s="285" t="s">
        <v>742</v>
      </c>
      <c r="G1041" s="253"/>
      <c r="H1041" s="9579" t="s">
        <v>147</v>
      </c>
      <c r="I1041" s="9580"/>
      <c r="J1041" s="9581"/>
      <c r="K1041" s="285" t="s">
        <v>734</v>
      </c>
      <c r="L1041" s="7144"/>
      <c r="M1041" s="7292"/>
      <c r="N1041" s="7145"/>
      <c r="O1041" s="7292"/>
      <c r="P1041" s="7145"/>
      <c r="Q1041" s="7372"/>
      <c r="R1041" s="6663"/>
      <c r="S1041" s="6538" t="s">
        <v>1894</v>
      </c>
      <c r="T1041" s="1033"/>
      <c r="U1041" s="263"/>
      <c r="V1041" s="99"/>
      <c r="W1041" s="138"/>
      <c r="X1041" s="138"/>
      <c r="Y1041" s="99"/>
      <c r="Z1041" s="264"/>
      <c r="AA1041" s="277"/>
      <c r="AB1041" s="187"/>
    </row>
    <row r="1042" spans="1:28" ht="19.899999999999999" customHeight="1">
      <c r="A1042" s="11"/>
      <c r="B1042" s="5590"/>
      <c r="C1042" s="6693"/>
      <c r="D1042" s="357" t="s">
        <v>149</v>
      </c>
      <c r="E1042" s="614"/>
      <c r="F1042" s="285" t="s">
        <v>742</v>
      </c>
      <c r="G1042" s="253"/>
      <c r="H1042" s="9579" t="s">
        <v>150</v>
      </c>
      <c r="I1042" s="9580"/>
      <c r="J1042" s="9581"/>
      <c r="K1042" s="285" t="s">
        <v>734</v>
      </c>
      <c r="L1042" s="7144" t="s">
        <v>168</v>
      </c>
      <c r="M1042" s="7292" t="s">
        <v>641</v>
      </c>
      <c r="N1042" s="7145" t="s">
        <v>168</v>
      </c>
      <c r="O1042" s="7292" t="s">
        <v>641</v>
      </c>
      <c r="P1042" s="7145" t="s">
        <v>168</v>
      </c>
      <c r="Q1042" s="7372" t="s">
        <v>641</v>
      </c>
      <c r="R1042" s="6663"/>
      <c r="S1042" s="6538"/>
      <c r="T1042" s="1033"/>
      <c r="U1042" s="263"/>
      <c r="V1042" s="99"/>
      <c r="W1042" s="138"/>
      <c r="X1042" s="138"/>
      <c r="Y1042" s="99"/>
      <c r="Z1042" s="264"/>
      <c r="AA1042" s="277"/>
      <c r="AB1042" s="187"/>
    </row>
    <row r="1043" spans="1:28" ht="19.899999999999999" customHeight="1">
      <c r="A1043" s="11"/>
      <c r="B1043" s="5590"/>
      <c r="C1043" s="6693"/>
      <c r="D1043" s="9584" t="s">
        <v>1896</v>
      </c>
      <c r="E1043" s="9585"/>
      <c r="F1043" s="6683"/>
      <c r="G1043" s="7025"/>
      <c r="H1043" s="9900"/>
      <c r="I1043" s="9901"/>
      <c r="J1043" s="9902"/>
      <c r="K1043" s="6683"/>
      <c r="L1043" s="7111"/>
      <c r="M1043" s="7291"/>
      <c r="N1043" s="7119"/>
      <c r="O1043" s="7291"/>
      <c r="P1043" s="7119"/>
      <c r="Q1043" s="6988"/>
      <c r="R1043" s="6994"/>
      <c r="S1043" s="7026"/>
      <c r="T1043" s="7027"/>
      <c r="U1043" s="263"/>
      <c r="V1043" s="99"/>
      <c r="W1043" s="138"/>
      <c r="X1043" s="138"/>
      <c r="Y1043" s="99"/>
      <c r="Z1043" s="620" t="s">
        <v>837</v>
      </c>
      <c r="AA1043" s="620" t="s">
        <v>740</v>
      </c>
      <c r="AB1043" s="187"/>
    </row>
    <row r="1044" spans="1:28" ht="19.899999999999999" customHeight="1">
      <c r="A1044" s="11"/>
      <c r="B1044" s="5590"/>
      <c r="C1044" s="6693"/>
      <c r="D1044" s="357" t="s">
        <v>134</v>
      </c>
      <c r="E1044" s="614"/>
      <c r="F1044" s="285" t="s">
        <v>742</v>
      </c>
      <c r="G1044" s="253"/>
      <c r="H1044" s="9579" t="s">
        <v>135</v>
      </c>
      <c r="I1044" s="9580"/>
      <c r="J1044" s="9581"/>
      <c r="K1044" s="285" t="s">
        <v>734</v>
      </c>
      <c r="L1044" s="7144"/>
      <c r="M1044" s="7292"/>
      <c r="N1044" s="7122"/>
      <c r="O1044" s="7292"/>
      <c r="P1044" s="7122"/>
      <c r="Q1044" s="7240"/>
      <c r="R1044" s="6658"/>
      <c r="S1044" s="6538" t="s">
        <v>1897</v>
      </c>
      <c r="T1044" s="1033"/>
      <c r="U1044" s="263"/>
      <c r="V1044" s="99"/>
      <c r="W1044" s="138"/>
      <c r="X1044" s="138"/>
      <c r="Y1044" s="99"/>
      <c r="Z1044" s="264"/>
      <c r="AA1044" s="277"/>
      <c r="AB1044" s="187"/>
    </row>
    <row r="1045" spans="1:28" ht="19.899999999999999" customHeight="1">
      <c r="A1045" s="11"/>
      <c r="B1045" s="5590"/>
      <c r="C1045" s="6693"/>
      <c r="D1045" s="357" t="s">
        <v>137</v>
      </c>
      <c r="E1045" s="614"/>
      <c r="F1045" s="285" t="s">
        <v>742</v>
      </c>
      <c r="G1045" s="253"/>
      <c r="H1045" s="9579" t="s">
        <v>138</v>
      </c>
      <c r="I1045" s="9580"/>
      <c r="J1045" s="9581"/>
      <c r="K1045" s="285" t="s">
        <v>734</v>
      </c>
      <c r="L1045" s="7144">
        <v>0</v>
      </c>
      <c r="M1045" s="7292"/>
      <c r="N1045" s="7122">
        <v>0</v>
      </c>
      <c r="O1045" s="7292"/>
      <c r="P1045" s="7122"/>
      <c r="Q1045" s="7449"/>
      <c r="R1045" s="6671"/>
      <c r="S1045" s="6538" t="s">
        <v>1898</v>
      </c>
      <c r="T1045" s="1033"/>
      <c r="U1045" s="263"/>
      <c r="V1045" s="99"/>
      <c r="W1045" s="138"/>
      <c r="X1045" s="138"/>
      <c r="Y1045" s="99"/>
      <c r="Z1045" s="264"/>
      <c r="AA1045" s="277"/>
      <c r="AB1045" s="187"/>
    </row>
    <row r="1046" spans="1:28" ht="19.899999999999999" customHeight="1">
      <c r="A1046" s="11"/>
      <c r="B1046" s="5590"/>
      <c r="C1046" s="6693"/>
      <c r="D1046" s="357" t="s">
        <v>140</v>
      </c>
      <c r="E1046" s="614"/>
      <c r="F1046" s="285" t="s">
        <v>742</v>
      </c>
      <c r="G1046" s="253"/>
      <c r="H1046" s="9579" t="s">
        <v>141</v>
      </c>
      <c r="I1046" s="9580"/>
      <c r="J1046" s="9581"/>
      <c r="K1046" s="285" t="s">
        <v>734</v>
      </c>
      <c r="L1046" s="7146"/>
      <c r="M1046" s="7292"/>
      <c r="N1046" s="7147"/>
      <c r="O1046" s="7292"/>
      <c r="P1046" s="7147"/>
      <c r="Q1046" s="7448"/>
      <c r="R1046" s="6672"/>
      <c r="S1046" s="6538" t="s">
        <v>1897</v>
      </c>
      <c r="T1046" s="1033"/>
      <c r="U1046" s="263"/>
      <c r="V1046" s="99"/>
      <c r="W1046" s="138"/>
      <c r="X1046" s="138"/>
      <c r="Y1046" s="99"/>
      <c r="Z1046" s="264"/>
      <c r="AA1046" s="277"/>
      <c r="AB1046" s="187"/>
    </row>
    <row r="1047" spans="1:28" ht="19.899999999999999" customHeight="1">
      <c r="A1047" s="11"/>
      <c r="B1047" s="5590"/>
      <c r="C1047" s="6693"/>
      <c r="D1047" s="357" t="s">
        <v>143</v>
      </c>
      <c r="E1047" s="614"/>
      <c r="F1047" s="285" t="s">
        <v>742</v>
      </c>
      <c r="G1047" s="253"/>
      <c r="H1047" s="9579" t="s">
        <v>144</v>
      </c>
      <c r="I1047" s="9580"/>
      <c r="J1047" s="9581"/>
      <c r="K1047" s="285" t="s">
        <v>734</v>
      </c>
      <c r="L1047" s="7144">
        <v>1101</v>
      </c>
      <c r="M1047" s="7292"/>
      <c r="N1047" s="7145">
        <v>2442</v>
      </c>
      <c r="O1047" s="7292"/>
      <c r="P1047" s="7624">
        <v>2474</v>
      </c>
      <c r="Q1047" s="7240"/>
      <c r="R1047" s="6658"/>
      <c r="S1047" s="6538" t="s">
        <v>1899</v>
      </c>
      <c r="T1047" s="1033"/>
      <c r="U1047" s="263"/>
      <c r="V1047" s="99"/>
      <c r="W1047" s="138"/>
      <c r="X1047" s="138"/>
      <c r="Y1047" s="99"/>
      <c r="Z1047" s="264"/>
      <c r="AA1047" s="277"/>
      <c r="AB1047" s="187"/>
    </row>
    <row r="1048" spans="1:28" ht="19.899999999999999" customHeight="1">
      <c r="A1048" s="11"/>
      <c r="B1048" s="5590"/>
      <c r="C1048" s="6693"/>
      <c r="D1048" s="357" t="s">
        <v>146</v>
      </c>
      <c r="E1048" s="614"/>
      <c r="F1048" s="285" t="s">
        <v>742</v>
      </c>
      <c r="G1048" s="253"/>
      <c r="H1048" s="9579" t="s">
        <v>147</v>
      </c>
      <c r="I1048" s="9580"/>
      <c r="J1048" s="9581"/>
      <c r="K1048" s="285" t="s">
        <v>734</v>
      </c>
      <c r="L1048" s="7144"/>
      <c r="M1048" s="7292"/>
      <c r="N1048" s="7145"/>
      <c r="O1048" s="7292"/>
      <c r="P1048" s="7145"/>
      <c r="Q1048" s="7372"/>
      <c r="R1048" s="6663"/>
      <c r="S1048" s="6538" t="s">
        <v>1897</v>
      </c>
      <c r="T1048" s="1033"/>
      <c r="U1048" s="263"/>
      <c r="V1048" s="99"/>
      <c r="W1048" s="138"/>
      <c r="X1048" s="138"/>
      <c r="Y1048" s="99"/>
      <c r="Z1048" s="264"/>
      <c r="AA1048" s="277"/>
      <c r="AB1048" s="187"/>
    </row>
    <row r="1049" spans="1:28" ht="19.899999999999999" customHeight="1">
      <c r="A1049" s="11"/>
      <c r="B1049" s="5590"/>
      <c r="C1049" s="6693"/>
      <c r="D1049" s="357" t="s">
        <v>149</v>
      </c>
      <c r="E1049" s="614"/>
      <c r="F1049" s="285" t="s">
        <v>742</v>
      </c>
      <c r="G1049" s="253"/>
      <c r="H1049" s="9579" t="s">
        <v>150</v>
      </c>
      <c r="I1049" s="9580"/>
      <c r="J1049" s="9581"/>
      <c r="K1049" s="285" t="s">
        <v>734</v>
      </c>
      <c r="L1049" s="7144" t="s">
        <v>168</v>
      </c>
      <c r="M1049" s="7292" t="s">
        <v>641</v>
      </c>
      <c r="N1049" s="7145" t="s">
        <v>168</v>
      </c>
      <c r="O1049" s="7292" t="s">
        <v>641</v>
      </c>
      <c r="P1049" s="7145" t="s">
        <v>168</v>
      </c>
      <c r="Q1049" s="7372" t="s">
        <v>641</v>
      </c>
      <c r="R1049" s="6663"/>
      <c r="S1049" s="6538"/>
      <c r="T1049" s="1033"/>
      <c r="U1049" s="263"/>
      <c r="V1049" s="99"/>
      <c r="W1049" s="138"/>
      <c r="X1049" s="138"/>
      <c r="Y1049" s="99"/>
      <c r="Z1049" s="264"/>
      <c r="AA1049" s="277"/>
      <c r="AB1049" s="187"/>
    </row>
    <row r="1050" spans="1:28" ht="19.899999999999999" customHeight="1">
      <c r="A1050" s="11"/>
      <c r="B1050" s="5590"/>
      <c r="C1050" s="6693"/>
      <c r="D1050" s="9584" t="s">
        <v>1900</v>
      </c>
      <c r="E1050" s="9585"/>
      <c r="F1050" s="6683"/>
      <c r="G1050" s="7025"/>
      <c r="H1050" s="9900"/>
      <c r="I1050" s="9901"/>
      <c r="J1050" s="9902"/>
      <c r="K1050" s="6683"/>
      <c r="L1050" s="7111"/>
      <c r="M1050" s="7291"/>
      <c r="N1050" s="7119"/>
      <c r="O1050" s="7291"/>
      <c r="P1050" s="7119"/>
      <c r="Q1050" s="6988"/>
      <c r="R1050" s="6994"/>
      <c r="S1050" s="7026"/>
      <c r="T1050" s="7027"/>
      <c r="U1050" s="263"/>
      <c r="V1050" s="99"/>
      <c r="W1050" s="138"/>
      <c r="X1050" s="138"/>
      <c r="Y1050" s="99"/>
      <c r="Z1050" s="620" t="s">
        <v>837</v>
      </c>
      <c r="AA1050" s="620" t="s">
        <v>740</v>
      </c>
      <c r="AB1050" s="187"/>
    </row>
    <row r="1051" spans="1:28" ht="19.899999999999999" customHeight="1">
      <c r="A1051" s="11"/>
      <c r="B1051" s="5590"/>
      <c r="C1051" s="6693"/>
      <c r="D1051" s="357" t="s">
        <v>134</v>
      </c>
      <c r="E1051" s="614"/>
      <c r="F1051" s="285" t="s">
        <v>742</v>
      </c>
      <c r="G1051" s="253"/>
      <c r="H1051" s="9579" t="s">
        <v>135</v>
      </c>
      <c r="I1051" s="9580"/>
      <c r="J1051" s="9581"/>
      <c r="K1051" s="285" t="s">
        <v>734</v>
      </c>
      <c r="L1051" s="7144"/>
      <c r="M1051" s="7292"/>
      <c r="N1051" s="7122"/>
      <c r="O1051" s="7292"/>
      <c r="P1051" s="7122"/>
      <c r="Q1051" s="7240"/>
      <c r="R1051" s="6658"/>
      <c r="S1051" s="6538" t="s">
        <v>1901</v>
      </c>
      <c r="T1051" s="1033"/>
      <c r="U1051" s="263"/>
      <c r="V1051" s="99"/>
      <c r="W1051" s="138"/>
      <c r="X1051" s="138"/>
      <c r="Y1051" s="99"/>
      <c r="Z1051" s="264"/>
      <c r="AA1051" s="277"/>
      <c r="AB1051" s="187"/>
    </row>
    <row r="1052" spans="1:28" ht="19.899999999999999" customHeight="1">
      <c r="A1052" s="11"/>
      <c r="B1052" s="5590"/>
      <c r="C1052" s="6693"/>
      <c r="D1052" s="357" t="s">
        <v>137</v>
      </c>
      <c r="E1052" s="614"/>
      <c r="F1052" s="285" t="s">
        <v>742</v>
      </c>
      <c r="G1052" s="253"/>
      <c r="H1052" s="9579" t="s">
        <v>138</v>
      </c>
      <c r="I1052" s="9580"/>
      <c r="J1052" s="9581"/>
      <c r="K1052" s="285" t="s">
        <v>734</v>
      </c>
      <c r="L1052" s="7144">
        <v>0</v>
      </c>
      <c r="M1052" s="7292"/>
      <c r="N1052" s="7122">
        <v>0</v>
      </c>
      <c r="O1052" s="7292"/>
      <c r="P1052" s="7122"/>
      <c r="Q1052" s="7449"/>
      <c r="R1052" s="6671"/>
      <c r="S1052" s="6538" t="s">
        <v>1902</v>
      </c>
      <c r="T1052" s="1033"/>
      <c r="U1052" s="263"/>
      <c r="V1052" s="99"/>
      <c r="W1052" s="138"/>
      <c r="X1052" s="138"/>
      <c r="Y1052" s="99"/>
      <c r="Z1052" s="264"/>
      <c r="AA1052" s="277"/>
      <c r="AB1052" s="187"/>
    </row>
    <row r="1053" spans="1:28" ht="19.899999999999999" customHeight="1">
      <c r="A1053" s="11"/>
      <c r="B1053" s="5590"/>
      <c r="C1053" s="6693"/>
      <c r="D1053" s="357" t="s">
        <v>140</v>
      </c>
      <c r="E1053" s="614"/>
      <c r="F1053" s="285" t="s">
        <v>742</v>
      </c>
      <c r="G1053" s="253"/>
      <c r="H1053" s="9579" t="s">
        <v>141</v>
      </c>
      <c r="I1053" s="9580"/>
      <c r="J1053" s="9581"/>
      <c r="K1053" s="285" t="s">
        <v>734</v>
      </c>
      <c r="L1053" s="7146"/>
      <c r="M1053" s="7292"/>
      <c r="N1053" s="7147"/>
      <c r="O1053" s="7292"/>
      <c r="P1053" s="7147"/>
      <c r="Q1053" s="7448"/>
      <c r="R1053" s="6672"/>
      <c r="S1053" s="6538" t="s">
        <v>1901</v>
      </c>
      <c r="T1053" s="1033"/>
      <c r="U1053" s="263"/>
      <c r="V1053" s="99"/>
      <c r="W1053" s="138"/>
      <c r="X1053" s="138"/>
      <c r="Y1053" s="99"/>
      <c r="Z1053" s="264"/>
      <c r="AA1053" s="277"/>
      <c r="AB1053" s="187"/>
    </row>
    <row r="1054" spans="1:28" ht="19.899999999999999" customHeight="1">
      <c r="A1054" s="11"/>
      <c r="B1054" s="5590"/>
      <c r="C1054" s="6693"/>
      <c r="D1054" s="357" t="s">
        <v>143</v>
      </c>
      <c r="E1054" s="614"/>
      <c r="F1054" s="285" t="s">
        <v>742</v>
      </c>
      <c r="G1054" s="253"/>
      <c r="H1054" s="9579" t="s">
        <v>144</v>
      </c>
      <c r="I1054" s="9580"/>
      <c r="J1054" s="9581"/>
      <c r="K1054" s="285" t="s">
        <v>734</v>
      </c>
      <c r="L1054" s="7144">
        <v>0</v>
      </c>
      <c r="M1054" s="7292"/>
      <c r="N1054" s="7122">
        <v>0</v>
      </c>
      <c r="O1054" s="7292"/>
      <c r="P1054" s="7122"/>
      <c r="Q1054" s="7240"/>
      <c r="R1054" s="6658"/>
      <c r="S1054" s="6538" t="s">
        <v>1902</v>
      </c>
      <c r="T1054" s="1033"/>
      <c r="U1054" s="263"/>
      <c r="V1054" s="99"/>
      <c r="W1054" s="138"/>
      <c r="X1054" s="138"/>
      <c r="Y1054" s="99"/>
      <c r="Z1054" s="264"/>
      <c r="AA1054" s="277"/>
      <c r="AB1054" s="187"/>
    </row>
    <row r="1055" spans="1:28" ht="19.899999999999999" customHeight="1">
      <c r="A1055" s="11"/>
      <c r="B1055" s="5590"/>
      <c r="C1055" s="6693"/>
      <c r="D1055" s="357" t="s">
        <v>146</v>
      </c>
      <c r="E1055" s="614"/>
      <c r="F1055" s="285" t="s">
        <v>742</v>
      </c>
      <c r="G1055" s="253"/>
      <c r="H1055" s="9579" t="s">
        <v>147</v>
      </c>
      <c r="I1055" s="9580"/>
      <c r="J1055" s="9581"/>
      <c r="K1055" s="285" t="s">
        <v>734</v>
      </c>
      <c r="L1055" s="7144">
        <v>372</v>
      </c>
      <c r="M1055" s="7292"/>
      <c r="N1055" s="7145">
        <v>383</v>
      </c>
      <c r="O1055" s="7292"/>
      <c r="P1055" s="7145">
        <v>403</v>
      </c>
      <c r="Q1055" s="7372"/>
      <c r="R1055" s="6663"/>
      <c r="S1055" s="6538"/>
      <c r="T1055" s="1033"/>
      <c r="U1055" s="263"/>
      <c r="V1055" s="99"/>
      <c r="W1055" s="138"/>
      <c r="X1055" s="138"/>
      <c r="Y1055" s="99"/>
      <c r="Z1055" s="264"/>
      <c r="AA1055" s="277"/>
      <c r="AB1055" s="187"/>
    </row>
    <row r="1056" spans="1:28" ht="19.899999999999999" customHeight="1">
      <c r="A1056" s="11"/>
      <c r="B1056" s="5590"/>
      <c r="C1056" s="6693"/>
      <c r="D1056" s="357" t="s">
        <v>149</v>
      </c>
      <c r="E1056" s="614"/>
      <c r="F1056" s="285" t="s">
        <v>742</v>
      </c>
      <c r="G1056" s="253"/>
      <c r="H1056" s="9579" t="s">
        <v>150</v>
      </c>
      <c r="I1056" s="9580"/>
      <c r="J1056" s="9581"/>
      <c r="K1056" s="285" t="s">
        <v>734</v>
      </c>
      <c r="L1056" s="7144" t="s">
        <v>168</v>
      </c>
      <c r="M1056" s="7292" t="s">
        <v>641</v>
      </c>
      <c r="N1056" s="7145" t="s">
        <v>168</v>
      </c>
      <c r="O1056" s="7292" t="s">
        <v>641</v>
      </c>
      <c r="P1056" s="7145" t="s">
        <v>168</v>
      </c>
      <c r="Q1056" s="7372" t="s">
        <v>641</v>
      </c>
      <c r="R1056" s="6663"/>
      <c r="S1056" s="6538"/>
      <c r="T1056" s="1033"/>
      <c r="U1056" s="263"/>
      <c r="V1056" s="99"/>
      <c r="W1056" s="138"/>
      <c r="X1056" s="138"/>
      <c r="Y1056" s="99"/>
      <c r="Z1056" s="264"/>
      <c r="AA1056" s="277"/>
      <c r="AB1056" s="187"/>
    </row>
    <row r="1057" spans="1:29" ht="19.899999999999999" customHeight="1">
      <c r="A1057" s="11"/>
      <c r="B1057" s="5590"/>
      <c r="C1057" s="6693"/>
      <c r="D1057" s="9584" t="s">
        <v>1903</v>
      </c>
      <c r="E1057" s="9585"/>
      <c r="F1057" s="6683"/>
      <c r="G1057" s="7025"/>
      <c r="H1057" s="9900"/>
      <c r="I1057" s="9901"/>
      <c r="J1057" s="9902"/>
      <c r="K1057" s="6683"/>
      <c r="L1057" s="7111"/>
      <c r="M1057" s="7291"/>
      <c r="N1057" s="7119"/>
      <c r="O1057" s="7291"/>
      <c r="P1057" s="7119"/>
      <c r="Q1057" s="6988"/>
      <c r="R1057" s="6994"/>
      <c r="S1057" s="7026"/>
      <c r="T1057" s="7027"/>
      <c r="U1057" s="263"/>
      <c r="V1057" s="99"/>
      <c r="W1057" s="138"/>
      <c r="X1057" s="138"/>
      <c r="Y1057" s="99"/>
      <c r="Z1057" s="620" t="s">
        <v>837</v>
      </c>
      <c r="AA1057" s="620" t="s">
        <v>740</v>
      </c>
      <c r="AB1057" s="187"/>
    </row>
    <row r="1058" spans="1:29" ht="19.899999999999999" customHeight="1">
      <c r="A1058" s="11"/>
      <c r="B1058" s="5590"/>
      <c r="C1058" s="6693"/>
      <c r="D1058" s="357" t="s">
        <v>134</v>
      </c>
      <c r="E1058" s="614"/>
      <c r="F1058" s="285" t="s">
        <v>742</v>
      </c>
      <c r="G1058" s="253"/>
      <c r="H1058" s="9579" t="s">
        <v>135</v>
      </c>
      <c r="I1058" s="9580"/>
      <c r="J1058" s="9581"/>
      <c r="K1058" s="285" t="s">
        <v>734</v>
      </c>
      <c r="L1058" s="7144"/>
      <c r="M1058" s="7292"/>
      <c r="N1058" s="7122"/>
      <c r="O1058" s="7292"/>
      <c r="P1058" s="7122"/>
      <c r="Q1058" s="7240"/>
      <c r="R1058" s="6658"/>
      <c r="S1058" s="6538" t="s">
        <v>1904</v>
      </c>
      <c r="T1058" s="1033"/>
      <c r="U1058" s="263"/>
      <c r="V1058" s="99"/>
      <c r="W1058" s="138"/>
      <c r="X1058" s="138"/>
      <c r="Y1058" s="99"/>
      <c r="Z1058" s="264"/>
      <c r="AA1058" s="277"/>
      <c r="AB1058" s="187"/>
    </row>
    <row r="1059" spans="1:29" ht="19.899999999999999" customHeight="1">
      <c r="A1059" s="11"/>
      <c r="B1059" s="5590"/>
      <c r="C1059" s="6693"/>
      <c r="D1059" s="357" t="s">
        <v>137</v>
      </c>
      <c r="E1059" s="614"/>
      <c r="F1059" s="285" t="s">
        <v>742</v>
      </c>
      <c r="G1059" s="253"/>
      <c r="H1059" s="9579" t="s">
        <v>138</v>
      </c>
      <c r="I1059" s="9580"/>
      <c r="J1059" s="9581"/>
      <c r="K1059" s="285" t="s">
        <v>734</v>
      </c>
      <c r="L1059" s="7144">
        <v>0</v>
      </c>
      <c r="M1059" s="7292"/>
      <c r="N1059" s="7122">
        <v>0</v>
      </c>
      <c r="O1059" s="7292"/>
      <c r="P1059" s="7122"/>
      <c r="Q1059" s="7449"/>
      <c r="R1059" s="6671"/>
      <c r="S1059" s="6538" t="s">
        <v>1905</v>
      </c>
      <c r="T1059" s="1033"/>
      <c r="U1059" s="263"/>
      <c r="V1059" s="99"/>
      <c r="W1059" s="138"/>
      <c r="X1059" s="138"/>
      <c r="Y1059" s="99"/>
      <c r="Z1059" s="264"/>
      <c r="AA1059" s="277"/>
      <c r="AB1059" s="187"/>
    </row>
    <row r="1060" spans="1:29" ht="19.899999999999999" customHeight="1">
      <c r="A1060" s="11"/>
      <c r="B1060" s="5590"/>
      <c r="C1060" s="6693"/>
      <c r="D1060" s="357" t="s">
        <v>140</v>
      </c>
      <c r="E1060" s="614"/>
      <c r="F1060" s="285" t="s">
        <v>742</v>
      </c>
      <c r="G1060" s="253"/>
      <c r="H1060" s="9579" t="s">
        <v>141</v>
      </c>
      <c r="I1060" s="9580"/>
      <c r="J1060" s="9581"/>
      <c r="K1060" s="285" t="s">
        <v>734</v>
      </c>
      <c r="L1060" s="7146"/>
      <c r="M1060" s="7292"/>
      <c r="N1060" s="7147"/>
      <c r="O1060" s="7292"/>
      <c r="P1060" s="7147"/>
      <c r="Q1060" s="7448"/>
      <c r="R1060" s="6672"/>
      <c r="S1060" s="6538" t="s">
        <v>1904</v>
      </c>
      <c r="T1060" s="1033"/>
      <c r="U1060" s="263"/>
      <c r="V1060" s="99"/>
      <c r="W1060" s="138"/>
      <c r="X1060" s="138"/>
      <c r="Y1060" s="99"/>
      <c r="Z1060" s="264"/>
      <c r="AA1060" s="277"/>
      <c r="AB1060" s="187"/>
    </row>
    <row r="1061" spans="1:29" ht="19.899999999999999" customHeight="1">
      <c r="A1061" s="11"/>
      <c r="B1061" s="5590"/>
      <c r="C1061" s="6693"/>
      <c r="D1061" s="357" t="s">
        <v>143</v>
      </c>
      <c r="E1061" s="614"/>
      <c r="F1061" s="285" t="s">
        <v>742</v>
      </c>
      <c r="G1061" s="253"/>
      <c r="H1061" s="9579" t="s">
        <v>144</v>
      </c>
      <c r="I1061" s="9580"/>
      <c r="J1061" s="9581"/>
      <c r="K1061" s="285" t="s">
        <v>734</v>
      </c>
      <c r="L1061" s="7144">
        <v>0</v>
      </c>
      <c r="M1061" s="7292"/>
      <c r="N1061" s="7122">
        <v>0</v>
      </c>
      <c r="O1061" s="7292"/>
      <c r="P1061" s="7122"/>
      <c r="Q1061" s="7240"/>
      <c r="R1061" s="6658"/>
      <c r="S1061" s="6538" t="s">
        <v>1902</v>
      </c>
      <c r="T1061" s="1033"/>
      <c r="U1061" s="263"/>
      <c r="V1061" s="99"/>
      <c r="W1061" s="138"/>
      <c r="X1061" s="138"/>
      <c r="Y1061" s="99"/>
      <c r="Z1061" s="264"/>
      <c r="AA1061" s="277"/>
      <c r="AB1061" s="187"/>
    </row>
    <row r="1062" spans="1:29" ht="19.899999999999999" customHeight="1">
      <c r="A1062" s="11"/>
      <c r="B1062" s="5590"/>
      <c r="C1062" s="6693"/>
      <c r="D1062" s="357" t="s">
        <v>146</v>
      </c>
      <c r="E1062" s="614"/>
      <c r="F1062" s="285" t="s">
        <v>742</v>
      </c>
      <c r="G1062" s="253"/>
      <c r="H1062" s="9579" t="s">
        <v>147</v>
      </c>
      <c r="I1062" s="9580"/>
      <c r="J1062" s="9581"/>
      <c r="K1062" s="285" t="s">
        <v>734</v>
      </c>
      <c r="L1062" s="7144"/>
      <c r="M1062" s="7292"/>
      <c r="N1062" s="7145"/>
      <c r="O1062" s="7292"/>
      <c r="P1062" s="7145"/>
      <c r="Q1062" s="7372"/>
      <c r="R1062" s="6663"/>
      <c r="S1062" s="6538" t="s">
        <v>1904</v>
      </c>
      <c r="T1062" s="1033"/>
      <c r="U1062" s="263"/>
      <c r="V1062" s="99"/>
      <c r="W1062" s="138"/>
      <c r="X1062" s="138"/>
      <c r="Y1062" s="99"/>
      <c r="Z1062" s="264"/>
      <c r="AA1062" s="277"/>
      <c r="AB1062" s="187"/>
    </row>
    <row r="1063" spans="1:29" ht="19.899999999999999" customHeight="1">
      <c r="A1063" s="11"/>
      <c r="B1063" s="5590"/>
      <c r="C1063" s="6693"/>
      <c r="D1063" s="357" t="s">
        <v>149</v>
      </c>
      <c r="E1063" s="614"/>
      <c r="F1063" s="285" t="s">
        <v>742</v>
      </c>
      <c r="G1063" s="253"/>
      <c r="H1063" s="9579" t="s">
        <v>150</v>
      </c>
      <c r="I1063" s="9580"/>
      <c r="J1063" s="9581"/>
      <c r="K1063" s="285" t="s">
        <v>734</v>
      </c>
      <c r="L1063" s="7144" t="s">
        <v>168</v>
      </c>
      <c r="M1063" s="7292" t="s">
        <v>641</v>
      </c>
      <c r="N1063" s="7145" t="s">
        <v>168</v>
      </c>
      <c r="O1063" s="7292" t="s">
        <v>641</v>
      </c>
      <c r="P1063" s="7145" t="s">
        <v>168</v>
      </c>
      <c r="Q1063" s="7372" t="s">
        <v>641</v>
      </c>
      <c r="R1063" s="6663"/>
      <c r="S1063" s="6538"/>
      <c r="T1063" s="1033"/>
      <c r="U1063" s="263"/>
      <c r="V1063" s="99"/>
      <c r="W1063" s="138"/>
      <c r="X1063" s="138"/>
      <c r="Y1063" s="99"/>
      <c r="Z1063" s="264"/>
      <c r="AA1063" s="277"/>
      <c r="AB1063" s="187"/>
    </row>
    <row r="1064" spans="1:29" ht="19.899999999999999" customHeight="1">
      <c r="A1064" s="11"/>
      <c r="B1064" s="5590"/>
      <c r="C1064" s="6693"/>
      <c r="D1064" s="9584" t="s">
        <v>5</v>
      </c>
      <c r="E1064" s="9585"/>
      <c r="F1064" s="6683"/>
      <c r="G1064" s="7025"/>
      <c r="H1064" s="9900"/>
      <c r="I1064" s="9901"/>
      <c r="J1064" s="9902"/>
      <c r="K1064" s="6683"/>
      <c r="L1064" s="7111"/>
      <c r="M1064" s="7291"/>
      <c r="N1064" s="7119"/>
      <c r="O1064" s="7291"/>
      <c r="P1064" s="7119"/>
      <c r="Q1064" s="6988"/>
      <c r="R1064" s="6994"/>
      <c r="S1064" s="7026"/>
      <c r="T1064" s="7027"/>
      <c r="U1064" s="263"/>
      <c r="V1064" s="99"/>
      <c r="W1064" s="138"/>
      <c r="X1064" s="138"/>
      <c r="Y1064" s="99"/>
      <c r="Z1064" s="620" t="s">
        <v>837</v>
      </c>
      <c r="AA1064" s="620" t="s">
        <v>740</v>
      </c>
      <c r="AB1064" s="187"/>
    </row>
    <row r="1065" spans="1:29" ht="19.899999999999999" customHeight="1">
      <c r="A1065" s="11"/>
      <c r="B1065" s="5590"/>
      <c r="C1065" s="6693"/>
      <c r="D1065" s="357" t="s">
        <v>134</v>
      </c>
      <c r="E1065" s="614"/>
      <c r="F1065" s="285" t="s">
        <v>742</v>
      </c>
      <c r="G1065" s="253"/>
      <c r="H1065" s="9579" t="s">
        <v>135</v>
      </c>
      <c r="I1065" s="9580"/>
      <c r="J1065" s="9581"/>
      <c r="K1065" s="285" t="s">
        <v>734</v>
      </c>
      <c r="L1065" s="7144"/>
      <c r="M1065" s="7292"/>
      <c r="N1065" s="7122"/>
      <c r="O1065" s="7292"/>
      <c r="P1065" s="7122"/>
      <c r="Q1065" s="7240"/>
      <c r="R1065" s="6658"/>
      <c r="S1065" s="6538" t="s">
        <v>1906</v>
      </c>
      <c r="T1065" s="1033"/>
      <c r="U1065" s="263"/>
      <c r="V1065" s="99"/>
      <c r="W1065" s="138"/>
      <c r="X1065" s="138"/>
      <c r="Y1065" s="99"/>
      <c r="Z1065" s="264"/>
      <c r="AA1065" s="277"/>
      <c r="AB1065" s="187"/>
    </row>
    <row r="1066" spans="1:29" ht="19.899999999999999" customHeight="1">
      <c r="A1066" s="11"/>
      <c r="B1066" s="5590"/>
      <c r="C1066" s="6693"/>
      <c r="D1066" s="357" t="s">
        <v>137</v>
      </c>
      <c r="E1066" s="614"/>
      <c r="F1066" s="285" t="s">
        <v>742</v>
      </c>
      <c r="G1066" s="253"/>
      <c r="H1066" s="9579" t="s">
        <v>138</v>
      </c>
      <c r="I1066" s="9580"/>
      <c r="J1066" s="9581"/>
      <c r="K1066" s="285" t="s">
        <v>734</v>
      </c>
      <c r="L1066" s="7144">
        <v>4</v>
      </c>
      <c r="M1066" s="7292" t="s">
        <v>1907</v>
      </c>
      <c r="N1066" s="7122">
        <v>4</v>
      </c>
      <c r="O1066" s="7292" t="s">
        <v>1907</v>
      </c>
      <c r="P1066" s="7122"/>
      <c r="Q1066" s="7449"/>
      <c r="R1066" s="6671"/>
      <c r="S1066" s="6538" t="s">
        <v>1908</v>
      </c>
      <c r="T1066" s="1033"/>
      <c r="U1066" s="263"/>
      <c r="V1066" s="99"/>
      <c r="W1066" s="138"/>
      <c r="X1066" s="138"/>
      <c r="Y1066" s="99"/>
      <c r="Z1066" s="264"/>
      <c r="AA1066" s="277"/>
      <c r="AB1066" s="187"/>
    </row>
    <row r="1067" spans="1:29" ht="19.899999999999999" customHeight="1">
      <c r="A1067" s="11"/>
      <c r="B1067" s="5590"/>
      <c r="C1067" s="6693"/>
      <c r="D1067" s="357" t="s">
        <v>140</v>
      </c>
      <c r="E1067" s="614"/>
      <c r="F1067" s="285" t="s">
        <v>742</v>
      </c>
      <c r="G1067" s="253"/>
      <c r="H1067" s="9579" t="s">
        <v>141</v>
      </c>
      <c r="I1067" s="9580"/>
      <c r="J1067" s="9581"/>
      <c r="K1067" s="285" t="s">
        <v>734</v>
      </c>
      <c r="L1067" s="7146"/>
      <c r="M1067" s="7292"/>
      <c r="N1067" s="7147"/>
      <c r="O1067" s="7292"/>
      <c r="P1067" s="7147"/>
      <c r="Q1067" s="7448"/>
      <c r="R1067" s="6672"/>
      <c r="S1067" s="6538" t="s">
        <v>1906</v>
      </c>
      <c r="T1067" s="1033"/>
      <c r="U1067" s="263"/>
      <c r="V1067" s="99"/>
      <c r="W1067" s="138"/>
      <c r="X1067" s="138"/>
      <c r="Y1067" s="99"/>
      <c r="Z1067" s="264"/>
      <c r="AA1067" s="277"/>
      <c r="AB1067" s="187"/>
    </row>
    <row r="1068" spans="1:29" ht="19.899999999999999" customHeight="1">
      <c r="A1068" s="11"/>
      <c r="B1068" s="5590"/>
      <c r="C1068" s="6693"/>
      <c r="D1068" s="357" t="s">
        <v>143</v>
      </c>
      <c r="E1068" s="614"/>
      <c r="F1068" s="285" t="s">
        <v>742</v>
      </c>
      <c r="G1068" s="253"/>
      <c r="H1068" s="9579" t="s">
        <v>144</v>
      </c>
      <c r="I1068" s="9580"/>
      <c r="J1068" s="9581"/>
      <c r="K1068" s="285" t="s">
        <v>734</v>
      </c>
      <c r="L1068" s="7144">
        <v>0</v>
      </c>
      <c r="M1068" s="7292"/>
      <c r="N1068" s="7122">
        <v>0</v>
      </c>
      <c r="O1068" s="7292"/>
      <c r="P1068" s="7122"/>
      <c r="Q1068" s="7240"/>
      <c r="R1068" s="6658"/>
      <c r="S1068" s="6538" t="s">
        <v>1908</v>
      </c>
      <c r="T1068" s="1033"/>
      <c r="U1068" s="263"/>
      <c r="V1068" s="99"/>
      <c r="W1068" s="138"/>
      <c r="X1068" s="138"/>
      <c r="Y1068" s="99"/>
      <c r="Z1068" s="264"/>
      <c r="AA1068" s="277"/>
      <c r="AB1068" s="187"/>
    </row>
    <row r="1069" spans="1:29" ht="19.899999999999999" customHeight="1">
      <c r="A1069" s="11"/>
      <c r="B1069" s="5590"/>
      <c r="C1069" s="6693"/>
      <c r="D1069" s="357" t="s">
        <v>146</v>
      </c>
      <c r="E1069" s="614"/>
      <c r="F1069" s="285" t="s">
        <v>742</v>
      </c>
      <c r="G1069" s="253"/>
      <c r="H1069" s="9579" t="s">
        <v>147</v>
      </c>
      <c r="I1069" s="9580"/>
      <c r="J1069" s="9581"/>
      <c r="K1069" s="285" t="s">
        <v>734</v>
      </c>
      <c r="L1069" s="7144"/>
      <c r="M1069" s="7292"/>
      <c r="N1069" s="7145"/>
      <c r="O1069" s="7292"/>
      <c r="P1069" s="7145"/>
      <c r="Q1069" s="7372"/>
      <c r="R1069" s="6663"/>
      <c r="S1069" s="6538" t="s">
        <v>1906</v>
      </c>
      <c r="T1069" s="1033"/>
      <c r="U1069" s="263"/>
      <c r="V1069" s="99"/>
      <c r="W1069" s="138"/>
      <c r="X1069" s="138"/>
      <c r="Y1069" s="99"/>
      <c r="Z1069" s="264"/>
      <c r="AA1069" s="277"/>
      <c r="AB1069" s="187"/>
    </row>
    <row r="1070" spans="1:29" ht="19.899999999999999" customHeight="1">
      <c r="A1070" s="11"/>
      <c r="B1070" s="5590"/>
      <c r="C1070" s="6693"/>
      <c r="D1070" s="357" t="s">
        <v>149</v>
      </c>
      <c r="E1070" s="614"/>
      <c r="F1070" s="285" t="s">
        <v>742</v>
      </c>
      <c r="G1070" s="253"/>
      <c r="H1070" s="9579" t="s">
        <v>150</v>
      </c>
      <c r="I1070" s="9580"/>
      <c r="J1070" s="9581"/>
      <c r="K1070" s="285" t="s">
        <v>734</v>
      </c>
      <c r="L1070" s="7144" t="s">
        <v>168</v>
      </c>
      <c r="M1070" s="7292" t="s">
        <v>641</v>
      </c>
      <c r="N1070" s="7145" t="s">
        <v>168</v>
      </c>
      <c r="O1070" s="7292" t="s">
        <v>641</v>
      </c>
      <c r="P1070" s="7145" t="s">
        <v>168</v>
      </c>
      <c r="Q1070" s="7372" t="s">
        <v>641</v>
      </c>
      <c r="R1070" s="6663"/>
      <c r="S1070" s="6538"/>
      <c r="T1070" s="1033"/>
      <c r="U1070" s="263"/>
      <c r="V1070" s="99"/>
      <c r="W1070" s="138"/>
      <c r="X1070" s="138"/>
      <c r="Y1070" s="99"/>
      <c r="Z1070" s="264"/>
      <c r="AA1070" s="277"/>
      <c r="AB1070" s="187"/>
    </row>
    <row r="1071" spans="1:29" s="7571" customFormat="1" ht="19.899999999999999" customHeight="1">
      <c r="B1071" s="7590"/>
      <c r="C1071" s="7625" t="s">
        <v>1909</v>
      </c>
      <c r="D1071" s="7852" t="s">
        <v>134</v>
      </c>
      <c r="E1071" s="7626"/>
      <c r="F1071" s="7573"/>
      <c r="G1071" s="7629"/>
      <c r="H1071" s="7854"/>
      <c r="I1071" s="7855"/>
      <c r="J1071" s="7856"/>
      <c r="K1071" s="7573"/>
      <c r="L1071" s="7627" t="b">
        <f>SUM(L1023,L1030,L1037,L1044,L1051,L1058,L1065)=L883</f>
        <v>0</v>
      </c>
      <c r="M1071" s="7630"/>
      <c r="N1071" s="7628" t="b">
        <f t="shared" ref="N1071:P1076" si="6">SUM(N1023,N1030,N1037,N1044,N1051,N1058,N1065)=N883</f>
        <v>0</v>
      </c>
      <c r="O1071" s="7630"/>
      <c r="P1071" s="7628" t="b">
        <f t="shared" si="6"/>
        <v>0</v>
      </c>
      <c r="Q1071" s="7595"/>
      <c r="R1071" s="7631"/>
      <c r="S1071" s="7632"/>
      <c r="T1071" s="7596"/>
      <c r="U1071" s="7597"/>
      <c r="V1071" s="7582"/>
      <c r="W1071" s="7598"/>
      <c r="X1071" s="7598"/>
      <c r="Y1071" s="7582"/>
      <c r="Z1071" s="7633"/>
      <c r="AA1071" s="7634"/>
      <c r="AB1071" s="7635"/>
      <c r="AC1071" s="7589"/>
    </row>
    <row r="1072" spans="1:29" s="7571" customFormat="1" ht="19.899999999999999" customHeight="1">
      <c r="B1072" s="7590"/>
      <c r="C1072" s="7625"/>
      <c r="D1072" s="7852" t="s">
        <v>137</v>
      </c>
      <c r="E1072" s="7626"/>
      <c r="F1072" s="7573"/>
      <c r="G1072" s="7629"/>
      <c r="H1072" s="7854"/>
      <c r="I1072" s="7855"/>
      <c r="J1072" s="7856"/>
      <c r="K1072" s="7573"/>
      <c r="L1072" s="7627" t="b">
        <f t="shared" ref="L1072:L1076" si="7">SUM(L1024,L1031,L1038,L1045,L1052,L1059,L1066)=L884</f>
        <v>1</v>
      </c>
      <c r="M1072" s="7630"/>
      <c r="N1072" s="7628" t="b">
        <f t="shared" si="6"/>
        <v>0</v>
      </c>
      <c r="O1072" s="7630"/>
      <c r="P1072" s="7628" t="b">
        <f t="shared" si="6"/>
        <v>1</v>
      </c>
      <c r="Q1072" s="7595"/>
      <c r="R1072" s="7631"/>
      <c r="S1072" s="7632"/>
      <c r="T1072" s="7596"/>
      <c r="U1072" s="7597"/>
      <c r="V1072" s="7582"/>
      <c r="W1072" s="7598"/>
      <c r="X1072" s="7598"/>
      <c r="Y1072" s="7582"/>
      <c r="Z1072" s="7633"/>
      <c r="AA1072" s="7634"/>
      <c r="AB1072" s="7635"/>
      <c r="AC1072" s="7589"/>
    </row>
    <row r="1073" spans="1:29" s="7571" customFormat="1" ht="19.899999999999999" customHeight="1">
      <c r="B1073" s="7590"/>
      <c r="C1073" s="7625"/>
      <c r="D1073" s="7852" t="s">
        <v>140</v>
      </c>
      <c r="E1073" s="7626"/>
      <c r="F1073" s="7573"/>
      <c r="G1073" s="7629"/>
      <c r="H1073" s="7854"/>
      <c r="I1073" s="7855"/>
      <c r="J1073" s="7856"/>
      <c r="K1073" s="7573"/>
      <c r="L1073" s="7627" t="b">
        <f t="shared" si="7"/>
        <v>0</v>
      </c>
      <c r="M1073" s="7630"/>
      <c r="N1073" s="7628" t="b">
        <f t="shared" si="6"/>
        <v>0</v>
      </c>
      <c r="O1073" s="7630"/>
      <c r="P1073" s="7628" t="b">
        <f t="shared" si="6"/>
        <v>0</v>
      </c>
      <c r="Q1073" s="7595"/>
      <c r="R1073" s="7631"/>
      <c r="S1073" s="7632"/>
      <c r="T1073" s="7596"/>
      <c r="U1073" s="7597"/>
      <c r="V1073" s="7582"/>
      <c r="W1073" s="7598"/>
      <c r="X1073" s="7598"/>
      <c r="Y1073" s="7582"/>
      <c r="Z1073" s="7633"/>
      <c r="AA1073" s="7634"/>
      <c r="AB1073" s="7635"/>
      <c r="AC1073" s="7589"/>
    </row>
    <row r="1074" spans="1:29" s="7571" customFormat="1" ht="19.899999999999999" customHeight="1">
      <c r="B1074" s="7590"/>
      <c r="C1074" s="7625"/>
      <c r="D1074" s="7852" t="s">
        <v>143</v>
      </c>
      <c r="E1074" s="7626"/>
      <c r="F1074" s="7573"/>
      <c r="G1074" s="7629"/>
      <c r="H1074" s="7854"/>
      <c r="I1074" s="7855"/>
      <c r="J1074" s="7856"/>
      <c r="K1074" s="7573"/>
      <c r="L1074" s="7627" t="b">
        <f t="shared" si="7"/>
        <v>0</v>
      </c>
      <c r="M1074" s="7630"/>
      <c r="N1074" s="7628" t="b">
        <f t="shared" si="6"/>
        <v>0</v>
      </c>
      <c r="O1074" s="7630"/>
      <c r="P1074" s="7628" t="b">
        <f t="shared" si="6"/>
        <v>0</v>
      </c>
      <c r="Q1074" s="7595"/>
      <c r="R1074" s="7631"/>
      <c r="S1074" s="7632"/>
      <c r="T1074" s="7596"/>
      <c r="U1074" s="7597"/>
      <c r="V1074" s="7582"/>
      <c r="W1074" s="7598"/>
      <c r="X1074" s="7598"/>
      <c r="Y1074" s="7582"/>
      <c r="Z1074" s="7633"/>
      <c r="AA1074" s="7634"/>
      <c r="AB1074" s="7635"/>
      <c r="AC1074" s="7589"/>
    </row>
    <row r="1075" spans="1:29" s="7571" customFormat="1" ht="19.899999999999999" customHeight="1">
      <c r="B1075" s="7590"/>
      <c r="C1075" s="7625"/>
      <c r="D1075" s="7852" t="s">
        <v>146</v>
      </c>
      <c r="E1075" s="7626"/>
      <c r="F1075" s="7573"/>
      <c r="G1075" s="7629"/>
      <c r="H1075" s="7854"/>
      <c r="I1075" s="7855"/>
      <c r="J1075" s="7856"/>
      <c r="K1075" s="7573"/>
      <c r="L1075" s="7627" t="b">
        <f t="shared" si="7"/>
        <v>0</v>
      </c>
      <c r="M1075" s="7630"/>
      <c r="N1075" s="7628" t="b">
        <f t="shared" si="6"/>
        <v>0</v>
      </c>
      <c r="O1075" s="7630"/>
      <c r="P1075" s="7628" t="b">
        <f t="shared" si="6"/>
        <v>0</v>
      </c>
      <c r="Q1075" s="7595"/>
      <c r="R1075" s="7631"/>
      <c r="S1075" s="7632"/>
      <c r="T1075" s="7596"/>
      <c r="U1075" s="7597"/>
      <c r="V1075" s="7582"/>
      <c r="W1075" s="7598"/>
      <c r="X1075" s="7598"/>
      <c r="Y1075" s="7582"/>
      <c r="Z1075" s="7633"/>
      <c r="AA1075" s="7634"/>
      <c r="AB1075" s="7635"/>
      <c r="AC1075" s="7589"/>
    </row>
    <row r="1076" spans="1:29" s="7571" customFormat="1" ht="19.899999999999999" customHeight="1" thickBot="1">
      <c r="B1076" s="7590"/>
      <c r="C1076" s="7625"/>
      <c r="D1076" s="7852" t="s">
        <v>149</v>
      </c>
      <c r="E1076" s="7626"/>
      <c r="F1076" s="7573"/>
      <c r="G1076" s="7629"/>
      <c r="H1076" s="7854"/>
      <c r="I1076" s="7855"/>
      <c r="J1076" s="7856"/>
      <c r="K1076" s="7573"/>
      <c r="L1076" s="7627" t="b">
        <f t="shared" si="7"/>
        <v>0</v>
      </c>
      <c r="M1076" s="7630"/>
      <c r="N1076" s="7628" t="b">
        <f t="shared" si="6"/>
        <v>0</v>
      </c>
      <c r="O1076" s="7630"/>
      <c r="P1076" s="7628" t="b">
        <f t="shared" si="6"/>
        <v>0</v>
      </c>
      <c r="Q1076" s="7595"/>
      <c r="R1076" s="7631"/>
      <c r="S1076" s="7632"/>
      <c r="T1076" s="7596"/>
      <c r="U1076" s="7597"/>
      <c r="V1076" s="7582"/>
      <c r="W1076" s="7598"/>
      <c r="X1076" s="7598"/>
      <c r="Y1076" s="7582"/>
      <c r="Z1076" s="7633"/>
      <c r="AA1076" s="7634"/>
      <c r="AB1076" s="7635"/>
      <c r="AC1076" s="7589"/>
    </row>
    <row r="1077" spans="1:29" ht="27" thickBot="1">
      <c r="A1077" s="11"/>
      <c r="B1077" s="123" t="s">
        <v>877</v>
      </c>
      <c r="C1077" s="124"/>
      <c r="D1077" s="124"/>
      <c r="E1077" s="124"/>
      <c r="F1077" s="78"/>
      <c r="G1077" s="598" t="s">
        <v>878</v>
      </c>
      <c r="H1077" s="126"/>
      <c r="I1077" s="126"/>
      <c r="J1077" s="126"/>
      <c r="K1077" s="78"/>
      <c r="L1077" s="6775"/>
      <c r="M1077" s="5621"/>
      <c r="N1077" s="6853"/>
      <c r="O1077" s="5621"/>
      <c r="P1077" s="6853"/>
      <c r="Q1077" s="5621"/>
      <c r="R1077" s="5621"/>
      <c r="S1077" s="5621"/>
      <c r="T1077" s="80"/>
      <c r="U1077" s="80"/>
      <c r="V1077" s="129"/>
      <c r="W1077" s="719"/>
      <c r="X1077" s="719"/>
      <c r="Y1077" s="129"/>
      <c r="Z1077" s="720"/>
      <c r="AA1077" s="328"/>
      <c r="AB1077" s="329"/>
    </row>
    <row r="1078" spans="1:29" ht="20.100000000000001" customHeight="1">
      <c r="A1078" s="11"/>
      <c r="B1078" s="1359"/>
      <c r="C1078" s="7151" t="s">
        <v>879</v>
      </c>
      <c r="D1078" s="5607"/>
      <c r="E1078" s="5943"/>
      <c r="F1078" s="7030" t="s">
        <v>732</v>
      </c>
      <c r="G1078" s="7025"/>
      <c r="H1078" s="7152" t="s">
        <v>880</v>
      </c>
      <c r="I1078" s="7153"/>
      <c r="J1078" s="7154"/>
      <c r="K1078" s="7031" t="s">
        <v>734</v>
      </c>
      <c r="L1078" s="7111">
        <f>IF(COUNTBLANK(L1079:L1084)&gt;0,"미취합법인有",SUM(L1079:L1084))</f>
        <v>6332</v>
      </c>
      <c r="M1078" s="7279"/>
      <c r="N1078" s="7115">
        <f>IF(COUNTBLANK(N1079:N1084)&gt;0,"미취합법인有",SUM(N1079:N1084))</f>
        <v>9438</v>
      </c>
      <c r="O1078" s="7385"/>
      <c r="P1078" s="7121">
        <f>IF(COUNTBLANK(P1079:P1084)&gt;0,"미취합법인有",SUM(P1079:P1084))</f>
        <v>9059</v>
      </c>
      <c r="Q1078" s="7474"/>
      <c r="R1078" s="7003" t="s">
        <v>31</v>
      </c>
      <c r="S1078" s="7004"/>
      <c r="T1078" s="7032" t="s">
        <v>881</v>
      </c>
      <c r="U1078" s="457" t="s">
        <v>882</v>
      </c>
      <c r="V1078" s="642" t="s">
        <v>737</v>
      </c>
      <c r="W1078" s="547" t="s">
        <v>800</v>
      </c>
      <c r="X1078" s="534"/>
      <c r="Y1078" s="642"/>
      <c r="Z1078" s="620" t="s">
        <v>883</v>
      </c>
      <c r="AA1078" s="620" t="s">
        <v>884</v>
      </c>
      <c r="AB1078" s="159"/>
    </row>
    <row r="1079" spans="1:29" ht="20.100000000000001" customHeight="1">
      <c r="A1079" s="11"/>
      <c r="B1079" s="1360"/>
      <c r="C1079" s="6693" t="s">
        <v>134</v>
      </c>
      <c r="D1079" s="161"/>
      <c r="E1079" s="614"/>
      <c r="F1079" s="492" t="s">
        <v>732</v>
      </c>
      <c r="G1079" s="666"/>
      <c r="H1079" s="6133" t="s">
        <v>135</v>
      </c>
      <c r="I1079" s="6135"/>
      <c r="J1079" s="6134"/>
      <c r="K1079" s="6172" t="s">
        <v>734</v>
      </c>
      <c r="L1079" s="7113">
        <v>4117</v>
      </c>
      <c r="M1079" s="7288"/>
      <c r="N1079" s="7148">
        <v>5824</v>
      </c>
      <c r="O1079" s="7288"/>
      <c r="P1079" s="7148">
        <v>5958</v>
      </c>
      <c r="Q1079" s="7245"/>
      <c r="R1079" s="6659" t="s">
        <v>31</v>
      </c>
      <c r="S1079" s="6561"/>
      <c r="T1079" s="2468"/>
      <c r="U1079" s="544"/>
      <c r="V1079" s="545"/>
      <c r="W1079" s="546"/>
      <c r="X1079" s="547"/>
      <c r="Y1079" s="548"/>
      <c r="Z1079" s="277"/>
      <c r="AA1079" s="277"/>
      <c r="AB1079" s="187"/>
    </row>
    <row r="1080" spans="1:29" ht="20.100000000000001" customHeight="1">
      <c r="A1080" s="11"/>
      <c r="B1080" s="1360"/>
      <c r="C1080" s="6693" t="s">
        <v>137</v>
      </c>
      <c r="D1080" s="161"/>
      <c r="E1080" s="614"/>
      <c r="F1080" s="492" t="s">
        <v>732</v>
      </c>
      <c r="G1080" s="666"/>
      <c r="H1080" s="6133" t="s">
        <v>138</v>
      </c>
      <c r="I1080" s="6135"/>
      <c r="J1080" s="6134"/>
      <c r="K1080" s="4868" t="s">
        <v>734</v>
      </c>
      <c r="L1080" s="7113">
        <v>28</v>
      </c>
      <c r="M1080" s="7288"/>
      <c r="N1080" s="7148">
        <v>92</v>
      </c>
      <c r="O1080" s="7288"/>
      <c r="P1080" s="7148">
        <v>63</v>
      </c>
      <c r="Q1080" s="7245"/>
      <c r="R1080" s="6659" t="s">
        <v>31</v>
      </c>
      <c r="S1080" s="6561"/>
      <c r="T1080" s="2468"/>
      <c r="U1080" s="544"/>
      <c r="V1080" s="545"/>
      <c r="W1080" s="546"/>
      <c r="X1080" s="547"/>
      <c r="Y1080" s="548"/>
      <c r="Z1080" s="277"/>
      <c r="AA1080" s="277"/>
      <c r="AB1080" s="187"/>
    </row>
    <row r="1081" spans="1:29" ht="20.100000000000001" customHeight="1">
      <c r="A1081" s="11"/>
      <c r="B1081" s="1360"/>
      <c r="C1081" s="6693" t="s">
        <v>140</v>
      </c>
      <c r="D1081" s="161"/>
      <c r="E1081" s="614"/>
      <c r="F1081" s="492" t="s">
        <v>732</v>
      </c>
      <c r="G1081" s="666"/>
      <c r="H1081" s="6133" t="s">
        <v>141</v>
      </c>
      <c r="I1081" s="6135"/>
      <c r="J1081" s="6134"/>
      <c r="K1081" s="4868" t="s">
        <v>734</v>
      </c>
      <c r="L1081" s="7113">
        <v>173</v>
      </c>
      <c r="M1081" s="7288"/>
      <c r="N1081" s="7148">
        <v>107</v>
      </c>
      <c r="O1081" s="7288"/>
      <c r="P1081" s="7148">
        <v>91</v>
      </c>
      <c r="Q1081" s="7245"/>
      <c r="R1081" s="6659" t="s">
        <v>31</v>
      </c>
      <c r="S1081" s="6561"/>
      <c r="T1081" s="2468"/>
      <c r="U1081" s="544"/>
      <c r="V1081" s="545"/>
      <c r="W1081" s="546"/>
      <c r="X1081" s="547"/>
      <c r="Y1081" s="548"/>
      <c r="Z1081" s="277"/>
      <c r="AA1081" s="277"/>
      <c r="AB1081" s="187"/>
    </row>
    <row r="1082" spans="1:29" ht="20.100000000000001" customHeight="1">
      <c r="A1082" s="11"/>
      <c r="B1082" s="1360"/>
      <c r="C1082" s="6693" t="s">
        <v>143</v>
      </c>
      <c r="D1082" s="161"/>
      <c r="E1082" s="614"/>
      <c r="F1082" s="492" t="s">
        <v>732</v>
      </c>
      <c r="G1082" s="666"/>
      <c r="H1082" s="6133" t="s">
        <v>144</v>
      </c>
      <c r="I1082" s="6135"/>
      <c r="J1082" s="6134"/>
      <c r="K1082" s="4868" t="s">
        <v>734</v>
      </c>
      <c r="L1082" s="7113">
        <v>1246</v>
      </c>
      <c r="M1082" s="7288"/>
      <c r="N1082" s="7148">
        <v>2548</v>
      </c>
      <c r="O1082" s="7288"/>
      <c r="P1082" s="7148">
        <v>2016</v>
      </c>
      <c r="Q1082" s="7245"/>
      <c r="R1082" s="6659" t="s">
        <v>31</v>
      </c>
      <c r="S1082" s="6561"/>
      <c r="T1082" s="2468"/>
      <c r="U1082" s="544"/>
      <c r="V1082" s="545"/>
      <c r="W1082" s="546"/>
      <c r="X1082" s="547"/>
      <c r="Y1082" s="548"/>
      <c r="Z1082" s="277"/>
      <c r="AA1082" s="277"/>
      <c r="AB1082" s="187"/>
    </row>
    <row r="1083" spans="1:29" ht="20.100000000000001" customHeight="1">
      <c r="A1083" s="11"/>
      <c r="B1083" s="1360"/>
      <c r="C1083" s="6693" t="s">
        <v>146</v>
      </c>
      <c r="D1083" s="161"/>
      <c r="E1083" s="614"/>
      <c r="F1083" s="492" t="s">
        <v>732</v>
      </c>
      <c r="G1083" s="666"/>
      <c r="H1083" s="6133" t="s">
        <v>147</v>
      </c>
      <c r="I1083" s="6135"/>
      <c r="J1083" s="6134"/>
      <c r="K1083" s="4868" t="s">
        <v>734</v>
      </c>
      <c r="L1083" s="7113">
        <v>16</v>
      </c>
      <c r="M1083" s="7288"/>
      <c r="N1083" s="7148">
        <v>86</v>
      </c>
      <c r="O1083" s="7288"/>
      <c r="P1083" s="7148">
        <v>95</v>
      </c>
      <c r="Q1083" s="7245"/>
      <c r="R1083" s="6659" t="s">
        <v>31</v>
      </c>
      <c r="S1083" s="6561"/>
      <c r="T1083" s="2468"/>
      <c r="U1083" s="544"/>
      <c r="V1083" s="545"/>
      <c r="W1083" s="546"/>
      <c r="X1083" s="547"/>
      <c r="Y1083" s="548"/>
      <c r="Z1083" s="277"/>
      <c r="AA1083" s="277"/>
      <c r="AB1083" s="187"/>
    </row>
    <row r="1084" spans="1:29" ht="20.100000000000001" customHeight="1">
      <c r="A1084" s="11"/>
      <c r="B1084" s="1360"/>
      <c r="C1084" s="6693" t="s">
        <v>149</v>
      </c>
      <c r="D1084" s="161"/>
      <c r="E1084" s="614"/>
      <c r="F1084" s="492" t="s">
        <v>732</v>
      </c>
      <c r="G1084" s="666"/>
      <c r="H1084" s="6133" t="s">
        <v>150</v>
      </c>
      <c r="I1084" s="6135"/>
      <c r="J1084" s="6134"/>
      <c r="K1084" s="4868" t="s">
        <v>734</v>
      </c>
      <c r="L1084" s="7113">
        <v>752</v>
      </c>
      <c r="M1084" s="7288"/>
      <c r="N1084" s="7148">
        <v>781</v>
      </c>
      <c r="O1084" s="7288"/>
      <c r="P1084" s="7148">
        <v>836</v>
      </c>
      <c r="Q1084" s="7245"/>
      <c r="R1084" s="6659" t="s">
        <v>31</v>
      </c>
      <c r="S1084" s="6561"/>
      <c r="T1084" s="2468"/>
      <c r="U1084" s="544"/>
      <c r="V1084" s="545"/>
      <c r="W1084" s="546"/>
      <c r="X1084" s="547"/>
      <c r="Y1084" s="548"/>
      <c r="Z1084" s="277"/>
      <c r="AA1084" s="277"/>
      <c r="AB1084" s="187"/>
    </row>
    <row r="1085" spans="1:29" ht="20.100000000000001" customHeight="1">
      <c r="A1085" s="11"/>
      <c r="B1085" s="1360"/>
      <c r="C1085" s="1362"/>
      <c r="D1085" s="5606" t="s">
        <v>885</v>
      </c>
      <c r="E1085" s="5943"/>
      <c r="F1085" s="7006" t="s">
        <v>732</v>
      </c>
      <c r="G1085" s="7025"/>
      <c r="H1085" s="7025"/>
      <c r="I1085" s="5606" t="s">
        <v>886</v>
      </c>
      <c r="J1085" s="5943"/>
      <c r="K1085" s="7006" t="s">
        <v>734</v>
      </c>
      <c r="L1085" s="7111">
        <f>IF(COUNTBLANK(L1086:L1091)&gt;0,"미취합법인有",SUM(L1086:L1091))</f>
        <v>2656</v>
      </c>
      <c r="M1085" s="7279"/>
      <c r="N1085" s="7115">
        <f>IF(COUNTBLANK(N1086:N1091)&gt;0,"미취합법인有",SUM(N1086:N1091))</f>
        <v>4059</v>
      </c>
      <c r="O1085" s="7385"/>
      <c r="P1085" s="7121">
        <f>IF(COUNTBLANK(P1086:P1091)&gt;0,"미취합법인有",SUM(P1086:P1091))</f>
        <v>3803</v>
      </c>
      <c r="Q1085" s="7029"/>
      <c r="R1085" s="7010" t="s">
        <v>31</v>
      </c>
      <c r="S1085" s="7007"/>
      <c r="T1085" s="7020" t="s">
        <v>881</v>
      </c>
      <c r="U1085" s="457" t="s">
        <v>882</v>
      </c>
      <c r="V1085" s="99" t="s">
        <v>737</v>
      </c>
      <c r="W1085" s="547" t="s">
        <v>800</v>
      </c>
      <c r="X1085" s="547"/>
      <c r="Y1085" s="99"/>
      <c r="Z1085" s="620" t="s">
        <v>883</v>
      </c>
      <c r="AA1085" s="620" t="s">
        <v>884</v>
      </c>
      <c r="AB1085" s="159"/>
    </row>
    <row r="1086" spans="1:29" ht="20.100000000000001" customHeight="1">
      <c r="A1086" s="11"/>
      <c r="B1086" s="1360"/>
      <c r="C1086" s="5598"/>
      <c r="D1086" s="357" t="s">
        <v>134</v>
      </c>
      <c r="E1086" s="1362"/>
      <c r="F1086" s="492" t="s">
        <v>732</v>
      </c>
      <c r="G1086" s="666"/>
      <c r="H1086" s="666"/>
      <c r="I1086" s="6133" t="s">
        <v>135</v>
      </c>
      <c r="J1086" s="6134"/>
      <c r="K1086" s="132" t="s">
        <v>734</v>
      </c>
      <c r="L1086" s="7113">
        <v>1860</v>
      </c>
      <c r="M1086" s="7288" t="s">
        <v>746</v>
      </c>
      <c r="N1086" s="7117">
        <v>3100</v>
      </c>
      <c r="O1086" s="7393" t="s">
        <v>747</v>
      </c>
      <c r="P1086" s="7139">
        <v>2845</v>
      </c>
      <c r="Q1086" s="7356" t="s">
        <v>746</v>
      </c>
      <c r="R1086" s="6659" t="s">
        <v>31</v>
      </c>
      <c r="S1086" s="6557"/>
      <c r="T1086" s="2468"/>
      <c r="U1086" s="544"/>
      <c r="V1086" s="545"/>
      <c r="W1086" s="546"/>
      <c r="X1086" s="547"/>
      <c r="Y1086" s="548"/>
      <c r="Z1086" s="277"/>
      <c r="AA1086" s="277"/>
      <c r="AB1086" s="187"/>
    </row>
    <row r="1087" spans="1:29" ht="20.100000000000001" customHeight="1">
      <c r="A1087" s="11"/>
      <c r="B1087" s="1360"/>
      <c r="C1087" s="5598"/>
      <c r="D1087" s="357" t="s">
        <v>137</v>
      </c>
      <c r="E1087" s="1362"/>
      <c r="F1087" s="492" t="s">
        <v>732</v>
      </c>
      <c r="G1087" s="666"/>
      <c r="H1087" s="666"/>
      <c r="I1087" s="6133" t="s">
        <v>138</v>
      </c>
      <c r="J1087" s="6134"/>
      <c r="K1087" s="132" t="s">
        <v>734</v>
      </c>
      <c r="L1087" s="7113">
        <v>28</v>
      </c>
      <c r="M1087" s="7288" t="s">
        <v>887</v>
      </c>
      <c r="N1087" s="7118">
        <v>92</v>
      </c>
      <c r="O1087" s="7393" t="s">
        <v>887</v>
      </c>
      <c r="P1087" s="7157">
        <v>26</v>
      </c>
      <c r="Q1087" s="7311"/>
      <c r="R1087" s="6659" t="s">
        <v>31</v>
      </c>
      <c r="S1087" s="6572"/>
      <c r="T1087" s="2468"/>
      <c r="U1087" s="544"/>
      <c r="V1087" s="545"/>
      <c r="W1087" s="546"/>
      <c r="X1087" s="547"/>
      <c r="Y1087" s="548"/>
      <c r="Z1087" s="277"/>
      <c r="AA1087" s="277"/>
      <c r="AB1087" s="187"/>
    </row>
    <row r="1088" spans="1:29" ht="20.100000000000001" customHeight="1">
      <c r="A1088" s="11"/>
      <c r="B1088" s="1360"/>
      <c r="C1088" s="5598"/>
      <c r="D1088" s="357" t="s">
        <v>140</v>
      </c>
      <c r="E1088" s="1362"/>
      <c r="F1088" s="492" t="s">
        <v>732</v>
      </c>
      <c r="G1088" s="666"/>
      <c r="H1088" s="666"/>
      <c r="I1088" s="267" t="s">
        <v>141</v>
      </c>
      <c r="J1088" s="268"/>
      <c r="K1088" s="132" t="s">
        <v>734</v>
      </c>
      <c r="L1088" s="7113">
        <v>0</v>
      </c>
      <c r="M1088" s="7288" t="s">
        <v>887</v>
      </c>
      <c r="N1088" s="7124">
        <v>0</v>
      </c>
      <c r="O1088" s="7393" t="s">
        <v>887</v>
      </c>
      <c r="P1088" s="7157">
        <v>1</v>
      </c>
      <c r="Q1088" s="7311"/>
      <c r="R1088" s="6659" t="s">
        <v>31</v>
      </c>
      <c r="S1088" s="6572"/>
      <c r="T1088" s="2468"/>
      <c r="U1088" s="544"/>
      <c r="V1088" s="545"/>
      <c r="W1088" s="546"/>
      <c r="X1088" s="547"/>
      <c r="Y1088" s="548"/>
      <c r="Z1088" s="277"/>
      <c r="AA1088" s="277"/>
      <c r="AB1088" s="187"/>
    </row>
    <row r="1089" spans="1:29" ht="20.100000000000001" customHeight="1">
      <c r="A1089" s="11"/>
      <c r="B1089" s="1360"/>
      <c r="C1089" s="5598"/>
      <c r="D1089" s="357" t="s">
        <v>143</v>
      </c>
      <c r="E1089" s="1362"/>
      <c r="F1089" s="492" t="s">
        <v>732</v>
      </c>
      <c r="G1089" s="666"/>
      <c r="H1089" s="666"/>
      <c r="I1089" s="267" t="s">
        <v>144</v>
      </c>
      <c r="J1089" s="268"/>
      <c r="K1089" s="132" t="s">
        <v>734</v>
      </c>
      <c r="L1089" s="7113">
        <v>0</v>
      </c>
      <c r="M1089" s="7288" t="s">
        <v>888</v>
      </c>
      <c r="N1089" s="7118">
        <v>0</v>
      </c>
      <c r="O1089" s="7393" t="s">
        <v>888</v>
      </c>
      <c r="P1089" s="7157">
        <v>0</v>
      </c>
      <c r="Q1089" s="7311"/>
      <c r="R1089" s="6659" t="s">
        <v>31</v>
      </c>
      <c r="S1089" s="6572"/>
      <c r="T1089" s="2468"/>
      <c r="U1089" s="544"/>
      <c r="V1089" s="545"/>
      <c r="W1089" s="546"/>
      <c r="X1089" s="547"/>
      <c r="Y1089" s="548"/>
      <c r="Z1089" s="277"/>
      <c r="AA1089" s="277"/>
      <c r="AB1089" s="187"/>
    </row>
    <row r="1090" spans="1:29" ht="20.100000000000001" customHeight="1">
      <c r="A1090" s="11"/>
      <c r="B1090" s="1360"/>
      <c r="C1090" s="5598"/>
      <c r="D1090" s="357" t="s">
        <v>146</v>
      </c>
      <c r="E1090" s="1362"/>
      <c r="F1090" s="492" t="s">
        <v>732</v>
      </c>
      <c r="G1090" s="666"/>
      <c r="H1090" s="666"/>
      <c r="I1090" s="267" t="s">
        <v>147</v>
      </c>
      <c r="J1090" s="268"/>
      <c r="K1090" s="132" t="s">
        <v>734</v>
      </c>
      <c r="L1090" s="7113">
        <v>16</v>
      </c>
      <c r="M1090" s="7288" t="s">
        <v>887</v>
      </c>
      <c r="N1090" s="7118">
        <v>86</v>
      </c>
      <c r="O1090" s="7393" t="s">
        <v>887</v>
      </c>
      <c r="P1090" s="7157">
        <v>95</v>
      </c>
      <c r="Q1090" s="7311"/>
      <c r="R1090" s="6659" t="s">
        <v>31</v>
      </c>
      <c r="S1090" s="6572"/>
      <c r="T1090" s="2468"/>
      <c r="U1090" s="544"/>
      <c r="V1090" s="545"/>
      <c r="W1090" s="546"/>
      <c r="X1090" s="547"/>
      <c r="Y1090" s="548"/>
      <c r="Z1090" s="277"/>
      <c r="AA1090" s="277"/>
      <c r="AB1090" s="187"/>
    </row>
    <row r="1091" spans="1:29" ht="20.100000000000001" customHeight="1">
      <c r="A1091" s="11"/>
      <c r="B1091" s="1360"/>
      <c r="C1091" s="5598"/>
      <c r="D1091" s="357" t="s">
        <v>149</v>
      </c>
      <c r="E1091" s="1362"/>
      <c r="F1091" s="492" t="s">
        <v>732</v>
      </c>
      <c r="G1091" s="666"/>
      <c r="H1091" s="666"/>
      <c r="I1091" s="267" t="s">
        <v>150</v>
      </c>
      <c r="J1091" s="268"/>
      <c r="K1091" s="132" t="s">
        <v>734</v>
      </c>
      <c r="L1091" s="7113">
        <v>752</v>
      </c>
      <c r="M1091" s="7288"/>
      <c r="N1091" s="7118">
        <v>781</v>
      </c>
      <c r="O1091" s="7393"/>
      <c r="P1091" s="7157">
        <v>836</v>
      </c>
      <c r="Q1091" s="7311"/>
      <c r="R1091" s="6659" t="s">
        <v>31</v>
      </c>
      <c r="S1091" s="6572"/>
      <c r="T1091" s="2468"/>
      <c r="U1091" s="544"/>
      <c r="V1091" s="545"/>
      <c r="W1091" s="546"/>
      <c r="X1091" s="547"/>
      <c r="Y1091" s="548"/>
      <c r="Z1091" s="277"/>
      <c r="AA1091" s="277"/>
      <c r="AB1091" s="187"/>
    </row>
    <row r="1092" spans="1:29" ht="20.100000000000001" customHeight="1">
      <c r="A1092" s="11"/>
      <c r="B1092" s="1360"/>
      <c r="C1092" s="1362"/>
      <c r="D1092" s="5606" t="s">
        <v>889</v>
      </c>
      <c r="E1092" s="5943"/>
      <c r="F1092" s="7006" t="s">
        <v>732</v>
      </c>
      <c r="G1092" s="7025"/>
      <c r="H1092" s="7025"/>
      <c r="I1092" s="5606" t="s">
        <v>890</v>
      </c>
      <c r="J1092" s="5943"/>
      <c r="K1092" s="7006" t="s">
        <v>734</v>
      </c>
      <c r="L1092" s="7111">
        <f>IF(COUNTBLANK(L1093:L1098)&gt;0,"미취합법인有",SUM(L1093:L1098))</f>
        <v>3676</v>
      </c>
      <c r="M1092" s="7279"/>
      <c r="N1092" s="7115">
        <f>IF(COUNTBLANK(N1093:N1098)&gt;0,"미취합법인有",SUM(N1093:N1098))</f>
        <v>5379</v>
      </c>
      <c r="O1092" s="7293"/>
      <c r="P1092" s="7121">
        <f>IF(COUNTBLANK(P1093:P1098)&gt;0,"미취합법인有",SUM(P1093:P1098))</f>
        <v>5256</v>
      </c>
      <c r="Q1092" s="7029"/>
      <c r="R1092" s="7010" t="s">
        <v>31</v>
      </c>
      <c r="S1092" s="7007"/>
      <c r="T1092" s="7020" t="s">
        <v>881</v>
      </c>
      <c r="U1092" s="457" t="s">
        <v>882</v>
      </c>
      <c r="V1092" s="99" t="s">
        <v>737</v>
      </c>
      <c r="W1092" s="547" t="s">
        <v>800</v>
      </c>
      <c r="X1092" s="547"/>
      <c r="Y1092" s="99"/>
      <c r="Z1092" s="620" t="s">
        <v>883</v>
      </c>
      <c r="AA1092" s="620" t="s">
        <v>884</v>
      </c>
      <c r="AB1092" s="159"/>
    </row>
    <row r="1093" spans="1:29" ht="20.100000000000001" customHeight="1">
      <c r="A1093" s="11"/>
      <c r="B1093" s="1360"/>
      <c r="C1093" s="5598"/>
      <c r="D1093" s="357" t="s">
        <v>134</v>
      </c>
      <c r="E1093" s="1362"/>
      <c r="F1093" s="492" t="s">
        <v>732</v>
      </c>
      <c r="G1093" s="666"/>
      <c r="H1093" s="666"/>
      <c r="I1093" s="6133" t="s">
        <v>135</v>
      </c>
      <c r="J1093" s="6134"/>
      <c r="K1093" s="132" t="s">
        <v>734</v>
      </c>
      <c r="L1093" s="7113">
        <v>2257</v>
      </c>
      <c r="M1093" s="7288" t="s">
        <v>746</v>
      </c>
      <c r="N1093" s="7118">
        <v>2724</v>
      </c>
      <c r="O1093" s="7393" t="s">
        <v>747</v>
      </c>
      <c r="P1093" s="7150">
        <v>3113</v>
      </c>
      <c r="Q1093" s="7311" t="s">
        <v>746</v>
      </c>
      <c r="R1093" s="6659" t="s">
        <v>31</v>
      </c>
      <c r="S1093" s="6572"/>
      <c r="T1093" s="2468"/>
      <c r="U1093" s="544"/>
      <c r="V1093" s="545"/>
      <c r="W1093" s="546"/>
      <c r="X1093" s="547"/>
      <c r="Y1093" s="548"/>
      <c r="Z1093" s="277"/>
      <c r="AA1093" s="277"/>
      <c r="AB1093" s="187"/>
    </row>
    <row r="1094" spans="1:29" ht="20.100000000000001" customHeight="1">
      <c r="A1094" s="11"/>
      <c r="B1094" s="1360"/>
      <c r="C1094" s="5598"/>
      <c r="D1094" s="357" t="s">
        <v>137</v>
      </c>
      <c r="E1094" s="1362"/>
      <c r="F1094" s="492" t="s">
        <v>732</v>
      </c>
      <c r="G1094" s="666"/>
      <c r="H1094" s="666"/>
      <c r="I1094" s="6133" t="s">
        <v>138</v>
      </c>
      <c r="J1094" s="6134"/>
      <c r="K1094" s="132" t="s">
        <v>734</v>
      </c>
      <c r="L1094" s="7113">
        <v>0</v>
      </c>
      <c r="M1094" s="7288"/>
      <c r="N1094" s="7118">
        <v>0</v>
      </c>
      <c r="O1094" s="7393"/>
      <c r="P1094" s="7157">
        <v>37</v>
      </c>
      <c r="Q1094" s="7311"/>
      <c r="R1094" s="6659" t="s">
        <v>31</v>
      </c>
      <c r="S1094" s="6572"/>
      <c r="T1094" s="2468"/>
      <c r="U1094" s="544"/>
      <c r="V1094" s="545"/>
      <c r="W1094" s="546"/>
      <c r="X1094" s="547"/>
      <c r="Y1094" s="548"/>
      <c r="Z1094" s="277"/>
      <c r="AA1094" s="277"/>
      <c r="AB1094" s="187"/>
    </row>
    <row r="1095" spans="1:29" ht="20.100000000000001" customHeight="1">
      <c r="A1095" s="11"/>
      <c r="B1095" s="1360"/>
      <c r="C1095" s="5598"/>
      <c r="D1095" s="357" t="s">
        <v>140</v>
      </c>
      <c r="E1095" s="1362"/>
      <c r="F1095" s="492" t="s">
        <v>732</v>
      </c>
      <c r="G1095" s="666"/>
      <c r="H1095" s="666"/>
      <c r="I1095" s="267" t="s">
        <v>141</v>
      </c>
      <c r="J1095" s="268"/>
      <c r="K1095" s="132" t="s">
        <v>734</v>
      </c>
      <c r="L1095" s="7113">
        <v>173</v>
      </c>
      <c r="M1095" s="7288"/>
      <c r="N1095" s="7124">
        <v>107</v>
      </c>
      <c r="O1095" s="7393"/>
      <c r="P1095" s="7157">
        <v>90</v>
      </c>
      <c r="Q1095" s="7311"/>
      <c r="R1095" s="6659" t="s">
        <v>31</v>
      </c>
      <c r="S1095" s="6572"/>
      <c r="T1095" s="2468"/>
      <c r="U1095" s="544"/>
      <c r="V1095" s="545"/>
      <c r="W1095" s="546"/>
      <c r="X1095" s="547"/>
      <c r="Y1095" s="548"/>
      <c r="Z1095" s="277"/>
      <c r="AA1095" s="277"/>
      <c r="AB1095" s="187"/>
    </row>
    <row r="1096" spans="1:29" ht="20.100000000000001" customHeight="1">
      <c r="A1096" s="11"/>
      <c r="B1096" s="1360"/>
      <c r="C1096" s="5598"/>
      <c r="D1096" s="357" t="s">
        <v>143</v>
      </c>
      <c r="E1096" s="1362"/>
      <c r="F1096" s="492" t="s">
        <v>732</v>
      </c>
      <c r="G1096" s="666"/>
      <c r="H1096" s="666"/>
      <c r="I1096" s="267" t="s">
        <v>144</v>
      </c>
      <c r="J1096" s="268"/>
      <c r="K1096" s="132" t="s">
        <v>734</v>
      </c>
      <c r="L1096" s="7113">
        <v>1246</v>
      </c>
      <c r="M1096" s="7288"/>
      <c r="N1096" s="7118">
        <v>2548</v>
      </c>
      <c r="O1096" s="7393"/>
      <c r="P1096" s="7157">
        <v>2016</v>
      </c>
      <c r="Q1096" s="7311"/>
      <c r="R1096" s="6659" t="s">
        <v>31</v>
      </c>
      <c r="S1096" s="6572"/>
      <c r="T1096" s="2468"/>
      <c r="U1096" s="544"/>
      <c r="V1096" s="545"/>
      <c r="W1096" s="546"/>
      <c r="X1096" s="547"/>
      <c r="Y1096" s="548"/>
      <c r="Z1096" s="277"/>
      <c r="AA1096" s="277"/>
      <c r="AB1096" s="187"/>
    </row>
    <row r="1097" spans="1:29" ht="20.100000000000001" customHeight="1">
      <c r="A1097" s="11"/>
      <c r="B1097" s="1360"/>
      <c r="C1097" s="5598"/>
      <c r="D1097" s="357" t="s">
        <v>146</v>
      </c>
      <c r="E1097" s="1362"/>
      <c r="F1097" s="492" t="s">
        <v>732</v>
      </c>
      <c r="G1097" s="666"/>
      <c r="H1097" s="666"/>
      <c r="I1097" s="267" t="s">
        <v>147</v>
      </c>
      <c r="J1097" s="268"/>
      <c r="K1097" s="132" t="s">
        <v>734</v>
      </c>
      <c r="L1097" s="7113">
        <v>0</v>
      </c>
      <c r="M1097" s="7288"/>
      <c r="N1097" s="7118">
        <v>0</v>
      </c>
      <c r="O1097" s="7393"/>
      <c r="P1097" s="7157">
        <v>0</v>
      </c>
      <c r="Q1097" s="7311"/>
      <c r="R1097" s="6659" t="s">
        <v>31</v>
      </c>
      <c r="S1097" s="6572"/>
      <c r="T1097" s="2468"/>
      <c r="U1097" s="544"/>
      <c r="V1097" s="545"/>
      <c r="W1097" s="546"/>
      <c r="X1097" s="547"/>
      <c r="Y1097" s="548"/>
      <c r="Z1097" s="277"/>
      <c r="AA1097" s="277"/>
      <c r="AB1097" s="187"/>
    </row>
    <row r="1098" spans="1:29" ht="20.100000000000001" customHeight="1">
      <c r="A1098" s="11"/>
      <c r="B1098" s="1360"/>
      <c r="C1098" s="5598"/>
      <c r="D1098" s="357" t="s">
        <v>149</v>
      </c>
      <c r="E1098" s="1362"/>
      <c r="F1098" s="492" t="s">
        <v>732</v>
      </c>
      <c r="G1098" s="666"/>
      <c r="H1098" s="666"/>
      <c r="I1098" s="267" t="s">
        <v>150</v>
      </c>
      <c r="J1098" s="268"/>
      <c r="K1098" s="132" t="s">
        <v>734</v>
      </c>
      <c r="L1098" s="7113">
        <v>0</v>
      </c>
      <c r="M1098" s="7288"/>
      <c r="N1098" s="7118">
        <v>0</v>
      </c>
      <c r="O1098" s="7393"/>
      <c r="P1098" s="7157">
        <v>0</v>
      </c>
      <c r="Q1098" s="7311"/>
      <c r="R1098" s="6659" t="s">
        <v>31</v>
      </c>
      <c r="S1098" s="6572"/>
      <c r="T1098" s="2468"/>
      <c r="U1098" s="544"/>
      <c r="V1098" s="545"/>
      <c r="W1098" s="546"/>
      <c r="X1098" s="547"/>
      <c r="Y1098" s="548"/>
      <c r="Z1098" s="277"/>
      <c r="AA1098" s="277"/>
      <c r="AB1098" s="187"/>
    </row>
    <row r="1099" spans="1:29" s="7571" customFormat="1" ht="19.899999999999999" customHeight="1">
      <c r="B1099" s="7590"/>
      <c r="C1099" s="7625" t="s">
        <v>1909</v>
      </c>
      <c r="D1099" s="7852" t="s">
        <v>134</v>
      </c>
      <c r="E1099" s="7626"/>
      <c r="F1099" s="7573"/>
      <c r="G1099" s="7629"/>
      <c r="H1099" s="7854"/>
      <c r="I1099" s="7855"/>
      <c r="J1099" s="7856"/>
      <c r="K1099" s="7573"/>
      <c r="L1099" s="7627" t="b">
        <f>SUM(L1086,L1093)=L1079</f>
        <v>1</v>
      </c>
      <c r="M1099" s="7630"/>
      <c r="N1099" s="7628" t="b">
        <f>SUM(N1086,N1093)=N1079</f>
        <v>1</v>
      </c>
      <c r="O1099" s="7630"/>
      <c r="P1099" s="7628" t="b">
        <f>SUM(P1086,P1093)=P1079</f>
        <v>1</v>
      </c>
      <c r="Q1099" s="7595"/>
      <c r="R1099" s="7631"/>
      <c r="S1099" s="7632"/>
      <c r="T1099" s="7596"/>
      <c r="U1099" s="7597"/>
      <c r="V1099" s="7582"/>
      <c r="W1099" s="7598"/>
      <c r="X1099" s="7598"/>
      <c r="Y1099" s="7582"/>
      <c r="Z1099" s="7633"/>
      <c r="AA1099" s="7634"/>
      <c r="AB1099" s="7635"/>
      <c r="AC1099" s="7589"/>
    </row>
    <row r="1100" spans="1:29" s="7571" customFormat="1" ht="19.899999999999999" customHeight="1">
      <c r="B1100" s="7590"/>
      <c r="C1100" s="7625"/>
      <c r="D1100" s="7852" t="s">
        <v>137</v>
      </c>
      <c r="E1100" s="7626"/>
      <c r="F1100" s="7573"/>
      <c r="G1100" s="7629"/>
      <c r="H1100" s="7854"/>
      <c r="I1100" s="7855"/>
      <c r="J1100" s="7856"/>
      <c r="K1100" s="7573"/>
      <c r="L1100" s="7627" t="b">
        <f t="shared" ref="L1100:N1104" si="8">SUM(L1087,L1094)=L1080</f>
        <v>1</v>
      </c>
      <c r="M1100" s="7630"/>
      <c r="N1100" s="7628" t="b">
        <f t="shared" si="8"/>
        <v>1</v>
      </c>
      <c r="O1100" s="7630"/>
      <c r="P1100" s="7628" t="b">
        <f t="shared" ref="P1100:P1104" si="9">SUM(P1087,P1094)=P1080</f>
        <v>1</v>
      </c>
      <c r="Q1100" s="7595"/>
      <c r="R1100" s="7631"/>
      <c r="S1100" s="7632"/>
      <c r="T1100" s="7596"/>
      <c r="U1100" s="7597"/>
      <c r="V1100" s="7582"/>
      <c r="W1100" s="7598"/>
      <c r="X1100" s="7598"/>
      <c r="Y1100" s="7582"/>
      <c r="Z1100" s="7633"/>
      <c r="AA1100" s="7634"/>
      <c r="AB1100" s="7635"/>
      <c r="AC1100" s="7589"/>
    </row>
    <row r="1101" spans="1:29" s="7571" customFormat="1" ht="19.899999999999999" customHeight="1">
      <c r="B1101" s="7590"/>
      <c r="C1101" s="7625"/>
      <c r="D1101" s="7852" t="s">
        <v>140</v>
      </c>
      <c r="E1101" s="7626"/>
      <c r="F1101" s="7573"/>
      <c r="G1101" s="7629"/>
      <c r="H1101" s="7854"/>
      <c r="I1101" s="7855"/>
      <c r="J1101" s="7856"/>
      <c r="K1101" s="7573"/>
      <c r="L1101" s="7627" t="b">
        <f t="shared" si="8"/>
        <v>1</v>
      </c>
      <c r="M1101" s="7630"/>
      <c r="N1101" s="7628" t="b">
        <f t="shared" si="8"/>
        <v>1</v>
      </c>
      <c r="O1101" s="7630"/>
      <c r="P1101" s="7628" t="b">
        <f t="shared" si="9"/>
        <v>1</v>
      </c>
      <c r="Q1101" s="7595"/>
      <c r="R1101" s="7631"/>
      <c r="S1101" s="7632"/>
      <c r="T1101" s="7596"/>
      <c r="U1101" s="7597"/>
      <c r="V1101" s="7582"/>
      <c r="W1101" s="7598"/>
      <c r="X1101" s="7598"/>
      <c r="Y1101" s="7582"/>
      <c r="Z1101" s="7633"/>
      <c r="AA1101" s="7634"/>
      <c r="AB1101" s="7635"/>
      <c r="AC1101" s="7589"/>
    </row>
    <row r="1102" spans="1:29" s="7571" customFormat="1" ht="19.899999999999999" customHeight="1">
      <c r="B1102" s="7590"/>
      <c r="C1102" s="7625"/>
      <c r="D1102" s="7852" t="s">
        <v>143</v>
      </c>
      <c r="E1102" s="7626"/>
      <c r="F1102" s="7573"/>
      <c r="G1102" s="7629"/>
      <c r="H1102" s="7854"/>
      <c r="I1102" s="7855"/>
      <c r="J1102" s="7856"/>
      <c r="K1102" s="7573"/>
      <c r="L1102" s="7627" t="b">
        <f t="shared" si="8"/>
        <v>1</v>
      </c>
      <c r="M1102" s="7630"/>
      <c r="N1102" s="7628" t="b">
        <f t="shared" si="8"/>
        <v>1</v>
      </c>
      <c r="O1102" s="7630"/>
      <c r="P1102" s="7628" t="b">
        <f t="shared" si="9"/>
        <v>1</v>
      </c>
      <c r="Q1102" s="7595"/>
      <c r="R1102" s="7631"/>
      <c r="S1102" s="7632"/>
      <c r="T1102" s="7596"/>
      <c r="U1102" s="7597"/>
      <c r="V1102" s="7582"/>
      <c r="W1102" s="7598"/>
      <c r="X1102" s="7598"/>
      <c r="Y1102" s="7582"/>
      <c r="Z1102" s="7633"/>
      <c r="AA1102" s="7634"/>
      <c r="AB1102" s="7635"/>
      <c r="AC1102" s="7589"/>
    </row>
    <row r="1103" spans="1:29" s="7571" customFormat="1" ht="19.899999999999999" customHeight="1">
      <c r="B1103" s="7590"/>
      <c r="C1103" s="7625"/>
      <c r="D1103" s="7852" t="s">
        <v>146</v>
      </c>
      <c r="E1103" s="7626"/>
      <c r="F1103" s="7573"/>
      <c r="G1103" s="7629"/>
      <c r="H1103" s="7854"/>
      <c r="I1103" s="7855"/>
      <c r="J1103" s="7856"/>
      <c r="K1103" s="7573"/>
      <c r="L1103" s="7627" t="b">
        <f t="shared" si="8"/>
        <v>1</v>
      </c>
      <c r="M1103" s="7630"/>
      <c r="N1103" s="7628" t="b">
        <f t="shared" si="8"/>
        <v>1</v>
      </c>
      <c r="O1103" s="7630"/>
      <c r="P1103" s="7628" t="b">
        <f t="shared" si="9"/>
        <v>1</v>
      </c>
      <c r="Q1103" s="7595"/>
      <c r="R1103" s="7631"/>
      <c r="S1103" s="7632"/>
      <c r="T1103" s="7596"/>
      <c r="U1103" s="7597"/>
      <c r="V1103" s="7582"/>
      <c r="W1103" s="7598"/>
      <c r="X1103" s="7598"/>
      <c r="Y1103" s="7582"/>
      <c r="Z1103" s="7633"/>
      <c r="AA1103" s="7634"/>
      <c r="AB1103" s="7635"/>
      <c r="AC1103" s="7589"/>
    </row>
    <row r="1104" spans="1:29" s="7571" customFormat="1" ht="19.899999999999999" customHeight="1">
      <c r="B1104" s="7590"/>
      <c r="C1104" s="7625"/>
      <c r="D1104" s="7852" t="s">
        <v>149</v>
      </c>
      <c r="E1104" s="7626"/>
      <c r="F1104" s="7573"/>
      <c r="G1104" s="7629"/>
      <c r="H1104" s="7854"/>
      <c r="I1104" s="7855"/>
      <c r="J1104" s="7856"/>
      <c r="K1104" s="7573"/>
      <c r="L1104" s="7627" t="b">
        <f t="shared" si="8"/>
        <v>1</v>
      </c>
      <c r="M1104" s="7630"/>
      <c r="N1104" s="7628" t="b">
        <f t="shared" si="8"/>
        <v>1</v>
      </c>
      <c r="O1104" s="7630"/>
      <c r="P1104" s="7628" t="b">
        <f t="shared" si="9"/>
        <v>1</v>
      </c>
      <c r="Q1104" s="7595"/>
      <c r="R1104" s="7631"/>
      <c r="S1104" s="7632"/>
      <c r="T1104" s="7596"/>
      <c r="U1104" s="7597"/>
      <c r="V1104" s="7582"/>
      <c r="W1104" s="7598"/>
      <c r="X1104" s="7598"/>
      <c r="Y1104" s="7582"/>
      <c r="Z1104" s="7633"/>
      <c r="AA1104" s="7634"/>
      <c r="AB1104" s="7635"/>
      <c r="AC1104" s="7589"/>
    </row>
    <row r="1105" spans="1:28" ht="20.100000000000001" customHeight="1">
      <c r="A1105" s="11"/>
      <c r="B1105" s="1360"/>
      <c r="C1105" s="7638" t="s">
        <v>897</v>
      </c>
      <c r="D1105" s="7639"/>
      <c r="E1105" s="7639"/>
      <c r="F1105" s="7639"/>
      <c r="G1105" s="7639"/>
      <c r="H1105" s="7639" t="s">
        <v>898</v>
      </c>
      <c r="I1105" s="7639"/>
      <c r="J1105" s="7639"/>
      <c r="K1105" s="7639"/>
      <c r="L1105" s="7636"/>
      <c r="M1105" s="7637"/>
      <c r="N1105" s="7636"/>
      <c r="O1105" s="7637"/>
      <c r="P1105" s="7636"/>
      <c r="Q1105" s="7858"/>
      <c r="R1105" s="7023" t="s">
        <v>31</v>
      </c>
      <c r="S1105" s="7858"/>
      <c r="T1105" s="6707"/>
      <c r="U1105" s="24"/>
      <c r="V1105" s="99" t="s">
        <v>737</v>
      </c>
      <c r="W1105" s="547" t="s">
        <v>800</v>
      </c>
      <c r="X1105" s="547"/>
      <c r="Y1105" s="99"/>
      <c r="Z1105" s="620" t="s">
        <v>899</v>
      </c>
      <c r="AA1105" s="620" t="s">
        <v>884</v>
      </c>
      <c r="AB1105" s="159"/>
    </row>
    <row r="1106" spans="1:28" ht="20.100000000000001" customHeight="1">
      <c r="A1106" s="11"/>
      <c r="B1106" s="1360"/>
      <c r="C1106" s="5598"/>
      <c r="D1106" s="5608" t="s">
        <v>823</v>
      </c>
      <c r="E1106" s="6155"/>
      <c r="F1106" s="7006" t="s">
        <v>732</v>
      </c>
      <c r="G1106" s="7025"/>
      <c r="H1106" s="7025"/>
      <c r="I1106" s="5608" t="s">
        <v>900</v>
      </c>
      <c r="J1106" s="6155"/>
      <c r="K1106" s="7006" t="s">
        <v>734</v>
      </c>
      <c r="L1106" s="7111">
        <f>IF(COUNTBLANK(L1107:L1112)&gt;0,"미취합법인有",SUM(L1107:L1112))</f>
        <v>5996</v>
      </c>
      <c r="M1106" s="7279"/>
      <c r="N1106" s="7115">
        <f>IF(COUNTBLANK(N1107:N1112)&gt;0,"미취합법인有",SUM(N1107:N1112))</f>
        <v>9051</v>
      </c>
      <c r="O1106" s="7385"/>
      <c r="P1106" s="7121">
        <f>IF(COUNTBLANK(P1107:P1112)&gt;0,"미취합법인有",SUM(P1107:P1112))</f>
        <v>8683</v>
      </c>
      <c r="Q1106" s="7029"/>
      <c r="R1106" s="7010" t="s">
        <v>31</v>
      </c>
      <c r="S1106" s="7007"/>
      <c r="T1106" s="7008" t="s">
        <v>901</v>
      </c>
      <c r="U1106" s="276" t="s">
        <v>902</v>
      </c>
      <c r="V1106" s="99" t="s">
        <v>737</v>
      </c>
      <c r="W1106" s="547" t="s">
        <v>800</v>
      </c>
      <c r="X1106" s="547"/>
      <c r="Y1106" s="99"/>
      <c r="Z1106" s="620" t="s">
        <v>899</v>
      </c>
      <c r="AA1106" s="620" t="s">
        <v>884</v>
      </c>
      <c r="AB1106" s="159"/>
    </row>
    <row r="1107" spans="1:28" ht="20.100000000000001" customHeight="1">
      <c r="A1107" s="11"/>
      <c r="B1107" s="1360"/>
      <c r="C1107" s="5598"/>
      <c r="D1107" s="357" t="s">
        <v>134</v>
      </c>
      <c r="E1107" s="1362"/>
      <c r="F1107" s="492" t="s">
        <v>732</v>
      </c>
      <c r="G1107" s="666"/>
      <c r="H1107" s="666"/>
      <c r="I1107" s="6133" t="s">
        <v>135</v>
      </c>
      <c r="J1107" s="6134"/>
      <c r="K1107" s="132" t="s">
        <v>734</v>
      </c>
      <c r="L1107" s="7113">
        <v>3931</v>
      </c>
      <c r="M1107" s="7288" t="s">
        <v>746</v>
      </c>
      <c r="N1107" s="7117">
        <v>5658</v>
      </c>
      <c r="O1107" s="7393" t="s">
        <v>747</v>
      </c>
      <c r="P1107" s="7139">
        <v>5796</v>
      </c>
      <c r="Q1107" s="7311" t="s">
        <v>746</v>
      </c>
      <c r="R1107" s="6659" t="s">
        <v>31</v>
      </c>
      <c r="S1107" s="6572"/>
      <c r="T1107" s="2468"/>
      <c r="U1107" s="544"/>
      <c r="V1107" s="545"/>
      <c r="W1107" s="546"/>
      <c r="X1107" s="547"/>
      <c r="Y1107" s="548"/>
      <c r="Z1107" s="277"/>
      <c r="AA1107" s="277"/>
      <c r="AB1107" s="187"/>
    </row>
    <row r="1108" spans="1:28" ht="20.100000000000001" customHeight="1">
      <c r="A1108" s="11"/>
      <c r="B1108" s="1360"/>
      <c r="C1108" s="5598"/>
      <c r="D1108" s="357" t="s">
        <v>137</v>
      </c>
      <c r="E1108" s="1362"/>
      <c r="F1108" s="492" t="s">
        <v>732</v>
      </c>
      <c r="G1108" s="666"/>
      <c r="H1108" s="666"/>
      <c r="I1108" s="6133" t="s">
        <v>138</v>
      </c>
      <c r="J1108" s="6134"/>
      <c r="K1108" s="132" t="s">
        <v>734</v>
      </c>
      <c r="L1108" s="7113">
        <v>13</v>
      </c>
      <c r="M1108" s="7288"/>
      <c r="N1108" s="7117">
        <v>35</v>
      </c>
      <c r="O1108" s="7393"/>
      <c r="P1108" s="7138">
        <v>30</v>
      </c>
      <c r="Q1108" s="7311"/>
      <c r="R1108" s="6659" t="s">
        <v>31</v>
      </c>
      <c r="S1108" s="6572"/>
      <c r="T1108" s="2468"/>
      <c r="U1108" s="544"/>
      <c r="V1108" s="545"/>
      <c r="W1108" s="546"/>
      <c r="X1108" s="547"/>
      <c r="Y1108" s="548"/>
      <c r="Z1108" s="277"/>
      <c r="AA1108" s="277"/>
      <c r="AB1108" s="187"/>
    </row>
    <row r="1109" spans="1:28" ht="20.100000000000001" customHeight="1">
      <c r="A1109" s="11"/>
      <c r="B1109" s="1360"/>
      <c r="C1109" s="5598"/>
      <c r="D1109" s="357" t="s">
        <v>140</v>
      </c>
      <c r="E1109" s="1362"/>
      <c r="F1109" s="492" t="s">
        <v>732</v>
      </c>
      <c r="G1109" s="666"/>
      <c r="H1109" s="666"/>
      <c r="I1109" s="267" t="s">
        <v>141</v>
      </c>
      <c r="J1109" s="268"/>
      <c r="K1109" s="132" t="s">
        <v>734</v>
      </c>
      <c r="L1109" s="7113">
        <v>97</v>
      </c>
      <c r="M1109" s="7288" t="s">
        <v>748</v>
      </c>
      <c r="N1109" s="7117">
        <v>46</v>
      </c>
      <c r="O1109" s="7393" t="s">
        <v>748</v>
      </c>
      <c r="P1109" s="7138">
        <v>38</v>
      </c>
      <c r="Q1109" s="7311" t="s">
        <v>748</v>
      </c>
      <c r="R1109" s="6659" t="s">
        <v>31</v>
      </c>
      <c r="S1109" s="6572"/>
      <c r="T1109" s="2468"/>
      <c r="U1109" s="544"/>
      <c r="V1109" s="545"/>
      <c r="W1109" s="546"/>
      <c r="X1109" s="547"/>
      <c r="Y1109" s="548"/>
      <c r="Z1109" s="277"/>
      <c r="AA1109" s="277"/>
      <c r="AB1109" s="187"/>
    </row>
    <row r="1110" spans="1:28" ht="20.100000000000001" customHeight="1">
      <c r="A1110" s="11"/>
      <c r="B1110" s="1360"/>
      <c r="C1110" s="5598"/>
      <c r="D1110" s="357" t="s">
        <v>143</v>
      </c>
      <c r="E1110" s="1362"/>
      <c r="F1110" s="492" t="s">
        <v>732</v>
      </c>
      <c r="G1110" s="666"/>
      <c r="H1110" s="666"/>
      <c r="I1110" s="267" t="s">
        <v>144</v>
      </c>
      <c r="J1110" s="268"/>
      <c r="K1110" s="132" t="s">
        <v>734</v>
      </c>
      <c r="L1110" s="7113">
        <v>1225</v>
      </c>
      <c r="M1110" s="7288" t="s">
        <v>801</v>
      </c>
      <c r="N1110" s="7117">
        <v>2512</v>
      </c>
      <c r="O1110" s="7393" t="s">
        <v>801</v>
      </c>
      <c r="P1110" s="7138">
        <v>1993</v>
      </c>
      <c r="Q1110" s="7311"/>
      <c r="R1110" s="6659" t="s">
        <v>31</v>
      </c>
      <c r="S1110" s="6572"/>
      <c r="T1110" s="2468"/>
      <c r="U1110" s="544"/>
      <c r="V1110" s="545"/>
      <c r="W1110" s="546"/>
      <c r="X1110" s="547"/>
      <c r="Y1110" s="548"/>
      <c r="Z1110" s="277"/>
      <c r="AA1110" s="277"/>
      <c r="AB1110" s="187"/>
    </row>
    <row r="1111" spans="1:28" ht="20.100000000000001" customHeight="1">
      <c r="A1111" s="11"/>
      <c r="B1111" s="1360"/>
      <c r="C1111" s="5598"/>
      <c r="D1111" s="357" t="s">
        <v>146</v>
      </c>
      <c r="E1111" s="1362"/>
      <c r="F1111" s="492" t="s">
        <v>732</v>
      </c>
      <c r="G1111" s="746"/>
      <c r="H1111" s="666"/>
      <c r="I1111" s="267" t="s">
        <v>147</v>
      </c>
      <c r="J1111" s="268"/>
      <c r="K1111" s="132" t="s">
        <v>734</v>
      </c>
      <c r="L1111" s="7113">
        <v>9</v>
      </c>
      <c r="M1111" s="7288" t="s">
        <v>751</v>
      </c>
      <c r="N1111" s="7117">
        <v>54</v>
      </c>
      <c r="O1111" s="7393" t="s">
        <v>751</v>
      </c>
      <c r="P1111" s="7138">
        <v>65</v>
      </c>
      <c r="Q1111" s="7311"/>
      <c r="R1111" s="6659" t="s">
        <v>31</v>
      </c>
      <c r="S1111" s="6572"/>
      <c r="T1111" s="2468"/>
      <c r="U1111" s="544"/>
      <c r="V1111" s="545"/>
      <c r="W1111" s="546"/>
      <c r="X1111" s="547"/>
      <c r="Y1111" s="548"/>
      <c r="Z1111" s="277"/>
      <c r="AA1111" s="277"/>
      <c r="AB1111" s="187"/>
    </row>
    <row r="1112" spans="1:28" ht="20.100000000000001" customHeight="1">
      <c r="A1112" s="11"/>
      <c r="B1112" s="1360"/>
      <c r="C1112" s="5598"/>
      <c r="D1112" s="357" t="s">
        <v>149</v>
      </c>
      <c r="E1112" s="1362"/>
      <c r="F1112" s="492" t="s">
        <v>732</v>
      </c>
      <c r="G1112" s="666"/>
      <c r="H1112" s="666"/>
      <c r="I1112" s="267" t="s">
        <v>150</v>
      </c>
      <c r="J1112" s="268"/>
      <c r="K1112" s="132" t="s">
        <v>734</v>
      </c>
      <c r="L1112" s="7113">
        <v>721</v>
      </c>
      <c r="M1112" s="7288"/>
      <c r="N1112" s="7117">
        <v>746</v>
      </c>
      <c r="O1112" s="7393"/>
      <c r="P1112" s="7138">
        <v>761</v>
      </c>
      <c r="Q1112" s="7311"/>
      <c r="R1112" s="6659" t="s">
        <v>31</v>
      </c>
      <c r="S1112" s="6572"/>
      <c r="T1112" s="2468"/>
      <c r="U1112" s="544"/>
      <c r="V1112" s="545"/>
      <c r="W1112" s="546"/>
      <c r="X1112" s="547"/>
      <c r="Y1112" s="548"/>
      <c r="Z1112" s="277"/>
      <c r="AA1112" s="277"/>
      <c r="AB1112" s="187"/>
    </row>
    <row r="1113" spans="1:28" ht="20.100000000000001" customHeight="1">
      <c r="A1113" s="11"/>
      <c r="B1113" s="1360"/>
      <c r="C1113" s="5598"/>
      <c r="D1113" s="5608" t="s">
        <v>827</v>
      </c>
      <c r="E1113" s="6155"/>
      <c r="F1113" s="7006" t="s">
        <v>732</v>
      </c>
      <c r="G1113" s="7025"/>
      <c r="H1113" s="7025"/>
      <c r="I1113" s="5608" t="s">
        <v>903</v>
      </c>
      <c r="J1113" s="6155"/>
      <c r="K1113" s="7006" t="s">
        <v>734</v>
      </c>
      <c r="L1113" s="7111">
        <f>IF(COUNTBLANK(L1114:L1119)&gt;0,"미취합법인有",SUM(L1114:L1119))</f>
        <v>213</v>
      </c>
      <c r="M1113" s="7279"/>
      <c r="N1113" s="7115">
        <f>IF(COUNTBLANK(N1114:N1119)&gt;0,"미취합법인有",SUM(N1114:N1119))</f>
        <v>332</v>
      </c>
      <c r="O1113" s="7293"/>
      <c r="P1113" s="7121">
        <f>IF(COUNTBLANK(P1114:P1119)&gt;0,"미취합법인有",SUM(P1114:P1119))</f>
        <v>337</v>
      </c>
      <c r="Q1113" s="7029"/>
      <c r="R1113" s="7010" t="s">
        <v>31</v>
      </c>
      <c r="S1113" s="7007"/>
      <c r="T1113" s="7008" t="s">
        <v>901</v>
      </c>
      <c r="U1113" s="276" t="s">
        <v>904</v>
      </c>
      <c r="V1113" s="99" t="s">
        <v>737</v>
      </c>
      <c r="W1113" s="547" t="s">
        <v>800</v>
      </c>
      <c r="X1113" s="547"/>
      <c r="Y1113" s="99"/>
      <c r="Z1113" s="620" t="s">
        <v>899</v>
      </c>
      <c r="AA1113" s="620" t="s">
        <v>884</v>
      </c>
      <c r="AB1113" s="159"/>
    </row>
    <row r="1114" spans="1:28" ht="19.149999999999999" customHeight="1">
      <c r="A1114" s="11"/>
      <c r="B1114" s="1360"/>
      <c r="C1114" s="5598"/>
      <c r="D1114" s="357" t="s">
        <v>134</v>
      </c>
      <c r="E1114" s="1362"/>
      <c r="F1114" s="492" t="s">
        <v>732</v>
      </c>
      <c r="G1114" s="666"/>
      <c r="H1114" s="666"/>
      <c r="I1114" s="6133" t="s">
        <v>135</v>
      </c>
      <c r="J1114" s="6134"/>
      <c r="K1114" s="132" t="s">
        <v>734</v>
      </c>
      <c r="L1114" s="7113">
        <v>65</v>
      </c>
      <c r="M1114" s="7288" t="s">
        <v>746</v>
      </c>
      <c r="N1114" s="7118">
        <v>117</v>
      </c>
      <c r="O1114" s="7393" t="s">
        <v>747</v>
      </c>
      <c r="P1114" s="7150">
        <v>131</v>
      </c>
      <c r="Q1114" s="7311" t="s">
        <v>746</v>
      </c>
      <c r="R1114" s="6659" t="s">
        <v>31</v>
      </c>
      <c r="S1114" s="6572"/>
      <c r="T1114" s="2468"/>
      <c r="U1114" s="544"/>
      <c r="V1114" s="545"/>
      <c r="W1114" s="546"/>
      <c r="X1114" s="547"/>
      <c r="Y1114" s="548"/>
      <c r="Z1114" s="277"/>
      <c r="AA1114" s="277"/>
      <c r="AB1114" s="187"/>
    </row>
    <row r="1115" spans="1:28" ht="20.100000000000001" customHeight="1">
      <c r="A1115" s="11"/>
      <c r="B1115" s="1360"/>
      <c r="C1115" s="5598"/>
      <c r="D1115" s="357" t="s">
        <v>137</v>
      </c>
      <c r="E1115" s="1362"/>
      <c r="F1115" s="492" t="s">
        <v>732</v>
      </c>
      <c r="G1115" s="666"/>
      <c r="H1115" s="666"/>
      <c r="I1115" s="6133" t="s">
        <v>138</v>
      </c>
      <c r="J1115" s="6134"/>
      <c r="K1115" s="132" t="s">
        <v>734</v>
      </c>
      <c r="L1115" s="7113">
        <v>14</v>
      </c>
      <c r="M1115" s="7288"/>
      <c r="N1115" s="7118">
        <v>54</v>
      </c>
      <c r="O1115" s="7393"/>
      <c r="P1115" s="7157">
        <v>32</v>
      </c>
      <c r="Q1115" s="7311"/>
      <c r="R1115" s="6659" t="s">
        <v>31</v>
      </c>
      <c r="S1115" s="6572"/>
      <c r="T1115" s="2468"/>
      <c r="U1115" s="544"/>
      <c r="V1115" s="545"/>
      <c r="W1115" s="546"/>
      <c r="X1115" s="547"/>
      <c r="Y1115" s="548"/>
      <c r="Z1115" s="277"/>
      <c r="AA1115" s="277"/>
      <c r="AB1115" s="187"/>
    </row>
    <row r="1116" spans="1:28" ht="20.100000000000001" customHeight="1">
      <c r="A1116" s="11"/>
      <c r="B1116" s="1360"/>
      <c r="C1116" s="5598"/>
      <c r="D1116" s="357" t="s">
        <v>140</v>
      </c>
      <c r="E1116" s="1362"/>
      <c r="F1116" s="492" t="s">
        <v>732</v>
      </c>
      <c r="G1116" s="666"/>
      <c r="H1116" s="666"/>
      <c r="I1116" s="267" t="s">
        <v>141</v>
      </c>
      <c r="J1116" s="268"/>
      <c r="K1116" s="132" t="s">
        <v>734</v>
      </c>
      <c r="L1116" s="7113">
        <v>76</v>
      </c>
      <c r="M1116" s="7288" t="s">
        <v>748</v>
      </c>
      <c r="N1116" s="7118">
        <v>61</v>
      </c>
      <c r="O1116" s="7393" t="s">
        <v>748</v>
      </c>
      <c r="P1116" s="7157">
        <v>53</v>
      </c>
      <c r="Q1116" s="7311" t="s">
        <v>748</v>
      </c>
      <c r="R1116" s="6659" t="s">
        <v>31</v>
      </c>
      <c r="S1116" s="6572"/>
      <c r="T1116" s="2468"/>
      <c r="U1116" s="544"/>
      <c r="V1116" s="545"/>
      <c r="W1116" s="546"/>
      <c r="X1116" s="547"/>
      <c r="Y1116" s="548"/>
      <c r="Z1116" s="277"/>
      <c r="AA1116" s="277"/>
      <c r="AB1116" s="187"/>
    </row>
    <row r="1117" spans="1:28" ht="20.100000000000001" customHeight="1">
      <c r="A1117" s="11"/>
      <c r="B1117" s="1360"/>
      <c r="C1117" s="5598"/>
      <c r="D1117" s="357" t="s">
        <v>143</v>
      </c>
      <c r="E1117" s="1362"/>
      <c r="F1117" s="492" t="s">
        <v>732</v>
      </c>
      <c r="G1117" s="666"/>
      <c r="H1117" s="666"/>
      <c r="I1117" s="267" t="s">
        <v>144</v>
      </c>
      <c r="J1117" s="268"/>
      <c r="K1117" s="132" t="s">
        <v>734</v>
      </c>
      <c r="L1117" s="7113">
        <v>21</v>
      </c>
      <c r="M1117" s="7288" t="s">
        <v>801</v>
      </c>
      <c r="N1117" s="7118">
        <v>36</v>
      </c>
      <c r="O1117" s="7393" t="s">
        <v>801</v>
      </c>
      <c r="P1117" s="7157">
        <v>23</v>
      </c>
      <c r="Q1117" s="7311"/>
      <c r="R1117" s="6659" t="s">
        <v>31</v>
      </c>
      <c r="S1117" s="6572"/>
      <c r="T1117" s="2468"/>
      <c r="U1117" s="544"/>
      <c r="V1117" s="545"/>
      <c r="W1117" s="546"/>
      <c r="X1117" s="547"/>
      <c r="Y1117" s="548"/>
      <c r="Z1117" s="277"/>
      <c r="AA1117" s="277"/>
      <c r="AB1117" s="187"/>
    </row>
    <row r="1118" spans="1:28" ht="20.100000000000001" customHeight="1">
      <c r="A1118" s="11"/>
      <c r="B1118" s="1360"/>
      <c r="C1118" s="5598"/>
      <c r="D1118" s="357" t="s">
        <v>146</v>
      </c>
      <c r="E1118" s="1362"/>
      <c r="F1118" s="492" t="s">
        <v>732</v>
      </c>
      <c r="G1118" s="666"/>
      <c r="H1118" s="666"/>
      <c r="I1118" s="267" t="s">
        <v>147</v>
      </c>
      <c r="J1118" s="268"/>
      <c r="K1118" s="132" t="s">
        <v>734</v>
      </c>
      <c r="L1118" s="7113">
        <v>7</v>
      </c>
      <c r="M1118" s="7288" t="s">
        <v>751</v>
      </c>
      <c r="N1118" s="7118">
        <v>30</v>
      </c>
      <c r="O1118" s="7393" t="s">
        <v>751</v>
      </c>
      <c r="P1118" s="7157">
        <v>30</v>
      </c>
      <c r="Q1118" s="7311"/>
      <c r="R1118" s="6659" t="s">
        <v>31</v>
      </c>
      <c r="S1118" s="6572"/>
      <c r="T1118" s="2468"/>
      <c r="U1118" s="544"/>
      <c r="V1118" s="545"/>
      <c r="W1118" s="546"/>
      <c r="X1118" s="547"/>
      <c r="Y1118" s="548"/>
      <c r="Z1118" s="277"/>
      <c r="AA1118" s="277"/>
      <c r="AB1118" s="187"/>
    </row>
    <row r="1119" spans="1:28" ht="20.100000000000001" customHeight="1">
      <c r="A1119" s="11"/>
      <c r="B1119" s="1360"/>
      <c r="C1119" s="5598"/>
      <c r="D1119" s="357" t="s">
        <v>149</v>
      </c>
      <c r="E1119" s="1362"/>
      <c r="F1119" s="492" t="s">
        <v>732</v>
      </c>
      <c r="G1119" s="666"/>
      <c r="H1119" s="666"/>
      <c r="I1119" s="267" t="s">
        <v>150</v>
      </c>
      <c r="J1119" s="268"/>
      <c r="K1119" s="132" t="s">
        <v>734</v>
      </c>
      <c r="L1119" s="7113">
        <v>30</v>
      </c>
      <c r="M1119" s="7288"/>
      <c r="N1119" s="7118">
        <v>34</v>
      </c>
      <c r="O1119" s="7393"/>
      <c r="P1119" s="7157">
        <v>68</v>
      </c>
      <c r="Q1119" s="7311"/>
      <c r="R1119" s="6659" t="s">
        <v>31</v>
      </c>
      <c r="S1119" s="6572"/>
      <c r="T1119" s="2468"/>
      <c r="U1119" s="544"/>
      <c r="V1119" s="545"/>
      <c r="W1119" s="546"/>
      <c r="X1119" s="547"/>
      <c r="Y1119" s="548"/>
      <c r="Z1119" s="277"/>
      <c r="AA1119" s="277"/>
      <c r="AB1119" s="187"/>
    </row>
    <row r="1120" spans="1:28" ht="20.100000000000001" customHeight="1">
      <c r="A1120" s="11"/>
      <c r="B1120" s="1360"/>
      <c r="C1120" s="1023"/>
      <c r="D1120" s="5608" t="s">
        <v>830</v>
      </c>
      <c r="E1120" s="6155"/>
      <c r="F1120" s="7006" t="s">
        <v>732</v>
      </c>
      <c r="G1120" s="7025"/>
      <c r="H1120" s="7025"/>
      <c r="I1120" s="5608" t="s">
        <v>905</v>
      </c>
      <c r="J1120" s="6155"/>
      <c r="K1120" s="7006" t="s">
        <v>734</v>
      </c>
      <c r="L1120" s="7111">
        <f>IF(COUNTBLANK(L1121:L1126)&gt;0,"미취합법인有",SUM(L1121:L1126))</f>
        <v>123</v>
      </c>
      <c r="M1120" s="7279"/>
      <c r="N1120" s="7115">
        <f>IF(COUNTBLANK(N1121:N1126)&gt;0,"미취합법인有",SUM(N1121:N1126))</f>
        <v>55</v>
      </c>
      <c r="O1120" s="7293"/>
      <c r="P1120" s="7121">
        <f>IF(COUNTBLANK(P1121:P1126)&gt;0,"미취합법인有",SUM(P1121:P1126))</f>
        <v>39</v>
      </c>
      <c r="Q1120" s="7029"/>
      <c r="R1120" s="7010" t="s">
        <v>31</v>
      </c>
      <c r="S1120" s="7007"/>
      <c r="T1120" s="7008" t="s">
        <v>901</v>
      </c>
      <c r="U1120" s="276" t="s">
        <v>906</v>
      </c>
      <c r="V1120" s="99" t="s">
        <v>737</v>
      </c>
      <c r="W1120" s="547" t="s">
        <v>800</v>
      </c>
      <c r="X1120" s="547"/>
      <c r="Y1120" s="99"/>
      <c r="Z1120" s="620" t="s">
        <v>899</v>
      </c>
      <c r="AA1120" s="620" t="s">
        <v>884</v>
      </c>
      <c r="AB1120" s="159"/>
    </row>
    <row r="1121" spans="1:29" ht="20.100000000000001" customHeight="1">
      <c r="A1121" s="11"/>
      <c r="B1121" s="1360"/>
      <c r="C1121" s="5598"/>
      <c r="D1121" s="357" t="s">
        <v>134</v>
      </c>
      <c r="E1121" s="1362"/>
      <c r="F1121" s="492" t="s">
        <v>732</v>
      </c>
      <c r="G1121" s="666"/>
      <c r="H1121" s="666"/>
      <c r="I1121" s="6133" t="s">
        <v>135</v>
      </c>
      <c r="J1121" s="6134"/>
      <c r="K1121" s="132" t="s">
        <v>734</v>
      </c>
      <c r="L1121" s="7113">
        <v>121</v>
      </c>
      <c r="M1121" s="7288" t="s">
        <v>746</v>
      </c>
      <c r="N1121" s="7118">
        <v>49</v>
      </c>
      <c r="O1121" s="7393" t="s">
        <v>747</v>
      </c>
      <c r="P1121" s="7150">
        <v>31</v>
      </c>
      <c r="Q1121" s="7311" t="s">
        <v>746</v>
      </c>
      <c r="R1121" s="6659" t="s">
        <v>31</v>
      </c>
      <c r="S1121" s="6572"/>
      <c r="T1121" s="2468"/>
      <c r="U1121" s="544"/>
      <c r="V1121" s="545"/>
      <c r="W1121" s="546"/>
      <c r="X1121" s="547"/>
      <c r="Y1121" s="548"/>
      <c r="Z1121" s="277"/>
      <c r="AA1121" s="277"/>
      <c r="AB1121" s="187"/>
    </row>
    <row r="1122" spans="1:29" ht="20.100000000000001" customHeight="1">
      <c r="A1122" s="11"/>
      <c r="B1122" s="1360"/>
      <c r="C1122" s="5598"/>
      <c r="D1122" s="357" t="s">
        <v>137</v>
      </c>
      <c r="E1122" s="1362"/>
      <c r="F1122" s="492" t="s">
        <v>732</v>
      </c>
      <c r="G1122" s="666"/>
      <c r="H1122" s="666"/>
      <c r="I1122" s="6133" t="s">
        <v>138</v>
      </c>
      <c r="J1122" s="6134"/>
      <c r="K1122" s="132" t="s">
        <v>734</v>
      </c>
      <c r="L1122" s="7113">
        <v>1</v>
      </c>
      <c r="M1122" s="7288"/>
      <c r="N1122" s="7118">
        <v>3</v>
      </c>
      <c r="O1122" s="7393"/>
      <c r="P1122" s="7157">
        <v>1</v>
      </c>
      <c r="Q1122" s="7311"/>
      <c r="R1122" s="6659" t="s">
        <v>31</v>
      </c>
      <c r="S1122" s="6572"/>
      <c r="T1122" s="2468"/>
      <c r="U1122" s="544"/>
      <c r="V1122" s="545"/>
      <c r="W1122" s="546"/>
      <c r="X1122" s="547"/>
      <c r="Y1122" s="548"/>
      <c r="Z1122" s="277"/>
      <c r="AA1122" s="277"/>
      <c r="AB1122" s="187"/>
    </row>
    <row r="1123" spans="1:29" ht="20.100000000000001" customHeight="1">
      <c r="A1123" s="11"/>
      <c r="B1123" s="1360"/>
      <c r="C1123" s="5598"/>
      <c r="D1123" s="357" t="s">
        <v>140</v>
      </c>
      <c r="E1123" s="1362"/>
      <c r="F1123" s="492" t="s">
        <v>732</v>
      </c>
      <c r="G1123" s="666"/>
      <c r="H1123" s="666"/>
      <c r="I1123" s="267" t="s">
        <v>141</v>
      </c>
      <c r="J1123" s="268"/>
      <c r="K1123" s="132" t="s">
        <v>734</v>
      </c>
      <c r="L1123" s="7113">
        <v>0</v>
      </c>
      <c r="M1123" s="7288" t="s">
        <v>748</v>
      </c>
      <c r="N1123" s="7118">
        <v>0</v>
      </c>
      <c r="O1123" s="7393" t="s">
        <v>748</v>
      </c>
      <c r="P1123" s="7157">
        <v>0</v>
      </c>
      <c r="Q1123" s="7311" t="s">
        <v>748</v>
      </c>
      <c r="R1123" s="6659" t="s">
        <v>31</v>
      </c>
      <c r="S1123" s="6572"/>
      <c r="T1123" s="2468"/>
      <c r="U1123" s="544"/>
      <c r="V1123" s="545"/>
      <c r="W1123" s="546"/>
      <c r="X1123" s="547"/>
      <c r="Y1123" s="548"/>
      <c r="Z1123" s="277"/>
      <c r="AA1123" s="277"/>
      <c r="AB1123" s="187"/>
    </row>
    <row r="1124" spans="1:29" ht="20.100000000000001" customHeight="1">
      <c r="A1124" s="11"/>
      <c r="B1124" s="1360"/>
      <c r="C1124" s="5598"/>
      <c r="D1124" s="357" t="s">
        <v>143</v>
      </c>
      <c r="E1124" s="1362"/>
      <c r="F1124" s="492" t="s">
        <v>732</v>
      </c>
      <c r="G1124" s="666"/>
      <c r="H1124" s="666"/>
      <c r="I1124" s="267" t="s">
        <v>144</v>
      </c>
      <c r="J1124" s="268"/>
      <c r="K1124" s="132" t="s">
        <v>734</v>
      </c>
      <c r="L1124" s="7113">
        <v>0</v>
      </c>
      <c r="M1124" s="7288" t="s">
        <v>801</v>
      </c>
      <c r="N1124" s="7117">
        <v>0</v>
      </c>
      <c r="O1124" s="7393" t="s">
        <v>801</v>
      </c>
      <c r="P1124" s="7157">
        <v>0</v>
      </c>
      <c r="Q1124" s="7311"/>
      <c r="R1124" s="6659" t="s">
        <v>31</v>
      </c>
      <c r="S1124" s="6572"/>
      <c r="T1124" s="2468"/>
      <c r="U1124" s="544"/>
      <c r="V1124" s="545"/>
      <c r="W1124" s="546"/>
      <c r="X1124" s="547"/>
      <c r="Y1124" s="548"/>
      <c r="Z1124" s="277"/>
      <c r="AA1124" s="277"/>
      <c r="AB1124" s="187"/>
    </row>
    <row r="1125" spans="1:29" ht="20.100000000000001" customHeight="1">
      <c r="A1125" s="11"/>
      <c r="B1125" s="1360"/>
      <c r="C1125" s="5598"/>
      <c r="D1125" s="357" t="s">
        <v>146</v>
      </c>
      <c r="E1125" s="1362"/>
      <c r="F1125" s="492" t="s">
        <v>732</v>
      </c>
      <c r="G1125" s="666"/>
      <c r="H1125" s="666"/>
      <c r="I1125" s="267" t="s">
        <v>147</v>
      </c>
      <c r="J1125" s="268"/>
      <c r="K1125" s="132" t="s">
        <v>734</v>
      </c>
      <c r="L1125" s="7113">
        <v>0</v>
      </c>
      <c r="M1125" s="7288" t="s">
        <v>751</v>
      </c>
      <c r="N1125" s="7118">
        <v>2</v>
      </c>
      <c r="O1125" s="7393" t="s">
        <v>751</v>
      </c>
      <c r="P1125" s="7157">
        <v>0</v>
      </c>
      <c r="Q1125" s="7311"/>
      <c r="R1125" s="6659" t="s">
        <v>31</v>
      </c>
      <c r="S1125" s="6572"/>
      <c r="T1125" s="2468"/>
      <c r="U1125" s="544"/>
      <c r="V1125" s="545"/>
      <c r="W1125" s="546"/>
      <c r="X1125" s="547"/>
      <c r="Y1125" s="548"/>
      <c r="Z1125" s="277"/>
      <c r="AA1125" s="277"/>
      <c r="AB1125" s="187"/>
    </row>
    <row r="1126" spans="1:29" ht="20.100000000000001" customHeight="1">
      <c r="A1126" s="11"/>
      <c r="B1126" s="1360"/>
      <c r="C1126" s="5598"/>
      <c r="D1126" s="357" t="s">
        <v>149</v>
      </c>
      <c r="E1126" s="1362"/>
      <c r="F1126" s="492" t="s">
        <v>732</v>
      </c>
      <c r="G1126" s="666"/>
      <c r="H1126" s="746"/>
      <c r="I1126" s="267" t="s">
        <v>150</v>
      </c>
      <c r="J1126" s="268"/>
      <c r="K1126" s="132" t="s">
        <v>734</v>
      </c>
      <c r="L1126" s="7113">
        <v>1</v>
      </c>
      <c r="M1126" s="7288"/>
      <c r="N1126" s="7118">
        <v>1</v>
      </c>
      <c r="O1126" s="7393"/>
      <c r="P1126" s="7157">
        <v>7</v>
      </c>
      <c r="Q1126" s="7311"/>
      <c r="R1126" s="6659" t="s">
        <v>31</v>
      </c>
      <c r="S1126" s="6572"/>
      <c r="T1126" s="2468"/>
      <c r="U1126" s="544"/>
      <c r="V1126" s="545"/>
      <c r="W1126" s="546"/>
      <c r="X1126" s="547"/>
      <c r="Y1126" s="548"/>
      <c r="Z1126" s="277"/>
      <c r="AA1126" s="277"/>
      <c r="AB1126" s="187"/>
    </row>
    <row r="1127" spans="1:29" s="7571" customFormat="1" ht="19.899999999999999" customHeight="1">
      <c r="B1127" s="7590"/>
      <c r="C1127" s="7625" t="s">
        <v>1909</v>
      </c>
      <c r="D1127" s="7852" t="s">
        <v>134</v>
      </c>
      <c r="E1127" s="7626"/>
      <c r="F1127" s="7573"/>
      <c r="G1127" s="7629"/>
      <c r="H1127" s="7854"/>
      <c r="I1127" s="7855"/>
      <c r="J1127" s="7856"/>
      <c r="K1127" s="7573"/>
      <c r="L1127" s="7627" t="b">
        <f>SUM(L1107,L1114,L1121)=L1079</f>
        <v>1</v>
      </c>
      <c r="M1127" s="7630"/>
      <c r="N1127" s="7628" t="b">
        <f>SUM(N1107,N1114,N1121)=N1079</f>
        <v>1</v>
      </c>
      <c r="O1127" s="7630"/>
      <c r="P1127" s="7628" t="b">
        <f>SUM(P1107,P1114,P1121)=P1079</f>
        <v>1</v>
      </c>
      <c r="Q1127" s="7595"/>
      <c r="R1127" s="7631"/>
      <c r="S1127" s="7632"/>
      <c r="T1127" s="7596"/>
      <c r="U1127" s="7597"/>
      <c r="V1127" s="7582"/>
      <c r="W1127" s="7598"/>
      <c r="X1127" s="7598"/>
      <c r="Y1127" s="7582"/>
      <c r="Z1127" s="7633"/>
      <c r="AA1127" s="7634"/>
      <c r="AB1127" s="7635"/>
      <c r="AC1127" s="7589"/>
    </row>
    <row r="1128" spans="1:29" s="7571" customFormat="1" ht="19.899999999999999" customHeight="1">
      <c r="B1128" s="7590"/>
      <c r="C1128" s="7625"/>
      <c r="D1128" s="7852" t="s">
        <v>137</v>
      </c>
      <c r="E1128" s="7626"/>
      <c r="F1128" s="7573"/>
      <c r="G1128" s="7629"/>
      <c r="H1128" s="7854"/>
      <c r="I1128" s="7855"/>
      <c r="J1128" s="7856"/>
      <c r="K1128" s="7573"/>
      <c r="L1128" s="7627" t="b">
        <f t="shared" ref="L1128:N1132" si="10">SUM(L1108,L1115,L1122)=L1080</f>
        <v>1</v>
      </c>
      <c r="M1128" s="7630"/>
      <c r="N1128" s="7628" t="b">
        <f t="shared" si="10"/>
        <v>1</v>
      </c>
      <c r="O1128" s="7630"/>
      <c r="P1128" s="7628" t="b">
        <f t="shared" ref="P1128:P1129" si="11">SUM(P1108,P1115,P1122)=P1080</f>
        <v>1</v>
      </c>
      <c r="Q1128" s="7595"/>
      <c r="R1128" s="7631"/>
      <c r="S1128" s="7632"/>
      <c r="T1128" s="7596"/>
      <c r="U1128" s="7597"/>
      <c r="V1128" s="7582"/>
      <c r="W1128" s="7598"/>
      <c r="X1128" s="7598"/>
      <c r="Y1128" s="7582"/>
      <c r="Z1128" s="7633"/>
      <c r="AA1128" s="7634"/>
      <c r="AB1128" s="7635"/>
      <c r="AC1128" s="7589"/>
    </row>
    <row r="1129" spans="1:29" s="7571" customFormat="1" ht="19.899999999999999" customHeight="1">
      <c r="B1129" s="7590"/>
      <c r="C1129" s="7625"/>
      <c r="D1129" s="7852" t="s">
        <v>140</v>
      </c>
      <c r="E1129" s="7626"/>
      <c r="F1129" s="7573"/>
      <c r="G1129" s="7629"/>
      <c r="H1129" s="7854"/>
      <c r="I1129" s="7855"/>
      <c r="J1129" s="7856"/>
      <c r="K1129" s="7573"/>
      <c r="L1129" s="7627" t="b">
        <f t="shared" si="10"/>
        <v>1</v>
      </c>
      <c r="M1129" s="7630"/>
      <c r="N1129" s="7628" t="b">
        <f t="shared" si="10"/>
        <v>1</v>
      </c>
      <c r="O1129" s="7630"/>
      <c r="P1129" s="7628" t="b">
        <f t="shared" si="11"/>
        <v>1</v>
      </c>
      <c r="Q1129" s="7595"/>
      <c r="R1129" s="7631"/>
      <c r="S1129" s="7632"/>
      <c r="T1129" s="7596"/>
      <c r="U1129" s="7597"/>
      <c r="V1129" s="7582"/>
      <c r="W1129" s="7598"/>
      <c r="X1129" s="7598"/>
      <c r="Y1129" s="7582"/>
      <c r="Z1129" s="7633"/>
      <c r="AA1129" s="7634"/>
      <c r="AB1129" s="7635"/>
      <c r="AC1129" s="7589"/>
    </row>
    <row r="1130" spans="1:29" s="7571" customFormat="1" ht="19.899999999999999" customHeight="1">
      <c r="B1130" s="7590"/>
      <c r="C1130" s="7625"/>
      <c r="D1130" s="7852" t="s">
        <v>143</v>
      </c>
      <c r="E1130" s="7626"/>
      <c r="F1130" s="7573"/>
      <c r="G1130" s="7629"/>
      <c r="H1130" s="7854"/>
      <c r="I1130" s="7855"/>
      <c r="J1130" s="7856"/>
      <c r="K1130" s="7573"/>
      <c r="L1130" s="7627" t="b">
        <f t="shared" si="10"/>
        <v>1</v>
      </c>
      <c r="M1130" s="7630"/>
      <c r="N1130" s="7628" t="b">
        <f t="shared" si="10"/>
        <v>1</v>
      </c>
      <c r="O1130" s="7630"/>
      <c r="P1130" s="7628" t="b">
        <f>SUM(P1110,P1117,P1124)=P1082</f>
        <v>1</v>
      </c>
      <c r="Q1130" s="7595"/>
      <c r="R1130" s="7631"/>
      <c r="S1130" s="7632"/>
      <c r="T1130" s="7596"/>
      <c r="U1130" s="7597"/>
      <c r="V1130" s="7582"/>
      <c r="W1130" s="7598"/>
      <c r="X1130" s="7598"/>
      <c r="Y1130" s="7582"/>
      <c r="Z1130" s="7633"/>
      <c r="AA1130" s="7634"/>
      <c r="AB1130" s="7635"/>
      <c r="AC1130" s="7589"/>
    </row>
    <row r="1131" spans="1:29" s="7571" customFormat="1" ht="19.899999999999999" customHeight="1">
      <c r="B1131" s="7590"/>
      <c r="C1131" s="7625"/>
      <c r="D1131" s="7852" t="s">
        <v>146</v>
      </c>
      <c r="E1131" s="7626"/>
      <c r="F1131" s="7573"/>
      <c r="G1131" s="7629"/>
      <c r="H1131" s="7854"/>
      <c r="I1131" s="7855"/>
      <c r="J1131" s="7856"/>
      <c r="K1131" s="7573"/>
      <c r="L1131" s="7627" t="b">
        <f t="shared" si="10"/>
        <v>1</v>
      </c>
      <c r="M1131" s="7630"/>
      <c r="N1131" s="7628" t="b">
        <f t="shared" si="10"/>
        <v>1</v>
      </c>
      <c r="O1131" s="7630"/>
      <c r="P1131" s="7628" t="b">
        <f>SUM(P1111,P1118,P1125)=P1083</f>
        <v>1</v>
      </c>
      <c r="Q1131" s="7595"/>
      <c r="R1131" s="7631"/>
      <c r="S1131" s="7632"/>
      <c r="T1131" s="7596"/>
      <c r="U1131" s="7597"/>
      <c r="V1131" s="7582"/>
      <c r="W1131" s="7598"/>
      <c r="X1131" s="7598"/>
      <c r="Y1131" s="7582"/>
      <c r="Z1131" s="7633"/>
      <c r="AA1131" s="7634"/>
      <c r="AB1131" s="7635"/>
      <c r="AC1131" s="7589"/>
    </row>
    <row r="1132" spans="1:29" s="7571" customFormat="1" ht="19.899999999999999" customHeight="1">
      <c r="B1132" s="7590"/>
      <c r="C1132" s="7625"/>
      <c r="D1132" s="7852" t="s">
        <v>149</v>
      </c>
      <c r="E1132" s="7626"/>
      <c r="F1132" s="7573"/>
      <c r="G1132" s="7629"/>
      <c r="H1132" s="7854"/>
      <c r="I1132" s="7855"/>
      <c r="J1132" s="7856"/>
      <c r="K1132" s="7573"/>
      <c r="L1132" s="7627" t="b">
        <f t="shared" si="10"/>
        <v>1</v>
      </c>
      <c r="M1132" s="7630"/>
      <c r="N1132" s="7628" t="b">
        <f t="shared" si="10"/>
        <v>1</v>
      </c>
      <c r="O1132" s="7630"/>
      <c r="P1132" s="7628" t="b">
        <f t="shared" ref="P1132" si="12">SUM(P1112,P1119,P1126)=P1084</f>
        <v>1</v>
      </c>
      <c r="Q1132" s="7595"/>
      <c r="R1132" s="7631"/>
      <c r="S1132" s="7632"/>
      <c r="T1132" s="7596"/>
      <c r="U1132" s="7597"/>
      <c r="V1132" s="7582"/>
      <c r="W1132" s="7598"/>
      <c r="X1132" s="7598"/>
      <c r="Y1132" s="7582"/>
      <c r="Z1132" s="7633"/>
      <c r="AA1132" s="7634"/>
      <c r="AB1132" s="7635"/>
      <c r="AC1132" s="7589"/>
    </row>
    <row r="1133" spans="1:29" ht="20.100000000000001" customHeight="1">
      <c r="A1133" s="11"/>
      <c r="B1133" s="1360"/>
      <c r="C1133" s="7638" t="s">
        <v>891</v>
      </c>
      <c r="D1133" s="7639"/>
      <c r="E1133" s="7639"/>
      <c r="F1133" s="7639"/>
      <c r="G1133" s="7639"/>
      <c r="H1133" s="7639"/>
      <c r="I1133" s="7639"/>
      <c r="J1133" s="7639"/>
      <c r="K1133" s="7639"/>
      <c r="L1133" s="7636"/>
      <c r="M1133" s="7637"/>
      <c r="N1133" s="7636"/>
      <c r="O1133" s="7637"/>
      <c r="P1133" s="7636"/>
      <c r="Q1133" s="7858"/>
      <c r="R1133" s="7023" t="s">
        <v>31</v>
      </c>
      <c r="S1133" s="7858"/>
      <c r="T1133" s="6707"/>
      <c r="U1133" s="24"/>
      <c r="V1133" s="99" t="s">
        <v>737</v>
      </c>
      <c r="W1133" s="547" t="s">
        <v>800</v>
      </c>
      <c r="X1133" s="547"/>
      <c r="Y1133" s="99"/>
      <c r="Z1133" s="620" t="s">
        <v>892</v>
      </c>
      <c r="AA1133" s="620" t="s">
        <v>884</v>
      </c>
      <c r="AB1133" s="159"/>
    </row>
    <row r="1134" spans="1:29" ht="20.100000000000001" customHeight="1">
      <c r="A1134" s="11"/>
      <c r="B1134" s="1360"/>
      <c r="C1134" s="5598"/>
      <c r="D1134" s="5608" t="s">
        <v>796</v>
      </c>
      <c r="E1134" s="6155"/>
      <c r="F1134" s="7006" t="s">
        <v>732</v>
      </c>
      <c r="G1134" s="7025"/>
      <c r="H1134" s="7033"/>
      <c r="I1134" s="5608" t="s">
        <v>893</v>
      </c>
      <c r="J1134" s="6155"/>
      <c r="K1134" s="7006" t="s">
        <v>734</v>
      </c>
      <c r="L1134" s="7111">
        <f>IF(COUNTBLANK(L1135:L1140)&gt;0,"미취합법인有",SUM(L1135:L1140))</f>
        <v>2968</v>
      </c>
      <c r="M1134" s="7279"/>
      <c r="N1134" s="7115">
        <f>IF(COUNTBLANK(N1135:N1140)&gt;0,"미취합법인有",SUM(N1135:N1140))</f>
        <v>4511</v>
      </c>
      <c r="O1134" s="7385"/>
      <c r="P1134" s="7121">
        <f>IF(COUNTBLANK(P1135:P1140)&gt;0,"미취합법인有",SUM(P1135:P1140))</f>
        <v>4162</v>
      </c>
      <c r="Q1134" s="7029"/>
      <c r="R1134" s="7010" t="s">
        <v>31</v>
      </c>
      <c r="S1134" s="7007"/>
      <c r="T1134" s="7020" t="s">
        <v>894</v>
      </c>
      <c r="U1134" s="457" t="s">
        <v>895</v>
      </c>
      <c r="V1134" s="99" t="s">
        <v>737</v>
      </c>
      <c r="W1134" s="547" t="s">
        <v>800</v>
      </c>
      <c r="X1134" s="547"/>
      <c r="Y1134" s="99"/>
      <c r="Z1134" s="620" t="s">
        <v>892</v>
      </c>
      <c r="AA1134" s="620" t="s">
        <v>884</v>
      </c>
      <c r="AB1134" s="159"/>
    </row>
    <row r="1135" spans="1:29" ht="20.100000000000001" customHeight="1">
      <c r="A1135" s="11"/>
      <c r="B1135" s="1360"/>
      <c r="C1135" s="5598"/>
      <c r="D1135" s="357" t="s">
        <v>134</v>
      </c>
      <c r="E1135" s="1362"/>
      <c r="F1135" s="492" t="s">
        <v>732</v>
      </c>
      <c r="G1135" s="666"/>
      <c r="H1135" s="684"/>
      <c r="I1135" s="6133" t="s">
        <v>135</v>
      </c>
      <c r="J1135" s="6134"/>
      <c r="K1135" s="132" t="s">
        <v>734</v>
      </c>
      <c r="L1135" s="7113">
        <v>1841</v>
      </c>
      <c r="M1135" s="7288" t="s">
        <v>746</v>
      </c>
      <c r="N1135" s="7118">
        <v>2690</v>
      </c>
      <c r="O1135" s="7393" t="s">
        <v>747</v>
      </c>
      <c r="P1135" s="7150">
        <v>2630</v>
      </c>
      <c r="Q1135" s="7311" t="s">
        <v>746</v>
      </c>
      <c r="R1135" s="6659" t="s">
        <v>31</v>
      </c>
      <c r="S1135" s="6572"/>
      <c r="T1135" s="2468"/>
      <c r="U1135" s="544"/>
      <c r="V1135" s="545"/>
      <c r="W1135" s="546"/>
      <c r="X1135" s="547"/>
      <c r="Y1135" s="548"/>
      <c r="Z1135" s="277"/>
      <c r="AA1135" s="277"/>
      <c r="AB1135" s="187"/>
    </row>
    <row r="1136" spans="1:29" ht="20.100000000000001" customHeight="1">
      <c r="A1136" s="11"/>
      <c r="B1136" s="1360"/>
      <c r="C1136" s="5598"/>
      <c r="D1136" s="357" t="s">
        <v>137</v>
      </c>
      <c r="E1136" s="1362"/>
      <c r="F1136" s="492" t="s">
        <v>732</v>
      </c>
      <c r="G1136" s="666"/>
      <c r="H1136" s="684"/>
      <c r="I1136" s="6133" t="s">
        <v>138</v>
      </c>
      <c r="J1136" s="6134"/>
      <c r="K1136" s="132" t="s">
        <v>734</v>
      </c>
      <c r="L1136" s="7113">
        <v>19</v>
      </c>
      <c r="M1136" s="7288"/>
      <c r="N1136" s="7118">
        <v>57</v>
      </c>
      <c r="O1136" s="7393"/>
      <c r="P1136" s="7157">
        <v>23</v>
      </c>
      <c r="Q1136" s="7311"/>
      <c r="R1136" s="6659" t="s">
        <v>31</v>
      </c>
      <c r="S1136" s="6572"/>
      <c r="T1136" s="2468"/>
      <c r="U1136" s="544"/>
      <c r="V1136" s="545"/>
      <c r="W1136" s="546"/>
      <c r="X1136" s="547"/>
      <c r="Y1136" s="548"/>
      <c r="Z1136" s="277"/>
      <c r="AA1136" s="277"/>
      <c r="AB1136" s="187"/>
    </row>
    <row r="1137" spans="1:29" ht="20.100000000000001" customHeight="1">
      <c r="A1137" s="11"/>
      <c r="B1137" s="1360"/>
      <c r="C1137" s="5598"/>
      <c r="D1137" s="357" t="s">
        <v>140</v>
      </c>
      <c r="E1137" s="1362"/>
      <c r="F1137" s="492" t="s">
        <v>732</v>
      </c>
      <c r="G1137" s="666"/>
      <c r="H1137" s="684"/>
      <c r="I1137" s="267" t="s">
        <v>141</v>
      </c>
      <c r="J1137" s="268"/>
      <c r="K1137" s="132" t="s">
        <v>734</v>
      </c>
      <c r="L1137" s="7113">
        <v>99</v>
      </c>
      <c r="M1137" s="7288" t="s">
        <v>748</v>
      </c>
      <c r="N1137" s="7118">
        <v>69</v>
      </c>
      <c r="O1137" s="7393" t="s">
        <v>748</v>
      </c>
      <c r="P1137" s="7157">
        <v>48</v>
      </c>
      <c r="Q1137" s="7311" t="s">
        <v>748</v>
      </c>
      <c r="R1137" s="6659" t="s">
        <v>31</v>
      </c>
      <c r="S1137" s="6572"/>
      <c r="T1137" s="2468"/>
      <c r="U1137" s="544"/>
      <c r="V1137" s="545"/>
      <c r="W1137" s="546"/>
      <c r="X1137" s="547"/>
      <c r="Y1137" s="548"/>
      <c r="Z1137" s="277"/>
      <c r="AA1137" s="277"/>
      <c r="AB1137" s="187"/>
    </row>
    <row r="1138" spans="1:29" ht="20.100000000000001" customHeight="1">
      <c r="A1138" s="11"/>
      <c r="B1138" s="1360"/>
      <c r="C1138" s="5598"/>
      <c r="D1138" s="357" t="s">
        <v>143</v>
      </c>
      <c r="E1138" s="1362"/>
      <c r="F1138" s="492" t="s">
        <v>732</v>
      </c>
      <c r="G1138" s="666"/>
      <c r="H1138" s="684"/>
      <c r="I1138" s="267" t="s">
        <v>144</v>
      </c>
      <c r="J1138" s="268"/>
      <c r="K1138" s="132" t="s">
        <v>734</v>
      </c>
      <c r="L1138" s="7113">
        <v>566</v>
      </c>
      <c r="M1138" s="7288" t="s">
        <v>801</v>
      </c>
      <c r="N1138" s="7118">
        <v>1235</v>
      </c>
      <c r="O1138" s="7393" t="s">
        <v>801</v>
      </c>
      <c r="P1138" s="7157">
        <v>964</v>
      </c>
      <c r="Q1138" s="7311"/>
      <c r="R1138" s="6659" t="s">
        <v>31</v>
      </c>
      <c r="S1138" s="6572"/>
      <c r="T1138" s="2468"/>
      <c r="U1138" s="544"/>
      <c r="V1138" s="545"/>
      <c r="W1138" s="546"/>
      <c r="X1138" s="547"/>
      <c r="Y1138" s="548"/>
      <c r="Z1138" s="277"/>
      <c r="AA1138" s="277"/>
      <c r="AB1138" s="187"/>
    </row>
    <row r="1139" spans="1:29" ht="20.100000000000001" customHeight="1">
      <c r="A1139" s="11"/>
      <c r="B1139" s="1360"/>
      <c r="C1139" s="5598"/>
      <c r="D1139" s="357" t="s">
        <v>146</v>
      </c>
      <c r="E1139" s="1362"/>
      <c r="F1139" s="492" t="s">
        <v>732</v>
      </c>
      <c r="G1139" s="666"/>
      <c r="H1139" s="684"/>
      <c r="I1139" s="267" t="s">
        <v>147</v>
      </c>
      <c r="J1139" s="268"/>
      <c r="K1139" s="132" t="s">
        <v>734</v>
      </c>
      <c r="L1139" s="7113">
        <v>7</v>
      </c>
      <c r="M1139" s="7288" t="s">
        <v>751</v>
      </c>
      <c r="N1139" s="7118">
        <v>41</v>
      </c>
      <c r="O1139" s="7393" t="s">
        <v>751</v>
      </c>
      <c r="P1139" s="7157">
        <v>60</v>
      </c>
      <c r="Q1139" s="7311"/>
      <c r="R1139" s="6659" t="s">
        <v>31</v>
      </c>
      <c r="S1139" s="6572"/>
      <c r="T1139" s="2468"/>
      <c r="U1139" s="544"/>
      <c r="V1139" s="545"/>
      <c r="W1139" s="546"/>
      <c r="X1139" s="547"/>
      <c r="Y1139" s="548"/>
      <c r="Z1139" s="277"/>
      <c r="AA1139" s="277"/>
      <c r="AB1139" s="187"/>
    </row>
    <row r="1140" spans="1:29" ht="20.100000000000001" customHeight="1">
      <c r="A1140" s="11"/>
      <c r="B1140" s="1360"/>
      <c r="C1140" s="5598"/>
      <c r="D1140" s="357" t="s">
        <v>149</v>
      </c>
      <c r="E1140" s="1362"/>
      <c r="F1140" s="492" t="s">
        <v>732</v>
      </c>
      <c r="G1140" s="666"/>
      <c r="H1140" s="684"/>
      <c r="I1140" s="267" t="s">
        <v>150</v>
      </c>
      <c r="J1140" s="268"/>
      <c r="K1140" s="132" t="s">
        <v>734</v>
      </c>
      <c r="L1140" s="7113">
        <v>436</v>
      </c>
      <c r="M1140" s="7288"/>
      <c r="N1140" s="7118">
        <v>419</v>
      </c>
      <c r="O1140" s="7393"/>
      <c r="P1140" s="7157">
        <v>437</v>
      </c>
      <c r="Q1140" s="7311"/>
      <c r="R1140" s="6659" t="s">
        <v>31</v>
      </c>
      <c r="S1140" s="6572"/>
      <c r="T1140" s="2468"/>
      <c r="U1140" s="544"/>
      <c r="V1140" s="545"/>
      <c r="W1140" s="546"/>
      <c r="X1140" s="547"/>
      <c r="Y1140" s="548"/>
      <c r="Z1140" s="277"/>
      <c r="AA1140" s="277"/>
      <c r="AB1140" s="187"/>
    </row>
    <row r="1141" spans="1:29" ht="20.100000000000001" customHeight="1">
      <c r="A1141" s="11"/>
      <c r="B1141" s="1360"/>
      <c r="C1141" s="1023"/>
      <c r="D1141" s="5608" t="s">
        <v>802</v>
      </c>
      <c r="E1141" s="6155"/>
      <c r="F1141" s="7006" t="s">
        <v>732</v>
      </c>
      <c r="G1141" s="7025"/>
      <c r="H1141" s="7033"/>
      <c r="I1141" s="5608" t="s">
        <v>896</v>
      </c>
      <c r="J1141" s="6155"/>
      <c r="K1141" s="7006" t="s">
        <v>734</v>
      </c>
      <c r="L1141" s="7111">
        <f>IF(COUNTBLANK(L1142:L1147)&gt;0,"미취합법인有",SUM(L1142:L1147))</f>
        <v>3364</v>
      </c>
      <c r="M1141" s="7279"/>
      <c r="N1141" s="7115">
        <f>IF(COUNTBLANK(N1142:N1147)&gt;0,"미취합법인有",SUM(N1142:N1147))</f>
        <v>4927</v>
      </c>
      <c r="O1141" s="7293"/>
      <c r="P1141" s="7121">
        <f>IF(COUNTBLANK(P1142:P1147)&gt;0,"미취합법인有",SUM(P1142:P1147))</f>
        <v>4897</v>
      </c>
      <c r="Q1141" s="7029"/>
      <c r="R1141" s="7010" t="s">
        <v>31</v>
      </c>
      <c r="S1141" s="7007"/>
      <c r="T1141" s="7020" t="s">
        <v>894</v>
      </c>
      <c r="U1141" s="457" t="s">
        <v>895</v>
      </c>
      <c r="V1141" s="99" t="s">
        <v>737</v>
      </c>
      <c r="W1141" s="547" t="s">
        <v>800</v>
      </c>
      <c r="X1141" s="547"/>
      <c r="Y1141" s="99"/>
      <c r="Z1141" s="620" t="s">
        <v>892</v>
      </c>
      <c r="AA1141" s="620" t="s">
        <v>884</v>
      </c>
      <c r="AB1141" s="159"/>
    </row>
    <row r="1142" spans="1:29" ht="20.100000000000001" customHeight="1">
      <c r="A1142" s="11"/>
      <c r="B1142" s="1360"/>
      <c r="C1142" s="5598"/>
      <c r="D1142" s="357" t="s">
        <v>134</v>
      </c>
      <c r="E1142" s="1362"/>
      <c r="F1142" s="492" t="s">
        <v>732</v>
      </c>
      <c r="G1142" s="666"/>
      <c r="H1142" s="684"/>
      <c r="I1142" s="6133" t="s">
        <v>135</v>
      </c>
      <c r="J1142" s="6134"/>
      <c r="K1142" s="132" t="s">
        <v>734</v>
      </c>
      <c r="L1142" s="7113">
        <v>2276</v>
      </c>
      <c r="M1142" s="7288" t="s">
        <v>746</v>
      </c>
      <c r="N1142" s="7118">
        <v>3134</v>
      </c>
      <c r="O1142" s="7393" t="s">
        <v>747</v>
      </c>
      <c r="P1142" s="7150">
        <v>3328</v>
      </c>
      <c r="Q1142" s="7311" t="s">
        <v>746</v>
      </c>
      <c r="R1142" s="6659" t="s">
        <v>31</v>
      </c>
      <c r="S1142" s="6572"/>
      <c r="T1142" s="2468"/>
      <c r="U1142" s="544"/>
      <c r="V1142" s="545"/>
      <c r="W1142" s="546"/>
      <c r="X1142" s="547"/>
      <c r="Y1142" s="548"/>
      <c r="Z1142" s="277"/>
      <c r="AA1142" s="277"/>
      <c r="AB1142" s="187"/>
    </row>
    <row r="1143" spans="1:29" ht="20.100000000000001" customHeight="1">
      <c r="A1143" s="11"/>
      <c r="B1143" s="1360"/>
      <c r="C1143" s="5598"/>
      <c r="D1143" s="357" t="s">
        <v>137</v>
      </c>
      <c r="E1143" s="1362"/>
      <c r="F1143" s="492" t="s">
        <v>732</v>
      </c>
      <c r="G1143" s="666"/>
      <c r="H1143" s="684"/>
      <c r="I1143" s="6133" t="s">
        <v>138</v>
      </c>
      <c r="J1143" s="6134"/>
      <c r="K1143" s="132" t="s">
        <v>734</v>
      </c>
      <c r="L1143" s="7113">
        <v>9</v>
      </c>
      <c r="M1143" s="7288"/>
      <c r="N1143" s="7118">
        <v>35</v>
      </c>
      <c r="O1143" s="7393"/>
      <c r="P1143" s="7157">
        <v>40</v>
      </c>
      <c r="Q1143" s="7311"/>
      <c r="R1143" s="6659" t="s">
        <v>31</v>
      </c>
      <c r="S1143" s="6572"/>
      <c r="T1143" s="2468"/>
      <c r="U1143" s="544"/>
      <c r="V1143" s="545"/>
      <c r="W1143" s="546"/>
      <c r="X1143" s="547"/>
      <c r="Y1143" s="548"/>
      <c r="Z1143" s="277"/>
      <c r="AA1143" s="277"/>
      <c r="AB1143" s="187"/>
    </row>
    <row r="1144" spans="1:29" ht="20.100000000000001" customHeight="1">
      <c r="A1144" s="11"/>
      <c r="B1144" s="1360"/>
      <c r="C1144" s="5598"/>
      <c r="D1144" s="357" t="s">
        <v>140</v>
      </c>
      <c r="E1144" s="1362"/>
      <c r="F1144" s="492" t="s">
        <v>732</v>
      </c>
      <c r="G1144" s="666"/>
      <c r="H1144" s="684"/>
      <c r="I1144" s="267" t="s">
        <v>141</v>
      </c>
      <c r="J1144" s="268"/>
      <c r="K1144" s="132" t="s">
        <v>734</v>
      </c>
      <c r="L1144" s="7113">
        <v>74</v>
      </c>
      <c r="M1144" s="7288" t="s">
        <v>748</v>
      </c>
      <c r="N1144" s="7118">
        <v>38</v>
      </c>
      <c r="O1144" s="7393" t="s">
        <v>748</v>
      </c>
      <c r="P1144" s="7157">
        <v>43</v>
      </c>
      <c r="Q1144" s="7311" t="s">
        <v>748</v>
      </c>
      <c r="R1144" s="6659" t="s">
        <v>31</v>
      </c>
      <c r="S1144" s="6572"/>
      <c r="T1144" s="2468"/>
      <c r="U1144" s="544"/>
      <c r="V1144" s="545"/>
      <c r="W1144" s="546"/>
      <c r="X1144" s="547"/>
      <c r="Y1144" s="548"/>
      <c r="Z1144" s="277"/>
      <c r="AA1144" s="277"/>
      <c r="AB1144" s="187"/>
    </row>
    <row r="1145" spans="1:29" ht="20.100000000000001" customHeight="1">
      <c r="A1145" s="11"/>
      <c r="B1145" s="1360"/>
      <c r="C1145" s="5598"/>
      <c r="D1145" s="357" t="s">
        <v>143</v>
      </c>
      <c r="E1145" s="1362"/>
      <c r="F1145" s="492" t="s">
        <v>732</v>
      </c>
      <c r="G1145" s="666"/>
      <c r="H1145" s="684"/>
      <c r="I1145" s="267" t="s">
        <v>144</v>
      </c>
      <c r="J1145" s="268"/>
      <c r="K1145" s="132" t="s">
        <v>734</v>
      </c>
      <c r="L1145" s="7113">
        <v>680</v>
      </c>
      <c r="M1145" s="7288" t="s">
        <v>801</v>
      </c>
      <c r="N1145" s="7118">
        <v>1313</v>
      </c>
      <c r="O1145" s="7393" t="s">
        <v>801</v>
      </c>
      <c r="P1145" s="7157">
        <v>1052</v>
      </c>
      <c r="Q1145" s="7311"/>
      <c r="R1145" s="6659" t="s">
        <v>31</v>
      </c>
      <c r="S1145" s="6572"/>
      <c r="T1145" s="2468"/>
      <c r="U1145" s="544"/>
      <c r="V1145" s="545"/>
      <c r="W1145" s="546"/>
      <c r="X1145" s="547"/>
      <c r="Y1145" s="548"/>
      <c r="Z1145" s="277"/>
      <c r="AA1145" s="277"/>
      <c r="AB1145" s="187"/>
    </row>
    <row r="1146" spans="1:29" ht="20.100000000000001" customHeight="1">
      <c r="A1146" s="11"/>
      <c r="B1146" s="1360"/>
      <c r="C1146" s="5598"/>
      <c r="D1146" s="357" t="s">
        <v>146</v>
      </c>
      <c r="E1146" s="1362"/>
      <c r="F1146" s="492" t="s">
        <v>732</v>
      </c>
      <c r="G1146" s="666"/>
      <c r="H1146" s="684"/>
      <c r="I1146" s="267" t="s">
        <v>147</v>
      </c>
      <c r="J1146" s="268"/>
      <c r="K1146" s="132" t="s">
        <v>734</v>
      </c>
      <c r="L1146" s="7113">
        <v>9</v>
      </c>
      <c r="M1146" s="7288" t="s">
        <v>751</v>
      </c>
      <c r="N1146" s="7118">
        <v>45</v>
      </c>
      <c r="O1146" s="7393" t="s">
        <v>751</v>
      </c>
      <c r="P1146" s="7157">
        <v>35</v>
      </c>
      <c r="Q1146" s="7311"/>
      <c r="R1146" s="6659" t="s">
        <v>31</v>
      </c>
      <c r="S1146" s="6572"/>
      <c r="T1146" s="2468"/>
      <c r="U1146" s="544"/>
      <c r="V1146" s="545"/>
      <c r="W1146" s="546"/>
      <c r="X1146" s="547"/>
      <c r="Y1146" s="548"/>
      <c r="Z1146" s="277"/>
      <c r="AA1146" s="277"/>
      <c r="AB1146" s="187"/>
    </row>
    <row r="1147" spans="1:29" ht="20.100000000000001" customHeight="1">
      <c r="A1147" s="11"/>
      <c r="B1147" s="1360"/>
      <c r="C1147" s="5598"/>
      <c r="D1147" s="357" t="s">
        <v>149</v>
      </c>
      <c r="E1147" s="1362"/>
      <c r="F1147" s="492" t="s">
        <v>732</v>
      </c>
      <c r="G1147" s="666"/>
      <c r="H1147" s="684"/>
      <c r="I1147" s="267" t="s">
        <v>150</v>
      </c>
      <c r="J1147" s="268"/>
      <c r="K1147" s="132" t="s">
        <v>734</v>
      </c>
      <c r="L1147" s="7113">
        <v>316</v>
      </c>
      <c r="M1147" s="7288"/>
      <c r="N1147" s="7118">
        <v>362</v>
      </c>
      <c r="O1147" s="7393"/>
      <c r="P1147" s="7157">
        <v>399</v>
      </c>
      <c r="Q1147" s="7311"/>
      <c r="R1147" s="6659" t="s">
        <v>31</v>
      </c>
      <c r="S1147" s="6572"/>
      <c r="T1147" s="2468"/>
      <c r="U1147" s="544"/>
      <c r="V1147" s="545"/>
      <c r="W1147" s="546"/>
      <c r="X1147" s="547"/>
      <c r="Y1147" s="548"/>
      <c r="Z1147" s="277"/>
      <c r="AA1147" s="277"/>
      <c r="AB1147" s="187"/>
    </row>
    <row r="1148" spans="1:29" s="7571" customFormat="1" ht="19.899999999999999" customHeight="1">
      <c r="B1148" s="7590"/>
      <c r="C1148" s="7625" t="s">
        <v>1909</v>
      </c>
      <c r="D1148" s="7852" t="s">
        <v>134</v>
      </c>
      <c r="E1148" s="7626"/>
      <c r="F1148" s="7573"/>
      <c r="G1148" s="7629"/>
      <c r="H1148" s="7854"/>
      <c r="I1148" s="7855"/>
      <c r="J1148" s="7856"/>
      <c r="K1148" s="7573"/>
      <c r="L1148" s="7627" t="b">
        <f>SUM(L1135,L1142)=L1079</f>
        <v>1</v>
      </c>
      <c r="M1148" s="7630"/>
      <c r="N1148" s="7628" t="b">
        <f>SUM(N1135,N1142)=N1079</f>
        <v>1</v>
      </c>
      <c r="O1148" s="7630"/>
      <c r="P1148" s="7628" t="b">
        <f>SUM(P1135,P1142)=P1079</f>
        <v>1</v>
      </c>
      <c r="Q1148" s="7595"/>
      <c r="R1148" s="7631"/>
      <c r="S1148" s="7632"/>
      <c r="T1148" s="7596"/>
      <c r="U1148" s="7597"/>
      <c r="V1148" s="7582"/>
      <c r="W1148" s="7598"/>
      <c r="X1148" s="7598"/>
      <c r="Y1148" s="7582"/>
      <c r="Z1148" s="7633"/>
      <c r="AA1148" s="7634"/>
      <c r="AB1148" s="7635"/>
      <c r="AC1148" s="7589"/>
    </row>
    <row r="1149" spans="1:29" s="7571" customFormat="1" ht="19.899999999999999" customHeight="1">
      <c r="B1149" s="7590"/>
      <c r="C1149" s="7625"/>
      <c r="D1149" s="7852" t="s">
        <v>137</v>
      </c>
      <c r="E1149" s="7626"/>
      <c r="F1149" s="7573"/>
      <c r="G1149" s="7629"/>
      <c r="H1149" s="7854"/>
      <c r="I1149" s="7855"/>
      <c r="J1149" s="7856"/>
      <c r="K1149" s="7573"/>
      <c r="L1149" s="7627" t="b">
        <f t="shared" ref="L1149:N1153" si="13">SUM(L1136,L1143)=L1080</f>
        <v>1</v>
      </c>
      <c r="M1149" s="7630"/>
      <c r="N1149" s="7628" t="b">
        <f t="shared" si="13"/>
        <v>1</v>
      </c>
      <c r="O1149" s="7630"/>
      <c r="P1149" s="7628" t="b">
        <f t="shared" ref="P1149:P1153" si="14">SUM(P1136,P1143)=P1080</f>
        <v>1</v>
      </c>
      <c r="Q1149" s="7595"/>
      <c r="R1149" s="7631"/>
      <c r="S1149" s="7632"/>
      <c r="T1149" s="7596"/>
      <c r="U1149" s="7597"/>
      <c r="V1149" s="7582"/>
      <c r="W1149" s="7598"/>
      <c r="X1149" s="7598"/>
      <c r="Y1149" s="7582"/>
      <c r="Z1149" s="7633"/>
      <c r="AA1149" s="7634"/>
      <c r="AB1149" s="7635"/>
      <c r="AC1149" s="7589"/>
    </row>
    <row r="1150" spans="1:29" s="7571" customFormat="1" ht="19.899999999999999" customHeight="1">
      <c r="B1150" s="7590"/>
      <c r="C1150" s="7625"/>
      <c r="D1150" s="7852" t="s">
        <v>140</v>
      </c>
      <c r="E1150" s="7626"/>
      <c r="F1150" s="7573"/>
      <c r="G1150" s="7629"/>
      <c r="H1150" s="7854"/>
      <c r="I1150" s="7855"/>
      <c r="J1150" s="7856"/>
      <c r="K1150" s="7573"/>
      <c r="L1150" s="7627" t="b">
        <f t="shared" si="13"/>
        <v>1</v>
      </c>
      <c r="M1150" s="7630"/>
      <c r="N1150" s="7628" t="b">
        <f t="shared" si="13"/>
        <v>1</v>
      </c>
      <c r="O1150" s="7630"/>
      <c r="P1150" s="7628" t="b">
        <f t="shared" si="14"/>
        <v>1</v>
      </c>
      <c r="Q1150" s="7595"/>
      <c r="R1150" s="7631"/>
      <c r="S1150" s="7632"/>
      <c r="T1150" s="7596"/>
      <c r="U1150" s="7597"/>
      <c r="V1150" s="7582"/>
      <c r="W1150" s="7598"/>
      <c r="X1150" s="7598"/>
      <c r="Y1150" s="7582"/>
      <c r="Z1150" s="7633"/>
      <c r="AA1150" s="7634"/>
      <c r="AB1150" s="7635"/>
      <c r="AC1150" s="7589"/>
    </row>
    <row r="1151" spans="1:29" s="7571" customFormat="1" ht="19.899999999999999" customHeight="1">
      <c r="B1151" s="7590"/>
      <c r="C1151" s="7625"/>
      <c r="D1151" s="7852" t="s">
        <v>143</v>
      </c>
      <c r="E1151" s="7626"/>
      <c r="F1151" s="7573"/>
      <c r="G1151" s="7629"/>
      <c r="H1151" s="7854"/>
      <c r="I1151" s="7855"/>
      <c r="J1151" s="7856"/>
      <c r="K1151" s="7573"/>
      <c r="L1151" s="7627" t="b">
        <f t="shared" si="13"/>
        <v>1</v>
      </c>
      <c r="M1151" s="7630"/>
      <c r="N1151" s="7628" t="b">
        <f t="shared" si="13"/>
        <v>1</v>
      </c>
      <c r="O1151" s="7630"/>
      <c r="P1151" s="7628" t="b">
        <f t="shared" si="14"/>
        <v>1</v>
      </c>
      <c r="Q1151" s="7595"/>
      <c r="R1151" s="7631"/>
      <c r="S1151" s="7632"/>
      <c r="T1151" s="7596"/>
      <c r="U1151" s="7597"/>
      <c r="V1151" s="7582"/>
      <c r="W1151" s="7598"/>
      <c r="X1151" s="7598"/>
      <c r="Y1151" s="7582"/>
      <c r="Z1151" s="7633"/>
      <c r="AA1151" s="7634"/>
      <c r="AB1151" s="7635"/>
      <c r="AC1151" s="7589"/>
    </row>
    <row r="1152" spans="1:29" s="7571" customFormat="1" ht="19.899999999999999" customHeight="1">
      <c r="B1152" s="7590"/>
      <c r="C1152" s="7625"/>
      <c r="D1152" s="7852" t="s">
        <v>146</v>
      </c>
      <c r="E1152" s="7626"/>
      <c r="F1152" s="7573"/>
      <c r="G1152" s="7629"/>
      <c r="H1152" s="7854"/>
      <c r="I1152" s="7855"/>
      <c r="J1152" s="7856"/>
      <c r="K1152" s="7573"/>
      <c r="L1152" s="7627" t="b">
        <f t="shared" si="13"/>
        <v>1</v>
      </c>
      <c r="M1152" s="7630"/>
      <c r="N1152" s="7628" t="b">
        <f t="shared" si="13"/>
        <v>1</v>
      </c>
      <c r="O1152" s="7630"/>
      <c r="P1152" s="7628" t="b">
        <f t="shared" si="14"/>
        <v>1</v>
      </c>
      <c r="Q1152" s="7595"/>
      <c r="R1152" s="7631"/>
      <c r="S1152" s="7632"/>
      <c r="T1152" s="7596"/>
      <c r="U1152" s="7597"/>
      <c r="V1152" s="7582"/>
      <c r="W1152" s="7598"/>
      <c r="X1152" s="7598"/>
      <c r="Y1152" s="7582"/>
      <c r="Z1152" s="7633"/>
      <c r="AA1152" s="7634"/>
      <c r="AB1152" s="7635"/>
      <c r="AC1152" s="7589"/>
    </row>
    <row r="1153" spans="1:31" s="7571" customFormat="1" ht="19.899999999999999" customHeight="1">
      <c r="B1153" s="7590"/>
      <c r="C1153" s="7625"/>
      <c r="D1153" s="7852" t="s">
        <v>149</v>
      </c>
      <c r="E1153" s="7626"/>
      <c r="F1153" s="7573"/>
      <c r="G1153" s="7629"/>
      <c r="H1153" s="7854"/>
      <c r="I1153" s="7855"/>
      <c r="J1153" s="7856"/>
      <c r="K1153" s="7573"/>
      <c r="L1153" s="7627" t="b">
        <f t="shared" si="13"/>
        <v>1</v>
      </c>
      <c r="M1153" s="7630"/>
      <c r="N1153" s="7628" t="b">
        <f t="shared" si="13"/>
        <v>1</v>
      </c>
      <c r="O1153" s="7630"/>
      <c r="P1153" s="7628" t="b">
        <f t="shared" si="14"/>
        <v>1</v>
      </c>
      <c r="Q1153" s="7595"/>
      <c r="R1153" s="7631"/>
      <c r="S1153" s="7632"/>
      <c r="T1153" s="7596"/>
      <c r="U1153" s="7597"/>
      <c r="V1153" s="7582"/>
      <c r="W1153" s="7598"/>
      <c r="X1153" s="7598"/>
      <c r="Y1153" s="7582"/>
      <c r="Z1153" s="7633"/>
      <c r="AA1153" s="7634"/>
      <c r="AB1153" s="7635"/>
      <c r="AC1153" s="7589"/>
    </row>
    <row r="1154" spans="1:31" s="7520" customFormat="1" ht="20.100000000000001" customHeight="1">
      <c r="B1154" s="7521"/>
      <c r="C1154" s="7522" t="s">
        <v>907</v>
      </c>
      <c r="D1154" s="7523"/>
      <c r="E1154" s="7524"/>
      <c r="F1154" s="7525" t="s">
        <v>742</v>
      </c>
      <c r="G1154" s="7526"/>
      <c r="H1154" s="7527" t="s">
        <v>908</v>
      </c>
      <c r="I1154" s="7523"/>
      <c r="J1154" s="7524"/>
      <c r="K1154" s="7525" t="s">
        <v>734</v>
      </c>
      <c r="L1154" s="7528"/>
      <c r="M1154" s="7529"/>
      <c r="N1154" s="7530"/>
      <c r="O1154" s="7531"/>
      <c r="P1154" s="7532"/>
      <c r="Q1154" s="7533"/>
      <c r="R1154" s="7534" t="s">
        <v>155</v>
      </c>
      <c r="S1154" s="7535"/>
      <c r="T1154" s="7536" t="s">
        <v>909</v>
      </c>
      <c r="U1154" s="7537" t="s">
        <v>910</v>
      </c>
      <c r="V1154" s="7538" t="s">
        <v>737</v>
      </c>
      <c r="W1154" s="7539" t="s">
        <v>800</v>
      </c>
      <c r="X1154" s="7539"/>
      <c r="Y1154" s="7540" t="s">
        <v>193</v>
      </c>
      <c r="Z1154" s="7541" t="s">
        <v>911</v>
      </c>
      <c r="AA1154" s="7541" t="s">
        <v>884</v>
      </c>
      <c r="AB1154" s="7542"/>
      <c r="AC1154" s="7543"/>
      <c r="AD1154" s="7520" t="s">
        <v>912</v>
      </c>
      <c r="AE1154" s="7544" t="s">
        <v>913</v>
      </c>
    </row>
    <row r="1155" spans="1:31" s="7520" customFormat="1" ht="19.5" customHeight="1">
      <c r="B1155" s="7521"/>
      <c r="C1155" s="7545" t="s">
        <v>134</v>
      </c>
      <c r="D1155" s="7546"/>
      <c r="E1155" s="7547"/>
      <c r="F1155" s="7525" t="s">
        <v>732</v>
      </c>
      <c r="G1155" s="7548"/>
      <c r="H1155" s="7549" t="s">
        <v>135</v>
      </c>
      <c r="I1155" s="7550"/>
      <c r="J1155" s="7551"/>
      <c r="K1155" s="7552" t="s">
        <v>734</v>
      </c>
      <c r="L1155" s="7553">
        <v>20</v>
      </c>
      <c r="M1155" s="7554" t="s">
        <v>914</v>
      </c>
      <c r="N1155" s="7555">
        <v>89</v>
      </c>
      <c r="O1155" s="7556" t="s">
        <v>914</v>
      </c>
      <c r="P1155" s="7530">
        <v>75</v>
      </c>
      <c r="Q1155" s="7557" t="s">
        <v>914</v>
      </c>
      <c r="R1155" s="7534" t="s">
        <v>155</v>
      </c>
      <c r="S1155" s="7558"/>
      <c r="T1155" s="7536"/>
      <c r="U1155" s="7559"/>
      <c r="V1155" s="7560"/>
      <c r="W1155" s="7561"/>
      <c r="X1155" s="7539"/>
      <c r="Y1155" s="7540" t="s">
        <v>193</v>
      </c>
      <c r="Z1155" s="7562"/>
      <c r="AA1155" s="7562"/>
      <c r="AB1155" s="7563"/>
      <c r="AC1155" s="7543"/>
    </row>
    <row r="1156" spans="1:31" s="7520" customFormat="1" ht="20.100000000000001" customHeight="1">
      <c r="B1156" s="7521"/>
      <c r="C1156" s="7545" t="s">
        <v>137</v>
      </c>
      <c r="D1156" s="7546"/>
      <c r="E1156" s="7547"/>
      <c r="F1156" s="7525" t="s">
        <v>732</v>
      </c>
      <c r="G1156" s="7548"/>
      <c r="H1156" s="7564" t="s">
        <v>138</v>
      </c>
      <c r="I1156" s="7565"/>
      <c r="J1156" s="7566"/>
      <c r="K1156" s="7552" t="s">
        <v>734</v>
      </c>
      <c r="L1156" s="7553"/>
      <c r="M1156" s="7554"/>
      <c r="N1156" s="7555"/>
      <c r="O1156" s="7556"/>
      <c r="P1156" s="7567"/>
      <c r="Q1156" s="7557"/>
      <c r="R1156" s="7534" t="s">
        <v>155</v>
      </c>
      <c r="S1156" s="7558"/>
      <c r="T1156" s="7536"/>
      <c r="U1156" s="7559"/>
      <c r="V1156" s="7560"/>
      <c r="W1156" s="7561"/>
      <c r="X1156" s="7539"/>
      <c r="Y1156" s="7540" t="s">
        <v>193</v>
      </c>
      <c r="Z1156" s="7562"/>
      <c r="AA1156" s="7562"/>
      <c r="AB1156" s="7563"/>
      <c r="AC1156" s="7543"/>
    </row>
    <row r="1157" spans="1:31" s="7520" customFormat="1" ht="20.100000000000001" customHeight="1">
      <c r="B1157" s="7521"/>
      <c r="C1157" s="7545" t="s">
        <v>140</v>
      </c>
      <c r="D1157" s="7546"/>
      <c r="E1157" s="7547"/>
      <c r="F1157" s="7525" t="s">
        <v>732</v>
      </c>
      <c r="G1157" s="7548"/>
      <c r="H1157" s="7564" t="s">
        <v>141</v>
      </c>
      <c r="I1157" s="7565"/>
      <c r="J1157" s="7566"/>
      <c r="K1157" s="7552" t="s">
        <v>734</v>
      </c>
      <c r="L1157" s="7553">
        <v>0</v>
      </c>
      <c r="M1157" s="7554"/>
      <c r="N1157" s="7555">
        <v>0</v>
      </c>
      <c r="O1157" s="7554"/>
      <c r="P1157" s="7568">
        <v>0</v>
      </c>
      <c r="Q1157" s="7569"/>
      <c r="R1157" s="7534" t="s">
        <v>2053</v>
      </c>
      <c r="S1157" s="7570"/>
      <c r="T1157" s="7536"/>
      <c r="U1157" s="7559"/>
      <c r="V1157" s="7560"/>
      <c r="W1157" s="7561"/>
      <c r="X1157" s="7539"/>
      <c r="Y1157" s="7540" t="s">
        <v>193</v>
      </c>
      <c r="Z1157" s="7562"/>
      <c r="AA1157" s="7562"/>
      <c r="AB1157" s="7563"/>
      <c r="AC1157" s="7543"/>
      <c r="AE1157" s="7544" t="s">
        <v>913</v>
      </c>
    </row>
    <row r="1158" spans="1:31" s="7520" customFormat="1" ht="20.100000000000001" customHeight="1">
      <c r="B1158" s="7521"/>
      <c r="C1158" s="7545" t="s">
        <v>143</v>
      </c>
      <c r="D1158" s="7546"/>
      <c r="E1158" s="7547"/>
      <c r="F1158" s="7525" t="s">
        <v>732</v>
      </c>
      <c r="G1158" s="7548"/>
      <c r="H1158" s="7564" t="s">
        <v>144</v>
      </c>
      <c r="I1158" s="7565"/>
      <c r="J1158" s="7566"/>
      <c r="K1158" s="7552" t="s">
        <v>734</v>
      </c>
      <c r="L1158" s="7553"/>
      <c r="M1158" s="7554"/>
      <c r="N1158" s="7555"/>
      <c r="O1158" s="7556"/>
      <c r="P1158" s="7567"/>
      <c r="Q1158" s="7557"/>
      <c r="R1158" s="7534" t="s">
        <v>155</v>
      </c>
      <c r="S1158" s="7558"/>
      <c r="T1158" s="7536"/>
      <c r="U1158" s="7559"/>
      <c r="V1158" s="7560"/>
      <c r="W1158" s="7561"/>
      <c r="X1158" s="7539"/>
      <c r="Y1158" s="7540" t="s">
        <v>193</v>
      </c>
      <c r="Z1158" s="7562"/>
      <c r="AA1158" s="7562"/>
      <c r="AB1158" s="7563"/>
      <c r="AC1158" s="7543"/>
      <c r="AE1158" s="7544" t="s">
        <v>913</v>
      </c>
    </row>
    <row r="1159" spans="1:31" s="7520" customFormat="1" ht="20.100000000000001" customHeight="1">
      <c r="B1159" s="7521"/>
      <c r="C1159" s="7545" t="s">
        <v>146</v>
      </c>
      <c r="D1159" s="7546"/>
      <c r="E1159" s="7547"/>
      <c r="F1159" s="7525" t="s">
        <v>732</v>
      </c>
      <c r="G1159" s="7548"/>
      <c r="H1159" s="7564" t="s">
        <v>147</v>
      </c>
      <c r="I1159" s="7565"/>
      <c r="J1159" s="7566"/>
      <c r="K1159" s="7552" t="s">
        <v>734</v>
      </c>
      <c r="L1159" s="7553"/>
      <c r="M1159" s="7554"/>
      <c r="N1159" s="7555"/>
      <c r="O1159" s="7556"/>
      <c r="P1159" s="7567"/>
      <c r="Q1159" s="7557"/>
      <c r="R1159" s="7534" t="s">
        <v>155</v>
      </c>
      <c r="S1159" s="7558"/>
      <c r="T1159" s="7536"/>
      <c r="U1159" s="7559"/>
      <c r="V1159" s="7560"/>
      <c r="W1159" s="7561"/>
      <c r="X1159" s="7539"/>
      <c r="Y1159" s="7540" t="s">
        <v>193</v>
      </c>
      <c r="Z1159" s="7562"/>
      <c r="AA1159" s="7562"/>
      <c r="AB1159" s="7563"/>
      <c r="AC1159" s="7543"/>
      <c r="AE1159" s="7544" t="s">
        <v>913</v>
      </c>
    </row>
    <row r="1160" spans="1:31" s="7520" customFormat="1" ht="20.100000000000001" customHeight="1" thickBot="1">
      <c r="B1160" s="7521"/>
      <c r="C1160" s="7545" t="s">
        <v>149</v>
      </c>
      <c r="D1160" s="7546"/>
      <c r="E1160" s="7547"/>
      <c r="F1160" s="7525" t="s">
        <v>732</v>
      </c>
      <c r="G1160" s="7548"/>
      <c r="H1160" s="7564" t="s">
        <v>150</v>
      </c>
      <c r="I1160" s="7565"/>
      <c r="J1160" s="7566"/>
      <c r="K1160" s="7552" t="s">
        <v>734</v>
      </c>
      <c r="L1160" s="7553"/>
      <c r="M1160" s="7554"/>
      <c r="N1160" s="7555"/>
      <c r="O1160" s="7554"/>
      <c r="P1160" s="7555"/>
      <c r="Q1160" s="7557"/>
      <c r="R1160" s="7534" t="s">
        <v>155</v>
      </c>
      <c r="S1160" s="7558"/>
      <c r="T1160" s="7536"/>
      <c r="U1160" s="7559"/>
      <c r="V1160" s="7560"/>
      <c r="W1160" s="7561"/>
      <c r="X1160" s="7539"/>
      <c r="Y1160" s="7540" t="s">
        <v>193</v>
      </c>
      <c r="Z1160" s="7562"/>
      <c r="AA1160" s="7562"/>
      <c r="AB1160" s="7563"/>
      <c r="AC1160" s="7543"/>
      <c r="AE1160" s="7544" t="s">
        <v>913</v>
      </c>
    </row>
    <row r="1161" spans="1:31" ht="27" thickBot="1">
      <c r="A1161" s="11"/>
      <c r="B1161" s="123" t="s">
        <v>1910</v>
      </c>
      <c r="C1161" s="124"/>
      <c r="D1161" s="124"/>
      <c r="E1161" s="124"/>
      <c r="F1161" s="78"/>
      <c r="G1161" s="125" t="s">
        <v>730</v>
      </c>
      <c r="H1161" s="126"/>
      <c r="I1161" s="126"/>
      <c r="J1161" s="126"/>
      <c r="K1161" s="78"/>
      <c r="L1161" s="7158"/>
      <c r="M1161" s="7159"/>
      <c r="N1161" s="7159"/>
      <c r="O1161" s="7159"/>
      <c r="P1161" s="7159"/>
      <c r="Q1161" s="5600"/>
      <c r="R1161" s="5600"/>
      <c r="S1161" s="5600"/>
      <c r="T1161" s="80"/>
      <c r="U1161" s="80"/>
      <c r="V1161" s="129"/>
      <c r="W1161" s="129"/>
      <c r="X1161" s="129"/>
      <c r="Y1161" s="6023"/>
      <c r="Z1161" s="328"/>
      <c r="AA1161" s="328"/>
      <c r="AB1161" s="329"/>
    </row>
    <row r="1162" spans="1:31" ht="20.100000000000001" customHeight="1">
      <c r="A1162" s="11"/>
      <c r="B1162" s="1360"/>
      <c r="C1162" s="7151" t="s">
        <v>915</v>
      </c>
      <c r="D1162" s="5607"/>
      <c r="E1162" s="5943"/>
      <c r="F1162" s="6683" t="s">
        <v>742</v>
      </c>
      <c r="G1162" s="7034"/>
      <c r="H1162" s="5606" t="s">
        <v>916</v>
      </c>
      <c r="I1162" s="7155"/>
      <c r="J1162" s="7156"/>
      <c r="K1162" s="7006" t="s">
        <v>734</v>
      </c>
      <c r="L1162" s="7111">
        <f>IF(COUNTBLANK(L1163:L1168)&gt;0,"미취합법인有",SUM(L1163:L1168))</f>
        <v>5826</v>
      </c>
      <c r="M1162" s="7279"/>
      <c r="N1162" s="7115">
        <f>IF(COUNTBLANK(N1163:N1168)&gt;0,"미취합법인有",SUM(N1163:N1168))</f>
        <v>8408</v>
      </c>
      <c r="O1162" s="7385"/>
      <c r="P1162" s="7121">
        <f>IF(COUNTBLANK(P1163:P1168)&gt;0,"미취합법인有",SUM(P1163:P1168))</f>
        <v>9159</v>
      </c>
      <c r="Q1162" s="7029"/>
      <c r="R1162" s="7010" t="s">
        <v>31</v>
      </c>
      <c r="S1162" s="7007"/>
      <c r="T1162" s="7020" t="s">
        <v>917</v>
      </c>
      <c r="U1162" s="457" t="s">
        <v>918</v>
      </c>
      <c r="V1162" s="99" t="s">
        <v>737</v>
      </c>
      <c r="W1162" s="547" t="s">
        <v>800</v>
      </c>
      <c r="X1162" s="547"/>
      <c r="Y1162" s="99"/>
      <c r="Z1162" s="620" t="s">
        <v>919</v>
      </c>
      <c r="AA1162" s="620" t="s">
        <v>884</v>
      </c>
      <c r="AB1162" s="159"/>
    </row>
    <row r="1163" spans="1:31" ht="20.100000000000001" customHeight="1">
      <c r="A1163" s="11"/>
      <c r="B1163" s="1360"/>
      <c r="C1163" s="6693" t="s">
        <v>134</v>
      </c>
      <c r="D1163" s="161"/>
      <c r="E1163" s="614"/>
      <c r="F1163" s="492" t="s">
        <v>732</v>
      </c>
      <c r="G1163" s="666"/>
      <c r="H1163" s="7860" t="s">
        <v>135</v>
      </c>
      <c r="I1163" s="7866"/>
      <c r="J1163" s="7861"/>
      <c r="K1163" s="132" t="s">
        <v>734</v>
      </c>
      <c r="L1163" s="7113">
        <v>3241</v>
      </c>
      <c r="M1163" s="7295"/>
      <c r="N1163" s="7148">
        <v>5079</v>
      </c>
      <c r="O1163" s="7295"/>
      <c r="P1163" s="7148">
        <v>5855</v>
      </c>
      <c r="Q1163" s="7245"/>
      <c r="R1163" s="6659" t="s">
        <v>31</v>
      </c>
      <c r="S1163" s="6561"/>
      <c r="T1163" s="2468"/>
      <c r="U1163" s="544"/>
      <c r="V1163" s="545"/>
      <c r="W1163" s="546"/>
      <c r="X1163" s="547"/>
      <c r="Y1163" s="548"/>
      <c r="Z1163" s="277"/>
      <c r="AA1163" s="277"/>
      <c r="AB1163" s="187"/>
    </row>
    <row r="1164" spans="1:31" ht="20.100000000000001" customHeight="1">
      <c r="A1164" s="11"/>
      <c r="B1164" s="1360"/>
      <c r="C1164" s="6693" t="s">
        <v>137</v>
      </c>
      <c r="D1164" s="161"/>
      <c r="E1164" s="614"/>
      <c r="F1164" s="492" t="s">
        <v>732</v>
      </c>
      <c r="G1164" s="666"/>
      <c r="H1164" s="6133" t="s">
        <v>138</v>
      </c>
      <c r="I1164" s="6135"/>
      <c r="J1164" s="6134"/>
      <c r="K1164" s="132" t="s">
        <v>734</v>
      </c>
      <c r="L1164" s="7113">
        <v>71</v>
      </c>
      <c r="M1164" s="7295"/>
      <c r="N1164" s="7148">
        <v>44</v>
      </c>
      <c r="O1164" s="7295"/>
      <c r="P1164" s="7148">
        <v>47</v>
      </c>
      <c r="Q1164" s="7245"/>
      <c r="R1164" s="6659" t="s">
        <v>31</v>
      </c>
      <c r="S1164" s="6561"/>
      <c r="T1164" s="2468"/>
      <c r="U1164" s="544"/>
      <c r="V1164" s="545"/>
      <c r="W1164" s="546"/>
      <c r="X1164" s="547"/>
      <c r="Y1164" s="548"/>
      <c r="Z1164" s="277"/>
      <c r="AA1164" s="277"/>
      <c r="AB1164" s="187"/>
    </row>
    <row r="1165" spans="1:31" ht="20.100000000000001" customHeight="1">
      <c r="A1165" s="11"/>
      <c r="B1165" s="1360"/>
      <c r="C1165" s="6693" t="s">
        <v>140</v>
      </c>
      <c r="D1165" s="161"/>
      <c r="E1165" s="614"/>
      <c r="F1165" s="492" t="s">
        <v>732</v>
      </c>
      <c r="G1165" s="666"/>
      <c r="H1165" s="6133" t="s">
        <v>141</v>
      </c>
      <c r="I1165" s="6135"/>
      <c r="J1165" s="6134"/>
      <c r="K1165" s="132" t="s">
        <v>734</v>
      </c>
      <c r="L1165" s="7113">
        <v>437</v>
      </c>
      <c r="M1165" s="7295"/>
      <c r="N1165" s="7148">
        <v>231</v>
      </c>
      <c r="O1165" s="7295"/>
      <c r="P1165" s="7148">
        <v>245</v>
      </c>
      <c r="Q1165" s="7245"/>
      <c r="R1165" s="6659" t="s">
        <v>31</v>
      </c>
      <c r="S1165" s="6561"/>
      <c r="T1165" s="2468"/>
      <c r="U1165" s="544"/>
      <c r="V1165" s="545"/>
      <c r="W1165" s="546"/>
      <c r="X1165" s="547"/>
      <c r="Y1165" s="548"/>
      <c r="Z1165" s="277"/>
      <c r="AA1165" s="277"/>
      <c r="AB1165" s="187"/>
    </row>
    <row r="1166" spans="1:31" ht="20.100000000000001" customHeight="1">
      <c r="A1166" s="11"/>
      <c r="B1166" s="1360"/>
      <c r="C1166" s="6693" t="s">
        <v>143</v>
      </c>
      <c r="D1166" s="161"/>
      <c r="E1166" s="614"/>
      <c r="F1166" s="492" t="s">
        <v>732</v>
      </c>
      <c r="G1166" s="666"/>
      <c r="H1166" s="6133" t="s">
        <v>144</v>
      </c>
      <c r="I1166" s="6135"/>
      <c r="J1166" s="6134"/>
      <c r="K1166" s="132" t="s">
        <v>734</v>
      </c>
      <c r="L1166" s="7113">
        <v>1241</v>
      </c>
      <c r="M1166" s="7295"/>
      <c r="N1166" s="7148">
        <v>2122</v>
      </c>
      <c r="O1166" s="7295"/>
      <c r="P1166" s="7148">
        <v>2050</v>
      </c>
      <c r="Q1166" s="7245"/>
      <c r="R1166" s="6659" t="s">
        <v>31</v>
      </c>
      <c r="S1166" s="6561"/>
      <c r="T1166" s="2468"/>
      <c r="U1166" s="544"/>
      <c r="V1166" s="545"/>
      <c r="W1166" s="546"/>
      <c r="X1166" s="547"/>
      <c r="Y1166" s="548"/>
      <c r="Z1166" s="277"/>
      <c r="AA1166" s="277"/>
      <c r="AB1166" s="187"/>
    </row>
    <row r="1167" spans="1:31" ht="20.100000000000001" customHeight="1">
      <c r="A1167" s="11"/>
      <c r="B1167" s="1360"/>
      <c r="C1167" s="6693" t="s">
        <v>146</v>
      </c>
      <c r="D1167" s="161"/>
      <c r="E1167" s="614"/>
      <c r="F1167" s="492" t="s">
        <v>732</v>
      </c>
      <c r="G1167" s="666"/>
      <c r="H1167" s="6133" t="s">
        <v>147</v>
      </c>
      <c r="I1167" s="6135"/>
      <c r="J1167" s="6134"/>
      <c r="K1167" s="132" t="s">
        <v>734</v>
      </c>
      <c r="L1167" s="7113">
        <v>103</v>
      </c>
      <c r="M1167" s="7295"/>
      <c r="N1167" s="7148">
        <v>74</v>
      </c>
      <c r="O1167" s="7295"/>
      <c r="P1167" s="7148">
        <v>75</v>
      </c>
      <c r="Q1167" s="7245"/>
      <c r="R1167" s="6659" t="s">
        <v>31</v>
      </c>
      <c r="S1167" s="6561"/>
      <c r="T1167" s="2468"/>
      <c r="U1167" s="544"/>
      <c r="V1167" s="545"/>
      <c r="W1167" s="546"/>
      <c r="X1167" s="547"/>
      <c r="Y1167" s="548"/>
      <c r="Z1167" s="277"/>
      <c r="AA1167" s="277"/>
      <c r="AB1167" s="187"/>
    </row>
    <row r="1168" spans="1:31" ht="20.100000000000001" customHeight="1">
      <c r="A1168" s="11"/>
      <c r="B1168" s="1360"/>
      <c r="C1168" s="6693" t="s">
        <v>149</v>
      </c>
      <c r="D1168" s="161"/>
      <c r="E1168" s="614"/>
      <c r="F1168" s="492" t="s">
        <v>732</v>
      </c>
      <c r="G1168" s="746"/>
      <c r="H1168" s="6133" t="s">
        <v>150</v>
      </c>
      <c r="I1168" s="6135"/>
      <c r="J1168" s="6134"/>
      <c r="K1168" s="132" t="s">
        <v>734</v>
      </c>
      <c r="L1168" s="7113">
        <v>733</v>
      </c>
      <c r="M1168" s="7295"/>
      <c r="N1168" s="7148">
        <v>858</v>
      </c>
      <c r="O1168" s="7295"/>
      <c r="P1168" s="7148">
        <v>887</v>
      </c>
      <c r="Q1168" s="7245"/>
      <c r="R1168" s="6659" t="s">
        <v>31</v>
      </c>
      <c r="S1168" s="6561"/>
      <c r="T1168" s="2468"/>
      <c r="U1168" s="544"/>
      <c r="V1168" s="545"/>
      <c r="W1168" s="546"/>
      <c r="X1168" s="547"/>
      <c r="Y1168" s="548"/>
      <c r="Z1168" s="277"/>
      <c r="AA1168" s="277"/>
      <c r="AB1168" s="187"/>
    </row>
    <row r="1169" spans="1:29" ht="20.100000000000001" customHeight="1">
      <c r="A1169" s="11"/>
      <c r="B1169" s="1360"/>
      <c r="C1169" s="1375"/>
      <c r="D1169" s="5608" t="s">
        <v>920</v>
      </c>
      <c r="E1169" s="6155"/>
      <c r="F1169" s="6683" t="s">
        <v>742</v>
      </c>
      <c r="G1169" s="7025"/>
      <c r="H1169" s="7033"/>
      <c r="I1169" s="5608" t="s">
        <v>921</v>
      </c>
      <c r="J1169" s="6155"/>
      <c r="K1169" s="7006" t="s">
        <v>734</v>
      </c>
      <c r="L1169" s="7111">
        <f>IF(COUNTBLANK(L1170:L1175)&gt;0,"미취합법인有",SUM(L1170:L1175))</f>
        <v>3924</v>
      </c>
      <c r="M1169" s="7279"/>
      <c r="N1169" s="7115">
        <f>IF(COUNTBLANK(N1170:N1175)&gt;0,"미취합법인有",SUM(N1170:N1175))</f>
        <v>6677</v>
      </c>
      <c r="O1169" s="7385"/>
      <c r="P1169" s="7121">
        <f>IF(COUNTBLANK(P1170:P1175)&gt;0,"미취합법인有",SUM(P1170:P1175))</f>
        <v>7312</v>
      </c>
      <c r="Q1169" s="7029"/>
      <c r="R1169" s="7010" t="s">
        <v>31</v>
      </c>
      <c r="S1169" s="7007"/>
      <c r="T1169" s="7020"/>
      <c r="U1169" s="457"/>
      <c r="V1169" s="99" t="s">
        <v>737</v>
      </c>
      <c r="W1169" s="547" t="s">
        <v>800</v>
      </c>
      <c r="X1169" s="547"/>
      <c r="Y1169" s="99"/>
      <c r="Z1169" s="620" t="s">
        <v>922</v>
      </c>
      <c r="AA1169" s="620" t="s">
        <v>884</v>
      </c>
      <c r="AB1169" s="159"/>
    </row>
    <row r="1170" spans="1:29" ht="20.100000000000001" customHeight="1">
      <c r="A1170" s="11"/>
      <c r="B1170" s="1360"/>
      <c r="C1170" s="5598"/>
      <c r="D1170" s="357" t="s">
        <v>134</v>
      </c>
      <c r="E1170" s="1362"/>
      <c r="F1170" s="492" t="s">
        <v>732</v>
      </c>
      <c r="G1170" s="666"/>
      <c r="H1170" s="684"/>
      <c r="I1170" s="6133" t="s">
        <v>135</v>
      </c>
      <c r="J1170" s="6134"/>
      <c r="K1170" s="132" t="s">
        <v>734</v>
      </c>
      <c r="L1170" s="7113">
        <v>1683</v>
      </c>
      <c r="M1170" s="7288" t="s">
        <v>746</v>
      </c>
      <c r="N1170" s="7118">
        <v>3659</v>
      </c>
      <c r="O1170" s="7393" t="s">
        <v>747</v>
      </c>
      <c r="P1170" s="7150">
        <v>4274</v>
      </c>
      <c r="Q1170" s="7311" t="s">
        <v>746</v>
      </c>
      <c r="R1170" s="6659" t="s">
        <v>31</v>
      </c>
      <c r="S1170" s="6572"/>
      <c r="T1170" s="2468"/>
      <c r="U1170" s="544"/>
      <c r="V1170" s="545"/>
      <c r="W1170" s="546"/>
      <c r="X1170" s="547"/>
      <c r="Y1170" s="548"/>
      <c r="Z1170" s="277"/>
      <c r="AA1170" s="277"/>
      <c r="AB1170" s="187"/>
    </row>
    <row r="1171" spans="1:29" ht="20.100000000000001" customHeight="1">
      <c r="A1171" s="11"/>
      <c r="B1171" s="1360"/>
      <c r="C1171" s="5598"/>
      <c r="D1171" s="357" t="s">
        <v>137</v>
      </c>
      <c r="E1171" s="1362"/>
      <c r="F1171" s="492" t="s">
        <v>732</v>
      </c>
      <c r="G1171" s="666"/>
      <c r="H1171" s="684"/>
      <c r="I1171" s="6133" t="s">
        <v>138</v>
      </c>
      <c r="J1171" s="6134"/>
      <c r="K1171" s="132" t="s">
        <v>734</v>
      </c>
      <c r="L1171" s="7113">
        <v>49</v>
      </c>
      <c r="M1171" s="7288"/>
      <c r="N1171" s="7137">
        <v>35</v>
      </c>
      <c r="O1171" s="7288"/>
      <c r="P1171" s="7137">
        <v>35</v>
      </c>
      <c r="Q1171" s="7311"/>
      <c r="R1171" s="6659" t="s">
        <v>31</v>
      </c>
      <c r="S1171" s="6572"/>
      <c r="T1171" s="2468"/>
      <c r="U1171" s="544"/>
      <c r="V1171" s="545"/>
      <c r="W1171" s="546"/>
      <c r="X1171" s="547"/>
      <c r="Y1171" s="548"/>
      <c r="Z1171" s="277"/>
      <c r="AA1171" s="277"/>
      <c r="AB1171" s="187"/>
    </row>
    <row r="1172" spans="1:29" ht="20.100000000000001" customHeight="1">
      <c r="A1172" s="11"/>
      <c r="B1172" s="1360"/>
      <c r="C1172" s="5598"/>
      <c r="D1172" s="357" t="s">
        <v>140</v>
      </c>
      <c r="E1172" s="1362"/>
      <c r="F1172" s="492" t="s">
        <v>732</v>
      </c>
      <c r="G1172" s="666"/>
      <c r="H1172" s="684"/>
      <c r="I1172" s="267" t="s">
        <v>141</v>
      </c>
      <c r="J1172" s="268"/>
      <c r="K1172" s="132" t="s">
        <v>734</v>
      </c>
      <c r="L1172" s="7113">
        <v>202</v>
      </c>
      <c r="M1172" s="7288" t="s">
        <v>748</v>
      </c>
      <c r="N1172" s="7118">
        <v>84</v>
      </c>
      <c r="O1172" s="7393" t="s">
        <v>748</v>
      </c>
      <c r="P1172" s="7157">
        <v>97</v>
      </c>
      <c r="Q1172" s="7311" t="s">
        <v>748</v>
      </c>
      <c r="R1172" s="6659" t="s">
        <v>31</v>
      </c>
      <c r="S1172" s="6572"/>
      <c r="T1172" s="2468"/>
      <c r="U1172" s="544"/>
      <c r="V1172" s="545"/>
      <c r="W1172" s="546"/>
      <c r="X1172" s="547"/>
      <c r="Y1172" s="548"/>
      <c r="Z1172" s="277"/>
      <c r="AA1172" s="277"/>
      <c r="AB1172" s="187"/>
    </row>
    <row r="1173" spans="1:29" ht="20.100000000000001" customHeight="1">
      <c r="A1173" s="11"/>
      <c r="B1173" s="1360"/>
      <c r="C1173" s="5598"/>
      <c r="D1173" s="357" t="s">
        <v>143</v>
      </c>
      <c r="E1173" s="1362"/>
      <c r="F1173" s="492" t="s">
        <v>732</v>
      </c>
      <c r="G1173" s="666"/>
      <c r="H1173" s="684"/>
      <c r="I1173" s="267" t="s">
        <v>144</v>
      </c>
      <c r="J1173" s="268"/>
      <c r="K1173" s="132" t="s">
        <v>734</v>
      </c>
      <c r="L1173" s="7113">
        <v>1212</v>
      </c>
      <c r="M1173" s="7288" t="s">
        <v>801</v>
      </c>
      <c r="N1173" s="7118">
        <v>2112</v>
      </c>
      <c r="O1173" s="7393" t="s">
        <v>801</v>
      </c>
      <c r="P1173" s="7157">
        <v>2038</v>
      </c>
      <c r="Q1173" s="7311"/>
      <c r="R1173" s="6659" t="s">
        <v>31</v>
      </c>
      <c r="S1173" s="6572"/>
      <c r="T1173" s="2468"/>
      <c r="U1173" s="544"/>
      <c r="V1173" s="545"/>
      <c r="W1173" s="546"/>
      <c r="X1173" s="547"/>
      <c r="Y1173" s="548"/>
      <c r="Z1173" s="277"/>
      <c r="AA1173" s="277"/>
      <c r="AB1173" s="187"/>
    </row>
    <row r="1174" spans="1:29" ht="20.100000000000001" customHeight="1">
      <c r="A1174" s="11"/>
      <c r="B1174" s="1360"/>
      <c r="C1174" s="5598"/>
      <c r="D1174" s="357" t="s">
        <v>146</v>
      </c>
      <c r="E1174" s="1362"/>
      <c r="F1174" s="492" t="s">
        <v>732</v>
      </c>
      <c r="G1174" s="666"/>
      <c r="H1174" s="684"/>
      <c r="I1174" s="267" t="s">
        <v>147</v>
      </c>
      <c r="J1174" s="268"/>
      <c r="K1174" s="132" t="s">
        <v>734</v>
      </c>
      <c r="L1174" s="7113">
        <v>103</v>
      </c>
      <c r="M1174" s="7288" t="s">
        <v>751</v>
      </c>
      <c r="N1174" s="7118">
        <v>74</v>
      </c>
      <c r="O1174" s="7393" t="s">
        <v>751</v>
      </c>
      <c r="P1174" s="7157">
        <v>75</v>
      </c>
      <c r="Q1174" s="7311"/>
      <c r="R1174" s="6659" t="s">
        <v>31</v>
      </c>
      <c r="S1174" s="6572"/>
      <c r="T1174" s="2468"/>
      <c r="U1174" s="544"/>
      <c r="V1174" s="545"/>
      <c r="W1174" s="546"/>
      <c r="X1174" s="547"/>
      <c r="Y1174" s="548"/>
      <c r="Z1174" s="277"/>
      <c r="AA1174" s="277"/>
      <c r="AB1174" s="187"/>
    </row>
    <row r="1175" spans="1:29" ht="20.100000000000001" customHeight="1">
      <c r="A1175" s="11"/>
      <c r="B1175" s="1360"/>
      <c r="C1175" s="5598"/>
      <c r="D1175" s="357" t="s">
        <v>149</v>
      </c>
      <c r="E1175" s="1362"/>
      <c r="F1175" s="492" t="s">
        <v>732</v>
      </c>
      <c r="G1175" s="666"/>
      <c r="H1175" s="684"/>
      <c r="I1175" s="267" t="s">
        <v>150</v>
      </c>
      <c r="J1175" s="268"/>
      <c r="K1175" s="132" t="s">
        <v>734</v>
      </c>
      <c r="L1175" s="7113">
        <v>675</v>
      </c>
      <c r="M1175" s="7288"/>
      <c r="N1175" s="7118">
        <v>713</v>
      </c>
      <c r="O1175" s="7393"/>
      <c r="P1175" s="7157">
        <v>793</v>
      </c>
      <c r="Q1175" s="7311"/>
      <c r="R1175" s="6659" t="s">
        <v>31</v>
      </c>
      <c r="S1175" s="6572"/>
      <c r="T1175" s="2468"/>
      <c r="U1175" s="544"/>
      <c r="V1175" s="545"/>
      <c r="W1175" s="546"/>
      <c r="X1175" s="547"/>
      <c r="Y1175" s="548"/>
      <c r="Z1175" s="277"/>
      <c r="AA1175" s="277"/>
      <c r="AB1175" s="187"/>
    </row>
    <row r="1176" spans="1:29" ht="20.100000000000001" customHeight="1">
      <c r="A1176" s="11"/>
      <c r="B1176" s="1360"/>
      <c r="C1176" s="1375"/>
      <c r="D1176" s="5608" t="s">
        <v>923</v>
      </c>
      <c r="E1176" s="6155"/>
      <c r="F1176" s="6683" t="s">
        <v>742</v>
      </c>
      <c r="G1176" s="7025"/>
      <c r="H1176" s="7033"/>
      <c r="I1176" s="5608" t="s">
        <v>924</v>
      </c>
      <c r="J1176" s="6155"/>
      <c r="K1176" s="7006" t="s">
        <v>734</v>
      </c>
      <c r="L1176" s="7111">
        <f>IF(COUNTBLANK(L1177:L1182)&gt;0,"미취합법인有",SUM(L1177:L1182))</f>
        <v>1902</v>
      </c>
      <c r="M1176" s="7279"/>
      <c r="N1176" s="7115">
        <f>IF(COUNTBLANK(N1177:N1182)&gt;0,"미취합법인有",SUM(N1177:N1182))</f>
        <v>1731</v>
      </c>
      <c r="O1176" s="7293"/>
      <c r="P1176" s="7121">
        <f>IF(COUNTBLANK(P1177:P1182)&gt;0,"미취합법인有",SUM(P1177:P1182))</f>
        <v>1847</v>
      </c>
      <c r="Q1176" s="7029"/>
      <c r="R1176" s="7010" t="s">
        <v>31</v>
      </c>
      <c r="S1176" s="7007"/>
      <c r="T1176" s="7020"/>
      <c r="U1176" s="457"/>
      <c r="V1176" s="99" t="s">
        <v>737</v>
      </c>
      <c r="W1176" s="547" t="s">
        <v>800</v>
      </c>
      <c r="X1176" s="547"/>
      <c r="Y1176" s="99"/>
      <c r="Z1176" s="620" t="s">
        <v>919</v>
      </c>
      <c r="AA1176" s="620" t="s">
        <v>884</v>
      </c>
      <c r="AB1176" s="159"/>
    </row>
    <row r="1177" spans="1:29" ht="20.100000000000001" customHeight="1">
      <c r="A1177" s="11"/>
      <c r="B1177" s="1360"/>
      <c r="C1177" s="5598"/>
      <c r="D1177" s="357" t="s">
        <v>134</v>
      </c>
      <c r="E1177" s="1362"/>
      <c r="F1177" s="492" t="s">
        <v>732</v>
      </c>
      <c r="G1177" s="666"/>
      <c r="H1177" s="684"/>
      <c r="I1177" s="6133" t="s">
        <v>135</v>
      </c>
      <c r="J1177" s="6134"/>
      <c r="K1177" s="132" t="s">
        <v>734</v>
      </c>
      <c r="L1177" s="7113">
        <v>1558</v>
      </c>
      <c r="M1177" s="7288" t="s">
        <v>746</v>
      </c>
      <c r="N1177" s="7118">
        <v>1420</v>
      </c>
      <c r="O1177" s="7393" t="s">
        <v>747</v>
      </c>
      <c r="P1177" s="7150">
        <v>1581</v>
      </c>
      <c r="Q1177" s="7311" t="s">
        <v>746</v>
      </c>
      <c r="R1177" s="6659" t="s">
        <v>31</v>
      </c>
      <c r="S1177" s="6572"/>
      <c r="T1177" s="2468"/>
      <c r="U1177" s="544"/>
      <c r="V1177" s="545"/>
      <c r="W1177" s="546"/>
      <c r="X1177" s="547"/>
      <c r="Y1177" s="548"/>
      <c r="Z1177" s="277"/>
      <c r="AA1177" s="277"/>
      <c r="AB1177" s="187"/>
    </row>
    <row r="1178" spans="1:29" ht="20.100000000000001" customHeight="1">
      <c r="A1178" s="11"/>
      <c r="B1178" s="1360"/>
      <c r="C1178" s="5598"/>
      <c r="D1178" s="357" t="s">
        <v>137</v>
      </c>
      <c r="E1178" s="1362"/>
      <c r="F1178" s="492" t="s">
        <v>732</v>
      </c>
      <c r="G1178" s="666"/>
      <c r="H1178" s="684"/>
      <c r="I1178" s="6133" t="s">
        <v>138</v>
      </c>
      <c r="J1178" s="6134"/>
      <c r="K1178" s="132" t="s">
        <v>734</v>
      </c>
      <c r="L1178" s="7113">
        <v>22</v>
      </c>
      <c r="M1178" s="7288"/>
      <c r="N1178" s="7118">
        <v>9</v>
      </c>
      <c r="O1178" s="7393"/>
      <c r="P1178" s="7157">
        <v>12</v>
      </c>
      <c r="Q1178" s="7311"/>
      <c r="R1178" s="6659" t="s">
        <v>31</v>
      </c>
      <c r="S1178" s="6572"/>
      <c r="T1178" s="2468"/>
      <c r="U1178" s="544"/>
      <c r="V1178" s="545"/>
      <c r="W1178" s="546"/>
      <c r="X1178" s="547"/>
      <c r="Y1178" s="548"/>
      <c r="Z1178" s="277"/>
      <c r="AA1178" s="277"/>
      <c r="AB1178" s="187"/>
    </row>
    <row r="1179" spans="1:29" ht="20.100000000000001" customHeight="1">
      <c r="A1179" s="11"/>
      <c r="B1179" s="1360"/>
      <c r="C1179" s="5598"/>
      <c r="D1179" s="357" t="s">
        <v>140</v>
      </c>
      <c r="E1179" s="1362"/>
      <c r="F1179" s="492" t="s">
        <v>732</v>
      </c>
      <c r="G1179" s="666"/>
      <c r="H1179" s="684"/>
      <c r="I1179" s="267" t="s">
        <v>141</v>
      </c>
      <c r="J1179" s="268"/>
      <c r="K1179" s="132" t="s">
        <v>734</v>
      </c>
      <c r="L1179" s="7113">
        <v>235</v>
      </c>
      <c r="M1179" s="7288" t="s">
        <v>748</v>
      </c>
      <c r="N1179" s="7118">
        <v>147</v>
      </c>
      <c r="O1179" s="7393" t="s">
        <v>748</v>
      </c>
      <c r="P1179" s="7157">
        <v>148</v>
      </c>
      <c r="Q1179" s="7311" t="s">
        <v>748</v>
      </c>
      <c r="R1179" s="6659" t="s">
        <v>31</v>
      </c>
      <c r="S1179" s="6572"/>
      <c r="T1179" s="2468"/>
      <c r="U1179" s="544"/>
      <c r="V1179" s="545"/>
      <c r="W1179" s="546"/>
      <c r="X1179" s="547"/>
      <c r="Y1179" s="548"/>
      <c r="Z1179" s="277"/>
      <c r="AA1179" s="277"/>
      <c r="AB1179" s="187"/>
    </row>
    <row r="1180" spans="1:29" ht="20.100000000000001" customHeight="1">
      <c r="A1180" s="11"/>
      <c r="B1180" s="1360"/>
      <c r="C1180" s="5598"/>
      <c r="D1180" s="357" t="s">
        <v>143</v>
      </c>
      <c r="E1180" s="1362"/>
      <c r="F1180" s="492" t="s">
        <v>732</v>
      </c>
      <c r="G1180" s="666"/>
      <c r="H1180" s="684"/>
      <c r="I1180" s="267" t="s">
        <v>144</v>
      </c>
      <c r="J1180" s="268"/>
      <c r="K1180" s="132" t="s">
        <v>734</v>
      </c>
      <c r="L1180" s="7113">
        <v>29</v>
      </c>
      <c r="M1180" s="7288" t="s">
        <v>801</v>
      </c>
      <c r="N1180" s="7118">
        <v>10</v>
      </c>
      <c r="O1180" s="7393" t="s">
        <v>801</v>
      </c>
      <c r="P1180" s="7157">
        <v>12</v>
      </c>
      <c r="Q1180" s="7311"/>
      <c r="R1180" s="6659" t="s">
        <v>31</v>
      </c>
      <c r="S1180" s="6572"/>
      <c r="T1180" s="2468"/>
      <c r="U1180" s="544"/>
      <c r="V1180" s="545"/>
      <c r="W1180" s="546"/>
      <c r="X1180" s="547"/>
      <c r="Y1180" s="548"/>
      <c r="Z1180" s="277"/>
      <c r="AA1180" s="277"/>
      <c r="AB1180" s="187"/>
    </row>
    <row r="1181" spans="1:29" ht="20.100000000000001" customHeight="1">
      <c r="A1181" s="11"/>
      <c r="B1181" s="1360"/>
      <c r="C1181" s="5598"/>
      <c r="D1181" s="357" t="s">
        <v>146</v>
      </c>
      <c r="E1181" s="1362"/>
      <c r="F1181" s="492" t="s">
        <v>732</v>
      </c>
      <c r="G1181" s="666"/>
      <c r="H1181" s="684"/>
      <c r="I1181" s="267" t="s">
        <v>147</v>
      </c>
      <c r="J1181" s="268"/>
      <c r="K1181" s="132" t="s">
        <v>734</v>
      </c>
      <c r="L1181" s="7113">
        <v>0</v>
      </c>
      <c r="M1181" s="7288" t="s">
        <v>751</v>
      </c>
      <c r="N1181" s="7118">
        <v>0</v>
      </c>
      <c r="O1181" s="7393" t="s">
        <v>751</v>
      </c>
      <c r="P1181" s="7157">
        <v>0</v>
      </c>
      <c r="Q1181" s="7311"/>
      <c r="R1181" s="6659" t="s">
        <v>31</v>
      </c>
      <c r="S1181" s="6572"/>
      <c r="T1181" s="2468"/>
      <c r="U1181" s="4849"/>
      <c r="V1181" s="545"/>
      <c r="W1181" s="546"/>
      <c r="X1181" s="547"/>
      <c r="Y1181" s="548"/>
      <c r="Z1181" s="277"/>
      <c r="AA1181" s="277"/>
      <c r="AB1181" s="187"/>
    </row>
    <row r="1182" spans="1:29" ht="20.100000000000001" customHeight="1">
      <c r="A1182" s="11"/>
      <c r="B1182" s="1360"/>
      <c r="C1182" s="5598"/>
      <c r="D1182" s="357" t="s">
        <v>149</v>
      </c>
      <c r="E1182" s="1362"/>
      <c r="F1182" s="492" t="s">
        <v>732</v>
      </c>
      <c r="G1182" s="746"/>
      <c r="H1182" s="6175"/>
      <c r="I1182" s="267" t="s">
        <v>150</v>
      </c>
      <c r="J1182" s="268"/>
      <c r="K1182" s="132" t="s">
        <v>734</v>
      </c>
      <c r="L1182" s="7113">
        <v>58</v>
      </c>
      <c r="M1182" s="7288"/>
      <c r="N1182" s="7118">
        <v>145</v>
      </c>
      <c r="O1182" s="7393"/>
      <c r="P1182" s="7157">
        <v>94</v>
      </c>
      <c r="Q1182" s="7311"/>
      <c r="R1182" s="6659" t="s">
        <v>31</v>
      </c>
      <c r="S1182" s="6572"/>
      <c r="T1182" s="2468"/>
      <c r="U1182" s="4849"/>
      <c r="V1182" s="545"/>
      <c r="W1182" s="546"/>
      <c r="X1182" s="547"/>
      <c r="Y1182" s="548"/>
      <c r="Z1182" s="277"/>
      <c r="AA1182" s="277"/>
      <c r="AB1182" s="187"/>
    </row>
    <row r="1183" spans="1:29" s="7571" customFormat="1" ht="19.899999999999999" customHeight="1">
      <c r="B1183" s="7590"/>
      <c r="C1183" s="7625" t="s">
        <v>1909</v>
      </c>
      <c r="D1183" s="7852" t="s">
        <v>134</v>
      </c>
      <c r="E1183" s="7626"/>
      <c r="F1183" s="7573"/>
      <c r="G1183" s="7629"/>
      <c r="H1183" s="7854"/>
      <c r="I1183" s="7855"/>
      <c r="J1183" s="7856"/>
      <c r="K1183" s="7573"/>
      <c r="L1183" s="7627" t="b">
        <f>SUM(L1170,L1177)=L1163</f>
        <v>1</v>
      </c>
      <c r="M1183" s="7630"/>
      <c r="N1183" s="7628" t="b">
        <f>SUM(N1170,N1177)=N1163</f>
        <v>1</v>
      </c>
      <c r="O1183" s="7630"/>
      <c r="P1183" s="7628" t="b">
        <f>SUM(P1170,P1177)=P1163</f>
        <v>1</v>
      </c>
      <c r="Q1183" s="7595"/>
      <c r="R1183" s="7631"/>
      <c r="S1183" s="7632"/>
      <c r="T1183" s="7596"/>
      <c r="U1183" s="7597"/>
      <c r="V1183" s="7582"/>
      <c r="W1183" s="7598"/>
      <c r="X1183" s="7598"/>
      <c r="Y1183" s="7582"/>
      <c r="Z1183" s="7633"/>
      <c r="AA1183" s="7634"/>
      <c r="AB1183" s="7635"/>
      <c r="AC1183" s="7589"/>
    </row>
    <row r="1184" spans="1:29" s="7571" customFormat="1" ht="19.899999999999999" customHeight="1">
      <c r="B1184" s="7590"/>
      <c r="C1184" s="7625"/>
      <c r="D1184" s="7852" t="s">
        <v>137</v>
      </c>
      <c r="E1184" s="7626"/>
      <c r="F1184" s="7573"/>
      <c r="G1184" s="7629"/>
      <c r="H1184" s="7854"/>
      <c r="I1184" s="7855"/>
      <c r="J1184" s="7856"/>
      <c r="K1184" s="7573"/>
      <c r="L1184" s="7627" t="b">
        <f t="shared" ref="L1184:N1188" si="15">SUM(L1171,L1178)=L1164</f>
        <v>1</v>
      </c>
      <c r="M1184" s="7630"/>
      <c r="N1184" s="7628" t="b">
        <f t="shared" si="15"/>
        <v>1</v>
      </c>
      <c r="O1184" s="7630"/>
      <c r="P1184" s="7628" t="b">
        <f t="shared" ref="P1184:P1188" si="16">SUM(P1171,P1178)=P1164</f>
        <v>1</v>
      </c>
      <c r="Q1184" s="7595"/>
      <c r="R1184" s="7631"/>
      <c r="S1184" s="7632"/>
      <c r="T1184" s="7596"/>
      <c r="U1184" s="7597"/>
      <c r="V1184" s="7582"/>
      <c r="W1184" s="7598"/>
      <c r="X1184" s="7598"/>
      <c r="Y1184" s="7582"/>
      <c r="Z1184" s="7633"/>
      <c r="AA1184" s="7634"/>
      <c r="AB1184" s="7635"/>
      <c r="AC1184" s="7589"/>
    </row>
    <row r="1185" spans="1:29" s="7571" customFormat="1" ht="19.899999999999999" customHeight="1">
      <c r="B1185" s="7590"/>
      <c r="C1185" s="7625"/>
      <c r="D1185" s="7852" t="s">
        <v>140</v>
      </c>
      <c r="E1185" s="7626"/>
      <c r="F1185" s="7573"/>
      <c r="G1185" s="7629"/>
      <c r="H1185" s="7854"/>
      <c r="I1185" s="7855"/>
      <c r="J1185" s="7856"/>
      <c r="K1185" s="7573"/>
      <c r="L1185" s="7627" t="b">
        <f t="shared" si="15"/>
        <v>1</v>
      </c>
      <c r="M1185" s="7630"/>
      <c r="N1185" s="7628" t="b">
        <f t="shared" si="15"/>
        <v>1</v>
      </c>
      <c r="O1185" s="7630"/>
      <c r="P1185" s="7628" t="b">
        <f t="shared" si="16"/>
        <v>1</v>
      </c>
      <c r="Q1185" s="7595"/>
      <c r="R1185" s="7631"/>
      <c r="S1185" s="7632"/>
      <c r="T1185" s="7596"/>
      <c r="U1185" s="7597"/>
      <c r="V1185" s="7582"/>
      <c r="W1185" s="7598"/>
      <c r="X1185" s="7598"/>
      <c r="Y1185" s="7582"/>
      <c r="Z1185" s="7633"/>
      <c r="AA1185" s="7634"/>
      <c r="AB1185" s="7635"/>
      <c r="AC1185" s="7589"/>
    </row>
    <row r="1186" spans="1:29" s="7571" customFormat="1" ht="19.899999999999999" customHeight="1">
      <c r="B1186" s="7590"/>
      <c r="C1186" s="7625"/>
      <c r="D1186" s="7852" t="s">
        <v>143</v>
      </c>
      <c r="E1186" s="7626"/>
      <c r="F1186" s="7573"/>
      <c r="G1186" s="7629"/>
      <c r="H1186" s="7854"/>
      <c r="I1186" s="7855"/>
      <c r="J1186" s="7856"/>
      <c r="K1186" s="7573"/>
      <c r="L1186" s="7627" t="b">
        <f t="shared" si="15"/>
        <v>1</v>
      </c>
      <c r="M1186" s="7630"/>
      <c r="N1186" s="7628" t="b">
        <f t="shared" si="15"/>
        <v>1</v>
      </c>
      <c r="O1186" s="7630"/>
      <c r="P1186" s="7628" t="b">
        <f t="shared" si="16"/>
        <v>1</v>
      </c>
      <c r="Q1186" s="7595"/>
      <c r="R1186" s="7631"/>
      <c r="S1186" s="7632"/>
      <c r="T1186" s="7596"/>
      <c r="U1186" s="7597"/>
      <c r="V1186" s="7582"/>
      <c r="W1186" s="7598"/>
      <c r="X1186" s="7598"/>
      <c r="Y1186" s="7582"/>
      <c r="Z1186" s="7633"/>
      <c r="AA1186" s="7634"/>
      <c r="AB1186" s="7635"/>
      <c r="AC1186" s="7589"/>
    </row>
    <row r="1187" spans="1:29" s="7571" customFormat="1" ht="19.899999999999999" customHeight="1">
      <c r="B1187" s="7590"/>
      <c r="C1187" s="7625"/>
      <c r="D1187" s="7852" t="s">
        <v>146</v>
      </c>
      <c r="E1187" s="7626"/>
      <c r="F1187" s="7573"/>
      <c r="G1187" s="7629"/>
      <c r="H1187" s="7854"/>
      <c r="I1187" s="7855"/>
      <c r="J1187" s="7856"/>
      <c r="K1187" s="7573"/>
      <c r="L1187" s="7627" t="b">
        <f t="shared" si="15"/>
        <v>1</v>
      </c>
      <c r="M1187" s="7630"/>
      <c r="N1187" s="7628" t="b">
        <f t="shared" si="15"/>
        <v>1</v>
      </c>
      <c r="O1187" s="7630"/>
      <c r="P1187" s="7628" t="b">
        <f t="shared" si="16"/>
        <v>1</v>
      </c>
      <c r="Q1187" s="7595"/>
      <c r="R1187" s="7631"/>
      <c r="S1187" s="7632"/>
      <c r="T1187" s="7596"/>
      <c r="U1187" s="7597"/>
      <c r="V1187" s="7582"/>
      <c r="W1187" s="7598"/>
      <c r="X1187" s="7598"/>
      <c r="Y1187" s="7582"/>
      <c r="Z1187" s="7633"/>
      <c r="AA1187" s="7634"/>
      <c r="AB1187" s="7635"/>
      <c r="AC1187" s="7589"/>
    </row>
    <row r="1188" spans="1:29" s="7571" customFormat="1" ht="19.899999999999999" customHeight="1">
      <c r="B1188" s="7590"/>
      <c r="C1188" s="7625"/>
      <c r="D1188" s="7852" t="s">
        <v>149</v>
      </c>
      <c r="E1188" s="7626"/>
      <c r="F1188" s="7573"/>
      <c r="G1188" s="7629"/>
      <c r="H1188" s="7854"/>
      <c r="I1188" s="7855"/>
      <c r="J1188" s="7856"/>
      <c r="K1188" s="7573"/>
      <c r="L1188" s="7627" t="b">
        <f t="shared" si="15"/>
        <v>1</v>
      </c>
      <c r="M1188" s="7630"/>
      <c r="N1188" s="7628" t="b">
        <f t="shared" si="15"/>
        <v>1</v>
      </c>
      <c r="O1188" s="7630"/>
      <c r="P1188" s="7628" t="b">
        <f t="shared" si="16"/>
        <v>1</v>
      </c>
      <c r="Q1188" s="7595"/>
      <c r="R1188" s="7631"/>
      <c r="S1188" s="7632"/>
      <c r="T1188" s="7596"/>
      <c r="U1188" s="7597"/>
      <c r="V1188" s="7582"/>
      <c r="W1188" s="7598"/>
      <c r="X1188" s="7598"/>
      <c r="Y1188" s="7582"/>
      <c r="Z1188" s="7633"/>
      <c r="AA1188" s="7634"/>
      <c r="AB1188" s="7635"/>
      <c r="AC1188" s="7589"/>
    </row>
    <row r="1189" spans="1:29" ht="20.100000000000001" customHeight="1">
      <c r="A1189" s="11"/>
      <c r="B1189" s="1360"/>
      <c r="C1189" s="9903" t="s">
        <v>1911</v>
      </c>
      <c r="D1189" s="9904"/>
      <c r="E1189" s="9904"/>
      <c r="F1189" s="9904"/>
      <c r="G1189" s="9904"/>
      <c r="H1189" s="9904" t="s">
        <v>926</v>
      </c>
      <c r="I1189" s="9904"/>
      <c r="J1189" s="9904"/>
      <c r="K1189" s="9904" t="s">
        <v>168</v>
      </c>
      <c r="L1189" s="9904"/>
      <c r="M1189" s="9904"/>
      <c r="N1189" s="9904"/>
      <c r="O1189" s="9904"/>
      <c r="P1189" s="9904"/>
      <c r="Q1189" s="9905"/>
      <c r="R1189" s="7023" t="s">
        <v>31</v>
      </c>
      <c r="S1189" s="7858"/>
      <c r="T1189" s="6979"/>
      <c r="U1189" s="4849"/>
      <c r="V1189" s="99" t="s">
        <v>737</v>
      </c>
      <c r="W1189" s="547" t="s">
        <v>800</v>
      </c>
      <c r="X1189" s="547"/>
      <c r="Y1189" s="99"/>
      <c r="Z1189" s="620" t="s">
        <v>927</v>
      </c>
      <c r="AA1189" s="620" t="s">
        <v>884</v>
      </c>
      <c r="AB1189" s="159"/>
    </row>
    <row r="1190" spans="1:29" ht="20.100000000000001" customHeight="1">
      <c r="A1190" s="11"/>
      <c r="B1190" s="1360"/>
      <c r="C1190" s="5598"/>
      <c r="D1190" s="9584" t="s">
        <v>823</v>
      </c>
      <c r="E1190" s="9585"/>
      <c r="F1190" s="6683" t="s">
        <v>156</v>
      </c>
      <c r="G1190" s="7025"/>
      <c r="H1190" s="7033"/>
      <c r="I1190" s="9584" t="s">
        <v>936</v>
      </c>
      <c r="J1190" s="9585"/>
      <c r="K1190" s="6683" t="s">
        <v>156</v>
      </c>
      <c r="L1190" s="7016" t="str">
        <f>IF(COUNTBLANK(L1191:L1196)&gt;0,"미취합법인有",AVERAGE(L1191:L1196))</f>
        <v>미취합법인有</v>
      </c>
      <c r="M1190" s="7026"/>
      <c r="N1190" s="7001" t="str">
        <f>IF(COUNTBLANK(N1191:N1196)&gt;0,"미취합법인有",AVERAGE(N1191:N1196))</f>
        <v>미취합법인有</v>
      </c>
      <c r="O1190" s="7384"/>
      <c r="P1190" s="7002" t="str">
        <f>IF(COUNTBLANK(P1191:P1196)&gt;0,"미취합법인有",AVERAGE(P1191:P1196))</f>
        <v>미취합법인有</v>
      </c>
      <c r="Q1190" s="7029"/>
      <c r="R1190" s="7010" t="s">
        <v>31</v>
      </c>
      <c r="S1190" s="7007"/>
      <c r="T1190" s="7035"/>
      <c r="U1190" s="4849"/>
      <c r="V1190" s="99" t="s">
        <v>737</v>
      </c>
      <c r="W1190" s="547" t="s">
        <v>800</v>
      </c>
      <c r="X1190" s="547"/>
      <c r="Y1190" s="99"/>
      <c r="Z1190" s="620" t="s">
        <v>927</v>
      </c>
      <c r="AA1190" s="620" t="s">
        <v>884</v>
      </c>
      <c r="AB1190" s="159"/>
    </row>
    <row r="1191" spans="1:29" ht="20.100000000000001" customHeight="1">
      <c r="A1191" s="11"/>
      <c r="B1191" s="1360"/>
      <c r="C1191" s="5598"/>
      <c r="D1191" s="9598" t="s">
        <v>134</v>
      </c>
      <c r="E1191" s="9600"/>
      <c r="F1191" s="285" t="s">
        <v>156</v>
      </c>
      <c r="G1191" s="666"/>
      <c r="H1191" s="684"/>
      <c r="I1191" s="9579" t="s">
        <v>135</v>
      </c>
      <c r="J1191" s="9581"/>
      <c r="K1191" s="105" t="s">
        <v>156</v>
      </c>
      <c r="L1191" s="6765">
        <v>53</v>
      </c>
      <c r="M1191" s="7300"/>
      <c r="N1191" s="6873">
        <v>73</v>
      </c>
      <c r="O1191" s="7398" t="s">
        <v>937</v>
      </c>
      <c r="P1191" s="6943">
        <v>100</v>
      </c>
      <c r="Q1191" s="7478"/>
      <c r="R1191" s="6659" t="s">
        <v>31</v>
      </c>
      <c r="S1191" s="6587"/>
      <c r="T1191" s="2468"/>
      <c r="U1191" s="4849"/>
      <c r="V1191" s="545"/>
      <c r="W1191" s="546"/>
      <c r="X1191" s="547"/>
      <c r="Y1191" s="548"/>
      <c r="Z1191" s="277"/>
      <c r="AA1191" s="277"/>
      <c r="AB1191" s="187"/>
    </row>
    <row r="1192" spans="1:29" ht="20.100000000000001" customHeight="1">
      <c r="A1192" s="11"/>
      <c r="B1192" s="1360"/>
      <c r="C1192" s="5598"/>
      <c r="D1192" s="9598" t="s">
        <v>137</v>
      </c>
      <c r="E1192" s="9600"/>
      <c r="F1192" s="285" t="s">
        <v>156</v>
      </c>
      <c r="G1192" s="666"/>
      <c r="H1192" s="684"/>
      <c r="I1192" s="9579" t="s">
        <v>138</v>
      </c>
      <c r="J1192" s="9581"/>
      <c r="K1192" s="105" t="s">
        <v>156</v>
      </c>
      <c r="L1192" s="6765"/>
      <c r="M1192" s="7300"/>
      <c r="N1192" s="6873"/>
      <c r="O1192" s="7398"/>
      <c r="P1192" s="6943"/>
      <c r="Q1192" s="7478"/>
      <c r="R1192" s="6659" t="s">
        <v>31</v>
      </c>
      <c r="S1192" s="6587"/>
      <c r="T1192" s="2468"/>
      <c r="U1192" s="4849"/>
      <c r="V1192" s="545"/>
      <c r="W1192" s="546"/>
      <c r="X1192" s="547"/>
      <c r="Y1192" s="548"/>
      <c r="Z1192" s="277"/>
      <c r="AA1192" s="277"/>
      <c r="AB1192" s="187"/>
    </row>
    <row r="1193" spans="1:29" ht="20.100000000000001" customHeight="1">
      <c r="A1193" s="11"/>
      <c r="B1193" s="1360"/>
      <c r="C1193" s="5598"/>
      <c r="D1193" s="9598" t="s">
        <v>140</v>
      </c>
      <c r="E1193" s="9600"/>
      <c r="F1193" s="285" t="s">
        <v>156</v>
      </c>
      <c r="G1193" s="666"/>
      <c r="H1193" s="684"/>
      <c r="I1193" s="9582" t="s">
        <v>141</v>
      </c>
      <c r="J1193" s="9583"/>
      <c r="K1193" s="105" t="s">
        <v>156</v>
      </c>
      <c r="L1193" s="6765">
        <v>24</v>
      </c>
      <c r="M1193" s="7300"/>
      <c r="N1193" s="6873">
        <v>11</v>
      </c>
      <c r="O1193" s="7398"/>
      <c r="P1193" s="6943">
        <v>16</v>
      </c>
      <c r="Q1193" s="7478"/>
      <c r="R1193" s="6659" t="s">
        <v>31</v>
      </c>
      <c r="S1193" s="6587"/>
      <c r="T1193" s="2468"/>
      <c r="U1193" s="4849"/>
      <c r="V1193" s="545"/>
      <c r="W1193" s="546"/>
      <c r="X1193" s="547"/>
      <c r="Y1193" s="548"/>
      <c r="Z1193" s="277"/>
      <c r="AA1193" s="277"/>
      <c r="AB1193" s="187"/>
    </row>
    <row r="1194" spans="1:29" ht="20.100000000000001" customHeight="1">
      <c r="A1194" s="11"/>
      <c r="B1194" s="1360"/>
      <c r="C1194" s="5598"/>
      <c r="D1194" s="9598" t="s">
        <v>143</v>
      </c>
      <c r="E1194" s="9600"/>
      <c r="F1194" s="285" t="s">
        <v>156</v>
      </c>
      <c r="G1194" s="666"/>
      <c r="H1194" s="684"/>
      <c r="I1194" s="9582" t="s">
        <v>144</v>
      </c>
      <c r="J1194" s="9583"/>
      <c r="K1194" s="105" t="s">
        <v>156</v>
      </c>
      <c r="L1194" s="6765">
        <v>93</v>
      </c>
      <c r="M1194" s="7303" t="s">
        <v>801</v>
      </c>
      <c r="N1194" s="6873">
        <v>97</v>
      </c>
      <c r="O1194" s="7402" t="s">
        <v>801</v>
      </c>
      <c r="P1194" s="6943">
        <v>98</v>
      </c>
      <c r="Q1194" s="7478"/>
      <c r="R1194" s="6659" t="s">
        <v>31</v>
      </c>
      <c r="S1194" s="6587"/>
      <c r="T1194" s="2468"/>
      <c r="U1194" s="6296"/>
      <c r="V1194" s="545"/>
      <c r="W1194" s="546"/>
      <c r="X1194" s="547"/>
      <c r="Y1194" s="548"/>
      <c r="Z1194" s="277"/>
      <c r="AA1194" s="277"/>
      <c r="AB1194" s="187"/>
    </row>
    <row r="1195" spans="1:29" ht="20.100000000000001" customHeight="1">
      <c r="A1195" s="11"/>
      <c r="B1195" s="1360"/>
      <c r="C1195" s="5598"/>
      <c r="D1195" s="9598" t="s">
        <v>146</v>
      </c>
      <c r="E1195" s="9600"/>
      <c r="F1195" s="285" t="s">
        <v>156</v>
      </c>
      <c r="G1195" s="666"/>
      <c r="H1195" s="684"/>
      <c r="I1195" s="9582" t="s">
        <v>147</v>
      </c>
      <c r="J1195" s="9583"/>
      <c r="K1195" s="105" t="s">
        <v>156</v>
      </c>
      <c r="L1195" s="6799">
        <v>47</v>
      </c>
      <c r="M1195" s="7300"/>
      <c r="N1195" s="6837">
        <v>27</v>
      </c>
      <c r="O1195" s="7398"/>
      <c r="P1195" s="6945">
        <v>31</v>
      </c>
      <c r="Q1195" s="7478"/>
      <c r="R1195" s="6659" t="s">
        <v>31</v>
      </c>
      <c r="S1195" s="6587"/>
      <c r="T1195" s="2468"/>
      <c r="U1195" s="4849"/>
      <c r="V1195" s="545"/>
      <c r="W1195" s="546"/>
      <c r="X1195" s="547"/>
      <c r="Y1195" s="548"/>
      <c r="Z1195" s="277"/>
      <c r="AA1195" s="277"/>
      <c r="AB1195" s="187"/>
    </row>
    <row r="1196" spans="1:29" ht="20.100000000000001" customHeight="1">
      <c r="A1196" s="11"/>
      <c r="B1196" s="1360"/>
      <c r="C1196" s="5598"/>
      <c r="D1196" s="9598" t="s">
        <v>149</v>
      </c>
      <c r="E1196" s="9600"/>
      <c r="F1196" s="285" t="s">
        <v>156</v>
      </c>
      <c r="G1196" s="666"/>
      <c r="H1196" s="684"/>
      <c r="I1196" s="9582" t="s">
        <v>150</v>
      </c>
      <c r="J1196" s="9583"/>
      <c r="K1196" s="105" t="s">
        <v>156</v>
      </c>
      <c r="L1196" s="6765">
        <v>79</v>
      </c>
      <c r="M1196" s="7300"/>
      <c r="N1196" s="6873">
        <v>92</v>
      </c>
      <c r="O1196" s="7300"/>
      <c r="P1196" s="6873">
        <v>86</v>
      </c>
      <c r="Q1196" s="7478"/>
      <c r="R1196" s="6659" t="s">
        <v>31</v>
      </c>
      <c r="S1196" s="6587"/>
      <c r="T1196" s="2468"/>
      <c r="U1196" s="4849"/>
      <c r="V1196" s="545"/>
      <c r="W1196" s="546"/>
      <c r="X1196" s="547"/>
      <c r="Y1196" s="548"/>
      <c r="Z1196" s="277"/>
      <c r="AA1196" s="277"/>
      <c r="AB1196" s="187"/>
    </row>
    <row r="1197" spans="1:29" ht="20.100000000000001" customHeight="1">
      <c r="A1197" s="11"/>
      <c r="B1197" s="1360"/>
      <c r="C1197" s="5598"/>
      <c r="D1197" s="9584" t="s">
        <v>827</v>
      </c>
      <c r="E1197" s="9585"/>
      <c r="F1197" s="6683" t="s">
        <v>156</v>
      </c>
      <c r="G1197" s="7025"/>
      <c r="H1197" s="7033"/>
      <c r="I1197" s="9584" t="s">
        <v>938</v>
      </c>
      <c r="J1197" s="9585"/>
      <c r="K1197" s="6683" t="s">
        <v>156</v>
      </c>
      <c r="L1197" s="7016" t="str">
        <f>IF(COUNTBLANK(L1198:L1203)&gt;0,"미취합법인有",AVERAGE(L1198:L1203))</f>
        <v>미취합법인有</v>
      </c>
      <c r="M1197" s="7026"/>
      <c r="N1197" s="7001" t="str">
        <f>IF(COUNTBLANK(N1198:N1203)&gt;0,"미취합법인有",AVERAGE(N1198:N1203))</f>
        <v>미취합법인有</v>
      </c>
      <c r="O1197" s="7384"/>
      <c r="P1197" s="7002" t="str">
        <f>IF(COUNTBLANK(P1198:P1203)&gt;0,"미취합법인有",AVERAGE(P1198:P1203))</f>
        <v>미취합법인有</v>
      </c>
      <c r="Q1197" s="7029"/>
      <c r="R1197" s="7010" t="s">
        <v>31</v>
      </c>
      <c r="S1197" s="7007"/>
      <c r="T1197" s="7035"/>
      <c r="U1197" s="4849"/>
      <c r="V1197" s="99" t="s">
        <v>737</v>
      </c>
      <c r="W1197" s="547" t="s">
        <v>800</v>
      </c>
      <c r="X1197" s="547"/>
      <c r="Y1197" s="99"/>
      <c r="Z1197" s="620" t="s">
        <v>927</v>
      </c>
      <c r="AA1197" s="620" t="s">
        <v>884</v>
      </c>
      <c r="AB1197" s="159"/>
    </row>
    <row r="1198" spans="1:29" ht="20.100000000000001" customHeight="1">
      <c r="A1198" s="11"/>
      <c r="B1198" s="1360"/>
      <c r="C1198" s="5598"/>
      <c r="D1198" s="9598" t="s">
        <v>134</v>
      </c>
      <c r="E1198" s="9600"/>
      <c r="F1198" s="285" t="s">
        <v>156</v>
      </c>
      <c r="G1198" s="666"/>
      <c r="H1198" s="684"/>
      <c r="I1198" s="9579" t="s">
        <v>135</v>
      </c>
      <c r="J1198" s="9581"/>
      <c r="K1198" s="105" t="s">
        <v>156</v>
      </c>
      <c r="L1198" s="6765">
        <v>45</v>
      </c>
      <c r="M1198" s="7300"/>
      <c r="N1198" s="6873">
        <v>70</v>
      </c>
      <c r="O1198" s="7398" t="s">
        <v>939</v>
      </c>
      <c r="P1198" s="6943">
        <v>90</v>
      </c>
      <c r="Q1198" s="7478"/>
      <c r="R1198" s="6659" t="s">
        <v>31</v>
      </c>
      <c r="S1198" s="6587"/>
      <c r="T1198" s="2468"/>
      <c r="U1198" s="4849"/>
      <c r="V1198" s="545"/>
      <c r="W1198" s="546"/>
      <c r="X1198" s="547"/>
      <c r="Y1198" s="548"/>
      <c r="Z1198" s="277"/>
      <c r="AA1198" s="277"/>
      <c r="AB1198" s="187"/>
    </row>
    <row r="1199" spans="1:29" ht="20.100000000000001" customHeight="1">
      <c r="A1199" s="11"/>
      <c r="B1199" s="1360"/>
      <c r="C1199" s="5598"/>
      <c r="D1199" s="9598" t="s">
        <v>137</v>
      </c>
      <c r="E1199" s="9600"/>
      <c r="F1199" s="285" t="s">
        <v>156</v>
      </c>
      <c r="G1199" s="666"/>
      <c r="H1199" s="684"/>
      <c r="I1199" s="9579" t="s">
        <v>138</v>
      </c>
      <c r="J1199" s="9581"/>
      <c r="K1199" s="105" t="s">
        <v>156</v>
      </c>
      <c r="L1199" s="6765"/>
      <c r="M1199" s="7301"/>
      <c r="N1199" s="6873"/>
      <c r="O1199" s="7400"/>
      <c r="P1199" s="6943"/>
      <c r="Q1199" s="7478"/>
      <c r="R1199" s="6659" t="s">
        <v>31</v>
      </c>
      <c r="S1199" s="6587"/>
      <c r="T1199" s="2468"/>
      <c r="U1199" s="4849"/>
      <c r="V1199" s="545"/>
      <c r="W1199" s="546"/>
      <c r="X1199" s="547"/>
      <c r="Y1199" s="548"/>
      <c r="Z1199" s="277"/>
      <c r="AA1199" s="277"/>
      <c r="AB1199" s="187"/>
    </row>
    <row r="1200" spans="1:29" ht="20.100000000000001" customHeight="1">
      <c r="A1200" s="11"/>
      <c r="B1200" s="1360"/>
      <c r="C1200" s="5598"/>
      <c r="D1200" s="9598" t="s">
        <v>140</v>
      </c>
      <c r="E1200" s="9600"/>
      <c r="F1200" s="285" t="s">
        <v>156</v>
      </c>
      <c r="G1200" s="666"/>
      <c r="H1200" s="684"/>
      <c r="I1200" s="9582" t="s">
        <v>141</v>
      </c>
      <c r="J1200" s="9583"/>
      <c r="K1200" s="105" t="s">
        <v>156</v>
      </c>
      <c r="L1200" s="6765">
        <v>22</v>
      </c>
      <c r="M1200" s="7300"/>
      <c r="N1200" s="6873">
        <v>26</v>
      </c>
      <c r="O1200" s="7398"/>
      <c r="P1200" s="6943">
        <v>24</v>
      </c>
      <c r="Q1200" s="7478"/>
      <c r="R1200" s="6659" t="s">
        <v>31</v>
      </c>
      <c r="S1200" s="6587"/>
      <c r="T1200" s="2468"/>
      <c r="U1200" s="4849"/>
      <c r="V1200" s="545"/>
      <c r="W1200" s="546"/>
      <c r="X1200" s="547"/>
      <c r="Y1200" s="548"/>
      <c r="Z1200" s="277"/>
      <c r="AA1200" s="277"/>
      <c r="AB1200" s="187"/>
    </row>
    <row r="1201" spans="1:30" ht="20.100000000000001" customHeight="1">
      <c r="A1201" s="11"/>
      <c r="B1201" s="1360"/>
      <c r="C1201" s="5598"/>
      <c r="D1201" s="9598" t="s">
        <v>143</v>
      </c>
      <c r="E1201" s="9600"/>
      <c r="F1201" s="285" t="s">
        <v>156</v>
      </c>
      <c r="G1201" s="666"/>
      <c r="H1201" s="684"/>
      <c r="I1201" s="9582" t="s">
        <v>144</v>
      </c>
      <c r="J1201" s="9583"/>
      <c r="K1201" s="105" t="s">
        <v>156</v>
      </c>
      <c r="L1201" s="6765">
        <v>7</v>
      </c>
      <c r="M1201" s="7303" t="s">
        <v>801</v>
      </c>
      <c r="N1201" s="6873">
        <v>3</v>
      </c>
      <c r="O1201" s="7402" t="s">
        <v>801</v>
      </c>
      <c r="P1201" s="6943">
        <v>2</v>
      </c>
      <c r="Q1201" s="7478"/>
      <c r="R1201" s="6659" t="s">
        <v>31</v>
      </c>
      <c r="S1201" s="6587"/>
      <c r="T1201" s="2468"/>
      <c r="U1201" s="4849"/>
      <c r="V1201" s="545"/>
      <c r="W1201" s="546"/>
      <c r="X1201" s="547"/>
      <c r="Y1201" s="548"/>
      <c r="Z1201" s="277"/>
      <c r="AA1201" s="277"/>
      <c r="AB1201" s="187"/>
    </row>
    <row r="1202" spans="1:30" ht="20.100000000000001" customHeight="1">
      <c r="A1202" s="11"/>
      <c r="B1202" s="1360"/>
      <c r="C1202" s="5598"/>
      <c r="D1202" s="9598" t="s">
        <v>146</v>
      </c>
      <c r="E1202" s="9600"/>
      <c r="F1202" s="285" t="s">
        <v>156</v>
      </c>
      <c r="G1202" s="666"/>
      <c r="H1202" s="684"/>
      <c r="I1202" s="9582" t="s">
        <v>147</v>
      </c>
      <c r="J1202" s="9583"/>
      <c r="K1202" s="105" t="s">
        <v>156</v>
      </c>
      <c r="L1202" s="6799">
        <v>53</v>
      </c>
      <c r="M1202" s="7300"/>
      <c r="N1202" s="6837">
        <v>70</v>
      </c>
      <c r="O1202" s="7398"/>
      <c r="P1202" s="6945">
        <v>65</v>
      </c>
      <c r="Q1202" s="7478"/>
      <c r="R1202" s="6659" t="s">
        <v>31</v>
      </c>
      <c r="S1202" s="6587"/>
      <c r="T1202" s="2468"/>
      <c r="U1202" s="4849"/>
      <c r="V1202" s="545"/>
      <c r="W1202" s="546"/>
      <c r="X1202" s="547"/>
      <c r="Y1202" s="548"/>
      <c r="Z1202" s="277"/>
      <c r="AA1202" s="277"/>
      <c r="AB1202" s="187"/>
    </row>
    <row r="1203" spans="1:30" ht="20.100000000000001" customHeight="1">
      <c r="A1203" s="11"/>
      <c r="B1203" s="1360"/>
      <c r="C1203" s="5598"/>
      <c r="D1203" s="9598" t="s">
        <v>149</v>
      </c>
      <c r="E1203" s="9600"/>
      <c r="F1203" s="285" t="s">
        <v>156</v>
      </c>
      <c r="G1203" s="666"/>
      <c r="H1203" s="684"/>
      <c r="I1203" s="9582" t="s">
        <v>150</v>
      </c>
      <c r="J1203" s="9583"/>
      <c r="K1203" s="105" t="s">
        <v>156</v>
      </c>
      <c r="L1203" s="6765">
        <v>20</v>
      </c>
      <c r="M1203" s="7300"/>
      <c r="N1203" s="6873">
        <v>8</v>
      </c>
      <c r="O1203" s="7300"/>
      <c r="P1203" s="6873">
        <v>13</v>
      </c>
      <c r="Q1203" s="7478"/>
      <c r="R1203" s="6659" t="s">
        <v>31</v>
      </c>
      <c r="S1203" s="6587"/>
      <c r="T1203" s="2468"/>
      <c r="U1203" s="4849"/>
      <c r="V1203" s="545"/>
      <c r="W1203" s="546"/>
      <c r="X1203" s="547"/>
      <c r="Y1203" s="548"/>
      <c r="Z1203" s="277"/>
      <c r="AA1203" s="277"/>
      <c r="AB1203" s="187"/>
    </row>
    <row r="1204" spans="1:30" ht="20.100000000000001" customHeight="1">
      <c r="A1204" s="11"/>
      <c r="B1204" s="1360"/>
      <c r="C1204" s="915"/>
      <c r="D1204" s="9584" t="s">
        <v>830</v>
      </c>
      <c r="E1204" s="9585"/>
      <c r="F1204" s="6683" t="s">
        <v>156</v>
      </c>
      <c r="G1204" s="7025"/>
      <c r="H1204" s="7033"/>
      <c r="I1204" s="9584" t="s">
        <v>940</v>
      </c>
      <c r="J1204" s="9585"/>
      <c r="K1204" s="6683" t="s">
        <v>156</v>
      </c>
      <c r="L1204" s="7016" t="str">
        <f>IF(COUNTBLANK(L1205:L1210)&gt;0,"미취합법인有",AVERAGE(L1205:L1210))</f>
        <v>미취합법인有</v>
      </c>
      <c r="M1204" s="7026"/>
      <c r="N1204" s="7001" t="str">
        <f>IF(COUNTBLANK(N1205:N1210)&gt;0,"미취합법인有",AVERAGE(N1205:N1210))</f>
        <v>미취합법인有</v>
      </c>
      <c r="O1204" s="7384"/>
      <c r="P1204" s="7002" t="str">
        <f>IF(COUNTBLANK(P1205:P1210)&gt;0,"미취합법인有",AVERAGE(P1205:P1210))</f>
        <v>미취합법인有</v>
      </c>
      <c r="Q1204" s="7029"/>
      <c r="R1204" s="7010" t="s">
        <v>31</v>
      </c>
      <c r="S1204" s="7007"/>
      <c r="T1204" s="7035"/>
      <c r="U1204" s="6296"/>
      <c r="V1204" s="99" t="s">
        <v>737</v>
      </c>
      <c r="W1204" s="547" t="s">
        <v>800</v>
      </c>
      <c r="X1204" s="547"/>
      <c r="Y1204" s="99"/>
      <c r="Z1204" s="620" t="s">
        <v>927</v>
      </c>
      <c r="AA1204" s="620" t="s">
        <v>884</v>
      </c>
      <c r="AB1204" s="159"/>
    </row>
    <row r="1205" spans="1:30" ht="20.100000000000001" customHeight="1">
      <c r="A1205" s="11"/>
      <c r="B1205" s="1360"/>
      <c r="C1205" s="5598"/>
      <c r="D1205" s="9598" t="s">
        <v>134</v>
      </c>
      <c r="E1205" s="9600"/>
      <c r="F1205" s="285" t="s">
        <v>156</v>
      </c>
      <c r="G1205" s="666"/>
      <c r="H1205" s="684"/>
      <c r="I1205" s="9579" t="s">
        <v>135</v>
      </c>
      <c r="J1205" s="9581"/>
      <c r="K1205" s="105" t="s">
        <v>156</v>
      </c>
      <c r="L1205" s="6765">
        <v>36</v>
      </c>
      <c r="M1205" s="7301"/>
      <c r="N1205" s="6879">
        <v>27</v>
      </c>
      <c r="O1205" s="7400" t="s">
        <v>941</v>
      </c>
      <c r="P1205" s="6943">
        <v>0</v>
      </c>
      <c r="Q1205" s="7478"/>
      <c r="R1205" s="6659" t="s">
        <v>31</v>
      </c>
      <c r="S1205" s="6587"/>
      <c r="T1205" s="2468"/>
      <c r="U1205" s="4849"/>
      <c r="V1205" s="545"/>
      <c r="W1205" s="546"/>
      <c r="X1205" s="547"/>
      <c r="Y1205" s="548"/>
      <c r="Z1205" s="277"/>
      <c r="AA1205" s="277"/>
      <c r="AB1205" s="187"/>
      <c r="AD1205" s="139" t="s">
        <v>942</v>
      </c>
    </row>
    <row r="1206" spans="1:30" ht="20.100000000000001" customHeight="1">
      <c r="A1206" s="11"/>
      <c r="B1206" s="1360"/>
      <c r="C1206" s="5598"/>
      <c r="D1206" s="9598" t="s">
        <v>137</v>
      </c>
      <c r="E1206" s="9600"/>
      <c r="F1206" s="285" t="s">
        <v>156</v>
      </c>
      <c r="G1206" s="666"/>
      <c r="H1206" s="684"/>
      <c r="I1206" s="9579" t="s">
        <v>138</v>
      </c>
      <c r="J1206" s="9581"/>
      <c r="K1206" s="105" t="s">
        <v>156</v>
      </c>
      <c r="L1206" s="6765"/>
      <c r="M1206" s="7301"/>
      <c r="N1206" s="6873"/>
      <c r="O1206" s="7400"/>
      <c r="P1206" s="6943"/>
      <c r="Q1206" s="7478"/>
      <c r="R1206" s="6659" t="s">
        <v>31</v>
      </c>
      <c r="S1206" s="6587"/>
      <c r="T1206" s="2468"/>
      <c r="U1206" s="4849"/>
      <c r="V1206" s="545"/>
      <c r="W1206" s="546"/>
      <c r="X1206" s="547"/>
      <c r="Y1206" s="548"/>
      <c r="Z1206" s="277"/>
      <c r="AA1206" s="277"/>
      <c r="AB1206" s="187"/>
    </row>
    <row r="1207" spans="1:30" ht="20.100000000000001" customHeight="1">
      <c r="A1207" s="11"/>
      <c r="B1207" s="1360"/>
      <c r="C1207" s="5598"/>
      <c r="D1207" s="9598" t="s">
        <v>140</v>
      </c>
      <c r="E1207" s="9600"/>
      <c r="F1207" s="285" t="s">
        <v>156</v>
      </c>
      <c r="G1207" s="666"/>
      <c r="H1207" s="684"/>
      <c r="I1207" s="9582" t="s">
        <v>141</v>
      </c>
      <c r="J1207" s="9583"/>
      <c r="K1207" s="105" t="s">
        <v>156</v>
      </c>
      <c r="L1207" s="6765">
        <v>0</v>
      </c>
      <c r="M1207" s="7301"/>
      <c r="N1207" s="6873">
        <v>0</v>
      </c>
      <c r="O1207" s="7400"/>
      <c r="P1207" s="6943">
        <v>0</v>
      </c>
      <c r="Q1207" s="7478"/>
      <c r="R1207" s="6659" t="s">
        <v>31</v>
      </c>
      <c r="S1207" s="6587"/>
      <c r="T1207" s="2468"/>
      <c r="U1207" s="4849"/>
      <c r="V1207" s="545"/>
      <c r="W1207" s="546"/>
      <c r="X1207" s="547"/>
      <c r="Y1207" s="548"/>
      <c r="Z1207" s="277"/>
      <c r="AA1207" s="277"/>
      <c r="AB1207" s="187"/>
    </row>
    <row r="1208" spans="1:30" ht="20.100000000000001" customHeight="1">
      <c r="A1208" s="11"/>
      <c r="B1208" s="1360"/>
      <c r="C1208" s="5598"/>
      <c r="D1208" s="9598" t="s">
        <v>143</v>
      </c>
      <c r="E1208" s="9600"/>
      <c r="F1208" s="285" t="s">
        <v>156</v>
      </c>
      <c r="G1208" s="666"/>
      <c r="H1208" s="684"/>
      <c r="I1208" s="9582" t="s">
        <v>144</v>
      </c>
      <c r="J1208" s="9583"/>
      <c r="K1208" s="105" t="s">
        <v>156</v>
      </c>
      <c r="L1208" s="6765">
        <v>0</v>
      </c>
      <c r="M1208" s="7304" t="s">
        <v>801</v>
      </c>
      <c r="N1208" s="6873">
        <v>4.71253534401508E-4</v>
      </c>
      <c r="O1208" s="7401" t="s">
        <v>801</v>
      </c>
      <c r="P1208" s="6943">
        <v>0</v>
      </c>
      <c r="Q1208" s="7478"/>
      <c r="R1208" s="6659" t="s">
        <v>31</v>
      </c>
      <c r="S1208" s="6587"/>
      <c r="T1208" s="2468"/>
      <c r="U1208" s="4849"/>
      <c r="V1208" s="545"/>
      <c r="W1208" s="546"/>
      <c r="X1208" s="547"/>
      <c r="Y1208" s="548"/>
      <c r="Z1208" s="277"/>
      <c r="AA1208" s="277"/>
      <c r="AB1208" s="187"/>
    </row>
    <row r="1209" spans="1:30" ht="20.100000000000001" customHeight="1">
      <c r="A1209" s="11"/>
      <c r="B1209" s="1360"/>
      <c r="C1209" s="5598"/>
      <c r="D1209" s="9598" t="s">
        <v>146</v>
      </c>
      <c r="E1209" s="9600"/>
      <c r="F1209" s="285" t="s">
        <v>156</v>
      </c>
      <c r="G1209" s="666"/>
      <c r="H1209" s="684"/>
      <c r="I1209" s="9582" t="s">
        <v>147</v>
      </c>
      <c r="J1209" s="9583"/>
      <c r="K1209" s="105" t="s">
        <v>156</v>
      </c>
      <c r="L1209" s="6799">
        <v>0</v>
      </c>
      <c r="M1209" s="7301"/>
      <c r="N1209" s="6837">
        <v>0.03</v>
      </c>
      <c r="O1209" s="7400"/>
      <c r="P1209" s="6945">
        <v>0.04</v>
      </c>
      <c r="Q1209" s="7478"/>
      <c r="R1209" s="6659" t="s">
        <v>31</v>
      </c>
      <c r="S1209" s="6587"/>
      <c r="T1209" s="2468"/>
      <c r="U1209" s="4849"/>
      <c r="V1209" s="545"/>
      <c r="W1209" s="546"/>
      <c r="X1209" s="547"/>
      <c r="Y1209" s="548"/>
      <c r="Z1209" s="277"/>
      <c r="AA1209" s="277"/>
      <c r="AB1209" s="187"/>
    </row>
    <row r="1210" spans="1:30" ht="20.100000000000001" customHeight="1">
      <c r="A1210" s="11"/>
      <c r="B1210" s="1360"/>
      <c r="C1210" s="5598"/>
      <c r="D1210" s="9598" t="s">
        <v>149</v>
      </c>
      <c r="E1210" s="9600"/>
      <c r="F1210" s="285" t="s">
        <v>156</v>
      </c>
      <c r="G1210" s="666"/>
      <c r="H1210" s="684"/>
      <c r="I1210" s="9582" t="s">
        <v>150</v>
      </c>
      <c r="J1210" s="9583"/>
      <c r="K1210" s="105" t="s">
        <v>156</v>
      </c>
      <c r="L1210" s="6765">
        <v>0</v>
      </c>
      <c r="M1210" s="7301"/>
      <c r="N1210" s="6873">
        <v>0</v>
      </c>
      <c r="O1210" s="7301"/>
      <c r="P1210" s="6873">
        <v>1</v>
      </c>
      <c r="Q1210" s="7478"/>
      <c r="R1210" s="6659" t="s">
        <v>31</v>
      </c>
      <c r="S1210" s="6587"/>
      <c r="T1210" s="2468"/>
      <c r="U1210" s="676"/>
      <c r="V1210" s="545"/>
      <c r="W1210" s="546"/>
      <c r="X1210" s="547"/>
      <c r="Y1210" s="548"/>
      <c r="Z1210" s="277"/>
      <c r="AA1210" s="277"/>
      <c r="AB1210" s="187"/>
    </row>
    <row r="1211" spans="1:30" ht="20.100000000000001" customHeight="1">
      <c r="A1211" s="11"/>
      <c r="B1211" s="1360"/>
      <c r="C1211" s="9903" t="s">
        <v>1912</v>
      </c>
      <c r="D1211" s="9904"/>
      <c r="E1211" s="9904"/>
      <c r="F1211" s="9904"/>
      <c r="G1211" s="9904"/>
      <c r="H1211" s="9904" t="s">
        <v>926</v>
      </c>
      <c r="I1211" s="9904"/>
      <c r="J1211" s="9904"/>
      <c r="K1211" s="9904" t="s">
        <v>168</v>
      </c>
      <c r="L1211" s="9904"/>
      <c r="M1211" s="9904"/>
      <c r="N1211" s="9904"/>
      <c r="O1211" s="9904"/>
      <c r="P1211" s="9904"/>
      <c r="Q1211" s="9905"/>
      <c r="R1211" s="7023" t="s">
        <v>31</v>
      </c>
      <c r="S1211" s="7858"/>
      <c r="T1211" s="6979"/>
      <c r="U1211" s="4849"/>
      <c r="V1211" s="99" t="s">
        <v>737</v>
      </c>
      <c r="W1211" s="547" t="s">
        <v>800</v>
      </c>
      <c r="X1211" s="547"/>
      <c r="Y1211" s="99"/>
      <c r="Z1211" s="620" t="s">
        <v>927</v>
      </c>
      <c r="AA1211" s="620" t="s">
        <v>884</v>
      </c>
      <c r="AB1211" s="159"/>
    </row>
    <row r="1212" spans="1:30" ht="20.100000000000001" customHeight="1">
      <c r="A1212" s="11"/>
      <c r="B1212" s="1360"/>
      <c r="C1212" s="5598"/>
      <c r="D1212" s="9584" t="s">
        <v>796</v>
      </c>
      <c r="E1212" s="9585"/>
      <c r="F1212" s="6683" t="s">
        <v>156</v>
      </c>
      <c r="G1212" s="7025"/>
      <c r="H1212" s="7033"/>
      <c r="I1212" s="9584" t="s">
        <v>928</v>
      </c>
      <c r="J1212" s="9585"/>
      <c r="K1212" s="6683" t="s">
        <v>156</v>
      </c>
      <c r="L1212" s="7016">
        <f>IF(COUNTBLANK(L1213:L1218)&gt;0,"미취합법인有",AVERAGE(L1213:L1218))</f>
        <v>59.666666666666664</v>
      </c>
      <c r="M1212" s="7026"/>
      <c r="N1212" s="7001">
        <f>IF(COUNTBLANK(N1213:N1218)&gt;0,"미취합법인有",AVERAGE(N1213:N1218))</f>
        <v>53.833333333333336</v>
      </c>
      <c r="O1212" s="7384"/>
      <c r="P1212" s="7002">
        <f>IF(COUNTBLANK(P1213:P1218)&gt;0,"미취합법인有",AVERAGE(P1213:P1218))</f>
        <v>61.333333333333336</v>
      </c>
      <c r="Q1212" s="7029"/>
      <c r="R1212" s="7010" t="s">
        <v>31</v>
      </c>
      <c r="S1212" s="7007"/>
      <c r="T1212" s="7035" t="s">
        <v>929</v>
      </c>
      <c r="U1212" s="6296" t="s">
        <v>930</v>
      </c>
      <c r="V1212" s="99" t="s">
        <v>737</v>
      </c>
      <c r="W1212" s="547" t="s">
        <v>800</v>
      </c>
      <c r="X1212" s="547"/>
      <c r="Y1212" s="99"/>
      <c r="Z1212" s="620" t="s">
        <v>927</v>
      </c>
      <c r="AA1212" s="620" t="s">
        <v>884</v>
      </c>
      <c r="AB1212" s="159"/>
    </row>
    <row r="1213" spans="1:30" ht="20.100000000000001" customHeight="1">
      <c r="A1213" s="11"/>
      <c r="B1213" s="1360"/>
      <c r="C1213" s="5598"/>
      <c r="D1213" s="9598" t="s">
        <v>134</v>
      </c>
      <c r="E1213" s="9600"/>
      <c r="F1213" s="285" t="s">
        <v>156</v>
      </c>
      <c r="G1213" s="666"/>
      <c r="H1213" s="684"/>
      <c r="I1213" s="9579" t="s">
        <v>135</v>
      </c>
      <c r="J1213" s="9581"/>
      <c r="K1213" s="105" t="s">
        <v>156</v>
      </c>
      <c r="L1213" s="6765">
        <f>0.55*100</f>
        <v>55.000000000000007</v>
      </c>
      <c r="M1213" s="7300"/>
      <c r="N1213" s="6873">
        <f>0.74*100</f>
        <v>74</v>
      </c>
      <c r="O1213" s="7398" t="s">
        <v>931</v>
      </c>
      <c r="P1213" s="6943">
        <v>89</v>
      </c>
      <c r="Q1213" s="7478"/>
      <c r="R1213" s="6659" t="s">
        <v>31</v>
      </c>
      <c r="S1213" s="6587"/>
      <c r="T1213" s="2468"/>
      <c r="U1213" s="4849"/>
      <c r="V1213" s="545"/>
      <c r="W1213" s="546"/>
      <c r="X1213" s="547"/>
      <c r="Y1213" s="548"/>
      <c r="Z1213" s="277"/>
      <c r="AA1213" s="277"/>
      <c r="AB1213" s="187"/>
    </row>
    <row r="1214" spans="1:30" ht="20.100000000000001" customHeight="1">
      <c r="A1214" s="11"/>
      <c r="B1214" s="1360"/>
      <c r="C1214" s="5598"/>
      <c r="D1214" s="9598" t="s">
        <v>137</v>
      </c>
      <c r="E1214" s="9600"/>
      <c r="F1214" s="285" t="s">
        <v>156</v>
      </c>
      <c r="G1214" s="666"/>
      <c r="H1214" s="684"/>
      <c r="I1214" s="9579" t="s">
        <v>138</v>
      </c>
      <c r="J1214" s="9581"/>
      <c r="K1214" s="105" t="s">
        <v>156</v>
      </c>
      <c r="L1214" s="6765">
        <v>100</v>
      </c>
      <c r="M1214" s="7301"/>
      <c r="N1214" s="6843">
        <v>50</v>
      </c>
      <c r="O1214" s="7399"/>
      <c r="P1214" s="6944">
        <v>91</v>
      </c>
      <c r="Q1214" s="7479"/>
      <c r="R1214" s="6659" t="s">
        <v>31</v>
      </c>
      <c r="S1214" s="6588"/>
      <c r="T1214" s="2468"/>
      <c r="U1214" s="4849"/>
      <c r="V1214" s="545"/>
      <c r="W1214" s="546"/>
      <c r="X1214" s="547"/>
      <c r="Y1214" s="548"/>
      <c r="Z1214" s="277"/>
      <c r="AA1214" s="277"/>
      <c r="AB1214" s="187"/>
      <c r="AD1214" s="139" t="s">
        <v>932</v>
      </c>
    </row>
    <row r="1215" spans="1:30" ht="20.100000000000001" customHeight="1">
      <c r="A1215" s="11"/>
      <c r="B1215" s="1360"/>
      <c r="C1215" s="5598"/>
      <c r="D1215" s="9598" t="s">
        <v>140</v>
      </c>
      <c r="E1215" s="9600"/>
      <c r="F1215" s="285" t="s">
        <v>156</v>
      </c>
      <c r="G1215" s="666"/>
      <c r="H1215" s="684"/>
      <c r="I1215" s="9582" t="s">
        <v>141</v>
      </c>
      <c r="J1215" s="9583"/>
      <c r="K1215" s="105" t="s">
        <v>156</v>
      </c>
      <c r="L1215" s="6765">
        <v>24</v>
      </c>
      <c r="M1215" s="7302"/>
      <c r="N1215" s="6873">
        <v>21</v>
      </c>
      <c r="O1215" s="7400"/>
      <c r="P1215" s="6943">
        <v>25</v>
      </c>
      <c r="Q1215" s="7480">
        <v>62</v>
      </c>
      <c r="R1215" s="6659" t="s">
        <v>31</v>
      </c>
      <c r="S1215" s="6589"/>
      <c r="T1215" s="2468"/>
      <c r="U1215" s="4849"/>
      <c r="V1215" s="545"/>
      <c r="W1215" s="546"/>
      <c r="X1215" s="547"/>
      <c r="Y1215" s="548"/>
      <c r="Z1215" s="277"/>
      <c r="AA1215" s="277"/>
      <c r="AB1215" s="187"/>
    </row>
    <row r="1216" spans="1:30" ht="20.100000000000001" customHeight="1">
      <c r="A1216" s="11"/>
      <c r="B1216" s="1360"/>
      <c r="C1216" s="5598"/>
      <c r="D1216" s="9598" t="s">
        <v>143</v>
      </c>
      <c r="E1216" s="9600"/>
      <c r="F1216" s="285" t="s">
        <v>156</v>
      </c>
      <c r="G1216" s="666"/>
      <c r="H1216" s="684"/>
      <c r="I1216" s="9582" t="s">
        <v>144</v>
      </c>
      <c r="J1216" s="9583"/>
      <c r="K1216" s="105" t="s">
        <v>156</v>
      </c>
      <c r="L1216" s="6765">
        <v>49</v>
      </c>
      <c r="M1216" s="7303" t="s">
        <v>801</v>
      </c>
      <c r="N1216" s="6873">
        <v>48</v>
      </c>
      <c r="O1216" s="7401" t="s">
        <v>801</v>
      </c>
      <c r="P1216" s="6943">
        <v>49</v>
      </c>
      <c r="Q1216" s="7478"/>
      <c r="R1216" s="6659" t="s">
        <v>31</v>
      </c>
      <c r="S1216" s="6587"/>
      <c r="T1216" s="2468"/>
      <c r="U1216" s="4849"/>
      <c r="V1216" s="545"/>
      <c r="W1216" s="546"/>
      <c r="X1216" s="547"/>
      <c r="Y1216" s="548"/>
      <c r="Z1216" s="277"/>
      <c r="AA1216" s="277"/>
      <c r="AB1216" s="187"/>
    </row>
    <row r="1217" spans="1:30" ht="20.100000000000001" customHeight="1">
      <c r="A1217" s="11"/>
      <c r="B1217" s="1360"/>
      <c r="C1217" s="5598"/>
      <c r="D1217" s="9598" t="s">
        <v>146</v>
      </c>
      <c r="E1217" s="9600"/>
      <c r="F1217" s="285" t="s">
        <v>156</v>
      </c>
      <c r="G1217" s="666"/>
      <c r="H1217" s="684"/>
      <c r="I1217" s="9582" t="s">
        <v>147</v>
      </c>
      <c r="J1217" s="9583"/>
      <c r="K1217" s="105" t="s">
        <v>156</v>
      </c>
      <c r="L1217" s="6799">
        <v>71</v>
      </c>
      <c r="M1217" s="7300"/>
      <c r="N1217" s="6837">
        <v>75</v>
      </c>
      <c r="O1217" s="7400"/>
      <c r="P1217" s="6945">
        <v>61</v>
      </c>
      <c r="Q1217" s="7478"/>
      <c r="R1217" s="6659" t="s">
        <v>31</v>
      </c>
      <c r="S1217" s="6587"/>
      <c r="T1217" s="2468"/>
      <c r="U1217" s="4849"/>
      <c r="V1217" s="545"/>
      <c r="W1217" s="546"/>
      <c r="X1217" s="547"/>
      <c r="Y1217" s="548"/>
      <c r="Z1217" s="277"/>
      <c r="AA1217" s="277"/>
      <c r="AB1217" s="187"/>
    </row>
    <row r="1218" spans="1:30" ht="20.100000000000001" customHeight="1">
      <c r="A1218" s="11"/>
      <c r="B1218" s="1360"/>
      <c r="C1218" s="5598"/>
      <c r="D1218" s="9598" t="s">
        <v>149</v>
      </c>
      <c r="E1218" s="9600"/>
      <c r="F1218" s="285" t="s">
        <v>156</v>
      </c>
      <c r="G1218" s="666"/>
      <c r="H1218" s="684"/>
      <c r="I1218" s="9582" t="s">
        <v>150</v>
      </c>
      <c r="J1218" s="9583"/>
      <c r="K1218" s="105" t="s">
        <v>156</v>
      </c>
      <c r="L1218" s="6765">
        <v>59</v>
      </c>
      <c r="M1218" s="7300"/>
      <c r="N1218" s="6873">
        <v>55</v>
      </c>
      <c r="O1218" s="7301"/>
      <c r="P1218" s="6873">
        <v>53</v>
      </c>
      <c r="Q1218" s="7478"/>
      <c r="R1218" s="6659" t="s">
        <v>31</v>
      </c>
      <c r="S1218" s="6587"/>
      <c r="T1218" s="2468"/>
      <c r="U1218" s="4849"/>
      <c r="V1218" s="545"/>
      <c r="W1218" s="546"/>
      <c r="X1218" s="547"/>
      <c r="Y1218" s="548"/>
      <c r="Z1218" s="277"/>
      <c r="AA1218" s="277"/>
      <c r="AB1218" s="187"/>
    </row>
    <row r="1219" spans="1:30" ht="20.100000000000001" customHeight="1">
      <c r="A1219" s="11"/>
      <c r="B1219" s="1360"/>
      <c r="C1219" s="5598"/>
      <c r="D1219" s="9584" t="s">
        <v>802</v>
      </c>
      <c r="E1219" s="9585"/>
      <c r="F1219" s="6683" t="s">
        <v>156</v>
      </c>
      <c r="G1219" s="7025"/>
      <c r="H1219" s="7033"/>
      <c r="I1219" s="9584" t="s">
        <v>933</v>
      </c>
      <c r="J1219" s="9585"/>
      <c r="K1219" s="6683" t="s">
        <v>156</v>
      </c>
      <c r="L1219" s="7016">
        <f>IF(COUNTBLANK(L1220:L1225)&gt;0,"미취합법인有",AVERAGE(L1220:L1225))</f>
        <v>32.166666666666664</v>
      </c>
      <c r="M1219" s="7026"/>
      <c r="N1219" s="7001">
        <f>IF(COUNTBLANK(N1220:N1225)&gt;0,"미취합법인有",AVERAGE(N1220:N1225))</f>
        <v>42.833333333333336</v>
      </c>
      <c r="O1219" s="7384"/>
      <c r="P1219" s="7002">
        <f>IF(COUNTBLANK(P1220:P1225)&gt;0,"미취합법인有",AVERAGE(P1220:P1225))</f>
        <v>46.833333333333336</v>
      </c>
      <c r="Q1219" s="7029"/>
      <c r="R1219" s="7010" t="s">
        <v>31</v>
      </c>
      <c r="S1219" s="7007"/>
      <c r="T1219" s="7035"/>
      <c r="U1219" s="6296"/>
      <c r="V1219" s="99" t="s">
        <v>737</v>
      </c>
      <c r="W1219" s="547" t="s">
        <v>800</v>
      </c>
      <c r="X1219" s="547"/>
      <c r="Y1219" s="99"/>
      <c r="Z1219" s="620" t="s">
        <v>927</v>
      </c>
      <c r="AA1219" s="620" t="s">
        <v>884</v>
      </c>
      <c r="AB1219" s="159"/>
    </row>
    <row r="1220" spans="1:30" ht="20.100000000000001" customHeight="1">
      <c r="A1220" s="11"/>
      <c r="B1220" s="1360"/>
      <c r="C1220" s="5598"/>
      <c r="D1220" s="9598" t="s">
        <v>134</v>
      </c>
      <c r="E1220" s="9600"/>
      <c r="F1220" s="285" t="s">
        <v>156</v>
      </c>
      <c r="G1220" s="666"/>
      <c r="H1220" s="684"/>
      <c r="I1220" s="9579" t="s">
        <v>135</v>
      </c>
      <c r="J1220" s="9581"/>
      <c r="K1220" s="105" t="s">
        <v>156</v>
      </c>
      <c r="L1220" s="6765">
        <v>50</v>
      </c>
      <c r="M1220" s="7301"/>
      <c r="N1220" s="6873">
        <v>70</v>
      </c>
      <c r="O1220" s="7400" t="s">
        <v>934</v>
      </c>
      <c r="P1220" s="6943">
        <v>89</v>
      </c>
      <c r="Q1220" s="7478"/>
      <c r="R1220" s="6659" t="s">
        <v>31</v>
      </c>
      <c r="S1220" s="6587"/>
      <c r="T1220" s="2468"/>
      <c r="U1220" s="4849"/>
      <c r="V1220" s="545"/>
      <c r="W1220" s="546"/>
      <c r="X1220" s="547"/>
      <c r="Y1220" s="548"/>
      <c r="Z1220" s="277"/>
      <c r="AA1220" s="277"/>
      <c r="AB1220" s="187"/>
    </row>
    <row r="1221" spans="1:30" ht="20.100000000000001" customHeight="1">
      <c r="A1221" s="11"/>
      <c r="B1221" s="1360"/>
      <c r="C1221" s="5598"/>
      <c r="D1221" s="9598" t="s">
        <v>137</v>
      </c>
      <c r="E1221" s="9600"/>
      <c r="F1221" s="285" t="s">
        <v>156</v>
      </c>
      <c r="G1221" s="666"/>
      <c r="H1221" s="684"/>
      <c r="I1221" s="9579" t="s">
        <v>138</v>
      </c>
      <c r="J1221" s="9581"/>
      <c r="K1221" s="105" t="s">
        <v>156</v>
      </c>
      <c r="L1221" s="6765">
        <v>0</v>
      </c>
      <c r="M1221" s="7301"/>
      <c r="N1221" s="6843">
        <v>50</v>
      </c>
      <c r="O1221" s="7400"/>
      <c r="P1221" s="6944">
        <v>41</v>
      </c>
      <c r="Q1221" s="7478"/>
      <c r="R1221" s="6659" t="s">
        <v>31</v>
      </c>
      <c r="S1221" s="6587"/>
      <c r="T1221" s="2468"/>
      <c r="U1221" s="4849"/>
      <c r="V1221" s="545"/>
      <c r="W1221" s="546"/>
      <c r="X1221" s="547"/>
      <c r="Y1221" s="548"/>
      <c r="Z1221" s="277"/>
      <c r="AA1221" s="277"/>
      <c r="AB1221" s="187"/>
      <c r="AD1221" s="139" t="s">
        <v>935</v>
      </c>
    </row>
    <row r="1222" spans="1:30" ht="20.100000000000001" customHeight="1">
      <c r="A1222" s="11"/>
      <c r="B1222" s="1360"/>
      <c r="C1222" s="5598"/>
      <c r="D1222" s="9598" t="s">
        <v>140</v>
      </c>
      <c r="E1222" s="9600"/>
      <c r="F1222" s="285" t="s">
        <v>156</v>
      </c>
      <c r="G1222" s="666"/>
      <c r="H1222" s="684"/>
      <c r="I1222" s="9582" t="s">
        <v>141</v>
      </c>
      <c r="J1222" s="9583"/>
      <c r="K1222" s="105" t="s">
        <v>156</v>
      </c>
      <c r="L1222" s="6765">
        <v>22</v>
      </c>
      <c r="M1222" s="7301"/>
      <c r="N1222" s="6873">
        <v>15</v>
      </c>
      <c r="O1222" s="7400"/>
      <c r="P1222" s="6943">
        <v>14</v>
      </c>
      <c r="Q1222" s="7478"/>
      <c r="R1222" s="6659" t="s">
        <v>31</v>
      </c>
      <c r="S1222" s="6587"/>
      <c r="T1222" s="2468"/>
      <c r="U1222" s="4849"/>
      <c r="V1222" s="545"/>
      <c r="W1222" s="546"/>
      <c r="X1222" s="547"/>
      <c r="Y1222" s="548"/>
      <c r="Z1222" s="277"/>
      <c r="AA1222" s="277"/>
      <c r="AB1222" s="187"/>
    </row>
    <row r="1223" spans="1:30" ht="20.100000000000001" customHeight="1">
      <c r="A1223" s="11"/>
      <c r="B1223" s="1360"/>
      <c r="C1223" s="5598"/>
      <c r="D1223" s="9598" t="s">
        <v>143</v>
      </c>
      <c r="E1223" s="9600"/>
      <c r="F1223" s="285" t="s">
        <v>156</v>
      </c>
      <c r="G1223" s="666"/>
      <c r="H1223" s="684"/>
      <c r="I1223" s="9582" t="s">
        <v>144</v>
      </c>
      <c r="J1223" s="9583"/>
      <c r="K1223" s="105" t="s">
        <v>156</v>
      </c>
      <c r="L1223" s="6765">
        <v>51</v>
      </c>
      <c r="M1223" s="7304" t="s">
        <v>801</v>
      </c>
      <c r="N1223" s="6873">
        <v>52</v>
      </c>
      <c r="O1223" s="7401" t="s">
        <v>801</v>
      </c>
      <c r="P1223" s="6943">
        <v>51</v>
      </c>
      <c r="Q1223" s="7478"/>
      <c r="R1223" s="6659" t="s">
        <v>31</v>
      </c>
      <c r="S1223" s="6587"/>
      <c r="T1223" s="2468"/>
      <c r="U1223" s="4849"/>
      <c r="V1223" s="545"/>
      <c r="W1223" s="546"/>
      <c r="X1223" s="547"/>
      <c r="Y1223" s="548"/>
      <c r="Z1223" s="277"/>
      <c r="AA1223" s="277"/>
      <c r="AB1223" s="187"/>
    </row>
    <row r="1224" spans="1:30" ht="20.100000000000001" customHeight="1">
      <c r="A1224" s="11"/>
      <c r="B1224" s="1360"/>
      <c r="C1224" s="5598"/>
      <c r="D1224" s="9598" t="s">
        <v>146</v>
      </c>
      <c r="E1224" s="9600"/>
      <c r="F1224" s="285" t="s">
        <v>156</v>
      </c>
      <c r="G1224" s="666"/>
      <c r="H1224" s="684"/>
      <c r="I1224" s="9582" t="s">
        <v>147</v>
      </c>
      <c r="J1224" s="9583"/>
      <c r="K1224" s="105" t="s">
        <v>156</v>
      </c>
      <c r="L1224" s="6799">
        <v>29</v>
      </c>
      <c r="M1224" s="7301"/>
      <c r="N1224" s="6837">
        <v>25</v>
      </c>
      <c r="O1224" s="7400"/>
      <c r="P1224" s="6945">
        <v>39</v>
      </c>
      <c r="Q1224" s="7478"/>
      <c r="R1224" s="6659" t="s">
        <v>31</v>
      </c>
      <c r="S1224" s="6587"/>
      <c r="T1224" s="2468"/>
      <c r="U1224" s="4849"/>
      <c r="V1224" s="545"/>
      <c r="W1224" s="546"/>
      <c r="X1224" s="547"/>
      <c r="Y1224" s="548"/>
      <c r="Z1224" s="277"/>
      <c r="AA1224" s="277"/>
      <c r="AB1224" s="187"/>
    </row>
    <row r="1225" spans="1:30" ht="20.100000000000001" customHeight="1">
      <c r="A1225" s="11"/>
      <c r="B1225" s="1360"/>
      <c r="C1225" s="5598"/>
      <c r="D1225" s="9598" t="s">
        <v>149</v>
      </c>
      <c r="E1225" s="9600"/>
      <c r="F1225" s="285" t="s">
        <v>156</v>
      </c>
      <c r="G1225" s="666"/>
      <c r="H1225" s="684"/>
      <c r="I1225" s="9582" t="s">
        <v>150</v>
      </c>
      <c r="J1225" s="9583"/>
      <c r="K1225" s="105" t="s">
        <v>156</v>
      </c>
      <c r="L1225" s="6765">
        <v>41</v>
      </c>
      <c r="M1225" s="7301"/>
      <c r="N1225" s="6873">
        <v>45</v>
      </c>
      <c r="O1225" s="7301"/>
      <c r="P1225" s="6873">
        <v>47</v>
      </c>
      <c r="Q1225" s="7478"/>
      <c r="R1225" s="6659" t="s">
        <v>31</v>
      </c>
      <c r="S1225" s="6587"/>
      <c r="T1225" s="2468"/>
      <c r="U1225" s="6296"/>
      <c r="V1225" s="545"/>
      <c r="W1225" s="546"/>
      <c r="X1225" s="547"/>
      <c r="Y1225" s="548"/>
      <c r="Z1225" s="277"/>
      <c r="AA1225" s="277"/>
      <c r="AB1225" s="187"/>
    </row>
    <row r="1226" spans="1:30" ht="20.100000000000001" customHeight="1">
      <c r="A1226" s="11"/>
      <c r="B1226" s="1360"/>
      <c r="C1226" s="9903" t="s">
        <v>1913</v>
      </c>
      <c r="D1226" s="9904"/>
      <c r="E1226" s="9904"/>
      <c r="F1226" s="9904"/>
      <c r="G1226" s="9904"/>
      <c r="H1226" s="9904" t="s">
        <v>944</v>
      </c>
      <c r="I1226" s="9904"/>
      <c r="J1226" s="9904"/>
      <c r="K1226" s="9904" t="s">
        <v>168</v>
      </c>
      <c r="L1226" s="9904"/>
      <c r="M1226" s="9904"/>
      <c r="N1226" s="9904"/>
      <c r="O1226" s="9904"/>
      <c r="P1226" s="9904"/>
      <c r="Q1226" s="9905"/>
      <c r="R1226" s="7023" t="s">
        <v>31</v>
      </c>
      <c r="S1226" s="7858"/>
      <c r="T1226" s="6707"/>
      <c r="U1226" s="4849"/>
      <c r="V1226" s="99" t="s">
        <v>737</v>
      </c>
      <c r="W1226" s="547" t="s">
        <v>800</v>
      </c>
      <c r="X1226" s="547"/>
      <c r="Y1226" s="99"/>
      <c r="Z1226" s="620" t="s">
        <v>919</v>
      </c>
      <c r="AA1226" s="620" t="s">
        <v>884</v>
      </c>
      <c r="AB1226" s="159"/>
    </row>
    <row r="1227" spans="1:30" ht="20.100000000000001" customHeight="1">
      <c r="A1227" s="11"/>
      <c r="B1227" s="1360"/>
      <c r="C1227" s="5598"/>
      <c r="D1227" s="9584" t="s">
        <v>823</v>
      </c>
      <c r="E1227" s="9585"/>
      <c r="F1227" s="6683" t="s">
        <v>156</v>
      </c>
      <c r="G1227" s="7025"/>
      <c r="H1227" s="7033"/>
      <c r="I1227" s="9584" t="s">
        <v>936</v>
      </c>
      <c r="J1227" s="9585"/>
      <c r="K1227" s="6683" t="s">
        <v>156</v>
      </c>
      <c r="L1227" s="7016">
        <f>IF(COUNTBLANK(L1228:L1233)&gt;0,"미취합법인有",AVERAGE(L1228:L1233))</f>
        <v>30.4</v>
      </c>
      <c r="M1227" s="7026"/>
      <c r="N1227" s="7001">
        <f>IF(COUNTBLANK(N1228:N1233)&gt;0,"미취합법인有",AVERAGE(N1228:N1233))</f>
        <v>31</v>
      </c>
      <c r="O1227" s="7384"/>
      <c r="P1227" s="7002">
        <f>IF(COUNTBLANK(P1228:P1233)&gt;0,"미취합법인有",AVERAGE(P1228:P1233))</f>
        <v>30.5</v>
      </c>
      <c r="Q1227" s="7029"/>
      <c r="R1227" s="7010" t="s">
        <v>31</v>
      </c>
      <c r="S1227" s="7007"/>
      <c r="T1227" s="7035"/>
      <c r="U1227" s="4849"/>
      <c r="V1227" s="99" t="s">
        <v>737</v>
      </c>
      <c r="W1227" s="547" t="s">
        <v>800</v>
      </c>
      <c r="X1227" s="547"/>
      <c r="Y1227" s="99"/>
      <c r="Z1227" s="620" t="s">
        <v>919</v>
      </c>
      <c r="AA1227" s="620" t="s">
        <v>884</v>
      </c>
      <c r="AB1227" s="159"/>
    </row>
    <row r="1228" spans="1:30" ht="20.100000000000001" customHeight="1">
      <c r="A1228" s="11"/>
      <c r="B1228" s="1360"/>
      <c r="C1228" s="5598"/>
      <c r="D1228" s="9598" t="s">
        <v>134</v>
      </c>
      <c r="E1228" s="9600"/>
      <c r="F1228" s="285" t="s">
        <v>156</v>
      </c>
      <c r="G1228" s="666"/>
      <c r="H1228" s="684"/>
      <c r="I1228" s="9579" t="s">
        <v>135</v>
      </c>
      <c r="J1228" s="9581"/>
      <c r="K1228" s="105" t="s">
        <v>156</v>
      </c>
      <c r="L1228" s="6794">
        <v>47</v>
      </c>
      <c r="M1228" s="7301"/>
      <c r="N1228" s="6879">
        <v>27</v>
      </c>
      <c r="O1228" s="7400" t="s">
        <v>941</v>
      </c>
      <c r="P1228" s="6946">
        <v>0</v>
      </c>
      <c r="Q1228" s="7478"/>
      <c r="R1228" s="6659" t="s">
        <v>31</v>
      </c>
      <c r="S1228" s="6587"/>
      <c r="T1228" s="2468"/>
      <c r="U1228" s="4849"/>
      <c r="V1228" s="545"/>
      <c r="W1228" s="546"/>
      <c r="X1228" s="547"/>
      <c r="Y1228" s="548"/>
      <c r="Z1228" s="277"/>
      <c r="AA1228" s="277"/>
      <c r="AB1228" s="187"/>
      <c r="AD1228" s="139" t="s">
        <v>942</v>
      </c>
    </row>
    <row r="1229" spans="1:30" ht="20.100000000000001" customHeight="1">
      <c r="A1229" s="11"/>
      <c r="B1229" s="1360"/>
      <c r="C1229" s="5598"/>
      <c r="D1229" s="9598" t="s">
        <v>137</v>
      </c>
      <c r="E1229" s="9600"/>
      <c r="F1229" s="285" t="s">
        <v>156</v>
      </c>
      <c r="G1229" s="666"/>
      <c r="H1229" s="684"/>
      <c r="I1229" s="9579" t="s">
        <v>138</v>
      </c>
      <c r="J1229" s="9581"/>
      <c r="K1229" s="105" t="s">
        <v>156</v>
      </c>
      <c r="L1229" s="6800" t="s">
        <v>168</v>
      </c>
      <c r="M1229" s="7301" t="s">
        <v>640</v>
      </c>
      <c r="N1229" s="6873" t="s">
        <v>169</v>
      </c>
      <c r="O1229" s="7400" t="s">
        <v>641</v>
      </c>
      <c r="P1229" s="6947">
        <v>50</v>
      </c>
      <c r="Q1229" s="7478"/>
      <c r="R1229" s="6659" t="s">
        <v>31</v>
      </c>
      <c r="S1229" s="6587"/>
      <c r="T1229" s="2468"/>
      <c r="U1229" s="4849"/>
      <c r="V1229" s="545"/>
      <c r="W1229" s="546"/>
      <c r="X1229" s="547"/>
      <c r="Y1229" s="548"/>
      <c r="Z1229" s="277"/>
      <c r="AA1229" s="277"/>
      <c r="AB1229" s="187"/>
      <c r="AD1229" s="139" t="s">
        <v>949</v>
      </c>
    </row>
    <row r="1230" spans="1:30" ht="20.100000000000001" customHeight="1">
      <c r="A1230" s="11"/>
      <c r="B1230" s="1360"/>
      <c r="C1230" s="5598"/>
      <c r="D1230" s="9598" t="s">
        <v>140</v>
      </c>
      <c r="E1230" s="9600"/>
      <c r="F1230" s="285" t="s">
        <v>156</v>
      </c>
      <c r="G1230" s="666"/>
      <c r="H1230" s="684"/>
      <c r="I1230" s="9582" t="s">
        <v>141</v>
      </c>
      <c r="J1230" s="9583"/>
      <c r="K1230" s="105" t="s">
        <v>156</v>
      </c>
      <c r="L1230" s="6794">
        <v>10</v>
      </c>
      <c r="M1230" s="7301"/>
      <c r="N1230" s="6873">
        <v>12</v>
      </c>
      <c r="O1230" s="7400"/>
      <c r="P1230" s="6946">
        <v>13</v>
      </c>
      <c r="Q1230" s="7478"/>
      <c r="R1230" s="6659" t="s">
        <v>31</v>
      </c>
      <c r="S1230" s="6587"/>
      <c r="T1230" s="2468"/>
      <c r="U1230" s="4849"/>
      <c r="V1230" s="545"/>
      <c r="W1230" s="546"/>
      <c r="X1230" s="547"/>
      <c r="Y1230" s="548"/>
      <c r="Z1230" s="277"/>
      <c r="AA1230" s="277"/>
      <c r="AB1230" s="187"/>
    </row>
    <row r="1231" spans="1:30" ht="20.100000000000001" customHeight="1">
      <c r="A1231" s="11"/>
      <c r="B1231" s="1360"/>
      <c r="C1231" s="5598"/>
      <c r="D1231" s="9598" t="s">
        <v>143</v>
      </c>
      <c r="E1231" s="9600"/>
      <c r="F1231" s="285" t="s">
        <v>156</v>
      </c>
      <c r="G1231" s="666"/>
      <c r="H1231" s="684"/>
      <c r="I1231" s="9582" t="s">
        <v>144</v>
      </c>
      <c r="J1231" s="9583"/>
      <c r="K1231" s="105" t="s">
        <v>156</v>
      </c>
      <c r="L1231" s="6794">
        <v>52</v>
      </c>
      <c r="M1231" s="7304" t="s">
        <v>801</v>
      </c>
      <c r="N1231" s="6873">
        <v>80</v>
      </c>
      <c r="O1231" s="7401" t="s">
        <v>801</v>
      </c>
      <c r="P1231" s="6946">
        <v>50</v>
      </c>
      <c r="Q1231" s="7478"/>
      <c r="R1231" s="6659" t="s">
        <v>31</v>
      </c>
      <c r="S1231" s="6587"/>
      <c r="T1231" s="2468"/>
      <c r="U1231" s="4849"/>
      <c r="V1231" s="545"/>
      <c r="W1231" s="546"/>
      <c r="X1231" s="547"/>
      <c r="Y1231" s="548"/>
      <c r="Z1231" s="277"/>
      <c r="AA1231" s="277"/>
      <c r="AB1231" s="187"/>
    </row>
    <row r="1232" spans="1:30" ht="20.100000000000001" customHeight="1">
      <c r="A1232" s="11"/>
      <c r="B1232" s="1360"/>
      <c r="C1232" s="5598"/>
      <c r="D1232" s="9598" t="s">
        <v>146</v>
      </c>
      <c r="E1232" s="9600"/>
      <c r="F1232" s="285" t="s">
        <v>156</v>
      </c>
      <c r="G1232" s="666"/>
      <c r="H1232" s="684"/>
      <c r="I1232" s="9582" t="s">
        <v>147</v>
      </c>
      <c r="J1232" s="9583"/>
      <c r="K1232" s="105" t="s">
        <v>156</v>
      </c>
      <c r="L1232" s="6794">
        <v>0</v>
      </c>
      <c r="M1232" s="7301"/>
      <c r="N1232" s="6873">
        <v>0</v>
      </c>
      <c r="O1232" s="7400"/>
      <c r="P1232" s="6946">
        <v>0</v>
      </c>
      <c r="Q1232" s="7478"/>
      <c r="R1232" s="6659" t="s">
        <v>31</v>
      </c>
      <c r="S1232" s="6587"/>
      <c r="T1232" s="2468"/>
      <c r="U1232" s="4849"/>
      <c r="V1232" s="545"/>
      <c r="W1232" s="546"/>
      <c r="X1232" s="547"/>
      <c r="Y1232" s="548"/>
      <c r="Z1232" s="277"/>
      <c r="AA1232" s="277"/>
      <c r="AB1232" s="187"/>
    </row>
    <row r="1233" spans="1:30" ht="20.100000000000001" customHeight="1">
      <c r="A1233" s="11"/>
      <c r="B1233" s="1360"/>
      <c r="C1233" s="5598"/>
      <c r="D1233" s="9598" t="s">
        <v>149</v>
      </c>
      <c r="E1233" s="9600"/>
      <c r="F1233" s="285" t="s">
        <v>156</v>
      </c>
      <c r="G1233" s="666"/>
      <c r="H1233" s="684"/>
      <c r="I1233" s="9582" t="s">
        <v>150</v>
      </c>
      <c r="J1233" s="9583"/>
      <c r="K1233" s="105" t="s">
        <v>156</v>
      </c>
      <c r="L1233" s="6794">
        <v>43</v>
      </c>
      <c r="M1233" s="7301"/>
      <c r="N1233" s="6873">
        <v>36</v>
      </c>
      <c r="O1233" s="7301"/>
      <c r="P1233" s="6873">
        <v>70</v>
      </c>
      <c r="Q1233" s="7478"/>
      <c r="R1233" s="6659" t="s">
        <v>31</v>
      </c>
      <c r="S1233" s="6587"/>
      <c r="T1233" s="2468"/>
      <c r="U1233" s="4849"/>
      <c r="V1233" s="545"/>
      <c r="W1233" s="546"/>
      <c r="X1233" s="547"/>
      <c r="Y1233" s="548"/>
      <c r="Z1233" s="277"/>
      <c r="AA1233" s="277"/>
      <c r="AB1233" s="187"/>
    </row>
    <row r="1234" spans="1:30" ht="20.100000000000001" customHeight="1">
      <c r="A1234" s="11"/>
      <c r="B1234" s="1360"/>
      <c r="C1234" s="5598"/>
      <c r="D1234" s="9584" t="s">
        <v>827</v>
      </c>
      <c r="E1234" s="9585"/>
      <c r="F1234" s="6683" t="s">
        <v>156</v>
      </c>
      <c r="G1234" s="7025"/>
      <c r="H1234" s="7033"/>
      <c r="I1234" s="9584" t="s">
        <v>938</v>
      </c>
      <c r="J1234" s="9585"/>
      <c r="K1234" s="6683" t="s">
        <v>156</v>
      </c>
      <c r="L1234" s="7016">
        <f>IF(COUNTBLANK(L1235:L1240)&gt;0,"미취합법인有",AVERAGE(L1235:L1240))</f>
        <v>40.200000000000003</v>
      </c>
      <c r="M1234" s="7026"/>
      <c r="N1234" s="7001">
        <f>IF(COUNTBLANK(N1235:N1240)&gt;0,"미취합법인有",AVERAGE(N1235:N1240))</f>
        <v>22.8</v>
      </c>
      <c r="O1234" s="7384"/>
      <c r="P1234" s="7002">
        <f>IF(COUNTBLANK(P1235:P1240)&gt;0,"미취합법인有",AVERAGE(P1235:P1240))</f>
        <v>31</v>
      </c>
      <c r="Q1234" s="7029"/>
      <c r="R1234" s="7010" t="s">
        <v>31</v>
      </c>
      <c r="S1234" s="7007"/>
      <c r="T1234" s="7035"/>
      <c r="U1234" s="676"/>
      <c r="V1234" s="99" t="s">
        <v>737</v>
      </c>
      <c r="W1234" s="547" t="s">
        <v>800</v>
      </c>
      <c r="X1234" s="547"/>
      <c r="Y1234" s="99"/>
      <c r="Z1234" s="620" t="s">
        <v>919</v>
      </c>
      <c r="AA1234" s="620" t="s">
        <v>884</v>
      </c>
      <c r="AB1234" s="159"/>
    </row>
    <row r="1235" spans="1:30" ht="20.100000000000001" customHeight="1">
      <c r="A1235" s="11"/>
      <c r="B1235" s="1360"/>
      <c r="C1235" s="5598"/>
      <c r="D1235" s="9598" t="s">
        <v>134</v>
      </c>
      <c r="E1235" s="9600"/>
      <c r="F1235" s="285" t="s">
        <v>156</v>
      </c>
      <c r="G1235" s="666"/>
      <c r="H1235" s="684"/>
      <c r="I1235" s="9579" t="s">
        <v>135</v>
      </c>
      <c r="J1235" s="9581"/>
      <c r="K1235" s="105" t="s">
        <v>156</v>
      </c>
      <c r="L1235" s="6794">
        <v>55</v>
      </c>
      <c r="M1235" s="7301"/>
      <c r="N1235" s="6873">
        <v>30</v>
      </c>
      <c r="O1235" s="7400" t="s">
        <v>950</v>
      </c>
      <c r="P1235" s="6946">
        <v>10</v>
      </c>
      <c r="Q1235" s="7478"/>
      <c r="R1235" s="6659" t="s">
        <v>31</v>
      </c>
      <c r="S1235" s="6587"/>
      <c r="T1235" s="2468"/>
      <c r="U1235" s="4849"/>
      <c r="V1235" s="545"/>
      <c r="W1235" s="546"/>
      <c r="X1235" s="547"/>
      <c r="Y1235" s="548"/>
      <c r="Z1235" s="277"/>
      <c r="AA1235" s="277"/>
      <c r="AB1235" s="187"/>
    </row>
    <row r="1236" spans="1:30" ht="20.100000000000001" customHeight="1">
      <c r="A1236" s="11"/>
      <c r="B1236" s="1360"/>
      <c r="C1236" s="5598"/>
      <c r="D1236" s="9598" t="s">
        <v>137</v>
      </c>
      <c r="E1236" s="9600"/>
      <c r="F1236" s="285" t="s">
        <v>156</v>
      </c>
      <c r="G1236" s="666"/>
      <c r="H1236" s="684"/>
      <c r="I1236" s="9579" t="s">
        <v>138</v>
      </c>
      <c r="J1236" s="9581"/>
      <c r="K1236" s="105" t="s">
        <v>156</v>
      </c>
      <c r="L1236" s="6800" t="s">
        <v>168</v>
      </c>
      <c r="M1236" s="7301" t="s">
        <v>640</v>
      </c>
      <c r="N1236" s="6873" t="s">
        <v>169</v>
      </c>
      <c r="O1236" s="7400" t="s">
        <v>641</v>
      </c>
      <c r="P1236" s="6947">
        <v>50</v>
      </c>
      <c r="Q1236" s="7478"/>
      <c r="R1236" s="6659" t="s">
        <v>31</v>
      </c>
      <c r="S1236" s="6587"/>
      <c r="T1236" s="2468"/>
      <c r="U1236" s="4849"/>
      <c r="V1236" s="545"/>
      <c r="W1236" s="546"/>
      <c r="X1236" s="547"/>
      <c r="Y1236" s="548"/>
      <c r="Z1236" s="277"/>
      <c r="AA1236" s="277"/>
      <c r="AB1236" s="187"/>
      <c r="AD1236" s="139" t="s">
        <v>949</v>
      </c>
    </row>
    <row r="1237" spans="1:30" ht="20.100000000000001" customHeight="1">
      <c r="A1237" s="11"/>
      <c r="B1237" s="1360"/>
      <c r="C1237" s="5598"/>
      <c r="D1237" s="9598" t="s">
        <v>140</v>
      </c>
      <c r="E1237" s="9600"/>
      <c r="F1237" s="285" t="s">
        <v>156</v>
      </c>
      <c r="G1237" s="666"/>
      <c r="H1237" s="684"/>
      <c r="I1237" s="9582" t="s">
        <v>141</v>
      </c>
      <c r="J1237" s="9583"/>
      <c r="K1237" s="105" t="s">
        <v>156</v>
      </c>
      <c r="L1237" s="6794">
        <v>43</v>
      </c>
      <c r="M1237" s="7301"/>
      <c r="N1237" s="6873">
        <v>52</v>
      </c>
      <c r="O1237" s="7400"/>
      <c r="P1237" s="6946">
        <v>46</v>
      </c>
      <c r="Q1237" s="7478"/>
      <c r="R1237" s="6659" t="s">
        <v>31</v>
      </c>
      <c r="S1237" s="6587"/>
      <c r="T1237" s="2468"/>
      <c r="U1237" s="4849"/>
      <c r="V1237" s="545"/>
      <c r="W1237" s="546"/>
      <c r="X1237" s="547"/>
      <c r="Y1237" s="548"/>
      <c r="Z1237" s="277"/>
      <c r="AA1237" s="277"/>
      <c r="AB1237" s="187"/>
    </row>
    <row r="1238" spans="1:30" ht="20.100000000000001" customHeight="1">
      <c r="A1238" s="11"/>
      <c r="B1238" s="1360"/>
      <c r="C1238" s="5598"/>
      <c r="D1238" s="9598" t="s">
        <v>143</v>
      </c>
      <c r="E1238" s="9600"/>
      <c r="F1238" s="285" t="s">
        <v>156</v>
      </c>
      <c r="G1238" s="666"/>
      <c r="H1238" s="684"/>
      <c r="I1238" s="9582" t="s">
        <v>144</v>
      </c>
      <c r="J1238" s="9583"/>
      <c r="K1238" s="105" t="s">
        <v>156</v>
      </c>
      <c r="L1238" s="6794">
        <v>48</v>
      </c>
      <c r="M1238" s="7304" t="s">
        <v>801</v>
      </c>
      <c r="N1238" s="6873">
        <v>20</v>
      </c>
      <c r="O1238" s="7401" t="s">
        <v>801</v>
      </c>
      <c r="P1238" s="6946">
        <v>50</v>
      </c>
      <c r="Q1238" s="7478"/>
      <c r="R1238" s="6659" t="s">
        <v>31</v>
      </c>
      <c r="S1238" s="6587"/>
      <c r="T1238" s="2468"/>
      <c r="U1238" s="4849"/>
      <c r="V1238" s="545"/>
      <c r="W1238" s="546"/>
      <c r="X1238" s="547"/>
      <c r="Y1238" s="548"/>
      <c r="Z1238" s="277"/>
      <c r="AA1238" s="277"/>
      <c r="AB1238" s="187"/>
    </row>
    <row r="1239" spans="1:30" ht="20.100000000000001" customHeight="1">
      <c r="A1239" s="11"/>
      <c r="B1239" s="1360"/>
      <c r="C1239" s="5598"/>
      <c r="D1239" s="9598" t="s">
        <v>146</v>
      </c>
      <c r="E1239" s="9600"/>
      <c r="F1239" s="285" t="s">
        <v>156</v>
      </c>
      <c r="G1239" s="666"/>
      <c r="H1239" s="684"/>
      <c r="I1239" s="9582" t="s">
        <v>147</v>
      </c>
      <c r="J1239" s="9583"/>
      <c r="K1239" s="105" t="s">
        <v>156</v>
      </c>
      <c r="L1239" s="6794">
        <v>0</v>
      </c>
      <c r="M1239" s="7301"/>
      <c r="N1239" s="6873">
        <v>0</v>
      </c>
      <c r="O1239" s="7400"/>
      <c r="P1239" s="6946">
        <v>0</v>
      </c>
      <c r="Q1239" s="7478"/>
      <c r="R1239" s="6659" t="s">
        <v>31</v>
      </c>
      <c r="S1239" s="6587"/>
      <c r="T1239" s="2468"/>
      <c r="U1239" s="4849"/>
      <c r="V1239" s="545"/>
      <c r="W1239" s="546"/>
      <c r="X1239" s="547"/>
      <c r="Y1239" s="548"/>
      <c r="Z1239" s="277"/>
      <c r="AA1239" s="277"/>
      <c r="AB1239" s="187"/>
    </row>
    <row r="1240" spans="1:30" ht="20.100000000000001" customHeight="1">
      <c r="A1240" s="11"/>
      <c r="B1240" s="1360"/>
      <c r="C1240" s="5598"/>
      <c r="D1240" s="9598" t="s">
        <v>149</v>
      </c>
      <c r="E1240" s="9600"/>
      <c r="F1240" s="285" t="s">
        <v>156</v>
      </c>
      <c r="G1240" s="666"/>
      <c r="H1240" s="684"/>
      <c r="I1240" s="9582" t="s">
        <v>150</v>
      </c>
      <c r="J1240" s="9583"/>
      <c r="K1240" s="105" t="s">
        <v>156</v>
      </c>
      <c r="L1240" s="6794">
        <v>55</v>
      </c>
      <c r="M1240" s="7301"/>
      <c r="N1240" s="6873">
        <v>12</v>
      </c>
      <c r="O1240" s="7301"/>
      <c r="P1240" s="6873">
        <v>30</v>
      </c>
      <c r="Q1240" s="7478"/>
      <c r="R1240" s="6659" t="s">
        <v>31</v>
      </c>
      <c r="S1240" s="6587"/>
      <c r="T1240" s="2468"/>
      <c r="U1240" s="4849"/>
      <c r="V1240" s="545"/>
      <c r="W1240" s="546"/>
      <c r="X1240" s="547"/>
      <c r="Y1240" s="548"/>
      <c r="Z1240" s="277"/>
      <c r="AA1240" s="277"/>
      <c r="AB1240" s="187"/>
    </row>
    <row r="1241" spans="1:30" ht="20.100000000000001" customHeight="1">
      <c r="A1241" s="11"/>
      <c r="B1241" s="1360"/>
      <c r="C1241" s="5598"/>
      <c r="D1241" s="9584" t="s">
        <v>830</v>
      </c>
      <c r="E1241" s="9585"/>
      <c r="F1241" s="6683" t="s">
        <v>156</v>
      </c>
      <c r="G1241" s="7025"/>
      <c r="H1241" s="7033"/>
      <c r="I1241" s="9584" t="s">
        <v>940</v>
      </c>
      <c r="J1241" s="9585"/>
      <c r="K1241" s="6683" t="s">
        <v>156</v>
      </c>
      <c r="L1241" s="7016">
        <f>IF(COUNTBLANK(L1242:L1247)&gt;0,"미취합법인有",AVERAGE(L1242:L1247))</f>
        <v>13.200915331807781</v>
      </c>
      <c r="M1241" s="7026"/>
      <c r="N1241" s="7001">
        <f>IF(COUNTBLANK(N1242:N1247)&gt;0,"미취합법인有",AVERAGE(N1242:N1247))</f>
        <v>14.6</v>
      </c>
      <c r="O1241" s="7384"/>
      <c r="P1241" s="7002">
        <f>IF(COUNTBLANK(P1242:P1247)&gt;0,"미취합법인有",AVERAGE(P1242:P1247))</f>
        <v>0.33333333333333331</v>
      </c>
      <c r="Q1241" s="7029"/>
      <c r="R1241" s="7010" t="s">
        <v>31</v>
      </c>
      <c r="S1241" s="7007"/>
      <c r="T1241" s="7035"/>
      <c r="U1241" s="676"/>
      <c r="V1241" s="99" t="s">
        <v>737</v>
      </c>
      <c r="W1241" s="547" t="s">
        <v>800</v>
      </c>
      <c r="X1241" s="547"/>
      <c r="Y1241" s="99"/>
      <c r="Z1241" s="620" t="s">
        <v>919</v>
      </c>
      <c r="AA1241" s="620" t="s">
        <v>884</v>
      </c>
      <c r="AB1241" s="159"/>
    </row>
    <row r="1242" spans="1:30" ht="20.100000000000001" customHeight="1">
      <c r="A1242" s="11"/>
      <c r="B1242" s="1360"/>
      <c r="C1242" s="5598"/>
      <c r="D1242" s="9598" t="s">
        <v>134</v>
      </c>
      <c r="E1242" s="9600"/>
      <c r="F1242" s="285" t="s">
        <v>156</v>
      </c>
      <c r="G1242" s="666"/>
      <c r="H1242" s="684"/>
      <c r="I1242" s="9579" t="s">
        <v>135</v>
      </c>
      <c r="J1242" s="9581"/>
      <c r="K1242" s="105" t="s">
        <v>156</v>
      </c>
      <c r="L1242" s="6794">
        <v>64</v>
      </c>
      <c r="M1242" s="7301"/>
      <c r="N1242" s="6843">
        <v>73</v>
      </c>
      <c r="O1242" s="7400" t="s">
        <v>951</v>
      </c>
      <c r="P1242" s="6946">
        <v>1</v>
      </c>
      <c r="Q1242" s="7479"/>
      <c r="R1242" s="6659" t="s">
        <v>31</v>
      </c>
      <c r="S1242" s="6588"/>
      <c r="T1242" s="2468"/>
      <c r="U1242" s="4849"/>
      <c r="V1242" s="545"/>
      <c r="W1242" s="546"/>
      <c r="X1242" s="547"/>
      <c r="Y1242" s="548"/>
      <c r="Z1242" s="277"/>
      <c r="AA1242" s="277"/>
      <c r="AB1242" s="187"/>
    </row>
    <row r="1243" spans="1:30" ht="20.100000000000001" customHeight="1">
      <c r="A1243" s="11"/>
      <c r="B1243" s="1360"/>
      <c r="C1243" s="5598"/>
      <c r="D1243" s="9598" t="s">
        <v>137</v>
      </c>
      <c r="E1243" s="9600"/>
      <c r="F1243" s="285" t="s">
        <v>156</v>
      </c>
      <c r="G1243" s="666"/>
      <c r="H1243" s="684"/>
      <c r="I1243" s="9579" t="s">
        <v>138</v>
      </c>
      <c r="J1243" s="9581"/>
      <c r="K1243" s="105" t="s">
        <v>156</v>
      </c>
      <c r="L1243" s="6800" t="s">
        <v>168</v>
      </c>
      <c r="M1243" s="7301" t="s">
        <v>640</v>
      </c>
      <c r="N1243" s="6843" t="s">
        <v>169</v>
      </c>
      <c r="O1243" s="7399" t="s">
        <v>641</v>
      </c>
      <c r="P1243" s="6947">
        <v>0</v>
      </c>
      <c r="Q1243" s="7479"/>
      <c r="R1243" s="6659" t="s">
        <v>31</v>
      </c>
      <c r="S1243" s="6588"/>
      <c r="T1243" s="2468"/>
      <c r="U1243" s="544"/>
      <c r="V1243" s="545"/>
      <c r="W1243" s="546"/>
      <c r="X1243" s="547"/>
      <c r="Y1243" s="548"/>
      <c r="Z1243" s="277"/>
      <c r="AA1243" s="277"/>
      <c r="AB1243" s="187"/>
      <c r="AD1243" s="139" t="s">
        <v>949</v>
      </c>
    </row>
    <row r="1244" spans="1:30" ht="20.100000000000001" customHeight="1">
      <c r="A1244" s="11"/>
      <c r="B1244" s="1360"/>
      <c r="C1244" s="5598"/>
      <c r="D1244" s="9598" t="s">
        <v>140</v>
      </c>
      <c r="E1244" s="9600"/>
      <c r="F1244" s="285" t="s">
        <v>156</v>
      </c>
      <c r="G1244" s="666"/>
      <c r="H1244" s="684"/>
      <c r="I1244" s="9582" t="s">
        <v>141</v>
      </c>
      <c r="J1244" s="9583"/>
      <c r="K1244" s="105" t="s">
        <v>156</v>
      </c>
      <c r="L1244" s="6794">
        <v>4.5766590389016018E-3</v>
      </c>
      <c r="M1244" s="7301"/>
      <c r="N1244" s="6843">
        <v>0</v>
      </c>
      <c r="O1244" s="7399"/>
      <c r="P1244" s="6946">
        <v>1</v>
      </c>
      <c r="Q1244" s="7479"/>
      <c r="R1244" s="6659" t="s">
        <v>31</v>
      </c>
      <c r="S1244" s="6588"/>
      <c r="T1244" s="2468"/>
      <c r="U1244" s="544"/>
      <c r="V1244" s="545"/>
      <c r="W1244" s="546"/>
      <c r="X1244" s="547"/>
      <c r="Y1244" s="548"/>
      <c r="Z1244" s="277"/>
      <c r="AA1244" s="277"/>
      <c r="AB1244" s="187"/>
    </row>
    <row r="1245" spans="1:30" ht="20.100000000000001" customHeight="1">
      <c r="A1245" s="11"/>
      <c r="B1245" s="1360"/>
      <c r="C1245" s="5598"/>
      <c r="D1245" s="9598" t="s">
        <v>143</v>
      </c>
      <c r="E1245" s="9600"/>
      <c r="F1245" s="285" t="s">
        <v>156</v>
      </c>
      <c r="G1245" s="666"/>
      <c r="H1245" s="684"/>
      <c r="I1245" s="9582" t="s">
        <v>144</v>
      </c>
      <c r="J1245" s="9583"/>
      <c r="K1245" s="105" t="s">
        <v>156</v>
      </c>
      <c r="L1245" s="6794">
        <v>0</v>
      </c>
      <c r="M1245" s="7304" t="s">
        <v>801</v>
      </c>
      <c r="N1245" s="6843">
        <v>0</v>
      </c>
      <c r="O1245" s="7401" t="s">
        <v>801</v>
      </c>
      <c r="P1245" s="6946">
        <v>0</v>
      </c>
      <c r="Q1245" s="7479"/>
      <c r="R1245" s="6659" t="s">
        <v>31</v>
      </c>
      <c r="S1245" s="6588"/>
      <c r="T1245" s="2468"/>
      <c r="U1245" s="544"/>
      <c r="V1245" s="545"/>
      <c r="W1245" s="546"/>
      <c r="X1245" s="547"/>
      <c r="Y1245" s="548"/>
      <c r="Z1245" s="277"/>
      <c r="AA1245" s="277"/>
      <c r="AB1245" s="187"/>
    </row>
    <row r="1246" spans="1:30" ht="20.100000000000001" customHeight="1">
      <c r="A1246" s="11"/>
      <c r="B1246" s="1360"/>
      <c r="C1246" s="5598"/>
      <c r="D1246" s="9598" t="s">
        <v>146</v>
      </c>
      <c r="E1246" s="9600"/>
      <c r="F1246" s="285" t="s">
        <v>156</v>
      </c>
      <c r="G1246" s="666"/>
      <c r="H1246" s="684"/>
      <c r="I1246" s="9582" t="s">
        <v>147</v>
      </c>
      <c r="J1246" s="9583"/>
      <c r="K1246" s="105" t="s">
        <v>156</v>
      </c>
      <c r="L1246" s="6794">
        <v>0</v>
      </c>
      <c r="M1246" s="7301"/>
      <c r="N1246" s="6843">
        <v>0</v>
      </c>
      <c r="O1246" s="7399"/>
      <c r="P1246" s="6946">
        <v>0</v>
      </c>
      <c r="Q1246" s="7479"/>
      <c r="R1246" s="6659" t="s">
        <v>31</v>
      </c>
      <c r="S1246" s="6588"/>
      <c r="T1246" s="2468"/>
      <c r="U1246" s="544"/>
      <c r="V1246" s="545"/>
      <c r="W1246" s="546"/>
      <c r="X1246" s="547"/>
      <c r="Y1246" s="548"/>
      <c r="Z1246" s="277"/>
      <c r="AA1246" s="277"/>
      <c r="AB1246" s="187"/>
    </row>
    <row r="1247" spans="1:30" ht="20.100000000000001" customHeight="1" thickBot="1">
      <c r="A1247" s="11"/>
      <c r="B1247" s="1360"/>
      <c r="C1247" s="5598"/>
      <c r="D1247" s="9598" t="s">
        <v>149</v>
      </c>
      <c r="E1247" s="9600"/>
      <c r="F1247" s="285" t="s">
        <v>156</v>
      </c>
      <c r="G1247" s="6161"/>
      <c r="H1247" s="4693"/>
      <c r="I1247" s="9589" t="s">
        <v>150</v>
      </c>
      <c r="J1247" s="9590"/>
      <c r="K1247" s="105" t="s">
        <v>156</v>
      </c>
      <c r="L1247" s="6794">
        <v>2</v>
      </c>
      <c r="M1247" s="7301"/>
      <c r="N1247" s="6843">
        <v>0</v>
      </c>
      <c r="O1247" s="7301"/>
      <c r="P1247" s="6843">
        <v>0</v>
      </c>
      <c r="Q1247" s="7479"/>
      <c r="R1247" s="6673" t="s">
        <v>31</v>
      </c>
      <c r="S1247" s="6590"/>
      <c r="T1247" s="2468"/>
      <c r="U1247" s="544"/>
      <c r="V1247" s="545"/>
      <c r="W1247" s="546"/>
      <c r="X1247" s="547"/>
      <c r="Y1247" s="548"/>
      <c r="Z1247" s="277"/>
      <c r="AA1247" s="277"/>
      <c r="AB1247" s="187"/>
    </row>
    <row r="1248" spans="1:30" ht="20.100000000000001" customHeight="1">
      <c r="A1248" s="11"/>
      <c r="B1248" s="1360"/>
      <c r="C1248" s="9903" t="s">
        <v>1914</v>
      </c>
      <c r="D1248" s="9904"/>
      <c r="E1248" s="9904"/>
      <c r="F1248" s="9904"/>
      <c r="G1248" s="9904"/>
      <c r="H1248" s="9904" t="s">
        <v>944</v>
      </c>
      <c r="I1248" s="9904"/>
      <c r="J1248" s="9904"/>
      <c r="K1248" s="9904" t="s">
        <v>168</v>
      </c>
      <c r="L1248" s="9904"/>
      <c r="M1248" s="9904"/>
      <c r="N1248" s="9904"/>
      <c r="O1248" s="9904"/>
      <c r="P1248" s="9904"/>
      <c r="Q1248" s="9905"/>
      <c r="R1248" s="7023" t="s">
        <v>31</v>
      </c>
      <c r="S1248" s="7858"/>
      <c r="T1248" s="6707"/>
      <c r="U1248" s="4849"/>
      <c r="V1248" s="99" t="s">
        <v>737</v>
      </c>
      <c r="W1248" s="547" t="s">
        <v>800</v>
      </c>
      <c r="X1248" s="547"/>
      <c r="Y1248" s="99"/>
      <c r="Z1248" s="620" t="s">
        <v>919</v>
      </c>
      <c r="AA1248" s="620" t="s">
        <v>884</v>
      </c>
      <c r="AB1248" s="159"/>
    </row>
    <row r="1249" spans="1:30" ht="20.100000000000001" customHeight="1">
      <c r="A1249" s="11"/>
      <c r="B1249" s="1360"/>
      <c r="C1249" s="5598"/>
      <c r="D1249" s="9584" t="s">
        <v>796</v>
      </c>
      <c r="E1249" s="9585"/>
      <c r="F1249" s="6683" t="s">
        <v>156</v>
      </c>
      <c r="G1249" s="7025"/>
      <c r="H1249" s="7033"/>
      <c r="I1249" s="9584" t="s">
        <v>928</v>
      </c>
      <c r="J1249" s="9585"/>
      <c r="K1249" s="6683" t="s">
        <v>156</v>
      </c>
      <c r="L1249" s="7016">
        <f>IF(COUNTBLANK(L1250:L1255)&gt;0,"미취합법인有",AVERAGE(L1250:L1255))</f>
        <v>38.302</v>
      </c>
      <c r="M1249" s="7026"/>
      <c r="N1249" s="7001">
        <f>IF(COUNTBLANK(N1250:N1255)&gt;0,"미취합법인有",AVERAGE(N1250:N1255))</f>
        <v>36.281999999999996</v>
      </c>
      <c r="O1249" s="7384"/>
      <c r="P1249" s="7002">
        <f>IF(COUNTBLANK(P1250:P1255)&gt;0,"미취합법인有",AVERAGE(P1250:P1255))</f>
        <v>28.521276595744684</v>
      </c>
      <c r="Q1249" s="7029"/>
      <c r="R1249" s="7010" t="s">
        <v>31</v>
      </c>
      <c r="S1249" s="7007"/>
      <c r="T1249" s="7035" t="s">
        <v>945</v>
      </c>
      <c r="U1249" s="4849" t="s">
        <v>946</v>
      </c>
      <c r="V1249" s="99" t="s">
        <v>737</v>
      </c>
      <c r="W1249" s="547" t="s">
        <v>800</v>
      </c>
      <c r="X1249" s="547"/>
      <c r="Y1249" s="99"/>
      <c r="Z1249" s="620" t="s">
        <v>919</v>
      </c>
      <c r="AA1249" s="620" t="s">
        <v>884</v>
      </c>
      <c r="AB1249" s="159"/>
    </row>
    <row r="1250" spans="1:30" ht="20.100000000000001" customHeight="1">
      <c r="A1250" s="11"/>
      <c r="B1250" s="1360"/>
      <c r="C1250" s="5598"/>
      <c r="D1250" s="9598" t="s">
        <v>134</v>
      </c>
      <c r="E1250" s="9600"/>
      <c r="F1250" s="285" t="s">
        <v>156</v>
      </c>
      <c r="G1250" s="666"/>
      <c r="H1250" s="684"/>
      <c r="I1250" s="9579" t="s">
        <v>135</v>
      </c>
      <c r="J1250" s="9581"/>
      <c r="K1250" s="105" t="s">
        <v>156</v>
      </c>
      <c r="L1250" s="6794">
        <v>45</v>
      </c>
      <c r="M1250" s="7301"/>
      <c r="N1250" s="6873">
        <v>26</v>
      </c>
      <c r="O1250" s="7398" t="s">
        <v>947</v>
      </c>
      <c r="P1250" s="6946">
        <v>11</v>
      </c>
      <c r="Q1250" s="7478"/>
      <c r="R1250" s="6659" t="s">
        <v>31</v>
      </c>
      <c r="S1250" s="6587"/>
      <c r="T1250" s="2468"/>
      <c r="U1250" s="4849"/>
      <c r="V1250" s="545"/>
      <c r="W1250" s="546"/>
      <c r="X1250" s="547"/>
      <c r="Y1250" s="548"/>
      <c r="Z1250" s="277"/>
      <c r="AA1250" s="277"/>
      <c r="AB1250" s="187"/>
    </row>
    <row r="1251" spans="1:30" ht="20.100000000000001" customHeight="1">
      <c r="A1251" s="11"/>
      <c r="B1251" s="1360"/>
      <c r="C1251" s="5598"/>
      <c r="D1251" s="9598" t="s">
        <v>137</v>
      </c>
      <c r="E1251" s="9600"/>
      <c r="F1251" s="285" t="s">
        <v>156</v>
      </c>
      <c r="G1251" s="666"/>
      <c r="H1251" s="684"/>
      <c r="I1251" s="9579" t="s">
        <v>138</v>
      </c>
      <c r="J1251" s="9581"/>
      <c r="K1251" s="105" t="s">
        <v>156</v>
      </c>
      <c r="L1251" s="6800" t="s">
        <v>168</v>
      </c>
      <c r="M1251" s="7301" t="s">
        <v>640</v>
      </c>
      <c r="N1251" s="6873" t="s">
        <v>169</v>
      </c>
      <c r="O1251" s="7400" t="s">
        <v>641</v>
      </c>
      <c r="P1251" s="6947">
        <v>6</v>
      </c>
      <c r="Q1251" s="7478"/>
      <c r="R1251" s="6659" t="s">
        <v>31</v>
      </c>
      <c r="S1251" s="6587"/>
      <c r="T1251" s="2468"/>
      <c r="U1251" s="4849"/>
      <c r="V1251" s="545"/>
      <c r="W1251" s="546"/>
      <c r="X1251" s="547"/>
      <c r="Y1251" s="548"/>
      <c r="Z1251" s="277"/>
      <c r="AA1251" s="277"/>
      <c r="AB1251" s="187"/>
      <c r="AD1251" s="139" t="s">
        <v>948</v>
      </c>
    </row>
    <row r="1252" spans="1:30" ht="20.100000000000001" customHeight="1">
      <c r="A1252" s="11"/>
      <c r="B1252" s="1360"/>
      <c r="C1252" s="5598"/>
      <c r="D1252" s="9598" t="s">
        <v>140</v>
      </c>
      <c r="E1252" s="9600"/>
      <c r="F1252" s="285" t="s">
        <v>156</v>
      </c>
      <c r="G1252" s="666"/>
      <c r="H1252" s="684"/>
      <c r="I1252" s="9582" t="s">
        <v>141</v>
      </c>
      <c r="J1252" s="9583"/>
      <c r="K1252" s="105" t="s">
        <v>156</v>
      </c>
      <c r="L1252" s="6794">
        <v>29</v>
      </c>
      <c r="M1252" s="7301"/>
      <c r="N1252" s="6873">
        <v>43</v>
      </c>
      <c r="O1252" s="7398"/>
      <c r="P1252" s="6946">
        <v>27</v>
      </c>
      <c r="Q1252" s="7478"/>
      <c r="R1252" s="6659" t="s">
        <v>31</v>
      </c>
      <c r="S1252" s="6587"/>
      <c r="T1252" s="2468"/>
      <c r="U1252" s="4849"/>
      <c r="V1252" s="545"/>
      <c r="W1252" s="546"/>
      <c r="X1252" s="547"/>
      <c r="Y1252" s="548"/>
      <c r="Z1252" s="277"/>
      <c r="AA1252" s="277"/>
      <c r="AB1252" s="187"/>
    </row>
    <row r="1253" spans="1:30" ht="20.100000000000001" customHeight="1">
      <c r="A1253" s="11"/>
      <c r="B1253" s="1360"/>
      <c r="C1253" s="5598"/>
      <c r="D1253" s="9598" t="s">
        <v>143</v>
      </c>
      <c r="E1253" s="9600"/>
      <c r="F1253" s="285" t="s">
        <v>156</v>
      </c>
      <c r="G1253" s="666"/>
      <c r="H1253" s="684"/>
      <c r="I1253" s="9582" t="s">
        <v>144</v>
      </c>
      <c r="J1253" s="9583"/>
      <c r="K1253" s="105" t="s">
        <v>156</v>
      </c>
      <c r="L1253" s="6794">
        <v>52</v>
      </c>
      <c r="M1253" s="7304" t="s">
        <v>801</v>
      </c>
      <c r="N1253" s="6873">
        <v>60</v>
      </c>
      <c r="O1253" s="7402" t="s">
        <v>801</v>
      </c>
      <c r="P1253" s="6946">
        <v>75</v>
      </c>
      <c r="Q1253" s="7478"/>
      <c r="R1253" s="6659" t="s">
        <v>31</v>
      </c>
      <c r="S1253" s="6587"/>
      <c r="T1253" s="2468"/>
      <c r="U1253" s="4849"/>
      <c r="V1253" s="545"/>
      <c r="W1253" s="546"/>
      <c r="X1253" s="547"/>
      <c r="Y1253" s="548"/>
      <c r="Z1253" s="277"/>
      <c r="AA1253" s="277"/>
      <c r="AB1253" s="187"/>
    </row>
    <row r="1254" spans="1:30" ht="20.100000000000001" customHeight="1">
      <c r="A1254" s="11"/>
      <c r="B1254" s="1360"/>
      <c r="C1254" s="5598"/>
      <c r="D1254" s="9598" t="s">
        <v>146</v>
      </c>
      <c r="E1254" s="9600"/>
      <c r="F1254" s="285" t="s">
        <v>156</v>
      </c>
      <c r="G1254" s="666"/>
      <c r="H1254" s="684"/>
      <c r="I1254" s="9582" t="s">
        <v>147</v>
      </c>
      <c r="J1254" s="9583"/>
      <c r="K1254" s="105" t="s">
        <v>156</v>
      </c>
      <c r="L1254" s="6794">
        <v>0</v>
      </c>
      <c r="M1254" s="7301"/>
      <c r="N1254" s="6873">
        <v>0</v>
      </c>
      <c r="O1254" s="7398"/>
      <c r="P1254" s="6946">
        <v>0</v>
      </c>
      <c r="Q1254" s="7478"/>
      <c r="R1254" s="6659" t="s">
        <v>31</v>
      </c>
      <c r="S1254" s="6587"/>
      <c r="T1254" s="2468"/>
      <c r="U1254" s="676"/>
      <c r="V1254" s="545"/>
      <c r="W1254" s="546"/>
      <c r="X1254" s="547"/>
      <c r="Y1254" s="548"/>
      <c r="Z1254" s="277"/>
      <c r="AA1254" s="277"/>
      <c r="AB1254" s="187"/>
    </row>
    <row r="1255" spans="1:30" ht="20.100000000000001" customHeight="1">
      <c r="A1255" s="11"/>
      <c r="B1255" s="1360"/>
      <c r="C1255" s="5598"/>
      <c r="D1255" s="9598" t="s">
        <v>149</v>
      </c>
      <c r="E1255" s="9600"/>
      <c r="F1255" s="285" t="s">
        <v>156</v>
      </c>
      <c r="G1255" s="666"/>
      <c r="H1255" s="684"/>
      <c r="I1255" s="9582" t="s">
        <v>150</v>
      </c>
      <c r="J1255" s="9583"/>
      <c r="K1255" s="105" t="s">
        <v>156</v>
      </c>
      <c r="L1255" s="6794">
        <v>65.510000000000005</v>
      </c>
      <c r="M1255" s="7301"/>
      <c r="N1255" s="6843">
        <v>52.41</v>
      </c>
      <c r="O1255" s="7300"/>
      <c r="P1255" s="6843">
        <v>52.127659574468098</v>
      </c>
      <c r="Q1255" s="7478"/>
      <c r="R1255" s="6659" t="s">
        <v>31</v>
      </c>
      <c r="S1255" s="6587"/>
      <c r="T1255" s="2468"/>
      <c r="U1255" s="4849"/>
      <c r="V1255" s="545"/>
      <c r="W1255" s="546"/>
      <c r="X1255" s="547"/>
      <c r="Y1255" s="548"/>
      <c r="Z1255" s="277"/>
      <c r="AA1255" s="277"/>
      <c r="AB1255" s="187"/>
    </row>
    <row r="1256" spans="1:30" ht="20.100000000000001" customHeight="1">
      <c r="A1256" s="11"/>
      <c r="B1256" s="1360"/>
      <c r="C1256" s="5598"/>
      <c r="D1256" s="9584" t="s">
        <v>802</v>
      </c>
      <c r="E1256" s="9585"/>
      <c r="F1256" s="6683" t="s">
        <v>156</v>
      </c>
      <c r="G1256" s="7025"/>
      <c r="H1256" s="7033"/>
      <c r="I1256" s="9584" t="s">
        <v>933</v>
      </c>
      <c r="J1256" s="9585"/>
      <c r="K1256" s="6683" t="s">
        <v>156</v>
      </c>
      <c r="L1256" s="7016">
        <f>IF(COUNTBLANK(L1257:L1262)&gt;0,"미취합법인有",AVERAGE(L1257:L1262))</f>
        <v>31.4</v>
      </c>
      <c r="M1256" s="7026"/>
      <c r="N1256" s="7001">
        <f>IF(COUNTBLANK(N1257:N1262)&gt;0,"미취합법인有",AVERAGE(N1257:N1262))</f>
        <v>27.6</v>
      </c>
      <c r="O1256" s="7384"/>
      <c r="P1256" s="7002">
        <f>IF(COUNTBLANK(P1257:P1262)&gt;0,"미취합법인有",AVERAGE(P1257:P1262))</f>
        <v>27.833333333333332</v>
      </c>
      <c r="Q1256" s="7029"/>
      <c r="R1256" s="7010" t="s">
        <v>31</v>
      </c>
      <c r="S1256" s="7007"/>
      <c r="T1256" s="7035"/>
      <c r="U1256" s="4849"/>
      <c r="V1256" s="99" t="s">
        <v>737</v>
      </c>
      <c r="W1256" s="547" t="s">
        <v>800</v>
      </c>
      <c r="X1256" s="547"/>
      <c r="Y1256" s="99"/>
      <c r="Z1256" s="620" t="s">
        <v>919</v>
      </c>
      <c r="AA1256" s="620" t="s">
        <v>884</v>
      </c>
      <c r="AB1256" s="159"/>
    </row>
    <row r="1257" spans="1:30" ht="20.100000000000001" customHeight="1">
      <c r="A1257" s="11"/>
      <c r="B1257" s="1360"/>
      <c r="C1257" s="5598"/>
      <c r="D1257" s="9598" t="s">
        <v>134</v>
      </c>
      <c r="E1257" s="9600"/>
      <c r="F1257" s="285" t="s">
        <v>156</v>
      </c>
      <c r="G1257" s="666"/>
      <c r="H1257" s="684"/>
      <c r="I1257" s="9579" t="s">
        <v>135</v>
      </c>
      <c r="J1257" s="9581"/>
      <c r="K1257" s="105" t="s">
        <v>156</v>
      </c>
      <c r="L1257" s="6794">
        <v>50</v>
      </c>
      <c r="M1257" s="7301"/>
      <c r="N1257" s="6873">
        <v>30</v>
      </c>
      <c r="O1257" s="7400" t="s">
        <v>947</v>
      </c>
      <c r="P1257" s="6946">
        <v>11</v>
      </c>
      <c r="Q1257" s="7478"/>
      <c r="R1257" s="6659" t="s">
        <v>31</v>
      </c>
      <c r="S1257" s="6587"/>
      <c r="T1257" s="2468"/>
      <c r="U1257" s="4849"/>
      <c r="V1257" s="545"/>
      <c r="W1257" s="546"/>
      <c r="X1257" s="547"/>
      <c r="Y1257" s="548"/>
      <c r="Z1257" s="277"/>
      <c r="AA1257" s="277"/>
      <c r="AB1257" s="187"/>
    </row>
    <row r="1258" spans="1:30" ht="20.100000000000001" customHeight="1">
      <c r="A1258" s="11"/>
      <c r="B1258" s="1360"/>
      <c r="C1258" s="5598"/>
      <c r="D1258" s="9598" t="s">
        <v>137</v>
      </c>
      <c r="E1258" s="9600"/>
      <c r="F1258" s="285" t="s">
        <v>156</v>
      </c>
      <c r="G1258" s="666"/>
      <c r="H1258" s="684"/>
      <c r="I1258" s="9579" t="s">
        <v>138</v>
      </c>
      <c r="J1258" s="9581"/>
      <c r="K1258" s="105" t="s">
        <v>156</v>
      </c>
      <c r="L1258" s="6800" t="s">
        <v>168</v>
      </c>
      <c r="M1258" s="7301" t="s">
        <v>640</v>
      </c>
      <c r="N1258" s="6873" t="s">
        <v>169</v>
      </c>
      <c r="O1258" s="7400" t="s">
        <v>641</v>
      </c>
      <c r="P1258" s="6947">
        <v>50</v>
      </c>
      <c r="Q1258" s="7478"/>
      <c r="R1258" s="6659" t="s">
        <v>31</v>
      </c>
      <c r="S1258" s="6587"/>
      <c r="T1258" s="2468"/>
      <c r="U1258" s="4849"/>
      <c r="V1258" s="545"/>
      <c r="W1258" s="546"/>
      <c r="X1258" s="547"/>
      <c r="Y1258" s="548"/>
      <c r="Z1258" s="277"/>
      <c r="AA1258" s="277"/>
      <c r="AB1258" s="187"/>
      <c r="AD1258" s="139" t="s">
        <v>948</v>
      </c>
    </row>
    <row r="1259" spans="1:30" ht="20.100000000000001" customHeight="1">
      <c r="A1259" s="11"/>
      <c r="B1259" s="1360"/>
      <c r="C1259" s="5598"/>
      <c r="D1259" s="9598" t="s">
        <v>140</v>
      </c>
      <c r="E1259" s="9600"/>
      <c r="F1259" s="285" t="s">
        <v>156</v>
      </c>
      <c r="G1259" s="666"/>
      <c r="H1259" s="684"/>
      <c r="I1259" s="9582" t="s">
        <v>141</v>
      </c>
      <c r="J1259" s="9583"/>
      <c r="K1259" s="105" t="s">
        <v>156</v>
      </c>
      <c r="L1259" s="6794">
        <v>25</v>
      </c>
      <c r="M1259" s="7301"/>
      <c r="N1259" s="6873">
        <v>20</v>
      </c>
      <c r="O1259" s="7400"/>
      <c r="P1259" s="6946">
        <v>33</v>
      </c>
      <c r="Q1259" s="7478"/>
      <c r="R1259" s="6659" t="s">
        <v>31</v>
      </c>
      <c r="S1259" s="6587"/>
      <c r="T1259" s="2468"/>
      <c r="U1259" s="4849"/>
      <c r="V1259" s="545"/>
      <c r="W1259" s="546"/>
      <c r="X1259" s="547"/>
      <c r="Y1259" s="548"/>
      <c r="Z1259" s="277"/>
      <c r="AA1259" s="277"/>
      <c r="AB1259" s="187"/>
    </row>
    <row r="1260" spans="1:30" ht="20.100000000000001" customHeight="1">
      <c r="A1260" s="11"/>
      <c r="B1260" s="1360"/>
      <c r="C1260" s="5598"/>
      <c r="D1260" s="9598" t="s">
        <v>143</v>
      </c>
      <c r="E1260" s="9600"/>
      <c r="F1260" s="285" t="s">
        <v>156</v>
      </c>
      <c r="G1260" s="666"/>
      <c r="H1260" s="684"/>
      <c r="I1260" s="9582" t="s">
        <v>144</v>
      </c>
      <c r="J1260" s="9583"/>
      <c r="K1260" s="105" t="s">
        <v>156</v>
      </c>
      <c r="L1260" s="6794">
        <v>48</v>
      </c>
      <c r="M1260" s="7304" t="s">
        <v>801</v>
      </c>
      <c r="N1260" s="6873">
        <v>40</v>
      </c>
      <c r="O1260" s="7401" t="s">
        <v>801</v>
      </c>
      <c r="P1260" s="6946">
        <v>25</v>
      </c>
      <c r="Q1260" s="7478"/>
      <c r="R1260" s="6659" t="s">
        <v>31</v>
      </c>
      <c r="S1260" s="6587"/>
      <c r="T1260" s="2468"/>
      <c r="U1260" s="4849"/>
      <c r="V1260" s="545"/>
      <c r="W1260" s="546"/>
      <c r="X1260" s="547"/>
      <c r="Y1260" s="548"/>
      <c r="Z1260" s="277"/>
      <c r="AA1260" s="277"/>
      <c r="AB1260" s="187"/>
    </row>
    <row r="1261" spans="1:30" ht="20.100000000000001" customHeight="1">
      <c r="A1261" s="11"/>
      <c r="B1261" s="1360"/>
      <c r="C1261" s="5598"/>
      <c r="D1261" s="9598" t="s">
        <v>146</v>
      </c>
      <c r="E1261" s="9600"/>
      <c r="F1261" s="285" t="s">
        <v>156</v>
      </c>
      <c r="G1261" s="666"/>
      <c r="H1261" s="684"/>
      <c r="I1261" s="9582" t="s">
        <v>147</v>
      </c>
      <c r="J1261" s="9583"/>
      <c r="K1261" s="105" t="s">
        <v>156</v>
      </c>
      <c r="L1261" s="6794">
        <v>0</v>
      </c>
      <c r="M1261" s="7301"/>
      <c r="N1261" s="6873">
        <v>0</v>
      </c>
      <c r="O1261" s="7400"/>
      <c r="P1261" s="6946">
        <v>0</v>
      </c>
      <c r="Q1261" s="7478"/>
      <c r="R1261" s="6659" t="s">
        <v>31</v>
      </c>
      <c r="S1261" s="6587"/>
      <c r="T1261" s="2468"/>
      <c r="U1261" s="4849"/>
      <c r="V1261" s="545"/>
      <c r="W1261" s="546"/>
      <c r="X1261" s="547"/>
      <c r="Y1261" s="548"/>
      <c r="Z1261" s="277"/>
      <c r="AA1261" s="277"/>
      <c r="AB1261" s="187"/>
    </row>
    <row r="1262" spans="1:30" ht="20.100000000000001" customHeight="1">
      <c r="A1262" s="11"/>
      <c r="B1262" s="1360"/>
      <c r="C1262" s="5598"/>
      <c r="D1262" s="9598" t="s">
        <v>149</v>
      </c>
      <c r="E1262" s="9600"/>
      <c r="F1262" s="285" t="s">
        <v>156</v>
      </c>
      <c r="G1262" s="666"/>
      <c r="H1262" s="684"/>
      <c r="I1262" s="9582" t="s">
        <v>150</v>
      </c>
      <c r="J1262" s="9583"/>
      <c r="K1262" s="105" t="s">
        <v>156</v>
      </c>
      <c r="L1262" s="6794">
        <v>34</v>
      </c>
      <c r="M1262" s="7301"/>
      <c r="N1262" s="6873">
        <v>48</v>
      </c>
      <c r="O1262" s="7301"/>
      <c r="P1262" s="6873">
        <v>48</v>
      </c>
      <c r="Q1262" s="7478"/>
      <c r="R1262" s="6659" t="s">
        <v>31</v>
      </c>
      <c r="S1262" s="6587"/>
      <c r="T1262" s="2468"/>
      <c r="U1262" s="676"/>
      <c r="V1262" s="545"/>
      <c r="W1262" s="546"/>
      <c r="X1262" s="547"/>
      <c r="Y1262" s="548"/>
      <c r="Z1262" s="277"/>
      <c r="AA1262" s="277"/>
      <c r="AB1262" s="187"/>
    </row>
    <row r="1263" spans="1:30" s="7640" customFormat="1" ht="20.100000000000001" customHeight="1">
      <c r="B1263" s="7641"/>
      <c r="C1263" s="9906" t="s">
        <v>1915</v>
      </c>
      <c r="D1263" s="9907"/>
      <c r="E1263" s="9907"/>
      <c r="F1263" s="9907"/>
      <c r="G1263" s="9907"/>
      <c r="H1263" s="9907"/>
      <c r="I1263" s="9907"/>
      <c r="J1263" s="9907"/>
      <c r="K1263" s="9907"/>
      <c r="L1263" s="9907"/>
      <c r="M1263" s="9907"/>
      <c r="N1263" s="9907"/>
      <c r="O1263" s="9907"/>
      <c r="P1263" s="9907"/>
      <c r="Q1263" s="9908"/>
      <c r="R1263" s="7642"/>
      <c r="S1263" s="7705" t="s">
        <v>1916</v>
      </c>
      <c r="T1263" s="7644"/>
      <c r="U1263" s="7644"/>
      <c r="V1263" s="7645"/>
      <c r="W1263" s="7646"/>
      <c r="X1263" s="7646"/>
      <c r="Y1263" s="7645"/>
      <c r="Z1263" s="7647"/>
      <c r="AA1263" s="7647"/>
      <c r="AB1263" s="7648"/>
      <c r="AC1263" s="7649"/>
    </row>
    <row r="1264" spans="1:30" s="7640" customFormat="1" ht="20.100000000000001" customHeight="1">
      <c r="B1264" s="7641"/>
      <c r="C1264" s="7650"/>
      <c r="D1264" s="9909" t="s">
        <v>823</v>
      </c>
      <c r="E1264" s="9910"/>
      <c r="F1264" s="7651"/>
      <c r="G1264" s="7646"/>
      <c r="H1264" s="7652"/>
      <c r="I1264" s="9909"/>
      <c r="J1264" s="9910"/>
      <c r="K1264" s="7651"/>
      <c r="L1264" s="7653"/>
      <c r="M1264" s="7654"/>
      <c r="N1264" s="7655"/>
      <c r="O1264" s="7656"/>
      <c r="P1264" s="7657"/>
      <c r="Q1264" s="7658"/>
      <c r="R1264" s="7642"/>
      <c r="S1264" s="7659"/>
      <c r="T1264" s="7660"/>
      <c r="U1264" s="7644"/>
      <c r="V1264" s="7645"/>
      <c r="W1264" s="7646"/>
      <c r="X1264" s="7646"/>
      <c r="Y1264" s="7645"/>
      <c r="Z1264" s="7647"/>
      <c r="AA1264" s="7647"/>
      <c r="AB1264" s="7648"/>
      <c r="AC1264" s="7649"/>
    </row>
    <row r="1265" spans="2:29" s="7640" customFormat="1" ht="20.100000000000001" customHeight="1">
      <c r="B1265" s="7641"/>
      <c r="C1265" s="7650"/>
      <c r="D1265" s="9911" t="s">
        <v>134</v>
      </c>
      <c r="E1265" s="9912"/>
      <c r="F1265" s="7651"/>
      <c r="G1265" s="7661"/>
      <c r="H1265" s="7662"/>
      <c r="I1265" s="9913"/>
      <c r="J1265" s="9914"/>
      <c r="K1265" s="7651"/>
      <c r="L1265" s="7663">
        <f>L1228+L1191</f>
        <v>100</v>
      </c>
      <c r="M1265" s="7664"/>
      <c r="N1265" s="7665">
        <f>N1228+N1191</f>
        <v>100</v>
      </c>
      <c r="O1265" s="7666"/>
      <c r="P1265" s="7667">
        <f>P1228+P1191</f>
        <v>100</v>
      </c>
      <c r="Q1265" s="7668"/>
      <c r="R1265" s="7642"/>
      <c r="S1265" s="7669"/>
      <c r="T1265" s="7644"/>
      <c r="U1265" s="7644"/>
      <c r="V1265" s="7670"/>
      <c r="W1265" s="7652"/>
      <c r="X1265" s="7646"/>
      <c r="Y1265" s="7671"/>
      <c r="Z1265" s="7672"/>
      <c r="AA1265" s="7672"/>
      <c r="AB1265" s="7673"/>
      <c r="AC1265" s="7649"/>
    </row>
    <row r="1266" spans="2:29" s="7640" customFormat="1" ht="20.100000000000001" customHeight="1">
      <c r="B1266" s="7641"/>
      <c r="C1266" s="7650"/>
      <c r="D1266" s="9911" t="s">
        <v>137</v>
      </c>
      <c r="E1266" s="9912"/>
      <c r="F1266" s="7651"/>
      <c r="G1266" s="7661"/>
      <c r="H1266" s="7662"/>
      <c r="I1266" s="9913"/>
      <c r="J1266" s="9914"/>
      <c r="K1266" s="7651"/>
      <c r="L1266" s="7663" t="e">
        <f t="shared" ref="L1266:N1270" si="17">L1229+L1192</f>
        <v>#VALUE!</v>
      </c>
      <c r="M1266" s="7664"/>
      <c r="N1266" s="7674" t="e">
        <f t="shared" si="17"/>
        <v>#VALUE!</v>
      </c>
      <c r="O1266" s="7666"/>
      <c r="P1266" s="7675">
        <f t="shared" ref="P1266:P1270" si="18">P1229+P1192</f>
        <v>50</v>
      </c>
      <c r="Q1266" s="7668"/>
      <c r="R1266" s="7642"/>
      <c r="S1266" s="7669"/>
      <c r="T1266" s="7644"/>
      <c r="U1266" s="7644"/>
      <c r="V1266" s="7670"/>
      <c r="W1266" s="7652"/>
      <c r="X1266" s="7646"/>
      <c r="Y1266" s="7671"/>
      <c r="Z1266" s="7672"/>
      <c r="AA1266" s="7672"/>
      <c r="AB1266" s="7673"/>
      <c r="AC1266" s="7649"/>
    </row>
    <row r="1267" spans="2:29" s="7640" customFormat="1" ht="20.100000000000001" customHeight="1">
      <c r="B1267" s="7641"/>
      <c r="C1267" s="7650"/>
      <c r="D1267" s="9911" t="s">
        <v>140</v>
      </c>
      <c r="E1267" s="9912"/>
      <c r="F1267" s="7651"/>
      <c r="G1267" s="7661"/>
      <c r="H1267" s="7662"/>
      <c r="I1267" s="9915"/>
      <c r="J1267" s="9916"/>
      <c r="K1267" s="7651"/>
      <c r="L1267" s="7663">
        <f t="shared" si="17"/>
        <v>34</v>
      </c>
      <c r="M1267" s="7664"/>
      <c r="N1267" s="7674">
        <f t="shared" si="17"/>
        <v>23</v>
      </c>
      <c r="O1267" s="7666"/>
      <c r="P1267" s="7667">
        <f t="shared" si="18"/>
        <v>29</v>
      </c>
      <c r="Q1267" s="7668"/>
      <c r="R1267" s="7642"/>
      <c r="S1267" s="7669"/>
      <c r="T1267" s="7644"/>
      <c r="U1267" s="7644"/>
      <c r="V1267" s="7670"/>
      <c r="W1267" s="7652"/>
      <c r="X1267" s="7646"/>
      <c r="Y1267" s="7671"/>
      <c r="Z1267" s="7672"/>
      <c r="AA1267" s="7672"/>
      <c r="AB1267" s="7673"/>
      <c r="AC1267" s="7649"/>
    </row>
    <row r="1268" spans="2:29" s="7640" customFormat="1" ht="20.100000000000001" customHeight="1">
      <c r="B1268" s="7641"/>
      <c r="C1268" s="7650"/>
      <c r="D1268" s="9911" t="s">
        <v>143</v>
      </c>
      <c r="E1268" s="9912"/>
      <c r="F1268" s="7651"/>
      <c r="G1268" s="7661"/>
      <c r="H1268" s="7662"/>
      <c r="I1268" s="9915"/>
      <c r="J1268" s="9916"/>
      <c r="K1268" s="7651"/>
      <c r="L1268" s="7663">
        <f t="shared" si="17"/>
        <v>145</v>
      </c>
      <c r="M1268" s="7676"/>
      <c r="N1268" s="7674">
        <f t="shared" si="17"/>
        <v>177</v>
      </c>
      <c r="O1268" s="7677"/>
      <c r="P1268" s="7667">
        <f t="shared" si="18"/>
        <v>148</v>
      </c>
      <c r="Q1268" s="7668"/>
      <c r="R1268" s="7642"/>
      <c r="S1268" s="7669"/>
      <c r="T1268" s="7644"/>
      <c r="U1268" s="7644"/>
      <c r="V1268" s="7670"/>
      <c r="W1268" s="7652"/>
      <c r="X1268" s="7646"/>
      <c r="Y1268" s="7671"/>
      <c r="Z1268" s="7672"/>
      <c r="AA1268" s="7672"/>
      <c r="AB1268" s="7673"/>
      <c r="AC1268" s="7649"/>
    </row>
    <row r="1269" spans="2:29" s="7640" customFormat="1" ht="20.100000000000001" customHeight="1">
      <c r="B1269" s="7641"/>
      <c r="C1269" s="7650"/>
      <c r="D1269" s="9911" t="s">
        <v>146</v>
      </c>
      <c r="E1269" s="9912"/>
      <c r="F1269" s="7651"/>
      <c r="G1269" s="7661"/>
      <c r="H1269" s="7662"/>
      <c r="I1269" s="9915"/>
      <c r="J1269" s="9916"/>
      <c r="K1269" s="7651"/>
      <c r="L1269" s="7663">
        <f t="shared" si="17"/>
        <v>47</v>
      </c>
      <c r="M1269" s="7664"/>
      <c r="N1269" s="7674">
        <f t="shared" si="17"/>
        <v>27</v>
      </c>
      <c r="O1269" s="7666"/>
      <c r="P1269" s="7667">
        <f t="shared" si="18"/>
        <v>31</v>
      </c>
      <c r="Q1269" s="7668"/>
      <c r="R1269" s="7642"/>
      <c r="S1269" s="7669"/>
      <c r="T1269" s="7644"/>
      <c r="U1269" s="7644"/>
      <c r="V1269" s="7670"/>
      <c r="W1269" s="7652"/>
      <c r="X1269" s="7646"/>
      <c r="Y1269" s="7671"/>
      <c r="Z1269" s="7672"/>
      <c r="AA1269" s="7672"/>
      <c r="AB1269" s="7673"/>
      <c r="AC1269" s="7649"/>
    </row>
    <row r="1270" spans="2:29" s="7640" customFormat="1" ht="20.100000000000001" customHeight="1">
      <c r="B1270" s="7641"/>
      <c r="C1270" s="7650"/>
      <c r="D1270" s="9911" t="s">
        <v>149</v>
      </c>
      <c r="E1270" s="9912"/>
      <c r="F1270" s="7651"/>
      <c r="G1270" s="7661"/>
      <c r="H1270" s="7662"/>
      <c r="I1270" s="9915"/>
      <c r="J1270" s="9916"/>
      <c r="K1270" s="7651"/>
      <c r="L1270" s="7663">
        <f t="shared" si="17"/>
        <v>122</v>
      </c>
      <c r="M1270" s="7664"/>
      <c r="N1270" s="7674">
        <f t="shared" si="17"/>
        <v>128</v>
      </c>
      <c r="O1270" s="7664"/>
      <c r="P1270" s="7674">
        <f t="shared" si="18"/>
        <v>156</v>
      </c>
      <c r="Q1270" s="7668"/>
      <c r="R1270" s="7642"/>
      <c r="S1270" s="7669"/>
      <c r="T1270" s="7644"/>
      <c r="U1270" s="7644"/>
      <c r="V1270" s="7670"/>
      <c r="W1270" s="7652"/>
      <c r="X1270" s="7646"/>
      <c r="Y1270" s="7671"/>
      <c r="Z1270" s="7672"/>
      <c r="AA1270" s="7672"/>
      <c r="AB1270" s="7673"/>
      <c r="AC1270" s="7649"/>
    </row>
    <row r="1271" spans="2:29" s="7640" customFormat="1" ht="20.100000000000001" customHeight="1">
      <c r="B1271" s="7641"/>
      <c r="C1271" s="7650"/>
      <c r="D1271" s="9909" t="s">
        <v>827</v>
      </c>
      <c r="E1271" s="9910"/>
      <c r="F1271" s="7651"/>
      <c r="G1271" s="7646"/>
      <c r="H1271" s="7652"/>
      <c r="I1271" s="9909"/>
      <c r="J1271" s="9910"/>
      <c r="K1271" s="7651"/>
      <c r="L1271" s="7653"/>
      <c r="M1271" s="7654"/>
      <c r="N1271" s="7655"/>
      <c r="O1271" s="7656"/>
      <c r="P1271" s="7657"/>
      <c r="Q1271" s="7658"/>
      <c r="R1271" s="7642"/>
      <c r="S1271" s="7659"/>
      <c r="T1271" s="7660"/>
      <c r="U1271" s="7660"/>
      <c r="V1271" s="7645"/>
      <c r="W1271" s="7646"/>
      <c r="X1271" s="7646"/>
      <c r="Y1271" s="7645"/>
      <c r="Z1271" s="7647"/>
      <c r="AA1271" s="7647"/>
      <c r="AB1271" s="7648"/>
      <c r="AC1271" s="7649"/>
    </row>
    <row r="1272" spans="2:29" s="7640" customFormat="1" ht="20.100000000000001" customHeight="1">
      <c r="B1272" s="7641"/>
      <c r="C1272" s="7650"/>
      <c r="D1272" s="9911" t="s">
        <v>134</v>
      </c>
      <c r="E1272" s="9912"/>
      <c r="F1272" s="7651"/>
      <c r="G1272" s="7661"/>
      <c r="H1272" s="7662"/>
      <c r="I1272" s="9913"/>
      <c r="J1272" s="9914"/>
      <c r="K1272" s="7651"/>
      <c r="L1272" s="7663">
        <f>L1235+L1198</f>
        <v>100</v>
      </c>
      <c r="M1272" s="7664"/>
      <c r="N1272" s="7674">
        <f>N1235+N1198</f>
        <v>100</v>
      </c>
      <c r="O1272" s="7666"/>
      <c r="P1272" s="7667">
        <f>P1235+P1198</f>
        <v>100</v>
      </c>
      <c r="Q1272" s="7668"/>
      <c r="R1272" s="7642"/>
      <c r="S1272" s="7669"/>
      <c r="T1272" s="7644"/>
      <c r="U1272" s="7644"/>
      <c r="V1272" s="7670"/>
      <c r="W1272" s="7652"/>
      <c r="X1272" s="7646"/>
      <c r="Y1272" s="7671"/>
      <c r="Z1272" s="7672"/>
      <c r="AA1272" s="7672"/>
      <c r="AB1272" s="7673"/>
      <c r="AC1272" s="7649"/>
    </row>
    <row r="1273" spans="2:29" s="7640" customFormat="1" ht="20.100000000000001" customHeight="1">
      <c r="B1273" s="7641"/>
      <c r="C1273" s="7650"/>
      <c r="D1273" s="9911" t="s">
        <v>137</v>
      </c>
      <c r="E1273" s="9912"/>
      <c r="F1273" s="7651"/>
      <c r="G1273" s="7661"/>
      <c r="H1273" s="7662"/>
      <c r="I1273" s="9913"/>
      <c r="J1273" s="9914"/>
      <c r="K1273" s="7651"/>
      <c r="L1273" s="7663" t="e">
        <f t="shared" ref="L1273:N1277" si="19">L1236+L1199</f>
        <v>#VALUE!</v>
      </c>
      <c r="M1273" s="7664"/>
      <c r="N1273" s="7674" t="e">
        <f t="shared" si="19"/>
        <v>#VALUE!</v>
      </c>
      <c r="O1273" s="7666"/>
      <c r="P1273" s="7675">
        <f t="shared" ref="P1273:P1277" si="20">P1236+P1199</f>
        <v>50</v>
      </c>
      <c r="Q1273" s="7668"/>
      <c r="R1273" s="7642"/>
      <c r="S1273" s="7669"/>
      <c r="T1273" s="7644"/>
      <c r="U1273" s="7644"/>
      <c r="V1273" s="7670"/>
      <c r="W1273" s="7652"/>
      <c r="X1273" s="7646"/>
      <c r="Y1273" s="7671"/>
      <c r="Z1273" s="7672"/>
      <c r="AA1273" s="7672"/>
      <c r="AB1273" s="7673"/>
      <c r="AC1273" s="7649"/>
    </row>
    <row r="1274" spans="2:29" s="7640" customFormat="1" ht="20.100000000000001" customHeight="1">
      <c r="B1274" s="7641"/>
      <c r="C1274" s="7650"/>
      <c r="D1274" s="9911" t="s">
        <v>140</v>
      </c>
      <c r="E1274" s="9912"/>
      <c r="F1274" s="7651"/>
      <c r="G1274" s="7661"/>
      <c r="H1274" s="7662"/>
      <c r="I1274" s="9915"/>
      <c r="J1274" s="9916"/>
      <c r="K1274" s="7651"/>
      <c r="L1274" s="7663">
        <f t="shared" si="19"/>
        <v>65</v>
      </c>
      <c r="M1274" s="7664"/>
      <c r="N1274" s="7674">
        <f t="shared" si="19"/>
        <v>78</v>
      </c>
      <c r="O1274" s="7666"/>
      <c r="P1274" s="7667">
        <f t="shared" si="20"/>
        <v>70</v>
      </c>
      <c r="Q1274" s="7668"/>
      <c r="R1274" s="7642"/>
      <c r="S1274" s="7669"/>
      <c r="T1274" s="7644"/>
      <c r="U1274" s="7644"/>
      <c r="V1274" s="7670"/>
      <c r="W1274" s="7652"/>
      <c r="X1274" s="7646"/>
      <c r="Y1274" s="7671"/>
      <c r="Z1274" s="7672"/>
      <c r="AA1274" s="7672"/>
      <c r="AB1274" s="7673"/>
      <c r="AC1274" s="7649"/>
    </row>
    <row r="1275" spans="2:29" s="7640" customFormat="1" ht="20.100000000000001" customHeight="1">
      <c r="B1275" s="7641"/>
      <c r="C1275" s="7650"/>
      <c r="D1275" s="9911" t="s">
        <v>143</v>
      </c>
      <c r="E1275" s="9912"/>
      <c r="F1275" s="7651"/>
      <c r="G1275" s="7661"/>
      <c r="H1275" s="7662"/>
      <c r="I1275" s="9915"/>
      <c r="J1275" s="9916"/>
      <c r="K1275" s="7651"/>
      <c r="L1275" s="7663">
        <f t="shared" si="19"/>
        <v>55</v>
      </c>
      <c r="M1275" s="7676"/>
      <c r="N1275" s="7674">
        <f t="shared" si="19"/>
        <v>23</v>
      </c>
      <c r="O1275" s="7677"/>
      <c r="P1275" s="7667">
        <f t="shared" si="20"/>
        <v>52</v>
      </c>
      <c r="Q1275" s="7668"/>
      <c r="R1275" s="7642"/>
      <c r="S1275" s="7669"/>
      <c r="T1275" s="7644"/>
      <c r="U1275" s="7644"/>
      <c r="V1275" s="7670"/>
      <c r="W1275" s="7652"/>
      <c r="X1275" s="7646"/>
      <c r="Y1275" s="7671"/>
      <c r="Z1275" s="7672"/>
      <c r="AA1275" s="7672"/>
      <c r="AB1275" s="7673"/>
      <c r="AC1275" s="7649"/>
    </row>
    <row r="1276" spans="2:29" s="7640" customFormat="1" ht="20.100000000000001" customHeight="1">
      <c r="B1276" s="7641"/>
      <c r="C1276" s="7650"/>
      <c r="D1276" s="9911" t="s">
        <v>146</v>
      </c>
      <c r="E1276" s="9912"/>
      <c r="F1276" s="7651"/>
      <c r="G1276" s="7661"/>
      <c r="H1276" s="7662"/>
      <c r="I1276" s="9915"/>
      <c r="J1276" s="9916"/>
      <c r="K1276" s="7651"/>
      <c r="L1276" s="7663">
        <f t="shared" si="19"/>
        <v>53</v>
      </c>
      <c r="M1276" s="7664"/>
      <c r="N1276" s="7674">
        <f t="shared" si="19"/>
        <v>70</v>
      </c>
      <c r="O1276" s="7666"/>
      <c r="P1276" s="7667">
        <f t="shared" si="20"/>
        <v>65</v>
      </c>
      <c r="Q1276" s="7668"/>
      <c r="R1276" s="7642"/>
      <c r="S1276" s="7669"/>
      <c r="T1276" s="7644"/>
      <c r="U1276" s="7644"/>
      <c r="V1276" s="7670"/>
      <c r="W1276" s="7652"/>
      <c r="X1276" s="7646"/>
      <c r="Y1276" s="7671"/>
      <c r="Z1276" s="7672"/>
      <c r="AA1276" s="7672"/>
      <c r="AB1276" s="7673"/>
      <c r="AC1276" s="7649"/>
    </row>
    <row r="1277" spans="2:29" s="7640" customFormat="1" ht="20.100000000000001" customHeight="1">
      <c r="B1277" s="7641"/>
      <c r="C1277" s="7650"/>
      <c r="D1277" s="9911" t="s">
        <v>149</v>
      </c>
      <c r="E1277" s="9912"/>
      <c r="F1277" s="7651"/>
      <c r="G1277" s="7661"/>
      <c r="H1277" s="7662"/>
      <c r="I1277" s="9915"/>
      <c r="J1277" s="9916"/>
      <c r="K1277" s="7651"/>
      <c r="L1277" s="7663">
        <f t="shared" si="19"/>
        <v>75</v>
      </c>
      <c r="M1277" s="7664"/>
      <c r="N1277" s="7674">
        <f t="shared" si="19"/>
        <v>20</v>
      </c>
      <c r="O1277" s="7664"/>
      <c r="P1277" s="7674">
        <f t="shared" si="20"/>
        <v>43</v>
      </c>
      <c r="Q1277" s="7668"/>
      <c r="R1277" s="7642"/>
      <c r="S1277" s="7669"/>
      <c r="T1277" s="7644"/>
      <c r="U1277" s="7644"/>
      <c r="V1277" s="7670"/>
      <c r="W1277" s="7652"/>
      <c r="X1277" s="7646"/>
      <c r="Y1277" s="7671"/>
      <c r="Z1277" s="7672"/>
      <c r="AA1277" s="7672"/>
      <c r="AB1277" s="7673"/>
      <c r="AC1277" s="7649"/>
    </row>
    <row r="1278" spans="2:29" s="7640" customFormat="1" ht="20.100000000000001" customHeight="1">
      <c r="B1278" s="7641"/>
      <c r="C1278" s="7650"/>
      <c r="D1278" s="9909" t="s">
        <v>830</v>
      </c>
      <c r="E1278" s="9910"/>
      <c r="F1278" s="7651"/>
      <c r="G1278" s="7646"/>
      <c r="H1278" s="7652"/>
      <c r="I1278" s="9909"/>
      <c r="J1278" s="9910"/>
      <c r="K1278" s="7651"/>
      <c r="L1278" s="7653"/>
      <c r="M1278" s="7654"/>
      <c r="N1278" s="7655"/>
      <c r="O1278" s="7656"/>
      <c r="P1278" s="7657"/>
      <c r="Q1278" s="7658"/>
      <c r="R1278" s="7642"/>
      <c r="S1278" s="7659"/>
      <c r="T1278" s="7660"/>
      <c r="U1278" s="7660"/>
      <c r="V1278" s="7645"/>
      <c r="W1278" s="7646"/>
      <c r="X1278" s="7646"/>
      <c r="Y1278" s="7645"/>
      <c r="Z1278" s="7647"/>
      <c r="AA1278" s="7647"/>
      <c r="AB1278" s="7648"/>
      <c r="AC1278" s="7649"/>
    </row>
    <row r="1279" spans="2:29" s="7640" customFormat="1" ht="20.100000000000001" customHeight="1">
      <c r="B1279" s="7641"/>
      <c r="C1279" s="7650"/>
      <c r="D1279" s="9911" t="s">
        <v>134</v>
      </c>
      <c r="E1279" s="9912"/>
      <c r="F1279" s="7651"/>
      <c r="G1279" s="7661"/>
      <c r="H1279" s="7662"/>
      <c r="I1279" s="9913"/>
      <c r="J1279" s="9914"/>
      <c r="K1279" s="7651"/>
      <c r="L1279" s="7663">
        <f>L1242+L1205</f>
        <v>100</v>
      </c>
      <c r="M1279" s="7664"/>
      <c r="N1279" s="7678">
        <f>N1242+N1205</f>
        <v>100</v>
      </c>
      <c r="O1279" s="7666"/>
      <c r="P1279" s="7667">
        <f>P1242+P1205</f>
        <v>1</v>
      </c>
      <c r="Q1279" s="7679"/>
      <c r="R1279" s="7642"/>
      <c r="S1279" s="7680"/>
      <c r="T1279" s="7644"/>
      <c r="U1279" s="7644"/>
      <c r="V1279" s="7670"/>
      <c r="W1279" s="7652"/>
      <c r="X1279" s="7646"/>
      <c r="Y1279" s="7671"/>
      <c r="Z1279" s="7672"/>
      <c r="AA1279" s="7672"/>
      <c r="AB1279" s="7673"/>
      <c r="AC1279" s="7649"/>
    </row>
    <row r="1280" spans="2:29" s="7640" customFormat="1" ht="20.100000000000001" customHeight="1">
      <c r="B1280" s="7641"/>
      <c r="C1280" s="7650"/>
      <c r="D1280" s="9911" t="s">
        <v>137</v>
      </c>
      <c r="E1280" s="9912"/>
      <c r="F1280" s="7651"/>
      <c r="G1280" s="7661"/>
      <c r="H1280" s="7662"/>
      <c r="I1280" s="9913"/>
      <c r="J1280" s="9914"/>
      <c r="K1280" s="7651"/>
      <c r="L1280" s="7663" t="e">
        <f t="shared" ref="L1280:N1284" si="21">L1243+L1206</f>
        <v>#VALUE!</v>
      </c>
      <c r="M1280" s="7664"/>
      <c r="N1280" s="7678" t="e">
        <f t="shared" si="21"/>
        <v>#VALUE!</v>
      </c>
      <c r="O1280" s="7681"/>
      <c r="P1280" s="7675">
        <f t="shared" ref="P1280:P1284" si="22">P1243+P1206</f>
        <v>0</v>
      </c>
      <c r="Q1280" s="7679"/>
      <c r="R1280" s="7642"/>
      <c r="S1280" s="7680"/>
      <c r="T1280" s="7644"/>
      <c r="U1280" s="7682"/>
      <c r="V1280" s="7670"/>
      <c r="W1280" s="7652"/>
      <c r="X1280" s="7646"/>
      <c r="Y1280" s="7671"/>
      <c r="Z1280" s="7672"/>
      <c r="AA1280" s="7672"/>
      <c r="AB1280" s="7673"/>
      <c r="AC1280" s="7649"/>
    </row>
    <row r="1281" spans="2:29" s="7640" customFormat="1" ht="20.100000000000001" customHeight="1">
      <c r="B1281" s="7641"/>
      <c r="C1281" s="7650"/>
      <c r="D1281" s="9911" t="s">
        <v>140</v>
      </c>
      <c r="E1281" s="9912"/>
      <c r="F1281" s="7651"/>
      <c r="G1281" s="7661"/>
      <c r="H1281" s="7662"/>
      <c r="I1281" s="9915"/>
      <c r="J1281" s="9916"/>
      <c r="K1281" s="7651"/>
      <c r="L1281" s="7663">
        <f t="shared" si="21"/>
        <v>4.5766590389016018E-3</v>
      </c>
      <c r="M1281" s="7664"/>
      <c r="N1281" s="7678">
        <f t="shared" si="21"/>
        <v>0</v>
      </c>
      <c r="O1281" s="7681"/>
      <c r="P1281" s="7667">
        <f t="shared" si="22"/>
        <v>1</v>
      </c>
      <c r="Q1281" s="7679"/>
      <c r="R1281" s="7642"/>
      <c r="S1281" s="7680"/>
      <c r="T1281" s="7644"/>
      <c r="U1281" s="7682"/>
      <c r="V1281" s="7670"/>
      <c r="W1281" s="7652"/>
      <c r="X1281" s="7646"/>
      <c r="Y1281" s="7671"/>
      <c r="Z1281" s="7672"/>
      <c r="AA1281" s="7672"/>
      <c r="AB1281" s="7673"/>
      <c r="AC1281" s="7649"/>
    </row>
    <row r="1282" spans="2:29" s="7640" customFormat="1" ht="20.100000000000001" customHeight="1">
      <c r="B1282" s="7641"/>
      <c r="C1282" s="7650"/>
      <c r="D1282" s="9911" t="s">
        <v>143</v>
      </c>
      <c r="E1282" s="9912"/>
      <c r="F1282" s="7651"/>
      <c r="G1282" s="7661"/>
      <c r="H1282" s="7662"/>
      <c r="I1282" s="9915"/>
      <c r="J1282" s="9916"/>
      <c r="K1282" s="7651"/>
      <c r="L1282" s="7663">
        <f t="shared" si="21"/>
        <v>0</v>
      </c>
      <c r="M1282" s="7676"/>
      <c r="N1282" s="7678">
        <f t="shared" si="21"/>
        <v>4.71253534401508E-4</v>
      </c>
      <c r="O1282" s="7677"/>
      <c r="P1282" s="7667">
        <f t="shared" si="22"/>
        <v>0</v>
      </c>
      <c r="Q1282" s="7679"/>
      <c r="R1282" s="7642"/>
      <c r="S1282" s="7680"/>
      <c r="T1282" s="7644"/>
      <c r="U1282" s="7682"/>
      <c r="V1282" s="7670"/>
      <c r="W1282" s="7652"/>
      <c r="X1282" s="7646"/>
      <c r="Y1282" s="7671"/>
      <c r="Z1282" s="7672"/>
      <c r="AA1282" s="7672"/>
      <c r="AB1282" s="7673"/>
      <c r="AC1282" s="7649"/>
    </row>
    <row r="1283" spans="2:29" s="7640" customFormat="1" ht="20.100000000000001" customHeight="1">
      <c r="B1283" s="7641"/>
      <c r="C1283" s="7650"/>
      <c r="D1283" s="9911" t="s">
        <v>146</v>
      </c>
      <c r="E1283" s="9912"/>
      <c r="F1283" s="7651"/>
      <c r="G1283" s="7661"/>
      <c r="H1283" s="7662"/>
      <c r="I1283" s="9915"/>
      <c r="J1283" s="9916"/>
      <c r="K1283" s="7651"/>
      <c r="L1283" s="7663">
        <f t="shared" si="21"/>
        <v>0</v>
      </c>
      <c r="M1283" s="7664"/>
      <c r="N1283" s="7678">
        <f t="shared" si="21"/>
        <v>0.03</v>
      </c>
      <c r="O1283" s="7681"/>
      <c r="P1283" s="7667">
        <f t="shared" si="22"/>
        <v>0.04</v>
      </c>
      <c r="Q1283" s="7679"/>
      <c r="R1283" s="7642"/>
      <c r="S1283" s="7680"/>
      <c r="T1283" s="7644"/>
      <c r="U1283" s="7682"/>
      <c r="V1283" s="7670"/>
      <c r="W1283" s="7652"/>
      <c r="X1283" s="7646"/>
      <c r="Y1283" s="7671"/>
      <c r="Z1283" s="7672"/>
      <c r="AA1283" s="7672"/>
      <c r="AB1283" s="7673"/>
      <c r="AC1283" s="7649"/>
    </row>
    <row r="1284" spans="2:29" s="7640" customFormat="1" ht="20.100000000000001" customHeight="1" thickBot="1">
      <c r="B1284" s="7641"/>
      <c r="C1284" s="7650"/>
      <c r="D1284" s="9911" t="s">
        <v>149</v>
      </c>
      <c r="E1284" s="9912"/>
      <c r="F1284" s="7651"/>
      <c r="G1284" s="7683"/>
      <c r="H1284" s="7684"/>
      <c r="I1284" s="9917"/>
      <c r="J1284" s="9918"/>
      <c r="K1284" s="7651"/>
      <c r="L1284" s="7663">
        <f t="shared" si="21"/>
        <v>2</v>
      </c>
      <c r="M1284" s="7664"/>
      <c r="N1284" s="7678">
        <f t="shared" si="21"/>
        <v>0</v>
      </c>
      <c r="O1284" s="7664"/>
      <c r="P1284" s="7678">
        <f t="shared" si="22"/>
        <v>1</v>
      </c>
      <c r="Q1284" s="7679"/>
      <c r="R1284" s="7685"/>
      <c r="S1284" s="7686"/>
      <c r="T1284" s="7644"/>
      <c r="U1284" s="7682"/>
      <c r="V1284" s="7670"/>
      <c r="W1284" s="7652"/>
      <c r="X1284" s="7646"/>
      <c r="Y1284" s="7671"/>
      <c r="Z1284" s="7672"/>
      <c r="AA1284" s="7672"/>
      <c r="AB1284" s="7673"/>
      <c r="AC1284" s="7649"/>
    </row>
    <row r="1285" spans="2:29" s="7640" customFormat="1" ht="20.100000000000001" customHeight="1">
      <c r="B1285" s="7641"/>
      <c r="C1285" s="9906" t="s">
        <v>1917</v>
      </c>
      <c r="D1285" s="9907"/>
      <c r="E1285" s="9907"/>
      <c r="F1285" s="9907"/>
      <c r="G1285" s="9907"/>
      <c r="H1285" s="9907"/>
      <c r="I1285" s="9907"/>
      <c r="J1285" s="9907"/>
      <c r="K1285" s="9907"/>
      <c r="L1285" s="9907"/>
      <c r="M1285" s="9907"/>
      <c r="N1285" s="9907"/>
      <c r="O1285" s="9907"/>
      <c r="P1285" s="9907"/>
      <c r="Q1285" s="9908"/>
      <c r="R1285" s="7642"/>
      <c r="S1285" s="7643"/>
      <c r="T1285" s="7644"/>
      <c r="U1285" s="7644"/>
      <c r="V1285" s="7645"/>
      <c r="W1285" s="7646"/>
      <c r="X1285" s="7646"/>
      <c r="Y1285" s="7645"/>
      <c r="Z1285" s="7647"/>
      <c r="AA1285" s="7647"/>
      <c r="AB1285" s="7648"/>
      <c r="AC1285" s="7649"/>
    </row>
    <row r="1286" spans="2:29" s="7640" customFormat="1" ht="20.100000000000001" customHeight="1">
      <c r="B1286" s="7641"/>
      <c r="C1286" s="7650"/>
      <c r="D1286" s="9909" t="s">
        <v>796</v>
      </c>
      <c r="E1286" s="9910"/>
      <c r="F1286" s="7651"/>
      <c r="G1286" s="7646"/>
      <c r="H1286" s="7652"/>
      <c r="I1286" s="9909"/>
      <c r="J1286" s="9910"/>
      <c r="K1286" s="7651"/>
      <c r="L1286" s="7653"/>
      <c r="M1286" s="7654"/>
      <c r="N1286" s="7655"/>
      <c r="O1286" s="7656"/>
      <c r="P1286" s="7657"/>
      <c r="Q1286" s="7658"/>
      <c r="R1286" s="7642"/>
      <c r="S1286" s="7659"/>
      <c r="T1286" s="7660"/>
      <c r="U1286" s="7644"/>
      <c r="V1286" s="7645"/>
      <c r="W1286" s="7646"/>
      <c r="X1286" s="7646"/>
      <c r="Y1286" s="7645"/>
      <c r="Z1286" s="7647"/>
      <c r="AA1286" s="7647"/>
      <c r="AB1286" s="7648"/>
      <c r="AC1286" s="7649"/>
    </row>
    <row r="1287" spans="2:29" s="7640" customFormat="1" ht="20.100000000000001" customHeight="1">
      <c r="B1287" s="7641"/>
      <c r="C1287" s="7650"/>
      <c r="D1287" s="9911" t="s">
        <v>134</v>
      </c>
      <c r="E1287" s="9912"/>
      <c r="F1287" s="7651"/>
      <c r="G1287" s="7661"/>
      <c r="H1287" s="7662"/>
      <c r="I1287" s="9913"/>
      <c r="J1287" s="9914"/>
      <c r="K1287" s="7651"/>
      <c r="L1287" s="7663">
        <f t="shared" ref="L1287:N1299" si="23">L1250+L1213</f>
        <v>100</v>
      </c>
      <c r="M1287" s="7664"/>
      <c r="N1287" s="7674">
        <f t="shared" si="23"/>
        <v>100</v>
      </c>
      <c r="O1287" s="7687"/>
      <c r="P1287" s="7667">
        <f t="shared" ref="P1287:P1292" si="24">P1250+P1213</f>
        <v>100</v>
      </c>
      <c r="Q1287" s="7668"/>
      <c r="R1287" s="7642"/>
      <c r="S1287" s="7669"/>
      <c r="T1287" s="7644"/>
      <c r="U1287" s="7644"/>
      <c r="V1287" s="7670"/>
      <c r="W1287" s="7652"/>
      <c r="X1287" s="7646"/>
      <c r="Y1287" s="7671"/>
      <c r="Z1287" s="7672"/>
      <c r="AA1287" s="7672"/>
      <c r="AB1287" s="7673"/>
      <c r="AC1287" s="7649"/>
    </row>
    <row r="1288" spans="2:29" s="7640" customFormat="1" ht="20.100000000000001" customHeight="1">
      <c r="B1288" s="7641"/>
      <c r="C1288" s="7650"/>
      <c r="D1288" s="9911" t="s">
        <v>137</v>
      </c>
      <c r="E1288" s="9912"/>
      <c r="F1288" s="7651"/>
      <c r="G1288" s="7661"/>
      <c r="H1288" s="7662"/>
      <c r="I1288" s="9913"/>
      <c r="J1288" s="9914"/>
      <c r="K1288" s="7651"/>
      <c r="L1288" s="7663" t="e">
        <f t="shared" si="23"/>
        <v>#VALUE!</v>
      </c>
      <c r="M1288" s="7664"/>
      <c r="N1288" s="7674" t="e">
        <f t="shared" si="23"/>
        <v>#VALUE!</v>
      </c>
      <c r="O1288" s="7666"/>
      <c r="P1288" s="7675">
        <f t="shared" si="24"/>
        <v>97</v>
      </c>
      <c r="Q1288" s="7668"/>
      <c r="R1288" s="7642"/>
      <c r="S1288" s="7669"/>
      <c r="T1288" s="7644"/>
      <c r="U1288" s="7644"/>
      <c r="V1288" s="7670"/>
      <c r="W1288" s="7652"/>
      <c r="X1288" s="7646"/>
      <c r="Y1288" s="7671"/>
      <c r="Z1288" s="7672"/>
      <c r="AA1288" s="7672"/>
      <c r="AB1288" s="7673"/>
      <c r="AC1288" s="7649"/>
    </row>
    <row r="1289" spans="2:29" s="7640" customFormat="1" ht="20.100000000000001" customHeight="1">
      <c r="B1289" s="7641"/>
      <c r="C1289" s="7650"/>
      <c r="D1289" s="9911" t="s">
        <v>140</v>
      </c>
      <c r="E1289" s="9912"/>
      <c r="F1289" s="7651"/>
      <c r="G1289" s="7661"/>
      <c r="H1289" s="7662"/>
      <c r="I1289" s="9915"/>
      <c r="J1289" s="9916"/>
      <c r="K1289" s="7651"/>
      <c r="L1289" s="7663">
        <f t="shared" si="23"/>
        <v>53</v>
      </c>
      <c r="M1289" s="7664"/>
      <c r="N1289" s="7674">
        <f t="shared" si="23"/>
        <v>64</v>
      </c>
      <c r="O1289" s="7687"/>
      <c r="P1289" s="7667">
        <f t="shared" si="24"/>
        <v>52</v>
      </c>
      <c r="Q1289" s="7668"/>
      <c r="R1289" s="7642"/>
      <c r="S1289" s="7669"/>
      <c r="T1289" s="7644"/>
      <c r="U1289" s="7644"/>
      <c r="V1289" s="7670"/>
      <c r="W1289" s="7652"/>
      <c r="X1289" s="7646"/>
      <c r="Y1289" s="7671"/>
      <c r="Z1289" s="7672"/>
      <c r="AA1289" s="7672"/>
      <c r="AB1289" s="7673"/>
      <c r="AC1289" s="7649"/>
    </row>
    <row r="1290" spans="2:29" s="7640" customFormat="1" ht="20.100000000000001" customHeight="1">
      <c r="B1290" s="7641"/>
      <c r="C1290" s="7650"/>
      <c r="D1290" s="9911" t="s">
        <v>143</v>
      </c>
      <c r="E1290" s="9912"/>
      <c r="F1290" s="7651"/>
      <c r="G1290" s="7661"/>
      <c r="H1290" s="7662"/>
      <c r="I1290" s="9915"/>
      <c r="J1290" s="9916"/>
      <c r="K1290" s="7651"/>
      <c r="L1290" s="7663">
        <f t="shared" si="23"/>
        <v>101</v>
      </c>
      <c r="M1290" s="7676"/>
      <c r="N1290" s="7674">
        <f t="shared" si="23"/>
        <v>108</v>
      </c>
      <c r="O1290" s="7688"/>
      <c r="P1290" s="7667">
        <f t="shared" si="24"/>
        <v>124</v>
      </c>
      <c r="Q1290" s="7668"/>
      <c r="R1290" s="7642"/>
      <c r="S1290" s="7669"/>
      <c r="T1290" s="7644"/>
      <c r="U1290" s="7644"/>
      <c r="V1290" s="7670"/>
      <c r="W1290" s="7652"/>
      <c r="X1290" s="7646"/>
      <c r="Y1290" s="7671"/>
      <c r="Z1290" s="7672"/>
      <c r="AA1290" s="7672"/>
      <c r="AB1290" s="7673"/>
      <c r="AC1290" s="7649"/>
    </row>
    <row r="1291" spans="2:29" s="7640" customFormat="1" ht="20.100000000000001" customHeight="1">
      <c r="B1291" s="7641"/>
      <c r="C1291" s="7650"/>
      <c r="D1291" s="9911" t="s">
        <v>146</v>
      </c>
      <c r="E1291" s="9912"/>
      <c r="F1291" s="7651"/>
      <c r="G1291" s="7661"/>
      <c r="H1291" s="7662"/>
      <c r="I1291" s="9915"/>
      <c r="J1291" s="9916"/>
      <c r="K1291" s="7651"/>
      <c r="L1291" s="7663">
        <f t="shared" si="23"/>
        <v>71</v>
      </c>
      <c r="M1291" s="7664"/>
      <c r="N1291" s="7674">
        <f t="shared" si="23"/>
        <v>75</v>
      </c>
      <c r="O1291" s="7687"/>
      <c r="P1291" s="7667">
        <f t="shared" si="24"/>
        <v>61</v>
      </c>
      <c r="Q1291" s="7668"/>
      <c r="R1291" s="7642"/>
      <c r="S1291" s="7669"/>
      <c r="T1291" s="7644"/>
      <c r="U1291" s="7660"/>
      <c r="V1291" s="7670"/>
      <c r="W1291" s="7652"/>
      <c r="X1291" s="7646"/>
      <c r="Y1291" s="7671"/>
      <c r="Z1291" s="7672"/>
      <c r="AA1291" s="7672"/>
      <c r="AB1291" s="7673"/>
      <c r="AC1291" s="7649"/>
    </row>
    <row r="1292" spans="2:29" s="7640" customFormat="1" ht="20.100000000000001" customHeight="1">
      <c r="B1292" s="7641"/>
      <c r="C1292" s="7650"/>
      <c r="D1292" s="9911" t="s">
        <v>149</v>
      </c>
      <c r="E1292" s="9912"/>
      <c r="F1292" s="7651"/>
      <c r="G1292" s="7661"/>
      <c r="H1292" s="7662"/>
      <c r="I1292" s="9915"/>
      <c r="J1292" s="9916"/>
      <c r="K1292" s="7651"/>
      <c r="L1292" s="7663">
        <f t="shared" si="23"/>
        <v>124.51</v>
      </c>
      <c r="M1292" s="7664"/>
      <c r="N1292" s="7678">
        <f t="shared" si="23"/>
        <v>107.41</v>
      </c>
      <c r="O1292" s="7689"/>
      <c r="P1292" s="7678">
        <f t="shared" si="24"/>
        <v>105.1276595744681</v>
      </c>
      <c r="Q1292" s="7668"/>
      <c r="R1292" s="7642"/>
      <c r="S1292" s="7669"/>
      <c r="T1292" s="7644"/>
      <c r="U1292" s="7644"/>
      <c r="V1292" s="7670"/>
      <c r="W1292" s="7652"/>
      <c r="X1292" s="7646"/>
      <c r="Y1292" s="7671"/>
      <c r="Z1292" s="7672"/>
      <c r="AA1292" s="7672"/>
      <c r="AB1292" s="7673"/>
      <c r="AC1292" s="7649"/>
    </row>
    <row r="1293" spans="2:29" s="7640" customFormat="1" ht="20.100000000000001" customHeight="1">
      <c r="B1293" s="7641"/>
      <c r="C1293" s="7650"/>
      <c r="D1293" s="9909" t="s">
        <v>802</v>
      </c>
      <c r="E1293" s="9910"/>
      <c r="F1293" s="7651"/>
      <c r="G1293" s="7646"/>
      <c r="H1293" s="7652"/>
      <c r="I1293" s="9909"/>
      <c r="J1293" s="9910"/>
      <c r="K1293" s="7651"/>
      <c r="L1293" s="7653"/>
      <c r="M1293" s="7654"/>
      <c r="N1293" s="7655"/>
      <c r="O1293" s="7656"/>
      <c r="P1293" s="7657"/>
      <c r="Q1293" s="7658"/>
      <c r="R1293" s="7642"/>
      <c r="S1293" s="7659"/>
      <c r="T1293" s="7660"/>
      <c r="U1293" s="7644"/>
      <c r="V1293" s="7645"/>
      <c r="W1293" s="7646"/>
      <c r="X1293" s="7646"/>
      <c r="Y1293" s="7645"/>
      <c r="Z1293" s="7647"/>
      <c r="AA1293" s="7647"/>
      <c r="AB1293" s="7648"/>
      <c r="AC1293" s="7649"/>
    </row>
    <row r="1294" spans="2:29" s="7640" customFormat="1" ht="20.100000000000001" customHeight="1">
      <c r="B1294" s="7641"/>
      <c r="C1294" s="7650"/>
      <c r="D1294" s="9911" t="s">
        <v>134</v>
      </c>
      <c r="E1294" s="9912"/>
      <c r="F1294" s="7651"/>
      <c r="G1294" s="7661"/>
      <c r="H1294" s="7662"/>
      <c r="I1294" s="9913"/>
      <c r="J1294" s="9914"/>
      <c r="K1294" s="7651"/>
      <c r="L1294" s="7663">
        <f t="shared" si="23"/>
        <v>100</v>
      </c>
      <c r="M1294" s="7664"/>
      <c r="N1294" s="7674">
        <f t="shared" si="23"/>
        <v>100</v>
      </c>
      <c r="O1294" s="7666"/>
      <c r="P1294" s="7667">
        <f t="shared" ref="P1294:P1299" si="25">P1257+P1220</f>
        <v>100</v>
      </c>
      <c r="Q1294" s="7668"/>
      <c r="R1294" s="7642"/>
      <c r="S1294" s="7669"/>
      <c r="T1294" s="7644"/>
      <c r="U1294" s="7644"/>
      <c r="V1294" s="7670"/>
      <c r="W1294" s="7652"/>
      <c r="X1294" s="7646"/>
      <c r="Y1294" s="7671"/>
      <c r="Z1294" s="7672"/>
      <c r="AA1294" s="7672"/>
      <c r="AB1294" s="7673"/>
      <c r="AC1294" s="7649"/>
    </row>
    <row r="1295" spans="2:29" s="7640" customFormat="1" ht="20.100000000000001" customHeight="1">
      <c r="B1295" s="7641"/>
      <c r="C1295" s="7650"/>
      <c r="D1295" s="9911" t="s">
        <v>137</v>
      </c>
      <c r="E1295" s="9912"/>
      <c r="F1295" s="7651"/>
      <c r="G1295" s="7661"/>
      <c r="H1295" s="7662"/>
      <c r="I1295" s="9913"/>
      <c r="J1295" s="9914"/>
      <c r="K1295" s="7651"/>
      <c r="L1295" s="7663" t="e">
        <f t="shared" si="23"/>
        <v>#VALUE!</v>
      </c>
      <c r="M1295" s="7664"/>
      <c r="N1295" s="7674" t="e">
        <f t="shared" si="23"/>
        <v>#VALUE!</v>
      </c>
      <c r="O1295" s="7666"/>
      <c r="P1295" s="7675">
        <f t="shared" si="25"/>
        <v>91</v>
      </c>
      <c r="Q1295" s="7668"/>
      <c r="R1295" s="7642"/>
      <c r="S1295" s="7669"/>
      <c r="T1295" s="7644"/>
      <c r="U1295" s="7644"/>
      <c r="V1295" s="7670"/>
      <c r="W1295" s="7652"/>
      <c r="X1295" s="7646"/>
      <c r="Y1295" s="7671"/>
      <c r="Z1295" s="7672"/>
      <c r="AA1295" s="7672"/>
      <c r="AB1295" s="7673"/>
      <c r="AC1295" s="7649"/>
    </row>
    <row r="1296" spans="2:29" s="7640" customFormat="1" ht="20.100000000000001" customHeight="1">
      <c r="B1296" s="7641"/>
      <c r="C1296" s="7650"/>
      <c r="D1296" s="9911" t="s">
        <v>140</v>
      </c>
      <c r="E1296" s="9912"/>
      <c r="F1296" s="7651"/>
      <c r="G1296" s="7661"/>
      <c r="H1296" s="7662"/>
      <c r="I1296" s="9915"/>
      <c r="J1296" s="9916"/>
      <c r="K1296" s="7651"/>
      <c r="L1296" s="7663">
        <f t="shared" si="23"/>
        <v>47</v>
      </c>
      <c r="M1296" s="7664"/>
      <c r="N1296" s="7674">
        <f t="shared" si="23"/>
        <v>35</v>
      </c>
      <c r="O1296" s="7666"/>
      <c r="P1296" s="7667">
        <f t="shared" si="25"/>
        <v>47</v>
      </c>
      <c r="Q1296" s="7668"/>
      <c r="R1296" s="7642"/>
      <c r="S1296" s="7669"/>
      <c r="T1296" s="7644"/>
      <c r="U1296" s="7644"/>
      <c r="V1296" s="7670"/>
      <c r="W1296" s="7652"/>
      <c r="X1296" s="7646"/>
      <c r="Y1296" s="7671"/>
      <c r="Z1296" s="7672"/>
      <c r="AA1296" s="7672"/>
      <c r="AB1296" s="7673"/>
      <c r="AC1296" s="7649"/>
    </row>
    <row r="1297" spans="1:31" s="7640" customFormat="1" ht="20.100000000000001" customHeight="1">
      <c r="B1297" s="7641"/>
      <c r="C1297" s="7650"/>
      <c r="D1297" s="9911" t="s">
        <v>143</v>
      </c>
      <c r="E1297" s="9912"/>
      <c r="F1297" s="7651"/>
      <c r="G1297" s="7661"/>
      <c r="H1297" s="7662"/>
      <c r="I1297" s="9915"/>
      <c r="J1297" s="9916"/>
      <c r="K1297" s="7651"/>
      <c r="L1297" s="7663">
        <f t="shared" si="23"/>
        <v>99</v>
      </c>
      <c r="M1297" s="7676"/>
      <c r="N1297" s="7674">
        <f t="shared" si="23"/>
        <v>92</v>
      </c>
      <c r="O1297" s="7677"/>
      <c r="P1297" s="7667">
        <f t="shared" si="25"/>
        <v>76</v>
      </c>
      <c r="Q1297" s="7668"/>
      <c r="R1297" s="7642"/>
      <c r="S1297" s="7669"/>
      <c r="T1297" s="7644"/>
      <c r="U1297" s="7644"/>
      <c r="V1297" s="7670"/>
      <c r="W1297" s="7652"/>
      <c r="X1297" s="7646"/>
      <c r="Y1297" s="7671"/>
      <c r="Z1297" s="7672"/>
      <c r="AA1297" s="7672"/>
      <c r="AB1297" s="7673"/>
      <c r="AC1297" s="7649"/>
    </row>
    <row r="1298" spans="1:31" s="7640" customFormat="1" ht="20.100000000000001" customHeight="1">
      <c r="B1298" s="7641"/>
      <c r="C1298" s="7650"/>
      <c r="D1298" s="9911" t="s">
        <v>146</v>
      </c>
      <c r="E1298" s="9912"/>
      <c r="F1298" s="7651"/>
      <c r="G1298" s="7661"/>
      <c r="H1298" s="7662"/>
      <c r="I1298" s="9915"/>
      <c r="J1298" s="9916"/>
      <c r="K1298" s="7651"/>
      <c r="L1298" s="7663">
        <f t="shared" si="23"/>
        <v>29</v>
      </c>
      <c r="M1298" s="7664"/>
      <c r="N1298" s="7674">
        <f t="shared" si="23"/>
        <v>25</v>
      </c>
      <c r="O1298" s="7666"/>
      <c r="P1298" s="7667">
        <f t="shared" si="25"/>
        <v>39</v>
      </c>
      <c r="Q1298" s="7668"/>
      <c r="R1298" s="7642"/>
      <c r="S1298" s="7669"/>
      <c r="T1298" s="7644"/>
      <c r="U1298" s="7644"/>
      <c r="V1298" s="7670"/>
      <c r="W1298" s="7652"/>
      <c r="X1298" s="7646"/>
      <c r="Y1298" s="7671"/>
      <c r="Z1298" s="7672"/>
      <c r="AA1298" s="7672"/>
      <c r="AB1298" s="7673"/>
      <c r="AC1298" s="7649"/>
    </row>
    <row r="1299" spans="1:31" s="7640" customFormat="1" ht="20.100000000000001" customHeight="1" thickBot="1">
      <c r="B1299" s="7641"/>
      <c r="C1299" s="7650"/>
      <c r="D1299" s="9911" t="s">
        <v>149</v>
      </c>
      <c r="E1299" s="9912"/>
      <c r="F1299" s="7651"/>
      <c r="G1299" s="7661"/>
      <c r="H1299" s="7662"/>
      <c r="I1299" s="9915"/>
      <c r="J1299" s="9916"/>
      <c r="K1299" s="7651"/>
      <c r="L1299" s="7663">
        <f t="shared" si="23"/>
        <v>75</v>
      </c>
      <c r="M1299" s="7664"/>
      <c r="N1299" s="7674">
        <f t="shared" si="23"/>
        <v>93</v>
      </c>
      <c r="O1299" s="7664"/>
      <c r="P1299" s="7674">
        <f t="shared" si="25"/>
        <v>95</v>
      </c>
      <c r="Q1299" s="7668"/>
      <c r="R1299" s="7642"/>
      <c r="S1299" s="7669"/>
      <c r="T1299" s="7644"/>
      <c r="U1299" s="7660"/>
      <c r="V1299" s="7670"/>
      <c r="W1299" s="7652"/>
      <c r="X1299" s="7646"/>
      <c r="Y1299" s="7671"/>
      <c r="Z1299" s="7672"/>
      <c r="AA1299" s="7672"/>
      <c r="AB1299" s="7673"/>
      <c r="AC1299" s="7649"/>
    </row>
    <row r="1300" spans="1:31" ht="27" thickBot="1">
      <c r="A1300" s="11"/>
      <c r="B1300" s="123" t="s">
        <v>1918</v>
      </c>
      <c r="C1300" s="124"/>
      <c r="D1300" s="124"/>
      <c r="E1300" s="124"/>
      <c r="F1300" s="78"/>
      <c r="G1300" s="125" t="s">
        <v>730</v>
      </c>
      <c r="H1300" s="126"/>
      <c r="I1300" s="126"/>
      <c r="J1300" s="126"/>
      <c r="K1300" s="78"/>
      <c r="L1300" s="6775"/>
      <c r="M1300" s="5600"/>
      <c r="N1300" s="6853"/>
      <c r="O1300" s="5600"/>
      <c r="P1300" s="6853"/>
      <c r="Q1300" s="5600"/>
      <c r="R1300" s="5600"/>
      <c r="S1300" s="5600"/>
      <c r="T1300" s="80"/>
      <c r="U1300" s="80"/>
      <c r="V1300" s="129"/>
      <c r="W1300" s="129"/>
      <c r="X1300" s="129"/>
      <c r="Y1300" s="6023"/>
      <c r="Z1300" s="328"/>
      <c r="AA1300" s="328"/>
      <c r="AB1300" s="329"/>
    </row>
    <row r="1301" spans="1:31" ht="19.350000000000001" customHeight="1">
      <c r="A1301" s="11"/>
      <c r="B1301" s="1353"/>
      <c r="C1301" s="7638" t="s">
        <v>1919</v>
      </c>
      <c r="D1301" s="7639"/>
      <c r="E1301" s="7639"/>
      <c r="F1301" s="7853"/>
      <c r="G1301" s="7639"/>
      <c r="H1301" s="9919" t="s">
        <v>1113</v>
      </c>
      <c r="I1301" s="9904"/>
      <c r="J1301" s="9905"/>
      <c r="K1301" s="7853"/>
      <c r="L1301" s="7690"/>
      <c r="M1301" s="7691"/>
      <c r="N1301" s="7692"/>
      <c r="O1301" s="7691"/>
      <c r="P1301" s="7692"/>
      <c r="Q1301" s="7691"/>
      <c r="R1301" s="7693" t="s">
        <v>31</v>
      </c>
      <c r="S1301" s="7858" t="s">
        <v>1920</v>
      </c>
      <c r="T1301" s="6707"/>
      <c r="U1301" s="4849"/>
      <c r="V1301" s="99" t="s">
        <v>737</v>
      </c>
      <c r="W1301" s="547" t="s">
        <v>800</v>
      </c>
      <c r="X1301" s="547"/>
      <c r="Y1301" s="99"/>
      <c r="Z1301" s="265"/>
      <c r="AA1301" s="265"/>
      <c r="AB1301" s="187"/>
    </row>
    <row r="1302" spans="1:31" ht="19.350000000000001" customHeight="1">
      <c r="A1302" s="11"/>
      <c r="B1302" s="1360"/>
      <c r="C1302" s="915"/>
      <c r="D1302" s="5694" t="s">
        <v>1116</v>
      </c>
      <c r="E1302" s="5694"/>
      <c r="F1302" s="6683" t="s">
        <v>742</v>
      </c>
      <c r="G1302" s="6697"/>
      <c r="H1302" s="6694"/>
      <c r="I1302" s="7036"/>
      <c r="J1302" s="5694" t="s">
        <v>1117</v>
      </c>
      <c r="K1302" s="6683" t="s">
        <v>734</v>
      </c>
      <c r="L1302" s="7111" t="str">
        <f>IF(COUNTBLANK(L1303:L1304)&gt;0,"미취합법인有",SUM(L1303:L1304))</f>
        <v>미취합법인有</v>
      </c>
      <c r="M1302" s="7279"/>
      <c r="N1302" s="7115">
        <f>IF(COUNTBLANK(N1303:N1304)&gt;0,"미취합법인有",SUM(N1303:N1304))</f>
        <v>203</v>
      </c>
      <c r="O1302" s="7293"/>
      <c r="P1302" s="7121">
        <f>IF(COUNTBLANK(P1303:P1304)&gt;0,"미취합법인有",SUM(P1303:P1304))</f>
        <v>179</v>
      </c>
      <c r="Q1302" s="7029"/>
      <c r="R1302" s="7037" t="s">
        <v>31</v>
      </c>
      <c r="S1302" s="7007"/>
      <c r="T1302" s="7008" t="s">
        <v>1118</v>
      </c>
      <c r="U1302" s="276" t="s">
        <v>1119</v>
      </c>
      <c r="V1302" s="99" t="s">
        <v>758</v>
      </c>
      <c r="W1302" s="547" t="s">
        <v>800</v>
      </c>
      <c r="X1302" s="547"/>
      <c r="Y1302" s="99"/>
      <c r="Z1302" s="265" t="s">
        <v>1120</v>
      </c>
      <c r="AA1302" s="265" t="s">
        <v>1121</v>
      </c>
      <c r="AB1302" s="187"/>
      <c r="AE1302" s="1377"/>
    </row>
    <row r="1303" spans="1:31" ht="20.100000000000001" customHeight="1">
      <c r="A1303" s="11"/>
      <c r="B1303" s="1360"/>
      <c r="C1303" s="5598"/>
      <c r="D1303" s="357" t="s">
        <v>134</v>
      </c>
      <c r="E1303" s="357"/>
      <c r="F1303" s="285" t="s">
        <v>742</v>
      </c>
      <c r="G1303" s="666"/>
      <c r="H1303" s="6188"/>
      <c r="I1303" s="367"/>
      <c r="J1303" s="551" t="s">
        <v>431</v>
      </c>
      <c r="K1303" s="105" t="s">
        <v>734</v>
      </c>
      <c r="L1303" s="7113">
        <v>171</v>
      </c>
      <c r="M1303" s="7288"/>
      <c r="N1303" s="7118">
        <v>163</v>
      </c>
      <c r="O1303" s="7393" t="s">
        <v>1122</v>
      </c>
      <c r="P1303" s="7160">
        <v>145</v>
      </c>
      <c r="Q1303" s="7311"/>
      <c r="R1303" s="6661" t="s">
        <v>31</v>
      </c>
      <c r="S1303" s="6572"/>
      <c r="T1303" s="2468"/>
      <c r="U1303" s="544"/>
      <c r="V1303" s="545"/>
      <c r="W1303" s="547"/>
      <c r="X1303" s="547"/>
      <c r="Y1303" s="545"/>
      <c r="Z1303" s="277"/>
      <c r="AA1303" s="277"/>
      <c r="AB1303" s="187"/>
    </row>
    <row r="1304" spans="1:31" ht="20.100000000000001" customHeight="1">
      <c r="A1304" s="11"/>
      <c r="B1304" s="1360"/>
      <c r="C1304" s="5598"/>
      <c r="D1304" s="357" t="s">
        <v>137</v>
      </c>
      <c r="E1304" s="357"/>
      <c r="F1304" s="285" t="s">
        <v>742</v>
      </c>
      <c r="G1304" s="666"/>
      <c r="H1304" s="6188"/>
      <c r="I1304" s="367"/>
      <c r="J1304" s="551" t="s">
        <v>449</v>
      </c>
      <c r="K1304" s="105" t="s">
        <v>734</v>
      </c>
      <c r="L1304" s="7172"/>
      <c r="M1304" s="7288"/>
      <c r="N1304" s="7118">
        <v>40</v>
      </c>
      <c r="O1304" s="7393"/>
      <c r="P1304" s="7150">
        <v>34</v>
      </c>
      <c r="Q1304" s="7311"/>
      <c r="R1304" s="6661" t="s">
        <v>31</v>
      </c>
      <c r="S1304" s="6572"/>
      <c r="T1304" s="2468"/>
      <c r="U1304" s="544"/>
      <c r="V1304" s="545"/>
      <c r="W1304" s="547"/>
      <c r="X1304" s="547"/>
      <c r="Y1304" s="545"/>
      <c r="Z1304" s="277"/>
      <c r="AA1304" s="277"/>
      <c r="AB1304" s="187"/>
    </row>
    <row r="1305" spans="1:31" ht="19.350000000000001" customHeight="1">
      <c r="A1305" s="11"/>
      <c r="B1305" s="1360"/>
      <c r="C1305" s="5598"/>
      <c r="D1305" s="5694" t="s">
        <v>1125</v>
      </c>
      <c r="E1305" s="5694"/>
      <c r="F1305" s="6683" t="s">
        <v>742</v>
      </c>
      <c r="G1305" s="6697"/>
      <c r="H1305" s="6694"/>
      <c r="I1305" s="7036"/>
      <c r="J1305" s="5694" t="s">
        <v>1126</v>
      </c>
      <c r="K1305" s="6683" t="s">
        <v>734</v>
      </c>
      <c r="L1305" s="7111" t="str">
        <f>IF(COUNTBLANK(L1306:L1307)&gt;0,"미취합법인有",SUM(L1306:L1307))</f>
        <v>미취합법인有</v>
      </c>
      <c r="M1305" s="7279"/>
      <c r="N1305" s="7115">
        <f>IF(COUNTBLANK(N1306:N1307)&gt;0,"미취합법인有",SUM(N1306:N1307))</f>
        <v>132</v>
      </c>
      <c r="O1305" s="7293"/>
      <c r="P1305" s="7121">
        <f>IF(COUNTBLANK(P1306:P1307)&gt;0,"미취합법인有",SUM(P1306:P1307))</f>
        <v>138</v>
      </c>
      <c r="Q1305" s="7029"/>
      <c r="R1305" s="7037" t="s">
        <v>31</v>
      </c>
      <c r="S1305" s="7007"/>
      <c r="T1305" s="7008" t="s">
        <v>1118</v>
      </c>
      <c r="U1305" s="276" t="s">
        <v>1119</v>
      </c>
      <c r="V1305" s="99" t="s">
        <v>758</v>
      </c>
      <c r="W1305" s="547" t="s">
        <v>800</v>
      </c>
      <c r="X1305" s="547"/>
      <c r="Y1305" s="99"/>
      <c r="Z1305" s="265" t="s">
        <v>1120</v>
      </c>
      <c r="AA1305" s="265" t="s">
        <v>1121</v>
      </c>
      <c r="AB1305" s="187"/>
    </row>
    <row r="1306" spans="1:31" ht="20.100000000000001" customHeight="1">
      <c r="A1306" s="11"/>
      <c r="B1306" s="1360"/>
      <c r="C1306" s="5598"/>
      <c r="D1306" s="357" t="s">
        <v>134</v>
      </c>
      <c r="E1306" s="357"/>
      <c r="F1306" s="285" t="s">
        <v>742</v>
      </c>
      <c r="G1306" s="666"/>
      <c r="H1306" s="6188"/>
      <c r="I1306" s="367"/>
      <c r="J1306" s="551" t="s">
        <v>431</v>
      </c>
      <c r="K1306" s="105" t="s">
        <v>734</v>
      </c>
      <c r="L1306" s="7113">
        <v>122</v>
      </c>
      <c r="M1306" s="7288"/>
      <c r="N1306" s="7118">
        <v>126</v>
      </c>
      <c r="O1306" s="7393" t="s">
        <v>1122</v>
      </c>
      <c r="P1306" s="7157">
        <v>133</v>
      </c>
      <c r="Q1306" s="7406"/>
      <c r="R1306" s="6661" t="s">
        <v>31</v>
      </c>
      <c r="S1306" s="6596"/>
      <c r="T1306" s="2468"/>
      <c r="U1306" s="544"/>
      <c r="V1306" s="545"/>
      <c r="W1306" s="547"/>
      <c r="X1306" s="547"/>
      <c r="Y1306" s="545"/>
      <c r="Z1306" s="277"/>
      <c r="AA1306" s="277"/>
      <c r="AB1306" s="187"/>
    </row>
    <row r="1307" spans="1:31" ht="20.100000000000001" customHeight="1">
      <c r="A1307" s="11"/>
      <c r="B1307" s="1360"/>
      <c r="C1307" s="161"/>
      <c r="D1307" s="357" t="s">
        <v>137</v>
      </c>
      <c r="E1307" s="357"/>
      <c r="F1307" s="285" t="s">
        <v>742</v>
      </c>
      <c r="G1307" s="666"/>
      <c r="H1307" s="6188"/>
      <c r="I1307" s="367"/>
      <c r="J1307" s="551" t="s">
        <v>449</v>
      </c>
      <c r="K1307" s="105" t="s">
        <v>734</v>
      </c>
      <c r="L1307" s="7172"/>
      <c r="M1307" s="7288"/>
      <c r="N1307" s="7118">
        <v>6</v>
      </c>
      <c r="O1307" s="7393"/>
      <c r="P1307" s="7157">
        <v>5</v>
      </c>
      <c r="Q1307" s="7481"/>
      <c r="R1307" s="6661" t="s">
        <v>31</v>
      </c>
      <c r="S1307" s="6597"/>
      <c r="T1307" s="2468"/>
      <c r="U1307" s="544"/>
      <c r="V1307" s="545"/>
      <c r="W1307" s="547"/>
      <c r="X1307" s="547"/>
      <c r="Y1307" s="545"/>
      <c r="Z1307" s="277"/>
      <c r="AA1307" s="277"/>
      <c r="AB1307" s="187"/>
    </row>
    <row r="1308" spans="1:31" ht="19.350000000000001" customHeight="1">
      <c r="A1308" s="11"/>
      <c r="B1308" s="1360"/>
      <c r="C1308" s="7853" t="s">
        <v>1921</v>
      </c>
      <c r="D1308" s="7639"/>
      <c r="E1308" s="7639"/>
      <c r="F1308" s="7639"/>
      <c r="G1308" s="7694"/>
      <c r="H1308" s="7694"/>
      <c r="I1308" s="7639" t="s">
        <v>1128</v>
      </c>
      <c r="J1308" s="7639"/>
      <c r="K1308" s="7639" t="s">
        <v>734</v>
      </c>
      <c r="L1308" s="7695"/>
      <c r="M1308" s="7696"/>
      <c r="N1308" s="7697"/>
      <c r="O1308" s="7696"/>
      <c r="P1308" s="7697"/>
      <c r="Q1308" s="7691"/>
      <c r="R1308" s="7693" t="s">
        <v>31</v>
      </c>
      <c r="S1308" s="7858" t="s">
        <v>1920</v>
      </c>
      <c r="T1308" s="6707"/>
      <c r="U1308" s="24"/>
      <c r="V1308" s="99" t="s">
        <v>758</v>
      </c>
      <c r="W1308" s="547" t="s">
        <v>800</v>
      </c>
      <c r="X1308" s="547"/>
      <c r="Y1308" s="99"/>
      <c r="Z1308" s="277" t="s">
        <v>1129</v>
      </c>
      <c r="AA1308" s="265" t="s">
        <v>1121</v>
      </c>
      <c r="AB1308" s="187"/>
    </row>
    <row r="1309" spans="1:31" ht="19.350000000000001" customHeight="1">
      <c r="A1309" s="11"/>
      <c r="B1309" s="1360"/>
      <c r="C1309" s="1142"/>
      <c r="D1309" s="5694" t="s">
        <v>1130</v>
      </c>
      <c r="E1309" s="5694"/>
      <c r="F1309" s="6683" t="s">
        <v>732</v>
      </c>
      <c r="G1309" s="7038"/>
      <c r="H1309" s="7039"/>
      <c r="I1309" s="7036"/>
      <c r="J1309" s="5694" t="s">
        <v>1131</v>
      </c>
      <c r="K1309" s="6683" t="s">
        <v>734</v>
      </c>
      <c r="L1309" s="7111" t="str">
        <f>IF(COUNTBLANK(L1310:L1311)&gt;0,"미취합법인有",SUM(L1310:L1311))</f>
        <v>미취합법인有</v>
      </c>
      <c r="M1309" s="7279"/>
      <c r="N1309" s="7115" t="str">
        <f>IF(COUNTBLANK(N1310:N1311)&gt;0,"미취합법인有",SUM(N1310:N1311))</f>
        <v>미취합법인有</v>
      </c>
      <c r="O1309" s="7293"/>
      <c r="P1309" s="7121">
        <f>IF(COUNTBLANK(P1310:P1311)&gt;0,"미취합법인有",SUM(P1310:P1311))</f>
        <v>19</v>
      </c>
      <c r="Q1309" s="7029"/>
      <c r="R1309" s="7037" t="s">
        <v>31</v>
      </c>
      <c r="S1309" s="7007"/>
      <c r="T1309" s="7008" t="s">
        <v>1132</v>
      </c>
      <c r="U1309" s="276" t="s">
        <v>1133</v>
      </c>
      <c r="V1309" s="99" t="s">
        <v>758</v>
      </c>
      <c r="W1309" s="547" t="s">
        <v>800</v>
      </c>
      <c r="X1309" s="547"/>
      <c r="Y1309" s="99"/>
      <c r="Z1309" s="277" t="s">
        <v>1129</v>
      </c>
      <c r="AA1309" s="277" t="s">
        <v>1121</v>
      </c>
      <c r="AB1309" s="187"/>
      <c r="AE1309" s="1377"/>
    </row>
    <row r="1310" spans="1:31" ht="20.100000000000001" customHeight="1">
      <c r="A1310" s="11"/>
      <c r="B1310" s="1360"/>
      <c r="C1310" s="5591"/>
      <c r="D1310" s="357" t="s">
        <v>134</v>
      </c>
      <c r="E1310" s="357"/>
      <c r="F1310" s="285" t="s">
        <v>732</v>
      </c>
      <c r="G1310" s="666"/>
      <c r="H1310" s="6188"/>
      <c r="I1310" s="367"/>
      <c r="J1310" s="551" t="s">
        <v>431</v>
      </c>
      <c r="K1310" s="105" t="s">
        <v>734</v>
      </c>
      <c r="L1310" s="7163">
        <v>7</v>
      </c>
      <c r="M1310" s="7295"/>
      <c r="N1310" s="7164">
        <v>17</v>
      </c>
      <c r="O1310" s="7394"/>
      <c r="P1310" s="7165">
        <v>14</v>
      </c>
      <c r="Q1310" s="7482"/>
      <c r="R1310" s="6661" t="s">
        <v>31</v>
      </c>
      <c r="S1310" s="6598"/>
      <c r="T1310" s="2468"/>
      <c r="U1310" s="544"/>
      <c r="V1310" s="545"/>
      <c r="W1310" s="547"/>
      <c r="X1310" s="547"/>
      <c r="Y1310" s="545"/>
      <c r="Z1310" s="277"/>
      <c r="AA1310" s="277"/>
      <c r="AB1310" s="187"/>
    </row>
    <row r="1311" spans="1:31" ht="20.100000000000001" customHeight="1">
      <c r="A1311" s="11"/>
      <c r="B1311" s="1360"/>
      <c r="C1311" s="5591"/>
      <c r="D1311" s="357" t="s">
        <v>137</v>
      </c>
      <c r="E1311" s="357"/>
      <c r="F1311" s="285" t="s">
        <v>732</v>
      </c>
      <c r="G1311" s="666"/>
      <c r="H1311" s="6188"/>
      <c r="I1311" s="367"/>
      <c r="J1311" s="551" t="s">
        <v>449</v>
      </c>
      <c r="K1311" s="105" t="s">
        <v>734</v>
      </c>
      <c r="L1311" s="7172"/>
      <c r="M1311" s="7295"/>
      <c r="N1311" s="7178"/>
      <c r="O1311" s="7394"/>
      <c r="P1311" s="7149">
        <f>'4DPLEX'!AA279</f>
        <v>5</v>
      </c>
      <c r="Q1311" s="7483"/>
      <c r="R1311" s="6661" t="s">
        <v>31</v>
      </c>
      <c r="S1311" s="6599"/>
      <c r="T1311" s="2468"/>
      <c r="U1311" s="544"/>
      <c r="V1311" s="545"/>
      <c r="W1311" s="547"/>
      <c r="X1311" s="547"/>
      <c r="Y1311" s="545"/>
      <c r="Z1311" s="277"/>
      <c r="AA1311" s="277"/>
      <c r="AB1311" s="187"/>
    </row>
    <row r="1312" spans="1:31" ht="19.350000000000001" customHeight="1">
      <c r="A1312" s="11"/>
      <c r="B1312" s="1360"/>
      <c r="C1312" s="280"/>
      <c r="D1312" s="5694" t="s">
        <v>1136</v>
      </c>
      <c r="E1312" s="5694"/>
      <c r="F1312" s="6683" t="s">
        <v>732</v>
      </c>
      <c r="G1312" s="6697"/>
      <c r="H1312" s="6694"/>
      <c r="I1312" s="7036"/>
      <c r="J1312" s="5694" t="s">
        <v>1137</v>
      </c>
      <c r="K1312" s="6683" t="s">
        <v>734</v>
      </c>
      <c r="L1312" s="7111" t="str">
        <f>IF(COUNTBLANK(L1313:L1314)&gt;0,"미취합법인有",SUM(L1313:L1314))</f>
        <v>미취합법인有</v>
      </c>
      <c r="M1312" s="7279"/>
      <c r="N1312" s="7115" t="str">
        <f>IF(COUNTBLANK(N1313:N1314)&gt;0,"미취합법인有",SUM(N1313:N1314))</f>
        <v>미취합법인有</v>
      </c>
      <c r="O1312" s="7293"/>
      <c r="P1312" s="7121">
        <f>IF(COUNTBLANK(P1313:P1314)&gt;0,"미취합법인有",SUM(P1313:P1314))</f>
        <v>47</v>
      </c>
      <c r="Q1312" s="7029"/>
      <c r="R1312" s="7037" t="s">
        <v>31</v>
      </c>
      <c r="S1312" s="7007"/>
      <c r="T1312" s="7008" t="s">
        <v>1132</v>
      </c>
      <c r="U1312" s="276" t="s">
        <v>1133</v>
      </c>
      <c r="V1312" s="99" t="s">
        <v>758</v>
      </c>
      <c r="W1312" s="547" t="s">
        <v>800</v>
      </c>
      <c r="X1312" s="547"/>
      <c r="Y1312" s="99"/>
      <c r="Z1312" s="896" t="s">
        <v>1129</v>
      </c>
      <c r="AA1312" s="896" t="s">
        <v>1121</v>
      </c>
      <c r="AB1312" s="187"/>
    </row>
    <row r="1313" spans="1:28" ht="20.100000000000001" customHeight="1">
      <c r="A1313" s="11"/>
      <c r="B1313" s="1360"/>
      <c r="C1313" s="5591"/>
      <c r="D1313" s="357" t="s">
        <v>134</v>
      </c>
      <c r="E1313" s="357"/>
      <c r="F1313" s="285" t="s">
        <v>732</v>
      </c>
      <c r="G1313" s="666"/>
      <c r="H1313" s="6188"/>
      <c r="I1313" s="367"/>
      <c r="J1313" s="551" t="s">
        <v>431</v>
      </c>
      <c r="K1313" s="105" t="s">
        <v>734</v>
      </c>
      <c r="L1313" s="7113">
        <v>35</v>
      </c>
      <c r="M1313" s="7288"/>
      <c r="N1313" s="7118">
        <v>38</v>
      </c>
      <c r="O1313" s="7393" t="s">
        <v>1138</v>
      </c>
      <c r="P1313" s="7157">
        <v>46</v>
      </c>
      <c r="Q1313" s="7406"/>
      <c r="R1313" s="6661" t="s">
        <v>31</v>
      </c>
      <c r="S1313" s="6596"/>
      <c r="T1313" s="2468"/>
      <c r="U1313" s="544"/>
      <c r="V1313" s="545"/>
      <c r="W1313" s="547"/>
      <c r="X1313" s="547"/>
      <c r="Y1313" s="545"/>
      <c r="Z1313" s="277"/>
      <c r="AA1313" s="277"/>
      <c r="AB1313" s="187"/>
    </row>
    <row r="1314" spans="1:28" ht="20.100000000000001" customHeight="1">
      <c r="A1314" s="11"/>
      <c r="B1314" s="1360"/>
      <c r="C1314" s="5591"/>
      <c r="D1314" s="357" t="s">
        <v>137</v>
      </c>
      <c r="E1314" s="357"/>
      <c r="F1314" s="285" t="s">
        <v>732</v>
      </c>
      <c r="G1314" s="666"/>
      <c r="H1314" s="6188"/>
      <c r="I1314" s="367"/>
      <c r="J1314" s="551" t="s">
        <v>449</v>
      </c>
      <c r="K1314" s="105" t="s">
        <v>734</v>
      </c>
      <c r="L1314" s="7172"/>
      <c r="M1314" s="7288"/>
      <c r="N1314" s="7173"/>
      <c r="O1314" s="7393"/>
      <c r="P1314" s="7157">
        <f>'4DPLEX'!AA280</f>
        <v>1</v>
      </c>
      <c r="Q1314" s="7481"/>
      <c r="R1314" s="6661" t="s">
        <v>31</v>
      </c>
      <c r="S1314" s="6597"/>
      <c r="T1314" s="2468"/>
      <c r="U1314" s="544"/>
      <c r="V1314" s="545"/>
      <c r="W1314" s="547"/>
      <c r="X1314" s="547"/>
      <c r="Y1314" s="545"/>
      <c r="Z1314" s="277"/>
      <c r="AA1314" s="277"/>
      <c r="AB1314" s="187"/>
    </row>
    <row r="1315" spans="1:28" ht="19.350000000000001" customHeight="1">
      <c r="A1315" s="11"/>
      <c r="B1315" s="1360"/>
      <c r="C1315" s="7853" t="s">
        <v>1922</v>
      </c>
      <c r="D1315" s="7639"/>
      <c r="E1315" s="7639"/>
      <c r="F1315" s="7639"/>
      <c r="G1315" s="7694"/>
      <c r="H1315" s="7694"/>
      <c r="I1315" s="7639" t="s">
        <v>1128</v>
      </c>
      <c r="J1315" s="7639"/>
      <c r="K1315" s="7639" t="s">
        <v>734</v>
      </c>
      <c r="L1315" s="7695"/>
      <c r="M1315" s="7696"/>
      <c r="N1315" s="7697"/>
      <c r="O1315" s="7696"/>
      <c r="P1315" s="7697"/>
      <c r="Q1315" s="7691"/>
      <c r="R1315" s="7693" t="s">
        <v>31</v>
      </c>
      <c r="S1315" s="7858" t="s">
        <v>1920</v>
      </c>
      <c r="T1315" s="6707"/>
      <c r="U1315" s="24"/>
      <c r="V1315" s="99" t="s">
        <v>758</v>
      </c>
      <c r="W1315" s="547" t="s">
        <v>800</v>
      </c>
      <c r="X1315" s="547"/>
      <c r="Y1315" s="99"/>
      <c r="Z1315" s="896" t="s">
        <v>1143</v>
      </c>
      <c r="AA1315" s="265" t="s">
        <v>1121</v>
      </c>
      <c r="AB1315" s="187"/>
    </row>
    <row r="1316" spans="1:28" ht="19.350000000000001" customHeight="1">
      <c r="A1316" s="11"/>
      <c r="B1316" s="1360"/>
      <c r="C1316" s="5598"/>
      <c r="D1316" s="9584" t="s">
        <v>1139</v>
      </c>
      <c r="E1316" s="9585"/>
      <c r="F1316" s="6683" t="s">
        <v>154</v>
      </c>
      <c r="G1316" s="6697"/>
      <c r="H1316" s="6694"/>
      <c r="I1316" s="9584" t="s">
        <v>1140</v>
      </c>
      <c r="J1316" s="9585"/>
      <c r="K1316" s="6683" t="s">
        <v>154</v>
      </c>
      <c r="L1316" s="7016" t="str">
        <f>IF(COUNTBLANK(L1317:L1318)&gt;0,"미취합법인有",AVERAGE(L1317:L1318))</f>
        <v>미취합법인有</v>
      </c>
      <c r="M1316" s="7026"/>
      <c r="N1316" s="7001" t="str">
        <f>IF(COUNTBLANK(N1317:N1318)&gt;0,"미취합법인有",AVERAGE(N1317:N1318))</f>
        <v>미취합법인有</v>
      </c>
      <c r="O1316" s="7384"/>
      <c r="P1316" s="7002" t="str">
        <f>IF(COUNTBLANK(P1317:P1318)&gt;0,"미취합법인有",AVERAGE(P1317:P1318))</f>
        <v>미취합법인有</v>
      </c>
      <c r="Q1316" s="7029"/>
      <c r="R1316" s="7037" t="s">
        <v>31</v>
      </c>
      <c r="S1316" s="7007"/>
      <c r="T1316" s="7008" t="s">
        <v>1141</v>
      </c>
      <c r="U1316" s="276" t="s">
        <v>1142</v>
      </c>
      <c r="V1316" s="99" t="s">
        <v>758</v>
      </c>
      <c r="W1316" s="547" t="s">
        <v>800</v>
      </c>
      <c r="X1316" s="547"/>
      <c r="Y1316" s="99"/>
      <c r="Z1316" s="896" t="s">
        <v>1143</v>
      </c>
      <c r="AA1316" s="896" t="s">
        <v>1121</v>
      </c>
      <c r="AB1316" s="187"/>
    </row>
    <row r="1317" spans="1:28" ht="20.100000000000001" customHeight="1">
      <c r="A1317" s="11"/>
      <c r="B1317" s="1360"/>
      <c r="C1317" s="161"/>
      <c r="D1317" s="9598" t="s">
        <v>134</v>
      </c>
      <c r="E1317" s="9600"/>
      <c r="F1317" s="285" t="s">
        <v>156</v>
      </c>
      <c r="G1317" s="666"/>
      <c r="H1317" s="684"/>
      <c r="I1317" s="9579" t="s">
        <v>135</v>
      </c>
      <c r="J1317" s="9581"/>
      <c r="K1317" s="105" t="s">
        <v>154</v>
      </c>
      <c r="L1317" s="6794">
        <v>100</v>
      </c>
      <c r="M1317" s="7303"/>
      <c r="N1317" s="6881">
        <v>82.35294117647058</v>
      </c>
      <c r="O1317" s="7402" t="s">
        <v>1138</v>
      </c>
      <c r="P1317" s="6886">
        <v>71.428571428571431</v>
      </c>
      <c r="Q1317" s="7406" t="s">
        <v>1144</v>
      </c>
      <c r="R1317" s="6661" t="s">
        <v>31</v>
      </c>
      <c r="S1317" s="6596"/>
      <c r="T1317" s="2468"/>
      <c r="U1317" s="544"/>
      <c r="V1317" s="545"/>
      <c r="W1317" s="546"/>
      <c r="X1317" s="547"/>
      <c r="Y1317" s="548"/>
      <c r="Z1317" s="277"/>
      <c r="AA1317" s="277"/>
      <c r="AB1317" s="187"/>
    </row>
    <row r="1318" spans="1:28" ht="20.100000000000001" customHeight="1">
      <c r="A1318" s="11"/>
      <c r="B1318" s="1360"/>
      <c r="C1318" s="5598"/>
      <c r="D1318" s="9598" t="s">
        <v>137</v>
      </c>
      <c r="E1318" s="9600"/>
      <c r="F1318" s="285" t="s">
        <v>156</v>
      </c>
      <c r="G1318" s="666"/>
      <c r="H1318" s="684"/>
      <c r="I1318" s="9579" t="s">
        <v>138</v>
      </c>
      <c r="J1318" s="9581"/>
      <c r="K1318" s="105" t="s">
        <v>154</v>
      </c>
      <c r="L1318" s="6804"/>
      <c r="M1318" s="7307"/>
      <c r="N1318" s="7706"/>
      <c r="O1318" s="7403"/>
      <c r="P1318" s="6952"/>
      <c r="Q1318" s="7481"/>
      <c r="R1318" s="6661" t="s">
        <v>31</v>
      </c>
      <c r="S1318" s="6597"/>
      <c r="T1318" s="2468"/>
      <c r="U1318" s="544"/>
      <c r="V1318" s="545"/>
      <c r="W1318" s="546"/>
      <c r="X1318" s="547"/>
      <c r="Y1318" s="548"/>
      <c r="Z1318" s="277"/>
      <c r="AA1318" s="277"/>
      <c r="AB1318" s="187"/>
    </row>
    <row r="1319" spans="1:28" ht="19.350000000000001" customHeight="1">
      <c r="A1319" s="11"/>
      <c r="B1319" s="1360"/>
      <c r="C1319" s="161"/>
      <c r="D1319" s="9584" t="s">
        <v>1147</v>
      </c>
      <c r="E1319" s="9585"/>
      <c r="F1319" s="6683" t="s">
        <v>154</v>
      </c>
      <c r="G1319" s="6697"/>
      <c r="H1319" s="6694"/>
      <c r="I1319" s="9584" t="s">
        <v>1148</v>
      </c>
      <c r="J1319" s="9585"/>
      <c r="K1319" s="6683" t="s">
        <v>154</v>
      </c>
      <c r="L1319" s="7016" t="str">
        <f>IF(COUNTBLANK(L1320:L1321)&gt;0,"미취합법인有",AVERAGE(L1320:L1321))</f>
        <v>미취합법인有</v>
      </c>
      <c r="M1319" s="7026"/>
      <c r="N1319" s="7001" t="str">
        <f>IF(COUNTBLANK(N1320:N1321)&gt;0,"미취합법인有",AVERAGE(N1320:N1321))</f>
        <v>미취합법인有</v>
      </c>
      <c r="O1319" s="7384"/>
      <c r="P1319" s="7002" t="str">
        <f>IF(COUNTBLANK(P1320:P1321)&gt;0,"미취합법인有",AVERAGE(P1320:P1321))</f>
        <v>미취합법인有</v>
      </c>
      <c r="Q1319" s="7029"/>
      <c r="R1319" s="7037" t="s">
        <v>31</v>
      </c>
      <c r="S1319" s="7007"/>
      <c r="T1319" s="7008" t="s">
        <v>1141</v>
      </c>
      <c r="U1319" s="276" t="s">
        <v>1142</v>
      </c>
      <c r="V1319" s="99" t="s">
        <v>758</v>
      </c>
      <c r="W1319" s="547" t="s">
        <v>800</v>
      </c>
      <c r="X1319" s="547"/>
      <c r="Y1319" s="99"/>
      <c r="Z1319" s="896" t="s">
        <v>1143</v>
      </c>
      <c r="AA1319" s="896" t="s">
        <v>1121</v>
      </c>
      <c r="AB1319" s="187"/>
    </row>
    <row r="1320" spans="1:28" ht="20.100000000000001" customHeight="1">
      <c r="A1320" s="11"/>
      <c r="B1320" s="1360"/>
      <c r="C1320" s="5598"/>
      <c r="D1320" s="9598" t="s">
        <v>134</v>
      </c>
      <c r="E1320" s="9600"/>
      <c r="F1320" s="285" t="s">
        <v>156</v>
      </c>
      <c r="G1320" s="666"/>
      <c r="H1320" s="684"/>
      <c r="I1320" s="9579" t="s">
        <v>135</v>
      </c>
      <c r="J1320" s="9581"/>
      <c r="K1320" s="105" t="s">
        <v>154</v>
      </c>
      <c r="L1320" s="6794">
        <v>100</v>
      </c>
      <c r="M1320" s="7303"/>
      <c r="N1320" s="6881">
        <v>82.35294117647058</v>
      </c>
      <c r="O1320" s="7402" t="s">
        <v>1138</v>
      </c>
      <c r="P1320" s="6886">
        <v>72.727272727272734</v>
      </c>
      <c r="Q1320" s="7406" t="s">
        <v>1149</v>
      </c>
      <c r="R1320" s="6661" t="s">
        <v>31</v>
      </c>
      <c r="S1320" s="6596"/>
      <c r="T1320" s="2468"/>
      <c r="U1320" s="544"/>
      <c r="V1320" s="545"/>
      <c r="W1320" s="546"/>
      <c r="X1320" s="547"/>
      <c r="Y1320" s="548"/>
      <c r="Z1320" s="277"/>
      <c r="AA1320" s="277"/>
      <c r="AB1320" s="187"/>
    </row>
    <row r="1321" spans="1:28" ht="20.100000000000001" customHeight="1">
      <c r="A1321" s="11"/>
      <c r="B1321" s="1360"/>
      <c r="C1321" s="5598"/>
      <c r="D1321" s="9598" t="s">
        <v>137</v>
      </c>
      <c r="E1321" s="9600"/>
      <c r="F1321" s="285" t="s">
        <v>156</v>
      </c>
      <c r="G1321" s="666"/>
      <c r="H1321" s="684"/>
      <c r="I1321" s="9579" t="s">
        <v>138</v>
      </c>
      <c r="J1321" s="9581"/>
      <c r="K1321" s="105" t="s">
        <v>154</v>
      </c>
      <c r="L1321" s="6804"/>
      <c r="M1321" s="7307"/>
      <c r="N1321" s="7706"/>
      <c r="O1321" s="7403"/>
      <c r="P1321" s="6952"/>
      <c r="Q1321" s="7481"/>
      <c r="R1321" s="6661" t="s">
        <v>31</v>
      </c>
      <c r="S1321" s="6597"/>
      <c r="T1321" s="2468"/>
      <c r="U1321" s="544"/>
      <c r="V1321" s="545"/>
      <c r="W1321" s="546"/>
      <c r="X1321" s="547"/>
      <c r="Y1321" s="548"/>
      <c r="Z1321" s="277"/>
      <c r="AA1321" s="277"/>
      <c r="AB1321" s="187"/>
    </row>
    <row r="1322" spans="1:28" ht="19.350000000000001" customHeight="1">
      <c r="A1322" s="11"/>
      <c r="B1322" s="1360"/>
      <c r="C1322" s="5598"/>
      <c r="D1322" s="9584" t="s">
        <v>1150</v>
      </c>
      <c r="E1322" s="9585"/>
      <c r="F1322" s="6683" t="s">
        <v>154</v>
      </c>
      <c r="G1322" s="6697"/>
      <c r="H1322" s="6694"/>
      <c r="I1322" s="9584" t="s">
        <v>1151</v>
      </c>
      <c r="J1322" s="9585"/>
      <c r="K1322" s="6683" t="s">
        <v>154</v>
      </c>
      <c r="L1322" s="7016" t="str">
        <f>IF(COUNTBLANK(L1323:L1324)&gt;0,"미취합법인有",AVERAGE(L1323:L1324))</f>
        <v>미취합법인有</v>
      </c>
      <c r="M1322" s="7026"/>
      <c r="N1322" s="7001" t="str">
        <f>IF(COUNTBLANK(N1323:N1324)&gt;0,"미취합법인有",AVERAGE(N1323:N1324))</f>
        <v>미취합법인有</v>
      </c>
      <c r="O1322" s="7384"/>
      <c r="P1322" s="7002" t="str">
        <f>IF(COUNTBLANK(P1323:P1324)&gt;0,"미취합법인有",AVERAGE(P1323:P1324))</f>
        <v>미취합법인有</v>
      </c>
      <c r="Q1322" s="7029"/>
      <c r="R1322" s="7037" t="s">
        <v>31</v>
      </c>
      <c r="S1322" s="7007"/>
      <c r="T1322" s="7008" t="s">
        <v>1152</v>
      </c>
      <c r="U1322" s="24" t="s">
        <v>1153</v>
      </c>
      <c r="V1322" s="99" t="s">
        <v>758</v>
      </c>
      <c r="W1322" s="547" t="s">
        <v>800</v>
      </c>
      <c r="X1322" s="547"/>
      <c r="Y1322" s="99"/>
      <c r="Z1322" s="277" t="s">
        <v>1154</v>
      </c>
      <c r="AA1322" s="277" t="s">
        <v>1121</v>
      </c>
      <c r="AB1322" s="187"/>
    </row>
    <row r="1323" spans="1:28" ht="19.5" customHeight="1">
      <c r="A1323" s="11"/>
      <c r="B1323" s="1360"/>
      <c r="C1323" s="5598"/>
      <c r="D1323" s="9598" t="s">
        <v>134</v>
      </c>
      <c r="E1323" s="9600"/>
      <c r="F1323" s="285" t="s">
        <v>156</v>
      </c>
      <c r="G1323" s="666"/>
      <c r="H1323" s="684"/>
      <c r="I1323" s="9579" t="s">
        <v>135</v>
      </c>
      <c r="J1323" s="9581"/>
      <c r="K1323" s="105" t="s">
        <v>154</v>
      </c>
      <c r="L1323" s="6794">
        <v>69.230769230769226</v>
      </c>
      <c r="M1323" s="7303"/>
      <c r="N1323" s="6881">
        <v>84.210526315789465</v>
      </c>
      <c r="O1323" s="7402" t="s">
        <v>1138</v>
      </c>
      <c r="P1323" s="6886">
        <v>76.744186046511629</v>
      </c>
      <c r="Q1323" s="7421" t="s">
        <v>1155</v>
      </c>
      <c r="R1323" s="6661" t="s">
        <v>31</v>
      </c>
      <c r="S1323" s="6591"/>
      <c r="T1323" s="2468"/>
      <c r="U1323" s="4849"/>
      <c r="V1323" s="545"/>
      <c r="W1323" s="546"/>
      <c r="X1323" s="547"/>
      <c r="Y1323" s="548"/>
      <c r="Z1323" s="277"/>
      <c r="AA1323" s="277"/>
      <c r="AB1323" s="187"/>
    </row>
    <row r="1324" spans="1:28" ht="20.100000000000001" customHeight="1">
      <c r="A1324" s="11"/>
      <c r="B1324" s="1360"/>
      <c r="C1324" s="161"/>
      <c r="D1324" s="9598" t="s">
        <v>137</v>
      </c>
      <c r="E1324" s="9600"/>
      <c r="F1324" s="285" t="s">
        <v>156</v>
      </c>
      <c r="G1324" s="666"/>
      <c r="H1324" s="684"/>
      <c r="I1324" s="9579" t="s">
        <v>138</v>
      </c>
      <c r="J1324" s="9581"/>
      <c r="K1324" s="105" t="s">
        <v>154</v>
      </c>
      <c r="L1324" s="6804"/>
      <c r="M1324" s="7307"/>
      <c r="N1324" s="7706"/>
      <c r="O1324" s="7403"/>
      <c r="P1324" s="6952"/>
      <c r="Q1324" s="7421"/>
      <c r="R1324" s="6661" t="s">
        <v>31</v>
      </c>
      <c r="S1324" s="7863"/>
      <c r="T1324" s="276"/>
      <c r="U1324" s="1856"/>
      <c r="V1324" s="309"/>
      <c r="W1324" s="547"/>
      <c r="X1324" s="547"/>
      <c r="Y1324" s="309"/>
      <c r="Z1324" s="277"/>
      <c r="AA1324" s="277"/>
      <c r="AB1324" s="187"/>
    </row>
    <row r="1325" spans="1:28" ht="19.350000000000001" customHeight="1">
      <c r="A1325" s="11"/>
      <c r="B1325" s="1360"/>
      <c r="C1325" s="6138" t="s">
        <v>1157</v>
      </c>
      <c r="D1325" s="7639"/>
      <c r="E1325" s="7639"/>
      <c r="F1325" s="7694"/>
      <c r="G1325" s="7694"/>
      <c r="H1325" s="7694" t="s">
        <v>1158</v>
      </c>
      <c r="I1325" s="7694"/>
      <c r="J1325" s="7694"/>
      <c r="K1325" s="7698"/>
      <c r="L1325" s="7690"/>
      <c r="M1325" s="7691"/>
      <c r="N1325" s="7692"/>
      <c r="O1325" s="7691"/>
      <c r="P1325" s="7692"/>
      <c r="Q1325" s="7691"/>
      <c r="R1325" s="7693" t="s">
        <v>31</v>
      </c>
      <c r="S1325" s="7691"/>
      <c r="T1325" s="7699"/>
      <c r="U1325" s="508"/>
      <c r="V1325" s="99" t="s">
        <v>758</v>
      </c>
      <c r="W1325" s="547" t="s">
        <v>800</v>
      </c>
      <c r="X1325" s="547"/>
      <c r="Y1325" s="99"/>
      <c r="Z1325" s="277"/>
      <c r="AA1325" s="277"/>
      <c r="AB1325" s="187"/>
    </row>
    <row r="1326" spans="1:28" ht="19.350000000000001" customHeight="1">
      <c r="A1326" s="11"/>
      <c r="B1326" s="1360"/>
      <c r="C1326" s="915"/>
      <c r="D1326" s="9584" t="s">
        <v>1159</v>
      </c>
      <c r="E1326" s="9585"/>
      <c r="F1326" s="6683" t="s">
        <v>732</v>
      </c>
      <c r="G1326" s="6697"/>
      <c r="H1326" s="6694"/>
      <c r="I1326" s="9584" t="s">
        <v>1160</v>
      </c>
      <c r="J1326" s="9585"/>
      <c r="K1326" s="6683" t="s">
        <v>734</v>
      </c>
      <c r="L1326" s="7111">
        <f>IF(COUNTBLANK(L1327:L1332)&gt;0,"미취합법인有",SUM(L1327:L1332))</f>
        <v>102</v>
      </c>
      <c r="M1326" s="7279"/>
      <c r="N1326" s="7115">
        <f>IF(COUNTBLANK(N1327:N1332)&gt;0,"미취합법인有",SUM(N1327:N1332))</f>
        <v>84</v>
      </c>
      <c r="O1326" s="7385"/>
      <c r="P1326" s="7121">
        <f>IF(COUNTBLANK(P1327:P1332)&gt;0,"미취합법인有",SUM(P1327:P1332))</f>
        <v>56</v>
      </c>
      <c r="Q1326" s="7029"/>
      <c r="R1326" s="7037" t="s">
        <v>31</v>
      </c>
      <c r="S1326" s="7029"/>
      <c r="T1326" s="7036" t="s">
        <v>1161</v>
      </c>
      <c r="U1326" s="276" t="s">
        <v>1162</v>
      </c>
      <c r="V1326" s="99" t="s">
        <v>758</v>
      </c>
      <c r="W1326" s="547" t="s">
        <v>800</v>
      </c>
      <c r="X1326" s="547"/>
      <c r="Y1326" s="99"/>
      <c r="Z1326" s="277" t="s">
        <v>1163</v>
      </c>
      <c r="AA1326" s="265"/>
      <c r="AB1326" s="187"/>
    </row>
    <row r="1327" spans="1:28" ht="20.100000000000001" customHeight="1">
      <c r="A1327" s="11"/>
      <c r="B1327" s="1360"/>
      <c r="C1327" s="5598"/>
      <c r="D1327" s="9598" t="s">
        <v>134</v>
      </c>
      <c r="E1327" s="9600"/>
      <c r="F1327" s="285" t="s">
        <v>732</v>
      </c>
      <c r="G1327" s="666"/>
      <c r="H1327" s="684"/>
      <c r="I1327" s="9579" t="s">
        <v>135</v>
      </c>
      <c r="J1327" s="9581"/>
      <c r="K1327" s="105" t="s">
        <v>734</v>
      </c>
      <c r="L1327" s="7166">
        <v>40</v>
      </c>
      <c r="M1327" s="7306"/>
      <c r="N1327" s="7162">
        <v>46</v>
      </c>
      <c r="O1327" s="7312" t="s">
        <v>1164</v>
      </c>
      <c r="P1327" s="7167">
        <v>13</v>
      </c>
      <c r="Q1327" s="7421"/>
      <c r="R1327" s="6661" t="s">
        <v>31</v>
      </c>
      <c r="S1327" s="7863"/>
      <c r="T1327" s="294"/>
      <c r="U1327" s="276"/>
      <c r="V1327" s="309"/>
      <c r="W1327" s="547"/>
      <c r="X1327" s="547"/>
      <c r="Y1327" s="309"/>
      <c r="Z1327" s="277"/>
      <c r="AA1327" s="277"/>
      <c r="AB1327" s="187"/>
    </row>
    <row r="1328" spans="1:28" ht="20.100000000000001" customHeight="1">
      <c r="A1328" s="11"/>
      <c r="B1328" s="1360"/>
      <c r="C1328" s="5598"/>
      <c r="D1328" s="9598" t="s">
        <v>137</v>
      </c>
      <c r="E1328" s="9600"/>
      <c r="F1328" s="285" t="s">
        <v>732</v>
      </c>
      <c r="G1328" s="666"/>
      <c r="H1328" s="684"/>
      <c r="I1328" s="9579" t="s">
        <v>138</v>
      </c>
      <c r="J1328" s="9581"/>
      <c r="K1328" s="105" t="s">
        <v>734</v>
      </c>
      <c r="L1328" s="7113">
        <v>0</v>
      </c>
      <c r="M1328" s="7288"/>
      <c r="N1328" s="7118">
        <v>0</v>
      </c>
      <c r="O1328" s="7393"/>
      <c r="P1328" s="7157">
        <f>'4DPLEX'!AA284</f>
        <v>0</v>
      </c>
      <c r="Q1328" s="7421"/>
      <c r="R1328" s="6661" t="s">
        <v>31</v>
      </c>
      <c r="S1328" s="7863"/>
      <c r="T1328" s="294"/>
      <c r="U1328" s="276"/>
      <c r="V1328" s="309"/>
      <c r="W1328" s="547"/>
      <c r="X1328" s="547"/>
      <c r="Y1328" s="309"/>
      <c r="Z1328" s="277"/>
      <c r="AA1328" s="277"/>
      <c r="AB1328" s="187"/>
    </row>
    <row r="1329" spans="1:28" ht="20.100000000000001" customHeight="1">
      <c r="A1329" s="11"/>
      <c r="B1329" s="1360"/>
      <c r="C1329" s="5598"/>
      <c r="D1329" s="9598" t="s">
        <v>140</v>
      </c>
      <c r="E1329" s="9600"/>
      <c r="F1329" s="285" t="s">
        <v>732</v>
      </c>
      <c r="G1329" s="666"/>
      <c r="H1329" s="684"/>
      <c r="I1329" s="9582" t="s">
        <v>141</v>
      </c>
      <c r="J1329" s="9583"/>
      <c r="K1329" s="105" t="s">
        <v>734</v>
      </c>
      <c r="L1329" s="7166">
        <f>China!AO309</f>
        <v>1</v>
      </c>
      <c r="M1329" s="7306"/>
      <c r="N1329" s="7162">
        <f>China!AQ309</f>
        <v>4</v>
      </c>
      <c r="O1329" s="7312"/>
      <c r="P1329" s="7167">
        <f>China!AS309</f>
        <v>14</v>
      </c>
      <c r="Q1329" s="7421"/>
      <c r="R1329" s="6661" t="s">
        <v>31</v>
      </c>
      <c r="S1329" s="7863"/>
      <c r="T1329" s="294"/>
      <c r="U1329" s="276"/>
      <c r="V1329" s="309"/>
      <c r="W1329" s="547"/>
      <c r="X1329" s="547"/>
      <c r="Y1329" s="309"/>
      <c r="Z1329" s="277"/>
      <c r="AA1329" s="277"/>
      <c r="AB1329" s="187"/>
    </row>
    <row r="1330" spans="1:28" ht="20.100000000000001" customHeight="1">
      <c r="A1330" s="11"/>
      <c r="B1330" s="1360"/>
      <c r="C1330" s="614"/>
      <c r="D1330" s="9598" t="s">
        <v>143</v>
      </c>
      <c r="E1330" s="9600"/>
      <c r="F1330" s="285" t="s">
        <v>732</v>
      </c>
      <c r="G1330" s="666"/>
      <c r="H1330" s="684"/>
      <c r="I1330" s="9582" t="s">
        <v>144</v>
      </c>
      <c r="J1330" s="9583"/>
      <c r="K1330" s="105" t="s">
        <v>734</v>
      </c>
      <c r="L1330" s="7166">
        <f>Vietnam!Q309</f>
        <v>34</v>
      </c>
      <c r="M1330" s="7306" t="s">
        <v>1165</v>
      </c>
      <c r="N1330" s="7162">
        <f>Vietnam!S309</f>
        <v>4</v>
      </c>
      <c r="O1330" s="7312"/>
      <c r="P1330" s="7167">
        <f>Vietnam!U309</f>
        <v>13</v>
      </c>
      <c r="Q1330" s="7421"/>
      <c r="R1330" s="6661" t="s">
        <v>31</v>
      </c>
      <c r="S1330" s="7863"/>
      <c r="T1330" s="294"/>
      <c r="U1330" s="276"/>
      <c r="V1330" s="309"/>
      <c r="W1330" s="547"/>
      <c r="X1330" s="547"/>
      <c r="Y1330" s="309"/>
      <c r="Z1330" s="277"/>
      <c r="AA1330" s="277"/>
      <c r="AB1330" s="187"/>
    </row>
    <row r="1331" spans="1:28" ht="20.100000000000001" customHeight="1">
      <c r="A1331" s="11"/>
      <c r="B1331" s="1360"/>
      <c r="C1331" s="5598"/>
      <c r="D1331" s="9598" t="s">
        <v>146</v>
      </c>
      <c r="E1331" s="9600"/>
      <c r="F1331" s="285" t="s">
        <v>732</v>
      </c>
      <c r="G1331" s="666"/>
      <c r="H1331" s="684"/>
      <c r="I1331" s="9582" t="s">
        <v>147</v>
      </c>
      <c r="J1331" s="9583"/>
      <c r="K1331" s="105" t="s">
        <v>734</v>
      </c>
      <c r="L1331" s="7166">
        <f>Indonesia!V309</f>
        <v>19</v>
      </c>
      <c r="M1331" s="7306"/>
      <c r="N1331" s="7162">
        <f>Indonesia!X309</f>
        <v>12</v>
      </c>
      <c r="O1331" s="7312"/>
      <c r="P1331" s="7167">
        <f>Indonesia!Z309</f>
        <v>3</v>
      </c>
      <c r="Q1331" s="7421"/>
      <c r="R1331" s="6661" t="s">
        <v>31</v>
      </c>
      <c r="S1331" s="7863"/>
      <c r="T1331" s="294"/>
      <c r="U1331" s="276"/>
      <c r="V1331" s="309"/>
      <c r="W1331" s="547"/>
      <c r="X1331" s="547"/>
      <c r="Y1331" s="309"/>
      <c r="Z1331" s="277"/>
      <c r="AA1331" s="277"/>
      <c r="AB1331" s="187"/>
    </row>
    <row r="1332" spans="1:28" ht="20.100000000000001" customHeight="1">
      <c r="A1332" s="11"/>
      <c r="B1332" s="1360"/>
      <c r="C1332" s="5598"/>
      <c r="D1332" s="9598" t="s">
        <v>149</v>
      </c>
      <c r="E1332" s="9600"/>
      <c r="F1332" s="285" t="s">
        <v>732</v>
      </c>
      <c r="G1332" s="666"/>
      <c r="H1332" s="684"/>
      <c r="I1332" s="9582" t="s">
        <v>150</v>
      </c>
      <c r="J1332" s="9583"/>
      <c r="K1332" s="105" t="s">
        <v>734</v>
      </c>
      <c r="L1332" s="7166">
        <v>8</v>
      </c>
      <c r="M1332" s="7306"/>
      <c r="N1332" s="7162">
        <v>18</v>
      </c>
      <c r="O1332" s="7306"/>
      <c r="P1332" s="7162">
        <v>13</v>
      </c>
      <c r="Q1332" s="7421"/>
      <c r="R1332" s="6661" t="s">
        <v>31</v>
      </c>
      <c r="S1332" s="7863"/>
      <c r="T1332" s="294"/>
      <c r="U1332" s="276"/>
      <c r="V1332" s="309"/>
      <c r="W1332" s="547"/>
      <c r="X1332" s="547"/>
      <c r="Y1332" s="309"/>
      <c r="Z1332" s="277"/>
      <c r="AA1332" s="277"/>
      <c r="AB1332" s="187"/>
    </row>
    <row r="1333" spans="1:28" ht="19.350000000000001" customHeight="1">
      <c r="A1333" s="11"/>
      <c r="B1333" s="1360"/>
      <c r="C1333" s="921"/>
      <c r="D1333" s="9584" t="s">
        <v>1166</v>
      </c>
      <c r="E1333" s="9585"/>
      <c r="F1333" s="6683" t="s">
        <v>732</v>
      </c>
      <c r="G1333" s="6697"/>
      <c r="H1333" s="6694"/>
      <c r="I1333" s="9584" t="s">
        <v>1167</v>
      </c>
      <c r="J1333" s="9585"/>
      <c r="K1333" s="6683" t="s">
        <v>734</v>
      </c>
      <c r="L1333" s="7111" t="str">
        <f>IF(COUNTBLANK(L1334:L1339)&gt;0,"미취합법인有",SUM(L1334:L1339))</f>
        <v>미취합법인有</v>
      </c>
      <c r="M1333" s="7279"/>
      <c r="N1333" s="7115" t="str">
        <f>IF(COUNTBLANK(N1334:N1339)&gt;0,"미취합법인有",SUM(N1334:N1339))</f>
        <v>미취합법인有</v>
      </c>
      <c r="O1333" s="7385"/>
      <c r="P1333" s="7121">
        <f>IF(COUNTBLANK(P1334:P1339)&gt;0,"미취합법인有",SUM(P1334:P1339))</f>
        <v>82</v>
      </c>
      <c r="Q1333" s="7029"/>
      <c r="R1333" s="7037" t="s">
        <v>31</v>
      </c>
      <c r="S1333" s="7029"/>
      <c r="T1333" s="7036"/>
      <c r="U1333" s="276"/>
      <c r="V1333" s="99" t="s">
        <v>758</v>
      </c>
      <c r="W1333" s="547" t="s">
        <v>800</v>
      </c>
      <c r="X1333" s="547"/>
      <c r="Y1333" s="99"/>
      <c r="Z1333" s="277" t="s">
        <v>1163</v>
      </c>
      <c r="AA1333" s="265"/>
      <c r="AB1333" s="187"/>
    </row>
    <row r="1334" spans="1:28" ht="20.100000000000001" customHeight="1">
      <c r="A1334" s="11"/>
      <c r="B1334" s="1360"/>
      <c r="C1334" s="5598"/>
      <c r="D1334" s="9598" t="s">
        <v>134</v>
      </c>
      <c r="E1334" s="9600"/>
      <c r="F1334" s="285" t="s">
        <v>732</v>
      </c>
      <c r="G1334" s="666"/>
      <c r="H1334" s="684"/>
      <c r="I1334" s="9579" t="s">
        <v>135</v>
      </c>
      <c r="J1334" s="9581"/>
      <c r="K1334" s="105" t="s">
        <v>734</v>
      </c>
      <c r="L1334" s="7166">
        <v>24</v>
      </c>
      <c r="M1334" s="7306"/>
      <c r="N1334" s="7162">
        <v>24</v>
      </c>
      <c r="O1334" s="7312" t="s">
        <v>1164</v>
      </c>
      <c r="P1334" s="7167">
        <v>31</v>
      </c>
      <c r="Q1334" s="7421"/>
      <c r="R1334" s="6661" t="s">
        <v>31</v>
      </c>
      <c r="S1334" s="7863"/>
      <c r="T1334" s="276"/>
      <c r="U1334" s="276"/>
      <c r="V1334" s="309"/>
      <c r="W1334" s="547"/>
      <c r="X1334" s="547"/>
      <c r="Y1334" s="309"/>
      <c r="Z1334" s="277"/>
      <c r="AA1334" s="277"/>
      <c r="AB1334" s="187"/>
    </row>
    <row r="1335" spans="1:28" ht="20.100000000000001" customHeight="1">
      <c r="A1335" s="11"/>
      <c r="B1335" s="1360"/>
      <c r="C1335" s="5598"/>
      <c r="D1335" s="9598" t="s">
        <v>137</v>
      </c>
      <c r="E1335" s="9600"/>
      <c r="F1335" s="285" t="s">
        <v>732</v>
      </c>
      <c r="G1335" s="666"/>
      <c r="H1335" s="684"/>
      <c r="I1335" s="9579" t="s">
        <v>138</v>
      </c>
      <c r="J1335" s="9581"/>
      <c r="K1335" s="105" t="s">
        <v>734</v>
      </c>
      <c r="L1335" s="7113"/>
      <c r="M1335" s="7288"/>
      <c r="N1335" s="7118"/>
      <c r="O1335" s="7393"/>
      <c r="P1335" s="7168">
        <f>'4DPLEX'!AA285</f>
        <v>2</v>
      </c>
      <c r="Q1335" s="7421"/>
      <c r="R1335" s="6661" t="s">
        <v>31</v>
      </c>
      <c r="S1335" s="7863"/>
      <c r="T1335" s="276"/>
      <c r="U1335" s="276"/>
      <c r="V1335" s="309"/>
      <c r="W1335" s="547"/>
      <c r="X1335" s="547"/>
      <c r="Y1335" s="309"/>
      <c r="Z1335" s="277"/>
      <c r="AA1335" s="277"/>
      <c r="AB1335" s="187"/>
    </row>
    <row r="1336" spans="1:28" ht="20.100000000000001" customHeight="1">
      <c r="A1336" s="11"/>
      <c r="B1336" s="1360"/>
      <c r="C1336" s="5598"/>
      <c r="D1336" s="9598" t="s">
        <v>140</v>
      </c>
      <c r="E1336" s="9600"/>
      <c r="F1336" s="285" t="s">
        <v>732</v>
      </c>
      <c r="G1336" s="666"/>
      <c r="H1336" s="684"/>
      <c r="I1336" s="9582" t="s">
        <v>141</v>
      </c>
      <c r="J1336" s="9583"/>
      <c r="K1336" s="105" t="s">
        <v>734</v>
      </c>
      <c r="L1336" s="7166">
        <f>China!AO310</f>
        <v>2</v>
      </c>
      <c r="M1336" s="7306"/>
      <c r="N1336" s="7162">
        <f>China!AQ310</f>
        <v>5</v>
      </c>
      <c r="O1336" s="7312"/>
      <c r="P1336" s="7167">
        <f>China!AS310</f>
        <v>28</v>
      </c>
      <c r="Q1336" s="7421"/>
      <c r="R1336" s="6661" t="s">
        <v>31</v>
      </c>
      <c r="S1336" s="7863"/>
      <c r="T1336" s="276"/>
      <c r="U1336" s="276"/>
      <c r="V1336" s="309"/>
      <c r="W1336" s="547"/>
      <c r="X1336" s="547"/>
      <c r="Y1336" s="309"/>
      <c r="Z1336" s="277"/>
      <c r="AA1336" s="277"/>
      <c r="AB1336" s="187"/>
    </row>
    <row r="1337" spans="1:28" ht="20.100000000000001" customHeight="1">
      <c r="A1337" s="11"/>
      <c r="B1337" s="1360"/>
      <c r="C1337" s="614"/>
      <c r="D1337" s="9598" t="s">
        <v>143</v>
      </c>
      <c r="E1337" s="9600"/>
      <c r="F1337" s="285" t="s">
        <v>732</v>
      </c>
      <c r="G1337" s="666"/>
      <c r="H1337" s="684"/>
      <c r="I1337" s="9582" t="s">
        <v>144</v>
      </c>
      <c r="J1337" s="9583"/>
      <c r="K1337" s="105" t="s">
        <v>734</v>
      </c>
      <c r="L1337" s="7166">
        <f>Vietnam!Q310</f>
        <v>19</v>
      </c>
      <c r="M1337" s="7306" t="s">
        <v>1165</v>
      </c>
      <c r="N1337" s="7162">
        <f>Vietnam!S310</f>
        <v>10</v>
      </c>
      <c r="O1337" s="7312"/>
      <c r="P1337" s="7167">
        <f>Vietnam!U310</f>
        <v>11</v>
      </c>
      <c r="Q1337" s="7421"/>
      <c r="R1337" s="6661" t="s">
        <v>31</v>
      </c>
      <c r="S1337" s="7863"/>
      <c r="T1337" s="276"/>
      <c r="U1337" s="276"/>
      <c r="V1337" s="309"/>
      <c r="W1337" s="547"/>
      <c r="X1337" s="547"/>
      <c r="Y1337" s="309"/>
      <c r="Z1337" s="277"/>
      <c r="AA1337" s="277"/>
      <c r="AB1337" s="187"/>
    </row>
    <row r="1338" spans="1:28" ht="20.100000000000001" customHeight="1">
      <c r="A1338" s="11"/>
      <c r="B1338" s="1360"/>
      <c r="C1338" s="5598"/>
      <c r="D1338" s="9598" t="s">
        <v>146</v>
      </c>
      <c r="E1338" s="9600"/>
      <c r="F1338" s="285" t="s">
        <v>732</v>
      </c>
      <c r="G1338" s="666"/>
      <c r="H1338" s="684"/>
      <c r="I1338" s="9582" t="s">
        <v>147</v>
      </c>
      <c r="J1338" s="9583"/>
      <c r="K1338" s="105" t="s">
        <v>734</v>
      </c>
      <c r="L1338" s="7166">
        <f>Indonesia!V310</f>
        <v>13</v>
      </c>
      <c r="M1338" s="7306"/>
      <c r="N1338" s="7162">
        <f>Indonesia!X310</f>
        <v>7</v>
      </c>
      <c r="O1338" s="7312"/>
      <c r="P1338" s="7167">
        <f>Indonesia!Z310</f>
        <v>2</v>
      </c>
      <c r="Q1338" s="7421"/>
      <c r="R1338" s="6661" t="s">
        <v>31</v>
      </c>
      <c r="S1338" s="7863"/>
      <c r="T1338" s="276"/>
      <c r="U1338" s="276"/>
      <c r="V1338" s="309"/>
      <c r="W1338" s="547"/>
      <c r="X1338" s="547"/>
      <c r="Y1338" s="309"/>
      <c r="Z1338" s="277"/>
      <c r="AA1338" s="277"/>
      <c r="AB1338" s="187"/>
    </row>
    <row r="1339" spans="1:28" ht="20.100000000000001" customHeight="1" thickBot="1">
      <c r="A1339" s="11"/>
      <c r="B1339" s="1360"/>
      <c r="C1339" s="5598"/>
      <c r="D1339" s="9598" t="s">
        <v>149</v>
      </c>
      <c r="E1339" s="9600"/>
      <c r="F1339" s="285" t="s">
        <v>732</v>
      </c>
      <c r="G1339" s="666"/>
      <c r="H1339" s="684"/>
      <c r="I1339" s="9582" t="s">
        <v>150</v>
      </c>
      <c r="J1339" s="9583"/>
      <c r="K1339" s="105" t="s">
        <v>734</v>
      </c>
      <c r="L1339" s="7166">
        <v>15</v>
      </c>
      <c r="M1339" s="7306"/>
      <c r="N1339" s="7162">
        <v>11</v>
      </c>
      <c r="O1339" s="7306"/>
      <c r="P1339" s="7162">
        <v>8</v>
      </c>
      <c r="Q1339" s="7421"/>
      <c r="R1339" s="6661" t="s">
        <v>31</v>
      </c>
      <c r="S1339" s="7863"/>
      <c r="T1339" s="276"/>
      <c r="U1339" s="276"/>
      <c r="V1339" s="309"/>
      <c r="W1339" s="547"/>
      <c r="X1339" s="547"/>
      <c r="Y1339" s="309"/>
      <c r="Z1339" s="277"/>
      <c r="AA1339" s="277"/>
      <c r="AB1339" s="187"/>
    </row>
    <row r="1340" spans="1:28" ht="27" thickBot="1">
      <c r="A1340" s="11"/>
      <c r="B1340" s="123" t="s">
        <v>1015</v>
      </c>
      <c r="C1340" s="124"/>
      <c r="D1340" s="124"/>
      <c r="E1340" s="124"/>
      <c r="F1340" s="78"/>
      <c r="G1340" s="125" t="s">
        <v>1016</v>
      </c>
      <c r="H1340" s="126"/>
      <c r="I1340" s="126"/>
      <c r="J1340" s="126"/>
      <c r="K1340" s="78"/>
      <c r="L1340" s="6775"/>
      <c r="M1340" s="5600"/>
      <c r="N1340" s="6853"/>
      <c r="O1340" s="5600"/>
      <c r="P1340" s="6853"/>
      <c r="Q1340" s="80"/>
      <c r="R1340" s="80"/>
      <c r="S1340" s="80"/>
      <c r="T1340" s="80"/>
      <c r="U1340" s="80"/>
      <c r="V1340" s="129"/>
      <c r="W1340" s="129"/>
      <c r="X1340" s="129"/>
      <c r="Y1340" s="6023"/>
      <c r="Z1340" s="328"/>
      <c r="AA1340" s="328"/>
      <c r="AB1340" s="329"/>
    </row>
    <row r="1341" spans="1:28" ht="20.100000000000001" customHeight="1">
      <c r="A1341" s="11"/>
      <c r="B1341" s="1662"/>
      <c r="C1341" s="9656" t="s">
        <v>1017</v>
      </c>
      <c r="D1341" s="9587"/>
      <c r="E1341" s="9588"/>
      <c r="F1341" s="7006" t="s">
        <v>1018</v>
      </c>
      <c r="G1341" s="7000"/>
      <c r="H1341" s="9702" t="s">
        <v>1019</v>
      </c>
      <c r="I1341" s="9670"/>
      <c r="J1341" s="9683"/>
      <c r="K1341" s="7041" t="s">
        <v>1020</v>
      </c>
      <c r="L1341" s="6970">
        <f>IF(COUNTBLANK(L1342:L1347)&gt;0,"미취합법인有",SUM(L1342:L1347))</f>
        <v>16.495551386080674</v>
      </c>
      <c r="M1341" s="7026"/>
      <c r="N1341" s="7001">
        <f>IF(COUNTBLANK(N1342:N1347)&gt;0,"미취합법인有",SUM(N1342:N1347))</f>
        <v>54.471230142057976</v>
      </c>
      <c r="O1341" s="7384"/>
      <c r="P1341" s="7002">
        <f>IF(COUNTBLANK(P1342:P1347)&gt;0,"미취합법인有",SUM(P1342:P1347))</f>
        <v>73.082133087439601</v>
      </c>
      <c r="Q1341" s="7029"/>
      <c r="R1341" s="7010" t="s">
        <v>31</v>
      </c>
      <c r="S1341" s="7007"/>
      <c r="T1341" s="7020" t="s">
        <v>1021</v>
      </c>
      <c r="U1341" s="457" t="s">
        <v>1022</v>
      </c>
      <c r="V1341" s="99" t="s">
        <v>189</v>
      </c>
      <c r="W1341" s="547"/>
      <c r="X1341" s="547"/>
      <c r="Y1341" s="99"/>
      <c r="Z1341" s="620" t="s">
        <v>1023</v>
      </c>
      <c r="AA1341" s="620" t="s">
        <v>1024</v>
      </c>
      <c r="AB1341" s="159"/>
    </row>
    <row r="1342" spans="1:28" ht="20.100000000000001" customHeight="1">
      <c r="A1342" s="11"/>
      <c r="B1342" s="1360"/>
      <c r="C1342" s="9647" t="s">
        <v>134</v>
      </c>
      <c r="D1342" s="9648"/>
      <c r="E1342" s="9649"/>
      <c r="F1342" s="492" t="s">
        <v>1018</v>
      </c>
      <c r="G1342" s="666"/>
      <c r="H1342" s="9579" t="s">
        <v>135</v>
      </c>
      <c r="I1342" s="9580"/>
      <c r="J1342" s="9581"/>
      <c r="K1342" s="492" t="s">
        <v>1020</v>
      </c>
      <c r="L1342" s="6753">
        <f>L1349/L1356</f>
        <v>4.2412422907488994</v>
      </c>
      <c r="M1342" s="7309"/>
      <c r="N1342" s="6884">
        <f>N1349/N1356</f>
        <v>14.481002734731085</v>
      </c>
      <c r="O1342" s="7309"/>
      <c r="P1342" s="6884">
        <f>P1349/P1356</f>
        <v>21.713090909090909</v>
      </c>
      <c r="Q1342" s="7309"/>
      <c r="R1342" s="6675" t="s">
        <v>31</v>
      </c>
      <c r="S1342" s="6593" t="s">
        <v>1923</v>
      </c>
      <c r="T1342" s="2468"/>
      <c r="U1342" s="544"/>
      <c r="V1342" s="545"/>
      <c r="W1342" s="546"/>
      <c r="X1342" s="547"/>
      <c r="Y1342" s="548"/>
      <c r="Z1342" s="277"/>
      <c r="AA1342" s="277"/>
      <c r="AB1342" s="187"/>
    </row>
    <row r="1343" spans="1:28" ht="20.100000000000001" customHeight="1">
      <c r="A1343" s="11"/>
      <c r="B1343" s="1360"/>
      <c r="C1343" s="9647" t="s">
        <v>137</v>
      </c>
      <c r="D1343" s="9648"/>
      <c r="E1343" s="9649"/>
      <c r="F1343" s="492" t="s">
        <v>1018</v>
      </c>
      <c r="G1343" s="666"/>
      <c r="H1343" s="9579" t="s">
        <v>138</v>
      </c>
      <c r="I1343" s="9580"/>
      <c r="J1343" s="9581"/>
      <c r="K1343" s="492" t="s">
        <v>1020</v>
      </c>
      <c r="L1343" s="6753">
        <f t="shared" ref="L1343:N1346" si="26">L1350/L1357</f>
        <v>6.1530054644808745</v>
      </c>
      <c r="M1343" s="7310"/>
      <c r="N1343" s="6826">
        <f t="shared" si="26"/>
        <v>29.473593073593072</v>
      </c>
      <c r="O1343" s="7310"/>
      <c r="P1343" s="6826">
        <f t="shared" ref="P1343:P1346" si="27">P1350/P1357</f>
        <v>36.969387755102041</v>
      </c>
      <c r="Q1343" s="7310"/>
      <c r="R1343" s="6675" t="s">
        <v>31</v>
      </c>
      <c r="S1343" s="6593" t="s">
        <v>1923</v>
      </c>
      <c r="T1343" s="2468"/>
      <c r="U1343" s="544"/>
      <c r="V1343" s="545"/>
      <c r="W1343" s="546"/>
      <c r="X1343" s="547"/>
      <c r="Y1343" s="548"/>
      <c r="Z1343" s="277"/>
      <c r="AA1343" s="277"/>
      <c r="AB1343" s="187"/>
    </row>
    <row r="1344" spans="1:28" ht="20.100000000000001" customHeight="1">
      <c r="A1344" s="11"/>
      <c r="B1344" s="1360"/>
      <c r="C1344" s="9647" t="s">
        <v>140</v>
      </c>
      <c r="D1344" s="9648"/>
      <c r="E1344" s="9649"/>
      <c r="F1344" s="492" t="s">
        <v>1018</v>
      </c>
      <c r="G1344" s="666"/>
      <c r="H1344" s="9579" t="s">
        <v>141</v>
      </c>
      <c r="I1344" s="9580"/>
      <c r="J1344" s="9581"/>
      <c r="K1344" s="492" t="s">
        <v>1020</v>
      </c>
      <c r="L1344" s="6753">
        <f t="shared" si="26"/>
        <v>2.8823529411764706</v>
      </c>
      <c r="M1344" s="7310"/>
      <c r="N1344" s="6826">
        <f t="shared" si="26"/>
        <v>1.2893289328932893</v>
      </c>
      <c r="O1344" s="7310"/>
      <c r="P1344" s="6826">
        <f t="shared" si="27"/>
        <v>3.19</v>
      </c>
      <c r="Q1344" s="7310"/>
      <c r="R1344" s="6675" t="s">
        <v>31</v>
      </c>
      <c r="S1344" s="6593" t="s">
        <v>1923</v>
      </c>
      <c r="T1344" s="2468"/>
      <c r="U1344" s="544"/>
      <c r="V1344" s="545"/>
      <c r="W1344" s="546"/>
      <c r="X1344" s="547"/>
      <c r="Y1344" s="548"/>
      <c r="Z1344" s="277"/>
      <c r="AA1344" s="277"/>
      <c r="AB1344" s="187"/>
    </row>
    <row r="1345" spans="1:28" ht="20.100000000000001" customHeight="1">
      <c r="A1345" s="11"/>
      <c r="B1345" s="1360"/>
      <c r="C1345" s="9647" t="s">
        <v>143</v>
      </c>
      <c r="D1345" s="9648"/>
      <c r="E1345" s="9649"/>
      <c r="F1345" s="492" t="s">
        <v>1018</v>
      </c>
      <c r="G1345" s="666"/>
      <c r="H1345" s="9579" t="s">
        <v>144</v>
      </c>
      <c r="I1345" s="9580"/>
      <c r="J1345" s="9581"/>
      <c r="K1345" s="492" t="s">
        <v>1020</v>
      </c>
      <c r="L1345" s="6753">
        <f t="shared" si="26"/>
        <v>1.1507092198581561</v>
      </c>
      <c r="M1345" s="7310"/>
      <c r="N1345" s="6826">
        <f t="shared" si="26"/>
        <v>1.0797227036395147</v>
      </c>
      <c r="O1345" s="7310"/>
      <c r="P1345" s="6826">
        <f t="shared" si="27"/>
        <v>1.3601398601398602</v>
      </c>
      <c r="Q1345" s="7310"/>
      <c r="R1345" s="6675" t="s">
        <v>31</v>
      </c>
      <c r="S1345" s="6593" t="s">
        <v>1923</v>
      </c>
      <c r="T1345" s="2468"/>
      <c r="U1345" s="544"/>
      <c r="V1345" s="545"/>
      <c r="W1345" s="546"/>
      <c r="X1345" s="547"/>
      <c r="Y1345" s="548"/>
      <c r="Z1345" s="277"/>
      <c r="AA1345" s="277"/>
      <c r="AB1345" s="187"/>
    </row>
    <row r="1346" spans="1:28" ht="20.100000000000001" customHeight="1">
      <c r="A1346" s="11"/>
      <c r="B1346" s="1360"/>
      <c r="C1346" s="9647" t="s">
        <v>146</v>
      </c>
      <c r="D1346" s="9648"/>
      <c r="E1346" s="9649"/>
      <c r="F1346" s="492" t="s">
        <v>1018</v>
      </c>
      <c r="G1346" s="666"/>
      <c r="H1346" s="9579" t="s">
        <v>147</v>
      </c>
      <c r="I1346" s="9580"/>
      <c r="J1346" s="9581"/>
      <c r="K1346" s="492" t="s">
        <v>1020</v>
      </c>
      <c r="L1346" s="6753">
        <f t="shared" si="26"/>
        <v>2.068241469816273</v>
      </c>
      <c r="M1346" s="7310"/>
      <c r="N1346" s="6826">
        <f t="shared" si="26"/>
        <v>8.1475826972010186</v>
      </c>
      <c r="O1346" s="7310"/>
      <c r="P1346" s="6826">
        <f t="shared" si="27"/>
        <v>9.849514563106796</v>
      </c>
      <c r="Q1346" s="7310"/>
      <c r="R1346" s="6675" t="s">
        <v>31</v>
      </c>
      <c r="S1346" s="6593" t="s">
        <v>1923</v>
      </c>
      <c r="T1346" s="2468"/>
      <c r="U1346" s="544"/>
      <c r="V1346" s="545"/>
      <c r="W1346" s="546"/>
      <c r="X1346" s="547"/>
      <c r="Y1346" s="548"/>
      <c r="Z1346" s="277"/>
      <c r="AA1346" s="277"/>
      <c r="AB1346" s="187"/>
    </row>
    <row r="1347" spans="1:28" ht="20.100000000000001" customHeight="1">
      <c r="A1347" s="11"/>
      <c r="B1347" s="1360"/>
      <c r="C1347" s="9647" t="s">
        <v>149</v>
      </c>
      <c r="D1347" s="9648"/>
      <c r="E1347" s="9649"/>
      <c r="F1347" s="809" t="s">
        <v>1018</v>
      </c>
      <c r="G1347" s="666"/>
      <c r="H1347" s="9579" t="s">
        <v>150</v>
      </c>
      <c r="I1347" s="9580"/>
      <c r="J1347" s="9581"/>
      <c r="K1347" s="492" t="s">
        <v>1020</v>
      </c>
      <c r="L1347" s="6800" t="s">
        <v>168</v>
      </c>
      <c r="M1347" s="7303" t="s">
        <v>641</v>
      </c>
      <c r="N1347" s="6881" t="s">
        <v>168</v>
      </c>
      <c r="O1347" s="7303" t="s">
        <v>641</v>
      </c>
      <c r="P1347" s="6881" t="s">
        <v>168</v>
      </c>
      <c r="Q1347" s="7421" t="s">
        <v>641</v>
      </c>
      <c r="R1347" s="6675" t="s">
        <v>31</v>
      </c>
      <c r="S1347" s="6591"/>
      <c r="T1347" s="2468"/>
      <c r="U1347" s="544"/>
      <c r="V1347" s="545"/>
      <c r="W1347" s="546"/>
      <c r="X1347" s="547"/>
      <c r="Y1347" s="548"/>
      <c r="Z1347" s="277"/>
      <c r="AA1347" s="277"/>
      <c r="AB1347" s="187"/>
    </row>
    <row r="1348" spans="1:28" ht="20.100000000000001" customHeight="1">
      <c r="A1348" s="11"/>
      <c r="B1348" s="1360"/>
      <c r="C1348" s="1362"/>
      <c r="D1348" s="9584" t="s">
        <v>1025</v>
      </c>
      <c r="E1348" s="9585"/>
      <c r="F1348" s="7042" t="s">
        <v>1018</v>
      </c>
      <c r="G1348" s="7009"/>
      <c r="H1348" s="7009"/>
      <c r="I1348" s="9584" t="s">
        <v>1026</v>
      </c>
      <c r="J1348" s="9585"/>
      <c r="K1348" s="7042" t="s">
        <v>1020</v>
      </c>
      <c r="L1348" s="6970">
        <f>IF(COUNTBLANK(L1349:L1354)&gt;0,"미취합법인有",SUM(L1349:L1354))</f>
        <v>10414.810000000001</v>
      </c>
      <c r="M1348" s="7026"/>
      <c r="N1348" s="7001">
        <f>IF(COUNTBLANK(N1349:N1354)&gt;0,"미취합법인有",SUM(N1349:N1354))</f>
        <v>27691.059999999998</v>
      </c>
      <c r="O1348" s="7384"/>
      <c r="P1348" s="7002">
        <f>IF(COUNTBLANK(P1349:P1354)&gt;0,"미취합법인有",SUM(P1349:P1354))</f>
        <v>40747.339999999997</v>
      </c>
      <c r="Q1348" s="7029"/>
      <c r="R1348" s="7010" t="s">
        <v>155</v>
      </c>
      <c r="S1348" s="7007"/>
      <c r="T1348" s="7020"/>
      <c r="U1348" s="457"/>
      <c r="V1348" s="99" t="s">
        <v>189</v>
      </c>
      <c r="W1348" s="547"/>
      <c r="X1348" s="547"/>
      <c r="Y1348" s="99"/>
      <c r="Z1348" s="620" t="s">
        <v>1023</v>
      </c>
      <c r="AA1348" s="620" t="s">
        <v>1024</v>
      </c>
      <c r="AB1348" s="159"/>
    </row>
    <row r="1349" spans="1:28" ht="20.100000000000001" customHeight="1">
      <c r="A1349" s="11"/>
      <c r="B1349" s="1360"/>
      <c r="C1349" s="5598"/>
      <c r="D1349" s="9598" t="s">
        <v>134</v>
      </c>
      <c r="E1349" s="9600"/>
      <c r="F1349" s="809" t="s">
        <v>1018</v>
      </c>
      <c r="G1349" s="666"/>
      <c r="H1349" s="666"/>
      <c r="I1349" s="9579" t="s">
        <v>135</v>
      </c>
      <c r="J1349" s="9581"/>
      <c r="K1349" s="492" t="s">
        <v>1020</v>
      </c>
      <c r="L1349" s="6793">
        <v>4813.8100000000004</v>
      </c>
      <c r="M1349" s="7308" t="s">
        <v>1027</v>
      </c>
      <c r="N1349" s="6875">
        <v>15885.66</v>
      </c>
      <c r="O1349" s="7404" t="s">
        <v>1027</v>
      </c>
      <c r="P1349" s="6948">
        <v>26272.84</v>
      </c>
      <c r="Q1349" s="7484"/>
      <c r="R1349" s="6659" t="s">
        <v>155</v>
      </c>
      <c r="S1349" s="6594"/>
      <c r="T1349" s="2468"/>
      <c r="U1349" s="544"/>
      <c r="V1349" s="545"/>
      <c r="W1349" s="546"/>
      <c r="X1349" s="547"/>
      <c r="Y1349" s="548"/>
      <c r="Z1349" s="277"/>
      <c r="AA1349" s="277"/>
      <c r="AB1349" s="187"/>
    </row>
    <row r="1350" spans="1:28" ht="20.100000000000001" customHeight="1">
      <c r="A1350" s="11"/>
      <c r="B1350" s="1360"/>
      <c r="C1350" s="5598"/>
      <c r="D1350" s="9598" t="s">
        <v>137</v>
      </c>
      <c r="E1350" s="9600"/>
      <c r="F1350" s="809" t="s">
        <v>1018</v>
      </c>
      <c r="G1350" s="666"/>
      <c r="H1350" s="666"/>
      <c r="I1350" s="9579" t="s">
        <v>138</v>
      </c>
      <c r="J1350" s="9581"/>
      <c r="K1350" s="492" t="s">
        <v>1020</v>
      </c>
      <c r="L1350" s="6793">
        <v>1126</v>
      </c>
      <c r="M1350" s="7308"/>
      <c r="N1350" s="6875">
        <v>6808.4</v>
      </c>
      <c r="O1350" s="7404"/>
      <c r="P1350" s="6949">
        <v>7246</v>
      </c>
      <c r="Q1350" s="7484"/>
      <c r="R1350" s="6659" t="s">
        <v>155</v>
      </c>
      <c r="S1350" s="6594"/>
      <c r="T1350" s="2468"/>
      <c r="U1350" s="544"/>
      <c r="V1350" s="545"/>
      <c r="W1350" s="546"/>
      <c r="X1350" s="547"/>
      <c r="Y1350" s="548"/>
      <c r="Z1350" s="277"/>
      <c r="AA1350" s="277"/>
      <c r="AB1350" s="187"/>
    </row>
    <row r="1351" spans="1:28" ht="20.100000000000001" customHeight="1">
      <c r="A1351" s="11"/>
      <c r="B1351" s="1360"/>
      <c r="C1351" s="5598"/>
      <c r="D1351" s="9598" t="s">
        <v>140</v>
      </c>
      <c r="E1351" s="9600"/>
      <c r="F1351" s="809" t="s">
        <v>1018</v>
      </c>
      <c r="G1351" s="666"/>
      <c r="H1351" s="666"/>
      <c r="I1351" s="9582" t="s">
        <v>141</v>
      </c>
      <c r="J1351" s="9583"/>
      <c r="K1351" s="492" t="s">
        <v>1020</v>
      </c>
      <c r="L1351" s="6793">
        <v>3038</v>
      </c>
      <c r="M1351" s="7308" t="s">
        <v>1028</v>
      </c>
      <c r="N1351" s="6875">
        <v>1172</v>
      </c>
      <c r="O1351" s="7404" t="s">
        <v>1029</v>
      </c>
      <c r="P1351" s="6875">
        <v>2392.5</v>
      </c>
      <c r="Q1351" s="7484"/>
      <c r="R1351" s="6659" t="s">
        <v>155</v>
      </c>
      <c r="S1351" s="6594"/>
      <c r="T1351" s="2468"/>
      <c r="U1351" s="544"/>
      <c r="V1351" s="545"/>
      <c r="W1351" s="546"/>
      <c r="X1351" s="547"/>
      <c r="Y1351" s="548"/>
      <c r="Z1351" s="277"/>
      <c r="AA1351" s="277"/>
      <c r="AB1351" s="187"/>
    </row>
    <row r="1352" spans="1:28" ht="20.100000000000001" customHeight="1">
      <c r="A1352" s="11"/>
      <c r="B1352" s="1360"/>
      <c r="C1352" s="5598"/>
      <c r="D1352" s="9598" t="s">
        <v>143</v>
      </c>
      <c r="E1352" s="9600"/>
      <c r="F1352" s="809" t="s">
        <v>1018</v>
      </c>
      <c r="G1352" s="666"/>
      <c r="H1352" s="666"/>
      <c r="I1352" s="9582" t="s">
        <v>144</v>
      </c>
      <c r="J1352" s="9583"/>
      <c r="K1352" s="492" t="s">
        <v>1020</v>
      </c>
      <c r="L1352" s="6793">
        <v>649</v>
      </c>
      <c r="M1352" s="7308"/>
      <c r="N1352" s="6875">
        <v>623</v>
      </c>
      <c r="O1352" s="7404"/>
      <c r="P1352" s="6948">
        <v>778</v>
      </c>
      <c r="Q1352" s="7484"/>
      <c r="R1352" s="6659" t="s">
        <v>155</v>
      </c>
      <c r="S1352" s="6594"/>
      <c r="T1352" s="2468"/>
      <c r="U1352" s="544"/>
      <c r="V1352" s="545"/>
      <c r="W1352" s="546"/>
      <c r="X1352" s="547"/>
      <c r="Y1352" s="548"/>
      <c r="Z1352" s="277"/>
      <c r="AA1352" s="277"/>
      <c r="AB1352" s="187"/>
    </row>
    <row r="1353" spans="1:28" ht="20.100000000000001" customHeight="1">
      <c r="A1353" s="11"/>
      <c r="B1353" s="1360"/>
      <c r="C1353" s="5598"/>
      <c r="D1353" s="9598" t="s">
        <v>146</v>
      </c>
      <c r="E1353" s="9600"/>
      <c r="F1353" s="809" t="s">
        <v>1018</v>
      </c>
      <c r="G1353" s="666"/>
      <c r="H1353" s="666"/>
      <c r="I1353" s="9582" t="s">
        <v>147</v>
      </c>
      <c r="J1353" s="9583"/>
      <c r="K1353" s="492" t="s">
        <v>1020</v>
      </c>
      <c r="L1353" s="6793">
        <v>788</v>
      </c>
      <c r="M1353" s="7308" t="s">
        <v>1030</v>
      </c>
      <c r="N1353" s="6875">
        <v>3202</v>
      </c>
      <c r="O1353" s="7404" t="s">
        <v>1030</v>
      </c>
      <c r="P1353" s="6948">
        <v>4058</v>
      </c>
      <c r="Q1353" s="7484"/>
      <c r="R1353" s="6659" t="s">
        <v>155</v>
      </c>
      <c r="S1353" s="6594"/>
      <c r="T1353" s="2468"/>
      <c r="U1353" s="544"/>
      <c r="V1353" s="545"/>
      <c r="W1353" s="546"/>
      <c r="X1353" s="547"/>
      <c r="Y1353" s="548"/>
      <c r="Z1353" s="277"/>
      <c r="AA1353" s="277"/>
      <c r="AB1353" s="187"/>
    </row>
    <row r="1354" spans="1:28" ht="20.100000000000001" customHeight="1">
      <c r="A1354" s="11"/>
      <c r="B1354" s="1360"/>
      <c r="C1354" s="5598"/>
      <c r="D1354" s="9598" t="s">
        <v>149</v>
      </c>
      <c r="E1354" s="9600"/>
      <c r="F1354" s="809" t="s">
        <v>1018</v>
      </c>
      <c r="G1354" s="666"/>
      <c r="H1354" s="666"/>
      <c r="I1354" s="9582" t="s">
        <v>150</v>
      </c>
      <c r="J1354" s="9583"/>
      <c r="K1354" s="492" t="s">
        <v>1020</v>
      </c>
      <c r="L1354" s="6802" t="s">
        <v>168</v>
      </c>
      <c r="M1354" s="7308" t="s">
        <v>641</v>
      </c>
      <c r="N1354" s="6875" t="s">
        <v>168</v>
      </c>
      <c r="O1354" s="7308" t="s">
        <v>641</v>
      </c>
      <c r="P1354" s="6875" t="s">
        <v>168</v>
      </c>
      <c r="Q1354" s="7484" t="s">
        <v>641</v>
      </c>
      <c r="R1354" s="6659" t="s">
        <v>155</v>
      </c>
      <c r="S1354" s="6594"/>
      <c r="T1354" s="2468"/>
      <c r="U1354" s="544"/>
      <c r="V1354" s="545"/>
      <c r="W1354" s="546"/>
      <c r="X1354" s="547"/>
      <c r="Y1354" s="548"/>
      <c r="Z1354" s="277"/>
      <c r="AA1354" s="277"/>
      <c r="AB1354" s="187"/>
    </row>
    <row r="1355" spans="1:28" ht="20.100000000000001" customHeight="1">
      <c r="A1355" s="11"/>
      <c r="B1355" s="1360"/>
      <c r="C1355" s="1362"/>
      <c r="D1355" s="9584" t="s">
        <v>1031</v>
      </c>
      <c r="E1355" s="9585"/>
      <c r="F1355" s="7042" t="s">
        <v>742</v>
      </c>
      <c r="G1355" s="7009"/>
      <c r="H1355" s="7009"/>
      <c r="I1355" s="9584" t="s">
        <v>1032</v>
      </c>
      <c r="J1355" s="9585"/>
      <c r="K1355" s="7042" t="s">
        <v>734</v>
      </c>
      <c r="L1355" s="7111">
        <f>IF(COUNTBLANK(L1356:L1361)&gt;0,"미취합법인有",SUM(L1356:L1361))</f>
        <v>4597</v>
      </c>
      <c r="M1355" s="7279"/>
      <c r="N1355" s="7115">
        <f>IF(COUNTBLANK(N1356:N1361)&gt;0,"미취합법인有",SUM(N1356:N1361))</f>
        <v>4351</v>
      </c>
      <c r="O1355" s="7385"/>
      <c r="P1355" s="7121">
        <f>IF(COUNTBLANK(P1356:P1361)&gt;0,"미취합법인有",SUM(P1356:P1361))</f>
        <v>4199</v>
      </c>
      <c r="Q1355" s="7029"/>
      <c r="R1355" s="7010" t="s">
        <v>155</v>
      </c>
      <c r="S1355" s="7007"/>
      <c r="T1355" s="7020"/>
      <c r="U1355" s="457"/>
      <c r="V1355" s="99" t="s">
        <v>189</v>
      </c>
      <c r="W1355" s="547"/>
      <c r="X1355" s="547"/>
      <c r="Y1355" s="99"/>
      <c r="Z1355" s="620" t="s">
        <v>1023</v>
      </c>
      <c r="AA1355" s="620" t="s">
        <v>1024</v>
      </c>
      <c r="AB1355" s="159"/>
    </row>
    <row r="1356" spans="1:28" ht="20.100000000000001" customHeight="1">
      <c r="A1356" s="11"/>
      <c r="B1356" s="1360"/>
      <c r="C1356" s="5598"/>
      <c r="D1356" s="9598" t="s">
        <v>134</v>
      </c>
      <c r="E1356" s="9600"/>
      <c r="F1356" s="285" t="s">
        <v>742</v>
      </c>
      <c r="G1356" s="666"/>
      <c r="H1356" s="666"/>
      <c r="I1356" s="9579" t="s">
        <v>135</v>
      </c>
      <c r="J1356" s="9581"/>
      <c r="K1356" s="809" t="s">
        <v>734</v>
      </c>
      <c r="L1356" s="7133">
        <f>L1008</f>
        <v>1135</v>
      </c>
      <c r="M1356" s="7306" t="s">
        <v>1033</v>
      </c>
      <c r="N1356" s="7145">
        <f>N1008</f>
        <v>1097</v>
      </c>
      <c r="O1356" s="7312" t="s">
        <v>1033</v>
      </c>
      <c r="P1356" s="7169">
        <f>P1008</f>
        <v>1210</v>
      </c>
      <c r="Q1356" s="7421"/>
      <c r="R1356" s="6659" t="s">
        <v>155</v>
      </c>
      <c r="S1356" s="7700" t="s">
        <v>161</v>
      </c>
      <c r="T1356" s="2468"/>
      <c r="U1356" s="544"/>
      <c r="V1356" s="545"/>
      <c r="W1356" s="546"/>
      <c r="X1356" s="547"/>
      <c r="Y1356" s="548"/>
      <c r="Z1356" s="277"/>
      <c r="AA1356" s="277"/>
      <c r="AB1356" s="187"/>
    </row>
    <row r="1357" spans="1:28" ht="20.100000000000001" customHeight="1">
      <c r="A1357" s="11"/>
      <c r="B1357" s="1360"/>
      <c r="C1357" s="5598"/>
      <c r="D1357" s="9598" t="s">
        <v>137</v>
      </c>
      <c r="E1357" s="9600"/>
      <c r="F1357" s="285" t="s">
        <v>742</v>
      </c>
      <c r="G1357" s="666"/>
      <c r="H1357" s="666"/>
      <c r="I1357" s="9579" t="s">
        <v>138</v>
      </c>
      <c r="J1357" s="9581"/>
      <c r="K1357" s="809" t="s">
        <v>734</v>
      </c>
      <c r="L1357" s="7133">
        <f t="shared" ref="L1357:N1360" si="28">L1009</f>
        <v>183</v>
      </c>
      <c r="M1357" s="7288"/>
      <c r="N1357" s="7145">
        <f t="shared" si="28"/>
        <v>231</v>
      </c>
      <c r="O1357" s="7393"/>
      <c r="P1357" s="7170">
        <f t="shared" ref="P1357:P1360" si="29">P1009</f>
        <v>196</v>
      </c>
      <c r="Q1357" s="7421"/>
      <c r="R1357" s="6659" t="s">
        <v>155</v>
      </c>
      <c r="S1357" s="7700" t="s">
        <v>161</v>
      </c>
      <c r="T1357" s="2468"/>
      <c r="U1357" s="544"/>
      <c r="V1357" s="545"/>
      <c r="W1357" s="546"/>
      <c r="X1357" s="547"/>
      <c r="Y1357" s="548"/>
      <c r="Z1357" s="277"/>
      <c r="AA1357" s="277"/>
      <c r="AB1357" s="187"/>
    </row>
    <row r="1358" spans="1:28" ht="20.100000000000001" customHeight="1">
      <c r="A1358" s="11"/>
      <c r="B1358" s="1360"/>
      <c r="C1358" s="5598"/>
      <c r="D1358" s="9598" t="s">
        <v>140</v>
      </c>
      <c r="E1358" s="9600"/>
      <c r="F1358" s="285" t="s">
        <v>742</v>
      </c>
      <c r="G1358" s="666"/>
      <c r="H1358" s="666"/>
      <c r="I1358" s="9582" t="s">
        <v>141</v>
      </c>
      <c r="J1358" s="9583"/>
      <c r="K1358" s="809" t="s">
        <v>734</v>
      </c>
      <c r="L1358" s="7133">
        <f t="shared" si="28"/>
        <v>1054</v>
      </c>
      <c r="M1358" s="7306" t="s">
        <v>1034</v>
      </c>
      <c r="N1358" s="7145">
        <f t="shared" si="28"/>
        <v>909</v>
      </c>
      <c r="O1358" s="7312" t="s">
        <v>1035</v>
      </c>
      <c r="P1358" s="7169">
        <f t="shared" si="29"/>
        <v>750</v>
      </c>
      <c r="Q1358" s="7421"/>
      <c r="R1358" s="6659" t="s">
        <v>155</v>
      </c>
      <c r="S1358" s="7700" t="s">
        <v>161</v>
      </c>
      <c r="T1358" s="2468"/>
      <c r="U1358" s="544"/>
      <c r="V1358" s="545"/>
      <c r="W1358" s="546"/>
      <c r="X1358" s="547"/>
      <c r="Y1358" s="548"/>
      <c r="Z1358" s="277"/>
      <c r="AA1358" s="277"/>
      <c r="AB1358" s="187"/>
    </row>
    <row r="1359" spans="1:28" ht="20.100000000000001" customHeight="1">
      <c r="A1359" s="11"/>
      <c r="B1359" s="1360"/>
      <c r="C1359" s="5598"/>
      <c r="D1359" s="9598" t="s">
        <v>143</v>
      </c>
      <c r="E1359" s="9600"/>
      <c r="F1359" s="285" t="s">
        <v>742</v>
      </c>
      <c r="G1359" s="666"/>
      <c r="H1359" s="666"/>
      <c r="I1359" s="9582" t="s">
        <v>144</v>
      </c>
      <c r="J1359" s="9583"/>
      <c r="K1359" s="809" t="s">
        <v>734</v>
      </c>
      <c r="L1359" s="7133">
        <f t="shared" si="28"/>
        <v>564</v>
      </c>
      <c r="M1359" s="7306" t="s">
        <v>759</v>
      </c>
      <c r="N1359" s="7145">
        <f t="shared" si="28"/>
        <v>577</v>
      </c>
      <c r="O1359" s="7312" t="s">
        <v>759</v>
      </c>
      <c r="P1359" s="7169">
        <f t="shared" si="29"/>
        <v>572</v>
      </c>
      <c r="Q1359" s="7421"/>
      <c r="R1359" s="6659" t="s">
        <v>155</v>
      </c>
      <c r="S1359" s="7700" t="s">
        <v>161</v>
      </c>
      <c r="T1359" s="2468"/>
      <c r="U1359" s="544"/>
      <c r="V1359" s="545"/>
      <c r="W1359" s="546"/>
      <c r="X1359" s="547"/>
      <c r="Y1359" s="548"/>
      <c r="Z1359" s="277"/>
      <c r="AA1359" s="277"/>
      <c r="AB1359" s="187"/>
    </row>
    <row r="1360" spans="1:28" ht="20.100000000000001" customHeight="1">
      <c r="A1360" s="11"/>
      <c r="B1360" s="1360"/>
      <c r="C1360" s="5598"/>
      <c r="D1360" s="9598" t="s">
        <v>146</v>
      </c>
      <c r="E1360" s="9600"/>
      <c r="F1360" s="285" t="s">
        <v>742</v>
      </c>
      <c r="G1360" s="666"/>
      <c r="H1360" s="666"/>
      <c r="I1360" s="9582" t="s">
        <v>147</v>
      </c>
      <c r="J1360" s="9583"/>
      <c r="K1360" s="809" t="s">
        <v>734</v>
      </c>
      <c r="L1360" s="7133">
        <f t="shared" si="28"/>
        <v>381</v>
      </c>
      <c r="M1360" s="7306"/>
      <c r="N1360" s="7145">
        <f t="shared" si="28"/>
        <v>393</v>
      </c>
      <c r="O1360" s="7312"/>
      <c r="P1360" s="7169">
        <f t="shared" si="29"/>
        <v>412</v>
      </c>
      <c r="Q1360" s="7421"/>
      <c r="R1360" s="6659" t="s">
        <v>155</v>
      </c>
      <c r="S1360" s="7700" t="s">
        <v>161</v>
      </c>
      <c r="T1360" s="2468"/>
      <c r="U1360" s="544"/>
      <c r="V1360" s="545"/>
      <c r="W1360" s="546"/>
      <c r="X1360" s="547"/>
      <c r="Y1360" s="548"/>
      <c r="Z1360" s="277"/>
      <c r="AA1360" s="277"/>
      <c r="AB1360" s="187"/>
    </row>
    <row r="1361" spans="1:62" ht="20.100000000000001" customHeight="1">
      <c r="A1361" s="11"/>
      <c r="B1361" s="1360"/>
      <c r="C1361" s="5598"/>
      <c r="D1361" s="9598" t="s">
        <v>149</v>
      </c>
      <c r="E1361" s="9600"/>
      <c r="F1361" s="285" t="s">
        <v>742</v>
      </c>
      <c r="G1361" s="666"/>
      <c r="H1361" s="666"/>
      <c r="I1361" s="9582" t="s">
        <v>150</v>
      </c>
      <c r="J1361" s="9583"/>
      <c r="K1361" s="809" t="s">
        <v>734</v>
      </c>
      <c r="L1361" s="7161">
        <f>L888</f>
        <v>1280</v>
      </c>
      <c r="M1361" s="7306"/>
      <c r="N1361" s="7162">
        <f>N888</f>
        <v>1144</v>
      </c>
      <c r="O1361" s="7306"/>
      <c r="P1361" s="7162">
        <f>P888</f>
        <v>1059</v>
      </c>
      <c r="Q1361" s="7421"/>
      <c r="R1361" s="6659" t="s">
        <v>155</v>
      </c>
      <c r="S1361" s="7700" t="s">
        <v>1924</v>
      </c>
      <c r="T1361" s="2468"/>
      <c r="U1361" s="544"/>
      <c r="V1361" s="545"/>
      <c r="W1361" s="546"/>
      <c r="X1361" s="547"/>
      <c r="Y1361" s="548"/>
      <c r="Z1361" s="277"/>
      <c r="AA1361" s="277"/>
      <c r="AB1361" s="187"/>
    </row>
    <row r="1362" spans="1:62" ht="20.100000000000001" customHeight="1">
      <c r="A1362" s="11"/>
      <c r="B1362" s="1662"/>
      <c r="C1362" s="9656" t="s">
        <v>1036</v>
      </c>
      <c r="D1362" s="9587"/>
      <c r="E1362" s="9588"/>
      <c r="F1362" s="6683" t="s">
        <v>628</v>
      </c>
      <c r="G1362" s="349"/>
      <c r="H1362" s="9586" t="s">
        <v>1037</v>
      </c>
      <c r="I1362" s="9587"/>
      <c r="J1362" s="9588"/>
      <c r="K1362" s="5589" t="s">
        <v>128</v>
      </c>
      <c r="L1362" s="6970">
        <f>IF(COUNTBLANK(L1363:L1368)&gt;0,"미취합법인有",SUM(L1363:L1368))</f>
        <v>86.288289317170609</v>
      </c>
      <c r="M1362" s="7026"/>
      <c r="N1362" s="7001">
        <f>IF(COUNTBLANK(N1363:N1368)&gt;0,"미취합법인有",SUM(N1363:N1368))</f>
        <v>98.924373729129613</v>
      </c>
      <c r="O1362" s="7384"/>
      <c r="P1362" s="7002">
        <f>IF(COUNTBLANK(P1363:P1368)&gt;0,"미취합법인有",SUM(P1363:P1368))</f>
        <v>98.446801069389153</v>
      </c>
      <c r="Q1362" s="7029"/>
      <c r="R1362" s="7010" t="s">
        <v>31</v>
      </c>
      <c r="S1362" s="7007"/>
      <c r="T1362" s="7020" t="s">
        <v>1038</v>
      </c>
      <c r="U1362" s="457" t="s">
        <v>1039</v>
      </c>
      <c r="V1362" s="99" t="s">
        <v>189</v>
      </c>
      <c r="W1362" s="547"/>
      <c r="X1362" s="547"/>
      <c r="Y1362" s="99"/>
      <c r="Z1362" s="620" t="s">
        <v>1040</v>
      </c>
      <c r="AA1362" s="620"/>
      <c r="AB1362" s="159"/>
      <c r="AD1362" s="139" t="s">
        <v>1041</v>
      </c>
    </row>
    <row r="1363" spans="1:62" ht="19.5" customHeight="1">
      <c r="A1363" s="11"/>
      <c r="B1363" s="1360"/>
      <c r="C1363" s="9647" t="s">
        <v>134</v>
      </c>
      <c r="D1363" s="9648"/>
      <c r="E1363" s="9649"/>
      <c r="F1363" s="7701" t="s">
        <v>1048</v>
      </c>
      <c r="G1363" s="666"/>
      <c r="H1363" s="9579" t="s">
        <v>135</v>
      </c>
      <c r="I1363" s="9580"/>
      <c r="J1363" s="9581"/>
      <c r="K1363" s="105" t="s">
        <v>1043</v>
      </c>
      <c r="L1363" s="6753">
        <f>L1370/L1356</f>
        <v>33.206007577092507</v>
      </c>
      <c r="M1363" s="7261"/>
      <c r="N1363" s="6885">
        <f>N1370/N1356</f>
        <v>43.617138377392891</v>
      </c>
      <c r="O1363" s="7259"/>
      <c r="P1363" s="6885">
        <f>P1370/P1356</f>
        <v>31.170404958677686</v>
      </c>
      <c r="Q1363" s="7259"/>
      <c r="R1363" s="6659" t="s">
        <v>31</v>
      </c>
      <c r="S1363" s="6593" t="s">
        <v>1923</v>
      </c>
      <c r="T1363" s="2468"/>
      <c r="U1363" s="544"/>
      <c r="V1363" s="545"/>
      <c r="W1363" s="546"/>
      <c r="X1363" s="547"/>
      <c r="Y1363" s="548"/>
      <c r="Z1363" s="277"/>
      <c r="AA1363" s="277"/>
      <c r="AB1363" s="187"/>
    </row>
    <row r="1364" spans="1:62" ht="20.100000000000001" customHeight="1">
      <c r="A1364" s="11"/>
      <c r="B1364" s="1360"/>
      <c r="C1364" s="9647" t="s">
        <v>137</v>
      </c>
      <c r="D1364" s="9648"/>
      <c r="E1364" s="9649"/>
      <c r="F1364" s="7701" t="s">
        <v>1048</v>
      </c>
      <c r="G1364" s="666"/>
      <c r="H1364" s="9579" t="s">
        <v>138</v>
      </c>
      <c r="I1364" s="9580"/>
      <c r="J1364" s="9581"/>
      <c r="K1364" s="105" t="s">
        <v>1043</v>
      </c>
      <c r="L1364" s="6753">
        <f t="shared" ref="L1364:N1367" si="30">L1371/L1357</f>
        <v>9.2303234972677597</v>
      </c>
      <c r="M1364" s="7261"/>
      <c r="N1364" s="6882">
        <f t="shared" si="30"/>
        <v>37.379054545454551</v>
      </c>
      <c r="O1364" s="7311"/>
      <c r="P1364" s="6882">
        <f t="shared" ref="P1364:P1367" si="31">P1371/P1357</f>
        <v>58.484693877551024</v>
      </c>
      <c r="Q1364" s="7311"/>
      <c r="R1364" s="6659" t="s">
        <v>31</v>
      </c>
      <c r="S1364" s="6593" t="s">
        <v>1923</v>
      </c>
      <c r="T1364" s="2468"/>
      <c r="U1364" s="544"/>
      <c r="V1364" s="545"/>
      <c r="W1364" s="546"/>
      <c r="X1364" s="547"/>
      <c r="Y1364" s="548"/>
      <c r="Z1364" s="277"/>
      <c r="AA1364" s="277"/>
      <c r="AB1364" s="187"/>
    </row>
    <row r="1365" spans="1:62" ht="20.100000000000001" customHeight="1">
      <c r="A1365" s="11"/>
      <c r="B1365" s="1360"/>
      <c r="C1365" s="9647" t="s">
        <v>140</v>
      </c>
      <c r="D1365" s="9648"/>
      <c r="E1365" s="9649"/>
      <c r="F1365" s="7701" t="s">
        <v>1048</v>
      </c>
      <c r="G1365" s="666"/>
      <c r="H1365" s="9579" t="s">
        <v>141</v>
      </c>
      <c r="I1365" s="9580"/>
      <c r="J1365" s="9581"/>
      <c r="K1365" s="105" t="s">
        <v>1043</v>
      </c>
      <c r="L1365" s="6753">
        <f t="shared" si="30"/>
        <v>37.950664136622393</v>
      </c>
      <c r="M1365" s="7261"/>
      <c r="N1365" s="6882">
        <f t="shared" si="30"/>
        <v>0</v>
      </c>
      <c r="O1365" s="7311"/>
      <c r="P1365" s="6882">
        <f t="shared" si="31"/>
        <v>0</v>
      </c>
      <c r="Q1365" s="7311"/>
      <c r="R1365" s="6659" t="s">
        <v>31</v>
      </c>
      <c r="S1365" s="6593" t="s">
        <v>1923</v>
      </c>
      <c r="T1365" s="2468"/>
      <c r="U1365" s="544"/>
      <c r="V1365" s="545"/>
      <c r="W1365" s="546"/>
      <c r="X1365" s="547"/>
      <c r="Y1365" s="548"/>
      <c r="Z1365" s="277"/>
      <c r="AA1365" s="277"/>
      <c r="AB1365" s="187"/>
    </row>
    <row r="1366" spans="1:62" ht="20.100000000000001" customHeight="1">
      <c r="A1366" s="11"/>
      <c r="B1366" s="1360"/>
      <c r="C1366" s="9647" t="s">
        <v>143</v>
      </c>
      <c r="D1366" s="9648"/>
      <c r="E1366" s="9649"/>
      <c r="F1366" s="7701" t="s">
        <v>1048</v>
      </c>
      <c r="G1366" s="666"/>
      <c r="H1366" s="9579" t="s">
        <v>144</v>
      </c>
      <c r="I1366" s="9580"/>
      <c r="J1366" s="9581"/>
      <c r="K1366" s="492" t="s">
        <v>145</v>
      </c>
      <c r="L1366" s="6753">
        <f t="shared" si="30"/>
        <v>5.9012941061879429</v>
      </c>
      <c r="M1366" s="7261"/>
      <c r="N1366" s="6882">
        <f t="shared" si="30"/>
        <v>14.576690498266897</v>
      </c>
      <c r="O1366" s="7311"/>
      <c r="P1366" s="6882">
        <f t="shared" si="31"/>
        <v>6.6086118881118887</v>
      </c>
      <c r="Q1366" s="7311"/>
      <c r="R1366" s="6659" t="s">
        <v>31</v>
      </c>
      <c r="S1366" s="6593" t="s">
        <v>1923</v>
      </c>
      <c r="T1366" s="2468"/>
      <c r="U1366" s="544"/>
      <c r="V1366" s="545"/>
      <c r="W1366" s="546"/>
      <c r="X1366" s="547"/>
      <c r="Y1366" s="548"/>
      <c r="Z1366" s="277"/>
      <c r="AA1366" s="277"/>
      <c r="AB1366" s="187"/>
    </row>
    <row r="1367" spans="1:62" ht="20.100000000000001" customHeight="1">
      <c r="A1367" s="11"/>
      <c r="B1367" s="1360"/>
      <c r="C1367" s="9647" t="s">
        <v>146</v>
      </c>
      <c r="D1367" s="9648"/>
      <c r="E1367" s="9649"/>
      <c r="F1367" s="7701" t="s">
        <v>1048</v>
      </c>
      <c r="G1367" s="666"/>
      <c r="H1367" s="9579" t="s">
        <v>147</v>
      </c>
      <c r="I1367" s="9580"/>
      <c r="J1367" s="9581"/>
      <c r="K1367" s="492" t="s">
        <v>148</v>
      </c>
      <c r="L1367" s="6753">
        <f t="shared" si="30"/>
        <v>0</v>
      </c>
      <c r="M1367" s="7261"/>
      <c r="N1367" s="6882">
        <f t="shared" si="30"/>
        <v>3.3514903080152667</v>
      </c>
      <c r="O1367" s="7311"/>
      <c r="P1367" s="6882">
        <f t="shared" si="31"/>
        <v>2.1830903450485439</v>
      </c>
      <c r="Q1367" s="7311"/>
      <c r="R1367" s="6659" t="s">
        <v>31</v>
      </c>
      <c r="S1367" s="6593" t="s">
        <v>1923</v>
      </c>
      <c r="T1367" s="2468"/>
      <c r="U1367" s="544"/>
      <c r="V1367" s="545"/>
      <c r="W1367" s="546"/>
      <c r="X1367" s="547"/>
      <c r="Y1367" s="548"/>
      <c r="Z1367" s="277"/>
      <c r="AA1367" s="277"/>
      <c r="AB1367" s="187"/>
      <c r="AC1367" s="6303" t="s">
        <v>1044</v>
      </c>
    </row>
    <row r="1368" spans="1:62" ht="20.100000000000001" customHeight="1">
      <c r="A1368" s="11"/>
      <c r="B1368" s="1360"/>
      <c r="C1368" s="9647" t="s">
        <v>149</v>
      </c>
      <c r="D1368" s="9648"/>
      <c r="E1368" s="9649"/>
      <c r="F1368" s="7701" t="s">
        <v>1048</v>
      </c>
      <c r="G1368" s="666"/>
      <c r="H1368" s="9579" t="s">
        <v>150</v>
      </c>
      <c r="I1368" s="9580"/>
      <c r="J1368" s="9581"/>
      <c r="K1368" s="105" t="s">
        <v>1043</v>
      </c>
      <c r="L1368" s="6800" t="s">
        <v>168</v>
      </c>
      <c r="M1368" s="7303" t="s">
        <v>641</v>
      </c>
      <c r="N1368" s="6881" t="s">
        <v>168</v>
      </c>
      <c r="O1368" s="7303" t="s">
        <v>641</v>
      </c>
      <c r="P1368" s="6881" t="s">
        <v>168</v>
      </c>
      <c r="Q1368" s="7421" t="s">
        <v>641</v>
      </c>
      <c r="R1368" s="6659" t="s">
        <v>31</v>
      </c>
      <c r="S1368" s="6591"/>
      <c r="T1368" s="2468"/>
      <c r="U1368" s="544"/>
      <c r="V1368" s="545"/>
      <c r="W1368" s="546"/>
      <c r="X1368" s="547"/>
      <c r="Y1368" s="548"/>
      <c r="Z1368" s="277"/>
      <c r="AA1368" s="277"/>
      <c r="AB1368" s="187"/>
    </row>
    <row r="1369" spans="1:62" ht="20.100000000000001" customHeight="1">
      <c r="A1369" s="11"/>
      <c r="B1369" s="1360"/>
      <c r="C1369" s="1362"/>
      <c r="D1369" s="9584" t="s">
        <v>1045</v>
      </c>
      <c r="E1369" s="9585"/>
      <c r="F1369" s="6683" t="s">
        <v>628</v>
      </c>
      <c r="G1369" s="358"/>
      <c r="H1369" s="384"/>
      <c r="I1369" s="9584" t="s">
        <v>1046</v>
      </c>
      <c r="J1369" s="9585"/>
      <c r="K1369" s="5589" t="s">
        <v>128</v>
      </c>
      <c r="L1369" s="6970">
        <f>IF(COUNTBLANK(L1370:L1375)&gt;0,"미취합법인有",SUM(L1370:L1375))</f>
        <v>82706.297675890004</v>
      </c>
      <c r="M1369" s="7026"/>
      <c r="N1369" s="7001">
        <f>IF(COUNTBLANK(N1370:N1375)&gt;0,"미취합법인有",SUM(N1370:N1375))</f>
        <v>66210.448508550005</v>
      </c>
      <c r="O1369" s="7384"/>
      <c r="P1369" s="7002">
        <f>IF(COUNTBLANK(P1370:P1375)&gt;0,"미취합법인有",SUM(P1370:P1375))</f>
        <v>53858.749222160004</v>
      </c>
      <c r="Q1369" s="7029"/>
      <c r="R1369" s="7010" t="s">
        <v>155</v>
      </c>
      <c r="S1369" s="7007"/>
      <c r="T1369" s="7020"/>
      <c r="U1369" s="24"/>
      <c r="V1369" s="99" t="s">
        <v>189</v>
      </c>
      <c r="W1369" s="547"/>
      <c r="X1369" s="547"/>
      <c r="Y1369" s="99"/>
      <c r="Z1369" s="620" t="s">
        <v>1040</v>
      </c>
      <c r="AA1369" s="620"/>
      <c r="AB1369" s="159"/>
      <c r="AD1369" s="139" t="s">
        <v>1047</v>
      </c>
    </row>
    <row r="1370" spans="1:62" ht="20.100000000000001" customHeight="1">
      <c r="A1370" s="11"/>
      <c r="B1370" s="1360"/>
      <c r="C1370" s="5598"/>
      <c r="D1370" s="9598" t="s">
        <v>134</v>
      </c>
      <c r="E1370" s="9600"/>
      <c r="F1370" s="7701" t="s">
        <v>1048</v>
      </c>
      <c r="G1370" s="666"/>
      <c r="H1370" s="666"/>
      <c r="I1370" s="9579" t="s">
        <v>135</v>
      </c>
      <c r="J1370" s="9581"/>
      <c r="K1370" s="105" t="s">
        <v>1043</v>
      </c>
      <c r="L1370" s="6793">
        <v>37688.818599999999</v>
      </c>
      <c r="M1370" s="7303">
        <v>33.206007577092507</v>
      </c>
      <c r="N1370" s="6875">
        <v>47848.000800000002</v>
      </c>
      <c r="O1370" s="7402">
        <v>43.617138377392891</v>
      </c>
      <c r="P1370" s="6875">
        <v>37716.19</v>
      </c>
      <c r="Q1370" s="7421"/>
      <c r="R1370" s="6659" t="s">
        <v>155</v>
      </c>
      <c r="S1370" s="6591"/>
      <c r="T1370" s="2468"/>
      <c r="U1370" s="276"/>
      <c r="V1370" s="545"/>
      <c r="W1370" s="546"/>
      <c r="X1370" s="547"/>
      <c r="Y1370" s="548"/>
      <c r="Z1370" s="277"/>
      <c r="AA1370" s="277"/>
      <c r="AB1370" s="187"/>
    </row>
    <row r="1371" spans="1:62" ht="20.100000000000001" customHeight="1">
      <c r="A1371" s="11"/>
      <c r="B1371" s="1360"/>
      <c r="C1371" s="5598"/>
      <c r="D1371" s="9598" t="s">
        <v>137</v>
      </c>
      <c r="E1371" s="9600"/>
      <c r="F1371" s="7701" t="s">
        <v>1048</v>
      </c>
      <c r="G1371" s="666"/>
      <c r="H1371" s="666"/>
      <c r="I1371" s="9579" t="s">
        <v>138</v>
      </c>
      <c r="J1371" s="9581"/>
      <c r="K1371" s="105" t="s">
        <v>1043</v>
      </c>
      <c r="L1371" s="6793">
        <v>1689.1492000000001</v>
      </c>
      <c r="M1371" s="7307"/>
      <c r="N1371" s="6875">
        <v>8634.5616000000009</v>
      </c>
      <c r="O1371" s="7403"/>
      <c r="P1371" s="6948">
        <v>11463</v>
      </c>
      <c r="Q1371" s="7421"/>
      <c r="R1371" s="6659" t="s">
        <v>155</v>
      </c>
      <c r="S1371" s="6591"/>
      <c r="T1371" s="2468"/>
      <c r="U1371" s="544"/>
      <c r="V1371" s="545"/>
      <c r="W1371" s="546"/>
      <c r="X1371" s="547"/>
      <c r="Y1371" s="548"/>
      <c r="Z1371" s="277"/>
      <c r="AA1371" s="277"/>
      <c r="AB1371" s="187"/>
    </row>
    <row r="1372" spans="1:62" ht="20.100000000000001" customHeight="1">
      <c r="A1372" s="11"/>
      <c r="B1372" s="1360"/>
      <c r="C1372" s="5598"/>
      <c r="D1372" s="9598" t="s">
        <v>140</v>
      </c>
      <c r="E1372" s="9600"/>
      <c r="F1372" s="7701" t="s">
        <v>1048</v>
      </c>
      <c r="G1372" s="666"/>
      <c r="H1372" s="666"/>
      <c r="I1372" s="9582" t="s">
        <v>141</v>
      </c>
      <c r="J1372" s="9583"/>
      <c r="K1372" s="105" t="s">
        <v>1043</v>
      </c>
      <c r="L1372" s="6793">
        <v>40000</v>
      </c>
      <c r="M1372" s="7303">
        <v>37.950664136622393</v>
      </c>
      <c r="N1372" s="6875">
        <v>0</v>
      </c>
      <c r="O1372" s="7402" t="s">
        <v>1049</v>
      </c>
      <c r="P1372" s="6875">
        <v>0</v>
      </c>
      <c r="Q1372" s="7421"/>
      <c r="R1372" s="6659" t="s">
        <v>155</v>
      </c>
      <c r="S1372" s="6591"/>
      <c r="T1372" s="2468"/>
      <c r="U1372" s="544"/>
      <c r="V1372" s="545"/>
      <c r="W1372" s="546"/>
      <c r="X1372" s="547"/>
      <c r="Y1372" s="548"/>
      <c r="Z1372" s="277"/>
      <c r="AA1372" s="277"/>
      <c r="AB1372" s="187"/>
    </row>
    <row r="1373" spans="1:62" ht="20.100000000000001" customHeight="1">
      <c r="A1373" s="11"/>
      <c r="B1373" s="1360"/>
      <c r="C1373" s="5598"/>
      <c r="D1373" s="9598" t="s">
        <v>143</v>
      </c>
      <c r="E1373" s="9600"/>
      <c r="F1373" s="7701" t="s">
        <v>1048</v>
      </c>
      <c r="G1373" s="666"/>
      <c r="H1373" s="666"/>
      <c r="I1373" s="9582" t="s">
        <v>144</v>
      </c>
      <c r="J1373" s="9583"/>
      <c r="K1373" s="492" t="s">
        <v>145</v>
      </c>
      <c r="L1373" s="6793">
        <f>638834909/100*'(참고) 연도별 기말환율'!D27/10^4</f>
        <v>3328.3298758899996</v>
      </c>
      <c r="M1373" s="7303"/>
      <c r="N1373" s="6875">
        <f>1566247750/100*'(참고) 연도별 기말환율'!C27/10^4</f>
        <v>8410.7504174999995</v>
      </c>
      <c r="O1373" s="7402"/>
      <c r="P1373" s="6948">
        <f>710550000/100*'(참고) 연도별 기말환율'!B27/10^4</f>
        <v>3780.1260000000002</v>
      </c>
      <c r="Q1373" s="7421"/>
      <c r="R1373" s="6659" t="s">
        <v>155</v>
      </c>
      <c r="S1373" s="6591" t="s">
        <v>1925</v>
      </c>
      <c r="T1373" s="2468"/>
      <c r="U1373" s="544"/>
      <c r="V1373" s="545"/>
      <c r="W1373" s="546"/>
      <c r="X1373" s="547"/>
      <c r="Y1373" s="548"/>
      <c r="Z1373" s="277"/>
      <c r="AA1373" s="277"/>
      <c r="AB1373" s="187"/>
    </row>
    <row r="1374" spans="1:62" ht="20.100000000000001" customHeight="1">
      <c r="A1374" s="11"/>
      <c r="B1374" s="1360"/>
      <c r="C1374" s="5598"/>
      <c r="D1374" s="9598" t="s">
        <v>146</v>
      </c>
      <c r="E1374" s="9600"/>
      <c r="F1374" s="7701" t="s">
        <v>1048</v>
      </c>
      <c r="G1374" s="666"/>
      <c r="H1374" s="666"/>
      <c r="I1374" s="9582" t="s">
        <v>147</v>
      </c>
      <c r="J1374" s="9583"/>
      <c r="K1374" s="492" t="s">
        <v>148</v>
      </c>
      <c r="L1374" s="6793">
        <v>0</v>
      </c>
      <c r="M1374" s="7303"/>
      <c r="N1374" s="6875">
        <f>162810345/100*'(참고) 연도별 기말환율'!C24/10^4</f>
        <v>1317.1356910499999</v>
      </c>
      <c r="O1374" s="7303"/>
      <c r="P1374" s="6948">
        <f>107587706/100*'(참고) 연도별 기말환율'!B24/10^4</f>
        <v>899.43322216000001</v>
      </c>
      <c r="Q1374" s="7421"/>
      <c r="R1374" s="6659" t="s">
        <v>155</v>
      </c>
      <c r="S1374" s="6591" t="s">
        <v>1926</v>
      </c>
      <c r="T1374" s="2468"/>
      <c r="U1374" s="544"/>
      <c r="V1374" s="545"/>
      <c r="W1374" s="546"/>
      <c r="X1374" s="547"/>
      <c r="Y1374" s="548"/>
      <c r="Z1374" s="277"/>
      <c r="AA1374" s="277"/>
      <c r="AB1374" s="187"/>
      <c r="AC1374" s="6303" t="s">
        <v>1044</v>
      </c>
    </row>
    <row r="1375" spans="1:62" ht="20.100000000000001" customHeight="1">
      <c r="A1375" s="11"/>
      <c r="B1375" s="1360"/>
      <c r="C1375" s="5598"/>
      <c r="D1375" s="9598" t="s">
        <v>149</v>
      </c>
      <c r="E1375" s="9600"/>
      <c r="F1375" s="7701" t="s">
        <v>1048</v>
      </c>
      <c r="G1375" s="666"/>
      <c r="H1375" s="666"/>
      <c r="I1375" s="9582" t="s">
        <v>150</v>
      </c>
      <c r="J1375" s="9583"/>
      <c r="K1375" s="105" t="s">
        <v>1043</v>
      </c>
      <c r="L1375" s="6800" t="s">
        <v>168</v>
      </c>
      <c r="M1375" s="7303" t="s">
        <v>641</v>
      </c>
      <c r="N1375" s="6881" t="s">
        <v>168</v>
      </c>
      <c r="O1375" s="7303" t="s">
        <v>641</v>
      </c>
      <c r="P1375" s="6881" t="s">
        <v>168</v>
      </c>
      <c r="Q1375" s="7421" t="s">
        <v>641</v>
      </c>
      <c r="R1375" s="6659" t="s">
        <v>155</v>
      </c>
      <c r="S1375" s="6591"/>
      <c r="T1375" s="2468"/>
      <c r="U1375" s="544"/>
      <c r="V1375" s="545"/>
      <c r="W1375" s="546"/>
      <c r="X1375" s="547"/>
      <c r="Y1375" s="548"/>
      <c r="Z1375" s="277"/>
      <c r="AA1375" s="277"/>
      <c r="AB1375" s="187"/>
    </row>
    <row r="1376" spans="1:62" s="837" customFormat="1" ht="20.100000000000001" customHeight="1">
      <c r="B1376" s="1662"/>
      <c r="C1376" s="9656" t="s">
        <v>1050</v>
      </c>
      <c r="D1376" s="9587"/>
      <c r="E1376" s="9588"/>
      <c r="F1376" s="6683" t="s">
        <v>1051</v>
      </c>
      <c r="G1376" s="7009"/>
      <c r="H1376" s="9584" t="s">
        <v>1052</v>
      </c>
      <c r="I1376" s="9619"/>
      <c r="J1376" s="9585"/>
      <c r="K1376" s="6683" t="s">
        <v>1053</v>
      </c>
      <c r="L1376" s="6970">
        <f>IF(COUNTBLANK(L1377:L1378)&gt;0,"미취합법인有",SUM(L1377:L1378))</f>
        <v>0</v>
      </c>
      <c r="M1376" s="7026"/>
      <c r="N1376" s="7001">
        <f>IF(COUNTBLANK(N1377:N1378)&gt;0,"미취합법인有",SUM(N1377:N1378))</f>
        <v>168.54426002766252</v>
      </c>
      <c r="O1376" s="7384"/>
      <c r="P1376" s="7002">
        <f>IF(COUNTBLANK(P1377:P1378)&gt;0,"미취합법인有",SUM(P1377:P1378))</f>
        <v>180.43541364296081</v>
      </c>
      <c r="Q1376" s="7029"/>
      <c r="R1376" s="7010" t="s">
        <v>31</v>
      </c>
      <c r="S1376" s="7068" t="s">
        <v>1927</v>
      </c>
      <c r="T1376" s="7044" t="s">
        <v>1054</v>
      </c>
      <c r="U1376" s="830" t="s">
        <v>1055</v>
      </c>
      <c r="V1376" s="99" t="s">
        <v>737</v>
      </c>
      <c r="W1376" s="832"/>
      <c r="X1376" s="832"/>
      <c r="Y1376" s="831"/>
      <c r="Z1376" s="833" t="s">
        <v>1056</v>
      </c>
      <c r="AA1376" s="834"/>
      <c r="AB1376" s="835"/>
      <c r="AC1376" s="6306"/>
      <c r="AD1376" s="30"/>
      <c r="AE1376" s="1377"/>
      <c r="AF1376" s="30"/>
      <c r="AG1376" s="30"/>
      <c r="AH1376" s="30"/>
      <c r="AI1376" s="30"/>
      <c r="AJ1376" s="30"/>
      <c r="AK1376" s="30"/>
      <c r="AL1376" s="30"/>
      <c r="AM1376" s="30"/>
      <c r="AN1376" s="30"/>
      <c r="AO1376" s="30"/>
      <c r="AP1376" s="30"/>
      <c r="AQ1376" s="30"/>
      <c r="AR1376" s="30"/>
      <c r="AS1376" s="30"/>
      <c r="AT1376" s="30"/>
      <c r="AU1376" s="30"/>
      <c r="AV1376" s="30"/>
      <c r="AW1376" s="30"/>
      <c r="AX1376" s="30"/>
      <c r="AY1376" s="30"/>
      <c r="AZ1376" s="30"/>
      <c r="BA1376" s="30"/>
      <c r="BB1376" s="30"/>
      <c r="BC1376" s="30"/>
      <c r="BD1376" s="30"/>
      <c r="BE1376" s="30"/>
      <c r="BF1376" s="30"/>
      <c r="BG1376" s="30"/>
      <c r="BH1376" s="30"/>
      <c r="BI1376" s="30"/>
      <c r="BJ1376" s="30"/>
    </row>
    <row r="1377" spans="1:62" ht="20.100000000000001" customHeight="1">
      <c r="A1377" s="11"/>
      <c r="B1377" s="1360"/>
      <c r="C1377" s="9647" t="s">
        <v>134</v>
      </c>
      <c r="D1377" s="9648"/>
      <c r="E1377" s="9649"/>
      <c r="F1377" s="285" t="s">
        <v>1051</v>
      </c>
      <c r="G1377" s="666"/>
      <c r="H1377" s="9579" t="s">
        <v>135</v>
      </c>
      <c r="I1377" s="9580"/>
      <c r="J1377" s="9581"/>
      <c r="K1377" s="285" t="s">
        <v>1053</v>
      </c>
      <c r="L1377" s="6766" t="s">
        <v>169</v>
      </c>
      <c r="M1377" s="7259"/>
      <c r="N1377" s="6885">
        <v>82.710926694329174</v>
      </c>
      <c r="O1377" s="7259"/>
      <c r="P1377" s="6885">
        <v>92.743105950653117</v>
      </c>
      <c r="Q1377" s="7311"/>
      <c r="R1377" s="6659" t="s">
        <v>31</v>
      </c>
      <c r="S1377" s="6572"/>
      <c r="T1377" s="2468"/>
      <c r="U1377" s="544"/>
      <c r="V1377" s="545"/>
      <c r="W1377" s="546"/>
      <c r="X1377" s="547"/>
      <c r="Y1377" s="548"/>
      <c r="Z1377" s="277"/>
      <c r="AA1377" s="277"/>
      <c r="AB1377" s="187"/>
    </row>
    <row r="1378" spans="1:62" ht="20.100000000000001" customHeight="1">
      <c r="A1378" s="11"/>
      <c r="B1378" s="1360"/>
      <c r="C1378" s="9647" t="s">
        <v>137</v>
      </c>
      <c r="D1378" s="9648"/>
      <c r="E1378" s="9649"/>
      <c r="F1378" s="285" t="s">
        <v>1051</v>
      </c>
      <c r="G1378" s="666"/>
      <c r="H1378" s="9579" t="s">
        <v>138</v>
      </c>
      <c r="I1378" s="9580"/>
      <c r="J1378" s="9581"/>
      <c r="K1378" s="285" t="s">
        <v>1053</v>
      </c>
      <c r="L1378" s="6766" t="s">
        <v>169</v>
      </c>
      <c r="M1378" s="7311"/>
      <c r="N1378" s="6882">
        <v>85.833333333333329</v>
      </c>
      <c r="O1378" s="7311"/>
      <c r="P1378" s="6882">
        <v>87.692307692307693</v>
      </c>
      <c r="Q1378" s="7311"/>
      <c r="R1378" s="6659" t="s">
        <v>31</v>
      </c>
      <c r="S1378" s="6572"/>
      <c r="T1378" s="2468"/>
      <c r="U1378" s="544"/>
      <c r="V1378" s="545"/>
      <c r="W1378" s="546"/>
      <c r="X1378" s="547"/>
      <c r="Y1378" s="548"/>
      <c r="Z1378" s="277"/>
      <c r="AA1378" s="277"/>
      <c r="AB1378" s="187"/>
    </row>
    <row r="1379" spans="1:62" s="837" customFormat="1" ht="20.100000000000001" customHeight="1">
      <c r="B1379" s="1360"/>
      <c r="C1379" s="614"/>
      <c r="D1379" s="9584" t="s">
        <v>1058</v>
      </c>
      <c r="E1379" s="9585"/>
      <c r="F1379" s="7042" t="s">
        <v>742</v>
      </c>
      <c r="G1379" s="7009"/>
      <c r="H1379" s="7009"/>
      <c r="I1379" s="9584" t="s">
        <v>1059</v>
      </c>
      <c r="J1379" s="9585"/>
      <c r="K1379" s="7042" t="s">
        <v>734</v>
      </c>
      <c r="L1379" s="7111">
        <f>IF(COUNTBLANK(L1380:L1381)&gt;0,"미취합법인有",SUM(L1380:L1381))</f>
        <v>0</v>
      </c>
      <c r="M1379" s="7279"/>
      <c r="N1379" s="7115">
        <f>IF(COUNTBLANK(N1380:N1381)&gt;0,"미취합법인有",SUM(N1380:N1381))</f>
        <v>701</v>
      </c>
      <c r="O1379" s="7385"/>
      <c r="P1379" s="7121">
        <f>IF(COUNTBLANK(P1380:P1381)&gt;0,"미취합법인有",SUM(P1380:P1381))</f>
        <v>753</v>
      </c>
      <c r="Q1379" s="7029"/>
      <c r="R1379" s="7010" t="s">
        <v>155</v>
      </c>
      <c r="S1379" s="7068" t="s">
        <v>1927</v>
      </c>
      <c r="T1379" s="7045"/>
      <c r="U1379" s="841"/>
      <c r="V1379" s="99" t="s">
        <v>737</v>
      </c>
      <c r="W1379" s="832"/>
      <c r="X1379" s="832"/>
      <c r="Y1379" s="831"/>
      <c r="Z1379" s="833" t="s">
        <v>1056</v>
      </c>
      <c r="AA1379" s="842"/>
      <c r="AB1379" s="843"/>
      <c r="AC1379" s="6306"/>
      <c r="AD1379" s="30"/>
      <c r="AE1379" s="30"/>
      <c r="AF1379" s="30"/>
      <c r="AG1379" s="30"/>
      <c r="AH1379" s="30"/>
      <c r="AI1379" s="30"/>
      <c r="AJ1379" s="30"/>
      <c r="AK1379" s="30"/>
      <c r="AL1379" s="30"/>
      <c r="AM1379" s="30"/>
      <c r="AN1379" s="30"/>
      <c r="AO1379" s="30"/>
      <c r="AP1379" s="30"/>
      <c r="AQ1379" s="30"/>
      <c r="AR1379" s="30"/>
      <c r="AS1379" s="30"/>
      <c r="AT1379" s="30"/>
      <c r="AU1379" s="30"/>
      <c r="AV1379" s="30"/>
      <c r="AW1379" s="30"/>
      <c r="AX1379" s="30"/>
      <c r="AY1379" s="30"/>
      <c r="AZ1379" s="30"/>
      <c r="BA1379" s="30"/>
      <c r="BB1379" s="30"/>
      <c r="BC1379" s="30"/>
      <c r="BD1379" s="30"/>
      <c r="BE1379" s="30"/>
      <c r="BF1379" s="30"/>
      <c r="BG1379" s="30"/>
      <c r="BH1379" s="30"/>
      <c r="BI1379" s="30"/>
      <c r="BJ1379" s="30"/>
    </row>
    <row r="1380" spans="1:62" ht="20.100000000000001" customHeight="1">
      <c r="A1380" s="11"/>
      <c r="B1380" s="1360"/>
      <c r="C1380" s="5598"/>
      <c r="D1380" s="9598" t="s">
        <v>134</v>
      </c>
      <c r="E1380" s="9600"/>
      <c r="F1380" s="285" t="s">
        <v>742</v>
      </c>
      <c r="G1380" s="666"/>
      <c r="H1380" s="666"/>
      <c r="I1380" s="9579" t="s">
        <v>135</v>
      </c>
      <c r="J1380" s="9581"/>
      <c r="K1380" s="838" t="s">
        <v>734</v>
      </c>
      <c r="L1380" s="7166">
        <v>0</v>
      </c>
      <c r="M1380" s="7306" t="s">
        <v>1060</v>
      </c>
      <c r="N1380" s="7162">
        <v>598</v>
      </c>
      <c r="O1380" s="7312" t="s">
        <v>1061</v>
      </c>
      <c r="P1380" s="7167">
        <v>639</v>
      </c>
      <c r="Q1380" s="7421" t="s">
        <v>1062</v>
      </c>
      <c r="R1380" s="6659" t="s">
        <v>155</v>
      </c>
      <c r="S1380" s="6591"/>
      <c r="T1380" s="2468"/>
      <c r="U1380" s="544"/>
      <c r="V1380" s="545"/>
      <c r="W1380" s="546"/>
      <c r="X1380" s="547"/>
      <c r="Y1380" s="548"/>
      <c r="Z1380" s="277"/>
      <c r="AA1380" s="277"/>
      <c r="AB1380" s="187"/>
    </row>
    <row r="1381" spans="1:62" ht="20.100000000000001" customHeight="1">
      <c r="A1381" s="11"/>
      <c r="B1381" s="1360"/>
      <c r="C1381" s="5598"/>
      <c r="D1381" s="9598" t="s">
        <v>137</v>
      </c>
      <c r="E1381" s="9600"/>
      <c r="F1381" s="285" t="s">
        <v>742</v>
      </c>
      <c r="G1381" s="666"/>
      <c r="H1381" s="666"/>
      <c r="I1381" s="9579" t="s">
        <v>138</v>
      </c>
      <c r="J1381" s="9581"/>
      <c r="K1381" s="838" t="s">
        <v>734</v>
      </c>
      <c r="L1381" s="7113">
        <v>0</v>
      </c>
      <c r="M1381" s="7288" t="s">
        <v>1063</v>
      </c>
      <c r="N1381" s="7118">
        <v>103</v>
      </c>
      <c r="O1381" s="7393" t="s">
        <v>1064</v>
      </c>
      <c r="P1381" s="7157">
        <v>114</v>
      </c>
      <c r="Q1381" s="7421"/>
      <c r="R1381" s="6659" t="s">
        <v>155</v>
      </c>
      <c r="S1381" s="6591"/>
      <c r="T1381" s="2468"/>
      <c r="U1381" s="544"/>
      <c r="V1381" s="545"/>
      <c r="W1381" s="546"/>
      <c r="X1381" s="547"/>
      <c r="Y1381" s="548"/>
      <c r="Z1381" s="277"/>
      <c r="AA1381" s="277"/>
      <c r="AB1381" s="187"/>
    </row>
    <row r="1382" spans="1:62" s="837" customFormat="1" ht="20.100000000000001" customHeight="1">
      <c r="B1382" s="1360"/>
      <c r="C1382" s="614"/>
      <c r="D1382" s="9584" t="s">
        <v>1069</v>
      </c>
      <c r="E1382" s="9585"/>
      <c r="F1382" s="7042" t="s">
        <v>742</v>
      </c>
      <c r="G1382" s="7009"/>
      <c r="H1382" s="7009"/>
      <c r="I1382" s="9584" t="s">
        <v>1070</v>
      </c>
      <c r="J1382" s="9585"/>
      <c r="K1382" s="7042" t="s">
        <v>734</v>
      </c>
      <c r="L1382" s="7111">
        <f>IF(COUNTBLANK(L1383:L1384)&gt;0,"미취합법인有",SUM(L1383:L1384))</f>
        <v>0</v>
      </c>
      <c r="M1382" s="7279"/>
      <c r="N1382" s="7115">
        <f>IF(COUNTBLANK(N1383:N1384)&gt;0,"미취합법인有",SUM(N1383:N1384))</f>
        <v>843</v>
      </c>
      <c r="O1382" s="7385"/>
      <c r="P1382" s="7121">
        <f>IF(COUNTBLANK(P1383:P1384)&gt;0,"미취합법인有",SUM(P1383:P1384))</f>
        <v>819</v>
      </c>
      <c r="Q1382" s="7029"/>
      <c r="R1382" s="7010" t="s">
        <v>155</v>
      </c>
      <c r="S1382" s="7068" t="s">
        <v>1927</v>
      </c>
      <c r="T1382" s="7045"/>
      <c r="U1382" s="841"/>
      <c r="V1382" s="99" t="s">
        <v>737</v>
      </c>
      <c r="W1382" s="832"/>
      <c r="X1382" s="832"/>
      <c r="Y1382" s="831"/>
      <c r="Z1382" s="833" t="s">
        <v>1056</v>
      </c>
      <c r="AA1382" s="842"/>
      <c r="AB1382" s="843"/>
      <c r="AC1382" s="6306"/>
      <c r="AD1382" s="30"/>
      <c r="AE1382" s="30"/>
      <c r="AF1382" s="30"/>
      <c r="AG1382" s="30"/>
      <c r="AH1382" s="30"/>
      <c r="AI1382" s="30"/>
      <c r="AJ1382" s="30"/>
      <c r="AK1382" s="30"/>
      <c r="AL1382" s="30"/>
      <c r="AM1382" s="30"/>
      <c r="AN1382" s="30"/>
      <c r="AO1382" s="30"/>
      <c r="AP1382" s="30"/>
      <c r="AQ1382" s="30"/>
      <c r="AR1382" s="30"/>
      <c r="AS1382" s="30"/>
      <c r="AT1382" s="30"/>
      <c r="AU1382" s="30"/>
      <c r="AV1382" s="30"/>
      <c r="AW1382" s="30"/>
      <c r="AX1382" s="30"/>
      <c r="AY1382" s="30"/>
      <c r="AZ1382" s="30"/>
      <c r="BA1382" s="30"/>
      <c r="BB1382" s="30"/>
      <c r="BC1382" s="30"/>
      <c r="BD1382" s="30"/>
      <c r="BE1382" s="30"/>
      <c r="BF1382" s="30"/>
      <c r="BG1382" s="30"/>
      <c r="BH1382" s="30"/>
      <c r="BI1382" s="30"/>
      <c r="BJ1382" s="30"/>
    </row>
    <row r="1383" spans="1:62" ht="20.100000000000001" customHeight="1">
      <c r="A1383" s="11"/>
      <c r="B1383" s="1360"/>
      <c r="C1383" s="5598"/>
      <c r="D1383" s="9598" t="s">
        <v>134</v>
      </c>
      <c r="E1383" s="9600"/>
      <c r="F1383" s="285" t="s">
        <v>742</v>
      </c>
      <c r="G1383" s="666"/>
      <c r="H1383" s="666"/>
      <c r="I1383" s="9579" t="s">
        <v>135</v>
      </c>
      <c r="J1383" s="9581"/>
      <c r="K1383" s="838" t="s">
        <v>734</v>
      </c>
      <c r="L1383" s="7166">
        <v>0</v>
      </c>
      <c r="M1383" s="7306" t="s">
        <v>1060</v>
      </c>
      <c r="N1383" s="7162">
        <v>723</v>
      </c>
      <c r="O1383" s="7312" t="s">
        <v>1071</v>
      </c>
      <c r="P1383" s="7167">
        <v>689</v>
      </c>
      <c r="Q1383" s="7421" t="s">
        <v>1072</v>
      </c>
      <c r="R1383" s="6659" t="s">
        <v>155</v>
      </c>
      <c r="S1383" s="6591"/>
      <c r="T1383" s="2468"/>
      <c r="U1383" s="544"/>
      <c r="V1383" s="545"/>
      <c r="W1383" s="546"/>
      <c r="X1383" s="547"/>
      <c r="Y1383" s="548"/>
      <c r="Z1383" s="277"/>
      <c r="AA1383" s="277"/>
      <c r="AB1383" s="187"/>
    </row>
    <row r="1384" spans="1:62" ht="20.100000000000001" customHeight="1" thickBot="1">
      <c r="A1384" s="11"/>
      <c r="B1384" s="1360"/>
      <c r="C1384" s="5598"/>
      <c r="D1384" s="9598" t="s">
        <v>137</v>
      </c>
      <c r="E1384" s="9600"/>
      <c r="F1384" s="285" t="s">
        <v>742</v>
      </c>
      <c r="G1384" s="666"/>
      <c r="H1384" s="666"/>
      <c r="I1384" s="9579" t="s">
        <v>138</v>
      </c>
      <c r="J1384" s="9581"/>
      <c r="K1384" s="838" t="s">
        <v>734</v>
      </c>
      <c r="L1384" s="7113">
        <v>0</v>
      </c>
      <c r="M1384" s="7288" t="s">
        <v>1063</v>
      </c>
      <c r="N1384" s="7118">
        <v>120</v>
      </c>
      <c r="O1384" s="7393"/>
      <c r="P1384" s="7157">
        <v>130</v>
      </c>
      <c r="Q1384" s="7421"/>
      <c r="R1384" s="6659" t="s">
        <v>155</v>
      </c>
      <c r="S1384" s="6591"/>
      <c r="T1384" s="2468"/>
      <c r="U1384" s="544"/>
      <c r="V1384" s="545"/>
      <c r="W1384" s="546"/>
      <c r="X1384" s="547"/>
      <c r="Y1384" s="548"/>
      <c r="Z1384" s="277"/>
      <c r="AA1384" s="277"/>
      <c r="AB1384" s="187"/>
    </row>
    <row r="1385" spans="1:62" ht="27" thickBot="1">
      <c r="A1385" s="11"/>
      <c r="B1385" s="123" t="s">
        <v>1074</v>
      </c>
      <c r="C1385" s="124"/>
      <c r="D1385" s="124"/>
      <c r="E1385" s="124"/>
      <c r="F1385" s="78"/>
      <c r="G1385" s="78"/>
      <c r="H1385" s="78"/>
      <c r="I1385" s="78"/>
      <c r="J1385" s="78"/>
      <c r="K1385" s="78"/>
      <c r="L1385" s="6775"/>
      <c r="M1385" s="5600"/>
      <c r="N1385" s="6853"/>
      <c r="O1385" s="5600"/>
      <c r="P1385" s="6853"/>
      <c r="Q1385" s="5600"/>
      <c r="R1385" s="5600"/>
      <c r="S1385" s="5600"/>
      <c r="T1385" s="80"/>
      <c r="U1385" s="80"/>
      <c r="V1385" s="129"/>
      <c r="W1385" s="129"/>
      <c r="X1385" s="129"/>
      <c r="Y1385" s="6023"/>
      <c r="Z1385" s="328"/>
      <c r="AA1385" s="328"/>
      <c r="AB1385" s="329"/>
    </row>
    <row r="1386" spans="1:62" ht="19.350000000000001" customHeight="1">
      <c r="A1386" s="11"/>
      <c r="B1386" s="1353"/>
      <c r="C1386" s="6142" t="s">
        <v>1075</v>
      </c>
      <c r="D1386" s="6143"/>
      <c r="E1386" s="6143"/>
      <c r="F1386" s="6143"/>
      <c r="G1386" s="6143"/>
      <c r="H1386" s="6143" t="s">
        <v>1076</v>
      </c>
      <c r="I1386" s="6143"/>
      <c r="J1386" s="6143"/>
      <c r="K1386" s="6143"/>
      <c r="L1386" s="6803"/>
      <c r="M1386" s="7313"/>
      <c r="N1386" s="6803"/>
      <c r="O1386" s="7313"/>
      <c r="P1386" s="6803"/>
      <c r="Q1386" s="7485"/>
      <c r="R1386" s="7702"/>
      <c r="S1386" s="7703"/>
      <c r="T1386" s="7704"/>
      <c r="U1386" s="443"/>
      <c r="V1386" s="808" t="s">
        <v>758</v>
      </c>
      <c r="W1386" s="534"/>
      <c r="X1386" s="868"/>
      <c r="Y1386" s="642"/>
      <c r="Z1386" s="265"/>
      <c r="AA1386" s="869"/>
      <c r="AB1386" s="187"/>
    </row>
    <row r="1387" spans="1:62" ht="19.350000000000001" customHeight="1">
      <c r="A1387" s="11"/>
      <c r="B1387" s="1360"/>
      <c r="C1387" s="5598"/>
      <c r="D1387" s="9584" t="s">
        <v>1090</v>
      </c>
      <c r="E1387" s="9585"/>
      <c r="F1387" s="6683" t="s">
        <v>154</v>
      </c>
      <c r="G1387" s="6697"/>
      <c r="H1387" s="6697"/>
      <c r="I1387" s="9584" t="s">
        <v>1091</v>
      </c>
      <c r="J1387" s="9585"/>
      <c r="K1387" s="6683" t="s">
        <v>154</v>
      </c>
      <c r="L1387" s="7016" t="str">
        <f>IF(COUNTBLANK(L1388:L1393)&gt;0,"미취합법인有",AVERAGE(L1388:L1393))</f>
        <v>미취합법인有</v>
      </c>
      <c r="M1387" s="7026"/>
      <c r="N1387" s="7001">
        <f>IF(COUNTBLANK(N1388:N1393)&gt;0,"미취합법인有",AVERAGE(N1388:N1393))</f>
        <v>24.826609993510708</v>
      </c>
      <c r="O1387" s="7384"/>
      <c r="P1387" s="7002">
        <f>IF(COUNTBLANK(P1388:P1393)&gt;0,"미취합법인有",AVERAGE(P1388:P1393))</f>
        <v>28.527729323308272</v>
      </c>
      <c r="Q1387" s="7029"/>
      <c r="R1387" s="7037" t="s">
        <v>31</v>
      </c>
      <c r="S1387" s="7007" t="s">
        <v>1928</v>
      </c>
      <c r="T1387" s="7008" t="s">
        <v>1929</v>
      </c>
      <c r="U1387" s="276" t="s">
        <v>1093</v>
      </c>
      <c r="V1387" s="99" t="s">
        <v>758</v>
      </c>
      <c r="W1387" s="547" t="s">
        <v>800</v>
      </c>
      <c r="X1387" s="547"/>
      <c r="Y1387" s="99"/>
      <c r="Z1387" s="265" t="s">
        <v>1094</v>
      </c>
      <c r="AA1387" s="265"/>
      <c r="AB1387" s="187"/>
    </row>
    <row r="1388" spans="1:62" ht="20.100000000000001" customHeight="1">
      <c r="A1388" s="11"/>
      <c r="B1388" s="1360"/>
      <c r="C1388" s="5598"/>
      <c r="D1388" s="9598" t="s">
        <v>134</v>
      </c>
      <c r="E1388" s="9600"/>
      <c r="F1388" s="285" t="s">
        <v>156</v>
      </c>
      <c r="G1388" s="666"/>
      <c r="H1388" s="666"/>
      <c r="I1388" s="9579" t="s">
        <v>135</v>
      </c>
      <c r="J1388" s="9581"/>
      <c r="K1388" s="105" t="s">
        <v>154</v>
      </c>
      <c r="L1388" s="6794">
        <v>38.020833333333329</v>
      </c>
      <c r="M1388" s="7314"/>
      <c r="N1388" s="6881">
        <v>42.288557213930353</v>
      </c>
      <c r="O1388" s="7407" t="s">
        <v>1095</v>
      </c>
      <c r="P1388" s="6886">
        <v>42.3</v>
      </c>
      <c r="Q1388" s="7486"/>
      <c r="R1388" s="6661" t="s">
        <v>31</v>
      </c>
      <c r="S1388" s="6595"/>
      <c r="T1388" s="2468"/>
      <c r="U1388" s="544"/>
      <c r="V1388" s="545"/>
      <c r="W1388" s="546"/>
      <c r="X1388" s="547"/>
      <c r="Y1388" s="548"/>
      <c r="Z1388" s="277"/>
      <c r="AA1388" s="277"/>
      <c r="AB1388" s="187"/>
    </row>
    <row r="1389" spans="1:62" ht="20.100000000000001" customHeight="1">
      <c r="A1389" s="11"/>
      <c r="B1389" s="1360"/>
      <c r="C1389" s="5598"/>
      <c r="D1389" s="9598" t="s">
        <v>137</v>
      </c>
      <c r="E1389" s="9600"/>
      <c r="F1389" s="285" t="s">
        <v>156</v>
      </c>
      <c r="G1389" s="666"/>
      <c r="H1389" s="666"/>
      <c r="I1389" s="9579" t="s">
        <v>138</v>
      </c>
      <c r="J1389" s="9581"/>
      <c r="K1389" s="105" t="s">
        <v>154</v>
      </c>
      <c r="L1389" s="6804"/>
      <c r="M1389" s="7315"/>
      <c r="N1389" s="6859">
        <v>4.3478260869565215</v>
      </c>
      <c r="O1389" s="7408"/>
      <c r="P1389" s="6946">
        <f>(4+1+1)/P1396*100</f>
        <v>17.142857142857142</v>
      </c>
      <c r="Q1389" s="7486"/>
      <c r="R1389" s="6661" t="s">
        <v>31</v>
      </c>
      <c r="S1389" s="6595"/>
      <c r="T1389" s="2468"/>
      <c r="U1389" s="544"/>
      <c r="V1389" s="545"/>
      <c r="W1389" s="546"/>
      <c r="X1389" s="547"/>
      <c r="Y1389" s="548"/>
      <c r="Z1389" s="277"/>
      <c r="AA1389" s="277"/>
      <c r="AB1389" s="187"/>
    </row>
    <row r="1390" spans="1:62" ht="20.100000000000001" customHeight="1">
      <c r="A1390" s="11"/>
      <c r="B1390" s="1360"/>
      <c r="C1390" s="5598"/>
      <c r="D1390" s="9598" t="s">
        <v>140</v>
      </c>
      <c r="E1390" s="9600"/>
      <c r="F1390" s="285" t="s">
        <v>156</v>
      </c>
      <c r="G1390" s="666"/>
      <c r="H1390" s="666"/>
      <c r="I1390" s="9582" t="s">
        <v>141</v>
      </c>
      <c r="J1390" s="9583"/>
      <c r="K1390" s="105" t="s">
        <v>154</v>
      </c>
      <c r="L1390" s="6794">
        <v>13.738019169329075</v>
      </c>
      <c r="M1390" s="7314"/>
      <c r="N1390" s="6881">
        <v>16</v>
      </c>
      <c r="O1390" s="7407"/>
      <c r="P1390" s="6886">
        <v>10</v>
      </c>
      <c r="Q1390" s="7486"/>
      <c r="R1390" s="6661" t="s">
        <v>31</v>
      </c>
      <c r="S1390" s="6595"/>
      <c r="T1390" s="2468"/>
      <c r="U1390" s="544"/>
      <c r="V1390" s="545"/>
      <c r="W1390" s="546"/>
      <c r="X1390" s="547"/>
      <c r="Y1390" s="548"/>
      <c r="Z1390" s="277"/>
      <c r="AA1390" s="277"/>
      <c r="AB1390" s="187"/>
    </row>
    <row r="1391" spans="1:62" ht="20.100000000000001" customHeight="1">
      <c r="A1391" s="11"/>
      <c r="B1391" s="1360"/>
      <c r="C1391" s="614"/>
      <c r="D1391" s="9598" t="s">
        <v>143</v>
      </c>
      <c r="E1391" s="9600"/>
      <c r="F1391" s="285" t="s">
        <v>156</v>
      </c>
      <c r="G1391" s="666"/>
      <c r="H1391" s="666"/>
      <c r="I1391" s="9582" t="s">
        <v>144</v>
      </c>
      <c r="J1391" s="9583"/>
      <c r="K1391" s="105" t="s">
        <v>154</v>
      </c>
      <c r="L1391" s="6794">
        <v>46.55</v>
      </c>
      <c r="M1391" s="7314" t="s">
        <v>1096</v>
      </c>
      <c r="N1391" s="6881">
        <v>44.83</v>
      </c>
      <c r="O1391" s="7407" t="s">
        <v>1096</v>
      </c>
      <c r="P1391" s="6886">
        <v>46.88</v>
      </c>
      <c r="Q1391" s="7486"/>
      <c r="R1391" s="6661" t="s">
        <v>31</v>
      </c>
      <c r="S1391" s="6595"/>
      <c r="T1391" s="2468"/>
      <c r="U1391" s="544"/>
      <c r="V1391" s="545"/>
      <c r="W1391" s="546"/>
      <c r="X1391" s="547"/>
      <c r="Y1391" s="548"/>
      <c r="Z1391" s="277"/>
      <c r="AA1391" s="277"/>
      <c r="AB1391" s="187"/>
    </row>
    <row r="1392" spans="1:62" ht="20.100000000000001" customHeight="1">
      <c r="A1392" s="11"/>
      <c r="B1392" s="1360"/>
      <c r="C1392" s="5598"/>
      <c r="D1392" s="9598" t="s">
        <v>146</v>
      </c>
      <c r="E1392" s="9600"/>
      <c r="F1392" s="285" t="s">
        <v>156</v>
      </c>
      <c r="G1392" s="666"/>
      <c r="H1392" s="666"/>
      <c r="I1392" s="9582" t="s">
        <v>147</v>
      </c>
      <c r="J1392" s="9583"/>
      <c r="K1392" s="105" t="s">
        <v>154</v>
      </c>
      <c r="L1392" s="6794">
        <v>15.789473684210526</v>
      </c>
      <c r="M1392" s="7314"/>
      <c r="N1392" s="6881">
        <v>16.666666666666664</v>
      </c>
      <c r="O1392" s="7407"/>
      <c r="P1392" s="6886">
        <v>26.315789473684209</v>
      </c>
      <c r="Q1392" s="7486"/>
      <c r="R1392" s="6661" t="s">
        <v>31</v>
      </c>
      <c r="S1392" s="6595"/>
      <c r="T1392" s="2468"/>
      <c r="U1392" s="544"/>
      <c r="V1392" s="545"/>
      <c r="W1392" s="546"/>
      <c r="X1392" s="547"/>
      <c r="Y1392" s="548"/>
      <c r="Z1392" s="277"/>
      <c r="AA1392" s="277"/>
      <c r="AB1392" s="187"/>
    </row>
    <row r="1393" spans="1:30" ht="20.100000000000001" customHeight="1">
      <c r="A1393" s="11"/>
      <c r="B1393" s="1360"/>
      <c r="C1393" s="5598"/>
      <c r="D1393" s="9598" t="s">
        <v>149</v>
      </c>
      <c r="E1393" s="9600"/>
      <c r="F1393" s="285" t="s">
        <v>156</v>
      </c>
      <c r="G1393" s="666"/>
      <c r="H1393" s="666"/>
      <c r="I1393" s="9582" t="s">
        <v>150</v>
      </c>
      <c r="J1393" s="9583"/>
      <c r="K1393" s="105" t="s">
        <v>154</v>
      </c>
      <c r="L1393" s="6800" t="s">
        <v>168</v>
      </c>
      <c r="M1393" s="7303" t="s">
        <v>641</v>
      </c>
      <c r="N1393" s="6881" t="s">
        <v>168</v>
      </c>
      <c r="O1393" s="7303" t="s">
        <v>641</v>
      </c>
      <c r="P1393" s="6881" t="s">
        <v>168</v>
      </c>
      <c r="Q1393" s="7421" t="s">
        <v>641</v>
      </c>
      <c r="R1393" s="6661" t="s">
        <v>31</v>
      </c>
      <c r="S1393" s="6591"/>
      <c r="T1393" s="2468"/>
      <c r="U1393" s="544"/>
      <c r="V1393" s="545"/>
      <c r="W1393" s="546"/>
      <c r="X1393" s="547"/>
      <c r="Y1393" s="548"/>
      <c r="Z1393" s="277"/>
      <c r="AA1393" s="277"/>
      <c r="AB1393" s="187"/>
    </row>
    <row r="1394" spans="1:30" ht="20.100000000000001" customHeight="1">
      <c r="A1394" s="11"/>
      <c r="B1394" s="1360"/>
      <c r="C1394" s="6157"/>
      <c r="D1394" s="619"/>
      <c r="E1394" s="5617" t="s">
        <v>849</v>
      </c>
      <c r="F1394" s="6683" t="s">
        <v>742</v>
      </c>
      <c r="G1394" s="7028"/>
      <c r="H1394" s="9586" t="s">
        <v>850</v>
      </c>
      <c r="I1394" s="9587"/>
      <c r="J1394" s="9588"/>
      <c r="K1394" s="6683" t="s">
        <v>734</v>
      </c>
      <c r="L1394" s="7111">
        <f>IF(COUNTBLANK(L1395:L1400)&gt;0,"미취합법인有",SUM(L1395:L1400))</f>
        <v>350</v>
      </c>
      <c r="M1394" s="7279"/>
      <c r="N1394" s="7115">
        <f>IF(COUNTBLANK(N1395:N1400)&gt;0,"미취합법인有",SUM(N1395:N1400))</f>
        <v>352</v>
      </c>
      <c r="O1394" s="7293"/>
      <c r="P1394" s="7121">
        <f>IF(COUNTBLANK(P1395:P1400)&gt;0,"미취합법인有",SUM(P1395:P1400))</f>
        <v>375</v>
      </c>
      <c r="Q1394" s="7029"/>
      <c r="R1394" s="7010" t="s">
        <v>155</v>
      </c>
      <c r="S1394" s="7007"/>
      <c r="T1394" s="7008" t="s">
        <v>851</v>
      </c>
      <c r="U1394" s="276"/>
      <c r="V1394" s="99" t="s">
        <v>758</v>
      </c>
      <c r="W1394" s="547" t="s">
        <v>800</v>
      </c>
      <c r="X1394" s="547"/>
      <c r="Y1394" s="665"/>
      <c r="Z1394" s="620" t="s">
        <v>852</v>
      </c>
      <c r="AA1394" s="154"/>
      <c r="AB1394" s="159"/>
    </row>
    <row r="1395" spans="1:30" ht="19.899999999999999" customHeight="1">
      <c r="A1395" s="11"/>
      <c r="B1395" s="5590"/>
      <c r="C1395" s="7707"/>
      <c r="D1395" s="619"/>
      <c r="E1395" s="619" t="s">
        <v>134</v>
      </c>
      <c r="F1395" s="285" t="s">
        <v>742</v>
      </c>
      <c r="G1395" s="253"/>
      <c r="H1395" s="9579" t="s">
        <v>135</v>
      </c>
      <c r="I1395" s="9580"/>
      <c r="J1395" s="9581"/>
      <c r="K1395" s="285" t="s">
        <v>734</v>
      </c>
      <c r="L1395" s="7144">
        <v>192</v>
      </c>
      <c r="M1395" s="7296"/>
      <c r="N1395" s="7139">
        <v>201</v>
      </c>
      <c r="O1395" s="7296"/>
      <c r="P1395" s="7139">
        <v>201</v>
      </c>
      <c r="Q1395" s="7240"/>
      <c r="R1395" s="6658" t="s">
        <v>155</v>
      </c>
      <c r="S1395" s="6557"/>
      <c r="T1395" s="1033"/>
      <c r="U1395" s="263"/>
      <c r="V1395" s="99"/>
      <c r="W1395" s="138"/>
      <c r="X1395" s="138"/>
      <c r="Y1395" s="99"/>
      <c r="Z1395" s="264"/>
      <c r="AA1395" s="277"/>
      <c r="AB1395" s="187"/>
    </row>
    <row r="1396" spans="1:30" ht="19.899999999999999" customHeight="1">
      <c r="A1396" s="11"/>
      <c r="B1396" s="5590"/>
      <c r="C1396" s="7707"/>
      <c r="D1396" s="619"/>
      <c r="E1396" s="619" t="s">
        <v>137</v>
      </c>
      <c r="F1396" s="285" t="s">
        <v>742</v>
      </c>
      <c r="G1396" s="253"/>
      <c r="H1396" s="9579" t="s">
        <v>138</v>
      </c>
      <c r="I1396" s="9580"/>
      <c r="J1396" s="9581"/>
      <c r="K1396" s="285" t="s">
        <v>734</v>
      </c>
      <c r="L1396" s="7144">
        <v>28</v>
      </c>
      <c r="M1396" s="7296"/>
      <c r="N1396" s="7708">
        <v>30</v>
      </c>
      <c r="O1396" s="7395"/>
      <c r="P1396" s="7708">
        <v>35</v>
      </c>
      <c r="Q1396" s="7240"/>
      <c r="R1396" s="6658" t="s">
        <v>155</v>
      </c>
      <c r="S1396" s="6557"/>
      <c r="T1396" s="1033"/>
      <c r="U1396" s="263"/>
      <c r="V1396" s="99"/>
      <c r="W1396" s="138"/>
      <c r="X1396" s="138"/>
      <c r="Y1396" s="99"/>
      <c r="Z1396" s="264"/>
      <c r="AA1396" s="277"/>
      <c r="AB1396" s="187"/>
      <c r="AD1396" s="139" t="s">
        <v>854</v>
      </c>
    </row>
    <row r="1397" spans="1:30" ht="19.899999999999999" customHeight="1">
      <c r="A1397" s="11"/>
      <c r="B1397" s="5590"/>
      <c r="C1397" s="7707"/>
      <c r="D1397" s="619"/>
      <c r="E1397" s="619" t="s">
        <v>140</v>
      </c>
      <c r="F1397" s="285" t="s">
        <v>742</v>
      </c>
      <c r="G1397" s="253"/>
      <c r="H1397" s="9579" t="s">
        <v>141</v>
      </c>
      <c r="I1397" s="9580"/>
      <c r="J1397" s="9581"/>
      <c r="K1397" s="285" t="s">
        <v>734</v>
      </c>
      <c r="L1397" s="7144">
        <v>20</v>
      </c>
      <c r="M1397" s="7296"/>
      <c r="N1397" s="7139">
        <v>23</v>
      </c>
      <c r="O1397" s="7395"/>
      <c r="P1397" s="7139">
        <v>36</v>
      </c>
      <c r="Q1397" s="7240"/>
      <c r="R1397" s="6658" t="s">
        <v>155</v>
      </c>
      <c r="S1397" s="6557"/>
      <c r="T1397" s="1033"/>
      <c r="U1397" s="263"/>
      <c r="V1397" s="99"/>
      <c r="W1397" s="138"/>
      <c r="X1397" s="138"/>
      <c r="Y1397" s="99"/>
      <c r="Z1397" s="264"/>
      <c r="AA1397" s="277"/>
      <c r="AB1397" s="187"/>
    </row>
    <row r="1398" spans="1:30" ht="19.899999999999999" customHeight="1">
      <c r="A1398" s="11"/>
      <c r="B1398" s="5590"/>
      <c r="C1398" s="7707"/>
      <c r="D1398" s="619"/>
      <c r="E1398" s="619" t="s">
        <v>143</v>
      </c>
      <c r="F1398" s="285" t="s">
        <v>742</v>
      </c>
      <c r="G1398" s="253"/>
      <c r="H1398" s="9579" t="s">
        <v>144</v>
      </c>
      <c r="I1398" s="9580"/>
      <c r="J1398" s="9581"/>
      <c r="K1398" s="285" t="s">
        <v>734</v>
      </c>
      <c r="L1398" s="7144">
        <v>58</v>
      </c>
      <c r="M1398" s="7296"/>
      <c r="N1398" s="7139">
        <v>58</v>
      </c>
      <c r="O1398" s="7395"/>
      <c r="P1398" s="7139">
        <v>64</v>
      </c>
      <c r="Q1398" s="7709" t="s">
        <v>855</v>
      </c>
      <c r="R1398" s="6666" t="s">
        <v>155</v>
      </c>
      <c r="S1398" s="6531"/>
      <c r="T1398" s="1033"/>
      <c r="U1398" s="263"/>
      <c r="V1398" s="99"/>
      <c r="W1398" s="138"/>
      <c r="X1398" s="138"/>
      <c r="Y1398" s="99"/>
      <c r="Z1398" s="264"/>
      <c r="AA1398" s="277"/>
      <c r="AB1398" s="187"/>
    </row>
    <row r="1399" spans="1:30" ht="19.899999999999999" customHeight="1">
      <c r="A1399" s="11"/>
      <c r="B1399" s="5590"/>
      <c r="C1399" s="7707"/>
      <c r="D1399" s="619"/>
      <c r="E1399" s="619" t="s">
        <v>146</v>
      </c>
      <c r="F1399" s="285" t="s">
        <v>742</v>
      </c>
      <c r="G1399" s="253"/>
      <c r="H1399" s="9579" t="s">
        <v>147</v>
      </c>
      <c r="I1399" s="9580"/>
      <c r="J1399" s="9581"/>
      <c r="K1399" s="285" t="s">
        <v>734</v>
      </c>
      <c r="L1399" s="7144">
        <v>5</v>
      </c>
      <c r="M1399" s="7296" t="s">
        <v>856</v>
      </c>
      <c r="N1399" s="7139">
        <v>3</v>
      </c>
      <c r="O1399" s="7395" t="s">
        <v>856</v>
      </c>
      <c r="P1399" s="7139">
        <v>5</v>
      </c>
      <c r="Q1399" s="7240"/>
      <c r="R1399" s="6658" t="s">
        <v>155</v>
      </c>
      <c r="S1399" s="6557"/>
      <c r="T1399" s="1033"/>
      <c r="U1399" s="263"/>
      <c r="V1399" s="99"/>
      <c r="W1399" s="138"/>
      <c r="X1399" s="138"/>
      <c r="Y1399" s="99"/>
      <c r="Z1399" s="264"/>
      <c r="AA1399" s="277"/>
      <c r="AB1399" s="187"/>
    </row>
    <row r="1400" spans="1:30" ht="19.899999999999999" customHeight="1">
      <c r="A1400" s="11"/>
      <c r="B1400" s="5590"/>
      <c r="C1400" s="7707"/>
      <c r="D1400" s="619"/>
      <c r="E1400" s="619" t="s">
        <v>149</v>
      </c>
      <c r="F1400" s="285" t="s">
        <v>742</v>
      </c>
      <c r="G1400" s="253"/>
      <c r="H1400" s="9579" t="s">
        <v>150</v>
      </c>
      <c r="I1400" s="9580"/>
      <c r="J1400" s="9581"/>
      <c r="K1400" s="285" t="s">
        <v>734</v>
      </c>
      <c r="L1400" s="7112">
        <v>47</v>
      </c>
      <c r="M1400" s="7296"/>
      <c r="N1400" s="7116">
        <v>37</v>
      </c>
      <c r="O1400" s="7395"/>
      <c r="P1400" s="7116">
        <v>34</v>
      </c>
      <c r="Q1400" s="7240"/>
      <c r="R1400" s="6658" t="s">
        <v>155</v>
      </c>
      <c r="S1400" s="6557"/>
      <c r="T1400" s="1033"/>
      <c r="U1400" s="263"/>
      <c r="V1400" s="99"/>
      <c r="W1400" s="138"/>
      <c r="X1400" s="138"/>
      <c r="Y1400" s="99"/>
      <c r="Z1400" s="264"/>
      <c r="AA1400" s="277"/>
      <c r="AB1400" s="187"/>
    </row>
    <row r="1401" spans="1:30" ht="19.350000000000001" customHeight="1">
      <c r="A1401" s="11"/>
      <c r="B1401" s="1360"/>
      <c r="C1401" s="614"/>
      <c r="D1401" s="9584" t="s">
        <v>1077</v>
      </c>
      <c r="E1401" s="9585"/>
      <c r="F1401" s="6683" t="s">
        <v>156</v>
      </c>
      <c r="G1401" s="6697"/>
      <c r="H1401" s="6694"/>
      <c r="I1401" s="9584" t="s">
        <v>1078</v>
      </c>
      <c r="J1401" s="9585"/>
      <c r="K1401" s="6969" t="s">
        <v>154</v>
      </c>
      <c r="L1401" s="7016">
        <f>IF(COUNTBLANK(L1402:L1407)&gt;0,"미취합법인有",AVERAGE(L1402:L1407))</f>
        <v>8.0952380952380949</v>
      </c>
      <c r="M1401" s="7026"/>
      <c r="N1401" s="7001">
        <f>IF(COUNTBLANK(N1402:N1407)&gt;0,"미취합법인有",AVERAGE(N1402:N1407))</f>
        <v>4.7619047619047619</v>
      </c>
      <c r="O1401" s="7384"/>
      <c r="P1401" s="7002">
        <f>IF(COUNTBLANK(P1402:P1407)&gt;0,"미취합법인有",AVERAGE(P1402:P1407))</f>
        <v>4.7619047619047619</v>
      </c>
      <c r="Q1401" s="7029"/>
      <c r="R1401" s="7037" t="s">
        <v>31</v>
      </c>
      <c r="S1401" s="7710" t="str">
        <f>ROW(D933)&amp;"행 여성 경영진 비율과 동일"</f>
        <v>933행 여성 경영진 비율과 동일</v>
      </c>
      <c r="T1401" s="7047"/>
      <c r="U1401" s="444"/>
      <c r="V1401" s="808" t="s">
        <v>758</v>
      </c>
      <c r="W1401" s="547" t="s">
        <v>800</v>
      </c>
      <c r="X1401" s="878"/>
      <c r="Y1401" s="808"/>
      <c r="Z1401" s="620" t="s">
        <v>1930</v>
      </c>
      <c r="AA1401" s="265" t="s">
        <v>807</v>
      </c>
      <c r="AB1401" s="187"/>
    </row>
    <row r="1402" spans="1:30" ht="20.100000000000001" customHeight="1">
      <c r="A1402" s="11"/>
      <c r="B1402" s="1360"/>
      <c r="C1402" s="5598"/>
      <c r="D1402" s="9598" t="s">
        <v>134</v>
      </c>
      <c r="E1402" s="9600"/>
      <c r="F1402" s="285" t="s">
        <v>156</v>
      </c>
      <c r="G1402" s="666"/>
      <c r="H1402" s="684"/>
      <c r="I1402" s="9579" t="s">
        <v>135</v>
      </c>
      <c r="J1402" s="9581"/>
      <c r="K1402" s="1222" t="s">
        <v>154</v>
      </c>
      <c r="L1402" s="6794">
        <f>L934</f>
        <v>20</v>
      </c>
      <c r="M1402" s="7303"/>
      <c r="N1402" s="6881">
        <f>N934</f>
        <v>0</v>
      </c>
      <c r="O1402" s="7402"/>
      <c r="P1402" s="6950">
        <f>P934</f>
        <v>0</v>
      </c>
      <c r="Q1402" s="7421"/>
      <c r="R1402" s="6661" t="s">
        <v>31</v>
      </c>
      <c r="S1402" s="6591"/>
      <c r="T1402" s="2468"/>
      <c r="U1402" s="544"/>
      <c r="V1402" s="545"/>
      <c r="W1402" s="546"/>
      <c r="X1402" s="547"/>
      <c r="Y1402" s="548"/>
      <c r="Z1402" s="277"/>
      <c r="AA1402" s="277"/>
      <c r="AB1402" s="187"/>
    </row>
    <row r="1403" spans="1:30" ht="20.100000000000001" customHeight="1">
      <c r="A1403" s="11"/>
      <c r="B1403" s="1360"/>
      <c r="C1403" s="5598"/>
      <c r="D1403" s="9598" t="s">
        <v>137</v>
      </c>
      <c r="E1403" s="9600"/>
      <c r="F1403" s="285" t="s">
        <v>156</v>
      </c>
      <c r="G1403" s="666"/>
      <c r="H1403" s="684"/>
      <c r="I1403" s="9579" t="s">
        <v>138</v>
      </c>
      <c r="J1403" s="9581"/>
      <c r="K1403" s="1222" t="s">
        <v>154</v>
      </c>
      <c r="L1403" s="6794">
        <f t="shared" ref="L1403:N1407" si="32">L935</f>
        <v>0</v>
      </c>
      <c r="M1403" s="7303"/>
      <c r="N1403" s="6881">
        <f t="shared" si="32"/>
        <v>0</v>
      </c>
      <c r="O1403" s="7399"/>
      <c r="P1403" s="6950">
        <f t="shared" ref="P1403:P1407" si="33">P935</f>
        <v>0</v>
      </c>
      <c r="Q1403" s="7479"/>
      <c r="R1403" s="6661" t="s">
        <v>31</v>
      </c>
      <c r="S1403" s="6588"/>
      <c r="T1403" s="2468"/>
      <c r="U1403" s="544"/>
      <c r="V1403" s="545"/>
      <c r="W1403" s="546"/>
      <c r="X1403" s="547"/>
      <c r="Y1403" s="548"/>
      <c r="Z1403" s="277"/>
      <c r="AA1403" s="277"/>
      <c r="AB1403" s="187"/>
    </row>
    <row r="1404" spans="1:30" ht="20.100000000000001" customHeight="1">
      <c r="A1404" s="11"/>
      <c r="B1404" s="1360"/>
      <c r="C1404" s="5598"/>
      <c r="D1404" s="9598" t="s">
        <v>140</v>
      </c>
      <c r="E1404" s="9600"/>
      <c r="F1404" s="285" t="s">
        <v>156</v>
      </c>
      <c r="G1404" s="666"/>
      <c r="H1404" s="684"/>
      <c r="I1404" s="9582" t="s">
        <v>141</v>
      </c>
      <c r="J1404" s="9583"/>
      <c r="K1404" s="1222" t="s">
        <v>154</v>
      </c>
      <c r="L1404" s="6794">
        <f t="shared" si="32"/>
        <v>0</v>
      </c>
      <c r="M1404" s="7303"/>
      <c r="N1404" s="6881">
        <f t="shared" si="32"/>
        <v>0</v>
      </c>
      <c r="O1404" s="7400"/>
      <c r="P1404" s="6950">
        <f t="shared" si="33"/>
        <v>0</v>
      </c>
      <c r="Q1404" s="7478"/>
      <c r="R1404" s="6661" t="s">
        <v>31</v>
      </c>
      <c r="S1404" s="6591"/>
      <c r="T1404" s="2468"/>
      <c r="U1404" s="544"/>
      <c r="V1404" s="545"/>
      <c r="W1404" s="546"/>
      <c r="X1404" s="547"/>
      <c r="Y1404" s="548"/>
      <c r="Z1404" s="277"/>
      <c r="AA1404" s="277"/>
      <c r="AB1404" s="187"/>
      <c r="AD1404" s="139" t="s">
        <v>1079</v>
      </c>
    </row>
    <row r="1405" spans="1:30" ht="20.100000000000001" customHeight="1">
      <c r="A1405" s="11"/>
      <c r="B1405" s="1360"/>
      <c r="C1405" s="5598"/>
      <c r="D1405" s="9598" t="s">
        <v>143</v>
      </c>
      <c r="E1405" s="9600"/>
      <c r="F1405" s="285" t="s">
        <v>156</v>
      </c>
      <c r="G1405" s="666"/>
      <c r="H1405" s="684"/>
      <c r="I1405" s="9582" t="s">
        <v>144</v>
      </c>
      <c r="J1405" s="9583"/>
      <c r="K1405" s="1222" t="s">
        <v>154</v>
      </c>
      <c r="L1405" s="6794">
        <f t="shared" si="32"/>
        <v>0</v>
      </c>
      <c r="M1405" s="7303"/>
      <c r="N1405" s="6881">
        <f t="shared" si="32"/>
        <v>0</v>
      </c>
      <c r="O1405" s="7402"/>
      <c r="P1405" s="6950">
        <f t="shared" si="33"/>
        <v>0</v>
      </c>
      <c r="Q1405" s="7421"/>
      <c r="R1405" s="6661" t="s">
        <v>31</v>
      </c>
      <c r="S1405" s="6591"/>
      <c r="T1405" s="2468"/>
      <c r="U1405" s="544"/>
      <c r="V1405" s="545"/>
      <c r="W1405" s="546"/>
      <c r="X1405" s="547"/>
      <c r="Y1405" s="548"/>
      <c r="Z1405" s="277"/>
      <c r="AA1405" s="277"/>
      <c r="AB1405" s="187"/>
    </row>
    <row r="1406" spans="1:30" ht="20.100000000000001" customHeight="1">
      <c r="A1406" s="11"/>
      <c r="B1406" s="1360"/>
      <c r="C1406" s="5598"/>
      <c r="D1406" s="9598" t="s">
        <v>146</v>
      </c>
      <c r="E1406" s="9600"/>
      <c r="F1406" s="285" t="s">
        <v>156</v>
      </c>
      <c r="G1406" s="666"/>
      <c r="H1406" s="684"/>
      <c r="I1406" s="9582" t="s">
        <v>147</v>
      </c>
      <c r="J1406" s="9583"/>
      <c r="K1406" s="1222" t="s">
        <v>154</v>
      </c>
      <c r="L1406" s="6794">
        <f t="shared" si="32"/>
        <v>28.571428571428569</v>
      </c>
      <c r="M1406" s="7303"/>
      <c r="N1406" s="6881">
        <f t="shared" si="32"/>
        <v>28.571428571428569</v>
      </c>
      <c r="O1406" s="7405"/>
      <c r="P1406" s="6886">
        <f t="shared" si="33"/>
        <v>28.571428571428569</v>
      </c>
      <c r="Q1406" s="7421"/>
      <c r="R1406" s="6661" t="s">
        <v>31</v>
      </c>
      <c r="S1406" s="6689"/>
      <c r="T1406" s="2468"/>
      <c r="U1406" s="544"/>
      <c r="V1406" s="545"/>
      <c r="W1406" s="546"/>
      <c r="X1406" s="547"/>
      <c r="Y1406" s="548"/>
      <c r="Z1406" s="277"/>
      <c r="AA1406" s="277"/>
      <c r="AB1406" s="187"/>
      <c r="AD1406" s="139" t="s">
        <v>1081</v>
      </c>
    </row>
    <row r="1407" spans="1:30" ht="20.100000000000001" customHeight="1">
      <c r="A1407" s="11"/>
      <c r="B1407" s="1360"/>
      <c r="C1407" s="5598"/>
      <c r="D1407" s="9598" t="s">
        <v>149</v>
      </c>
      <c r="E1407" s="9600"/>
      <c r="F1407" s="285" t="s">
        <v>156</v>
      </c>
      <c r="G1407" s="666"/>
      <c r="H1407" s="684"/>
      <c r="I1407" s="9582" t="s">
        <v>150</v>
      </c>
      <c r="J1407" s="9583"/>
      <c r="K1407" s="1222" t="s">
        <v>154</v>
      </c>
      <c r="L1407" s="6800">
        <f t="shared" si="32"/>
        <v>0</v>
      </c>
      <c r="M1407" s="7303"/>
      <c r="N1407" s="6881">
        <f t="shared" si="32"/>
        <v>0</v>
      </c>
      <c r="O1407" s="7405"/>
      <c r="P1407" s="6881">
        <f t="shared" si="33"/>
        <v>0</v>
      </c>
      <c r="Q1407" s="7421"/>
      <c r="R1407" s="6661" t="s">
        <v>31</v>
      </c>
      <c r="S1407" s="6591"/>
      <c r="T1407" s="2468"/>
      <c r="U1407" s="544"/>
      <c r="V1407" s="545"/>
      <c r="W1407" s="546"/>
      <c r="X1407" s="547"/>
      <c r="Y1407" s="548"/>
      <c r="Z1407" s="277"/>
      <c r="AA1407" s="277"/>
      <c r="AB1407" s="187"/>
    </row>
    <row r="1408" spans="1:30" ht="19.149999999999999" customHeight="1">
      <c r="A1408" s="11"/>
      <c r="B1408" s="1360"/>
      <c r="C1408" s="5598"/>
      <c r="D1408" s="9584" t="s">
        <v>1097</v>
      </c>
      <c r="E1408" s="9585"/>
      <c r="F1408" s="6683" t="s">
        <v>154</v>
      </c>
      <c r="G1408" s="6697"/>
      <c r="H1408" s="6697"/>
      <c r="I1408" s="9584" t="s">
        <v>1098</v>
      </c>
      <c r="J1408" s="9585"/>
      <c r="K1408" s="6683" t="s">
        <v>154</v>
      </c>
      <c r="L1408" s="7016" t="str">
        <f>IF(COUNTBLANK(L1409:L1414)&gt;0,"미취합법인有",AVERAGE(L1409:L1414))</f>
        <v>미취합법인有</v>
      </c>
      <c r="M1408" s="7026"/>
      <c r="N1408" s="7001" t="str">
        <f>IF(COUNTBLANK(N1409:N1414)&gt;0,"미취합법인有",AVERAGE(N1409:N1414))</f>
        <v>미취합법인有</v>
      </c>
      <c r="O1408" s="7384"/>
      <c r="P1408" s="7002" t="str">
        <f>IF(COUNTBLANK(P1409:P1414)&gt;0,"미취합법인有",AVERAGE(P1409:P1414))</f>
        <v>미취합법인有</v>
      </c>
      <c r="Q1408" s="7029"/>
      <c r="R1408" s="7037" t="s">
        <v>31</v>
      </c>
      <c r="S1408" s="7007" t="s">
        <v>1931</v>
      </c>
      <c r="T1408" s="7008" t="s">
        <v>1099</v>
      </c>
      <c r="U1408" s="276" t="s">
        <v>1100</v>
      </c>
      <c r="V1408" s="99" t="s">
        <v>758</v>
      </c>
      <c r="W1408" s="547" t="s">
        <v>800</v>
      </c>
      <c r="X1408" s="547"/>
      <c r="Y1408" s="99"/>
      <c r="Z1408" s="265" t="s">
        <v>1101</v>
      </c>
      <c r="AA1408" s="265"/>
      <c r="AB1408" s="187"/>
    </row>
    <row r="1409" spans="1:31" ht="20.100000000000001" customHeight="1">
      <c r="A1409" s="11"/>
      <c r="B1409" s="1360"/>
      <c r="C1409" s="5598"/>
      <c r="D1409" s="9598" t="s">
        <v>134</v>
      </c>
      <c r="E1409" s="9600"/>
      <c r="F1409" s="285" t="s">
        <v>156</v>
      </c>
      <c r="G1409" s="666"/>
      <c r="H1409" s="666"/>
      <c r="I1409" s="9579" t="s">
        <v>135</v>
      </c>
      <c r="J1409" s="9581"/>
      <c r="K1409" s="105" t="s">
        <v>154</v>
      </c>
      <c r="L1409" s="6794">
        <v>18.181818181818183</v>
      </c>
      <c r="M1409" s="7314"/>
      <c r="N1409" s="6881">
        <v>17.948717948717949</v>
      </c>
      <c r="O1409" s="7407" t="s">
        <v>1102</v>
      </c>
      <c r="P1409" s="6886">
        <v>20</v>
      </c>
      <c r="Q1409" s="7421"/>
      <c r="R1409" s="6661" t="s">
        <v>31</v>
      </c>
      <c r="S1409" s="6591" t="s">
        <v>161</v>
      </c>
      <c r="T1409" s="2468"/>
      <c r="U1409" s="544"/>
      <c r="V1409" s="545"/>
      <c r="W1409" s="546"/>
      <c r="X1409" s="547"/>
      <c r="Y1409" s="548"/>
      <c r="Z1409" s="277"/>
      <c r="AA1409" s="277"/>
      <c r="AB1409" s="187"/>
    </row>
    <row r="1410" spans="1:31" ht="20.100000000000001" customHeight="1">
      <c r="A1410" s="11"/>
      <c r="B1410" s="1360"/>
      <c r="C1410" s="5598"/>
      <c r="D1410" s="9598" t="s">
        <v>137</v>
      </c>
      <c r="E1410" s="9600"/>
      <c r="F1410" s="285" t="s">
        <v>156</v>
      </c>
      <c r="G1410" s="666"/>
      <c r="H1410" s="666"/>
      <c r="I1410" s="9579" t="s">
        <v>138</v>
      </c>
      <c r="J1410" s="9581"/>
      <c r="K1410" s="105" t="s">
        <v>154</v>
      </c>
      <c r="L1410" s="6804"/>
      <c r="M1410" s="7315"/>
      <c r="N1410" s="6859">
        <v>14.285714285714285</v>
      </c>
      <c r="O1410" s="7408"/>
      <c r="P1410" s="6951"/>
      <c r="Q1410" s="7421"/>
      <c r="R1410" s="6661" t="s">
        <v>31</v>
      </c>
      <c r="S1410" s="6591" t="s">
        <v>161</v>
      </c>
      <c r="T1410" s="2468"/>
      <c r="U1410" s="544"/>
      <c r="V1410" s="545"/>
      <c r="W1410" s="546"/>
      <c r="X1410" s="547"/>
      <c r="Y1410" s="548"/>
      <c r="Z1410" s="277"/>
      <c r="AA1410" s="277"/>
      <c r="AB1410" s="187"/>
    </row>
    <row r="1411" spans="1:31" ht="20.100000000000001" customHeight="1">
      <c r="A1411" s="11"/>
      <c r="B1411" s="1360"/>
      <c r="C1411" s="5598"/>
      <c r="D1411" s="9598" t="s">
        <v>140</v>
      </c>
      <c r="E1411" s="9600"/>
      <c r="F1411" s="285" t="s">
        <v>156</v>
      </c>
      <c r="G1411" s="666"/>
      <c r="H1411" s="666"/>
      <c r="I1411" s="9582" t="s">
        <v>141</v>
      </c>
      <c r="J1411" s="9583"/>
      <c r="K1411" s="105" t="s">
        <v>154</v>
      </c>
      <c r="L1411" s="6794">
        <v>1.4388489208633095</v>
      </c>
      <c r="M1411" s="7314"/>
      <c r="N1411" s="6881">
        <v>3.5087719298245612</v>
      </c>
      <c r="O1411" s="7407"/>
      <c r="P1411" s="6886">
        <v>0.33333333333333331</v>
      </c>
      <c r="Q1411" s="7421"/>
      <c r="R1411" s="6661" t="s">
        <v>31</v>
      </c>
      <c r="S1411" s="6591" t="s">
        <v>161</v>
      </c>
      <c r="T1411" s="2468"/>
      <c r="U1411" s="544"/>
      <c r="V1411" s="545"/>
      <c r="W1411" s="546"/>
      <c r="X1411" s="547"/>
      <c r="Y1411" s="548"/>
      <c r="Z1411" s="277"/>
      <c r="AA1411" s="277"/>
      <c r="AB1411" s="187"/>
    </row>
    <row r="1412" spans="1:31" ht="20.100000000000001" customHeight="1">
      <c r="A1412" s="11"/>
      <c r="B1412" s="1360"/>
      <c r="C1412" s="614"/>
      <c r="D1412" s="9598" t="s">
        <v>143</v>
      </c>
      <c r="E1412" s="9600"/>
      <c r="F1412" s="285" t="s">
        <v>156</v>
      </c>
      <c r="G1412" s="666"/>
      <c r="H1412" s="666"/>
      <c r="I1412" s="9582" t="s">
        <v>144</v>
      </c>
      <c r="J1412" s="9583"/>
      <c r="K1412" s="105" t="s">
        <v>154</v>
      </c>
      <c r="L1412" s="6794">
        <v>0</v>
      </c>
      <c r="M1412" s="7314"/>
      <c r="N1412" s="6881">
        <v>0</v>
      </c>
      <c r="O1412" s="7407"/>
      <c r="P1412" s="7711"/>
      <c r="Q1412" s="7421"/>
      <c r="R1412" s="6661" t="s">
        <v>31</v>
      </c>
      <c r="S1412" s="6591" t="s">
        <v>161</v>
      </c>
      <c r="T1412" s="2468"/>
      <c r="U1412" s="544"/>
      <c r="V1412" s="545"/>
      <c r="W1412" s="546"/>
      <c r="X1412" s="547"/>
      <c r="Y1412" s="548"/>
      <c r="Z1412" s="277"/>
      <c r="AA1412" s="277"/>
      <c r="AB1412" s="187"/>
    </row>
    <row r="1413" spans="1:31" ht="20.100000000000001" customHeight="1">
      <c r="A1413" s="11"/>
      <c r="B1413" s="1360"/>
      <c r="C1413" s="5598"/>
      <c r="D1413" s="9598" t="s">
        <v>146</v>
      </c>
      <c r="E1413" s="9600"/>
      <c r="F1413" s="285" t="s">
        <v>156</v>
      </c>
      <c r="G1413" s="5728"/>
      <c r="H1413" s="666"/>
      <c r="I1413" s="9582" t="s">
        <v>147</v>
      </c>
      <c r="J1413" s="9583"/>
      <c r="K1413" s="105" t="s">
        <v>154</v>
      </c>
      <c r="L1413" s="6794"/>
      <c r="M1413" s="7314"/>
      <c r="N1413" s="6881"/>
      <c r="O1413" s="7407"/>
      <c r="P1413" s="6886"/>
      <c r="Q1413" s="7421"/>
      <c r="R1413" s="6674" t="s">
        <v>1932</v>
      </c>
      <c r="S1413" s="6591" t="s">
        <v>1933</v>
      </c>
      <c r="T1413" s="2468"/>
      <c r="U1413" s="544"/>
      <c r="V1413" s="545"/>
      <c r="W1413" s="546"/>
      <c r="X1413" s="547"/>
      <c r="Y1413" s="548"/>
      <c r="Z1413" s="277"/>
      <c r="AA1413" s="277"/>
      <c r="AB1413" s="187"/>
    </row>
    <row r="1414" spans="1:31" ht="20.100000000000001" customHeight="1">
      <c r="A1414" s="11"/>
      <c r="B1414" s="1360"/>
      <c r="C1414" s="5598"/>
      <c r="D1414" s="9598" t="s">
        <v>149</v>
      </c>
      <c r="E1414" s="9600"/>
      <c r="F1414" s="285" t="s">
        <v>156</v>
      </c>
      <c r="G1414" s="666"/>
      <c r="H1414" s="5728"/>
      <c r="I1414" s="9582" t="s">
        <v>150</v>
      </c>
      <c r="J1414" s="9583"/>
      <c r="K1414" s="105" t="s">
        <v>154</v>
      </c>
      <c r="L1414" s="6800" t="s">
        <v>168</v>
      </c>
      <c r="M1414" s="7303" t="s">
        <v>641</v>
      </c>
      <c r="N1414" s="6881" t="s">
        <v>168</v>
      </c>
      <c r="O1414" s="7303" t="s">
        <v>641</v>
      </c>
      <c r="P1414" s="6881" t="s">
        <v>168</v>
      </c>
      <c r="Q1414" s="7421" t="s">
        <v>641</v>
      </c>
      <c r="R1414" s="6661" t="s">
        <v>31</v>
      </c>
      <c r="S1414" s="6591" t="s">
        <v>1924</v>
      </c>
      <c r="T1414" s="2468"/>
      <c r="U1414" s="4849"/>
      <c r="V1414" s="545"/>
      <c r="W1414" s="546"/>
      <c r="X1414" s="547"/>
      <c r="Y1414" s="548"/>
      <c r="Z1414" s="277"/>
      <c r="AA1414" s="277"/>
      <c r="AB1414" s="187"/>
    </row>
    <row r="1415" spans="1:31" ht="19.350000000000001" customHeight="1">
      <c r="A1415" s="11"/>
      <c r="B1415" s="1360"/>
      <c r="C1415" s="5598"/>
      <c r="D1415" s="9584" t="s">
        <v>1103</v>
      </c>
      <c r="E1415" s="9585"/>
      <c r="F1415" s="6683" t="s">
        <v>154</v>
      </c>
      <c r="G1415" s="6697"/>
      <c r="H1415" s="6697"/>
      <c r="I1415" s="9584" t="s">
        <v>1104</v>
      </c>
      <c r="J1415" s="9585"/>
      <c r="K1415" s="6683" t="s">
        <v>154</v>
      </c>
      <c r="L1415" s="7016" t="str">
        <f>IF(COUNTBLANK(L1416:L1421)&gt;0,"미취합법인有",AVERAGE(L1416:L1421))</f>
        <v>미취합법인有</v>
      </c>
      <c r="M1415" s="7026"/>
      <c r="N1415" s="7001">
        <f>IF(COUNTBLANK(N1416:N1421)&gt;0,"미취합법인有",AVERAGE(N1416:N1421))</f>
        <v>77.057078604608094</v>
      </c>
      <c r="O1415" s="7384"/>
      <c r="P1415" s="7002" t="str">
        <f>IF(COUNTBLANK(P1416:P1421)&gt;0,"미취합법인有",AVERAGE(P1416:P1421))</f>
        <v>미취합법인有</v>
      </c>
      <c r="Q1415" s="7029"/>
      <c r="R1415" s="7037" t="s">
        <v>31</v>
      </c>
      <c r="S1415" s="7048"/>
      <c r="T1415" s="7008" t="s">
        <v>1105</v>
      </c>
      <c r="U1415" s="4849" t="s">
        <v>1106</v>
      </c>
      <c r="V1415" s="99" t="s">
        <v>737</v>
      </c>
      <c r="W1415" s="547" t="s">
        <v>800</v>
      </c>
      <c r="X1415" s="547"/>
      <c r="Y1415" s="99"/>
      <c r="Z1415" s="265" t="s">
        <v>1107</v>
      </c>
      <c r="AA1415" s="265" t="s">
        <v>1108</v>
      </c>
      <c r="AB1415" s="187"/>
    </row>
    <row r="1416" spans="1:31" ht="20.100000000000001" customHeight="1">
      <c r="A1416" s="11"/>
      <c r="B1416" s="1360"/>
      <c r="C1416" s="5598"/>
      <c r="D1416" s="9598" t="s">
        <v>134</v>
      </c>
      <c r="E1416" s="9600"/>
      <c r="F1416" s="285" t="s">
        <v>156</v>
      </c>
      <c r="G1416" s="666"/>
      <c r="H1416" s="666"/>
      <c r="I1416" s="9579" t="s">
        <v>135</v>
      </c>
      <c r="J1416" s="9581"/>
      <c r="K1416" s="105" t="s">
        <v>154</v>
      </c>
      <c r="L1416" s="6794">
        <v>87.231196663517778</v>
      </c>
      <c r="M1416" s="7314"/>
      <c r="N1416" s="6881">
        <v>80.672398847835211</v>
      </c>
      <c r="O1416" s="7407"/>
      <c r="P1416" s="6951"/>
      <c r="Q1416" s="7421"/>
      <c r="R1416" s="6674" t="s">
        <v>1932</v>
      </c>
      <c r="S1416" s="6690" t="s">
        <v>2055</v>
      </c>
      <c r="T1416" s="2468"/>
      <c r="U1416" s="4849"/>
      <c r="V1416" s="545"/>
      <c r="W1416" s="546"/>
      <c r="X1416" s="547"/>
      <c r="Y1416" s="548"/>
      <c r="Z1416" s="277"/>
      <c r="AA1416" s="277"/>
      <c r="AB1416" s="187"/>
    </row>
    <row r="1417" spans="1:31" ht="20.100000000000001" customHeight="1">
      <c r="A1417" s="11"/>
      <c r="B1417" s="1360"/>
      <c r="C1417" s="5598"/>
      <c r="D1417" s="9598" t="s">
        <v>137</v>
      </c>
      <c r="E1417" s="9600"/>
      <c r="F1417" s="285" t="s">
        <v>156</v>
      </c>
      <c r="G1417" s="666"/>
      <c r="H1417" s="666"/>
      <c r="I1417" s="9579" t="s">
        <v>138</v>
      </c>
      <c r="J1417" s="9581"/>
      <c r="K1417" s="105" t="s">
        <v>154</v>
      </c>
      <c r="L1417" s="6804"/>
      <c r="M1417" s="7315"/>
      <c r="N1417" s="6859">
        <v>73.524451939291737</v>
      </c>
      <c r="O1417" s="7408"/>
      <c r="P1417" s="6952"/>
      <c r="Q1417" s="7421"/>
      <c r="R1417" s="6674" t="s">
        <v>1932</v>
      </c>
      <c r="S1417" s="6690" t="s">
        <v>2055</v>
      </c>
      <c r="T1417" s="2468"/>
      <c r="U1417" s="4849"/>
      <c r="V1417" s="545"/>
      <c r="W1417" s="546"/>
      <c r="X1417" s="547"/>
      <c r="Y1417" s="548"/>
      <c r="Z1417" s="277"/>
      <c r="AA1417" s="277"/>
      <c r="AB1417" s="187"/>
    </row>
    <row r="1418" spans="1:31" ht="20.100000000000001" customHeight="1">
      <c r="A1418" s="11"/>
      <c r="B1418" s="1360"/>
      <c r="C1418" s="5598"/>
      <c r="D1418" s="9598" t="s">
        <v>140</v>
      </c>
      <c r="E1418" s="9600"/>
      <c r="F1418" s="285" t="s">
        <v>156</v>
      </c>
      <c r="G1418" s="666"/>
      <c r="H1418" s="666"/>
      <c r="I1418" s="9582" t="s">
        <v>141</v>
      </c>
      <c r="J1418" s="9583"/>
      <c r="K1418" s="105" t="s">
        <v>154</v>
      </c>
      <c r="L1418" s="6794">
        <v>85.882637262472798</v>
      </c>
      <c r="M1418" s="7314"/>
      <c r="N1418" s="6881">
        <v>82.247056388175423</v>
      </c>
      <c r="O1418" s="7407"/>
      <c r="P1418" s="6886">
        <v>65.771717918957194</v>
      </c>
      <c r="Q1418" s="7421" t="s">
        <v>1109</v>
      </c>
      <c r="R1418" s="6674" t="s">
        <v>1932</v>
      </c>
      <c r="S1418" s="6690" t="s">
        <v>2055</v>
      </c>
      <c r="T1418" s="2468"/>
      <c r="U1418" s="544"/>
      <c r="V1418" s="545"/>
      <c r="W1418" s="546"/>
      <c r="X1418" s="547"/>
      <c r="Y1418" s="548"/>
      <c r="Z1418" s="277"/>
      <c r="AA1418" s="277"/>
      <c r="AB1418" s="187"/>
    </row>
    <row r="1419" spans="1:31" ht="20.100000000000001" customHeight="1">
      <c r="A1419" s="11"/>
      <c r="B1419" s="1360"/>
      <c r="C1419" s="614"/>
      <c r="D1419" s="9598" t="s">
        <v>143</v>
      </c>
      <c r="E1419" s="9600"/>
      <c r="F1419" s="285" t="s">
        <v>156</v>
      </c>
      <c r="G1419" s="666"/>
      <c r="H1419" s="666"/>
      <c r="I1419" s="9582" t="s">
        <v>144</v>
      </c>
      <c r="J1419" s="9583"/>
      <c r="K1419" s="105" t="s">
        <v>154</v>
      </c>
      <c r="L1419" s="6794">
        <f>0.441818995996507*100</f>
        <v>44.181899599650698</v>
      </c>
      <c r="M1419" s="7314" t="s">
        <v>1110</v>
      </c>
      <c r="N1419" s="6881">
        <f>0.447982366624738*100</f>
        <v>44.798236662473798</v>
      </c>
      <c r="O1419" s="7407" t="s">
        <v>1110</v>
      </c>
      <c r="P1419" s="6886">
        <f>0.461035539778746*100</f>
        <v>46.103553977874597</v>
      </c>
      <c r="Q1419" s="7421"/>
      <c r="R1419" s="6674" t="s">
        <v>1932</v>
      </c>
      <c r="S1419" s="6690" t="s">
        <v>2055</v>
      </c>
      <c r="T1419" s="2468"/>
      <c r="U1419" s="544"/>
      <c r="V1419" s="545"/>
      <c r="W1419" s="546"/>
      <c r="X1419" s="547"/>
      <c r="Y1419" s="548"/>
      <c r="Z1419" s="277"/>
      <c r="AA1419" s="277"/>
      <c r="AB1419" s="187"/>
    </row>
    <row r="1420" spans="1:31" ht="20.100000000000001" customHeight="1">
      <c r="A1420" s="11"/>
      <c r="B1420" s="1360"/>
      <c r="C1420" s="5598"/>
      <c r="D1420" s="9598" t="s">
        <v>146</v>
      </c>
      <c r="E1420" s="9600"/>
      <c r="F1420" s="285" t="s">
        <v>156</v>
      </c>
      <c r="G1420" s="666"/>
      <c r="H1420" s="666"/>
      <c r="I1420" s="9582" t="s">
        <v>147</v>
      </c>
      <c r="J1420" s="9583"/>
      <c r="K1420" s="105" t="s">
        <v>154</v>
      </c>
      <c r="L1420" s="6805">
        <v>156.08059219041078</v>
      </c>
      <c r="M1420" s="7314"/>
      <c r="N1420" s="6888">
        <v>104.04324918526433</v>
      </c>
      <c r="O1420" s="7314"/>
      <c r="P1420" s="6888">
        <v>101</v>
      </c>
      <c r="Q1420" s="7421"/>
      <c r="R1420" s="6674" t="s">
        <v>1932</v>
      </c>
      <c r="S1420" s="6690" t="s">
        <v>2055</v>
      </c>
      <c r="T1420" s="2468"/>
      <c r="U1420" s="544"/>
      <c r="V1420" s="545"/>
      <c r="W1420" s="546"/>
      <c r="X1420" s="547"/>
      <c r="Y1420" s="548"/>
      <c r="Z1420" s="277"/>
      <c r="AA1420" s="277"/>
      <c r="AB1420" s="187"/>
      <c r="AD1420" s="6301" t="s">
        <v>1111</v>
      </c>
    </row>
    <row r="1421" spans="1:31" ht="20.100000000000001" customHeight="1">
      <c r="A1421" s="11"/>
      <c r="B1421" s="1360"/>
      <c r="C1421" s="5598"/>
      <c r="D1421" s="9598" t="s">
        <v>149</v>
      </c>
      <c r="E1421" s="9600"/>
      <c r="F1421" s="285" t="s">
        <v>156</v>
      </c>
      <c r="G1421" s="746"/>
      <c r="H1421" s="746"/>
      <c r="I1421" s="9582" t="s">
        <v>150</v>
      </c>
      <c r="J1421" s="9583"/>
      <c r="K1421" s="105" t="s">
        <v>154</v>
      </c>
      <c r="L1421" s="6800" t="s">
        <v>168</v>
      </c>
      <c r="M1421" s="7303" t="s">
        <v>641</v>
      </c>
      <c r="N1421" s="6881" t="s">
        <v>168</v>
      </c>
      <c r="O1421" s="7303" t="s">
        <v>641</v>
      </c>
      <c r="P1421" s="6881" t="s">
        <v>168</v>
      </c>
      <c r="Q1421" s="7421" t="s">
        <v>641</v>
      </c>
      <c r="R1421" s="6661" t="s">
        <v>31</v>
      </c>
      <c r="S1421" s="6570"/>
      <c r="T1421" s="2468"/>
      <c r="U1421" s="544"/>
      <c r="V1421" s="545"/>
      <c r="W1421" s="546"/>
      <c r="X1421" s="547"/>
      <c r="Y1421" s="548"/>
      <c r="Z1421" s="277"/>
      <c r="AA1421" s="277"/>
      <c r="AB1421" s="187"/>
    </row>
    <row r="1422" spans="1:31" ht="19.350000000000001" customHeight="1">
      <c r="A1422" s="11"/>
      <c r="B1422" s="1360"/>
      <c r="C1422" s="6138" t="s">
        <v>1168</v>
      </c>
      <c r="D1422" s="6139"/>
      <c r="E1422" s="6139"/>
      <c r="F1422" s="6185"/>
      <c r="G1422" s="6185"/>
      <c r="H1422" s="9716" t="s">
        <v>1169</v>
      </c>
      <c r="I1422" s="9691"/>
      <c r="J1422" s="9692"/>
      <c r="K1422" s="6141"/>
      <c r="L1422" s="6801"/>
      <c r="M1422" s="7305"/>
      <c r="N1422" s="6880"/>
      <c r="O1422" s="7305"/>
      <c r="P1422" s="6880"/>
      <c r="Q1422" s="7305"/>
      <c r="R1422" s="7693" t="s">
        <v>31</v>
      </c>
      <c r="S1422" s="7691"/>
      <c r="T1422" s="7699"/>
      <c r="U1422" s="508"/>
      <c r="V1422" s="99" t="s">
        <v>737</v>
      </c>
      <c r="W1422" s="547" t="s">
        <v>800</v>
      </c>
      <c r="X1422" s="547"/>
      <c r="Y1422" s="99"/>
      <c r="Z1422" s="277"/>
      <c r="AA1422" s="265"/>
      <c r="AB1422" s="187"/>
    </row>
    <row r="1423" spans="1:31" ht="19.350000000000001" customHeight="1">
      <c r="A1423" s="11"/>
      <c r="B1423" s="1360"/>
      <c r="C1423" s="915"/>
      <c r="D1423" s="9584" t="s">
        <v>1170</v>
      </c>
      <c r="E1423" s="9585"/>
      <c r="F1423" s="6683" t="s">
        <v>742</v>
      </c>
      <c r="G1423" s="6697"/>
      <c r="H1423" s="6697"/>
      <c r="I1423" s="9584" t="s">
        <v>1171</v>
      </c>
      <c r="J1423" s="9585"/>
      <c r="K1423" s="6683" t="s">
        <v>734</v>
      </c>
      <c r="L1423" s="7111">
        <f>IF(COUNTBLANK(L1424:L1429)&gt;0,"미취합법인有",SUM(L1424:L1429))</f>
        <v>64</v>
      </c>
      <c r="M1423" s="7279"/>
      <c r="N1423" s="7115">
        <f>IF(COUNTBLANK(N1424:N1429)&gt;0,"미취합법인有",SUM(N1424:N1429))</f>
        <v>64</v>
      </c>
      <c r="O1423" s="7385"/>
      <c r="P1423" s="7121">
        <f>IF(COUNTBLANK(P1424:P1429)&gt;0,"미취합법인有",SUM(P1424:P1429))</f>
        <v>22</v>
      </c>
      <c r="Q1423" s="7029"/>
      <c r="R1423" s="7037" t="s">
        <v>31</v>
      </c>
      <c r="S1423" s="7049"/>
      <c r="T1423" s="7050" t="s">
        <v>1172</v>
      </c>
      <c r="U1423" s="276" t="s">
        <v>1173</v>
      </c>
      <c r="V1423" s="99" t="s">
        <v>737</v>
      </c>
      <c r="W1423" s="547" t="s">
        <v>800</v>
      </c>
      <c r="X1423" s="547"/>
      <c r="Y1423" s="99"/>
      <c r="Z1423" s="277" t="s">
        <v>1174</v>
      </c>
      <c r="AA1423" s="265"/>
      <c r="AB1423" s="187"/>
      <c r="AE1423" s="1377"/>
    </row>
    <row r="1424" spans="1:31" ht="20.100000000000001" customHeight="1">
      <c r="A1424" s="11"/>
      <c r="B1424" s="1360"/>
      <c r="C1424" s="5598"/>
      <c r="D1424" s="9598" t="s">
        <v>134</v>
      </c>
      <c r="E1424" s="9600"/>
      <c r="F1424" s="285" t="s">
        <v>742</v>
      </c>
      <c r="G1424" s="666"/>
      <c r="H1424" s="666"/>
      <c r="I1424" s="9579" t="s">
        <v>135</v>
      </c>
      <c r="J1424" s="9581"/>
      <c r="K1424" s="105" t="s">
        <v>734</v>
      </c>
      <c r="L1424" s="7166">
        <v>39</v>
      </c>
      <c r="M1424" s="7306" t="s">
        <v>1175</v>
      </c>
      <c r="N1424" s="7162">
        <v>40</v>
      </c>
      <c r="O1424" s="7312" t="s">
        <v>1176</v>
      </c>
      <c r="P1424" s="7167">
        <v>1</v>
      </c>
      <c r="Q1424" s="7421"/>
      <c r="R1424" s="6661" t="s">
        <v>31</v>
      </c>
      <c r="S1424" s="6600"/>
      <c r="T1424" s="276"/>
      <c r="U1424" s="276"/>
      <c r="V1424" s="309"/>
      <c r="W1424" s="547"/>
      <c r="X1424" s="547"/>
      <c r="Y1424" s="309"/>
      <c r="Z1424" s="277"/>
      <c r="AA1424" s="277"/>
      <c r="AB1424" s="187"/>
    </row>
    <row r="1425" spans="1:31" ht="20.100000000000001" customHeight="1">
      <c r="A1425" s="11"/>
      <c r="B1425" s="1360"/>
      <c r="C1425" s="5598"/>
      <c r="D1425" s="9598" t="s">
        <v>137</v>
      </c>
      <c r="E1425" s="9600"/>
      <c r="F1425" s="285" t="s">
        <v>742</v>
      </c>
      <c r="G1425" s="666"/>
      <c r="H1425" s="666"/>
      <c r="I1425" s="9579" t="s">
        <v>138</v>
      </c>
      <c r="J1425" s="9581"/>
      <c r="K1425" s="105" t="s">
        <v>734</v>
      </c>
      <c r="L1425" s="7113">
        <v>1</v>
      </c>
      <c r="M1425" s="7288" t="s">
        <v>1177</v>
      </c>
      <c r="N1425" s="7118">
        <v>3</v>
      </c>
      <c r="O1425" s="7393" t="s">
        <v>1934</v>
      </c>
      <c r="P1425" s="7157">
        <f>'4DPLEX'!AA286</f>
        <v>3</v>
      </c>
      <c r="Q1425" s="7421"/>
      <c r="R1425" s="6661" t="s">
        <v>31</v>
      </c>
      <c r="S1425" s="6600"/>
      <c r="T1425" s="276"/>
      <c r="U1425" s="276"/>
      <c r="V1425" s="309"/>
      <c r="W1425" s="547"/>
      <c r="X1425" s="547"/>
      <c r="Y1425" s="309"/>
      <c r="Z1425" s="277"/>
      <c r="AA1425" s="277"/>
      <c r="AB1425" s="187"/>
    </row>
    <row r="1426" spans="1:31" ht="20.100000000000001" customHeight="1">
      <c r="A1426" s="11"/>
      <c r="B1426" s="1360"/>
      <c r="C1426" s="5598"/>
      <c r="D1426" s="9598" t="s">
        <v>140</v>
      </c>
      <c r="E1426" s="9600"/>
      <c r="F1426" s="285" t="s">
        <v>742</v>
      </c>
      <c r="G1426" s="666"/>
      <c r="H1426" s="666"/>
      <c r="I1426" s="9582" t="s">
        <v>141</v>
      </c>
      <c r="J1426" s="9583"/>
      <c r="K1426" s="105" t="s">
        <v>734</v>
      </c>
      <c r="L1426" s="7166">
        <f>China!AO312</f>
        <v>2</v>
      </c>
      <c r="M1426" s="7306" t="s">
        <v>1179</v>
      </c>
      <c r="N1426" s="7162">
        <f>China!AQ312</f>
        <v>2</v>
      </c>
      <c r="O1426" s="7306" t="s">
        <v>1179</v>
      </c>
      <c r="P1426" s="7134">
        <f>China!AS312</f>
        <v>2</v>
      </c>
      <c r="Q1426" s="7487" t="s">
        <v>1179</v>
      </c>
      <c r="R1426" s="6661" t="s">
        <v>31</v>
      </c>
      <c r="S1426" s="6600"/>
      <c r="T1426" s="276"/>
      <c r="U1426" s="276"/>
      <c r="V1426" s="309"/>
      <c r="W1426" s="547"/>
      <c r="X1426" s="547"/>
      <c r="Y1426" s="309"/>
      <c r="Z1426" s="277"/>
      <c r="AA1426" s="277"/>
      <c r="AB1426" s="187"/>
    </row>
    <row r="1427" spans="1:31" ht="20.100000000000001" customHeight="1">
      <c r="A1427" s="11"/>
      <c r="B1427" s="1360"/>
      <c r="C1427" s="614"/>
      <c r="D1427" s="9598" t="s">
        <v>143</v>
      </c>
      <c r="E1427" s="9600"/>
      <c r="F1427" s="285" t="s">
        <v>742</v>
      </c>
      <c r="G1427" s="666"/>
      <c r="H1427" s="666"/>
      <c r="I1427" s="9582" t="s">
        <v>144</v>
      </c>
      <c r="J1427" s="9583"/>
      <c r="K1427" s="105" t="s">
        <v>734</v>
      </c>
      <c r="L1427" s="7166">
        <f>Vietnam!Q312</f>
        <v>0</v>
      </c>
      <c r="M1427" s="7306"/>
      <c r="N1427" s="7162">
        <f>Vietnam!S312</f>
        <v>0</v>
      </c>
      <c r="O1427" s="7312"/>
      <c r="P1427" s="7167">
        <f>Vietnam!U312</f>
        <v>0</v>
      </c>
      <c r="Q1427" s="7421"/>
      <c r="R1427" s="6661" t="s">
        <v>31</v>
      </c>
      <c r="S1427" s="6600"/>
      <c r="T1427" s="276"/>
      <c r="U1427" s="276"/>
      <c r="V1427" s="309"/>
      <c r="W1427" s="547"/>
      <c r="X1427" s="547"/>
      <c r="Y1427" s="309"/>
      <c r="Z1427" s="277"/>
      <c r="AA1427" s="277"/>
      <c r="AB1427" s="187"/>
    </row>
    <row r="1428" spans="1:31" ht="20.100000000000001" customHeight="1">
      <c r="A1428" s="11"/>
      <c r="B1428" s="1360"/>
      <c r="C1428" s="5598"/>
      <c r="D1428" s="9598" t="s">
        <v>146</v>
      </c>
      <c r="E1428" s="9600"/>
      <c r="F1428" s="285" t="s">
        <v>742</v>
      </c>
      <c r="G1428" s="666"/>
      <c r="H1428" s="666"/>
      <c r="I1428" s="9582" t="s">
        <v>147</v>
      </c>
      <c r="J1428" s="9583"/>
      <c r="K1428" s="105" t="s">
        <v>734</v>
      </c>
      <c r="L1428" s="7166">
        <v>0</v>
      </c>
      <c r="M1428" s="7306"/>
      <c r="N1428" s="7162">
        <v>0</v>
      </c>
      <c r="O1428" s="7312"/>
      <c r="P1428" s="7167">
        <v>0</v>
      </c>
      <c r="Q1428" s="7421"/>
      <c r="R1428" s="6661" t="s">
        <v>31</v>
      </c>
      <c r="S1428" s="6600"/>
      <c r="T1428" s="276"/>
      <c r="U1428" s="276"/>
      <c r="V1428" s="309"/>
      <c r="W1428" s="547"/>
      <c r="X1428" s="547"/>
      <c r="Y1428" s="309"/>
      <c r="Z1428" s="277"/>
      <c r="AA1428" s="277"/>
      <c r="AB1428" s="187"/>
    </row>
    <row r="1429" spans="1:31" ht="20.100000000000001" customHeight="1">
      <c r="A1429" s="11"/>
      <c r="B1429" s="1360"/>
      <c r="C1429" s="5598"/>
      <c r="D1429" s="9598" t="s">
        <v>149</v>
      </c>
      <c r="E1429" s="9600"/>
      <c r="F1429" s="285" t="s">
        <v>742</v>
      </c>
      <c r="G1429" s="666"/>
      <c r="H1429" s="666"/>
      <c r="I1429" s="9582" t="s">
        <v>150</v>
      </c>
      <c r="J1429" s="9583"/>
      <c r="K1429" s="105" t="s">
        <v>734</v>
      </c>
      <c r="L1429" s="7166">
        <v>22</v>
      </c>
      <c r="M1429" s="7306"/>
      <c r="N1429" s="7162">
        <v>19</v>
      </c>
      <c r="O1429" s="7306"/>
      <c r="P1429" s="7162">
        <v>16</v>
      </c>
      <c r="Q1429" s="7421"/>
      <c r="R1429" s="6661" t="s">
        <v>31</v>
      </c>
      <c r="S1429" s="6600"/>
      <c r="T1429" s="276"/>
      <c r="U1429" s="276"/>
      <c r="V1429" s="309"/>
      <c r="W1429" s="547"/>
      <c r="X1429" s="547"/>
      <c r="Y1429" s="309"/>
      <c r="Z1429" s="277"/>
      <c r="AA1429" s="277"/>
      <c r="AB1429" s="187"/>
    </row>
    <row r="1430" spans="1:31" ht="19.350000000000001" customHeight="1">
      <c r="A1430" s="11"/>
      <c r="B1430" s="1360"/>
      <c r="C1430" s="921"/>
      <c r="D1430" s="9584" t="s">
        <v>1180</v>
      </c>
      <c r="E1430" s="9585"/>
      <c r="F1430" s="6683" t="s">
        <v>742</v>
      </c>
      <c r="G1430" s="6697"/>
      <c r="H1430" s="6697"/>
      <c r="I1430" s="9584" t="s">
        <v>1181</v>
      </c>
      <c r="J1430" s="9585"/>
      <c r="K1430" s="6683" t="s">
        <v>734</v>
      </c>
      <c r="L1430" s="7111">
        <f>IF(COUNTBLANK(L1431:L1436)&gt;0,"미취합법인有",SUM(L1431:L1436))</f>
        <v>28</v>
      </c>
      <c r="M1430" s="7279"/>
      <c r="N1430" s="7115">
        <f>IF(COUNTBLANK(N1431:N1436)&gt;0,"미취합법인有",SUM(N1431:N1436))</f>
        <v>23</v>
      </c>
      <c r="O1430" s="7385"/>
      <c r="P1430" s="7121">
        <f>IF(COUNTBLANK(P1431:P1436)&gt;0,"미취합법인有",SUM(P1431:P1436))</f>
        <v>22</v>
      </c>
      <c r="Q1430" s="7029"/>
      <c r="R1430" s="7037" t="s">
        <v>31</v>
      </c>
      <c r="S1430" s="7049"/>
      <c r="T1430" s="7050" t="s">
        <v>1172</v>
      </c>
      <c r="U1430" s="276" t="s">
        <v>1173</v>
      </c>
      <c r="V1430" s="99" t="s">
        <v>737</v>
      </c>
      <c r="W1430" s="547" t="s">
        <v>800</v>
      </c>
      <c r="X1430" s="547"/>
      <c r="Y1430" s="99"/>
      <c r="Z1430" s="277" t="s">
        <v>1182</v>
      </c>
      <c r="AA1430" s="265"/>
      <c r="AB1430" s="187"/>
      <c r="AE1430" s="1377"/>
    </row>
    <row r="1431" spans="1:31" ht="20.100000000000001" customHeight="1">
      <c r="A1431" s="11"/>
      <c r="B1431" s="1360"/>
      <c r="C1431" s="5598"/>
      <c r="D1431" s="9598" t="s">
        <v>134</v>
      </c>
      <c r="E1431" s="9600"/>
      <c r="F1431" s="285" t="s">
        <v>742</v>
      </c>
      <c r="G1431" s="666"/>
      <c r="H1431" s="666"/>
      <c r="I1431" s="9579" t="s">
        <v>135</v>
      </c>
      <c r="J1431" s="9581"/>
      <c r="K1431" s="105" t="s">
        <v>734</v>
      </c>
      <c r="L1431" s="7166">
        <v>28</v>
      </c>
      <c r="M1431" s="7306" t="s">
        <v>1183</v>
      </c>
      <c r="N1431" s="7162">
        <v>23</v>
      </c>
      <c r="O1431" s="7312" t="s">
        <v>1184</v>
      </c>
      <c r="P1431" s="7167">
        <v>22</v>
      </c>
      <c r="Q1431" s="7421"/>
      <c r="R1431" s="6661" t="s">
        <v>31</v>
      </c>
      <c r="S1431" s="6600"/>
      <c r="T1431" s="276"/>
      <c r="U1431" s="276"/>
      <c r="V1431" s="309"/>
      <c r="W1431" s="547"/>
      <c r="X1431" s="547"/>
      <c r="Y1431" s="309"/>
      <c r="Z1431" s="277"/>
      <c r="AA1431" s="277"/>
      <c r="AB1431" s="187"/>
    </row>
    <row r="1432" spans="1:31" ht="20.100000000000001" customHeight="1">
      <c r="A1432" s="11"/>
      <c r="B1432" s="1360"/>
      <c r="C1432" s="5598"/>
      <c r="D1432" s="9598" t="s">
        <v>137</v>
      </c>
      <c r="E1432" s="9600"/>
      <c r="F1432" s="285" t="s">
        <v>742</v>
      </c>
      <c r="G1432" s="666"/>
      <c r="H1432" s="666"/>
      <c r="I1432" s="9579" t="s">
        <v>138</v>
      </c>
      <c r="J1432" s="9581"/>
      <c r="K1432" s="105" t="s">
        <v>734</v>
      </c>
      <c r="L1432" s="7113">
        <f>'4DPLEX'!W287</f>
        <v>0</v>
      </c>
      <c r="M1432" s="7288"/>
      <c r="N1432" s="7118">
        <f>'4DPLEX'!Y287</f>
        <v>0</v>
      </c>
      <c r="O1432" s="7393"/>
      <c r="P1432" s="7157">
        <f>'4DPLEX'!AA287</f>
        <v>0</v>
      </c>
      <c r="Q1432" s="7421"/>
      <c r="R1432" s="6661" t="s">
        <v>31</v>
      </c>
      <c r="S1432" s="6600"/>
      <c r="T1432" s="276"/>
      <c r="U1432" s="276"/>
      <c r="V1432" s="309"/>
      <c r="W1432" s="547"/>
      <c r="X1432" s="547"/>
      <c r="Y1432" s="309"/>
      <c r="Z1432" s="277"/>
      <c r="AA1432" s="277"/>
      <c r="AB1432" s="187"/>
    </row>
    <row r="1433" spans="1:31" ht="20.100000000000001" customHeight="1">
      <c r="A1433" s="11"/>
      <c r="B1433" s="1360"/>
      <c r="C1433" s="5598"/>
      <c r="D1433" s="9598" t="s">
        <v>140</v>
      </c>
      <c r="E1433" s="9600"/>
      <c r="F1433" s="285" t="s">
        <v>742</v>
      </c>
      <c r="G1433" s="666"/>
      <c r="H1433" s="666"/>
      <c r="I1433" s="9582" t="s">
        <v>141</v>
      </c>
      <c r="J1433" s="9583"/>
      <c r="K1433" s="105" t="s">
        <v>734</v>
      </c>
      <c r="L1433" s="7166">
        <f>China!AO313</f>
        <v>0</v>
      </c>
      <c r="M1433" s="7306"/>
      <c r="N1433" s="7162">
        <f>China!AQ313</f>
        <v>0</v>
      </c>
      <c r="O1433" s="7312"/>
      <c r="P1433" s="7167">
        <f>China!AS313</f>
        <v>0</v>
      </c>
      <c r="Q1433" s="7421"/>
      <c r="R1433" s="6661" t="s">
        <v>31</v>
      </c>
      <c r="S1433" s="6600"/>
      <c r="T1433" s="276"/>
      <c r="U1433" s="276"/>
      <c r="V1433" s="309"/>
      <c r="W1433" s="547"/>
      <c r="X1433" s="547"/>
      <c r="Y1433" s="309"/>
      <c r="Z1433" s="277"/>
      <c r="AA1433" s="277"/>
      <c r="AB1433" s="187"/>
      <c r="AE1433" s="1377" t="s">
        <v>1185</v>
      </c>
    </row>
    <row r="1434" spans="1:31" ht="20.100000000000001" customHeight="1">
      <c r="A1434" s="11"/>
      <c r="B1434" s="1360"/>
      <c r="C1434" s="614"/>
      <c r="D1434" s="9598" t="s">
        <v>143</v>
      </c>
      <c r="E1434" s="9600"/>
      <c r="F1434" s="285" t="s">
        <v>742</v>
      </c>
      <c r="G1434" s="666"/>
      <c r="H1434" s="666"/>
      <c r="I1434" s="9582" t="s">
        <v>144</v>
      </c>
      <c r="J1434" s="9583"/>
      <c r="K1434" s="105" t="s">
        <v>734</v>
      </c>
      <c r="L1434" s="7166">
        <f>Vietnam!Q313</f>
        <v>0</v>
      </c>
      <c r="M1434" s="7306"/>
      <c r="N1434" s="7162">
        <f>Vietnam!S313</f>
        <v>0</v>
      </c>
      <c r="O1434" s="7312"/>
      <c r="P1434" s="7167">
        <f>Vietnam!U313</f>
        <v>0</v>
      </c>
      <c r="Q1434" s="7421"/>
      <c r="R1434" s="6661" t="s">
        <v>31</v>
      </c>
      <c r="S1434" s="6600"/>
      <c r="T1434" s="276"/>
      <c r="U1434" s="276"/>
      <c r="V1434" s="309"/>
      <c r="W1434" s="547"/>
      <c r="X1434" s="547"/>
      <c r="Y1434" s="309"/>
      <c r="Z1434" s="277"/>
      <c r="AA1434" s="277"/>
      <c r="AB1434" s="187"/>
      <c r="AE1434" s="1377" t="s">
        <v>1185</v>
      </c>
    </row>
    <row r="1435" spans="1:31" ht="20.100000000000001" customHeight="1">
      <c r="A1435" s="11"/>
      <c r="B1435" s="1360"/>
      <c r="C1435" s="5598"/>
      <c r="D1435" s="9598" t="s">
        <v>146</v>
      </c>
      <c r="E1435" s="9600"/>
      <c r="F1435" s="285" t="s">
        <v>742</v>
      </c>
      <c r="G1435" s="666"/>
      <c r="H1435" s="666"/>
      <c r="I1435" s="9582" t="s">
        <v>147</v>
      </c>
      <c r="J1435" s="9583"/>
      <c r="K1435" s="105" t="s">
        <v>734</v>
      </c>
      <c r="L1435" s="7166">
        <v>0</v>
      </c>
      <c r="M1435" s="7306"/>
      <c r="N1435" s="7162">
        <v>0</v>
      </c>
      <c r="O1435" s="7312"/>
      <c r="P1435" s="7167">
        <v>0</v>
      </c>
      <c r="Q1435" s="7421"/>
      <c r="R1435" s="6661" t="s">
        <v>31</v>
      </c>
      <c r="S1435" s="6600"/>
      <c r="T1435" s="276"/>
      <c r="U1435" s="276"/>
      <c r="V1435" s="309"/>
      <c r="W1435" s="547"/>
      <c r="X1435" s="547"/>
      <c r="Y1435" s="309"/>
      <c r="Z1435" s="277"/>
      <c r="AA1435" s="277"/>
      <c r="AB1435" s="187"/>
      <c r="AE1435" s="1377" t="s">
        <v>1185</v>
      </c>
    </row>
    <row r="1436" spans="1:31" ht="20.100000000000001" customHeight="1">
      <c r="A1436" s="11"/>
      <c r="B1436" s="1360"/>
      <c r="C1436" s="5598"/>
      <c r="D1436" s="9598" t="s">
        <v>149</v>
      </c>
      <c r="E1436" s="9600"/>
      <c r="F1436" s="285" t="s">
        <v>742</v>
      </c>
      <c r="G1436" s="666"/>
      <c r="H1436" s="666"/>
      <c r="I1436" s="9582" t="s">
        <v>150</v>
      </c>
      <c r="J1436" s="9583"/>
      <c r="K1436" s="105" t="s">
        <v>734</v>
      </c>
      <c r="L1436" s="7171" t="s">
        <v>168</v>
      </c>
      <c r="M1436" s="7288" t="s">
        <v>640</v>
      </c>
      <c r="N1436" s="7118" t="s">
        <v>168</v>
      </c>
      <c r="O1436" s="7288" t="s">
        <v>640</v>
      </c>
      <c r="P1436" s="7118" t="s">
        <v>168</v>
      </c>
      <c r="Q1436" s="7261" t="s">
        <v>640</v>
      </c>
      <c r="R1436" s="6661" t="s">
        <v>31</v>
      </c>
      <c r="S1436" s="6600"/>
      <c r="T1436" s="2483"/>
      <c r="U1436" s="544"/>
      <c r="V1436" s="545"/>
      <c r="W1436" s="546"/>
      <c r="X1436" s="547"/>
      <c r="Y1436" s="548"/>
      <c r="Z1436" s="277"/>
      <c r="AA1436" s="277"/>
      <c r="AB1436" s="187"/>
      <c r="AE1436" s="1377" t="s">
        <v>1185</v>
      </c>
    </row>
    <row r="1437" spans="1:31" ht="19.350000000000001" customHeight="1">
      <c r="A1437" s="11"/>
      <c r="B1437" s="1353"/>
      <c r="C1437" s="6138" t="s">
        <v>1186</v>
      </c>
      <c r="D1437" s="6139"/>
      <c r="E1437" s="6139"/>
      <c r="F1437" s="6185"/>
      <c r="G1437" s="6185"/>
      <c r="H1437" s="6185" t="s">
        <v>1187</v>
      </c>
      <c r="I1437" s="6185"/>
      <c r="J1437" s="6185"/>
      <c r="K1437" s="6141"/>
      <c r="L1437" s="6801"/>
      <c r="M1437" s="7305"/>
      <c r="N1437" s="6880"/>
      <c r="O1437" s="7305"/>
      <c r="P1437" s="6880"/>
      <c r="Q1437" s="7691"/>
      <c r="R1437" s="7693" t="s">
        <v>31</v>
      </c>
      <c r="S1437" s="7703"/>
      <c r="T1437" s="7712" t="s">
        <v>1935</v>
      </c>
      <c r="U1437" s="24"/>
      <c r="V1437" s="99" t="s">
        <v>737</v>
      </c>
      <c r="W1437" s="547"/>
      <c r="X1437" s="547"/>
      <c r="Y1437" s="99"/>
      <c r="Z1437" s="277"/>
      <c r="AA1437" s="277"/>
      <c r="AB1437" s="187"/>
    </row>
    <row r="1438" spans="1:31" ht="19.350000000000001" customHeight="1">
      <c r="A1438" s="11"/>
      <c r="B1438" s="1360"/>
      <c r="C1438" s="915"/>
      <c r="D1438" s="9584" t="s">
        <v>1188</v>
      </c>
      <c r="E1438" s="9585"/>
      <c r="F1438" s="6683" t="s">
        <v>156</v>
      </c>
      <c r="G1438" s="7051"/>
      <c r="H1438" s="7052"/>
      <c r="I1438" s="9584" t="s">
        <v>1189</v>
      </c>
      <c r="J1438" s="9585"/>
      <c r="K1438" s="6683" t="s">
        <v>156</v>
      </c>
      <c r="L1438" s="7016" t="str">
        <f>IF(COUNTBLANK(L1439:L1444)&gt;0,"미취합법인有",AVERAGE(L1439:L1444))</f>
        <v>미취합법인有</v>
      </c>
      <c r="M1438" s="7026"/>
      <c r="N1438" s="7001">
        <f>IF(COUNTBLANK(N1439:N1444)&gt;0,"미취합법인有",AVERAGE(N1439:N1444))</f>
        <v>79.405903356978811</v>
      </c>
      <c r="O1438" s="7384"/>
      <c r="P1438" s="7002" t="str">
        <f>IF(COUNTBLANK(P1439:P1444)&gt;0,"미취합법인有",AVERAGE(P1439:P1444))</f>
        <v>미취합법인有</v>
      </c>
      <c r="Q1438" s="7029"/>
      <c r="R1438" s="7037" t="s">
        <v>31</v>
      </c>
      <c r="S1438" s="7007"/>
      <c r="T1438" s="7008" t="s">
        <v>1936</v>
      </c>
      <c r="U1438" s="276" t="s">
        <v>1191</v>
      </c>
      <c r="V1438" s="99" t="s">
        <v>737</v>
      </c>
      <c r="W1438" s="547"/>
      <c r="X1438" s="547"/>
      <c r="Y1438" s="99"/>
      <c r="Z1438" s="277" t="s">
        <v>1192</v>
      </c>
      <c r="AA1438" s="277" t="s">
        <v>1193</v>
      </c>
      <c r="AB1438" s="187"/>
    </row>
    <row r="1439" spans="1:31" ht="20.100000000000001" customHeight="1">
      <c r="A1439" s="11"/>
      <c r="B1439" s="1360"/>
      <c r="C1439" s="5598"/>
      <c r="D1439" s="9598" t="s">
        <v>134</v>
      </c>
      <c r="E1439" s="9600"/>
      <c r="F1439" s="285" t="s">
        <v>156</v>
      </c>
      <c r="G1439" s="666"/>
      <c r="H1439" s="684"/>
      <c r="I1439" s="9579" t="s">
        <v>135</v>
      </c>
      <c r="J1439" s="9581"/>
      <c r="K1439" s="105" t="s">
        <v>156</v>
      </c>
      <c r="L1439" s="6794">
        <v>88.722466960352421</v>
      </c>
      <c r="M1439" s="7303"/>
      <c r="N1439" s="6881">
        <v>94.895168641750232</v>
      </c>
      <c r="O1439" s="7402"/>
      <c r="P1439" s="6886">
        <v>95.211786372007396</v>
      </c>
      <c r="Q1439" s="7421"/>
      <c r="R1439" s="6661" t="s">
        <v>31</v>
      </c>
      <c r="S1439" s="6591"/>
      <c r="T1439" s="2483"/>
      <c r="U1439" s="544"/>
      <c r="V1439" s="545"/>
      <c r="W1439" s="546"/>
      <c r="X1439" s="547"/>
      <c r="Y1439" s="548"/>
      <c r="Z1439" s="277"/>
      <c r="AA1439" s="277"/>
      <c r="AB1439" s="187"/>
    </row>
    <row r="1440" spans="1:31" ht="20.100000000000001" customHeight="1">
      <c r="A1440" s="11"/>
      <c r="B1440" s="1360"/>
      <c r="C1440" s="5598"/>
      <c r="D1440" s="9598" t="s">
        <v>137</v>
      </c>
      <c r="E1440" s="9600"/>
      <c r="F1440" s="285" t="s">
        <v>156</v>
      </c>
      <c r="G1440" s="666"/>
      <c r="H1440" s="684"/>
      <c r="I1440" s="9579" t="s">
        <v>138</v>
      </c>
      <c r="J1440" s="9581"/>
      <c r="K1440" s="105" t="s">
        <v>156</v>
      </c>
      <c r="L1440" s="6759"/>
      <c r="M1440" s="7307"/>
      <c r="N1440" s="6859">
        <f>'4DPLEX'!Y288</f>
        <v>67.532467532467535</v>
      </c>
      <c r="O1440" s="7403"/>
      <c r="P1440" s="6952"/>
      <c r="Q1440" s="7421"/>
      <c r="R1440" s="6661" t="s">
        <v>31</v>
      </c>
      <c r="S1440" s="6591"/>
      <c r="T1440" s="2483"/>
      <c r="U1440" s="544"/>
      <c r="V1440" s="545"/>
      <c r="W1440" s="546"/>
      <c r="X1440" s="547"/>
      <c r="Y1440" s="548"/>
      <c r="Z1440" s="277"/>
      <c r="AA1440" s="277"/>
      <c r="AB1440" s="187"/>
    </row>
    <row r="1441" spans="1:29" ht="20.100000000000001" customHeight="1">
      <c r="A1441" s="11"/>
      <c r="B1441" s="1360"/>
      <c r="C1441" s="5598"/>
      <c r="D1441" s="9598" t="s">
        <v>140</v>
      </c>
      <c r="E1441" s="9600"/>
      <c r="F1441" s="285" t="s">
        <v>156</v>
      </c>
      <c r="G1441" s="666"/>
      <c r="H1441" s="684"/>
      <c r="I1441" s="9582" t="s">
        <v>141</v>
      </c>
      <c r="J1441" s="9583"/>
      <c r="K1441" s="105" t="s">
        <v>156</v>
      </c>
      <c r="L1441" s="6794">
        <f>China!AO315</f>
        <v>92.694497153700198</v>
      </c>
      <c r="M1441" s="7303"/>
      <c r="N1441" s="6881">
        <v>94.71947194719472</v>
      </c>
      <c r="O1441" s="7402"/>
      <c r="P1441" s="6886">
        <v>91</v>
      </c>
      <c r="Q1441" s="7421"/>
      <c r="R1441" s="6661" t="s">
        <v>31</v>
      </c>
      <c r="S1441" s="6591"/>
      <c r="T1441" s="2483"/>
      <c r="U1441" s="544"/>
      <c r="V1441" s="545"/>
      <c r="W1441" s="546"/>
      <c r="X1441" s="547"/>
      <c r="Y1441" s="548"/>
      <c r="Z1441" s="277"/>
      <c r="AA1441" s="277"/>
      <c r="AB1441" s="187"/>
    </row>
    <row r="1442" spans="1:29" ht="20.100000000000001" customHeight="1">
      <c r="A1442" s="11"/>
      <c r="B1442" s="1360"/>
      <c r="C1442" s="614"/>
      <c r="D1442" s="9598" t="s">
        <v>143</v>
      </c>
      <c r="E1442" s="9600"/>
      <c r="F1442" s="285" t="s">
        <v>156</v>
      </c>
      <c r="G1442" s="666"/>
      <c r="H1442" s="684"/>
      <c r="I1442" s="9582" t="s">
        <v>144</v>
      </c>
      <c r="J1442" s="9583"/>
      <c r="K1442" s="105" t="s">
        <v>156</v>
      </c>
      <c r="L1442" s="6794">
        <v>94.86</v>
      </c>
      <c r="M1442" s="7303" t="s">
        <v>1194</v>
      </c>
      <c r="N1442" s="6881">
        <v>93.93</v>
      </c>
      <c r="O1442" s="7402"/>
      <c r="P1442" s="6886">
        <v>96.33</v>
      </c>
      <c r="Q1442" s="7421" t="s">
        <v>1195</v>
      </c>
      <c r="R1442" s="6661" t="s">
        <v>31</v>
      </c>
      <c r="S1442" s="6591"/>
      <c r="T1442" s="2483"/>
      <c r="U1442" s="544"/>
      <c r="V1442" s="545"/>
      <c r="W1442" s="546"/>
      <c r="X1442" s="547"/>
      <c r="Y1442" s="548"/>
      <c r="Z1442" s="277"/>
      <c r="AA1442" s="277"/>
      <c r="AB1442" s="187"/>
      <c r="AC1442" s="6303"/>
    </row>
    <row r="1443" spans="1:29" ht="20.100000000000001" customHeight="1">
      <c r="A1443" s="11"/>
      <c r="B1443" s="1360"/>
      <c r="C1443" s="5598"/>
      <c r="D1443" s="9598" t="s">
        <v>146</v>
      </c>
      <c r="E1443" s="9600"/>
      <c r="F1443" s="285" t="s">
        <v>156</v>
      </c>
      <c r="G1443" s="666"/>
      <c r="H1443" s="684"/>
      <c r="I1443" s="9582" t="s">
        <v>147</v>
      </c>
      <c r="J1443" s="9583"/>
      <c r="K1443" s="105" t="s">
        <v>156</v>
      </c>
      <c r="L1443" s="6794">
        <f>Indonesia!V315</f>
        <v>95.778364116094977</v>
      </c>
      <c r="M1443" s="7303"/>
      <c r="N1443" s="6881">
        <f>Indonesia!X315</f>
        <v>89.258312020460366</v>
      </c>
      <c r="O1443" s="7402"/>
      <c r="P1443" s="7713"/>
      <c r="Q1443" s="7421"/>
      <c r="R1443" s="6661" t="s">
        <v>31</v>
      </c>
      <c r="S1443" s="6591"/>
      <c r="T1443" s="2483"/>
      <c r="U1443" s="544"/>
      <c r="V1443" s="545"/>
      <c r="W1443" s="546"/>
      <c r="X1443" s="547"/>
      <c r="Y1443" s="548"/>
      <c r="Z1443" s="277"/>
      <c r="AA1443" s="277"/>
      <c r="AB1443" s="187"/>
    </row>
    <row r="1444" spans="1:29" ht="20.100000000000001" customHeight="1">
      <c r="A1444" s="11"/>
      <c r="B1444" s="1360"/>
      <c r="C1444" s="5598"/>
      <c r="D1444" s="9598" t="s">
        <v>149</v>
      </c>
      <c r="E1444" s="9600"/>
      <c r="F1444" s="285" t="s">
        <v>156</v>
      </c>
      <c r="G1444" s="666"/>
      <c r="H1444" s="684"/>
      <c r="I1444" s="9582" t="s">
        <v>150</v>
      </c>
      <c r="J1444" s="9583"/>
      <c r="K1444" s="105" t="s">
        <v>156</v>
      </c>
      <c r="L1444" s="6764">
        <v>36.950000000000003</v>
      </c>
      <c r="M1444" s="7261"/>
      <c r="N1444" s="6859">
        <v>36.1</v>
      </c>
      <c r="O1444" s="7261"/>
      <c r="P1444" s="6859">
        <v>37.299999999999997</v>
      </c>
      <c r="Q1444" s="7277"/>
      <c r="R1444" s="6661" t="s">
        <v>31</v>
      </c>
      <c r="S1444" s="6574"/>
      <c r="T1444" s="2483"/>
      <c r="U1444" s="544"/>
      <c r="V1444" s="545"/>
      <c r="W1444" s="546"/>
      <c r="X1444" s="547"/>
      <c r="Y1444" s="548"/>
      <c r="Z1444" s="277"/>
      <c r="AA1444" s="277"/>
      <c r="AB1444" s="187"/>
    </row>
    <row r="1445" spans="1:29" ht="19.350000000000001" customHeight="1">
      <c r="A1445" s="11"/>
      <c r="B1445" s="1360"/>
      <c r="C1445" s="915"/>
      <c r="D1445" s="9584" t="s">
        <v>1196</v>
      </c>
      <c r="E1445" s="9585"/>
      <c r="F1445" s="6683" t="s">
        <v>156</v>
      </c>
      <c r="G1445" s="7051"/>
      <c r="H1445" s="7052"/>
      <c r="I1445" s="9584" t="s">
        <v>1197</v>
      </c>
      <c r="J1445" s="9585"/>
      <c r="K1445" s="6683" t="s">
        <v>156</v>
      </c>
      <c r="L1445" s="7016" t="str">
        <f>IF(COUNTBLANK(L1446:L1451)&gt;0,"미취합법인有",AVERAGE(L1446:L1451))</f>
        <v>미취합법인有</v>
      </c>
      <c r="M1445" s="7026"/>
      <c r="N1445" s="7001" t="str">
        <f>IF(COUNTBLANK(N1446:N1451)&gt;0,"미취합법인有",AVERAGE(N1446:N1451))</f>
        <v>미취합법인有</v>
      </c>
      <c r="O1445" s="7384"/>
      <c r="P1445" s="7002" t="str">
        <f>IF(COUNTBLANK(P1446:P1451)&gt;0,"미취합법인有",AVERAGE(P1446:P1451))</f>
        <v>미취합법인有</v>
      </c>
      <c r="Q1445" s="7029"/>
      <c r="R1445" s="7037" t="s">
        <v>31</v>
      </c>
      <c r="S1445" s="7007"/>
      <c r="T1445" s="7008" t="s">
        <v>1937</v>
      </c>
      <c r="U1445" s="276"/>
      <c r="V1445" s="99" t="s">
        <v>737</v>
      </c>
      <c r="W1445" s="547"/>
      <c r="X1445" s="547"/>
      <c r="Y1445" s="99"/>
      <c r="Z1445" s="277" t="s">
        <v>1192</v>
      </c>
      <c r="AA1445" s="277" t="s">
        <v>1193</v>
      </c>
      <c r="AB1445" s="187"/>
    </row>
    <row r="1446" spans="1:29" ht="20.100000000000001" customHeight="1">
      <c r="A1446" s="11"/>
      <c r="B1446" s="1360"/>
      <c r="C1446" s="5598"/>
      <c r="D1446" s="9598" t="s">
        <v>134</v>
      </c>
      <c r="E1446" s="9600"/>
      <c r="F1446" s="285" t="s">
        <v>156</v>
      </c>
      <c r="G1446" s="666"/>
      <c r="H1446" s="684"/>
      <c r="I1446" s="9579" t="s">
        <v>135</v>
      </c>
      <c r="J1446" s="9581"/>
      <c r="K1446" s="105" t="s">
        <v>156</v>
      </c>
      <c r="L1446" s="6794">
        <v>87.224669603524234</v>
      </c>
      <c r="M1446" s="7314"/>
      <c r="N1446" s="6881">
        <v>93.25432999088423</v>
      </c>
      <c r="O1446" s="7407"/>
      <c r="P1446" s="6886">
        <v>93.462246777163898</v>
      </c>
      <c r="Q1446" s="7486"/>
      <c r="R1446" s="6661" t="s">
        <v>31</v>
      </c>
      <c r="S1446" s="6595"/>
      <c r="T1446" s="5994"/>
      <c r="U1446" s="5995"/>
      <c r="V1446" s="5996"/>
      <c r="W1446" s="5997"/>
      <c r="X1446" s="5998"/>
      <c r="Y1446" s="5999"/>
      <c r="Z1446" s="277"/>
      <c r="AA1446" s="277"/>
      <c r="AB1446" s="187"/>
    </row>
    <row r="1447" spans="1:29" ht="20.100000000000001" customHeight="1">
      <c r="A1447" s="11"/>
      <c r="B1447" s="1360"/>
      <c r="C1447" s="5598"/>
      <c r="D1447" s="9598" t="s">
        <v>137</v>
      </c>
      <c r="E1447" s="9600"/>
      <c r="F1447" s="285" t="s">
        <v>156</v>
      </c>
      <c r="G1447" s="666"/>
      <c r="H1447" s="684"/>
      <c r="I1447" s="9579" t="s">
        <v>138</v>
      </c>
      <c r="J1447" s="9581"/>
      <c r="K1447" s="105" t="s">
        <v>156</v>
      </c>
      <c r="L1447" s="6759"/>
      <c r="M1447" s="7314"/>
      <c r="N1447" s="6859">
        <f>'4DPLEX'!Y289</f>
        <v>74.458874458874462</v>
      </c>
      <c r="O1447" s="7408"/>
      <c r="P1447" s="6952"/>
      <c r="Q1447" s="7486"/>
      <c r="R1447" s="6661" t="s">
        <v>31</v>
      </c>
      <c r="S1447" s="6595"/>
      <c r="T1447" s="5994"/>
      <c r="U1447" s="5995"/>
      <c r="V1447" s="5996"/>
      <c r="W1447" s="5997"/>
      <c r="X1447" s="5998"/>
      <c r="Y1447" s="5999"/>
      <c r="Z1447" s="277"/>
      <c r="AA1447" s="277"/>
      <c r="AB1447" s="187"/>
    </row>
    <row r="1448" spans="1:29" ht="20.100000000000001" customHeight="1">
      <c r="A1448" s="11"/>
      <c r="B1448" s="1360"/>
      <c r="C1448" s="5598"/>
      <c r="D1448" s="9598" t="s">
        <v>140</v>
      </c>
      <c r="E1448" s="9600"/>
      <c r="F1448" s="285" t="s">
        <v>156</v>
      </c>
      <c r="G1448" s="666"/>
      <c r="H1448" s="684"/>
      <c r="I1448" s="9582" t="s">
        <v>141</v>
      </c>
      <c r="J1448" s="9583"/>
      <c r="K1448" s="105" t="s">
        <v>156</v>
      </c>
      <c r="L1448" s="6794">
        <f>China!AO316</f>
        <v>92.694497153700198</v>
      </c>
      <c r="M1448" s="7314"/>
      <c r="N1448" s="6881">
        <v>94.71947194719472</v>
      </c>
      <c r="O1448" s="7407"/>
      <c r="P1448" s="6886">
        <v>91</v>
      </c>
      <c r="Q1448" s="7486"/>
      <c r="R1448" s="6661" t="s">
        <v>31</v>
      </c>
      <c r="S1448" s="6595"/>
      <c r="T1448" s="5994"/>
      <c r="U1448" s="5995"/>
      <c r="V1448" s="5996"/>
      <c r="W1448" s="5997"/>
      <c r="X1448" s="5998"/>
      <c r="Y1448" s="5999"/>
      <c r="Z1448" s="277"/>
      <c r="AA1448" s="277"/>
      <c r="AB1448" s="187"/>
    </row>
    <row r="1449" spans="1:29" ht="20.100000000000001" customHeight="1">
      <c r="A1449" s="11"/>
      <c r="B1449" s="1360"/>
      <c r="C1449" s="614"/>
      <c r="D1449" s="9598" t="s">
        <v>143</v>
      </c>
      <c r="E1449" s="9600"/>
      <c r="F1449" s="285" t="s">
        <v>156</v>
      </c>
      <c r="G1449" s="666"/>
      <c r="H1449" s="684"/>
      <c r="I1449" s="9582" t="s">
        <v>144</v>
      </c>
      <c r="J1449" s="9583"/>
      <c r="K1449" s="105" t="s">
        <v>156</v>
      </c>
      <c r="L1449" s="6759"/>
      <c r="M1449" s="7314"/>
      <c r="N1449" s="7711"/>
      <c r="O1449" s="7407"/>
      <c r="P1449" s="7713"/>
      <c r="Q1449" s="7486"/>
      <c r="R1449" s="6661" t="s">
        <v>31</v>
      </c>
      <c r="S1449" s="6595"/>
      <c r="T1449" s="5994"/>
      <c r="U1449" s="5995"/>
      <c r="V1449" s="5996"/>
      <c r="W1449" s="5997"/>
      <c r="X1449" s="5998"/>
      <c r="Y1449" s="5999"/>
      <c r="Z1449" s="277"/>
      <c r="AA1449" s="277"/>
      <c r="AB1449" s="187"/>
    </row>
    <row r="1450" spans="1:29" ht="20.100000000000001" customHeight="1">
      <c r="A1450" s="11"/>
      <c r="B1450" s="1360"/>
      <c r="C1450" s="5598"/>
      <c r="D1450" s="9598" t="s">
        <v>146</v>
      </c>
      <c r="E1450" s="9600"/>
      <c r="F1450" s="285" t="s">
        <v>156</v>
      </c>
      <c r="G1450" s="666"/>
      <c r="H1450" s="684"/>
      <c r="I1450" s="9582" t="s">
        <v>147</v>
      </c>
      <c r="J1450" s="9583"/>
      <c r="K1450" s="105" t="s">
        <v>156</v>
      </c>
      <c r="L1450" s="6794">
        <f>Indonesia!V316</f>
        <v>96.569920844327171</v>
      </c>
      <c r="M1450" s="7314"/>
      <c r="N1450" s="6881">
        <f>Indonesia!X316</f>
        <v>90.025575447570333</v>
      </c>
      <c r="O1450" s="7407"/>
      <c r="P1450" s="7713"/>
      <c r="Q1450" s="7486"/>
      <c r="R1450" s="6661" t="s">
        <v>31</v>
      </c>
      <c r="S1450" s="6595"/>
      <c r="T1450" s="5994"/>
      <c r="U1450" s="5995"/>
      <c r="V1450" s="5996"/>
      <c r="W1450" s="5997"/>
      <c r="X1450" s="5998"/>
      <c r="Y1450" s="5999"/>
      <c r="Z1450" s="277"/>
      <c r="AA1450" s="277"/>
      <c r="AB1450" s="187"/>
    </row>
    <row r="1451" spans="1:29" ht="20.100000000000001" customHeight="1">
      <c r="A1451" s="11"/>
      <c r="B1451" s="1360"/>
      <c r="C1451" s="5598"/>
      <c r="D1451" s="9598" t="s">
        <v>149</v>
      </c>
      <c r="E1451" s="9600"/>
      <c r="F1451" s="285" t="s">
        <v>156</v>
      </c>
      <c r="G1451" s="666"/>
      <c r="H1451" s="684"/>
      <c r="I1451" s="9582" t="s">
        <v>150</v>
      </c>
      <c r="J1451" s="9583"/>
      <c r="K1451" s="105" t="s">
        <v>156</v>
      </c>
      <c r="L1451" s="6764">
        <v>4</v>
      </c>
      <c r="M1451" s="7315"/>
      <c r="N1451" s="6859">
        <v>7</v>
      </c>
      <c r="O1451" s="7315"/>
      <c r="P1451" s="6859">
        <v>7</v>
      </c>
      <c r="Q1451" s="7488"/>
      <c r="R1451" s="6661" t="s">
        <v>31</v>
      </c>
      <c r="S1451" s="6601"/>
      <c r="T1451" s="5994"/>
      <c r="U1451" s="5995"/>
      <c r="V1451" s="5996"/>
      <c r="W1451" s="5997"/>
      <c r="X1451" s="5998"/>
      <c r="Y1451" s="5999"/>
      <c r="Z1451" s="277"/>
      <c r="AA1451" s="277"/>
      <c r="AB1451" s="187"/>
    </row>
    <row r="1452" spans="1:29" ht="19.350000000000001" customHeight="1">
      <c r="A1452" s="11"/>
      <c r="B1452" s="1360"/>
      <c r="C1452" s="921"/>
      <c r="D1452" s="9584" t="s">
        <v>1198</v>
      </c>
      <c r="E1452" s="9585"/>
      <c r="F1452" s="6683" t="s">
        <v>156</v>
      </c>
      <c r="G1452" s="7051"/>
      <c r="H1452" s="7052"/>
      <c r="I1452" s="9584" t="s">
        <v>1199</v>
      </c>
      <c r="J1452" s="9585"/>
      <c r="K1452" s="6683" t="s">
        <v>156</v>
      </c>
      <c r="L1452" s="7016" t="str">
        <f>IF(COUNTBLANK(L1453:L1458)&gt;0,"미취합법인有",AVERAGE(L1453:L1458))</f>
        <v>미취합법인有</v>
      </c>
      <c r="M1452" s="7026"/>
      <c r="N1452" s="7001" t="str">
        <f>IF(COUNTBLANK(N1453:N1458)&gt;0,"미취합법인有",AVERAGE(N1453:N1458))</f>
        <v>미취합법인有</v>
      </c>
      <c r="O1452" s="7384"/>
      <c r="P1452" s="7002" t="str">
        <f>IF(COUNTBLANK(P1453:P1458)&gt;0,"미취합법인有",AVERAGE(P1453:P1458))</f>
        <v>미취합법인有</v>
      </c>
      <c r="Q1452" s="7029"/>
      <c r="R1452" s="7037" t="s">
        <v>31</v>
      </c>
      <c r="S1452" s="7007"/>
      <c r="T1452" s="7008" t="s">
        <v>1938</v>
      </c>
      <c r="U1452" s="4849"/>
      <c r="V1452" s="99" t="s">
        <v>737</v>
      </c>
      <c r="W1452" s="546"/>
      <c r="X1452" s="547"/>
      <c r="Y1452" s="796"/>
      <c r="Z1452" s="277" t="s">
        <v>1192</v>
      </c>
      <c r="AA1452" s="277" t="s">
        <v>1193</v>
      </c>
      <c r="AB1452" s="187"/>
    </row>
    <row r="1453" spans="1:29" ht="20.100000000000001" customHeight="1">
      <c r="A1453" s="11"/>
      <c r="B1453" s="1360"/>
      <c r="C1453" s="5598"/>
      <c r="D1453" s="9598" t="s">
        <v>134</v>
      </c>
      <c r="E1453" s="9600"/>
      <c r="F1453" s="285" t="s">
        <v>156</v>
      </c>
      <c r="G1453" s="666"/>
      <c r="H1453" s="684"/>
      <c r="I1453" s="9579" t="s">
        <v>135</v>
      </c>
      <c r="J1453" s="9581"/>
      <c r="K1453" s="105" t="s">
        <v>156</v>
      </c>
      <c r="L1453" s="6794">
        <v>87.224669603524234</v>
      </c>
      <c r="M1453" s="7303"/>
      <c r="N1453" s="6881">
        <v>93.25432999088423</v>
      </c>
      <c r="O1453" s="7328"/>
      <c r="P1453" s="6886">
        <v>93.093922651933696</v>
      </c>
      <c r="Q1453" s="7421"/>
      <c r="R1453" s="6661" t="s">
        <v>31</v>
      </c>
      <c r="S1453" s="6591"/>
      <c r="T1453" s="2483"/>
      <c r="U1453" s="6248"/>
      <c r="V1453" s="545"/>
      <c r="W1453" s="546"/>
      <c r="X1453" s="547"/>
      <c r="Y1453" s="548"/>
      <c r="Z1453" s="277"/>
      <c r="AA1453" s="277"/>
      <c r="AB1453" s="187"/>
    </row>
    <row r="1454" spans="1:29" ht="20.100000000000001" customHeight="1">
      <c r="A1454" s="11"/>
      <c r="B1454" s="1360"/>
      <c r="C1454" s="5598"/>
      <c r="D1454" s="9598" t="s">
        <v>137</v>
      </c>
      <c r="E1454" s="9600"/>
      <c r="F1454" s="285" t="s">
        <v>156</v>
      </c>
      <c r="G1454" s="666"/>
      <c r="H1454" s="684"/>
      <c r="I1454" s="9579" t="s">
        <v>138</v>
      </c>
      <c r="J1454" s="9581"/>
      <c r="K1454" s="105" t="s">
        <v>156</v>
      </c>
      <c r="L1454" s="6759"/>
      <c r="M1454" s="7303"/>
      <c r="N1454" s="6859">
        <f>'4DPLEX'!Y290</f>
        <v>67.099567099567111</v>
      </c>
      <c r="O1454" s="7403"/>
      <c r="P1454" s="6952"/>
      <c r="Q1454" s="7421"/>
      <c r="R1454" s="6661" t="s">
        <v>31</v>
      </c>
      <c r="S1454" s="6591"/>
      <c r="T1454" s="2483"/>
      <c r="U1454" s="544"/>
      <c r="V1454" s="545"/>
      <c r="W1454" s="546"/>
      <c r="X1454" s="547"/>
      <c r="Y1454" s="548"/>
      <c r="Z1454" s="277"/>
      <c r="AA1454" s="277"/>
      <c r="AB1454" s="187"/>
    </row>
    <row r="1455" spans="1:29" ht="20.100000000000001" customHeight="1">
      <c r="A1455" s="11"/>
      <c r="B1455" s="1360"/>
      <c r="C1455" s="5598"/>
      <c r="D1455" s="9598" t="s">
        <v>140</v>
      </c>
      <c r="E1455" s="9600"/>
      <c r="F1455" s="285" t="s">
        <v>156</v>
      </c>
      <c r="G1455" s="666"/>
      <c r="H1455" s="684"/>
      <c r="I1455" s="9582" t="s">
        <v>141</v>
      </c>
      <c r="J1455" s="9583"/>
      <c r="K1455" s="105" t="s">
        <v>156</v>
      </c>
      <c r="L1455" s="6794">
        <f>China!AO317</f>
        <v>92.694497153700198</v>
      </c>
      <c r="M1455" s="7303"/>
      <c r="N1455" s="6881">
        <v>94.71947194719472</v>
      </c>
      <c r="O1455" s="7402"/>
      <c r="P1455" s="6886">
        <v>91</v>
      </c>
      <c r="Q1455" s="7421"/>
      <c r="R1455" s="6661" t="s">
        <v>31</v>
      </c>
      <c r="S1455" s="6591"/>
      <c r="T1455" s="2483"/>
      <c r="U1455" s="544"/>
      <c r="V1455" s="545"/>
      <c r="W1455" s="546"/>
      <c r="X1455" s="547"/>
      <c r="Y1455" s="548"/>
      <c r="Z1455" s="277"/>
      <c r="AA1455" s="277"/>
      <c r="AB1455" s="187"/>
    </row>
    <row r="1456" spans="1:29" ht="20.100000000000001" customHeight="1">
      <c r="A1456" s="11"/>
      <c r="B1456" s="1360"/>
      <c r="C1456" s="614"/>
      <c r="D1456" s="9598" t="s">
        <v>143</v>
      </c>
      <c r="E1456" s="9600"/>
      <c r="F1456" s="285" t="s">
        <v>156</v>
      </c>
      <c r="G1456" s="666"/>
      <c r="H1456" s="684"/>
      <c r="I1456" s="9582" t="s">
        <v>144</v>
      </c>
      <c r="J1456" s="9583"/>
      <c r="K1456" s="105" t="s">
        <v>156</v>
      </c>
      <c r="L1456" s="6759"/>
      <c r="M1456" s="7303"/>
      <c r="N1456" s="7711"/>
      <c r="O1456" s="7402"/>
      <c r="P1456" s="7713"/>
      <c r="Q1456" s="7421"/>
      <c r="R1456" s="6661" t="s">
        <v>31</v>
      </c>
      <c r="S1456" s="6591"/>
      <c r="T1456" s="2483"/>
      <c r="U1456" s="544"/>
      <c r="V1456" s="545"/>
      <c r="W1456" s="546"/>
      <c r="X1456" s="547"/>
      <c r="Y1456" s="548"/>
      <c r="Z1456" s="277"/>
      <c r="AA1456" s="277"/>
      <c r="AB1456" s="187"/>
    </row>
    <row r="1457" spans="1:30" ht="20.100000000000001" customHeight="1">
      <c r="A1457" s="11"/>
      <c r="B1457" s="1360"/>
      <c r="C1457" s="5598"/>
      <c r="D1457" s="9598" t="s">
        <v>146</v>
      </c>
      <c r="E1457" s="9600"/>
      <c r="F1457" s="285" t="s">
        <v>156</v>
      </c>
      <c r="G1457" s="666"/>
      <c r="H1457" s="684"/>
      <c r="I1457" s="9582" t="s">
        <v>147</v>
      </c>
      <c r="J1457" s="9583"/>
      <c r="K1457" s="105" t="s">
        <v>156</v>
      </c>
      <c r="L1457" s="6794">
        <f>Indonesia!V317</f>
        <v>96.569920844327171</v>
      </c>
      <c r="M1457" s="7303"/>
      <c r="N1457" s="6881">
        <f>Indonesia!X317</f>
        <v>90.025575447570333</v>
      </c>
      <c r="O1457" s="7402"/>
      <c r="P1457" s="7713"/>
      <c r="Q1457" s="7421"/>
      <c r="R1457" s="6661" t="s">
        <v>31</v>
      </c>
      <c r="S1457" s="6591"/>
      <c r="T1457" s="2483"/>
      <c r="U1457" s="544"/>
      <c r="V1457" s="545"/>
      <c r="W1457" s="546"/>
      <c r="X1457" s="547"/>
      <c r="Y1457" s="548"/>
      <c r="Z1457" s="277"/>
      <c r="AA1457" s="277"/>
      <c r="AB1457" s="187"/>
    </row>
    <row r="1458" spans="1:30" ht="20.100000000000001" customHeight="1">
      <c r="A1458" s="11"/>
      <c r="B1458" s="1360"/>
      <c r="C1458" s="5598"/>
      <c r="D1458" s="9598" t="s">
        <v>149</v>
      </c>
      <c r="E1458" s="9600"/>
      <c r="F1458" s="285" t="s">
        <v>156</v>
      </c>
      <c r="G1458" s="666"/>
      <c r="H1458" s="684"/>
      <c r="I1458" s="9582" t="s">
        <v>150</v>
      </c>
      <c r="J1458" s="9583"/>
      <c r="K1458" s="105" t="s">
        <v>156</v>
      </c>
      <c r="L1458" s="6764">
        <v>36.950000000000003</v>
      </c>
      <c r="M1458" s="7261"/>
      <c r="N1458" s="6859">
        <v>36.1</v>
      </c>
      <c r="O1458" s="7261"/>
      <c r="P1458" s="6859">
        <v>37.299999999999997</v>
      </c>
      <c r="Q1458" s="7277"/>
      <c r="R1458" s="6661" t="s">
        <v>31</v>
      </c>
      <c r="S1458" s="6574"/>
      <c r="T1458" s="2483"/>
      <c r="U1458" s="544"/>
      <c r="V1458" s="545"/>
      <c r="W1458" s="546"/>
      <c r="X1458" s="547"/>
      <c r="Y1458" s="548"/>
      <c r="Z1458" s="277"/>
      <c r="AA1458" s="277"/>
      <c r="AB1458" s="187"/>
    </row>
    <row r="1459" spans="1:30" ht="19.350000000000001" customHeight="1">
      <c r="A1459" s="11"/>
      <c r="B1459" s="1360"/>
      <c r="C1459" s="9656" t="s">
        <v>1200</v>
      </c>
      <c r="D1459" s="9587"/>
      <c r="E1459" s="9588"/>
      <c r="F1459" s="6683" t="s">
        <v>156</v>
      </c>
      <c r="G1459" s="7053"/>
      <c r="H1459" s="9586" t="s">
        <v>1201</v>
      </c>
      <c r="I1459" s="9587"/>
      <c r="J1459" s="9588"/>
      <c r="K1459" s="6683" t="s">
        <v>156</v>
      </c>
      <c r="L1459" s="7016">
        <f>IF(COUNTBLANK(L1460:L1465)&gt;0,"미취합법인有",AVERAGE(L1460:L1465))</f>
        <v>9.1716091848472558</v>
      </c>
      <c r="M1459" s="7026"/>
      <c r="N1459" s="7001">
        <f>IF(COUNTBLANK(N1460:N1465)&gt;0,"미취합법인有",AVERAGE(N1460:N1465))</f>
        <v>8.5165608382321594</v>
      </c>
      <c r="O1459" s="7384"/>
      <c r="P1459" s="7002">
        <f>IF(COUNTBLANK(P1460:P1465)&gt;0,"미취합법인有",AVERAGE(P1460:P1465))</f>
        <v>10.20543631213695</v>
      </c>
      <c r="Q1459" s="7029"/>
      <c r="R1459" s="7037" t="s">
        <v>31</v>
      </c>
      <c r="S1459" s="7007" t="s">
        <v>1939</v>
      </c>
      <c r="T1459" s="7008" t="s">
        <v>1202</v>
      </c>
      <c r="U1459" s="544" t="s">
        <v>1203</v>
      </c>
      <c r="V1459" s="873" t="s">
        <v>737</v>
      </c>
      <c r="W1459" s="547"/>
      <c r="X1459" s="547"/>
      <c r="Y1459" s="873"/>
      <c r="Z1459" s="277" t="s">
        <v>1204</v>
      </c>
      <c r="AA1459" s="265" t="s">
        <v>1940</v>
      </c>
      <c r="AB1459" s="187"/>
    </row>
    <row r="1460" spans="1:30" ht="19.5" customHeight="1">
      <c r="A1460" s="11"/>
      <c r="B1460" s="1360"/>
      <c r="C1460" s="9647" t="s">
        <v>134</v>
      </c>
      <c r="D1460" s="9648"/>
      <c r="E1460" s="9649"/>
      <c r="F1460" s="285" t="s">
        <v>156</v>
      </c>
      <c r="G1460" s="666"/>
      <c r="H1460" s="9579" t="s">
        <v>135</v>
      </c>
      <c r="I1460" s="9580"/>
      <c r="J1460" s="9581"/>
      <c r="K1460" s="105" t="s">
        <v>156</v>
      </c>
      <c r="L1460" s="6806">
        <f t="shared" ref="L1460:L1464" si="34">IFERROR(L1467/L1474*100,"-")</f>
        <v>8.5199979057591637</v>
      </c>
      <c r="M1460" s="7314"/>
      <c r="N1460" s="6886">
        <f t="shared" ref="N1460:P1464" si="35">IFERROR(N1467/N1474*100,"-")</f>
        <v>3.7333833254205868</v>
      </c>
      <c r="O1460" s="7407"/>
      <c r="P1460" s="6886">
        <f t="shared" si="35"/>
        <v>3.5044947180263271</v>
      </c>
      <c r="Q1460" s="7421"/>
      <c r="R1460" s="6661" t="s">
        <v>31</v>
      </c>
      <c r="S1460" s="6591"/>
      <c r="T1460" s="2468"/>
      <c r="U1460" s="544"/>
      <c r="V1460" s="545"/>
      <c r="W1460" s="546"/>
      <c r="X1460" s="547"/>
      <c r="Y1460" s="548"/>
      <c r="Z1460" s="277"/>
      <c r="AA1460" s="277"/>
      <c r="AB1460" s="187"/>
    </row>
    <row r="1461" spans="1:30" ht="20.100000000000001" customHeight="1">
      <c r="A1461" s="11"/>
      <c r="B1461" s="1360"/>
      <c r="C1461" s="9647" t="s">
        <v>137</v>
      </c>
      <c r="D1461" s="9648"/>
      <c r="E1461" s="9649"/>
      <c r="F1461" s="285" t="s">
        <v>156</v>
      </c>
      <c r="G1461" s="666"/>
      <c r="H1461" s="9579" t="s">
        <v>138</v>
      </c>
      <c r="I1461" s="9580"/>
      <c r="J1461" s="9581"/>
      <c r="K1461" s="105" t="s">
        <v>156</v>
      </c>
      <c r="L1461" s="6752">
        <f t="shared" si="34"/>
        <v>19.923664122137406</v>
      </c>
      <c r="M1461" s="7315"/>
      <c r="N1461" s="6886">
        <f t="shared" si="35"/>
        <v>18.666666666666668</v>
      </c>
      <c r="O1461" s="7408"/>
      <c r="P1461" s="7713">
        <f>AVERAGE(52/300, 46/120)*100</f>
        <v>27.833333333333332</v>
      </c>
      <c r="Q1461" s="7421"/>
      <c r="R1461" s="6661" t="s">
        <v>31</v>
      </c>
      <c r="S1461" s="7717" t="s">
        <v>1941</v>
      </c>
      <c r="T1461" s="2468"/>
      <c r="U1461" s="544"/>
      <c r="V1461" s="545"/>
      <c r="W1461" s="546"/>
      <c r="X1461" s="547"/>
      <c r="Y1461" s="548"/>
      <c r="Z1461" s="277"/>
      <c r="AA1461" s="277"/>
      <c r="AB1461" s="187"/>
    </row>
    <row r="1462" spans="1:30" ht="20.100000000000001" customHeight="1">
      <c r="A1462" s="11"/>
      <c r="B1462" s="1360"/>
      <c r="C1462" s="9647" t="s">
        <v>140</v>
      </c>
      <c r="D1462" s="9648"/>
      <c r="E1462" s="9649"/>
      <c r="F1462" s="285" t="s">
        <v>156</v>
      </c>
      <c r="G1462" s="666"/>
      <c r="H1462" s="9579" t="s">
        <v>141</v>
      </c>
      <c r="I1462" s="9580"/>
      <c r="J1462" s="9581"/>
      <c r="K1462" s="105" t="s">
        <v>156</v>
      </c>
      <c r="L1462" s="6806">
        <f t="shared" si="34"/>
        <v>6.3923918988038562</v>
      </c>
      <c r="M1462" s="7314"/>
      <c r="N1462" s="6886">
        <f t="shared" si="35"/>
        <v>6.3362878658565949</v>
      </c>
      <c r="O1462" s="7407"/>
      <c r="P1462" s="6886">
        <f t="shared" si="35"/>
        <v>5.0486448772292167</v>
      </c>
      <c r="Q1462" s="7421"/>
      <c r="R1462" s="6661" t="s">
        <v>31</v>
      </c>
      <c r="S1462" s="6591"/>
      <c r="T1462" s="2468"/>
      <c r="U1462" s="544"/>
      <c r="V1462" s="545"/>
      <c r="W1462" s="546"/>
      <c r="X1462" s="547"/>
      <c r="Y1462" s="548"/>
      <c r="Z1462" s="277"/>
      <c r="AA1462" s="277"/>
      <c r="AB1462" s="187"/>
    </row>
    <row r="1463" spans="1:30" ht="20.100000000000001" customHeight="1">
      <c r="A1463" s="11"/>
      <c r="B1463" s="1360"/>
      <c r="C1463" s="9647" t="s">
        <v>143</v>
      </c>
      <c r="D1463" s="9648"/>
      <c r="E1463" s="9649"/>
      <c r="F1463" s="285" t="s">
        <v>156</v>
      </c>
      <c r="G1463" s="666"/>
      <c r="H1463" s="9579" t="s">
        <v>144</v>
      </c>
      <c r="I1463" s="9580"/>
      <c r="J1463" s="9581"/>
      <c r="K1463" s="105" t="s">
        <v>156</v>
      </c>
      <c r="L1463" s="6806">
        <f t="shared" si="34"/>
        <v>7.8456599564427547</v>
      </c>
      <c r="M1463" s="7314"/>
      <c r="N1463" s="6886">
        <f t="shared" si="35"/>
        <v>7.4125433273036654</v>
      </c>
      <c r="O1463" s="7407"/>
      <c r="P1463" s="6886">
        <f t="shared" si="35"/>
        <v>6.5984879239003984</v>
      </c>
      <c r="Q1463" s="7421"/>
      <c r="R1463" s="6661" t="s">
        <v>31</v>
      </c>
      <c r="S1463" s="6591"/>
      <c r="T1463" s="2468"/>
      <c r="U1463" s="544"/>
      <c r="V1463" s="545"/>
      <c r="W1463" s="546"/>
      <c r="X1463" s="547"/>
      <c r="Y1463" s="548"/>
      <c r="Z1463" s="277"/>
      <c r="AA1463" s="277"/>
      <c r="AB1463" s="187"/>
    </row>
    <row r="1464" spans="1:30" ht="20.100000000000001" customHeight="1">
      <c r="A1464" s="11"/>
      <c r="B1464" s="1360"/>
      <c r="C1464" s="9647" t="s">
        <v>146</v>
      </c>
      <c r="D1464" s="9648"/>
      <c r="E1464" s="9649"/>
      <c r="F1464" s="285" t="s">
        <v>156</v>
      </c>
      <c r="G1464" s="666"/>
      <c r="H1464" s="9579" t="s">
        <v>147</v>
      </c>
      <c r="I1464" s="9580"/>
      <c r="J1464" s="9581"/>
      <c r="K1464" s="105" t="s">
        <v>156</v>
      </c>
      <c r="L1464" s="6806">
        <f t="shared" si="34"/>
        <v>3.9979412259403513</v>
      </c>
      <c r="M1464" s="7314"/>
      <c r="N1464" s="6886">
        <f t="shared" si="35"/>
        <v>3.1804838441454444</v>
      </c>
      <c r="O1464" s="7409"/>
      <c r="P1464" s="6886">
        <f t="shared" si="35"/>
        <v>3.4376570203324226</v>
      </c>
      <c r="Q1464" s="7421"/>
      <c r="R1464" s="6661" t="s">
        <v>31</v>
      </c>
      <c r="S1464" s="6591"/>
      <c r="T1464" s="2468"/>
      <c r="U1464" s="544"/>
      <c r="V1464" s="545"/>
      <c r="W1464" s="546"/>
      <c r="X1464" s="547"/>
      <c r="Y1464" s="548"/>
      <c r="Z1464" s="277"/>
      <c r="AA1464" s="277"/>
      <c r="AB1464" s="187"/>
    </row>
    <row r="1465" spans="1:30" ht="20.100000000000001" customHeight="1">
      <c r="A1465" s="11"/>
      <c r="B1465" s="1360"/>
      <c r="C1465" s="9647" t="s">
        <v>149</v>
      </c>
      <c r="D1465" s="9648"/>
      <c r="E1465" s="9649"/>
      <c r="F1465" s="285" t="s">
        <v>156</v>
      </c>
      <c r="G1465" s="666"/>
      <c r="H1465" s="9579" t="s">
        <v>150</v>
      </c>
      <c r="I1465" s="9580"/>
      <c r="J1465" s="9581"/>
      <c r="K1465" s="105" t="s">
        <v>156</v>
      </c>
      <c r="L1465" s="7714">
        <v>8.35</v>
      </c>
      <c r="M1465" s="7314"/>
      <c r="N1465" s="7715">
        <v>11.77</v>
      </c>
      <c r="O1465" s="7409"/>
      <c r="P1465" s="6886">
        <v>14.81</v>
      </c>
      <c r="Q1465" s="7421"/>
      <c r="R1465" s="6661" t="s">
        <v>31</v>
      </c>
      <c r="S1465" s="6591"/>
      <c r="T1465" s="2468"/>
      <c r="U1465" s="544"/>
      <c r="V1465" s="545"/>
      <c r="W1465" s="546"/>
      <c r="X1465" s="547"/>
      <c r="Y1465" s="548"/>
      <c r="Z1465" s="277"/>
      <c r="AA1465" s="277"/>
      <c r="AB1465" s="187"/>
    </row>
    <row r="1466" spans="1:30" ht="19.350000000000001" customHeight="1">
      <c r="A1466" s="11"/>
      <c r="B1466" s="1360"/>
      <c r="C1466" s="915"/>
      <c r="D1466" s="9584" t="s">
        <v>1205</v>
      </c>
      <c r="E1466" s="9585"/>
      <c r="F1466" s="6683" t="s">
        <v>628</v>
      </c>
      <c r="G1466" s="7051"/>
      <c r="H1466" s="7051"/>
      <c r="I1466" s="9584" t="s">
        <v>1206</v>
      </c>
      <c r="J1466" s="9585"/>
      <c r="K1466" s="6683" t="s">
        <v>35</v>
      </c>
      <c r="L1466" s="6970"/>
      <c r="M1466" s="7026"/>
      <c r="N1466" s="7054"/>
      <c r="O1466" s="6988"/>
      <c r="P1466" s="7002"/>
      <c r="Q1466" s="7029"/>
      <c r="R1466" s="7037" t="s">
        <v>155</v>
      </c>
      <c r="S1466" s="7046" t="s">
        <v>1942</v>
      </c>
      <c r="T1466" s="7027"/>
      <c r="U1466" s="544"/>
      <c r="V1466" s="109" t="s">
        <v>737</v>
      </c>
      <c r="W1466" s="547"/>
      <c r="X1466" s="547"/>
      <c r="Y1466" s="109"/>
      <c r="Z1466" s="277" t="s">
        <v>1204</v>
      </c>
      <c r="AA1466" s="265"/>
      <c r="AB1466" s="187" t="s">
        <v>1207</v>
      </c>
      <c r="AD1466" s="139" t="s">
        <v>1208</v>
      </c>
    </row>
    <row r="1467" spans="1:30" ht="20.100000000000001" customHeight="1">
      <c r="A1467" s="11"/>
      <c r="B1467" s="1360"/>
      <c r="C1467" s="5598"/>
      <c r="D1467" s="9598" t="s">
        <v>134</v>
      </c>
      <c r="E1467" s="9600"/>
      <c r="F1467" s="285" t="s">
        <v>33</v>
      </c>
      <c r="G1467" s="666"/>
      <c r="H1467" s="666"/>
      <c r="I1467" s="9579" t="s">
        <v>135</v>
      </c>
      <c r="J1467" s="9581"/>
      <c r="K1467" s="105" t="s">
        <v>35</v>
      </c>
      <c r="L1467" s="6807">
        <v>48.819588000000003</v>
      </c>
      <c r="M1467" s="7316" t="s">
        <v>1209</v>
      </c>
      <c r="N1467" s="6889">
        <v>55.568705999999999</v>
      </c>
      <c r="O1467" s="7316" t="s">
        <v>1209</v>
      </c>
      <c r="P1467" s="6953">
        <v>51.010297999999999</v>
      </c>
      <c r="Q1467" s="7489"/>
      <c r="R1467" s="6661" t="s">
        <v>155</v>
      </c>
      <c r="S1467" s="6602"/>
      <c r="T1467" s="2483"/>
      <c r="U1467" s="544"/>
      <c r="V1467" s="545"/>
      <c r="W1467" s="546"/>
      <c r="X1467" s="547"/>
      <c r="Y1467" s="548"/>
      <c r="Z1467" s="277"/>
      <c r="AA1467" s="277"/>
      <c r="AB1467" s="187"/>
    </row>
    <row r="1468" spans="1:30" ht="20.100000000000001" customHeight="1">
      <c r="A1468" s="11"/>
      <c r="B1468" s="1360"/>
      <c r="C1468" s="5598"/>
      <c r="D1468" s="9598" t="s">
        <v>137</v>
      </c>
      <c r="E1468" s="9600"/>
      <c r="F1468" s="285" t="s">
        <v>33</v>
      </c>
      <c r="G1468" s="666"/>
      <c r="H1468" s="666"/>
      <c r="I1468" s="9579" t="s">
        <v>138</v>
      </c>
      <c r="J1468" s="9581"/>
      <c r="K1468" s="105" t="s">
        <v>35</v>
      </c>
      <c r="L1468" s="6807">
        <f>'4DPLEX'!W292</f>
        <v>52.2</v>
      </c>
      <c r="M1468" s="7317"/>
      <c r="N1468" s="6890">
        <v>56</v>
      </c>
      <c r="O1468" s="7410"/>
      <c r="P1468" s="7716"/>
      <c r="Q1468" s="7489"/>
      <c r="R1468" s="6661" t="s">
        <v>155</v>
      </c>
      <c r="S1468" s="6602"/>
      <c r="T1468" s="2483"/>
      <c r="U1468" s="544"/>
      <c r="V1468" s="545"/>
      <c r="W1468" s="546"/>
      <c r="X1468" s="547"/>
      <c r="Y1468" s="548"/>
      <c r="Z1468" s="277"/>
      <c r="AA1468" s="277"/>
      <c r="AB1468" s="187"/>
    </row>
    <row r="1469" spans="1:30" ht="20.100000000000001" customHeight="1">
      <c r="A1469" s="11"/>
      <c r="B1469" s="1360"/>
      <c r="C1469" s="5598"/>
      <c r="D1469" s="9598" t="s">
        <v>140</v>
      </c>
      <c r="E1469" s="9600"/>
      <c r="F1469" s="285" t="s">
        <v>272</v>
      </c>
      <c r="G1469" s="666"/>
      <c r="H1469" s="666"/>
      <c r="I1469" s="9582" t="s">
        <v>141</v>
      </c>
      <c r="J1469" s="9583"/>
      <c r="K1469" s="492" t="s">
        <v>142</v>
      </c>
      <c r="L1469" s="6807">
        <v>150875.47093273321</v>
      </c>
      <c r="M1469" s="7316" t="s">
        <v>1210</v>
      </c>
      <c r="N1469" s="6891">
        <v>150066.80429146648</v>
      </c>
      <c r="O1469" s="7411" t="s">
        <v>1211</v>
      </c>
      <c r="P1469" s="6954">
        <v>181961.54313556614</v>
      </c>
      <c r="Q1469" s="7489" t="s">
        <v>1212</v>
      </c>
      <c r="R1469" s="6661" t="s">
        <v>155</v>
      </c>
      <c r="S1469" s="6602"/>
      <c r="T1469" s="2483"/>
      <c r="U1469" s="544"/>
      <c r="V1469" s="545"/>
      <c r="W1469" s="546"/>
      <c r="X1469" s="547"/>
      <c r="Y1469" s="548"/>
      <c r="Z1469" s="277"/>
      <c r="AA1469" s="277"/>
      <c r="AB1469" s="187"/>
    </row>
    <row r="1470" spans="1:30" ht="20.100000000000001" customHeight="1">
      <c r="A1470" s="11"/>
      <c r="B1470" s="1360"/>
      <c r="C1470" s="614"/>
      <c r="D1470" s="9598" t="s">
        <v>143</v>
      </c>
      <c r="E1470" s="9600"/>
      <c r="F1470" s="285" t="s">
        <v>630</v>
      </c>
      <c r="G1470" s="666"/>
      <c r="H1470" s="666"/>
      <c r="I1470" s="9582" t="s">
        <v>144</v>
      </c>
      <c r="J1470" s="9583"/>
      <c r="K1470" s="492" t="s">
        <v>145</v>
      </c>
      <c r="L1470" s="6807">
        <f>Vietnam!Q319</f>
        <v>195283.10768738901</v>
      </c>
      <c r="M1470" s="7316" t="s">
        <v>1213</v>
      </c>
      <c r="N1470" s="6890">
        <f>Vietnam!S319</f>
        <v>232002.98859201389</v>
      </c>
      <c r="O1470" s="7411" t="s">
        <v>1214</v>
      </c>
      <c r="P1470" s="6954">
        <f>Vietnam!U319</f>
        <v>244366.83450087564</v>
      </c>
      <c r="Q1470" s="7489"/>
      <c r="R1470" s="6661" t="s">
        <v>155</v>
      </c>
      <c r="S1470" s="6602"/>
      <c r="T1470" s="2483"/>
      <c r="U1470" s="544"/>
      <c r="V1470" s="545"/>
      <c r="W1470" s="546"/>
      <c r="X1470" s="547"/>
      <c r="Y1470" s="548"/>
      <c r="Z1470" s="277"/>
      <c r="AA1470" s="277"/>
      <c r="AB1470" s="187"/>
    </row>
    <row r="1471" spans="1:30" ht="20.100000000000001" customHeight="1">
      <c r="A1471" s="11"/>
      <c r="B1471" s="1360"/>
      <c r="C1471" s="5598"/>
      <c r="D1471" s="9598" t="s">
        <v>146</v>
      </c>
      <c r="E1471" s="9600"/>
      <c r="F1471" s="285" t="s">
        <v>632</v>
      </c>
      <c r="G1471" s="666"/>
      <c r="H1471" s="666"/>
      <c r="I1471" s="9582" t="s">
        <v>147</v>
      </c>
      <c r="J1471" s="9583"/>
      <c r="K1471" s="492" t="s">
        <v>148</v>
      </c>
      <c r="L1471" s="6807">
        <f>Indonesia!V319</f>
        <v>79152000</v>
      </c>
      <c r="M1471" s="7316" t="s">
        <v>148</v>
      </c>
      <c r="N1471" s="6890">
        <f>Indonesia!X319</f>
        <v>79752000</v>
      </c>
      <c r="O1471" s="7411" t="s">
        <v>148</v>
      </c>
      <c r="P1471" s="6954">
        <f>Indonesia!Z319</f>
        <v>82920000</v>
      </c>
      <c r="Q1471" s="7489"/>
      <c r="R1471" s="6661" t="s">
        <v>155</v>
      </c>
      <c r="S1471" s="6602"/>
      <c r="T1471" s="2483"/>
      <c r="U1471" s="544"/>
      <c r="V1471" s="545"/>
      <c r="W1471" s="546"/>
      <c r="X1471" s="547"/>
      <c r="Y1471" s="548"/>
      <c r="Z1471" s="277"/>
      <c r="AA1471" s="277"/>
      <c r="AB1471" s="187"/>
    </row>
    <row r="1472" spans="1:30" ht="20.100000000000001" customHeight="1">
      <c r="A1472" s="11"/>
      <c r="B1472" s="1360"/>
      <c r="C1472" s="5598"/>
      <c r="D1472" s="9598" t="s">
        <v>149</v>
      </c>
      <c r="E1472" s="9600"/>
      <c r="F1472" s="285" t="s">
        <v>634</v>
      </c>
      <c r="G1472" s="666"/>
      <c r="H1472" s="666"/>
      <c r="I1472" s="9582" t="s">
        <v>150</v>
      </c>
      <c r="J1472" s="9583"/>
      <c r="K1472" s="492" t="s">
        <v>151</v>
      </c>
      <c r="L1472" s="6808">
        <v>90000</v>
      </c>
      <c r="M1472" s="7316"/>
      <c r="N1472" s="6892">
        <v>230568</v>
      </c>
      <c r="O1472" s="7318"/>
      <c r="P1472" s="6955">
        <v>480000</v>
      </c>
      <c r="Q1472" s="7489"/>
      <c r="R1472" s="6661" t="s">
        <v>155</v>
      </c>
      <c r="S1472" s="6602"/>
      <c r="T1472" s="2483"/>
      <c r="U1472" s="544"/>
      <c r="V1472" s="545"/>
      <c r="W1472" s="546"/>
      <c r="X1472" s="547"/>
      <c r="Y1472" s="548"/>
      <c r="Z1472" s="277"/>
      <c r="AA1472" s="277"/>
      <c r="AB1472" s="187"/>
    </row>
    <row r="1473" spans="1:30" ht="19.350000000000001" customHeight="1">
      <c r="A1473" s="11"/>
      <c r="B1473" s="1360"/>
      <c r="C1473" s="921"/>
      <c r="D1473" s="9584" t="s">
        <v>1215</v>
      </c>
      <c r="E1473" s="9585"/>
      <c r="F1473" s="6683" t="s">
        <v>628</v>
      </c>
      <c r="G1473" s="7051"/>
      <c r="H1473" s="7051"/>
      <c r="I1473" s="9584" t="s">
        <v>1216</v>
      </c>
      <c r="J1473" s="9585"/>
      <c r="K1473" s="6683" t="s">
        <v>35</v>
      </c>
      <c r="L1473" s="6970"/>
      <c r="M1473" s="7026"/>
      <c r="N1473" s="7001"/>
      <c r="O1473" s="7384"/>
      <c r="P1473" s="7002"/>
      <c r="Q1473" s="7029"/>
      <c r="R1473" s="7037" t="s">
        <v>155</v>
      </c>
      <c r="S1473" s="7007" t="s">
        <v>1946</v>
      </c>
      <c r="T1473" s="7008"/>
      <c r="U1473" s="276"/>
      <c r="V1473" s="109" t="s">
        <v>737</v>
      </c>
      <c r="W1473" s="547"/>
      <c r="X1473" s="547"/>
      <c r="Y1473" s="109"/>
      <c r="Z1473" s="277" t="s">
        <v>1204</v>
      </c>
      <c r="AA1473" s="427"/>
      <c r="AB1473" s="187" t="s">
        <v>1207</v>
      </c>
      <c r="AD1473" s="139" t="s">
        <v>1217</v>
      </c>
    </row>
    <row r="1474" spans="1:30" ht="20.100000000000001" customHeight="1">
      <c r="A1474" s="11"/>
      <c r="B1474" s="1360"/>
      <c r="C1474" s="5598"/>
      <c r="D1474" s="9598" t="s">
        <v>134</v>
      </c>
      <c r="E1474" s="9600"/>
      <c r="F1474" s="285" t="s">
        <v>33</v>
      </c>
      <c r="G1474" s="666"/>
      <c r="H1474" s="666"/>
      <c r="I1474" s="9579" t="s">
        <v>135</v>
      </c>
      <c r="J1474" s="9581"/>
      <c r="K1474" s="105" t="s">
        <v>35</v>
      </c>
      <c r="L1474" s="6807">
        <v>573</v>
      </c>
      <c r="M1474" s="7316" t="s">
        <v>1218</v>
      </c>
      <c r="N1474" s="6890">
        <v>1488.427551</v>
      </c>
      <c r="O1474" s="7411" t="s">
        <v>1218</v>
      </c>
      <c r="P1474" s="6954">
        <v>1455.5678379999999</v>
      </c>
      <c r="Q1474" s="7489"/>
      <c r="R1474" s="6661" t="s">
        <v>155</v>
      </c>
      <c r="S1474" s="6602"/>
      <c r="T1474" s="2483"/>
      <c r="U1474" s="544"/>
      <c r="V1474" s="545"/>
      <c r="W1474" s="546"/>
      <c r="X1474" s="547"/>
      <c r="Y1474" s="548"/>
      <c r="Z1474" s="277"/>
      <c r="AA1474" s="277"/>
      <c r="AB1474" s="187"/>
    </row>
    <row r="1475" spans="1:30" ht="20.100000000000001" customHeight="1">
      <c r="A1475" s="11"/>
      <c r="B1475" s="1360"/>
      <c r="C1475" s="5598"/>
      <c r="D1475" s="9598" t="s">
        <v>137</v>
      </c>
      <c r="E1475" s="9600"/>
      <c r="F1475" s="285" t="s">
        <v>33</v>
      </c>
      <c r="G1475" s="666"/>
      <c r="H1475" s="666"/>
      <c r="I1475" s="9579" t="s">
        <v>138</v>
      </c>
      <c r="J1475" s="9581"/>
      <c r="K1475" s="105" t="s">
        <v>35</v>
      </c>
      <c r="L1475" s="6807">
        <f>'4DPLEX'!W293</f>
        <v>262</v>
      </c>
      <c r="M1475" s="7317"/>
      <c r="N1475" s="6890">
        <v>300</v>
      </c>
      <c r="O1475" s="7410"/>
      <c r="P1475" s="6956">
        <v>554</v>
      </c>
      <c r="Q1475" s="7489"/>
      <c r="R1475" s="6661" t="s">
        <v>155</v>
      </c>
      <c r="S1475" s="6602"/>
      <c r="T1475" s="2483"/>
      <c r="U1475" s="544"/>
      <c r="V1475" s="545"/>
      <c r="W1475" s="546"/>
      <c r="X1475" s="547"/>
      <c r="Y1475" s="548"/>
      <c r="Z1475" s="277"/>
      <c r="AA1475" s="277"/>
      <c r="AB1475" s="187"/>
    </row>
    <row r="1476" spans="1:30" ht="20.100000000000001" customHeight="1">
      <c r="A1476" s="11"/>
      <c r="B1476" s="1360"/>
      <c r="C1476" s="5598"/>
      <c r="D1476" s="9598" t="s">
        <v>140</v>
      </c>
      <c r="E1476" s="9600"/>
      <c r="F1476" s="285" t="s">
        <v>272</v>
      </c>
      <c r="G1476" s="666"/>
      <c r="H1476" s="666"/>
      <c r="I1476" s="9582" t="s">
        <v>141</v>
      </c>
      <c r="J1476" s="9583"/>
      <c r="K1476" s="492" t="s">
        <v>142</v>
      </c>
      <c r="L1476" s="6807">
        <v>2360235</v>
      </c>
      <c r="M1476" s="7316" t="s">
        <v>1219</v>
      </c>
      <c r="N1476" s="6891">
        <v>2368371</v>
      </c>
      <c r="O1476" s="7411" t="s">
        <v>1219</v>
      </c>
      <c r="P1476" s="6954">
        <v>3604166.02</v>
      </c>
      <c r="Q1476" s="7489" t="s">
        <v>1219</v>
      </c>
      <c r="R1476" s="6661" t="s">
        <v>155</v>
      </c>
      <c r="S1476" s="6602"/>
      <c r="T1476" s="2483"/>
      <c r="U1476" s="544"/>
      <c r="V1476" s="545"/>
      <c r="W1476" s="546"/>
      <c r="X1476" s="547"/>
      <c r="Y1476" s="548"/>
      <c r="Z1476" s="277"/>
      <c r="AA1476" s="277"/>
      <c r="AB1476" s="187"/>
    </row>
    <row r="1477" spans="1:30" ht="20.100000000000001" customHeight="1">
      <c r="A1477" s="11"/>
      <c r="B1477" s="1360"/>
      <c r="C1477" s="614"/>
      <c r="D1477" s="9598" t="s">
        <v>143</v>
      </c>
      <c r="E1477" s="9600"/>
      <c r="F1477" s="285" t="s">
        <v>630</v>
      </c>
      <c r="G1477" s="666"/>
      <c r="H1477" s="666"/>
      <c r="I1477" s="9582" t="s">
        <v>144</v>
      </c>
      <c r="J1477" s="9583"/>
      <c r="K1477" s="492" t="s">
        <v>145</v>
      </c>
      <c r="L1477" s="6807">
        <f>Vietnam!Q320</f>
        <v>2489059.0309999995</v>
      </c>
      <c r="M1477" s="7316" t="s">
        <v>1220</v>
      </c>
      <c r="N1477" s="6890">
        <f>Vietnam!S320</f>
        <v>3129870.2530000005</v>
      </c>
      <c r="O1477" s="7411" t="s">
        <v>1214</v>
      </c>
      <c r="P1477" s="6954">
        <f>Vietnam!U320</f>
        <v>3703376.2480000001</v>
      </c>
      <c r="Q1477" s="7489"/>
      <c r="R1477" s="6661" t="s">
        <v>155</v>
      </c>
      <c r="S1477" s="6602"/>
      <c r="T1477" s="2483"/>
      <c r="U1477" s="544"/>
      <c r="V1477" s="545"/>
      <c r="W1477" s="546"/>
      <c r="X1477" s="547"/>
      <c r="Y1477" s="548"/>
      <c r="Z1477" s="277"/>
      <c r="AA1477" s="277"/>
      <c r="AB1477" s="187"/>
    </row>
    <row r="1478" spans="1:30" ht="20.100000000000001" customHeight="1">
      <c r="A1478" s="11"/>
      <c r="B1478" s="1360"/>
      <c r="C1478" s="5598"/>
      <c r="D1478" s="9598" t="s">
        <v>146</v>
      </c>
      <c r="E1478" s="9600"/>
      <c r="F1478" s="285" t="s">
        <v>632</v>
      </c>
      <c r="G1478" s="666"/>
      <c r="H1478" s="666"/>
      <c r="I1478" s="9582" t="s">
        <v>147</v>
      </c>
      <c r="J1478" s="9583"/>
      <c r="K1478" s="492" t="s">
        <v>148</v>
      </c>
      <c r="L1478" s="6807">
        <f>Indonesia!V320</f>
        <v>1979819000</v>
      </c>
      <c r="M1478" s="7316"/>
      <c r="N1478" s="6890">
        <f>Indonesia!X320</f>
        <v>2507543000</v>
      </c>
      <c r="O1478" s="7411"/>
      <c r="P1478" s="6954">
        <f>Indonesia!Z320</f>
        <v>2412108000</v>
      </c>
      <c r="Q1478" s="7489"/>
      <c r="R1478" s="6661" t="s">
        <v>155</v>
      </c>
      <c r="S1478" s="6602"/>
      <c r="T1478" s="2483"/>
      <c r="U1478" s="544"/>
      <c r="V1478" s="545"/>
      <c r="W1478" s="546"/>
      <c r="X1478" s="547"/>
      <c r="Y1478" s="548"/>
      <c r="Z1478" s="277"/>
      <c r="AA1478" s="277"/>
      <c r="AB1478" s="187"/>
    </row>
    <row r="1479" spans="1:30" ht="20.100000000000001" customHeight="1">
      <c r="A1479" s="11"/>
      <c r="B1479" s="1360"/>
      <c r="C1479" s="5598"/>
      <c r="D1479" s="9598" t="s">
        <v>149</v>
      </c>
      <c r="E1479" s="9600"/>
      <c r="F1479" s="285" t="s">
        <v>634</v>
      </c>
      <c r="G1479" s="666"/>
      <c r="H1479" s="666"/>
      <c r="I1479" s="9582" t="s">
        <v>150</v>
      </c>
      <c r="J1479" s="9583"/>
      <c r="K1479" s="492" t="s">
        <v>151</v>
      </c>
      <c r="L1479" s="6809">
        <v>1077621</v>
      </c>
      <c r="M1479" s="7318"/>
      <c r="N1479" s="6892">
        <v>1959718</v>
      </c>
      <c r="O1479" s="7316"/>
      <c r="P1479" s="6955">
        <v>3240355</v>
      </c>
      <c r="Q1479" s="7489"/>
      <c r="R1479" s="6661" t="s">
        <v>155</v>
      </c>
      <c r="S1479" s="6602"/>
      <c r="T1479" s="2483"/>
      <c r="U1479" s="544"/>
      <c r="V1479" s="545"/>
      <c r="W1479" s="546"/>
      <c r="X1479" s="547"/>
      <c r="Y1479" s="548"/>
      <c r="Z1479" s="277"/>
      <c r="AA1479" s="277"/>
      <c r="AB1479" s="187"/>
    </row>
    <row r="1480" spans="1:30" ht="19.350000000000001" customHeight="1">
      <c r="A1480" s="11"/>
      <c r="B1480" s="1353"/>
      <c r="C1480" s="9656" t="s">
        <v>1229</v>
      </c>
      <c r="D1480" s="9587"/>
      <c r="E1480" s="9588"/>
      <c r="F1480" s="6683" t="s">
        <v>156</v>
      </c>
      <c r="G1480" s="7053"/>
      <c r="H1480" s="9586" t="s">
        <v>1230</v>
      </c>
      <c r="I1480" s="9587"/>
      <c r="J1480" s="9588"/>
      <c r="K1480" s="6683" t="s">
        <v>156</v>
      </c>
      <c r="L1480" s="7016">
        <f>IF(COUNTBLANK(L1481:L1486)&gt;0,"미취합법인有",AVERAGE(L1481:L1486))</f>
        <v>1.7453805429864253</v>
      </c>
      <c r="M1480" s="7026"/>
      <c r="N1480" s="7001">
        <f>IF(COUNTBLANK(N1481:N1486)&gt;0,"미취합법인有",AVERAGE(N1481:N1486))</f>
        <v>1.715870588235294</v>
      </c>
      <c r="O1480" s="7384"/>
      <c r="P1480" s="7002">
        <f>IF(COUNTBLANK(P1481:P1486)&gt;0,"미취합법인有",AVERAGE(P1481:P1486))</f>
        <v>1.6873668803418804</v>
      </c>
      <c r="Q1480" s="7029"/>
      <c r="R1480" s="7010" t="s">
        <v>1996</v>
      </c>
      <c r="S1480" s="7007" t="s">
        <v>1949</v>
      </c>
      <c r="T1480" s="7008"/>
      <c r="U1480" s="276"/>
      <c r="V1480" s="109" t="s">
        <v>1231</v>
      </c>
      <c r="W1480" s="547"/>
      <c r="X1480" s="547" t="s">
        <v>1232</v>
      </c>
      <c r="Y1480" s="548"/>
      <c r="Z1480" s="277"/>
      <c r="AA1480" s="5715" t="s">
        <v>1233</v>
      </c>
      <c r="AB1480" s="221"/>
    </row>
    <row r="1481" spans="1:30" ht="20.100000000000001" customHeight="1">
      <c r="A1481" s="11"/>
      <c r="B1481" s="1360"/>
      <c r="C1481" s="9647" t="s">
        <v>134</v>
      </c>
      <c r="D1481" s="9648"/>
      <c r="E1481" s="9649"/>
      <c r="F1481" s="285" t="s">
        <v>156</v>
      </c>
      <c r="G1481" s="666"/>
      <c r="H1481" s="9579" t="s">
        <v>135</v>
      </c>
      <c r="I1481" s="9580"/>
      <c r="J1481" s="9581"/>
      <c r="K1481" s="105" t="s">
        <v>156</v>
      </c>
      <c r="L1481" s="6765" t="s">
        <v>178</v>
      </c>
      <c r="M1481" s="7303"/>
      <c r="N1481" s="6881" t="s">
        <v>178</v>
      </c>
      <c r="O1481" s="7402"/>
      <c r="P1481" s="6886" t="s">
        <v>178</v>
      </c>
      <c r="Q1481" s="7421"/>
      <c r="R1481" s="6659" t="s">
        <v>1995</v>
      </c>
      <c r="S1481" s="9920" t="s">
        <v>1950</v>
      </c>
      <c r="T1481" s="2468"/>
      <c r="U1481" s="544"/>
      <c r="V1481" s="545"/>
      <c r="W1481" s="546"/>
      <c r="X1481" s="547"/>
      <c r="Y1481" s="548"/>
      <c r="Z1481" s="277"/>
      <c r="AA1481" s="277"/>
      <c r="AB1481" s="187"/>
    </row>
    <row r="1482" spans="1:30" ht="20.100000000000001" customHeight="1">
      <c r="A1482" s="11"/>
      <c r="B1482" s="1360"/>
      <c r="C1482" s="9647" t="s">
        <v>137</v>
      </c>
      <c r="D1482" s="9648"/>
      <c r="E1482" s="9649"/>
      <c r="F1482" s="285" t="s">
        <v>156</v>
      </c>
      <c r="G1482" s="666"/>
      <c r="H1482" s="9579" t="s">
        <v>138</v>
      </c>
      <c r="I1482" s="9580"/>
      <c r="J1482" s="9581"/>
      <c r="K1482" s="105" t="s">
        <v>156</v>
      </c>
      <c r="L1482" s="6765" t="s">
        <v>178</v>
      </c>
      <c r="M1482" s="7303"/>
      <c r="N1482" s="6881" t="s">
        <v>178</v>
      </c>
      <c r="O1482" s="7402"/>
      <c r="P1482" s="6886" t="s">
        <v>178</v>
      </c>
      <c r="Q1482" s="7421"/>
      <c r="R1482" s="6659" t="s">
        <v>1995</v>
      </c>
      <c r="S1482" s="9921"/>
      <c r="T1482" s="2468"/>
      <c r="U1482" s="544"/>
      <c r="V1482" s="545"/>
      <c r="W1482" s="546"/>
      <c r="X1482" s="547"/>
      <c r="Y1482" s="548"/>
      <c r="Z1482" s="277"/>
      <c r="AA1482" s="277"/>
      <c r="AB1482" s="187"/>
    </row>
    <row r="1483" spans="1:30" ht="20.100000000000001" customHeight="1">
      <c r="A1483" s="11"/>
      <c r="B1483" s="1360"/>
      <c r="C1483" s="9647" t="s">
        <v>140</v>
      </c>
      <c r="D1483" s="9648"/>
      <c r="E1483" s="9649"/>
      <c r="F1483" s="285" t="s">
        <v>156</v>
      </c>
      <c r="G1483" s="666"/>
      <c r="H1483" s="9579" t="s">
        <v>141</v>
      </c>
      <c r="I1483" s="9580"/>
      <c r="J1483" s="9581"/>
      <c r="K1483" s="105" t="s">
        <v>156</v>
      </c>
      <c r="L1483" s="6765" t="s">
        <v>178</v>
      </c>
      <c r="M1483" s="7303"/>
      <c r="N1483" s="6881" t="s">
        <v>178</v>
      </c>
      <c r="O1483" s="7405"/>
      <c r="P1483" s="6886" t="s">
        <v>178</v>
      </c>
      <c r="Q1483" s="7490"/>
      <c r="R1483" s="6659" t="s">
        <v>1995</v>
      </c>
      <c r="S1483" s="9921"/>
      <c r="T1483" s="2468"/>
      <c r="U1483" s="544"/>
      <c r="V1483" s="545"/>
      <c r="W1483" s="546"/>
      <c r="X1483" s="547"/>
      <c r="Y1483" s="548"/>
      <c r="Z1483" s="277"/>
      <c r="AA1483" s="277"/>
      <c r="AB1483" s="187"/>
    </row>
    <row r="1484" spans="1:30" ht="20.100000000000001" customHeight="1">
      <c r="A1484" s="11"/>
      <c r="B1484" s="1360"/>
      <c r="C1484" s="9647" t="s">
        <v>143</v>
      </c>
      <c r="D1484" s="9648"/>
      <c r="E1484" s="9649"/>
      <c r="F1484" s="285" t="s">
        <v>156</v>
      </c>
      <c r="G1484" s="666"/>
      <c r="H1484" s="9579" t="s">
        <v>144</v>
      </c>
      <c r="I1484" s="9580"/>
      <c r="J1484" s="9581"/>
      <c r="K1484" s="105" t="s">
        <v>156</v>
      </c>
      <c r="L1484" s="6794">
        <v>1.7453805429864253</v>
      </c>
      <c r="M1484" s="7303"/>
      <c r="N1484" s="6881">
        <v>1.715870588235294</v>
      </c>
      <c r="O1484" s="7402"/>
      <c r="P1484" s="6886">
        <v>1.6873668803418804</v>
      </c>
      <c r="Q1484" s="7421"/>
      <c r="R1484" s="6659" t="s">
        <v>1995</v>
      </c>
      <c r="S1484" s="9921"/>
      <c r="T1484" s="276"/>
      <c r="U1484" s="276"/>
      <c r="V1484" s="309"/>
      <c r="W1484" s="547"/>
      <c r="X1484" s="547"/>
      <c r="Y1484" s="548"/>
      <c r="Z1484" s="277"/>
      <c r="AA1484" s="277"/>
      <c r="AB1484" s="187"/>
    </row>
    <row r="1485" spans="1:30" ht="20.100000000000001" customHeight="1">
      <c r="A1485" s="11"/>
      <c r="B1485" s="1360"/>
      <c r="C1485" s="9647" t="s">
        <v>146</v>
      </c>
      <c r="D1485" s="9648"/>
      <c r="E1485" s="9649"/>
      <c r="F1485" s="285" t="s">
        <v>156</v>
      </c>
      <c r="G1485" s="666"/>
      <c r="H1485" s="9579" t="s">
        <v>147</v>
      </c>
      <c r="I1485" s="9580"/>
      <c r="J1485" s="9581"/>
      <c r="K1485" s="105" t="s">
        <v>156</v>
      </c>
      <c r="L1485" s="6765" t="s">
        <v>178</v>
      </c>
      <c r="M1485" s="7303"/>
      <c r="N1485" s="6881" t="s">
        <v>178</v>
      </c>
      <c r="O1485" s="7402"/>
      <c r="P1485" s="6886" t="s">
        <v>178</v>
      </c>
      <c r="Q1485" s="7421"/>
      <c r="R1485" s="6659" t="s">
        <v>1995</v>
      </c>
      <c r="S1485" s="9921"/>
      <c r="T1485" s="276"/>
      <c r="U1485" s="276"/>
      <c r="V1485" s="309"/>
      <c r="W1485" s="547"/>
      <c r="X1485" s="547"/>
      <c r="Y1485" s="548"/>
      <c r="Z1485" s="277"/>
      <c r="AA1485" s="277"/>
      <c r="AB1485" s="187"/>
    </row>
    <row r="1486" spans="1:30" ht="20.100000000000001" customHeight="1">
      <c r="A1486" s="11"/>
      <c r="B1486" s="1360"/>
      <c r="C1486" s="9647" t="s">
        <v>149</v>
      </c>
      <c r="D1486" s="9648"/>
      <c r="E1486" s="9649"/>
      <c r="F1486" s="809" t="s">
        <v>156</v>
      </c>
      <c r="G1486" s="666"/>
      <c r="H1486" s="9579" t="s">
        <v>150</v>
      </c>
      <c r="I1486" s="9580"/>
      <c r="J1486" s="9581"/>
      <c r="K1486" s="105" t="s">
        <v>156</v>
      </c>
      <c r="L1486" s="6765" t="s">
        <v>178</v>
      </c>
      <c r="M1486" s="7303"/>
      <c r="N1486" s="6881" t="s">
        <v>178</v>
      </c>
      <c r="O1486" s="7405"/>
      <c r="P1486" s="6886" t="s">
        <v>178</v>
      </c>
      <c r="Q1486" s="7490"/>
      <c r="R1486" s="6659" t="s">
        <v>1995</v>
      </c>
      <c r="S1486" s="9922"/>
      <c r="T1486" s="276"/>
      <c r="U1486" s="276"/>
      <c r="V1486" s="309"/>
      <c r="W1486" s="547"/>
      <c r="X1486" s="547"/>
      <c r="Y1486" s="548"/>
      <c r="Z1486" s="277"/>
      <c r="AA1486" s="277"/>
      <c r="AB1486" s="187"/>
    </row>
    <row r="1487" spans="1:30" ht="20.100000000000001" customHeight="1">
      <c r="A1487" s="11"/>
      <c r="B1487" s="1360"/>
      <c r="C1487" s="9656" t="s">
        <v>1951</v>
      </c>
      <c r="D1487" s="9587"/>
      <c r="E1487" s="9588"/>
      <c r="F1487" s="6683" t="s">
        <v>156</v>
      </c>
      <c r="G1487" s="6697"/>
      <c r="H1487" s="9586" t="s">
        <v>864</v>
      </c>
      <c r="I1487" s="9587"/>
      <c r="J1487" s="9588"/>
      <c r="K1487" s="6683" t="s">
        <v>156</v>
      </c>
      <c r="L1487" s="7016" t="str">
        <f>IF(COUNTBLANK(L1488:L1493)&gt;0,"미취합법인有",AVERAGE(L1488:L1493))</f>
        <v>미취합법인有</v>
      </c>
      <c r="M1487" s="7026"/>
      <c r="N1487" s="7001" t="str">
        <f>IF(COUNTBLANK(N1488:N1493)&gt;0,"미취합법인有",AVERAGE(N1488:N1493))</f>
        <v>미취합법인有</v>
      </c>
      <c r="O1487" s="7384"/>
      <c r="P1487" s="7002" t="str">
        <f>IF(COUNTBLANK(P1488:P1493)&gt;0,"미취합법인有",AVERAGE(P1488:P1493))</f>
        <v>미취합법인有</v>
      </c>
      <c r="Q1487" s="7029"/>
      <c r="R1487" s="7010" t="s">
        <v>31</v>
      </c>
      <c r="S1487" s="7007" t="s">
        <v>1952</v>
      </c>
      <c r="T1487" s="7020"/>
      <c r="U1487" s="457" t="s">
        <v>866</v>
      </c>
      <c r="V1487" s="99" t="s">
        <v>758</v>
      </c>
      <c r="W1487" s="547" t="s">
        <v>800</v>
      </c>
      <c r="X1487" s="547"/>
      <c r="Y1487" s="99"/>
      <c r="Z1487" s="620"/>
      <c r="AA1487" s="154" t="s">
        <v>853</v>
      </c>
      <c r="AB1487" s="159"/>
    </row>
    <row r="1488" spans="1:30" ht="19.899999999999999" customHeight="1">
      <c r="A1488" s="11"/>
      <c r="B1488" s="5590"/>
      <c r="C1488" s="9647" t="s">
        <v>134</v>
      </c>
      <c r="D1488" s="9648"/>
      <c r="E1488" s="9649"/>
      <c r="F1488" s="285" t="s">
        <v>156</v>
      </c>
      <c r="G1488" s="253"/>
      <c r="H1488" s="9579" t="s">
        <v>135</v>
      </c>
      <c r="I1488" s="9580"/>
      <c r="J1488" s="9581"/>
      <c r="K1488" s="285" t="s">
        <v>156</v>
      </c>
      <c r="L1488" s="6795">
        <v>100</v>
      </c>
      <c r="M1488" s="7299"/>
      <c r="N1488" s="6877">
        <v>100</v>
      </c>
      <c r="O1488" s="7299"/>
      <c r="P1488" s="6877">
        <v>100</v>
      </c>
      <c r="Q1488" s="7240"/>
      <c r="R1488" s="6658" t="s">
        <v>31</v>
      </c>
      <c r="S1488" s="6557"/>
      <c r="T1488" s="1033"/>
      <c r="U1488" s="263"/>
      <c r="V1488" s="99"/>
      <c r="W1488" s="138"/>
      <c r="X1488" s="138"/>
      <c r="Y1488" s="99"/>
      <c r="Z1488" s="264"/>
      <c r="AA1488" s="277"/>
      <c r="AB1488" s="187"/>
    </row>
    <row r="1489" spans="1:31" ht="19.899999999999999" customHeight="1">
      <c r="A1489" s="11"/>
      <c r="B1489" s="5590"/>
      <c r="C1489" s="9647" t="s">
        <v>137</v>
      </c>
      <c r="D1489" s="9648"/>
      <c r="E1489" s="9649"/>
      <c r="F1489" s="285" t="s">
        <v>156</v>
      </c>
      <c r="G1489" s="253"/>
      <c r="H1489" s="9579" t="s">
        <v>138</v>
      </c>
      <c r="I1489" s="9580"/>
      <c r="J1489" s="9581"/>
      <c r="K1489" s="285" t="s">
        <v>156</v>
      </c>
      <c r="L1489" s="6795">
        <v>100</v>
      </c>
      <c r="M1489" s="7299"/>
      <c r="N1489" s="6877">
        <v>100</v>
      </c>
      <c r="O1489" s="7397"/>
      <c r="P1489" s="6877">
        <v>100</v>
      </c>
      <c r="Q1489" s="7240"/>
      <c r="R1489" s="6658" t="s">
        <v>31</v>
      </c>
      <c r="S1489" s="6557"/>
      <c r="T1489" s="1033"/>
      <c r="U1489" s="263"/>
      <c r="V1489" s="99"/>
      <c r="W1489" s="138"/>
      <c r="X1489" s="138"/>
      <c r="Y1489" s="99"/>
      <c r="Z1489" s="264"/>
      <c r="AA1489" s="277"/>
      <c r="AB1489" s="187"/>
      <c r="AD1489" s="1377" t="s">
        <v>868</v>
      </c>
    </row>
    <row r="1490" spans="1:31" ht="19.899999999999999" customHeight="1">
      <c r="A1490" s="11"/>
      <c r="B1490" s="5590"/>
      <c r="C1490" s="9647" t="s">
        <v>140</v>
      </c>
      <c r="D1490" s="9648"/>
      <c r="E1490" s="9649"/>
      <c r="F1490" s="285" t="s">
        <v>156</v>
      </c>
      <c r="G1490" s="253"/>
      <c r="H1490" s="9579" t="s">
        <v>141</v>
      </c>
      <c r="I1490" s="9580"/>
      <c r="J1490" s="9581"/>
      <c r="K1490" s="285" t="s">
        <v>156</v>
      </c>
      <c r="L1490" s="6795">
        <v>0</v>
      </c>
      <c r="M1490" s="7299"/>
      <c r="N1490" s="6876">
        <v>0</v>
      </c>
      <c r="O1490" s="7397"/>
      <c r="P1490" s="6877">
        <v>0</v>
      </c>
      <c r="Q1490" s="7240"/>
      <c r="R1490" s="6658" t="s">
        <v>31</v>
      </c>
      <c r="S1490" s="6557"/>
      <c r="T1490" s="1033"/>
      <c r="U1490" s="263"/>
      <c r="V1490" s="99"/>
      <c r="W1490" s="138"/>
      <c r="X1490" s="138"/>
      <c r="Y1490" s="99"/>
      <c r="Z1490" s="264"/>
      <c r="AA1490" s="277"/>
      <c r="AB1490" s="187"/>
    </row>
    <row r="1491" spans="1:31" ht="19.899999999999999" customHeight="1">
      <c r="A1491" s="11"/>
      <c r="B1491" s="5590"/>
      <c r="C1491" s="9647" t="s">
        <v>143</v>
      </c>
      <c r="D1491" s="9648"/>
      <c r="E1491" s="9649"/>
      <c r="F1491" s="997" t="s">
        <v>156</v>
      </c>
      <c r="G1491" s="253"/>
      <c r="H1491" s="9579" t="s">
        <v>144</v>
      </c>
      <c r="I1491" s="9580"/>
      <c r="J1491" s="9581"/>
      <c r="K1491" s="285" t="s">
        <v>156</v>
      </c>
      <c r="L1491" s="6795">
        <v>20</v>
      </c>
      <c r="M1491" s="7298">
        <v>0.2</v>
      </c>
      <c r="N1491" s="6877">
        <v>20</v>
      </c>
      <c r="O1491" s="7298">
        <v>0.2</v>
      </c>
      <c r="P1491" s="6877">
        <v>20</v>
      </c>
      <c r="Q1491" s="7298">
        <v>0.2</v>
      </c>
      <c r="R1491" s="6658" t="s">
        <v>31</v>
      </c>
      <c r="S1491" s="6557"/>
      <c r="T1491" s="1033"/>
      <c r="U1491" s="263"/>
      <c r="V1491" s="99"/>
      <c r="W1491" s="138"/>
      <c r="X1491" s="138"/>
      <c r="Y1491" s="99"/>
      <c r="Z1491" s="264"/>
      <c r="AA1491" s="277"/>
      <c r="AB1491" s="187"/>
    </row>
    <row r="1492" spans="1:31" ht="19.899999999999999" customHeight="1">
      <c r="A1492" s="11"/>
      <c r="B1492" s="5590"/>
      <c r="C1492" s="9647" t="s">
        <v>146</v>
      </c>
      <c r="D1492" s="9648"/>
      <c r="E1492" s="9648"/>
      <c r="F1492" s="2240" t="s">
        <v>156</v>
      </c>
      <c r="G1492" s="742"/>
      <c r="H1492" s="9579" t="s">
        <v>147</v>
      </c>
      <c r="I1492" s="9580"/>
      <c r="J1492" s="9581"/>
      <c r="K1492" s="285" t="s">
        <v>156</v>
      </c>
      <c r="L1492" s="6796">
        <f>4/7*100</f>
        <v>57.142857142857139</v>
      </c>
      <c r="M1492" s="7297"/>
      <c r="N1492" s="6796">
        <f>3/7*100</f>
        <v>42.857142857142854</v>
      </c>
      <c r="O1492" s="7396"/>
      <c r="P1492" s="6796">
        <f>3/7*100</f>
        <v>42.857142857142854</v>
      </c>
      <c r="Q1492" s="7240"/>
      <c r="R1492" s="6658" t="s">
        <v>31</v>
      </c>
      <c r="S1492" s="6557"/>
      <c r="T1492" s="1033"/>
      <c r="U1492" s="263"/>
      <c r="V1492" s="99"/>
      <c r="W1492" s="138"/>
      <c r="X1492" s="138"/>
      <c r="Y1492" s="99"/>
      <c r="Z1492" s="264"/>
      <c r="AA1492" s="277"/>
      <c r="AB1492" s="187"/>
    </row>
    <row r="1493" spans="1:31" ht="19.899999999999999" customHeight="1" thickBot="1">
      <c r="A1493" s="11"/>
      <c r="B1493" s="5590"/>
      <c r="C1493" s="9647" t="s">
        <v>149</v>
      </c>
      <c r="D1493" s="9648"/>
      <c r="E1493" s="9649"/>
      <c r="F1493" s="285" t="s">
        <v>156</v>
      </c>
      <c r="G1493" s="253"/>
      <c r="H1493" s="9579" t="s">
        <v>150</v>
      </c>
      <c r="I1493" s="9580"/>
      <c r="J1493" s="9581"/>
      <c r="K1493" s="285" t="s">
        <v>156</v>
      </c>
      <c r="L1493" s="6797"/>
      <c r="M1493" s="7299"/>
      <c r="N1493" s="6878"/>
      <c r="O1493" s="7397"/>
      <c r="P1493" s="6878"/>
      <c r="Q1493" s="7240"/>
      <c r="R1493" s="6658" t="s">
        <v>31</v>
      </c>
      <c r="S1493" s="6557"/>
      <c r="T1493" s="1033"/>
      <c r="U1493" s="263"/>
      <c r="V1493" s="99"/>
      <c r="W1493" s="138"/>
      <c r="X1493" s="138"/>
      <c r="Y1493" s="99"/>
      <c r="Z1493" s="264"/>
      <c r="AA1493" s="277"/>
      <c r="AB1493" s="187"/>
    </row>
    <row r="1494" spans="1:31" ht="27" thickBot="1">
      <c r="A1494" s="11"/>
      <c r="B1494" s="123" t="s">
        <v>952</v>
      </c>
      <c r="C1494" s="124"/>
      <c r="D1494" s="124"/>
      <c r="E1494" s="124"/>
      <c r="F1494" s="78"/>
      <c r="G1494" s="125" t="s">
        <v>953</v>
      </c>
      <c r="H1494" s="126"/>
      <c r="I1494" s="521"/>
      <c r="J1494" s="521"/>
      <c r="K1494" s="78"/>
      <c r="L1494" s="6775"/>
      <c r="M1494" s="5600"/>
      <c r="N1494" s="6853"/>
      <c r="O1494" s="5600"/>
      <c r="P1494" s="6853"/>
      <c r="Q1494" s="5600"/>
      <c r="R1494" s="5600"/>
      <c r="S1494" s="5600"/>
      <c r="T1494" s="80"/>
      <c r="U1494" s="80"/>
      <c r="V1494" s="129"/>
      <c r="W1494" s="80"/>
      <c r="X1494" s="80"/>
      <c r="Y1494" s="6023"/>
      <c r="Z1494" s="752"/>
      <c r="AA1494" s="328"/>
      <c r="AB1494" s="329"/>
    </row>
    <row r="1495" spans="1:31" ht="20.100000000000001" customHeight="1">
      <c r="A1495" s="11"/>
      <c r="B1495" s="1359"/>
      <c r="C1495" s="9656" t="s">
        <v>954</v>
      </c>
      <c r="D1495" s="9587"/>
      <c r="E1495" s="9588"/>
      <c r="F1495" s="7055" t="s">
        <v>557</v>
      </c>
      <c r="G1495" s="7056"/>
      <c r="H1495" s="9702" t="s">
        <v>955</v>
      </c>
      <c r="I1495" s="9670"/>
      <c r="J1495" s="9683"/>
      <c r="K1495" s="7055" t="s">
        <v>559</v>
      </c>
      <c r="L1495" s="7111" t="str">
        <f>IF(COUNTBLANK(L1496:L1501)&gt;0,"미취합법인有",SUM(L1496:L1501))</f>
        <v>미취합법인有</v>
      </c>
      <c r="M1495" s="7279"/>
      <c r="N1495" s="7115" t="str">
        <f>IF(COUNTBLANK(N1496:N1501)&gt;0,"미취합법인有",SUM(N1496:N1501))</f>
        <v>미취합법인有</v>
      </c>
      <c r="O1495" s="7385"/>
      <c r="P1495" s="7121" t="str">
        <f>IF(COUNTBLANK(P1496:P1501)&gt;0,"미취합법인有",SUM(P1496:P1501))</f>
        <v>미취합법인有</v>
      </c>
      <c r="Q1495" s="7474"/>
      <c r="R1495" s="7003" t="s">
        <v>31</v>
      </c>
      <c r="S1495" s="7004"/>
      <c r="T1495" s="7005" t="s">
        <v>956</v>
      </c>
      <c r="U1495" s="262" t="s">
        <v>957</v>
      </c>
      <c r="V1495" s="642" t="s">
        <v>737</v>
      </c>
      <c r="W1495" s="534"/>
      <c r="X1495" s="767"/>
      <c r="Y1495" s="642"/>
      <c r="Z1495" s="768" t="s">
        <v>958</v>
      </c>
      <c r="AA1495" s="769"/>
      <c r="AB1495" s="770"/>
      <c r="AE1495" s="6442" t="s">
        <v>959</v>
      </c>
    </row>
    <row r="1496" spans="1:31" ht="20.100000000000001" customHeight="1">
      <c r="A1496" s="11"/>
      <c r="B1496" s="1360"/>
      <c r="C1496" s="9647" t="s">
        <v>134</v>
      </c>
      <c r="D1496" s="9648"/>
      <c r="E1496" s="9649"/>
      <c r="F1496" s="492" t="s">
        <v>557</v>
      </c>
      <c r="G1496" s="535"/>
      <c r="H1496" s="9579" t="s">
        <v>135</v>
      </c>
      <c r="I1496" s="9580"/>
      <c r="J1496" s="9581"/>
      <c r="K1496" s="492" t="s">
        <v>559</v>
      </c>
      <c r="L1496" s="7113">
        <v>4</v>
      </c>
      <c r="M1496" s="7288" t="s">
        <v>960</v>
      </c>
      <c r="N1496" s="7118">
        <v>7</v>
      </c>
      <c r="O1496" s="7393" t="s">
        <v>960</v>
      </c>
      <c r="P1496" s="7150">
        <v>5</v>
      </c>
      <c r="Q1496" s="7311"/>
      <c r="R1496" s="6663" t="s">
        <v>31</v>
      </c>
      <c r="S1496" s="6572"/>
      <c r="T1496" s="2468"/>
      <c r="U1496" s="544"/>
      <c r="V1496" s="545"/>
      <c r="W1496" s="546"/>
      <c r="X1496" s="547"/>
      <c r="Y1496" s="548"/>
      <c r="Z1496" s="277"/>
      <c r="AA1496" s="277"/>
      <c r="AB1496" s="187"/>
      <c r="AE1496" s="6443"/>
    </row>
    <row r="1497" spans="1:31" ht="20.100000000000001" customHeight="1">
      <c r="A1497" s="11"/>
      <c r="B1497" s="1360"/>
      <c r="C1497" s="9647" t="s">
        <v>137</v>
      </c>
      <c r="D1497" s="9648"/>
      <c r="E1497" s="9649"/>
      <c r="F1497" s="492" t="s">
        <v>557</v>
      </c>
      <c r="G1497" s="535"/>
      <c r="H1497" s="9579" t="s">
        <v>138</v>
      </c>
      <c r="I1497" s="9580"/>
      <c r="J1497" s="9581"/>
      <c r="K1497" s="492" t="s">
        <v>559</v>
      </c>
      <c r="L1497" s="7113">
        <v>0</v>
      </c>
      <c r="M1497" s="7288"/>
      <c r="N1497" s="7118">
        <v>0</v>
      </c>
      <c r="O1497" s="7393"/>
      <c r="P1497" s="7157">
        <v>0</v>
      </c>
      <c r="Q1497" s="7311"/>
      <c r="R1497" s="6663" t="s">
        <v>31</v>
      </c>
      <c r="S1497" s="6572"/>
      <c r="T1497" s="2468"/>
      <c r="U1497" s="544"/>
      <c r="V1497" s="545"/>
      <c r="W1497" s="546"/>
      <c r="X1497" s="547"/>
      <c r="Y1497" s="548"/>
      <c r="Z1497" s="277"/>
      <c r="AA1497" s="277"/>
      <c r="AB1497" s="187"/>
      <c r="AE1497" s="6443"/>
    </row>
    <row r="1498" spans="1:31" ht="20.100000000000001" customHeight="1">
      <c r="A1498" s="11"/>
      <c r="B1498" s="1360"/>
      <c r="C1498" s="9647" t="s">
        <v>140</v>
      </c>
      <c r="D1498" s="9648"/>
      <c r="E1498" s="9649"/>
      <c r="F1498" s="492" t="s">
        <v>557</v>
      </c>
      <c r="G1498" s="535"/>
      <c r="H1498" s="9579" t="s">
        <v>141</v>
      </c>
      <c r="I1498" s="9580"/>
      <c r="J1498" s="9581"/>
      <c r="K1498" s="492" t="s">
        <v>559</v>
      </c>
      <c r="L1498" s="7113">
        <v>0</v>
      </c>
      <c r="M1498" s="7288"/>
      <c r="N1498" s="7118">
        <v>0</v>
      </c>
      <c r="O1498" s="7393"/>
      <c r="P1498" s="7157">
        <v>0</v>
      </c>
      <c r="Q1498" s="7311"/>
      <c r="R1498" s="6663" t="s">
        <v>31</v>
      </c>
      <c r="S1498" s="6572"/>
      <c r="T1498" s="2468"/>
      <c r="U1498" s="544"/>
      <c r="V1498" s="545"/>
      <c r="W1498" s="546"/>
      <c r="X1498" s="547"/>
      <c r="Y1498" s="548"/>
      <c r="Z1498" s="277"/>
      <c r="AA1498" s="277"/>
      <c r="AB1498" s="187"/>
      <c r="AE1498" s="6442" t="s">
        <v>959</v>
      </c>
    </row>
    <row r="1499" spans="1:31" ht="20.100000000000001" customHeight="1">
      <c r="A1499" s="11"/>
      <c r="B1499" s="1360"/>
      <c r="C1499" s="9647" t="s">
        <v>143</v>
      </c>
      <c r="D1499" s="9648"/>
      <c r="E1499" s="9649"/>
      <c r="F1499" s="492" t="s">
        <v>557</v>
      </c>
      <c r="G1499" s="535"/>
      <c r="H1499" s="9579" t="s">
        <v>144</v>
      </c>
      <c r="I1499" s="9580"/>
      <c r="J1499" s="9581"/>
      <c r="K1499" s="492" t="s">
        <v>559</v>
      </c>
      <c r="L1499" s="7172"/>
      <c r="M1499" s="7288"/>
      <c r="N1499" s="7173"/>
      <c r="O1499" s="7393"/>
      <c r="P1499" s="7174"/>
      <c r="Q1499" s="7311"/>
      <c r="R1499" s="6663" t="s">
        <v>1995</v>
      </c>
      <c r="S1499" s="6572" t="s">
        <v>1955</v>
      </c>
      <c r="T1499" s="2468"/>
      <c r="U1499" s="544"/>
      <c r="V1499" s="545"/>
      <c r="W1499" s="546"/>
      <c r="X1499" s="547"/>
      <c r="Y1499" s="548"/>
      <c r="Z1499" s="277"/>
      <c r="AA1499" s="277"/>
      <c r="AB1499" s="187"/>
      <c r="AE1499" s="6442" t="s">
        <v>959</v>
      </c>
    </row>
    <row r="1500" spans="1:31" ht="20.100000000000001" customHeight="1">
      <c r="A1500" s="11"/>
      <c r="B1500" s="1360"/>
      <c r="C1500" s="9647" t="s">
        <v>146</v>
      </c>
      <c r="D1500" s="9648"/>
      <c r="E1500" s="9649"/>
      <c r="F1500" s="492" t="s">
        <v>557</v>
      </c>
      <c r="G1500" s="535"/>
      <c r="H1500" s="9579" t="s">
        <v>147</v>
      </c>
      <c r="I1500" s="9580"/>
      <c r="J1500" s="9581"/>
      <c r="K1500" s="492" t="s">
        <v>559</v>
      </c>
      <c r="L1500" s="7172"/>
      <c r="M1500" s="7288"/>
      <c r="N1500" s="7173"/>
      <c r="O1500" s="7393"/>
      <c r="P1500" s="7174"/>
      <c r="Q1500" s="7311"/>
      <c r="R1500" s="6663" t="s">
        <v>1995</v>
      </c>
      <c r="S1500" s="6572"/>
      <c r="T1500" s="2468"/>
      <c r="U1500" s="544"/>
      <c r="V1500" s="545"/>
      <c r="W1500" s="546"/>
      <c r="X1500" s="547"/>
      <c r="Y1500" s="548"/>
      <c r="Z1500" s="277"/>
      <c r="AA1500" s="277"/>
      <c r="AB1500" s="187"/>
      <c r="AE1500" s="6442" t="s">
        <v>959</v>
      </c>
    </row>
    <row r="1501" spans="1:31" ht="20.100000000000001" customHeight="1">
      <c r="A1501" s="11"/>
      <c r="B1501" s="1360"/>
      <c r="C1501" s="9647" t="s">
        <v>149</v>
      </c>
      <c r="D1501" s="9648"/>
      <c r="E1501" s="9649"/>
      <c r="F1501" s="492" t="s">
        <v>557</v>
      </c>
      <c r="G1501" s="535"/>
      <c r="H1501" s="9579" t="s">
        <v>150</v>
      </c>
      <c r="I1501" s="9580"/>
      <c r="J1501" s="9581"/>
      <c r="K1501" s="492" t="s">
        <v>559</v>
      </c>
      <c r="L1501" s="7172"/>
      <c r="M1501" s="7288"/>
      <c r="N1501" s="7173"/>
      <c r="O1501" s="7288"/>
      <c r="P1501" s="7173"/>
      <c r="Q1501" s="7311"/>
      <c r="R1501" s="6663" t="s">
        <v>1995</v>
      </c>
      <c r="S1501" s="6572"/>
      <c r="T1501" s="2468"/>
      <c r="U1501" s="544"/>
      <c r="V1501" s="545"/>
      <c r="W1501" s="546"/>
      <c r="X1501" s="547"/>
      <c r="Y1501" s="548"/>
      <c r="Z1501" s="277"/>
      <c r="AA1501" s="277"/>
      <c r="AB1501" s="187"/>
      <c r="AE1501" s="6442" t="s">
        <v>959</v>
      </c>
    </row>
    <row r="1502" spans="1:31" ht="20.100000000000001" customHeight="1">
      <c r="A1502" s="11"/>
      <c r="B1502" s="1360"/>
      <c r="C1502" s="9656" t="s">
        <v>2056</v>
      </c>
      <c r="D1502" s="9587"/>
      <c r="E1502" s="9588"/>
      <c r="F1502" s="6683" t="s">
        <v>557</v>
      </c>
      <c r="G1502" s="7057"/>
      <c r="H1502" s="9586" t="s">
        <v>962</v>
      </c>
      <c r="I1502" s="9587"/>
      <c r="J1502" s="9588"/>
      <c r="K1502" s="6683" t="s">
        <v>559</v>
      </c>
      <c r="L1502" s="7111" t="str">
        <f>IF(COUNTBLANK(L1503:L1508)&gt;0,"미취합법인有",SUM(L1503:L1508))</f>
        <v>미취합법인有</v>
      </c>
      <c r="M1502" s="7279"/>
      <c r="N1502" s="7115" t="str">
        <f>IF(COUNTBLANK(N1503:N1508)&gt;0,"미취합법인有",SUM(N1503:N1508))</f>
        <v>미취합법인有</v>
      </c>
      <c r="O1502" s="7385"/>
      <c r="P1502" s="7121" t="str">
        <f>IF(COUNTBLANK(P1503:P1508)&gt;0,"미취합법인有",SUM(P1503:P1508))</f>
        <v>미취합법인有</v>
      </c>
      <c r="Q1502" s="7029"/>
      <c r="R1502" s="7058" t="s">
        <v>31</v>
      </c>
      <c r="S1502" s="7007"/>
      <c r="T1502" s="7008" t="s">
        <v>963</v>
      </c>
      <c r="U1502" s="367" t="s">
        <v>964</v>
      </c>
      <c r="V1502" s="99" t="s">
        <v>737</v>
      </c>
      <c r="W1502" s="547"/>
      <c r="X1502" s="773"/>
      <c r="Y1502" s="99"/>
      <c r="Z1502" s="774" t="s">
        <v>965</v>
      </c>
      <c r="AA1502" s="775"/>
      <c r="AB1502" s="776"/>
    </row>
    <row r="1503" spans="1:31" ht="20.100000000000001" customHeight="1">
      <c r="A1503" s="11"/>
      <c r="B1503" s="1360"/>
      <c r="C1503" s="9647" t="s">
        <v>134</v>
      </c>
      <c r="D1503" s="9648"/>
      <c r="E1503" s="9649"/>
      <c r="F1503" s="492" t="s">
        <v>557</v>
      </c>
      <c r="G1503" s="535"/>
      <c r="H1503" s="9579" t="s">
        <v>135</v>
      </c>
      <c r="I1503" s="9580"/>
      <c r="J1503" s="9581"/>
      <c r="K1503" s="492" t="s">
        <v>559</v>
      </c>
      <c r="L1503" s="7113">
        <v>4</v>
      </c>
      <c r="M1503" s="7288" t="s">
        <v>960</v>
      </c>
      <c r="N1503" s="7118">
        <v>4</v>
      </c>
      <c r="O1503" s="7393" t="s">
        <v>960</v>
      </c>
      <c r="P1503" s="7150">
        <v>4</v>
      </c>
      <c r="Q1503" s="7311"/>
      <c r="R1503" s="6663" t="s">
        <v>31</v>
      </c>
      <c r="S1503" s="6572"/>
      <c r="T1503" s="2468"/>
      <c r="U1503" s="544"/>
      <c r="V1503" s="545"/>
      <c r="W1503" s="546"/>
      <c r="X1503" s="547"/>
      <c r="Y1503" s="548"/>
      <c r="Z1503" s="277"/>
      <c r="AA1503" s="277"/>
      <c r="AB1503" s="187"/>
    </row>
    <row r="1504" spans="1:31" ht="20.100000000000001" customHeight="1">
      <c r="A1504" s="11"/>
      <c r="B1504" s="1360"/>
      <c r="C1504" s="9647" t="s">
        <v>137</v>
      </c>
      <c r="D1504" s="9648"/>
      <c r="E1504" s="9649"/>
      <c r="F1504" s="492" t="s">
        <v>557</v>
      </c>
      <c r="G1504" s="535"/>
      <c r="H1504" s="9579" t="s">
        <v>138</v>
      </c>
      <c r="I1504" s="9580"/>
      <c r="J1504" s="9581"/>
      <c r="K1504" s="492" t="s">
        <v>559</v>
      </c>
      <c r="L1504" s="7113">
        <v>0</v>
      </c>
      <c r="M1504" s="7288"/>
      <c r="N1504" s="7118">
        <v>0</v>
      </c>
      <c r="O1504" s="7393"/>
      <c r="P1504" s="7157">
        <v>0</v>
      </c>
      <c r="Q1504" s="7311"/>
      <c r="R1504" s="6663" t="s">
        <v>31</v>
      </c>
      <c r="S1504" s="6572"/>
      <c r="T1504" s="2468"/>
      <c r="U1504" s="544"/>
      <c r="V1504" s="545"/>
      <c r="W1504" s="546"/>
      <c r="X1504" s="547"/>
      <c r="Y1504" s="548"/>
      <c r="Z1504" s="277"/>
      <c r="AA1504" s="277"/>
      <c r="AB1504" s="187"/>
    </row>
    <row r="1505" spans="1:31" ht="20.100000000000001" customHeight="1">
      <c r="A1505" s="11"/>
      <c r="B1505" s="1360"/>
      <c r="C1505" s="9647" t="s">
        <v>140</v>
      </c>
      <c r="D1505" s="9648"/>
      <c r="E1505" s="9649"/>
      <c r="F1505" s="492" t="s">
        <v>557</v>
      </c>
      <c r="G1505" s="535"/>
      <c r="H1505" s="9579" t="s">
        <v>141</v>
      </c>
      <c r="I1505" s="9580"/>
      <c r="J1505" s="9581"/>
      <c r="K1505" s="492" t="s">
        <v>559</v>
      </c>
      <c r="L1505" s="7113">
        <v>0</v>
      </c>
      <c r="M1505" s="7288"/>
      <c r="N1505" s="7118">
        <v>0</v>
      </c>
      <c r="O1505" s="7393"/>
      <c r="P1505" s="7157">
        <v>0</v>
      </c>
      <c r="Q1505" s="7311"/>
      <c r="R1505" s="6663" t="s">
        <v>31</v>
      </c>
      <c r="S1505" s="6572"/>
      <c r="T1505" s="2468"/>
      <c r="U1505" s="544"/>
      <c r="V1505" s="545"/>
      <c r="W1505" s="546"/>
      <c r="X1505" s="547"/>
      <c r="Y1505" s="548"/>
      <c r="Z1505" s="277"/>
      <c r="AA1505" s="277"/>
      <c r="AB1505" s="187"/>
      <c r="AE1505" s="6442" t="s">
        <v>966</v>
      </c>
    </row>
    <row r="1506" spans="1:31" ht="20.100000000000001" customHeight="1">
      <c r="A1506" s="11"/>
      <c r="B1506" s="1360"/>
      <c r="C1506" s="9647" t="s">
        <v>143</v>
      </c>
      <c r="D1506" s="9648"/>
      <c r="E1506" s="9649"/>
      <c r="F1506" s="492" t="s">
        <v>557</v>
      </c>
      <c r="G1506" s="535"/>
      <c r="H1506" s="9579" t="s">
        <v>144</v>
      </c>
      <c r="I1506" s="9580"/>
      <c r="J1506" s="9581"/>
      <c r="K1506" s="492" t="s">
        <v>559</v>
      </c>
      <c r="L1506" s="7172"/>
      <c r="M1506" s="7288"/>
      <c r="N1506" s="7173"/>
      <c r="O1506" s="7393"/>
      <c r="P1506" s="7174"/>
      <c r="Q1506" s="7311"/>
      <c r="R1506" s="6663" t="s">
        <v>31</v>
      </c>
      <c r="S1506" s="6572"/>
      <c r="T1506" s="2468"/>
      <c r="U1506" s="544"/>
      <c r="V1506" s="545"/>
      <c r="W1506" s="546"/>
      <c r="X1506" s="547"/>
      <c r="Y1506" s="548"/>
      <c r="Z1506" s="277"/>
      <c r="AA1506" s="277"/>
      <c r="AB1506" s="187"/>
      <c r="AE1506" s="6442" t="s">
        <v>966</v>
      </c>
    </row>
    <row r="1507" spans="1:31" ht="20.100000000000001" customHeight="1">
      <c r="A1507" s="11"/>
      <c r="B1507" s="1360"/>
      <c r="C1507" s="9647" t="s">
        <v>146</v>
      </c>
      <c r="D1507" s="9648"/>
      <c r="E1507" s="9649"/>
      <c r="F1507" s="492" t="s">
        <v>557</v>
      </c>
      <c r="G1507" s="535"/>
      <c r="H1507" s="9579" t="s">
        <v>147</v>
      </c>
      <c r="I1507" s="9580"/>
      <c r="J1507" s="9581"/>
      <c r="K1507" s="492" t="s">
        <v>559</v>
      </c>
      <c r="L1507" s="7172"/>
      <c r="M1507" s="7288"/>
      <c r="N1507" s="7173"/>
      <c r="O1507" s="7393"/>
      <c r="P1507" s="7174"/>
      <c r="Q1507" s="7311"/>
      <c r="R1507" s="6663" t="s">
        <v>31</v>
      </c>
      <c r="S1507" s="6572"/>
      <c r="T1507" s="2468"/>
      <c r="U1507" s="544"/>
      <c r="V1507" s="545"/>
      <c r="W1507" s="546"/>
      <c r="X1507" s="547"/>
      <c r="Y1507" s="548"/>
      <c r="Z1507" s="277"/>
      <c r="AA1507" s="277"/>
      <c r="AB1507" s="187"/>
      <c r="AE1507" s="6442" t="s">
        <v>966</v>
      </c>
    </row>
    <row r="1508" spans="1:31" ht="20.100000000000001" customHeight="1">
      <c r="A1508" s="11"/>
      <c r="B1508" s="1360"/>
      <c r="C1508" s="9647" t="s">
        <v>149</v>
      </c>
      <c r="D1508" s="9648"/>
      <c r="E1508" s="9649"/>
      <c r="F1508" s="492" t="s">
        <v>557</v>
      </c>
      <c r="G1508" s="535"/>
      <c r="H1508" s="9579" t="s">
        <v>150</v>
      </c>
      <c r="I1508" s="9580"/>
      <c r="J1508" s="9581"/>
      <c r="K1508" s="492" t="s">
        <v>559</v>
      </c>
      <c r="L1508" s="7172"/>
      <c r="M1508" s="7288"/>
      <c r="N1508" s="7173"/>
      <c r="O1508" s="7288"/>
      <c r="P1508" s="7173"/>
      <c r="Q1508" s="7311"/>
      <c r="R1508" s="6663" t="s">
        <v>31</v>
      </c>
      <c r="S1508" s="6572"/>
      <c r="T1508" s="2468"/>
      <c r="U1508" s="544"/>
      <c r="V1508" s="545"/>
      <c r="W1508" s="546"/>
      <c r="X1508" s="547"/>
      <c r="Y1508" s="548"/>
      <c r="Z1508" s="277"/>
      <c r="AA1508" s="277"/>
      <c r="AB1508" s="187"/>
      <c r="AE1508" s="6442" t="s">
        <v>966</v>
      </c>
    </row>
    <row r="1509" spans="1:31" ht="20.100000000000001" customHeight="1">
      <c r="A1509" s="11"/>
      <c r="B1509" s="1360"/>
      <c r="C1509" s="9656" t="s">
        <v>967</v>
      </c>
      <c r="D1509" s="9587"/>
      <c r="E1509" s="9588"/>
      <c r="F1509" s="6683" t="s">
        <v>168</v>
      </c>
      <c r="G1509" s="7053"/>
      <c r="H1509" s="9586" t="s">
        <v>968</v>
      </c>
      <c r="I1509" s="9587"/>
      <c r="J1509" s="9588"/>
      <c r="K1509" s="7059" t="s">
        <v>168</v>
      </c>
      <c r="L1509" s="6970" t="str">
        <f>IF(COUNTBLANK(L1510:L1515)&gt;0,"미취합법인有",SUM(L1510:L1515))</f>
        <v>미취합법인有</v>
      </c>
      <c r="M1509" s="7026"/>
      <c r="N1509" s="7001" t="str">
        <f>IF(COUNTBLANK(N1510:N1515)&gt;0,"미취합법인有",SUM(N1510:N1515))</f>
        <v>미취합법인有</v>
      </c>
      <c r="O1509" s="7384"/>
      <c r="P1509" s="7002" t="str">
        <f>IF(COUNTBLANK(P1510:P1515)&gt;0,"미취합법인有",SUM(P1510:P1515))</f>
        <v>미취합법인有</v>
      </c>
      <c r="Q1509" s="7029"/>
      <c r="R1509" s="7010" t="s">
        <v>155</v>
      </c>
      <c r="S1509" s="7007"/>
      <c r="T1509" s="7008" t="s">
        <v>969</v>
      </c>
      <c r="U1509" s="367" t="s">
        <v>970</v>
      </c>
      <c r="V1509" s="99" t="s">
        <v>737</v>
      </c>
      <c r="W1509" s="547"/>
      <c r="X1509" s="773"/>
      <c r="Y1509" s="99"/>
      <c r="Z1509" s="780" t="s">
        <v>971</v>
      </c>
      <c r="AA1509" s="775"/>
      <c r="AB1509" s="776"/>
    </row>
    <row r="1510" spans="1:31" ht="20.100000000000001" customHeight="1">
      <c r="A1510" s="11"/>
      <c r="B1510" s="1360"/>
      <c r="C1510" s="9647" t="s">
        <v>134</v>
      </c>
      <c r="D1510" s="9648"/>
      <c r="E1510" s="9649"/>
      <c r="F1510" s="285" t="s">
        <v>168</v>
      </c>
      <c r="G1510" s="535"/>
      <c r="H1510" s="9579" t="s">
        <v>135</v>
      </c>
      <c r="I1510" s="9580"/>
      <c r="J1510" s="9581"/>
      <c r="K1510" s="5622" t="s">
        <v>168</v>
      </c>
      <c r="L1510" s="6753"/>
      <c r="M1510" s="7261"/>
      <c r="N1510" s="6842"/>
      <c r="O1510" s="7377"/>
      <c r="P1510" s="6826"/>
      <c r="Q1510" s="7356"/>
      <c r="R1510" s="6659" t="s">
        <v>155</v>
      </c>
      <c r="S1510" s="6557"/>
      <c r="T1510" s="2468"/>
      <c r="U1510" s="544"/>
      <c r="V1510" s="545"/>
      <c r="W1510" s="546"/>
      <c r="X1510" s="547"/>
      <c r="Y1510" s="548"/>
      <c r="Z1510" s="277"/>
      <c r="AA1510" s="277"/>
      <c r="AB1510" s="187"/>
    </row>
    <row r="1511" spans="1:31" ht="20.100000000000001" customHeight="1">
      <c r="A1511" s="11"/>
      <c r="B1511" s="1360"/>
      <c r="C1511" s="9647" t="s">
        <v>137</v>
      </c>
      <c r="D1511" s="9648"/>
      <c r="E1511" s="9649"/>
      <c r="F1511" s="285" t="s">
        <v>168</v>
      </c>
      <c r="G1511" s="535"/>
      <c r="H1511" s="9579" t="s">
        <v>138</v>
      </c>
      <c r="I1511" s="9580"/>
      <c r="J1511" s="9581"/>
      <c r="K1511" s="5622" t="s">
        <v>168</v>
      </c>
      <c r="L1511" s="6753"/>
      <c r="M1511" s="7261"/>
      <c r="N1511" s="6842"/>
      <c r="O1511" s="7377"/>
      <c r="P1511" s="6936"/>
      <c r="Q1511" s="7356"/>
      <c r="R1511" s="6659" t="s">
        <v>155</v>
      </c>
      <c r="S1511" s="6557"/>
      <c r="T1511" s="2468"/>
      <c r="U1511" s="544"/>
      <c r="V1511" s="545"/>
      <c r="W1511" s="546"/>
      <c r="X1511" s="547"/>
      <c r="Y1511" s="548"/>
      <c r="Z1511" s="277"/>
      <c r="AA1511" s="277"/>
      <c r="AB1511" s="187"/>
    </row>
    <row r="1512" spans="1:31" ht="20.100000000000001" customHeight="1">
      <c r="A1512" s="11"/>
      <c r="B1512" s="1360"/>
      <c r="C1512" s="9647" t="s">
        <v>140</v>
      </c>
      <c r="D1512" s="9648"/>
      <c r="E1512" s="9649"/>
      <c r="F1512" s="285" t="s">
        <v>168</v>
      </c>
      <c r="G1512" s="535"/>
      <c r="H1512" s="9579" t="s">
        <v>141</v>
      </c>
      <c r="I1512" s="9580"/>
      <c r="J1512" s="9581"/>
      <c r="K1512" s="5622" t="s">
        <v>168</v>
      </c>
      <c r="L1512" s="6753"/>
      <c r="M1512" s="7249"/>
      <c r="N1512" s="6842"/>
      <c r="O1512" s="7377"/>
      <c r="P1512" s="6936"/>
      <c r="Q1512" s="7356"/>
      <c r="R1512" s="6659" t="s">
        <v>155</v>
      </c>
      <c r="S1512" s="6557"/>
      <c r="T1512" s="2468"/>
      <c r="U1512" s="544"/>
      <c r="V1512" s="545"/>
      <c r="W1512" s="546"/>
      <c r="X1512" s="547"/>
      <c r="Y1512" s="548"/>
      <c r="Z1512" s="277"/>
      <c r="AA1512" s="277"/>
      <c r="AB1512" s="187"/>
    </row>
    <row r="1513" spans="1:31" ht="20.100000000000001" customHeight="1">
      <c r="A1513" s="11"/>
      <c r="B1513" s="1360"/>
      <c r="C1513" s="9647" t="s">
        <v>143</v>
      </c>
      <c r="D1513" s="9648"/>
      <c r="E1513" s="9649"/>
      <c r="F1513" s="285" t="s">
        <v>168</v>
      </c>
      <c r="G1513" s="535"/>
      <c r="H1513" s="9579" t="s">
        <v>144</v>
      </c>
      <c r="I1513" s="9580"/>
      <c r="J1513" s="9581"/>
      <c r="K1513" s="5622" t="s">
        <v>168</v>
      </c>
      <c r="L1513" s="6753"/>
      <c r="M1513" s="7249"/>
      <c r="N1513" s="6842"/>
      <c r="O1513" s="7377"/>
      <c r="P1513" s="6936"/>
      <c r="Q1513" s="7356"/>
      <c r="R1513" s="6659" t="s">
        <v>155</v>
      </c>
      <c r="S1513" s="6557"/>
      <c r="T1513" s="2468"/>
      <c r="U1513" s="544"/>
      <c r="V1513" s="545"/>
      <c r="W1513" s="546"/>
      <c r="X1513" s="547"/>
      <c r="Y1513" s="548"/>
      <c r="Z1513" s="277"/>
      <c r="AA1513" s="277"/>
      <c r="AB1513" s="187"/>
    </row>
    <row r="1514" spans="1:31" ht="20.100000000000001" customHeight="1">
      <c r="A1514" s="11"/>
      <c r="B1514" s="1360"/>
      <c r="C1514" s="9647" t="s">
        <v>146</v>
      </c>
      <c r="D1514" s="9648"/>
      <c r="E1514" s="9649"/>
      <c r="F1514" s="285" t="s">
        <v>168</v>
      </c>
      <c r="G1514" s="535"/>
      <c r="H1514" s="9579" t="s">
        <v>147</v>
      </c>
      <c r="I1514" s="9580"/>
      <c r="J1514" s="9581"/>
      <c r="K1514" s="5622" t="s">
        <v>168</v>
      </c>
      <c r="L1514" s="6753"/>
      <c r="M1514" s="7249"/>
      <c r="N1514" s="6842"/>
      <c r="O1514" s="7377"/>
      <c r="P1514" s="6936"/>
      <c r="Q1514" s="7356"/>
      <c r="R1514" s="6659" t="s">
        <v>155</v>
      </c>
      <c r="S1514" s="6557"/>
      <c r="T1514" s="2468"/>
      <c r="U1514" s="544"/>
      <c r="V1514" s="545"/>
      <c r="W1514" s="546"/>
      <c r="X1514" s="547"/>
      <c r="Y1514" s="548"/>
      <c r="Z1514" s="277"/>
      <c r="AA1514" s="277"/>
      <c r="AB1514" s="187"/>
    </row>
    <row r="1515" spans="1:31" ht="20.100000000000001" customHeight="1">
      <c r="A1515" s="11"/>
      <c r="B1515" s="1360"/>
      <c r="C1515" s="9647" t="s">
        <v>149</v>
      </c>
      <c r="D1515" s="9648"/>
      <c r="E1515" s="9649"/>
      <c r="F1515" s="285" t="s">
        <v>168</v>
      </c>
      <c r="G1515" s="535"/>
      <c r="H1515" s="9579" t="s">
        <v>150</v>
      </c>
      <c r="I1515" s="9580"/>
      <c r="J1515" s="9581"/>
      <c r="K1515" s="5622" t="s">
        <v>168</v>
      </c>
      <c r="L1515" s="6764" t="s">
        <v>168</v>
      </c>
      <c r="M1515" s="7249" t="s">
        <v>641</v>
      </c>
      <c r="N1515" s="6842" t="s">
        <v>168</v>
      </c>
      <c r="O1515" s="7249" t="s">
        <v>641</v>
      </c>
      <c r="P1515" s="6842" t="s">
        <v>168</v>
      </c>
      <c r="Q1515" s="7356" t="s">
        <v>641</v>
      </c>
      <c r="R1515" s="6659" t="s">
        <v>155</v>
      </c>
      <c r="S1515" s="6557"/>
      <c r="T1515" s="2468"/>
      <c r="U1515" s="544"/>
      <c r="V1515" s="545"/>
      <c r="W1515" s="546"/>
      <c r="X1515" s="547"/>
      <c r="Y1515" s="548"/>
      <c r="Z1515" s="277"/>
      <c r="AA1515" s="277"/>
      <c r="AB1515" s="187"/>
    </row>
    <row r="1516" spans="1:31" ht="20.100000000000001" customHeight="1">
      <c r="A1516" s="11"/>
      <c r="B1516" s="1662"/>
      <c r="C1516" s="9656" t="s">
        <v>972</v>
      </c>
      <c r="D1516" s="9587"/>
      <c r="E1516" s="9588"/>
      <c r="F1516" s="6683" t="s">
        <v>156</v>
      </c>
      <c r="G1516" s="7053"/>
      <c r="H1516" s="9586" t="s">
        <v>973</v>
      </c>
      <c r="I1516" s="9587"/>
      <c r="J1516" s="9588"/>
      <c r="K1516" s="6733" t="s">
        <v>156</v>
      </c>
      <c r="L1516" s="7016" t="str">
        <f>IF(COUNTBLANK(L1517:L1522)&gt;0,"미취합법인有",AVERAGE(L1517:L1522))</f>
        <v>미취합법인有</v>
      </c>
      <c r="M1516" s="7026"/>
      <c r="N1516" s="7001" t="str">
        <f>IF(COUNTBLANK(N1517:N1522)&gt;0,"미취합법인有",AVERAGE(N1517:N1522))</f>
        <v>미취합법인有</v>
      </c>
      <c r="O1516" s="7384"/>
      <c r="P1516" s="7002" t="str">
        <f>IF(COUNTBLANK(P1517:P1522)&gt;0,"미취합법인有",AVERAGE(P1517:P1522))</f>
        <v>미취합법인有</v>
      </c>
      <c r="Q1516" s="7029"/>
      <c r="R1516" s="7010" t="s">
        <v>31</v>
      </c>
      <c r="S1516" s="7007"/>
      <c r="T1516" s="7008" t="s">
        <v>974</v>
      </c>
      <c r="U1516" s="367" t="s">
        <v>975</v>
      </c>
      <c r="V1516" s="99" t="s">
        <v>189</v>
      </c>
      <c r="W1516" s="547"/>
      <c r="X1516" s="773"/>
      <c r="Y1516" s="99"/>
      <c r="Z1516" s="786" t="s">
        <v>976</v>
      </c>
      <c r="AA1516" s="775"/>
      <c r="AB1516" s="776"/>
      <c r="AE1516" s="1377" t="s">
        <v>977</v>
      </c>
    </row>
    <row r="1517" spans="1:31" ht="19.899999999999999" customHeight="1">
      <c r="A1517" s="11"/>
      <c r="B1517" s="5590"/>
      <c r="C1517" s="9647" t="s">
        <v>134</v>
      </c>
      <c r="D1517" s="9648"/>
      <c r="E1517" s="9649"/>
      <c r="F1517" s="285" t="s">
        <v>156</v>
      </c>
      <c r="G1517" s="253"/>
      <c r="H1517" s="9579" t="s">
        <v>135</v>
      </c>
      <c r="I1517" s="9580"/>
      <c r="J1517" s="9581"/>
      <c r="K1517" s="5623" t="s">
        <v>156</v>
      </c>
      <c r="L1517" s="6754">
        <v>99.788806758183739</v>
      </c>
      <c r="M1517" s="7273"/>
      <c r="N1517" s="6811">
        <v>99.602780536246271</v>
      </c>
      <c r="O1517" s="7249"/>
      <c r="P1517" s="6811">
        <v>100</v>
      </c>
      <c r="Q1517" s="7356"/>
      <c r="R1517" s="6659" t="s">
        <v>31</v>
      </c>
      <c r="S1517" s="6557"/>
      <c r="T1517" s="1033"/>
      <c r="U1517" s="263"/>
      <c r="V1517" s="99"/>
      <c r="W1517" s="138"/>
      <c r="X1517" s="138"/>
      <c r="Y1517" s="99"/>
      <c r="Z1517" s="264"/>
      <c r="AA1517" s="277"/>
      <c r="AB1517" s="187"/>
    </row>
    <row r="1518" spans="1:31" ht="19.899999999999999" customHeight="1">
      <c r="A1518" s="11"/>
      <c r="B1518" s="5590"/>
      <c r="C1518" s="9647" t="s">
        <v>137</v>
      </c>
      <c r="D1518" s="9648"/>
      <c r="E1518" s="9649"/>
      <c r="F1518" s="285" t="s">
        <v>156</v>
      </c>
      <c r="G1518" s="253"/>
      <c r="H1518" s="9579" t="s">
        <v>138</v>
      </c>
      <c r="I1518" s="9580"/>
      <c r="J1518" s="9581"/>
      <c r="K1518" s="5623" t="s">
        <v>156</v>
      </c>
      <c r="L1518" s="6754">
        <v>98.425196850393704</v>
      </c>
      <c r="M1518" s="7273"/>
      <c r="N1518" s="6893">
        <v>97.604790419161674</v>
      </c>
      <c r="O1518" s="7249"/>
      <c r="P1518" s="6893">
        <v>99.519230769230774</v>
      </c>
      <c r="Q1518" s="7356"/>
      <c r="R1518" s="6659" t="s">
        <v>31</v>
      </c>
      <c r="S1518" s="6557"/>
      <c r="T1518" s="1033"/>
      <c r="U1518" s="263"/>
      <c r="V1518" s="99"/>
      <c r="W1518" s="138"/>
      <c r="X1518" s="138"/>
      <c r="Y1518" s="99"/>
      <c r="Z1518" s="264"/>
      <c r="AA1518" s="277"/>
      <c r="AB1518" s="187"/>
    </row>
    <row r="1519" spans="1:31" ht="19.899999999999999" customHeight="1">
      <c r="A1519" s="11"/>
      <c r="B1519" s="5590"/>
      <c r="C1519" s="9647" t="s">
        <v>140</v>
      </c>
      <c r="D1519" s="9648"/>
      <c r="E1519" s="9649"/>
      <c r="F1519" s="285" t="s">
        <v>156</v>
      </c>
      <c r="G1519" s="253"/>
      <c r="H1519" s="9579" t="s">
        <v>141</v>
      </c>
      <c r="I1519" s="9580"/>
      <c r="J1519" s="9581"/>
      <c r="K1519" s="5623" t="s">
        <v>156</v>
      </c>
      <c r="L1519" s="6754" t="s">
        <v>169</v>
      </c>
      <c r="M1519" s="7273"/>
      <c r="N1519" s="6893" t="s">
        <v>169</v>
      </c>
      <c r="O1519" s="7249"/>
      <c r="P1519" s="6893" t="s">
        <v>169</v>
      </c>
      <c r="Q1519" s="7356"/>
      <c r="R1519" s="6659" t="s">
        <v>31</v>
      </c>
      <c r="S1519" s="6557"/>
      <c r="T1519" s="1033"/>
      <c r="U1519" s="263"/>
      <c r="V1519" s="99"/>
      <c r="W1519" s="138"/>
      <c r="X1519" s="138"/>
      <c r="Y1519" s="99"/>
      <c r="Z1519" s="264"/>
      <c r="AA1519" s="277"/>
      <c r="AB1519" s="187"/>
      <c r="AE1519" s="1377" t="s">
        <v>977</v>
      </c>
    </row>
    <row r="1520" spans="1:31" ht="19.899999999999999" customHeight="1">
      <c r="A1520" s="11"/>
      <c r="B1520" s="1360"/>
      <c r="C1520" s="9647" t="s">
        <v>143</v>
      </c>
      <c r="D1520" s="9648"/>
      <c r="E1520" s="9649"/>
      <c r="F1520" s="492" t="s">
        <v>156</v>
      </c>
      <c r="G1520" s="535"/>
      <c r="H1520" s="9579" t="s">
        <v>144</v>
      </c>
      <c r="I1520" s="9580"/>
      <c r="J1520" s="9581"/>
      <c r="K1520" s="5623" t="s">
        <v>156</v>
      </c>
      <c r="L1520" s="6753"/>
      <c r="M1520" s="7249"/>
      <c r="N1520" s="6842"/>
      <c r="O1520" s="7377"/>
      <c r="P1520" s="6936"/>
      <c r="Q1520" s="7356"/>
      <c r="R1520" s="6659" t="s">
        <v>31</v>
      </c>
      <c r="S1520" s="6557"/>
      <c r="T1520" s="2468"/>
      <c r="U1520" s="544"/>
      <c r="V1520" s="545"/>
      <c r="W1520" s="546"/>
      <c r="X1520" s="547"/>
      <c r="Y1520" s="548"/>
      <c r="Z1520" s="277"/>
      <c r="AA1520" s="277"/>
      <c r="AB1520" s="187"/>
      <c r="AE1520" s="1377" t="s">
        <v>977</v>
      </c>
    </row>
    <row r="1521" spans="1:31" ht="19.899999999999999" customHeight="1">
      <c r="A1521" s="11"/>
      <c r="B1521" s="1360"/>
      <c r="C1521" s="9647" t="s">
        <v>146</v>
      </c>
      <c r="D1521" s="9648"/>
      <c r="E1521" s="9649"/>
      <c r="F1521" s="492" t="s">
        <v>156</v>
      </c>
      <c r="G1521" s="535"/>
      <c r="H1521" s="9579" t="s">
        <v>147</v>
      </c>
      <c r="I1521" s="9580"/>
      <c r="J1521" s="9581"/>
      <c r="K1521" s="5623" t="s">
        <v>156</v>
      </c>
      <c r="L1521" s="6753"/>
      <c r="M1521" s="7249"/>
      <c r="N1521" s="6842"/>
      <c r="O1521" s="7377"/>
      <c r="P1521" s="6936"/>
      <c r="Q1521" s="7356"/>
      <c r="R1521" s="6659" t="s">
        <v>31</v>
      </c>
      <c r="S1521" s="6557"/>
      <c r="T1521" s="2468"/>
      <c r="U1521" s="544"/>
      <c r="V1521" s="545"/>
      <c r="W1521" s="546"/>
      <c r="X1521" s="547"/>
      <c r="Y1521" s="548"/>
      <c r="Z1521" s="277"/>
      <c r="AA1521" s="277"/>
      <c r="AB1521" s="187"/>
      <c r="AE1521" s="1377" t="s">
        <v>977</v>
      </c>
    </row>
    <row r="1522" spans="1:31" ht="19.899999999999999" customHeight="1">
      <c r="A1522" s="11"/>
      <c r="B1522" s="5590"/>
      <c r="C1522" s="9647" t="s">
        <v>149</v>
      </c>
      <c r="D1522" s="9648"/>
      <c r="E1522" s="9649"/>
      <c r="F1522" s="285" t="s">
        <v>156</v>
      </c>
      <c r="G1522" s="253"/>
      <c r="H1522" s="9579" t="s">
        <v>150</v>
      </c>
      <c r="I1522" s="9580"/>
      <c r="J1522" s="9581"/>
      <c r="K1522" s="5623" t="s">
        <v>156</v>
      </c>
      <c r="L1522" s="6754" t="s">
        <v>169</v>
      </c>
      <c r="M1522" s="7273"/>
      <c r="N1522" s="6893" t="s">
        <v>169</v>
      </c>
      <c r="O1522" s="7249"/>
      <c r="P1522" s="6893" t="s">
        <v>169</v>
      </c>
      <c r="Q1522" s="7356"/>
      <c r="R1522" s="6659" t="s">
        <v>31</v>
      </c>
      <c r="S1522" s="6557"/>
      <c r="T1522" s="1033"/>
      <c r="U1522" s="263"/>
      <c r="V1522" s="99"/>
      <c r="W1522" s="138"/>
      <c r="X1522" s="138"/>
      <c r="Y1522" s="99"/>
      <c r="Z1522" s="264"/>
      <c r="AA1522" s="277"/>
      <c r="AB1522" s="187"/>
      <c r="AE1522" s="1377" t="s">
        <v>977</v>
      </c>
    </row>
    <row r="1523" spans="1:31" ht="20.100000000000001" customHeight="1">
      <c r="A1523" s="11"/>
      <c r="B1523" s="1360"/>
      <c r="C1523" s="1379"/>
      <c r="D1523" s="9584" t="s">
        <v>978</v>
      </c>
      <c r="E1523" s="9585"/>
      <c r="F1523" s="6683" t="s">
        <v>742</v>
      </c>
      <c r="G1523" s="7060"/>
      <c r="H1523" s="7061"/>
      <c r="I1523" s="9584" t="s">
        <v>979</v>
      </c>
      <c r="J1523" s="9585"/>
      <c r="K1523" s="6733" t="s">
        <v>734</v>
      </c>
      <c r="L1523" s="7111" t="str">
        <f>IF(COUNTBLANK(L1524:L1529)&gt;0,"미취합법인有",SUM(L1524:L1529))</f>
        <v>미취합법인有</v>
      </c>
      <c r="M1523" s="7279"/>
      <c r="N1523" s="7115" t="str">
        <f>IF(COUNTBLANK(N1524:N1529)&gt;0,"미취합법인有",SUM(N1524:N1529))</f>
        <v>미취합법인有</v>
      </c>
      <c r="O1523" s="7385"/>
      <c r="P1523" s="7121" t="str">
        <f>IF(COUNTBLANK(P1524:P1529)&gt;0,"미취합법인有",SUM(P1524:P1529))</f>
        <v>미취합법인有</v>
      </c>
      <c r="Q1523" s="7029"/>
      <c r="R1523" s="7010" t="s">
        <v>31</v>
      </c>
      <c r="S1523" s="7007"/>
      <c r="T1523" s="7008" t="s">
        <v>980</v>
      </c>
      <c r="U1523" s="367"/>
      <c r="V1523" s="99" t="s">
        <v>189</v>
      </c>
      <c r="W1523" s="547"/>
      <c r="X1523" s="773"/>
      <c r="Y1523" s="99"/>
      <c r="Z1523" s="775" t="s">
        <v>976</v>
      </c>
      <c r="AA1523" s="775"/>
      <c r="AB1523" s="776"/>
      <c r="AE1523" s="1377" t="s">
        <v>981</v>
      </c>
    </row>
    <row r="1524" spans="1:31" ht="20.100000000000001" customHeight="1">
      <c r="A1524" s="11"/>
      <c r="B1524" s="1360"/>
      <c r="C1524" s="5598"/>
      <c r="D1524" s="9598" t="s">
        <v>134</v>
      </c>
      <c r="E1524" s="9600"/>
      <c r="F1524" s="285" t="s">
        <v>742</v>
      </c>
      <c r="G1524" s="666"/>
      <c r="H1524" s="684"/>
      <c r="I1524" s="9579" t="s">
        <v>135</v>
      </c>
      <c r="J1524" s="9581"/>
      <c r="K1524" s="5623" t="s">
        <v>734</v>
      </c>
      <c r="L1524" s="7166">
        <v>945</v>
      </c>
      <c r="M1524" s="7306"/>
      <c r="N1524" s="7145">
        <v>1003</v>
      </c>
      <c r="O1524" s="7412"/>
      <c r="P1524" s="7169">
        <v>1035</v>
      </c>
      <c r="Q1524" s="7421"/>
      <c r="R1524" s="6659" t="s">
        <v>31</v>
      </c>
      <c r="S1524" s="6591"/>
      <c r="T1524" s="2468"/>
      <c r="U1524" s="544"/>
      <c r="V1524" s="545"/>
      <c r="W1524" s="546"/>
      <c r="X1524" s="547"/>
      <c r="Y1524" s="548"/>
      <c r="Z1524" s="277"/>
      <c r="AA1524" s="277"/>
      <c r="AB1524" s="187"/>
    </row>
    <row r="1525" spans="1:31" ht="20.100000000000001" customHeight="1">
      <c r="A1525" s="11"/>
      <c r="B1525" s="1360"/>
      <c r="C1525" s="5598"/>
      <c r="D1525" s="9598" t="s">
        <v>137</v>
      </c>
      <c r="E1525" s="9600"/>
      <c r="F1525" s="285" t="s">
        <v>742</v>
      </c>
      <c r="G1525" s="666"/>
      <c r="H1525" s="684"/>
      <c r="I1525" s="9579" t="s">
        <v>138</v>
      </c>
      <c r="J1525" s="9581"/>
      <c r="K1525" s="5623" t="s">
        <v>734</v>
      </c>
      <c r="L1525" s="7113">
        <v>125</v>
      </c>
      <c r="M1525" s="7288" t="s">
        <v>982</v>
      </c>
      <c r="N1525" s="7118">
        <v>163</v>
      </c>
      <c r="O1525" s="7393" t="s">
        <v>983</v>
      </c>
      <c r="P1525" s="7157">
        <v>207</v>
      </c>
      <c r="Q1525" s="7421"/>
      <c r="R1525" s="6659" t="s">
        <v>31</v>
      </c>
      <c r="S1525" s="6591"/>
      <c r="T1525" s="2468"/>
      <c r="U1525" s="544"/>
      <c r="V1525" s="545"/>
      <c r="W1525" s="546"/>
      <c r="X1525" s="547"/>
      <c r="Y1525" s="548"/>
      <c r="Z1525" s="277"/>
      <c r="AA1525" s="277"/>
      <c r="AB1525" s="187"/>
    </row>
    <row r="1526" spans="1:31" ht="20.100000000000001" customHeight="1">
      <c r="A1526" s="11"/>
      <c r="B1526" s="1360"/>
      <c r="C1526" s="5598"/>
      <c r="D1526" s="9598" t="s">
        <v>140</v>
      </c>
      <c r="E1526" s="9600"/>
      <c r="F1526" s="285" t="s">
        <v>742</v>
      </c>
      <c r="G1526" s="666"/>
      <c r="H1526" s="684"/>
      <c r="I1526" s="9582" t="s">
        <v>141</v>
      </c>
      <c r="J1526" s="9583"/>
      <c r="K1526" s="5623" t="s">
        <v>734</v>
      </c>
      <c r="L1526" s="7166">
        <v>0</v>
      </c>
      <c r="M1526" s="7306"/>
      <c r="N1526" s="7162">
        <v>0</v>
      </c>
      <c r="O1526" s="7312"/>
      <c r="P1526" s="7167">
        <v>0</v>
      </c>
      <c r="Q1526" s="7421"/>
      <c r="R1526" s="6659" t="s">
        <v>31</v>
      </c>
      <c r="S1526" s="6591"/>
      <c r="T1526" s="2468"/>
      <c r="U1526" s="544"/>
      <c r="V1526" s="545"/>
      <c r="W1526" s="546"/>
      <c r="X1526" s="547"/>
      <c r="Y1526" s="548"/>
      <c r="Z1526" s="277"/>
      <c r="AA1526" s="277"/>
      <c r="AB1526" s="187"/>
      <c r="AE1526" s="1377" t="s">
        <v>981</v>
      </c>
    </row>
    <row r="1527" spans="1:31" ht="20.100000000000001" customHeight="1">
      <c r="A1527" s="11"/>
      <c r="B1527" s="1360"/>
      <c r="C1527" s="5598"/>
      <c r="D1527" s="9598" t="s">
        <v>143</v>
      </c>
      <c r="E1527" s="9600"/>
      <c r="F1527" s="285" t="s">
        <v>742</v>
      </c>
      <c r="G1527" s="666"/>
      <c r="H1527" s="684"/>
      <c r="I1527" s="9582" t="s">
        <v>144</v>
      </c>
      <c r="J1527" s="9583"/>
      <c r="K1527" s="5623" t="s">
        <v>734</v>
      </c>
      <c r="L1527" s="7166"/>
      <c r="M1527" s="7306"/>
      <c r="N1527" s="7162"/>
      <c r="O1527" s="7312"/>
      <c r="P1527" s="7167"/>
      <c r="Q1527" s="7421"/>
      <c r="R1527" s="6659" t="s">
        <v>31</v>
      </c>
      <c r="S1527" s="6591"/>
      <c r="T1527" s="2468"/>
      <c r="U1527" s="544"/>
      <c r="V1527" s="545"/>
      <c r="W1527" s="546"/>
      <c r="X1527" s="547"/>
      <c r="Y1527" s="548"/>
      <c r="Z1527" s="277"/>
      <c r="AA1527" s="277"/>
      <c r="AB1527" s="187"/>
      <c r="AE1527" s="1377" t="s">
        <v>981</v>
      </c>
    </row>
    <row r="1528" spans="1:31" ht="20.100000000000001" customHeight="1">
      <c r="A1528" s="11"/>
      <c r="B1528" s="1360"/>
      <c r="C1528" s="5598"/>
      <c r="D1528" s="9598" t="s">
        <v>146</v>
      </c>
      <c r="E1528" s="9600"/>
      <c r="F1528" s="285" t="s">
        <v>742</v>
      </c>
      <c r="G1528" s="666"/>
      <c r="H1528" s="684"/>
      <c r="I1528" s="9582" t="s">
        <v>147</v>
      </c>
      <c r="J1528" s="9583"/>
      <c r="K1528" s="5623" t="s">
        <v>734</v>
      </c>
      <c r="L1528" s="7166"/>
      <c r="M1528" s="7306"/>
      <c r="N1528" s="7162"/>
      <c r="O1528" s="7312"/>
      <c r="P1528" s="7167"/>
      <c r="Q1528" s="7421"/>
      <c r="R1528" s="6659" t="s">
        <v>31</v>
      </c>
      <c r="S1528" s="6591"/>
      <c r="T1528" s="2468"/>
      <c r="U1528" s="544"/>
      <c r="V1528" s="545"/>
      <c r="W1528" s="546"/>
      <c r="X1528" s="547"/>
      <c r="Y1528" s="548"/>
      <c r="Z1528" s="277"/>
      <c r="AA1528" s="277"/>
      <c r="AB1528" s="187"/>
      <c r="AE1528" s="1377" t="s">
        <v>981</v>
      </c>
    </row>
    <row r="1529" spans="1:31" ht="20.100000000000001" customHeight="1">
      <c r="A1529" s="11"/>
      <c r="B1529" s="1360"/>
      <c r="C1529" s="5598"/>
      <c r="D1529" s="9598" t="s">
        <v>149</v>
      </c>
      <c r="E1529" s="9600"/>
      <c r="F1529" s="285" t="s">
        <v>742</v>
      </c>
      <c r="G1529" s="666"/>
      <c r="H1529" s="684"/>
      <c r="I1529" s="9582" t="s">
        <v>150</v>
      </c>
      <c r="J1529" s="9583"/>
      <c r="K1529" s="5623" t="s">
        <v>734</v>
      </c>
      <c r="L1529" s="7166"/>
      <c r="M1529" s="7306"/>
      <c r="N1529" s="7162"/>
      <c r="O1529" s="7306"/>
      <c r="P1529" s="7162"/>
      <c r="Q1529" s="7421"/>
      <c r="R1529" s="6659" t="s">
        <v>31</v>
      </c>
      <c r="S1529" s="6591"/>
      <c r="T1529" s="2468"/>
      <c r="U1529" s="544"/>
      <c r="V1529" s="545"/>
      <c r="W1529" s="546"/>
      <c r="X1529" s="547"/>
      <c r="Y1529" s="548"/>
      <c r="Z1529" s="277"/>
      <c r="AA1529" s="277"/>
      <c r="AB1529" s="187"/>
      <c r="AE1529" s="1377" t="s">
        <v>981</v>
      </c>
    </row>
    <row r="1530" spans="1:31" ht="20.100000000000001" customHeight="1">
      <c r="A1530" s="11"/>
      <c r="B1530" s="1360"/>
      <c r="C1530" s="1379"/>
      <c r="D1530" s="9584" t="s">
        <v>984</v>
      </c>
      <c r="E1530" s="9585"/>
      <c r="F1530" s="6683" t="s">
        <v>742</v>
      </c>
      <c r="G1530" s="7060"/>
      <c r="H1530" s="7061"/>
      <c r="I1530" s="9584" t="s">
        <v>985</v>
      </c>
      <c r="J1530" s="9585"/>
      <c r="K1530" s="6733" t="s">
        <v>734</v>
      </c>
      <c r="L1530" s="7111" t="str">
        <f>IF(COUNTBLANK(L1531:L1536)&gt;0,"미취합법인有",SUM(L1531:L1536))</f>
        <v>미취합법인有</v>
      </c>
      <c r="M1530" s="7279"/>
      <c r="N1530" s="7115" t="str">
        <f>IF(COUNTBLANK(N1531:N1536)&gt;0,"미취합법인有",SUM(N1531:N1536))</f>
        <v>미취합법인有</v>
      </c>
      <c r="O1530" s="7385"/>
      <c r="P1530" s="7121" t="str">
        <f>IF(COUNTBLANK(P1531:P1536)&gt;0,"미취합법인有",SUM(P1531:P1536))</f>
        <v>미취합법인有</v>
      </c>
      <c r="Q1530" s="7029"/>
      <c r="R1530" s="7010" t="s">
        <v>31</v>
      </c>
      <c r="S1530" s="7007"/>
      <c r="T1530" s="7008"/>
      <c r="U1530" s="367"/>
      <c r="V1530" s="99" t="s">
        <v>189</v>
      </c>
      <c r="W1530" s="547"/>
      <c r="X1530" s="773"/>
      <c r="Y1530" s="99"/>
      <c r="Z1530" s="775" t="s">
        <v>976</v>
      </c>
      <c r="AA1530" s="775"/>
      <c r="AB1530" s="776"/>
      <c r="AE1530" s="1377" t="s">
        <v>981</v>
      </c>
    </row>
    <row r="1531" spans="1:31" ht="20.100000000000001" customHeight="1">
      <c r="A1531" s="11"/>
      <c r="B1531" s="1360"/>
      <c r="C1531" s="5598"/>
      <c r="D1531" s="9598" t="s">
        <v>134</v>
      </c>
      <c r="E1531" s="9600"/>
      <c r="F1531" s="285" t="s">
        <v>742</v>
      </c>
      <c r="G1531" s="666"/>
      <c r="H1531" s="684"/>
      <c r="I1531" s="9579" t="s">
        <v>135</v>
      </c>
      <c r="J1531" s="9581"/>
      <c r="K1531" s="5623" t="s">
        <v>734</v>
      </c>
      <c r="L1531" s="7166">
        <v>947</v>
      </c>
      <c r="M1531" s="7306" t="s">
        <v>986</v>
      </c>
      <c r="N1531" s="7145">
        <v>1007</v>
      </c>
      <c r="O1531" s="7312" t="s">
        <v>986</v>
      </c>
      <c r="P1531" s="7169">
        <v>1035</v>
      </c>
      <c r="Q1531" s="7421"/>
      <c r="R1531" s="6659" t="s">
        <v>31</v>
      </c>
      <c r="S1531" s="6591"/>
      <c r="T1531" s="2468"/>
      <c r="U1531" s="544"/>
      <c r="V1531" s="545"/>
      <c r="W1531" s="546"/>
      <c r="X1531" s="547"/>
      <c r="Y1531" s="548"/>
      <c r="Z1531" s="277"/>
      <c r="AA1531" s="277"/>
      <c r="AB1531" s="187"/>
      <c r="AE1531" s="1377" t="s">
        <v>981</v>
      </c>
    </row>
    <row r="1532" spans="1:31" ht="20.100000000000001" customHeight="1">
      <c r="A1532" s="11"/>
      <c r="B1532" s="1360"/>
      <c r="C1532" s="5598"/>
      <c r="D1532" s="9598" t="s">
        <v>137</v>
      </c>
      <c r="E1532" s="9600"/>
      <c r="F1532" s="285" t="s">
        <v>742</v>
      </c>
      <c r="G1532" s="666"/>
      <c r="H1532" s="684"/>
      <c r="I1532" s="9579" t="s">
        <v>138</v>
      </c>
      <c r="J1532" s="9581"/>
      <c r="K1532" s="5623" t="s">
        <v>734</v>
      </c>
      <c r="L1532" s="7113">
        <v>127</v>
      </c>
      <c r="M1532" s="7288" t="s">
        <v>987</v>
      </c>
      <c r="N1532" s="7118">
        <v>167</v>
      </c>
      <c r="O1532" s="7393" t="s">
        <v>987</v>
      </c>
      <c r="P1532" s="7157">
        <v>208</v>
      </c>
      <c r="Q1532" s="7421"/>
      <c r="R1532" s="6659" t="s">
        <v>31</v>
      </c>
      <c r="S1532" s="6591"/>
      <c r="T1532" s="2468"/>
      <c r="U1532" s="544"/>
      <c r="V1532" s="545"/>
      <c r="W1532" s="546"/>
      <c r="X1532" s="547"/>
      <c r="Y1532" s="548"/>
      <c r="Z1532" s="277"/>
      <c r="AA1532" s="277"/>
      <c r="AB1532" s="187"/>
      <c r="AE1532" s="1377" t="s">
        <v>981</v>
      </c>
    </row>
    <row r="1533" spans="1:31" ht="20.100000000000001" customHeight="1">
      <c r="A1533" s="11"/>
      <c r="B1533" s="1360"/>
      <c r="C1533" s="5598"/>
      <c r="D1533" s="9598" t="s">
        <v>140</v>
      </c>
      <c r="E1533" s="9600"/>
      <c r="F1533" s="285" t="s">
        <v>742</v>
      </c>
      <c r="G1533" s="666"/>
      <c r="H1533" s="684"/>
      <c r="I1533" s="9582" t="s">
        <v>141</v>
      </c>
      <c r="J1533" s="9583"/>
      <c r="K1533" s="5623" t="s">
        <v>734</v>
      </c>
      <c r="L1533" s="7166">
        <v>0</v>
      </c>
      <c r="M1533" s="7306"/>
      <c r="N1533" s="7162">
        <v>0</v>
      </c>
      <c r="O1533" s="7312"/>
      <c r="P1533" s="7167">
        <v>0</v>
      </c>
      <c r="Q1533" s="7421"/>
      <c r="R1533" s="6659" t="s">
        <v>31</v>
      </c>
      <c r="S1533" s="6591"/>
      <c r="T1533" s="2468"/>
      <c r="U1533" s="544"/>
      <c r="V1533" s="545"/>
      <c r="W1533" s="546"/>
      <c r="X1533" s="547"/>
      <c r="Y1533" s="548"/>
      <c r="Z1533" s="277"/>
      <c r="AA1533" s="277"/>
      <c r="AB1533" s="187"/>
      <c r="AE1533" s="1377" t="s">
        <v>981</v>
      </c>
    </row>
    <row r="1534" spans="1:31" ht="20.100000000000001" customHeight="1">
      <c r="A1534" s="11"/>
      <c r="B1534" s="1360"/>
      <c r="C1534" s="5598"/>
      <c r="D1534" s="9598" t="s">
        <v>143</v>
      </c>
      <c r="E1534" s="9600"/>
      <c r="F1534" s="285" t="s">
        <v>742</v>
      </c>
      <c r="G1534" s="666"/>
      <c r="H1534" s="684"/>
      <c r="I1534" s="9582" t="s">
        <v>144</v>
      </c>
      <c r="J1534" s="9583"/>
      <c r="K1534" s="5623" t="s">
        <v>734</v>
      </c>
      <c r="L1534" s="7166"/>
      <c r="M1534" s="7306"/>
      <c r="N1534" s="7162"/>
      <c r="O1534" s="7312"/>
      <c r="P1534" s="7167"/>
      <c r="Q1534" s="7421"/>
      <c r="R1534" s="6659" t="s">
        <v>31</v>
      </c>
      <c r="S1534" s="6591"/>
      <c r="T1534" s="2468"/>
      <c r="U1534" s="544"/>
      <c r="V1534" s="545"/>
      <c r="W1534" s="546"/>
      <c r="X1534" s="547"/>
      <c r="Y1534" s="548"/>
      <c r="Z1534" s="277"/>
      <c r="AA1534" s="277"/>
      <c r="AB1534" s="187"/>
      <c r="AE1534" s="1377" t="s">
        <v>981</v>
      </c>
    </row>
    <row r="1535" spans="1:31" ht="20.100000000000001" customHeight="1">
      <c r="A1535" s="11"/>
      <c r="B1535" s="1360"/>
      <c r="C1535" s="5598"/>
      <c r="D1535" s="9598" t="s">
        <v>146</v>
      </c>
      <c r="E1535" s="9600"/>
      <c r="F1535" s="285" t="s">
        <v>742</v>
      </c>
      <c r="G1535" s="666"/>
      <c r="H1535" s="684"/>
      <c r="I1535" s="9582" t="s">
        <v>147</v>
      </c>
      <c r="J1535" s="9583"/>
      <c r="K1535" s="5623" t="s">
        <v>734</v>
      </c>
      <c r="L1535" s="7166"/>
      <c r="M1535" s="7306"/>
      <c r="N1535" s="7162"/>
      <c r="O1535" s="7312"/>
      <c r="P1535" s="7167"/>
      <c r="Q1535" s="7421"/>
      <c r="R1535" s="6659" t="s">
        <v>31</v>
      </c>
      <c r="S1535" s="6591"/>
      <c r="T1535" s="2468"/>
      <c r="U1535" s="544"/>
      <c r="V1535" s="545"/>
      <c r="W1535" s="546"/>
      <c r="X1535" s="547"/>
      <c r="Y1535" s="548"/>
      <c r="Z1535" s="277"/>
      <c r="AA1535" s="277"/>
      <c r="AB1535" s="187"/>
      <c r="AE1535" s="1377" t="s">
        <v>981</v>
      </c>
    </row>
    <row r="1536" spans="1:31" ht="20.100000000000001" customHeight="1">
      <c r="A1536" s="11"/>
      <c r="B1536" s="1360"/>
      <c r="C1536" s="5598"/>
      <c r="D1536" s="9598" t="s">
        <v>149</v>
      </c>
      <c r="E1536" s="9600"/>
      <c r="F1536" s="285" t="s">
        <v>742</v>
      </c>
      <c r="G1536" s="666"/>
      <c r="H1536" s="684"/>
      <c r="I1536" s="9582" t="s">
        <v>150</v>
      </c>
      <c r="J1536" s="9583"/>
      <c r="K1536" s="5623" t="s">
        <v>734</v>
      </c>
      <c r="L1536" s="7166"/>
      <c r="M1536" s="7306"/>
      <c r="N1536" s="7162"/>
      <c r="O1536" s="7306"/>
      <c r="P1536" s="7162"/>
      <c r="Q1536" s="7421"/>
      <c r="R1536" s="6659" t="s">
        <v>31</v>
      </c>
      <c r="S1536" s="6591"/>
      <c r="T1536" s="2468"/>
      <c r="U1536" s="544"/>
      <c r="V1536" s="545"/>
      <c r="W1536" s="546"/>
      <c r="X1536" s="547"/>
      <c r="Y1536" s="548"/>
      <c r="Z1536" s="277"/>
      <c r="AA1536" s="277"/>
      <c r="AB1536" s="187"/>
      <c r="AE1536" s="1377" t="s">
        <v>981</v>
      </c>
    </row>
    <row r="1537" spans="1:31" ht="20.100000000000001" customHeight="1">
      <c r="A1537" s="11"/>
      <c r="B1537" s="1662"/>
      <c r="C1537" s="9656" t="s">
        <v>988</v>
      </c>
      <c r="D1537" s="9587"/>
      <c r="E1537" s="9588"/>
      <c r="F1537" s="6683" t="s">
        <v>156</v>
      </c>
      <c r="G1537" s="7062"/>
      <c r="H1537" s="9586" t="s">
        <v>989</v>
      </c>
      <c r="I1537" s="9587"/>
      <c r="J1537" s="9588"/>
      <c r="K1537" s="6733" t="s">
        <v>156</v>
      </c>
      <c r="L1537" s="7016" t="str">
        <f>IF(COUNTBLANK(L1538:L1543)&gt;0,"미취합법인有",AVERAGE(L1538:L1543))</f>
        <v>미취합법인有</v>
      </c>
      <c r="M1537" s="7026"/>
      <c r="N1537" s="7001" t="str">
        <f>IF(COUNTBLANK(N1538:N1543)&gt;0,"미취합법인有",AVERAGE(N1538:N1543))</f>
        <v>미취합법인有</v>
      </c>
      <c r="O1537" s="7384"/>
      <c r="P1537" s="7002" t="str">
        <f>IF(COUNTBLANK(P1538:P1543)&gt;0,"미취합법인有",AVERAGE(P1538:P1543))</f>
        <v>미취합법인有</v>
      </c>
      <c r="Q1537" s="7029"/>
      <c r="R1537" s="7010" t="s">
        <v>31</v>
      </c>
      <c r="S1537" s="7007"/>
      <c r="T1537" s="7008" t="s">
        <v>990</v>
      </c>
      <c r="U1537" s="367" t="s">
        <v>991</v>
      </c>
      <c r="V1537" s="99" t="s">
        <v>189</v>
      </c>
      <c r="W1537" s="547"/>
      <c r="X1537" s="773"/>
      <c r="Y1537" s="99"/>
      <c r="Z1537" s="775" t="s">
        <v>992</v>
      </c>
      <c r="AA1537" s="775"/>
      <c r="AB1537" s="776"/>
    </row>
    <row r="1538" spans="1:31" ht="20.100000000000001" customHeight="1">
      <c r="A1538" s="11"/>
      <c r="B1538" s="1360"/>
      <c r="C1538" s="9647" t="s">
        <v>134</v>
      </c>
      <c r="D1538" s="9648"/>
      <c r="E1538" s="9649"/>
      <c r="F1538" s="285" t="s">
        <v>156</v>
      </c>
      <c r="G1538" s="666"/>
      <c r="H1538" s="9579" t="s">
        <v>135</v>
      </c>
      <c r="I1538" s="9580"/>
      <c r="J1538" s="9581"/>
      <c r="K1538" s="5623" t="s">
        <v>156</v>
      </c>
      <c r="L1538" s="6754">
        <v>95.938104448742749</v>
      </c>
      <c r="M1538" s="7249"/>
      <c r="N1538" s="6893">
        <v>99.214145383104125</v>
      </c>
      <c r="O1538" s="7249"/>
      <c r="P1538" s="6893">
        <v>100</v>
      </c>
      <c r="Q1538" s="7356"/>
      <c r="R1538" s="6659" t="s">
        <v>31</v>
      </c>
      <c r="S1538" s="6557"/>
      <c r="T1538" s="2468"/>
      <c r="U1538" s="544"/>
      <c r="V1538" s="545"/>
      <c r="W1538" s="546"/>
      <c r="X1538" s="547"/>
      <c r="Y1538" s="548"/>
      <c r="Z1538" s="277"/>
      <c r="AA1538" s="277"/>
      <c r="AB1538" s="187"/>
    </row>
    <row r="1539" spans="1:31" ht="20.100000000000001" customHeight="1">
      <c r="A1539" s="11"/>
      <c r="B1539" s="1360"/>
      <c r="C1539" s="9647" t="s">
        <v>137</v>
      </c>
      <c r="D1539" s="9648"/>
      <c r="E1539" s="9649"/>
      <c r="F1539" s="285" t="s">
        <v>156</v>
      </c>
      <c r="G1539" s="666"/>
      <c r="H1539" s="9579" t="s">
        <v>138</v>
      </c>
      <c r="I1539" s="9580"/>
      <c r="J1539" s="9581"/>
      <c r="K1539" s="5623" t="s">
        <v>156</v>
      </c>
      <c r="L1539" s="6754">
        <v>90.07633587786259</v>
      </c>
      <c r="M1539" s="7249"/>
      <c r="N1539" s="6893">
        <v>94.53125</v>
      </c>
      <c r="O1539" s="7249"/>
      <c r="P1539" s="6893">
        <v>99.029126213592235</v>
      </c>
      <c r="Q1539" s="7356"/>
      <c r="R1539" s="6659" t="s">
        <v>31</v>
      </c>
      <c r="S1539" s="6557"/>
      <c r="T1539" s="2468"/>
      <c r="U1539" s="544"/>
      <c r="V1539" s="545"/>
      <c r="W1539" s="546"/>
      <c r="X1539" s="547"/>
      <c r="Y1539" s="548"/>
      <c r="Z1539" s="277"/>
      <c r="AA1539" s="277"/>
      <c r="AB1539" s="187"/>
    </row>
    <row r="1540" spans="1:31" ht="20.100000000000001" customHeight="1">
      <c r="A1540" s="11"/>
      <c r="B1540" s="1360"/>
      <c r="C1540" s="9647" t="s">
        <v>140</v>
      </c>
      <c r="D1540" s="9648"/>
      <c r="E1540" s="9649"/>
      <c r="F1540" s="285" t="s">
        <v>156</v>
      </c>
      <c r="G1540" s="666"/>
      <c r="H1540" s="9579" t="s">
        <v>141</v>
      </c>
      <c r="I1540" s="9580"/>
      <c r="J1540" s="9581"/>
      <c r="K1540" s="5623" t="s">
        <v>156</v>
      </c>
      <c r="L1540" s="6754" t="s">
        <v>169</v>
      </c>
      <c r="M1540" s="7249"/>
      <c r="N1540" s="6893" t="s">
        <v>169</v>
      </c>
      <c r="O1540" s="7249"/>
      <c r="P1540" s="6893" t="s">
        <v>169</v>
      </c>
      <c r="Q1540" s="7356"/>
      <c r="R1540" s="6659" t="s">
        <v>31</v>
      </c>
      <c r="S1540" s="6557"/>
      <c r="T1540" s="2468"/>
      <c r="U1540" s="544"/>
      <c r="V1540" s="545"/>
      <c r="W1540" s="546"/>
      <c r="X1540" s="547"/>
      <c r="Y1540" s="548"/>
      <c r="Z1540" s="277"/>
      <c r="AA1540" s="277"/>
      <c r="AB1540" s="187"/>
      <c r="AE1540" s="1377" t="s">
        <v>993</v>
      </c>
    </row>
    <row r="1541" spans="1:31" ht="20.100000000000001" customHeight="1">
      <c r="A1541" s="11"/>
      <c r="B1541" s="1360"/>
      <c r="C1541" s="9647" t="s">
        <v>143</v>
      </c>
      <c r="D1541" s="9648"/>
      <c r="E1541" s="9649"/>
      <c r="F1541" s="285" t="s">
        <v>156</v>
      </c>
      <c r="G1541" s="666"/>
      <c r="H1541" s="9579" t="s">
        <v>144</v>
      </c>
      <c r="I1541" s="9580"/>
      <c r="J1541" s="9581"/>
      <c r="K1541" s="5623" t="s">
        <v>156</v>
      </c>
      <c r="L1541" s="6754"/>
      <c r="M1541" s="7249"/>
      <c r="N1541" s="6893"/>
      <c r="O1541" s="7249"/>
      <c r="P1541" s="6893"/>
      <c r="Q1541" s="7356"/>
      <c r="R1541" s="6659" t="s">
        <v>31</v>
      </c>
      <c r="S1541" s="6557"/>
      <c r="T1541" s="2468"/>
      <c r="U1541" s="544"/>
      <c r="V1541" s="545"/>
      <c r="W1541" s="546"/>
      <c r="X1541" s="547"/>
      <c r="Y1541" s="548"/>
      <c r="Z1541" s="277"/>
      <c r="AA1541" s="277"/>
      <c r="AB1541" s="187"/>
      <c r="AE1541" s="1377" t="s">
        <v>993</v>
      </c>
    </row>
    <row r="1542" spans="1:31" ht="20.100000000000001" customHeight="1">
      <c r="A1542" s="11"/>
      <c r="B1542" s="1360"/>
      <c r="C1542" s="9647" t="s">
        <v>146</v>
      </c>
      <c r="D1542" s="9648"/>
      <c r="E1542" s="9649"/>
      <c r="F1542" s="285" t="s">
        <v>156</v>
      </c>
      <c r="G1542" s="666"/>
      <c r="H1542" s="9579" t="s">
        <v>147</v>
      </c>
      <c r="I1542" s="9580"/>
      <c r="J1542" s="9581"/>
      <c r="K1542" s="5623" t="s">
        <v>156</v>
      </c>
      <c r="L1542" s="6754"/>
      <c r="M1542" s="7249"/>
      <c r="N1542" s="6893"/>
      <c r="O1542" s="7249"/>
      <c r="P1542" s="6893"/>
      <c r="Q1542" s="7356"/>
      <c r="R1542" s="6659" t="s">
        <v>31</v>
      </c>
      <c r="S1542" s="6557"/>
      <c r="T1542" s="2468"/>
      <c r="U1542" s="544"/>
      <c r="V1542" s="545"/>
      <c r="W1542" s="546"/>
      <c r="X1542" s="547"/>
      <c r="Y1542" s="548"/>
      <c r="Z1542" s="277"/>
      <c r="AA1542" s="277"/>
      <c r="AB1542" s="187"/>
      <c r="AE1542" s="1377" t="s">
        <v>993</v>
      </c>
    </row>
    <row r="1543" spans="1:31" ht="20.100000000000001" customHeight="1">
      <c r="A1543" s="11"/>
      <c r="B1543" s="1360"/>
      <c r="C1543" s="9647" t="s">
        <v>149</v>
      </c>
      <c r="D1543" s="9648"/>
      <c r="E1543" s="9649"/>
      <c r="F1543" s="285" t="s">
        <v>156</v>
      </c>
      <c r="G1543" s="666"/>
      <c r="H1543" s="9579" t="s">
        <v>150</v>
      </c>
      <c r="I1543" s="9580"/>
      <c r="J1543" s="9581"/>
      <c r="K1543" s="5623" t="s">
        <v>156</v>
      </c>
      <c r="L1543" s="6754" t="s">
        <v>169</v>
      </c>
      <c r="M1543" s="7249"/>
      <c r="N1543" s="6893" t="s">
        <v>169</v>
      </c>
      <c r="O1543" s="7249"/>
      <c r="P1543" s="6893" t="s">
        <v>169</v>
      </c>
      <c r="Q1543" s="7356"/>
      <c r="R1543" s="6659" t="s">
        <v>31</v>
      </c>
      <c r="S1543" s="6557"/>
      <c r="T1543" s="2468"/>
      <c r="U1543" s="544"/>
      <c r="V1543" s="545"/>
      <c r="W1543" s="546"/>
      <c r="X1543" s="547"/>
      <c r="Y1543" s="548"/>
      <c r="Z1543" s="277"/>
      <c r="AA1543" s="277"/>
      <c r="AB1543" s="187"/>
      <c r="AE1543" s="1377" t="s">
        <v>993</v>
      </c>
    </row>
    <row r="1544" spans="1:31" ht="20.100000000000001" customHeight="1">
      <c r="A1544" s="11"/>
      <c r="B1544" s="1360"/>
      <c r="C1544" s="1380"/>
      <c r="D1544" s="9584" t="s">
        <v>994</v>
      </c>
      <c r="E1544" s="9585"/>
      <c r="F1544" s="6683" t="s">
        <v>742</v>
      </c>
      <c r="G1544" s="7063"/>
      <c r="H1544" s="7063"/>
      <c r="I1544" s="9584" t="s">
        <v>995</v>
      </c>
      <c r="J1544" s="9585"/>
      <c r="K1544" s="6733" t="s">
        <v>734</v>
      </c>
      <c r="L1544" s="7111" t="str">
        <f>IF(COUNTBLANK(L1545:L1550)&gt;0,"미취합법인有",SUM(L1545:L1550))</f>
        <v>미취합법인有</v>
      </c>
      <c r="M1544" s="7279"/>
      <c r="N1544" s="7115" t="str">
        <f>IF(COUNTBLANK(N1545:N1550)&gt;0,"미취합법인有",SUM(N1545:N1550))</f>
        <v>미취합법인有</v>
      </c>
      <c r="O1544" s="7385"/>
      <c r="P1544" s="7121" t="str">
        <f>IF(COUNTBLANK(P1545:P1550)&gt;0,"미취합법인有",SUM(P1545:P1550))</f>
        <v>미취합법인有</v>
      </c>
      <c r="Q1544" s="7029"/>
      <c r="R1544" s="7010" t="s">
        <v>31</v>
      </c>
      <c r="S1544" s="7007"/>
      <c r="T1544" s="7008"/>
      <c r="U1544" s="367"/>
      <c r="V1544" s="99" t="s">
        <v>189</v>
      </c>
      <c r="W1544" s="547"/>
      <c r="X1544" s="773"/>
      <c r="Y1544" s="99"/>
      <c r="Z1544" s="775" t="s">
        <v>992</v>
      </c>
      <c r="AA1544" s="775"/>
      <c r="AB1544" s="776"/>
    </row>
    <row r="1545" spans="1:31" ht="20.100000000000001" customHeight="1">
      <c r="A1545" s="11"/>
      <c r="B1545" s="1360"/>
      <c r="C1545" s="5598"/>
      <c r="D1545" s="9598" t="s">
        <v>134</v>
      </c>
      <c r="E1545" s="9600"/>
      <c r="F1545" s="285" t="s">
        <v>742</v>
      </c>
      <c r="G1545" s="666"/>
      <c r="H1545" s="666"/>
      <c r="I1545" s="9579" t="s">
        <v>135</v>
      </c>
      <c r="J1545" s="9581"/>
      <c r="K1545" s="5623" t="s">
        <v>734</v>
      </c>
      <c r="L1545" s="7166">
        <v>992</v>
      </c>
      <c r="M1545" s="7306" t="s">
        <v>996</v>
      </c>
      <c r="N1545" s="7145">
        <v>1010</v>
      </c>
      <c r="O1545" s="7312">
        <v>0</v>
      </c>
      <c r="P1545" s="7169">
        <v>1023</v>
      </c>
      <c r="Q1545" s="7421"/>
      <c r="R1545" s="6659" t="s">
        <v>31</v>
      </c>
      <c r="S1545" s="6591"/>
      <c r="T1545" s="2468"/>
      <c r="U1545" s="544"/>
      <c r="V1545" s="545"/>
      <c r="W1545" s="546"/>
      <c r="X1545" s="547"/>
      <c r="Y1545" s="548"/>
      <c r="Z1545" s="277"/>
      <c r="AA1545" s="277"/>
      <c r="AB1545" s="187"/>
    </row>
    <row r="1546" spans="1:31" ht="20.100000000000001" customHeight="1">
      <c r="A1546" s="11"/>
      <c r="B1546" s="1360"/>
      <c r="C1546" s="5598"/>
      <c r="D1546" s="9598" t="s">
        <v>137</v>
      </c>
      <c r="E1546" s="9600"/>
      <c r="F1546" s="285" t="s">
        <v>742</v>
      </c>
      <c r="G1546" s="666"/>
      <c r="H1546" s="666"/>
      <c r="I1546" s="9579" t="s">
        <v>138</v>
      </c>
      <c r="J1546" s="9581"/>
      <c r="K1546" s="5623" t="s">
        <v>734</v>
      </c>
      <c r="L1546" s="7113">
        <v>118</v>
      </c>
      <c r="M1546" s="7288" t="s">
        <v>997</v>
      </c>
      <c r="N1546" s="7118">
        <v>121</v>
      </c>
      <c r="O1546" s="7393" t="s">
        <v>998</v>
      </c>
      <c r="P1546" s="7157">
        <v>204</v>
      </c>
      <c r="Q1546" s="7421"/>
      <c r="R1546" s="6659" t="s">
        <v>31</v>
      </c>
      <c r="S1546" s="6591"/>
      <c r="T1546" s="2468"/>
      <c r="U1546" s="544"/>
      <c r="V1546" s="545"/>
      <c r="W1546" s="546"/>
      <c r="X1546" s="547"/>
      <c r="Y1546" s="548"/>
      <c r="Z1546" s="277"/>
      <c r="AA1546" s="277"/>
      <c r="AB1546" s="187"/>
    </row>
    <row r="1547" spans="1:31" ht="20.100000000000001" customHeight="1">
      <c r="A1547" s="11"/>
      <c r="B1547" s="1360"/>
      <c r="C1547" s="5598"/>
      <c r="D1547" s="9598" t="s">
        <v>140</v>
      </c>
      <c r="E1547" s="9600"/>
      <c r="F1547" s="285" t="s">
        <v>742</v>
      </c>
      <c r="G1547" s="666"/>
      <c r="H1547" s="666"/>
      <c r="I1547" s="9582" t="s">
        <v>141</v>
      </c>
      <c r="J1547" s="9583"/>
      <c r="K1547" s="5623" t="s">
        <v>734</v>
      </c>
      <c r="L1547" s="7166">
        <v>0</v>
      </c>
      <c r="M1547" s="7306"/>
      <c r="N1547" s="7162">
        <v>0</v>
      </c>
      <c r="O1547" s="7312"/>
      <c r="P1547" s="7167">
        <v>0</v>
      </c>
      <c r="Q1547" s="7421"/>
      <c r="R1547" s="6659" t="s">
        <v>31</v>
      </c>
      <c r="S1547" s="6591"/>
      <c r="T1547" s="2468"/>
      <c r="U1547" s="544"/>
      <c r="V1547" s="545"/>
      <c r="W1547" s="546"/>
      <c r="X1547" s="547"/>
      <c r="Y1547" s="548"/>
      <c r="Z1547" s="277"/>
      <c r="AA1547" s="277"/>
      <c r="AB1547" s="187"/>
      <c r="AE1547" s="1377" t="s">
        <v>993</v>
      </c>
    </row>
    <row r="1548" spans="1:31" ht="20.100000000000001" customHeight="1">
      <c r="A1548" s="11"/>
      <c r="B1548" s="1360"/>
      <c r="C1548" s="5598"/>
      <c r="D1548" s="9598" t="s">
        <v>143</v>
      </c>
      <c r="E1548" s="9600"/>
      <c r="F1548" s="285" t="s">
        <v>742</v>
      </c>
      <c r="G1548" s="666"/>
      <c r="H1548" s="666"/>
      <c r="I1548" s="9582" t="s">
        <v>144</v>
      </c>
      <c r="J1548" s="9583"/>
      <c r="K1548" s="5623" t="s">
        <v>734</v>
      </c>
      <c r="L1548" s="7166"/>
      <c r="M1548" s="7306"/>
      <c r="N1548" s="7162"/>
      <c r="O1548" s="7312"/>
      <c r="P1548" s="7167"/>
      <c r="Q1548" s="7421"/>
      <c r="R1548" s="6659" t="s">
        <v>31</v>
      </c>
      <c r="S1548" s="6591"/>
      <c r="T1548" s="2468"/>
      <c r="U1548" s="544"/>
      <c r="V1548" s="545"/>
      <c r="W1548" s="546"/>
      <c r="X1548" s="547"/>
      <c r="Y1548" s="548"/>
      <c r="Z1548" s="277"/>
      <c r="AA1548" s="277"/>
      <c r="AB1548" s="187"/>
      <c r="AE1548" s="1377" t="s">
        <v>993</v>
      </c>
    </row>
    <row r="1549" spans="1:31" ht="20.100000000000001" customHeight="1">
      <c r="A1549" s="11"/>
      <c r="B1549" s="1360"/>
      <c r="C1549" s="5598"/>
      <c r="D1549" s="9598" t="s">
        <v>146</v>
      </c>
      <c r="E1549" s="9600"/>
      <c r="F1549" s="285" t="s">
        <v>742</v>
      </c>
      <c r="G1549" s="666"/>
      <c r="H1549" s="666"/>
      <c r="I1549" s="9582" t="s">
        <v>147</v>
      </c>
      <c r="J1549" s="9583"/>
      <c r="K1549" s="5623" t="s">
        <v>734</v>
      </c>
      <c r="L1549" s="7166"/>
      <c r="M1549" s="7306"/>
      <c r="N1549" s="7162"/>
      <c r="O1549" s="7312"/>
      <c r="P1549" s="7167"/>
      <c r="Q1549" s="7421"/>
      <c r="R1549" s="6659" t="s">
        <v>31</v>
      </c>
      <c r="S1549" s="6591"/>
      <c r="T1549" s="2468"/>
      <c r="U1549" s="544"/>
      <c r="V1549" s="545"/>
      <c r="W1549" s="546"/>
      <c r="X1549" s="547"/>
      <c r="Y1549" s="548"/>
      <c r="Z1549" s="277"/>
      <c r="AA1549" s="277"/>
      <c r="AB1549" s="187"/>
      <c r="AE1549" s="1377" t="s">
        <v>993</v>
      </c>
    </row>
    <row r="1550" spans="1:31" ht="20.100000000000001" customHeight="1">
      <c r="A1550" s="11"/>
      <c r="B1550" s="1360"/>
      <c r="C1550" s="5598"/>
      <c r="D1550" s="9598" t="s">
        <v>149</v>
      </c>
      <c r="E1550" s="9600"/>
      <c r="F1550" s="285" t="s">
        <v>742</v>
      </c>
      <c r="G1550" s="666"/>
      <c r="H1550" s="666"/>
      <c r="I1550" s="9582" t="s">
        <v>150</v>
      </c>
      <c r="J1550" s="9583"/>
      <c r="K1550" s="5623" t="s">
        <v>734</v>
      </c>
      <c r="L1550" s="7166"/>
      <c r="M1550" s="7306"/>
      <c r="N1550" s="7162"/>
      <c r="O1550" s="7306"/>
      <c r="P1550" s="7162"/>
      <c r="Q1550" s="7421"/>
      <c r="R1550" s="6659" t="s">
        <v>31</v>
      </c>
      <c r="S1550" s="6591"/>
      <c r="T1550" s="2468"/>
      <c r="U1550" s="544"/>
      <c r="V1550" s="545"/>
      <c r="W1550" s="546"/>
      <c r="X1550" s="547"/>
      <c r="Y1550" s="548"/>
      <c r="Z1550" s="277"/>
      <c r="AA1550" s="277"/>
      <c r="AB1550" s="187"/>
      <c r="AE1550" s="1377" t="s">
        <v>993</v>
      </c>
    </row>
    <row r="1551" spans="1:31" ht="20.100000000000001" customHeight="1">
      <c r="A1551" s="11"/>
      <c r="B1551" s="1360"/>
      <c r="C1551" s="1380"/>
      <c r="D1551" s="9584" t="s">
        <v>999</v>
      </c>
      <c r="E1551" s="9585"/>
      <c r="F1551" s="6683" t="s">
        <v>742</v>
      </c>
      <c r="G1551" s="7063"/>
      <c r="H1551" s="7063"/>
      <c r="I1551" s="9584" t="s">
        <v>995</v>
      </c>
      <c r="J1551" s="9585"/>
      <c r="K1551" s="6733" t="s">
        <v>734</v>
      </c>
      <c r="L1551" s="7111">
        <f>IF(COUNTBLANK(L1552:L1557)&gt;0,"미취합법인有",SUM(L1552:L1557))</f>
        <v>1165</v>
      </c>
      <c r="M1551" s="7279"/>
      <c r="N1551" s="7115" t="str">
        <f>IF(COUNTBLANK(N1552:N1557)&gt;0,"미취합법인有",SUM(N1552:N1557))</f>
        <v>미취합법인有</v>
      </c>
      <c r="O1551" s="7385"/>
      <c r="P1551" s="7121" t="str">
        <f>IF(COUNTBLANK(P1552:P1557)&gt;0,"미취합법인有",SUM(P1552:P1557))</f>
        <v>미취합법인有</v>
      </c>
      <c r="Q1551" s="7029"/>
      <c r="R1551" s="7010" t="s">
        <v>31</v>
      </c>
      <c r="S1551" s="7007"/>
      <c r="T1551" s="7008"/>
      <c r="U1551" s="367"/>
      <c r="V1551" s="99" t="s">
        <v>189</v>
      </c>
      <c r="W1551" s="547"/>
      <c r="X1551" s="773"/>
      <c r="Y1551" s="99"/>
      <c r="Z1551" s="775" t="s">
        <v>992</v>
      </c>
      <c r="AA1551" s="775"/>
      <c r="AB1551" s="776"/>
    </row>
    <row r="1552" spans="1:31" ht="20.100000000000001" customHeight="1">
      <c r="A1552" s="11"/>
      <c r="B1552" s="1360"/>
      <c r="C1552" s="5598"/>
      <c r="D1552" s="9598" t="s">
        <v>134</v>
      </c>
      <c r="E1552" s="9600"/>
      <c r="F1552" s="285" t="s">
        <v>742</v>
      </c>
      <c r="G1552" s="666"/>
      <c r="H1552" s="666"/>
      <c r="I1552" s="9579" t="s">
        <v>135</v>
      </c>
      <c r="J1552" s="9581"/>
      <c r="K1552" s="5623" t="s">
        <v>734</v>
      </c>
      <c r="L1552" s="7133">
        <v>1034</v>
      </c>
      <c r="M1552" s="7306" t="s">
        <v>986</v>
      </c>
      <c r="N1552" s="7145">
        <v>1018</v>
      </c>
      <c r="O1552" s="7312" t="s">
        <v>986</v>
      </c>
      <c r="P1552" s="7169">
        <v>1023</v>
      </c>
      <c r="Q1552" s="7421"/>
      <c r="R1552" s="6659" t="s">
        <v>31</v>
      </c>
      <c r="S1552" s="6591"/>
      <c r="T1552" s="2468"/>
      <c r="U1552" s="544"/>
      <c r="V1552" s="545"/>
      <c r="W1552" s="546"/>
      <c r="X1552" s="547"/>
      <c r="Y1552" s="548"/>
      <c r="Z1552" s="277"/>
      <c r="AA1552" s="277"/>
      <c r="AB1552" s="187"/>
    </row>
    <row r="1553" spans="1:31" ht="20.100000000000001" customHeight="1">
      <c r="A1553" s="11"/>
      <c r="B1553" s="1360"/>
      <c r="C1553" s="5598"/>
      <c r="D1553" s="9598" t="s">
        <v>137</v>
      </c>
      <c r="E1553" s="9600"/>
      <c r="F1553" s="285" t="s">
        <v>742</v>
      </c>
      <c r="G1553" s="666"/>
      <c r="H1553" s="666"/>
      <c r="I1553" s="9579" t="s">
        <v>138</v>
      </c>
      <c r="J1553" s="9581"/>
      <c r="K1553" s="5623" t="s">
        <v>734</v>
      </c>
      <c r="L1553" s="7113">
        <v>131</v>
      </c>
      <c r="M1553" s="7288" t="s">
        <v>987</v>
      </c>
      <c r="N1553" s="7118">
        <v>128</v>
      </c>
      <c r="O1553" s="7393" t="s">
        <v>987</v>
      </c>
      <c r="P1553" s="7157">
        <v>206</v>
      </c>
      <c r="Q1553" s="7491"/>
      <c r="R1553" s="6659" t="s">
        <v>31</v>
      </c>
      <c r="S1553" s="6592"/>
      <c r="T1553" s="2468"/>
      <c r="U1553" s="544"/>
      <c r="V1553" s="545"/>
      <c r="W1553" s="546"/>
      <c r="X1553" s="547"/>
      <c r="Y1553" s="548"/>
      <c r="Z1553" s="277"/>
      <c r="AA1553" s="277"/>
      <c r="AB1553" s="187"/>
    </row>
    <row r="1554" spans="1:31" ht="20.100000000000001" customHeight="1">
      <c r="A1554" s="11"/>
      <c r="B1554" s="1360"/>
      <c r="C1554" s="5598"/>
      <c r="D1554" s="9598" t="s">
        <v>140</v>
      </c>
      <c r="E1554" s="9600"/>
      <c r="F1554" s="285" t="s">
        <v>742</v>
      </c>
      <c r="G1554" s="666"/>
      <c r="H1554" s="666"/>
      <c r="I1554" s="9582" t="s">
        <v>141</v>
      </c>
      <c r="J1554" s="9583"/>
      <c r="K1554" s="5623" t="s">
        <v>734</v>
      </c>
      <c r="L1554" s="7166">
        <v>0</v>
      </c>
      <c r="M1554" s="7306"/>
      <c r="N1554" s="7162">
        <v>0</v>
      </c>
      <c r="O1554" s="7312"/>
      <c r="P1554" s="7167">
        <v>0</v>
      </c>
      <c r="Q1554" s="7421"/>
      <c r="R1554" s="6659" t="s">
        <v>31</v>
      </c>
      <c r="S1554" s="6591"/>
      <c r="T1554" s="2468"/>
      <c r="U1554" s="544"/>
      <c r="V1554" s="545"/>
      <c r="W1554" s="546"/>
      <c r="X1554" s="547"/>
      <c r="Y1554" s="548"/>
      <c r="Z1554" s="277"/>
      <c r="AA1554" s="277"/>
      <c r="AB1554" s="187"/>
      <c r="AE1554" s="1377" t="s">
        <v>993</v>
      </c>
    </row>
    <row r="1555" spans="1:31" ht="20.100000000000001" customHeight="1">
      <c r="A1555" s="11"/>
      <c r="B1555" s="1360"/>
      <c r="C1555" s="5598"/>
      <c r="D1555" s="9598" t="s">
        <v>143</v>
      </c>
      <c r="E1555" s="9600"/>
      <c r="F1555" s="285" t="s">
        <v>742</v>
      </c>
      <c r="G1555" s="666"/>
      <c r="H1555" s="666"/>
      <c r="I1555" s="9582" t="s">
        <v>144</v>
      </c>
      <c r="J1555" s="9583"/>
      <c r="K1555" s="5623" t="s">
        <v>734</v>
      </c>
      <c r="L1555" s="7171" t="s">
        <v>1958</v>
      </c>
      <c r="M1555" s="7306"/>
      <c r="N1555" s="7162"/>
      <c r="O1555" s="7312"/>
      <c r="P1555" s="7167"/>
      <c r="Q1555" s="7421"/>
      <c r="R1555" s="6659" t="s">
        <v>31</v>
      </c>
      <c r="S1555" s="6591"/>
      <c r="T1555" s="2468"/>
      <c r="U1555" s="544"/>
      <c r="V1555" s="545"/>
      <c r="W1555" s="546"/>
      <c r="X1555" s="547"/>
      <c r="Y1555" s="548"/>
      <c r="Z1555" s="277"/>
      <c r="AA1555" s="277"/>
      <c r="AB1555" s="187"/>
      <c r="AE1555" s="1377" t="s">
        <v>993</v>
      </c>
    </row>
    <row r="1556" spans="1:31" ht="20.100000000000001" customHeight="1">
      <c r="A1556" s="11"/>
      <c r="B1556" s="1360"/>
      <c r="C1556" s="5598"/>
      <c r="D1556" s="9598" t="s">
        <v>146</v>
      </c>
      <c r="E1556" s="9600"/>
      <c r="F1556" s="285" t="s">
        <v>742</v>
      </c>
      <c r="G1556" s="666"/>
      <c r="H1556" s="666"/>
      <c r="I1556" s="9582" t="s">
        <v>147</v>
      </c>
      <c r="J1556" s="9583"/>
      <c r="K1556" s="5623" t="s">
        <v>734</v>
      </c>
      <c r="L1556" s="7171" t="s">
        <v>1958</v>
      </c>
      <c r="M1556" s="7306"/>
      <c r="N1556" s="7162"/>
      <c r="O1556" s="7312"/>
      <c r="P1556" s="7167"/>
      <c r="Q1556" s="7421"/>
      <c r="R1556" s="6659" t="s">
        <v>31</v>
      </c>
      <c r="S1556" s="6591"/>
      <c r="T1556" s="2468"/>
      <c r="U1556" s="544"/>
      <c r="V1556" s="545"/>
      <c r="W1556" s="546"/>
      <c r="X1556" s="547"/>
      <c r="Y1556" s="548"/>
      <c r="Z1556" s="277"/>
      <c r="AA1556" s="277"/>
      <c r="AB1556" s="187"/>
      <c r="AE1556" s="1377" t="s">
        <v>993</v>
      </c>
    </row>
    <row r="1557" spans="1:31" ht="20.100000000000001" customHeight="1">
      <c r="A1557" s="11"/>
      <c r="B1557" s="1360"/>
      <c r="C1557" s="5598"/>
      <c r="D1557" s="9598" t="s">
        <v>149</v>
      </c>
      <c r="E1557" s="9600"/>
      <c r="F1557" s="285" t="s">
        <v>742</v>
      </c>
      <c r="G1557" s="666"/>
      <c r="H1557" s="666"/>
      <c r="I1557" s="9582" t="s">
        <v>150</v>
      </c>
      <c r="J1557" s="9583"/>
      <c r="K1557" s="5623" t="s">
        <v>734</v>
      </c>
      <c r="L1557" s="7171" t="s">
        <v>1958</v>
      </c>
      <c r="M1557" s="7306"/>
      <c r="N1557" s="7162"/>
      <c r="O1557" s="7306"/>
      <c r="P1557" s="7162"/>
      <c r="Q1557" s="7421"/>
      <c r="R1557" s="6659" t="s">
        <v>31</v>
      </c>
      <c r="S1557" s="6591"/>
      <c r="T1557" s="2468"/>
      <c r="U1557" s="544"/>
      <c r="V1557" s="545"/>
      <c r="W1557" s="546"/>
      <c r="X1557" s="547"/>
      <c r="Y1557" s="548"/>
      <c r="Z1557" s="277"/>
      <c r="AA1557" s="277"/>
      <c r="AB1557" s="187"/>
      <c r="AE1557" s="1377" t="s">
        <v>993</v>
      </c>
    </row>
    <row r="1558" spans="1:31" ht="20.100000000000001" customHeight="1">
      <c r="A1558" s="11"/>
      <c r="B1558" s="1360"/>
      <c r="C1558" s="9656" t="s">
        <v>1000</v>
      </c>
      <c r="D1558" s="9587"/>
      <c r="E1558" s="9588"/>
      <c r="F1558" s="6683" t="s">
        <v>156</v>
      </c>
      <c r="G1558" s="7064"/>
      <c r="H1558" s="9586" t="s">
        <v>1001</v>
      </c>
      <c r="I1558" s="9587"/>
      <c r="J1558" s="9588"/>
      <c r="K1558" s="7065" t="s">
        <v>156</v>
      </c>
      <c r="L1558" s="7016">
        <f>IF(COUNTBLANK(L1559:L1564)&gt;0,"미취합법인有",AVERAGE(L1559:L1564))</f>
        <v>56</v>
      </c>
      <c r="M1558" s="7026"/>
      <c r="N1558" s="7001" t="str">
        <f>IF(COUNTBLANK(N1559:N1564)&gt;0,"미취합법인有",AVERAGE(N1559:N1564))</f>
        <v>미취합법인有</v>
      </c>
      <c r="O1558" s="7384"/>
      <c r="P1558" s="7002" t="str">
        <f>IF(COUNTBLANK(P1559:P1564)&gt;0,"미취합법인有",AVERAGE(P1559:P1564))</f>
        <v>미취합법인有</v>
      </c>
      <c r="Q1558" s="7029"/>
      <c r="R1558" s="7010" t="s">
        <v>31</v>
      </c>
      <c r="S1558" s="7046"/>
      <c r="T1558" s="7027" t="s">
        <v>1002</v>
      </c>
      <c r="U1558" s="544" t="s">
        <v>1001</v>
      </c>
      <c r="V1558" s="99" t="s">
        <v>189</v>
      </c>
      <c r="W1558" s="547"/>
      <c r="X1558" s="547"/>
      <c r="Y1558" s="808"/>
      <c r="Z1558" s="775" t="s">
        <v>1003</v>
      </c>
      <c r="AA1558" s="620" t="s">
        <v>1004</v>
      </c>
      <c r="AB1558" s="159"/>
    </row>
    <row r="1559" spans="1:31" ht="20.100000000000001" customHeight="1">
      <c r="A1559" s="11"/>
      <c r="B1559" s="1360"/>
      <c r="C1559" s="9647" t="s">
        <v>134</v>
      </c>
      <c r="D1559" s="9648"/>
      <c r="E1559" s="9649"/>
      <c r="F1559" s="285" t="s">
        <v>156</v>
      </c>
      <c r="G1559" s="666"/>
      <c r="H1559" s="9579" t="s">
        <v>135</v>
      </c>
      <c r="I1559" s="9580"/>
      <c r="J1559" s="9581"/>
      <c r="K1559" s="87" t="s">
        <v>156</v>
      </c>
      <c r="L1559" s="6753">
        <v>100</v>
      </c>
      <c r="M1559" s="7249"/>
      <c r="N1559" s="6842">
        <v>100</v>
      </c>
      <c r="O1559" s="7377"/>
      <c r="P1559" s="6842">
        <v>100</v>
      </c>
      <c r="Q1559" s="7356"/>
      <c r="R1559" s="6659" t="s">
        <v>31</v>
      </c>
      <c r="S1559" s="6557"/>
      <c r="T1559" s="2468"/>
      <c r="U1559" s="544"/>
      <c r="V1559" s="545"/>
      <c r="W1559" s="546"/>
      <c r="X1559" s="547"/>
      <c r="Y1559" s="548"/>
      <c r="Z1559" s="277"/>
      <c r="AA1559" s="277"/>
      <c r="AB1559" s="187"/>
    </row>
    <row r="1560" spans="1:31" ht="20.100000000000001" customHeight="1">
      <c r="A1560" s="11"/>
      <c r="B1560" s="1360"/>
      <c r="C1560" s="9647" t="s">
        <v>137</v>
      </c>
      <c r="D1560" s="9648"/>
      <c r="E1560" s="9649"/>
      <c r="F1560" s="285" t="s">
        <v>156</v>
      </c>
      <c r="G1560" s="666"/>
      <c r="H1560" s="9579" t="s">
        <v>138</v>
      </c>
      <c r="I1560" s="9580"/>
      <c r="J1560" s="9581"/>
      <c r="K1560" s="87" t="s">
        <v>156</v>
      </c>
      <c r="L1560" s="6764" t="s">
        <v>168</v>
      </c>
      <c r="M1560" s="7261"/>
      <c r="N1560" s="6859">
        <v>100</v>
      </c>
      <c r="O1560" s="7379"/>
      <c r="P1560" s="6942"/>
      <c r="Q1560" s="7311"/>
      <c r="R1560" s="6659" t="s">
        <v>31</v>
      </c>
      <c r="S1560" s="6572"/>
      <c r="T1560" s="2468"/>
      <c r="U1560" s="544"/>
      <c r="V1560" s="545"/>
      <c r="W1560" s="546"/>
      <c r="X1560" s="547"/>
      <c r="Y1560" s="548"/>
      <c r="Z1560" s="277"/>
      <c r="AA1560" s="277"/>
      <c r="AB1560" s="187"/>
    </row>
    <row r="1561" spans="1:31" ht="20.100000000000001" customHeight="1">
      <c r="A1561" s="11"/>
      <c r="B1561" s="1360"/>
      <c r="C1561" s="9647" t="s">
        <v>140</v>
      </c>
      <c r="D1561" s="9648"/>
      <c r="E1561" s="9649"/>
      <c r="F1561" s="285" t="s">
        <v>156</v>
      </c>
      <c r="G1561" s="666"/>
      <c r="H1561" s="9579" t="s">
        <v>141</v>
      </c>
      <c r="I1561" s="9580"/>
      <c r="J1561" s="9581"/>
      <c r="K1561" s="87" t="s">
        <v>156</v>
      </c>
      <c r="L1561" s="6764" t="s">
        <v>168</v>
      </c>
      <c r="M1561" s="7261"/>
      <c r="N1561" s="6859"/>
      <c r="O1561" s="7379"/>
      <c r="P1561" s="6942"/>
      <c r="Q1561" s="7311"/>
      <c r="R1561" s="6659" t="s">
        <v>31</v>
      </c>
      <c r="S1561" s="6572"/>
      <c r="T1561" s="2468"/>
      <c r="U1561" s="544"/>
      <c r="V1561" s="545"/>
      <c r="W1561" s="546"/>
      <c r="X1561" s="547"/>
      <c r="Y1561" s="548"/>
      <c r="Z1561" s="277"/>
      <c r="AA1561" s="277"/>
      <c r="AB1561" s="187"/>
    </row>
    <row r="1562" spans="1:31" ht="20.100000000000001" customHeight="1">
      <c r="A1562" s="11"/>
      <c r="B1562" s="1360"/>
      <c r="C1562" s="9647" t="s">
        <v>143</v>
      </c>
      <c r="D1562" s="9648"/>
      <c r="E1562" s="9649"/>
      <c r="F1562" s="285" t="s">
        <v>156</v>
      </c>
      <c r="G1562" s="666"/>
      <c r="H1562" s="9579" t="s">
        <v>144</v>
      </c>
      <c r="I1562" s="9580"/>
      <c r="J1562" s="9581"/>
      <c r="K1562" s="87" t="s">
        <v>156</v>
      </c>
      <c r="L1562" s="6794">
        <v>12</v>
      </c>
      <c r="M1562" s="7261" t="s">
        <v>1005</v>
      </c>
      <c r="N1562" s="6881">
        <v>16</v>
      </c>
      <c r="O1562" s="7379" t="s">
        <v>1005</v>
      </c>
      <c r="P1562" s="6886">
        <v>17</v>
      </c>
      <c r="Q1562" s="7311"/>
      <c r="R1562" s="6659" t="s">
        <v>31</v>
      </c>
      <c r="S1562" s="6572"/>
      <c r="T1562" s="2468"/>
      <c r="U1562" s="544"/>
      <c r="V1562" s="545"/>
      <c r="W1562" s="546"/>
      <c r="X1562" s="547"/>
      <c r="Y1562" s="548"/>
      <c r="Z1562" s="277"/>
      <c r="AA1562" s="277"/>
      <c r="AB1562" s="187"/>
    </row>
    <row r="1563" spans="1:31" ht="20.100000000000001" customHeight="1">
      <c r="A1563" s="11"/>
      <c r="B1563" s="1360"/>
      <c r="C1563" s="9647" t="s">
        <v>146</v>
      </c>
      <c r="D1563" s="9648"/>
      <c r="E1563" s="9649"/>
      <c r="F1563" s="285" t="s">
        <v>156</v>
      </c>
      <c r="G1563" s="666"/>
      <c r="H1563" s="9579" t="s">
        <v>147</v>
      </c>
      <c r="I1563" s="9580"/>
      <c r="J1563" s="9581"/>
      <c r="K1563" s="87" t="s">
        <v>156</v>
      </c>
      <c r="L1563" s="6764" t="s">
        <v>168</v>
      </c>
      <c r="M1563" s="7261"/>
      <c r="N1563" s="6859"/>
      <c r="O1563" s="7379"/>
      <c r="P1563" s="6942"/>
      <c r="Q1563" s="7311"/>
      <c r="R1563" s="6659" t="s">
        <v>31</v>
      </c>
      <c r="S1563" s="6572"/>
      <c r="T1563" s="2468"/>
      <c r="U1563" s="544"/>
      <c r="V1563" s="545"/>
      <c r="W1563" s="546"/>
      <c r="X1563" s="547"/>
      <c r="Y1563" s="548"/>
      <c r="Z1563" s="277"/>
      <c r="AA1563" s="277"/>
      <c r="AB1563" s="187"/>
    </row>
    <row r="1564" spans="1:31" ht="20.100000000000001" customHeight="1">
      <c r="A1564" s="11"/>
      <c r="B1564" s="1360"/>
      <c r="C1564" s="9647" t="s">
        <v>149</v>
      </c>
      <c r="D1564" s="9648"/>
      <c r="E1564" s="9649"/>
      <c r="F1564" s="285" t="s">
        <v>156</v>
      </c>
      <c r="G1564" s="666"/>
      <c r="H1564" s="9579" t="s">
        <v>150</v>
      </c>
      <c r="I1564" s="9580"/>
      <c r="J1564" s="9581"/>
      <c r="K1564" s="87" t="s">
        <v>156</v>
      </c>
      <c r="L1564" s="6764" t="s">
        <v>168</v>
      </c>
      <c r="M1564" s="7261"/>
      <c r="N1564" s="6859"/>
      <c r="O1564" s="7261"/>
      <c r="P1564" s="6859"/>
      <c r="Q1564" s="7311"/>
      <c r="R1564" s="6659" t="s">
        <v>31</v>
      </c>
      <c r="S1564" s="6572"/>
      <c r="T1564" s="2468"/>
      <c r="U1564" s="544"/>
      <c r="V1564" s="545"/>
      <c r="W1564" s="546"/>
      <c r="X1564" s="547"/>
      <c r="Y1564" s="548"/>
      <c r="Z1564" s="277"/>
      <c r="AA1564" s="277"/>
      <c r="AB1564" s="187"/>
    </row>
    <row r="1565" spans="1:31" ht="20.100000000000001" customHeight="1">
      <c r="A1565" s="11"/>
      <c r="B1565" s="1360"/>
      <c r="C1565" s="9656" t="s">
        <v>1006</v>
      </c>
      <c r="D1565" s="9587"/>
      <c r="E1565" s="9588"/>
      <c r="F1565" s="7042" t="s">
        <v>742</v>
      </c>
      <c r="G1565" s="7062"/>
      <c r="H1565" s="9586" t="s">
        <v>1007</v>
      </c>
      <c r="I1565" s="9587"/>
      <c r="J1565" s="9588"/>
      <c r="K1565" s="7042" t="s">
        <v>734</v>
      </c>
      <c r="L1565" s="7111">
        <f>IF(COUNTBLANK(L1566:L1571)&gt;0,"미취합법인有",SUM(L1566:L1571))</f>
        <v>1204</v>
      </c>
      <c r="M1565" s="7279"/>
      <c r="N1565" s="7115" t="str">
        <f>IF(COUNTBLANK(N1566:N1571)&gt;0,"미취합법인有",SUM(N1566:N1571))</f>
        <v>미취합법인有</v>
      </c>
      <c r="O1565" s="7385"/>
      <c r="P1565" s="7121" t="str">
        <f>IF(COUNTBLANK(P1566:P1571)&gt;0,"미취합법인有",SUM(P1566:P1571))</f>
        <v>미취합법인有</v>
      </c>
      <c r="Q1565" s="7029"/>
      <c r="R1565" s="7010" t="s">
        <v>31</v>
      </c>
      <c r="S1565" s="7007"/>
      <c r="T1565" s="7020"/>
      <c r="U1565" s="457"/>
      <c r="V1565" s="99" t="s">
        <v>189</v>
      </c>
      <c r="W1565" s="547"/>
      <c r="X1565" s="547"/>
      <c r="Y1565" s="99"/>
      <c r="Z1565" s="775" t="s">
        <v>1003</v>
      </c>
      <c r="AA1565" s="277" t="s">
        <v>1004</v>
      </c>
      <c r="AB1565" s="187"/>
      <c r="AE1565" s="1377"/>
    </row>
    <row r="1566" spans="1:31" ht="20.100000000000001" customHeight="1">
      <c r="A1566" s="11"/>
      <c r="B1566" s="1360"/>
      <c r="C1566" s="9647" t="s">
        <v>134</v>
      </c>
      <c r="D1566" s="9648"/>
      <c r="E1566" s="9649"/>
      <c r="F1566" s="809" t="s">
        <v>742</v>
      </c>
      <c r="G1566" s="666"/>
      <c r="H1566" s="9579" t="s">
        <v>135</v>
      </c>
      <c r="I1566" s="9580"/>
      <c r="J1566" s="9581"/>
      <c r="K1566" s="809" t="s">
        <v>734</v>
      </c>
      <c r="L1566" s="7113">
        <v>1135</v>
      </c>
      <c r="M1566" s="7288"/>
      <c r="N1566" s="7118">
        <v>1097</v>
      </c>
      <c r="O1566" s="7393"/>
      <c r="P1566" s="7118">
        <v>1096</v>
      </c>
      <c r="Q1566" s="7311"/>
      <c r="R1566" s="6659" t="s">
        <v>31</v>
      </c>
      <c r="S1566" s="6572"/>
      <c r="T1566" s="2468"/>
      <c r="U1566" s="544"/>
      <c r="V1566" s="545"/>
      <c r="W1566" s="546"/>
      <c r="X1566" s="547"/>
      <c r="Y1566" s="548"/>
      <c r="Z1566" s="277"/>
      <c r="AA1566" s="277"/>
      <c r="AB1566" s="187"/>
    </row>
    <row r="1567" spans="1:31" ht="20.100000000000001" customHeight="1">
      <c r="A1567" s="11"/>
      <c r="B1567" s="1360"/>
      <c r="C1567" s="9647" t="s">
        <v>137</v>
      </c>
      <c r="D1567" s="9648"/>
      <c r="E1567" s="9649"/>
      <c r="F1567" s="809" t="s">
        <v>742</v>
      </c>
      <c r="G1567" s="666"/>
      <c r="H1567" s="9579" t="s">
        <v>138</v>
      </c>
      <c r="I1567" s="9580"/>
      <c r="J1567" s="9581"/>
      <c r="K1567" s="809" t="s">
        <v>734</v>
      </c>
      <c r="L1567" s="7171" t="s">
        <v>168</v>
      </c>
      <c r="M1567" s="7288"/>
      <c r="N1567" s="7118">
        <v>231</v>
      </c>
      <c r="O1567" s="7393"/>
      <c r="P1567" s="7157">
        <v>223</v>
      </c>
      <c r="Q1567" s="7311"/>
      <c r="R1567" s="6659" t="s">
        <v>31</v>
      </c>
      <c r="S1567" s="6572"/>
      <c r="T1567" s="2468"/>
      <c r="U1567" s="544"/>
      <c r="V1567" s="545"/>
      <c r="W1567" s="546"/>
      <c r="X1567" s="547"/>
      <c r="Y1567" s="548"/>
      <c r="Z1567" s="277"/>
      <c r="AA1567" s="277"/>
      <c r="AB1567" s="187"/>
    </row>
    <row r="1568" spans="1:31" ht="20.100000000000001" customHeight="1">
      <c r="A1568" s="11"/>
      <c r="B1568" s="1360"/>
      <c r="C1568" s="9647" t="s">
        <v>140</v>
      </c>
      <c r="D1568" s="9648"/>
      <c r="E1568" s="9649"/>
      <c r="F1568" s="809" t="s">
        <v>742</v>
      </c>
      <c r="G1568" s="666"/>
      <c r="H1568" s="9579" t="s">
        <v>141</v>
      </c>
      <c r="I1568" s="9580"/>
      <c r="J1568" s="9581"/>
      <c r="K1568" s="809" t="s">
        <v>734</v>
      </c>
      <c r="L1568" s="7113">
        <v>0</v>
      </c>
      <c r="M1568" s="7288"/>
      <c r="N1568" s="7118">
        <v>0</v>
      </c>
      <c r="O1568" s="7393"/>
      <c r="P1568" s="7157"/>
      <c r="Q1568" s="7311"/>
      <c r="R1568" s="6659" t="s">
        <v>31</v>
      </c>
      <c r="S1568" s="6572"/>
      <c r="T1568" s="2468"/>
      <c r="U1568" s="544"/>
      <c r="V1568" s="545"/>
      <c r="W1568" s="546"/>
      <c r="X1568" s="547"/>
      <c r="Y1568" s="548"/>
      <c r="Z1568" s="277"/>
      <c r="AA1568" s="277"/>
      <c r="AB1568" s="187"/>
      <c r="AE1568" s="1377" t="s">
        <v>1008</v>
      </c>
    </row>
    <row r="1569" spans="1:31" ht="20.100000000000001" customHeight="1">
      <c r="A1569" s="11"/>
      <c r="B1569" s="1360"/>
      <c r="C1569" s="9647" t="s">
        <v>143</v>
      </c>
      <c r="D1569" s="9648"/>
      <c r="E1569" s="9649"/>
      <c r="F1569" s="809" t="s">
        <v>742</v>
      </c>
      <c r="G1569" s="666"/>
      <c r="H1569" s="9579" t="s">
        <v>144</v>
      </c>
      <c r="I1569" s="9580"/>
      <c r="J1569" s="9581"/>
      <c r="K1569" s="809" t="s">
        <v>734</v>
      </c>
      <c r="L1569" s="7113">
        <v>69</v>
      </c>
      <c r="M1569" s="7288" t="s">
        <v>1009</v>
      </c>
      <c r="N1569" s="7118">
        <v>91</v>
      </c>
      <c r="O1569" s="7393" t="s">
        <v>1009</v>
      </c>
      <c r="P1569" s="7157">
        <v>96</v>
      </c>
      <c r="Q1569" s="7311"/>
      <c r="R1569" s="6659" t="s">
        <v>31</v>
      </c>
      <c r="S1569" s="6572"/>
      <c r="T1569" s="2468"/>
      <c r="U1569" s="544"/>
      <c r="V1569" s="545"/>
      <c r="W1569" s="546"/>
      <c r="X1569" s="547"/>
      <c r="Y1569" s="548"/>
      <c r="Z1569" s="277"/>
      <c r="AA1569" s="277"/>
      <c r="AB1569" s="187"/>
    </row>
    <row r="1570" spans="1:31" ht="20.100000000000001" customHeight="1">
      <c r="A1570" s="11"/>
      <c r="B1570" s="1360"/>
      <c r="C1570" s="9647" t="s">
        <v>146</v>
      </c>
      <c r="D1570" s="9648"/>
      <c r="E1570" s="9649"/>
      <c r="F1570" s="809" t="s">
        <v>742</v>
      </c>
      <c r="G1570" s="666"/>
      <c r="H1570" s="9579" t="s">
        <v>147</v>
      </c>
      <c r="I1570" s="9580"/>
      <c r="J1570" s="9581"/>
      <c r="K1570" s="809" t="s">
        <v>734</v>
      </c>
      <c r="L1570" s="7171" t="s">
        <v>168</v>
      </c>
      <c r="M1570" s="7288"/>
      <c r="N1570" s="7118"/>
      <c r="O1570" s="7393"/>
      <c r="P1570" s="7157"/>
      <c r="Q1570" s="7311"/>
      <c r="R1570" s="6659" t="s">
        <v>31</v>
      </c>
      <c r="S1570" s="6572"/>
      <c r="T1570" s="2468"/>
      <c r="U1570" s="544"/>
      <c r="V1570" s="545"/>
      <c r="W1570" s="546"/>
      <c r="X1570" s="547"/>
      <c r="Y1570" s="548"/>
      <c r="Z1570" s="277"/>
      <c r="AA1570" s="277"/>
      <c r="AB1570" s="187"/>
      <c r="AE1570" s="1377" t="s">
        <v>1008</v>
      </c>
    </row>
    <row r="1571" spans="1:31" ht="20.100000000000001" customHeight="1">
      <c r="A1571" s="11"/>
      <c r="B1571" s="1360"/>
      <c r="C1571" s="9647" t="s">
        <v>149</v>
      </c>
      <c r="D1571" s="9648"/>
      <c r="E1571" s="9649"/>
      <c r="F1571" s="809" t="s">
        <v>742</v>
      </c>
      <c r="G1571" s="666"/>
      <c r="H1571" s="9579" t="s">
        <v>150</v>
      </c>
      <c r="I1571" s="9580"/>
      <c r="J1571" s="9581"/>
      <c r="K1571" s="809" t="s">
        <v>734</v>
      </c>
      <c r="L1571" s="7171" t="s">
        <v>168</v>
      </c>
      <c r="M1571" s="7288"/>
      <c r="N1571" s="7118"/>
      <c r="O1571" s="7288"/>
      <c r="P1571" s="7118"/>
      <c r="Q1571" s="7311"/>
      <c r="R1571" s="6659" t="s">
        <v>31</v>
      </c>
      <c r="S1571" s="6572"/>
      <c r="T1571" s="2468"/>
      <c r="U1571" s="544"/>
      <c r="V1571" s="545"/>
      <c r="W1571" s="546"/>
      <c r="X1571" s="547"/>
      <c r="Y1571" s="548"/>
      <c r="Z1571" s="277"/>
      <c r="AA1571" s="277"/>
      <c r="AB1571" s="187"/>
    </row>
    <row r="1572" spans="1:31" ht="20.100000000000001" customHeight="1">
      <c r="A1572" s="11"/>
      <c r="B1572" s="1360"/>
      <c r="C1572" s="9656" t="s">
        <v>1010</v>
      </c>
      <c r="D1572" s="9587"/>
      <c r="E1572" s="9588"/>
      <c r="F1572" s="7042" t="s">
        <v>1011</v>
      </c>
      <c r="G1572" s="7062"/>
      <c r="H1572" s="9586" t="s">
        <v>1012</v>
      </c>
      <c r="I1572" s="9587"/>
      <c r="J1572" s="9588"/>
      <c r="K1572" s="7042" t="s">
        <v>1013</v>
      </c>
      <c r="L1572" s="7111" t="str">
        <f>IF(COUNTBLANK(L1573:L1578)&gt;0,"미취합법인有",SUM(L1573:L1578))</f>
        <v>미취합법인有</v>
      </c>
      <c r="M1572" s="7279"/>
      <c r="N1572" s="7115" t="str">
        <f>IF(COUNTBLANK(N1573:N1578)&gt;0,"미취합법인有",SUM(N1573:N1578))</f>
        <v>미취합법인有</v>
      </c>
      <c r="O1572" s="7385"/>
      <c r="P1572" s="7121" t="str">
        <f>IF(COUNTBLANK(P1573:P1578)&gt;0,"미취합법인有",SUM(P1573:P1578))</f>
        <v>미취합법인有</v>
      </c>
      <c r="Q1572" s="7029"/>
      <c r="R1572" s="7010" t="s">
        <v>155</v>
      </c>
      <c r="S1572" s="7007"/>
      <c r="T1572" s="7020"/>
      <c r="U1572" s="457"/>
      <c r="V1572" s="99" t="s">
        <v>189</v>
      </c>
      <c r="W1572" s="547"/>
      <c r="X1572" s="547"/>
      <c r="Y1572" s="99"/>
      <c r="Z1572" s="775"/>
      <c r="AA1572" s="277" t="s">
        <v>1014</v>
      </c>
      <c r="AB1572" s="187"/>
    </row>
    <row r="1573" spans="1:31" ht="20.100000000000001" customHeight="1">
      <c r="A1573" s="11"/>
      <c r="B1573" s="1360"/>
      <c r="C1573" s="9647" t="s">
        <v>134</v>
      </c>
      <c r="D1573" s="9648"/>
      <c r="E1573" s="9649"/>
      <c r="F1573" s="809" t="s">
        <v>1011</v>
      </c>
      <c r="G1573" s="666"/>
      <c r="H1573" s="9579" t="s">
        <v>135</v>
      </c>
      <c r="I1573" s="9580"/>
      <c r="J1573" s="9581"/>
      <c r="K1573" s="809" t="s">
        <v>1013</v>
      </c>
      <c r="L1573" s="7166"/>
      <c r="M1573" s="7319"/>
      <c r="N1573" s="7175"/>
      <c r="O1573" s="7413"/>
      <c r="P1573" s="7176"/>
      <c r="Q1573" s="7478"/>
      <c r="R1573" s="6659" t="s">
        <v>155</v>
      </c>
      <c r="S1573" s="6587"/>
      <c r="T1573" s="2468"/>
      <c r="U1573" s="544"/>
      <c r="V1573" s="545"/>
      <c r="W1573" s="546"/>
      <c r="X1573" s="547"/>
      <c r="Y1573" s="548"/>
      <c r="Z1573" s="277"/>
      <c r="AA1573" s="277"/>
      <c r="AB1573" s="187"/>
    </row>
    <row r="1574" spans="1:31" ht="20.100000000000001" customHeight="1">
      <c r="A1574" s="11"/>
      <c r="B1574" s="1360"/>
      <c r="C1574" s="9647" t="s">
        <v>137</v>
      </c>
      <c r="D1574" s="9648"/>
      <c r="E1574" s="9649"/>
      <c r="F1574" s="809" t="s">
        <v>1011</v>
      </c>
      <c r="G1574" s="666"/>
      <c r="H1574" s="9579" t="s">
        <v>138</v>
      </c>
      <c r="I1574" s="9580"/>
      <c r="J1574" s="9581"/>
      <c r="K1574" s="809" t="s">
        <v>1013</v>
      </c>
      <c r="L1574" s="7113"/>
      <c r="M1574" s="7295"/>
      <c r="N1574" s="7117"/>
      <c r="O1574" s="7394"/>
      <c r="P1574" s="7138">
        <v>0</v>
      </c>
      <c r="Q1574" s="7356"/>
      <c r="R1574" s="6659" t="s">
        <v>155</v>
      </c>
      <c r="S1574" s="6557"/>
      <c r="T1574" s="2468"/>
      <c r="U1574" s="544"/>
      <c r="V1574" s="545"/>
      <c r="W1574" s="546"/>
      <c r="X1574" s="547"/>
      <c r="Y1574" s="548"/>
      <c r="Z1574" s="277"/>
      <c r="AA1574" s="277"/>
      <c r="AB1574" s="187"/>
    </row>
    <row r="1575" spans="1:31" ht="20.100000000000001" customHeight="1">
      <c r="A1575" s="11"/>
      <c r="B1575" s="1360"/>
      <c r="C1575" s="9647" t="s">
        <v>140</v>
      </c>
      <c r="D1575" s="9648"/>
      <c r="E1575" s="9649"/>
      <c r="F1575" s="809" t="s">
        <v>1011</v>
      </c>
      <c r="G1575" s="666"/>
      <c r="H1575" s="9579" t="s">
        <v>141</v>
      </c>
      <c r="I1575" s="9580"/>
      <c r="J1575" s="9581"/>
      <c r="K1575" s="809" t="s">
        <v>1013</v>
      </c>
      <c r="L1575" s="7113"/>
      <c r="M1575" s="7295"/>
      <c r="N1575" s="7117"/>
      <c r="O1575" s="7394"/>
      <c r="P1575" s="7138"/>
      <c r="Q1575" s="7356"/>
      <c r="R1575" s="6659" t="s">
        <v>155</v>
      </c>
      <c r="S1575" s="6557"/>
      <c r="T1575" s="2468"/>
      <c r="U1575" s="544"/>
      <c r="V1575" s="545"/>
      <c r="W1575" s="546"/>
      <c r="X1575" s="547"/>
      <c r="Y1575" s="548"/>
      <c r="Z1575" s="277"/>
      <c r="AA1575" s="277"/>
      <c r="AB1575" s="187"/>
    </row>
    <row r="1576" spans="1:31" ht="20.100000000000001" customHeight="1">
      <c r="A1576" s="11"/>
      <c r="B1576" s="1360"/>
      <c r="C1576" s="9647" t="s">
        <v>143</v>
      </c>
      <c r="D1576" s="9648"/>
      <c r="E1576" s="9649"/>
      <c r="F1576" s="809" t="s">
        <v>1011</v>
      </c>
      <c r="G1576" s="666"/>
      <c r="H1576" s="9579" t="s">
        <v>144</v>
      </c>
      <c r="I1576" s="9580"/>
      <c r="J1576" s="9581"/>
      <c r="K1576" s="809" t="s">
        <v>1013</v>
      </c>
      <c r="L1576" s="7113"/>
      <c r="M1576" s="7295"/>
      <c r="N1576" s="7117"/>
      <c r="O1576" s="7394"/>
      <c r="P1576" s="7138"/>
      <c r="Q1576" s="7356"/>
      <c r="R1576" s="6659" t="s">
        <v>155</v>
      </c>
      <c r="S1576" s="6557"/>
      <c r="T1576" s="2468"/>
      <c r="U1576" s="544"/>
      <c r="V1576" s="545"/>
      <c r="W1576" s="546"/>
      <c r="X1576" s="547"/>
      <c r="Y1576" s="548"/>
      <c r="Z1576" s="277"/>
      <c r="AA1576" s="277"/>
      <c r="AB1576" s="187"/>
    </row>
    <row r="1577" spans="1:31" ht="20.100000000000001" customHeight="1">
      <c r="A1577" s="11"/>
      <c r="B1577" s="1360"/>
      <c r="C1577" s="9647" t="s">
        <v>146</v>
      </c>
      <c r="D1577" s="9648"/>
      <c r="E1577" s="9649"/>
      <c r="F1577" s="809" t="s">
        <v>1011</v>
      </c>
      <c r="G1577" s="666"/>
      <c r="H1577" s="9579" t="s">
        <v>147</v>
      </c>
      <c r="I1577" s="9580"/>
      <c r="J1577" s="9581"/>
      <c r="K1577" s="809" t="s">
        <v>1013</v>
      </c>
      <c r="L1577" s="7161" t="s">
        <v>168</v>
      </c>
      <c r="M1577" s="7306" t="s">
        <v>641</v>
      </c>
      <c r="N1577" s="7162" t="s">
        <v>168</v>
      </c>
      <c r="O1577" s="7306" t="s">
        <v>641</v>
      </c>
      <c r="P1577" s="7162" t="s">
        <v>168</v>
      </c>
      <c r="Q1577" s="7421" t="s">
        <v>641</v>
      </c>
      <c r="R1577" s="6659" t="s">
        <v>155</v>
      </c>
      <c r="S1577" s="6591"/>
      <c r="T1577" s="2468"/>
      <c r="U1577" s="544"/>
      <c r="V1577" s="545"/>
      <c r="W1577" s="546"/>
      <c r="X1577" s="547"/>
      <c r="Y1577" s="548"/>
      <c r="Z1577" s="277"/>
      <c r="AA1577" s="277"/>
      <c r="AB1577" s="187"/>
    </row>
    <row r="1578" spans="1:31" ht="20.100000000000001" customHeight="1" thickBot="1">
      <c r="A1578" s="11"/>
      <c r="B1578" s="1360"/>
      <c r="C1578" s="9647" t="s">
        <v>149</v>
      </c>
      <c r="D1578" s="9648"/>
      <c r="E1578" s="9649"/>
      <c r="F1578" s="492" t="s">
        <v>1011</v>
      </c>
      <c r="G1578" s="6161"/>
      <c r="H1578" s="9579" t="s">
        <v>150</v>
      </c>
      <c r="I1578" s="9580"/>
      <c r="J1578" s="9581"/>
      <c r="K1578" s="809" t="s">
        <v>1013</v>
      </c>
      <c r="L1578" s="7161" t="s">
        <v>168</v>
      </c>
      <c r="M1578" s="7306" t="s">
        <v>641</v>
      </c>
      <c r="N1578" s="7162" t="s">
        <v>168</v>
      </c>
      <c r="O1578" s="7306" t="s">
        <v>641</v>
      </c>
      <c r="P1578" s="7162" t="s">
        <v>168</v>
      </c>
      <c r="Q1578" s="7421" t="s">
        <v>641</v>
      </c>
      <c r="R1578" s="6674" t="s">
        <v>155</v>
      </c>
      <c r="S1578" s="6591"/>
      <c r="T1578" s="2468"/>
      <c r="U1578" s="544"/>
      <c r="V1578" s="545"/>
      <c r="W1578" s="546"/>
      <c r="X1578" s="547"/>
      <c r="Y1578" s="548"/>
      <c r="Z1578" s="277"/>
      <c r="AA1578" s="277"/>
      <c r="AB1578" s="187"/>
    </row>
    <row r="1579" spans="1:31" ht="27" thickBot="1">
      <c r="A1579" s="11"/>
      <c r="B1579" s="123" t="s">
        <v>1234</v>
      </c>
      <c r="C1579" s="124"/>
      <c r="D1579" s="124"/>
      <c r="E1579" s="124"/>
      <c r="F1579" s="78"/>
      <c r="G1579" s="125" t="s">
        <v>1235</v>
      </c>
      <c r="H1579" s="126"/>
      <c r="I1579" s="521"/>
      <c r="J1579" s="521"/>
      <c r="K1579" s="78"/>
      <c r="L1579" s="6775"/>
      <c r="M1579" s="5600"/>
      <c r="N1579" s="6853"/>
      <c r="O1579" s="5600"/>
      <c r="P1579" s="6853"/>
      <c r="Q1579" s="5600"/>
      <c r="R1579" s="5600"/>
      <c r="S1579" s="5600"/>
      <c r="T1579" s="80"/>
      <c r="U1579" s="80"/>
      <c r="V1579" s="129"/>
      <c r="W1579" s="80"/>
      <c r="X1579" s="80"/>
      <c r="Y1579" s="6023"/>
      <c r="Z1579" s="752"/>
      <c r="AA1579" s="328"/>
      <c r="AB1579" s="329"/>
    </row>
    <row r="1580" spans="1:31" ht="20.100000000000001" customHeight="1">
      <c r="A1580" s="11"/>
      <c r="B1580" s="1360"/>
      <c r="C1580" s="9656" t="s">
        <v>1250</v>
      </c>
      <c r="D1580" s="9587"/>
      <c r="E1580" s="9588"/>
      <c r="F1580" s="7006" t="s">
        <v>557</v>
      </c>
      <c r="G1580" s="7051"/>
      <c r="H1580" s="9586" t="s">
        <v>1251</v>
      </c>
      <c r="I1580" s="9587"/>
      <c r="J1580" s="9588"/>
      <c r="K1580" s="6683" t="s">
        <v>559</v>
      </c>
      <c r="L1580" s="7111">
        <f>IF(COUNTBLANK(L1581:L1586)&gt;0,"미취합법인有",SUM(L1581:L1586))</f>
        <v>10</v>
      </c>
      <c r="M1580" s="7279"/>
      <c r="N1580" s="7115">
        <f>IF(COUNTBLANK(N1581:N1586)&gt;0,"미취합법인有",SUM(N1581:N1586))</f>
        <v>14</v>
      </c>
      <c r="O1580" s="7385"/>
      <c r="P1580" s="7121" t="str">
        <f>IF(COUNTBLANK(P1581:P1586)&gt;0,"미취합법인有",SUM(P1581:P1586))</f>
        <v>미취합법인有</v>
      </c>
      <c r="Q1580" s="7029"/>
      <c r="R1580" s="7010" t="s">
        <v>31</v>
      </c>
      <c r="S1580" s="7007"/>
      <c r="T1580" s="7008" t="s">
        <v>1250</v>
      </c>
      <c r="U1580" s="276" t="s">
        <v>1252</v>
      </c>
      <c r="V1580" s="109" t="s">
        <v>206</v>
      </c>
      <c r="W1580" s="547"/>
      <c r="X1580" s="547"/>
      <c r="Y1580" s="109"/>
      <c r="Z1580" s="896" t="s">
        <v>1253</v>
      </c>
      <c r="AA1580" s="265" t="s">
        <v>1968</v>
      </c>
      <c r="AB1580" s="957"/>
    </row>
    <row r="1581" spans="1:31" ht="20.100000000000001" customHeight="1">
      <c r="A1581" s="11"/>
      <c r="B1581" s="1360"/>
      <c r="C1581" s="9647" t="s">
        <v>134</v>
      </c>
      <c r="D1581" s="9648"/>
      <c r="E1581" s="9649"/>
      <c r="F1581" s="132" t="s">
        <v>557</v>
      </c>
      <c r="G1581" s="666"/>
      <c r="H1581" s="9579" t="s">
        <v>135</v>
      </c>
      <c r="I1581" s="9580"/>
      <c r="J1581" s="9581"/>
      <c r="K1581" s="105" t="s">
        <v>559</v>
      </c>
      <c r="L1581" s="7113">
        <v>4</v>
      </c>
      <c r="M1581" s="7288" t="s">
        <v>1254</v>
      </c>
      <c r="N1581" s="7118">
        <v>5</v>
      </c>
      <c r="O1581" s="7393" t="s">
        <v>1255</v>
      </c>
      <c r="P1581" s="7150">
        <v>3</v>
      </c>
      <c r="Q1581" s="7311"/>
      <c r="R1581" s="6659" t="s">
        <v>31</v>
      </c>
      <c r="S1581" s="6572" t="s">
        <v>1971</v>
      </c>
      <c r="T1581" s="2468"/>
      <c r="U1581" s="544"/>
      <c r="V1581" s="545"/>
      <c r="W1581" s="546"/>
      <c r="X1581" s="547"/>
      <c r="Y1581" s="548"/>
      <c r="Z1581" s="277"/>
      <c r="AA1581" s="277"/>
      <c r="AB1581" s="187"/>
    </row>
    <row r="1582" spans="1:31" ht="20.100000000000001" customHeight="1">
      <c r="A1582" s="11"/>
      <c r="B1582" s="1360"/>
      <c r="C1582" s="9647" t="s">
        <v>137</v>
      </c>
      <c r="D1582" s="9648"/>
      <c r="E1582" s="9649"/>
      <c r="F1582" s="132" t="s">
        <v>557</v>
      </c>
      <c r="G1582" s="666"/>
      <c r="H1582" s="9579" t="s">
        <v>138</v>
      </c>
      <c r="I1582" s="9580"/>
      <c r="J1582" s="9581"/>
      <c r="K1582" s="105" t="s">
        <v>559</v>
      </c>
      <c r="L1582" s="7113">
        <v>0</v>
      </c>
      <c r="M1582" s="7288"/>
      <c r="N1582" s="7118">
        <v>0</v>
      </c>
      <c r="O1582" s="7393"/>
      <c r="P1582" s="7157">
        <v>0</v>
      </c>
      <c r="Q1582" s="7311"/>
      <c r="R1582" s="6659" t="s">
        <v>31</v>
      </c>
      <c r="S1582" s="6572" t="s">
        <v>1969</v>
      </c>
      <c r="T1582" s="2468"/>
      <c r="U1582" s="544"/>
      <c r="V1582" s="545"/>
      <c r="W1582" s="546"/>
      <c r="X1582" s="547"/>
      <c r="Y1582" s="548"/>
      <c r="Z1582" s="277"/>
      <c r="AA1582" s="277"/>
      <c r="AB1582" s="187"/>
    </row>
    <row r="1583" spans="1:31" ht="20.100000000000001" customHeight="1">
      <c r="A1583" s="11"/>
      <c r="B1583" s="1360"/>
      <c r="C1583" s="9647" t="s">
        <v>140</v>
      </c>
      <c r="D1583" s="9648"/>
      <c r="E1583" s="9649"/>
      <c r="F1583" s="132" t="s">
        <v>557</v>
      </c>
      <c r="G1583" s="666"/>
      <c r="H1583" s="9579" t="s">
        <v>141</v>
      </c>
      <c r="I1583" s="9580"/>
      <c r="J1583" s="9581"/>
      <c r="K1583" s="105" t="s">
        <v>559</v>
      </c>
      <c r="L1583" s="7113">
        <v>3</v>
      </c>
      <c r="M1583" s="7288" t="s">
        <v>1256</v>
      </c>
      <c r="N1583" s="7118">
        <v>2</v>
      </c>
      <c r="O1583" s="7393" t="s">
        <v>1257</v>
      </c>
      <c r="P1583" s="7157">
        <v>2</v>
      </c>
      <c r="Q1583" s="7311"/>
      <c r="R1583" s="6659" t="s">
        <v>31</v>
      </c>
      <c r="S1583" s="6572" t="s">
        <v>1970</v>
      </c>
      <c r="T1583" s="2468"/>
      <c r="U1583" s="544"/>
      <c r="V1583" s="545"/>
      <c r="W1583" s="546"/>
      <c r="X1583" s="547"/>
      <c r="Y1583" s="548"/>
      <c r="Z1583" s="277"/>
      <c r="AA1583" s="277"/>
      <c r="AB1583" s="187"/>
    </row>
    <row r="1584" spans="1:31" ht="20.100000000000001" customHeight="1">
      <c r="A1584" s="11"/>
      <c r="B1584" s="1360"/>
      <c r="C1584" s="9647" t="s">
        <v>143</v>
      </c>
      <c r="D1584" s="9648"/>
      <c r="E1584" s="9649"/>
      <c r="F1584" s="132" t="s">
        <v>557</v>
      </c>
      <c r="G1584" s="666"/>
      <c r="H1584" s="9579" t="s">
        <v>144</v>
      </c>
      <c r="I1584" s="9580"/>
      <c r="J1584" s="9581"/>
      <c r="K1584" s="105" t="s">
        <v>559</v>
      </c>
      <c r="L1584" s="7113">
        <v>0</v>
      </c>
      <c r="M1584" s="7288"/>
      <c r="N1584" s="7118">
        <v>0</v>
      </c>
      <c r="O1584" s="7393"/>
      <c r="P1584" s="7174"/>
      <c r="Q1584" s="7311"/>
      <c r="R1584" s="6659" t="s">
        <v>31</v>
      </c>
      <c r="S1584" s="6572" t="s">
        <v>1971</v>
      </c>
      <c r="T1584" s="2468"/>
      <c r="U1584" s="544"/>
      <c r="V1584" s="545"/>
      <c r="W1584" s="546"/>
      <c r="X1584" s="547"/>
      <c r="Y1584" s="548"/>
      <c r="Z1584" s="277"/>
      <c r="AA1584" s="277"/>
      <c r="AB1584" s="187"/>
    </row>
    <row r="1585" spans="1:28" ht="20.100000000000001" customHeight="1">
      <c r="A1585" s="11"/>
      <c r="B1585" s="1360"/>
      <c r="C1585" s="9647" t="s">
        <v>146</v>
      </c>
      <c r="D1585" s="9648"/>
      <c r="E1585" s="9649"/>
      <c r="F1585" s="132" t="s">
        <v>557</v>
      </c>
      <c r="G1585" s="666"/>
      <c r="H1585" s="9579" t="s">
        <v>147</v>
      </c>
      <c r="I1585" s="9580"/>
      <c r="J1585" s="9581"/>
      <c r="K1585" s="105" t="s">
        <v>559</v>
      </c>
      <c r="L1585" s="7113">
        <v>1</v>
      </c>
      <c r="M1585" s="7288"/>
      <c r="N1585" s="7118">
        <v>2</v>
      </c>
      <c r="O1585" s="7393"/>
      <c r="P1585" s="7157">
        <v>1</v>
      </c>
      <c r="Q1585" s="7311"/>
      <c r="R1585" s="6659" t="s">
        <v>31</v>
      </c>
      <c r="S1585" s="6572" t="s">
        <v>1970</v>
      </c>
      <c r="T1585" s="2468"/>
      <c r="U1585" s="544"/>
      <c r="V1585" s="545"/>
      <c r="W1585" s="546"/>
      <c r="X1585" s="547"/>
      <c r="Y1585" s="548"/>
      <c r="Z1585" s="277"/>
      <c r="AA1585" s="277"/>
      <c r="AB1585" s="187"/>
    </row>
    <row r="1586" spans="1:28" ht="20.100000000000001" customHeight="1">
      <c r="A1586" s="11"/>
      <c r="B1586" s="1360"/>
      <c r="C1586" s="9647" t="s">
        <v>149</v>
      </c>
      <c r="D1586" s="9648"/>
      <c r="E1586" s="9649"/>
      <c r="F1586" s="132" t="s">
        <v>557</v>
      </c>
      <c r="G1586" s="666"/>
      <c r="H1586" s="9579" t="s">
        <v>150</v>
      </c>
      <c r="I1586" s="9580"/>
      <c r="J1586" s="9581"/>
      <c r="K1586" s="105" t="s">
        <v>559</v>
      </c>
      <c r="L1586" s="7113">
        <v>2</v>
      </c>
      <c r="M1586" s="7288"/>
      <c r="N1586" s="7118">
        <v>5</v>
      </c>
      <c r="O1586" s="7288"/>
      <c r="P1586" s="7118">
        <v>10</v>
      </c>
      <c r="Q1586" s="7311"/>
      <c r="R1586" s="6659" t="s">
        <v>31</v>
      </c>
      <c r="S1586" s="6572" t="s">
        <v>1971</v>
      </c>
      <c r="T1586" s="2468"/>
      <c r="U1586" s="544"/>
      <c r="V1586" s="545"/>
      <c r="W1586" s="546"/>
      <c r="X1586" s="547"/>
      <c r="Y1586" s="548"/>
      <c r="Z1586" s="277"/>
      <c r="AA1586" s="277"/>
      <c r="AB1586" s="187"/>
    </row>
    <row r="1587" spans="1:28" ht="20.100000000000001" customHeight="1">
      <c r="A1587" s="11"/>
      <c r="B1587" s="1360"/>
      <c r="C1587" s="9656" t="s">
        <v>1974</v>
      </c>
      <c r="D1587" s="9587"/>
      <c r="E1587" s="9588"/>
      <c r="F1587" s="7006" t="s">
        <v>557</v>
      </c>
      <c r="G1587" s="7051"/>
      <c r="H1587" s="9586" t="s">
        <v>1259</v>
      </c>
      <c r="I1587" s="9587"/>
      <c r="J1587" s="9588"/>
      <c r="K1587" s="6683" t="s">
        <v>559</v>
      </c>
      <c r="L1587" s="7111">
        <f>IF(COUNTBLANK(L1588:L1593)&gt;0,"미취합법인有",SUM(L1588:L1593))</f>
        <v>10</v>
      </c>
      <c r="M1587" s="7279"/>
      <c r="N1587" s="7115">
        <f>IF(COUNTBLANK(N1588:N1593)&gt;0,"미취합법인有",SUM(N1588:N1593))</f>
        <v>14</v>
      </c>
      <c r="O1587" s="7385"/>
      <c r="P1587" s="7121" t="str">
        <f>IF(COUNTBLANK(P1588:P1593)&gt;0,"미취합법인有",SUM(P1588:P1593))</f>
        <v>미취합법인有</v>
      </c>
      <c r="Q1587" s="7029"/>
      <c r="R1587" s="7010" t="s">
        <v>31</v>
      </c>
      <c r="S1587" s="7007"/>
      <c r="T1587" s="7008" t="s">
        <v>1260</v>
      </c>
      <c r="U1587" s="276" t="s">
        <v>1259</v>
      </c>
      <c r="V1587" s="109" t="s">
        <v>206</v>
      </c>
      <c r="W1587" s="547"/>
      <c r="X1587" s="547"/>
      <c r="Y1587" s="109"/>
      <c r="Z1587" s="896" t="s">
        <v>1240</v>
      </c>
      <c r="AA1587" s="265" t="s">
        <v>1968</v>
      </c>
      <c r="AB1587" s="957"/>
    </row>
    <row r="1588" spans="1:28" ht="20.100000000000001" customHeight="1">
      <c r="A1588" s="11"/>
      <c r="B1588" s="1360"/>
      <c r="C1588" s="9647" t="s">
        <v>134</v>
      </c>
      <c r="D1588" s="9648"/>
      <c r="E1588" s="9649"/>
      <c r="F1588" s="132" t="s">
        <v>557</v>
      </c>
      <c r="G1588" s="666"/>
      <c r="H1588" s="9579" t="s">
        <v>135</v>
      </c>
      <c r="I1588" s="9580"/>
      <c r="J1588" s="9581"/>
      <c r="K1588" s="105" t="s">
        <v>559</v>
      </c>
      <c r="L1588" s="7113">
        <f>L1581</f>
        <v>4</v>
      </c>
      <c r="M1588" s="7288"/>
      <c r="N1588" s="7118">
        <f t="shared" ref="N1588:N1593" si="36">N1581</f>
        <v>5</v>
      </c>
      <c r="O1588" s="7420"/>
      <c r="P1588" s="7157">
        <f t="shared" ref="P1588:P1593" si="37">P1581</f>
        <v>3</v>
      </c>
      <c r="Q1588" s="7422"/>
      <c r="R1588" s="6659" t="s">
        <v>31</v>
      </c>
      <c r="S1588" s="6603" t="s">
        <v>1975</v>
      </c>
      <c r="T1588" s="2468"/>
      <c r="U1588" s="544"/>
      <c r="V1588" s="545"/>
      <c r="W1588" s="546"/>
      <c r="X1588" s="547"/>
      <c r="Y1588" s="548"/>
      <c r="Z1588" s="277"/>
      <c r="AA1588" s="277"/>
      <c r="AB1588" s="187"/>
    </row>
    <row r="1589" spans="1:28" ht="20.100000000000001" customHeight="1">
      <c r="A1589" s="11"/>
      <c r="B1589" s="1360"/>
      <c r="C1589" s="9647" t="s">
        <v>137</v>
      </c>
      <c r="D1589" s="9648"/>
      <c r="E1589" s="9649"/>
      <c r="F1589" s="132" t="s">
        <v>557</v>
      </c>
      <c r="G1589" s="666"/>
      <c r="H1589" s="9579" t="s">
        <v>138</v>
      </c>
      <c r="I1589" s="9580"/>
      <c r="J1589" s="9581"/>
      <c r="K1589" s="105" t="s">
        <v>559</v>
      </c>
      <c r="L1589" s="7113">
        <f t="shared" ref="L1589:L1593" si="38">L1582</f>
        <v>0</v>
      </c>
      <c r="M1589" s="7288"/>
      <c r="N1589" s="7118">
        <f t="shared" si="36"/>
        <v>0</v>
      </c>
      <c r="O1589" s="7420"/>
      <c r="P1589" s="7157">
        <f t="shared" si="37"/>
        <v>0</v>
      </c>
      <c r="Q1589" s="7422"/>
      <c r="R1589" s="6659" t="s">
        <v>31</v>
      </c>
      <c r="S1589" s="6572" t="s">
        <v>1969</v>
      </c>
      <c r="T1589" s="2468"/>
      <c r="U1589" s="544"/>
      <c r="V1589" s="545"/>
      <c r="W1589" s="546"/>
      <c r="X1589" s="547"/>
      <c r="Y1589" s="548"/>
      <c r="Z1589" s="277"/>
      <c r="AA1589" s="277"/>
      <c r="AB1589" s="187"/>
    </row>
    <row r="1590" spans="1:28" ht="20.100000000000001" customHeight="1">
      <c r="A1590" s="11"/>
      <c r="B1590" s="1360"/>
      <c r="C1590" s="9647" t="s">
        <v>140</v>
      </c>
      <c r="D1590" s="9648"/>
      <c r="E1590" s="9649"/>
      <c r="F1590" s="132" t="s">
        <v>557</v>
      </c>
      <c r="G1590" s="666"/>
      <c r="H1590" s="9579" t="s">
        <v>141</v>
      </c>
      <c r="I1590" s="9580"/>
      <c r="J1590" s="9581"/>
      <c r="K1590" s="105" t="s">
        <v>559</v>
      </c>
      <c r="L1590" s="7113">
        <f t="shared" si="38"/>
        <v>3</v>
      </c>
      <c r="M1590" s="7288"/>
      <c r="N1590" s="7118">
        <f t="shared" si="36"/>
        <v>2</v>
      </c>
      <c r="O1590" s="7393"/>
      <c r="P1590" s="7157">
        <f t="shared" si="37"/>
        <v>2</v>
      </c>
      <c r="Q1590" s="7311"/>
      <c r="R1590" s="6659" t="s">
        <v>31</v>
      </c>
      <c r="S1590" s="6572" t="s">
        <v>1970</v>
      </c>
      <c r="T1590" s="2468"/>
      <c r="U1590" s="544"/>
      <c r="V1590" s="545"/>
      <c r="W1590" s="546"/>
      <c r="X1590" s="547"/>
      <c r="Y1590" s="548"/>
      <c r="Z1590" s="277"/>
      <c r="AA1590" s="277"/>
      <c r="AB1590" s="187"/>
    </row>
    <row r="1591" spans="1:28" ht="20.100000000000001" customHeight="1">
      <c r="A1591" s="11"/>
      <c r="B1591" s="1360"/>
      <c r="C1591" s="9647" t="s">
        <v>143</v>
      </c>
      <c r="D1591" s="9648"/>
      <c r="E1591" s="9649"/>
      <c r="F1591" s="132" t="s">
        <v>557</v>
      </c>
      <c r="G1591" s="666"/>
      <c r="H1591" s="9579" t="s">
        <v>144</v>
      </c>
      <c r="I1591" s="9580"/>
      <c r="J1591" s="9581"/>
      <c r="K1591" s="105" t="s">
        <v>559</v>
      </c>
      <c r="L1591" s="7113">
        <f t="shared" si="38"/>
        <v>0</v>
      </c>
      <c r="M1591" s="7288"/>
      <c r="N1591" s="7118">
        <f t="shared" si="36"/>
        <v>0</v>
      </c>
      <c r="O1591" s="7393"/>
      <c r="P1591" s="7174"/>
      <c r="Q1591" s="7311"/>
      <c r="R1591" s="6659" t="s">
        <v>31</v>
      </c>
      <c r="S1591" s="6603" t="s">
        <v>1975</v>
      </c>
      <c r="T1591" s="2468"/>
      <c r="U1591" s="544"/>
      <c r="V1591" s="545"/>
      <c r="W1591" s="546"/>
      <c r="X1591" s="547"/>
      <c r="Y1591" s="548"/>
      <c r="Z1591" s="277"/>
      <c r="AA1591" s="277"/>
      <c r="AB1591" s="187"/>
    </row>
    <row r="1592" spans="1:28" ht="20.100000000000001" customHeight="1">
      <c r="A1592" s="11"/>
      <c r="B1592" s="1360"/>
      <c r="C1592" s="9647" t="s">
        <v>146</v>
      </c>
      <c r="D1592" s="9648"/>
      <c r="E1592" s="9649"/>
      <c r="F1592" s="132" t="s">
        <v>557</v>
      </c>
      <c r="G1592" s="666"/>
      <c r="H1592" s="9579" t="s">
        <v>147</v>
      </c>
      <c r="I1592" s="9580"/>
      <c r="J1592" s="9581"/>
      <c r="K1592" s="105" t="s">
        <v>559</v>
      </c>
      <c r="L1592" s="7171">
        <f t="shared" si="38"/>
        <v>1</v>
      </c>
      <c r="M1592" s="7288"/>
      <c r="N1592" s="7118">
        <f t="shared" si="36"/>
        <v>2</v>
      </c>
      <c r="O1592" s="7393"/>
      <c r="P1592" s="7157">
        <f t="shared" si="37"/>
        <v>1</v>
      </c>
      <c r="Q1592" s="7311"/>
      <c r="R1592" s="6659" t="s">
        <v>31</v>
      </c>
      <c r="S1592" s="6572" t="s">
        <v>1970</v>
      </c>
      <c r="T1592" s="2468"/>
      <c r="U1592" s="544"/>
      <c r="V1592" s="545"/>
      <c r="W1592" s="546"/>
      <c r="X1592" s="547"/>
      <c r="Y1592" s="548"/>
      <c r="Z1592" s="277"/>
      <c r="AA1592" s="277"/>
      <c r="AB1592" s="187"/>
    </row>
    <row r="1593" spans="1:28" ht="20.100000000000001" customHeight="1">
      <c r="A1593" s="11"/>
      <c r="B1593" s="1360"/>
      <c r="C1593" s="9647" t="s">
        <v>149</v>
      </c>
      <c r="D1593" s="9648"/>
      <c r="E1593" s="9649"/>
      <c r="F1593" s="132" t="s">
        <v>557</v>
      </c>
      <c r="G1593" s="666"/>
      <c r="H1593" s="9579" t="s">
        <v>150</v>
      </c>
      <c r="I1593" s="9580"/>
      <c r="J1593" s="9581"/>
      <c r="K1593" s="105" t="s">
        <v>559</v>
      </c>
      <c r="L1593" s="7113">
        <f t="shared" si="38"/>
        <v>2</v>
      </c>
      <c r="M1593" s="7288"/>
      <c r="N1593" s="7118">
        <f t="shared" si="36"/>
        <v>5</v>
      </c>
      <c r="O1593" s="7288"/>
      <c r="P1593" s="7118">
        <f t="shared" si="37"/>
        <v>10</v>
      </c>
      <c r="Q1593" s="7311"/>
      <c r="R1593" s="6659" t="s">
        <v>31</v>
      </c>
      <c r="S1593" s="6603" t="s">
        <v>1975</v>
      </c>
      <c r="T1593" s="2468"/>
      <c r="U1593" s="544"/>
      <c r="V1593" s="545"/>
      <c r="W1593" s="546"/>
      <c r="X1593" s="547"/>
      <c r="Y1593" s="548"/>
      <c r="Z1593" s="277"/>
      <c r="AA1593" s="277"/>
      <c r="AB1593" s="187"/>
    </row>
    <row r="1594" spans="1:28" ht="20.100000000000001" customHeight="1">
      <c r="A1594" s="11"/>
      <c r="B1594" s="1360"/>
      <c r="C1594" s="9656" t="s">
        <v>1976</v>
      </c>
      <c r="D1594" s="9587"/>
      <c r="E1594" s="9588"/>
      <c r="F1594" s="7006" t="s">
        <v>557</v>
      </c>
      <c r="G1594" s="7051"/>
      <c r="H1594" s="9586" t="s">
        <v>1262</v>
      </c>
      <c r="I1594" s="9587"/>
      <c r="J1594" s="9588"/>
      <c r="K1594" s="6683" t="s">
        <v>559</v>
      </c>
      <c r="L1594" s="7111">
        <f>IF(COUNTBLANK(L1595:L1600)&gt;0,"미취합법인有",SUM(L1595:L1600))</f>
        <v>0</v>
      </c>
      <c r="M1594" s="7279"/>
      <c r="N1594" s="7115">
        <f>IF(COUNTBLANK(N1595:N1600)&gt;0,"미취합법인有",SUM(N1595:N1600))</f>
        <v>0</v>
      </c>
      <c r="O1594" s="7385"/>
      <c r="P1594" s="7121">
        <f>IF(COUNTBLANK(P1595:P1600)&gt;0,"미취합법인有",SUM(P1595:P1600))</f>
        <v>0</v>
      </c>
      <c r="Q1594" s="7029"/>
      <c r="R1594" s="7010" t="s">
        <v>36</v>
      </c>
      <c r="S1594" s="7007"/>
      <c r="T1594" s="7008" t="s">
        <v>1261</v>
      </c>
      <c r="U1594" s="276" t="s">
        <v>1263</v>
      </c>
      <c r="V1594" s="109" t="s">
        <v>206</v>
      </c>
      <c r="W1594" s="547"/>
      <c r="X1594" s="547"/>
      <c r="Y1594" s="109"/>
      <c r="Z1594" s="277" t="s">
        <v>1264</v>
      </c>
      <c r="AA1594" s="265" t="s">
        <v>1968</v>
      </c>
      <c r="AB1594" s="187"/>
    </row>
    <row r="1595" spans="1:28" ht="20.100000000000001" customHeight="1">
      <c r="A1595" s="11"/>
      <c r="B1595" s="1360"/>
      <c r="C1595" s="9647" t="s">
        <v>134</v>
      </c>
      <c r="D1595" s="9648"/>
      <c r="E1595" s="9649"/>
      <c r="F1595" s="132" t="s">
        <v>557</v>
      </c>
      <c r="G1595" s="666"/>
      <c r="H1595" s="9579" t="s">
        <v>135</v>
      </c>
      <c r="I1595" s="9580"/>
      <c r="J1595" s="9581"/>
      <c r="K1595" s="105" t="s">
        <v>559</v>
      </c>
      <c r="L1595" s="7113">
        <v>0</v>
      </c>
      <c r="M1595" s="7288"/>
      <c r="N1595" s="7118">
        <v>0</v>
      </c>
      <c r="O1595" s="7393"/>
      <c r="P1595" s="7150">
        <v>0</v>
      </c>
      <c r="Q1595" s="7311"/>
      <c r="R1595" s="6663" t="s">
        <v>36</v>
      </c>
      <c r="S1595" s="6572"/>
      <c r="T1595" s="2468"/>
      <c r="U1595" s="544"/>
      <c r="V1595" s="545"/>
      <c r="W1595" s="546"/>
      <c r="X1595" s="547"/>
      <c r="Y1595" s="548"/>
      <c r="Z1595" s="277"/>
      <c r="AA1595" s="277"/>
      <c r="AB1595" s="187"/>
    </row>
    <row r="1596" spans="1:28" ht="20.100000000000001" customHeight="1">
      <c r="A1596" s="11"/>
      <c r="B1596" s="1360"/>
      <c r="C1596" s="9647" t="s">
        <v>137</v>
      </c>
      <c r="D1596" s="9648"/>
      <c r="E1596" s="9649"/>
      <c r="F1596" s="132" t="s">
        <v>557</v>
      </c>
      <c r="G1596" s="666"/>
      <c r="H1596" s="9579" t="s">
        <v>138</v>
      </c>
      <c r="I1596" s="9580"/>
      <c r="J1596" s="9581"/>
      <c r="K1596" s="105" t="s">
        <v>559</v>
      </c>
      <c r="L1596" s="7113">
        <f>'4DPLEX'!W305</f>
        <v>0</v>
      </c>
      <c r="M1596" s="7288"/>
      <c r="N1596" s="7118">
        <f>'4DPLEX'!Y305</f>
        <v>0</v>
      </c>
      <c r="O1596" s="7393"/>
      <c r="P1596" s="7157">
        <f>'4DPLEX'!AA305</f>
        <v>0</v>
      </c>
      <c r="Q1596" s="7311"/>
      <c r="R1596" s="6663" t="s">
        <v>36</v>
      </c>
      <c r="S1596" s="6572"/>
      <c r="T1596" s="2468"/>
      <c r="U1596" s="544"/>
      <c r="V1596" s="545"/>
      <c r="W1596" s="546"/>
      <c r="X1596" s="547"/>
      <c r="Y1596" s="548"/>
      <c r="Z1596" s="277"/>
      <c r="AA1596" s="277"/>
      <c r="AB1596" s="187"/>
    </row>
    <row r="1597" spans="1:28" ht="20.100000000000001" customHeight="1">
      <c r="A1597" s="11"/>
      <c r="B1597" s="1360"/>
      <c r="C1597" s="9647" t="s">
        <v>140</v>
      </c>
      <c r="D1597" s="9648"/>
      <c r="E1597" s="9649"/>
      <c r="F1597" s="132" t="s">
        <v>557</v>
      </c>
      <c r="G1597" s="666"/>
      <c r="H1597" s="9579" t="s">
        <v>141</v>
      </c>
      <c r="I1597" s="9580"/>
      <c r="J1597" s="9581"/>
      <c r="K1597" s="105" t="s">
        <v>559</v>
      </c>
      <c r="L1597" s="7113">
        <f>China!AO334</f>
        <v>0</v>
      </c>
      <c r="M1597" s="7288"/>
      <c r="N1597" s="7118">
        <f>China!AQ334</f>
        <v>0</v>
      </c>
      <c r="O1597" s="7393"/>
      <c r="P1597" s="7157">
        <f>China!AS334</f>
        <v>0</v>
      </c>
      <c r="Q1597" s="7311"/>
      <c r="R1597" s="6663" t="s">
        <v>36</v>
      </c>
      <c r="S1597" s="6572"/>
      <c r="T1597" s="2468"/>
      <c r="U1597" s="544"/>
      <c r="V1597" s="545"/>
      <c r="W1597" s="546"/>
      <c r="X1597" s="547"/>
      <c r="Y1597" s="548"/>
      <c r="Z1597" s="277"/>
      <c r="AA1597" s="277"/>
      <c r="AB1597" s="187"/>
    </row>
    <row r="1598" spans="1:28" ht="20.100000000000001" customHeight="1">
      <c r="A1598" s="11"/>
      <c r="B1598" s="1360"/>
      <c r="C1598" s="9647" t="s">
        <v>143</v>
      </c>
      <c r="D1598" s="9648"/>
      <c r="E1598" s="9649"/>
      <c r="F1598" s="132" t="s">
        <v>557</v>
      </c>
      <c r="G1598" s="666"/>
      <c r="H1598" s="9579" t="s">
        <v>144</v>
      </c>
      <c r="I1598" s="9580"/>
      <c r="J1598" s="9581"/>
      <c r="K1598" s="105" t="s">
        <v>559</v>
      </c>
      <c r="L1598" s="7113">
        <f>Vietnam!Q333</f>
        <v>0</v>
      </c>
      <c r="M1598" s="7288"/>
      <c r="N1598" s="7118">
        <f>Vietnam!S333</f>
        <v>0</v>
      </c>
      <c r="O1598" s="7393"/>
      <c r="P1598" s="7157">
        <v>0</v>
      </c>
      <c r="Q1598" s="7311"/>
      <c r="R1598" s="6663" t="s">
        <v>36</v>
      </c>
      <c r="S1598" s="6572"/>
      <c r="T1598" s="2468"/>
      <c r="U1598" s="544"/>
      <c r="V1598" s="545"/>
      <c r="W1598" s="546"/>
      <c r="X1598" s="547"/>
      <c r="Y1598" s="548"/>
      <c r="Z1598" s="277"/>
      <c r="AA1598" s="277"/>
      <c r="AB1598" s="187"/>
    </row>
    <row r="1599" spans="1:28" ht="20.100000000000001" customHeight="1">
      <c r="A1599" s="11"/>
      <c r="B1599" s="1360"/>
      <c r="C1599" s="9647" t="s">
        <v>146</v>
      </c>
      <c r="D1599" s="9648"/>
      <c r="E1599" s="9649"/>
      <c r="F1599" s="132" t="s">
        <v>557</v>
      </c>
      <c r="G1599" s="666"/>
      <c r="H1599" s="9579" t="s">
        <v>147</v>
      </c>
      <c r="I1599" s="9580"/>
      <c r="J1599" s="9581"/>
      <c r="K1599" s="105" t="s">
        <v>559</v>
      </c>
      <c r="L1599" s="7113">
        <f>Indonesia!V333</f>
        <v>0</v>
      </c>
      <c r="M1599" s="7288" t="s">
        <v>1265</v>
      </c>
      <c r="N1599" s="7118">
        <f>Indonesia!X333</f>
        <v>0</v>
      </c>
      <c r="O1599" s="7288" t="s">
        <v>1265</v>
      </c>
      <c r="P1599" s="7157">
        <v>0</v>
      </c>
      <c r="Q1599" s="7311"/>
      <c r="R1599" s="6663" t="s">
        <v>36</v>
      </c>
      <c r="S1599" s="6572"/>
      <c r="T1599" s="2468"/>
      <c r="U1599" s="544"/>
      <c r="V1599" s="545"/>
      <c r="W1599" s="546"/>
      <c r="X1599" s="547"/>
      <c r="Y1599" s="548"/>
      <c r="Z1599" s="277"/>
      <c r="AA1599" s="277"/>
      <c r="AB1599" s="187"/>
    </row>
    <row r="1600" spans="1:28" ht="20.100000000000001" customHeight="1">
      <c r="A1600" s="11"/>
      <c r="B1600" s="1360"/>
      <c r="C1600" s="9647" t="s">
        <v>149</v>
      </c>
      <c r="D1600" s="9648"/>
      <c r="E1600" s="9649"/>
      <c r="F1600" s="132" t="s">
        <v>557</v>
      </c>
      <c r="G1600" s="666"/>
      <c r="H1600" s="9579" t="s">
        <v>150</v>
      </c>
      <c r="I1600" s="9580"/>
      <c r="J1600" s="9581"/>
      <c r="K1600" s="105" t="s">
        <v>559</v>
      </c>
      <c r="L1600" s="7113">
        <v>0</v>
      </c>
      <c r="M1600" s="7288"/>
      <c r="N1600" s="7118">
        <v>0</v>
      </c>
      <c r="O1600" s="7288"/>
      <c r="P1600" s="7118">
        <v>0</v>
      </c>
      <c r="Q1600" s="7311"/>
      <c r="R1600" s="6663" t="s">
        <v>36</v>
      </c>
      <c r="S1600" s="6572"/>
      <c r="T1600" s="2468"/>
      <c r="U1600" s="544"/>
      <c r="V1600" s="545"/>
      <c r="W1600" s="546"/>
      <c r="X1600" s="547"/>
      <c r="Y1600" s="548"/>
      <c r="Z1600" s="277"/>
      <c r="AA1600" s="277"/>
      <c r="AB1600" s="187"/>
    </row>
    <row r="1601" spans="1:28" ht="20.100000000000001" customHeight="1">
      <c r="A1601" s="11"/>
      <c r="B1601" s="1360"/>
      <c r="C1601" s="9656" t="s">
        <v>1266</v>
      </c>
      <c r="D1601" s="9625"/>
      <c r="E1601" s="9626"/>
      <c r="F1601" s="7006" t="s">
        <v>156</v>
      </c>
      <c r="G1601" s="7051"/>
      <c r="H1601" s="7073"/>
      <c r="I1601" s="9584" t="s">
        <v>1267</v>
      </c>
      <c r="J1601" s="9585"/>
      <c r="K1601" s="6683" t="s">
        <v>156</v>
      </c>
      <c r="L1601" s="7016" t="str">
        <f>IF(COUNTBLANK(L1602:L1607)&gt;0,"미취합법인有",AVERAGE(L1602:L1607))</f>
        <v>미취합법인有</v>
      </c>
      <c r="M1601" s="7026"/>
      <c r="N1601" s="7001" t="str">
        <f>IF(COUNTBLANK(N1602:N1607)&gt;0,"미취합법인有",AVERAGE(N1602:N1607))</f>
        <v>미취합법인有</v>
      </c>
      <c r="O1601" s="7384"/>
      <c r="P1601" s="7002" t="str">
        <f>IF(COUNTBLANK(P1602:P1607)&gt;0,"미취합법인有",AVERAGE(P1602:P1607))</f>
        <v>미취합법인有</v>
      </c>
      <c r="Q1601" s="7029"/>
      <c r="R1601" s="7010" t="s">
        <v>2057</v>
      </c>
      <c r="S1601" s="7007" t="s">
        <v>1977</v>
      </c>
      <c r="T1601" s="7008" t="s">
        <v>1978</v>
      </c>
      <c r="U1601" s="276"/>
      <c r="V1601" s="545"/>
      <c r="W1601" s="547"/>
      <c r="X1601" s="547"/>
      <c r="Y1601" s="109"/>
      <c r="Z1601" s="896"/>
      <c r="AA1601" s="265"/>
      <c r="AB1601" s="187" t="s">
        <v>1268</v>
      </c>
    </row>
    <row r="1602" spans="1:28" ht="20.100000000000001" customHeight="1">
      <c r="A1602" s="11"/>
      <c r="B1602" s="1360"/>
      <c r="C1602" s="9866" t="s">
        <v>134</v>
      </c>
      <c r="D1602" s="9923"/>
      <c r="E1602" s="9679"/>
      <c r="F1602" s="285" t="s">
        <v>156</v>
      </c>
      <c r="G1602" s="666"/>
      <c r="H1602" s="6256"/>
      <c r="I1602" s="9579" t="s">
        <v>135</v>
      </c>
      <c r="J1602" s="9581"/>
      <c r="K1602" s="105" t="s">
        <v>156</v>
      </c>
      <c r="L1602" s="6753">
        <v>0</v>
      </c>
      <c r="M1602" s="7325"/>
      <c r="N1602" s="6882">
        <v>0</v>
      </c>
      <c r="O1602" s="7325"/>
      <c r="P1602" s="6882">
        <v>0</v>
      </c>
      <c r="Q1602" s="7325"/>
      <c r="R1602" s="6659" t="s">
        <v>2057</v>
      </c>
      <c r="S1602" s="6604"/>
      <c r="T1602" s="2483"/>
      <c r="U1602" s="544"/>
      <c r="V1602" s="545"/>
      <c r="W1602" s="546"/>
      <c r="X1602" s="547"/>
      <c r="Y1602" s="548"/>
      <c r="Z1602" s="277"/>
      <c r="AA1602" s="277"/>
      <c r="AB1602" s="187"/>
    </row>
    <row r="1603" spans="1:28" ht="20.100000000000001" customHeight="1">
      <c r="A1603" s="11"/>
      <c r="B1603" s="1360"/>
      <c r="C1603" s="9866" t="s">
        <v>137</v>
      </c>
      <c r="D1603" s="9923"/>
      <c r="E1603" s="9679"/>
      <c r="F1603" s="285" t="s">
        <v>156</v>
      </c>
      <c r="G1603" s="666"/>
      <c r="H1603" s="6192"/>
      <c r="I1603" s="9579" t="s">
        <v>138</v>
      </c>
      <c r="J1603" s="9581"/>
      <c r="K1603" s="105" t="s">
        <v>156</v>
      </c>
      <c r="L1603" s="6753">
        <v>0</v>
      </c>
      <c r="M1603" s="7325"/>
      <c r="N1603" s="6882">
        <v>0</v>
      </c>
      <c r="O1603" s="7325"/>
      <c r="P1603" s="6882">
        <v>0</v>
      </c>
      <c r="Q1603" s="7325"/>
      <c r="R1603" s="6659" t="s">
        <v>2057</v>
      </c>
      <c r="S1603" s="6604"/>
      <c r="T1603" s="2483"/>
      <c r="U1603" s="544"/>
      <c r="V1603" s="545"/>
      <c r="W1603" s="546"/>
      <c r="X1603" s="547"/>
      <c r="Y1603" s="548"/>
      <c r="Z1603" s="277"/>
      <c r="AA1603" s="277"/>
      <c r="AB1603" s="187"/>
    </row>
    <row r="1604" spans="1:28" ht="20.100000000000001" customHeight="1">
      <c r="A1604" s="11"/>
      <c r="B1604" s="1360"/>
      <c r="C1604" s="9866" t="s">
        <v>140</v>
      </c>
      <c r="D1604" s="9923"/>
      <c r="E1604" s="9679"/>
      <c r="F1604" s="285" t="s">
        <v>156</v>
      </c>
      <c r="G1604" s="666"/>
      <c r="H1604" s="6192"/>
      <c r="I1604" s="9582" t="s">
        <v>141</v>
      </c>
      <c r="J1604" s="9583"/>
      <c r="K1604" s="105" t="s">
        <v>156</v>
      </c>
      <c r="L1604" s="6753"/>
      <c r="M1604" s="7325"/>
      <c r="N1604" s="6882"/>
      <c r="O1604" s="7325"/>
      <c r="P1604" s="6882"/>
      <c r="Q1604" s="7325"/>
      <c r="R1604" s="6659" t="s">
        <v>2057</v>
      </c>
      <c r="S1604" s="6604"/>
      <c r="T1604" s="2483"/>
      <c r="U1604" s="544"/>
      <c r="V1604" s="545"/>
      <c r="W1604" s="546"/>
      <c r="X1604" s="547"/>
      <c r="Y1604" s="548"/>
      <c r="Z1604" s="277"/>
      <c r="AA1604" s="277"/>
      <c r="AB1604" s="187"/>
    </row>
    <row r="1605" spans="1:28" ht="20.100000000000001" customHeight="1">
      <c r="A1605" s="11"/>
      <c r="B1605" s="1360"/>
      <c r="C1605" s="9866" t="s">
        <v>143</v>
      </c>
      <c r="D1605" s="9923"/>
      <c r="E1605" s="9679"/>
      <c r="F1605" s="285" t="s">
        <v>156</v>
      </c>
      <c r="G1605" s="666"/>
      <c r="H1605" s="6256"/>
      <c r="I1605" s="9582" t="s">
        <v>144</v>
      </c>
      <c r="J1605" s="9583"/>
      <c r="K1605" s="105" t="s">
        <v>156</v>
      </c>
      <c r="L1605" s="6753"/>
      <c r="M1605" s="7325"/>
      <c r="N1605" s="6882"/>
      <c r="O1605" s="7325"/>
      <c r="P1605" s="6882"/>
      <c r="Q1605" s="7325"/>
      <c r="R1605" s="6659" t="s">
        <v>2057</v>
      </c>
      <c r="S1605" s="6604"/>
      <c r="T1605" s="2483"/>
      <c r="U1605" s="544"/>
      <c r="V1605" s="545"/>
      <c r="W1605" s="546"/>
      <c r="X1605" s="547"/>
      <c r="Y1605" s="548"/>
      <c r="Z1605" s="277"/>
      <c r="AA1605" s="277"/>
      <c r="AB1605" s="187"/>
    </row>
    <row r="1606" spans="1:28" ht="20.100000000000001" customHeight="1">
      <c r="A1606" s="11"/>
      <c r="B1606" s="1360"/>
      <c r="C1606" s="9866" t="s">
        <v>146</v>
      </c>
      <c r="D1606" s="9923"/>
      <c r="E1606" s="9679"/>
      <c r="F1606" s="285" t="s">
        <v>156</v>
      </c>
      <c r="G1606" s="666"/>
      <c r="H1606" s="6192"/>
      <c r="I1606" s="9582" t="s">
        <v>147</v>
      </c>
      <c r="J1606" s="9583"/>
      <c r="K1606" s="105" t="s">
        <v>156</v>
      </c>
      <c r="L1606" s="6764" t="s">
        <v>168</v>
      </c>
      <c r="M1606" s="7325" t="s">
        <v>641</v>
      </c>
      <c r="N1606" s="6882" t="s">
        <v>169</v>
      </c>
      <c r="O1606" s="7325" t="s">
        <v>641</v>
      </c>
      <c r="P1606" s="6882" t="s">
        <v>169</v>
      </c>
      <c r="Q1606" s="7325" t="s">
        <v>641</v>
      </c>
      <c r="R1606" s="6659" t="s">
        <v>2057</v>
      </c>
      <c r="S1606" s="6604"/>
      <c r="T1606" s="2483"/>
      <c r="U1606" s="544"/>
      <c r="V1606" s="545"/>
      <c r="W1606" s="546"/>
      <c r="X1606" s="547"/>
      <c r="Y1606" s="548"/>
      <c r="Z1606" s="277"/>
      <c r="AA1606" s="277"/>
      <c r="AB1606" s="187"/>
    </row>
    <row r="1607" spans="1:28" ht="20.100000000000001" customHeight="1">
      <c r="A1607" s="11"/>
      <c r="B1607" s="1360"/>
      <c r="C1607" s="9866" t="s">
        <v>149</v>
      </c>
      <c r="D1607" s="9923"/>
      <c r="E1607" s="9679"/>
      <c r="F1607" s="285" t="s">
        <v>156</v>
      </c>
      <c r="G1607" s="666"/>
      <c r="H1607" s="6192"/>
      <c r="I1607" s="9582" t="s">
        <v>150</v>
      </c>
      <c r="J1607" s="9583"/>
      <c r="K1607" s="105" t="s">
        <v>156</v>
      </c>
      <c r="L1607" s="6753"/>
      <c r="M1607" s="7325" t="s">
        <v>641</v>
      </c>
      <c r="N1607" s="6882"/>
      <c r="O1607" s="7325" t="s">
        <v>641</v>
      </c>
      <c r="P1607" s="6882"/>
      <c r="Q1607" s="7325" t="s">
        <v>641</v>
      </c>
      <c r="R1607" s="6659" t="s">
        <v>2057</v>
      </c>
      <c r="S1607" s="6604"/>
      <c r="T1607" s="2483"/>
      <c r="U1607" s="544"/>
      <c r="V1607" s="545"/>
      <c r="W1607" s="546"/>
      <c r="X1607" s="547"/>
      <c r="Y1607" s="548"/>
      <c r="Z1607" s="277"/>
      <c r="AA1607" s="277"/>
      <c r="AB1607" s="187"/>
    </row>
    <row r="1608" spans="1:28" ht="20.100000000000001" customHeight="1">
      <c r="A1608" s="11"/>
      <c r="B1608" s="1360"/>
      <c r="C1608" s="9656" t="s">
        <v>1269</v>
      </c>
      <c r="D1608" s="9625"/>
      <c r="E1608" s="9626"/>
      <c r="F1608" s="7006" t="s">
        <v>156</v>
      </c>
      <c r="G1608" s="7051"/>
      <c r="H1608" s="7074"/>
      <c r="I1608" s="9584" t="s">
        <v>1270</v>
      </c>
      <c r="J1608" s="9585"/>
      <c r="K1608" s="6683" t="s">
        <v>156</v>
      </c>
      <c r="L1608" s="7016" t="str">
        <f>IF(COUNTBLANK(L1609:L1614)&gt;0,"미취합법인有",AVERAGE(L1609:L1614))</f>
        <v>미취합법인有</v>
      </c>
      <c r="M1608" s="7026"/>
      <c r="N1608" s="7001" t="str">
        <f>IF(COUNTBLANK(N1609:N1614)&gt;0,"미취합법인有",AVERAGE(N1609:N1614))</f>
        <v>미취합법인有</v>
      </c>
      <c r="O1608" s="7384"/>
      <c r="P1608" s="7002" t="str">
        <f>IF(COUNTBLANK(P1609:P1614)&gt;0,"미취합법인有",AVERAGE(P1609:P1614))</f>
        <v>미취합법인有</v>
      </c>
      <c r="Q1608" s="7029"/>
      <c r="R1608" s="7010" t="s">
        <v>421</v>
      </c>
      <c r="S1608" s="7007" t="s">
        <v>1979</v>
      </c>
      <c r="T1608" s="7007" t="s">
        <v>1980</v>
      </c>
      <c r="U1608" s="276"/>
      <c r="V1608" s="545"/>
      <c r="W1608" s="547"/>
      <c r="X1608" s="547"/>
      <c r="Y1608" s="109"/>
      <c r="Z1608" s="965"/>
      <c r="AA1608" s="427"/>
      <c r="AB1608" s="187" t="s">
        <v>1207</v>
      </c>
    </row>
    <row r="1609" spans="1:28" ht="20.100000000000001" customHeight="1">
      <c r="A1609" s="11"/>
      <c r="B1609" s="1360"/>
      <c r="C1609" s="9866" t="s">
        <v>134</v>
      </c>
      <c r="D1609" s="9923"/>
      <c r="E1609" s="9679"/>
      <c r="F1609" s="285" t="s">
        <v>156</v>
      </c>
      <c r="G1609" s="666"/>
      <c r="H1609" s="6256"/>
      <c r="I1609" s="9579" t="s">
        <v>135</v>
      </c>
      <c r="J1609" s="9581"/>
      <c r="K1609" s="105" t="s">
        <v>156</v>
      </c>
      <c r="L1609" s="6753">
        <v>0</v>
      </c>
      <c r="M1609" s="7325"/>
      <c r="N1609" s="6882">
        <v>0</v>
      </c>
      <c r="O1609" s="7325"/>
      <c r="P1609" s="6882">
        <v>0</v>
      </c>
      <c r="Q1609" s="7325"/>
      <c r="R1609" s="6659" t="s">
        <v>421</v>
      </c>
      <c r="S1609" s="6604"/>
      <c r="T1609" s="2483"/>
      <c r="U1609" s="544"/>
      <c r="V1609" s="545"/>
      <c r="W1609" s="546"/>
      <c r="X1609" s="547"/>
      <c r="Y1609" s="548"/>
      <c r="Z1609" s="277"/>
      <c r="AA1609" s="277"/>
      <c r="AB1609" s="187"/>
    </row>
    <row r="1610" spans="1:28" ht="20.100000000000001" customHeight="1">
      <c r="A1610" s="11"/>
      <c r="B1610" s="1360"/>
      <c r="C1610" s="9866" t="s">
        <v>137</v>
      </c>
      <c r="D1610" s="9923"/>
      <c r="E1610" s="9679"/>
      <c r="F1610" s="285" t="s">
        <v>156</v>
      </c>
      <c r="G1610" s="666"/>
      <c r="H1610" s="6192"/>
      <c r="I1610" s="9579" t="s">
        <v>138</v>
      </c>
      <c r="J1610" s="9581"/>
      <c r="K1610" s="105" t="s">
        <v>156</v>
      </c>
      <c r="L1610" s="6753"/>
      <c r="M1610" s="7325"/>
      <c r="N1610" s="6882"/>
      <c r="O1610" s="7325"/>
      <c r="P1610" s="6882"/>
      <c r="Q1610" s="7325"/>
      <c r="R1610" s="6659" t="s">
        <v>421</v>
      </c>
      <c r="S1610" s="6604"/>
      <c r="T1610" s="2483"/>
      <c r="U1610" s="544"/>
      <c r="V1610" s="545"/>
      <c r="W1610" s="546"/>
      <c r="X1610" s="547"/>
      <c r="Y1610" s="548"/>
      <c r="Z1610" s="277"/>
      <c r="AA1610" s="277"/>
      <c r="AB1610" s="187"/>
    </row>
    <row r="1611" spans="1:28" ht="20.100000000000001" customHeight="1">
      <c r="A1611" s="11"/>
      <c r="B1611" s="1360"/>
      <c r="C1611" s="9866" t="s">
        <v>140</v>
      </c>
      <c r="D1611" s="9923"/>
      <c r="E1611" s="9679"/>
      <c r="F1611" s="285" t="s">
        <v>156</v>
      </c>
      <c r="G1611" s="666"/>
      <c r="H1611" s="6192"/>
      <c r="I1611" s="9582" t="s">
        <v>141</v>
      </c>
      <c r="J1611" s="9583"/>
      <c r="K1611" s="105" t="s">
        <v>156</v>
      </c>
      <c r="L1611" s="6753"/>
      <c r="M1611" s="7325"/>
      <c r="N1611" s="6882"/>
      <c r="O1611" s="7325"/>
      <c r="P1611" s="6882"/>
      <c r="Q1611" s="7325"/>
      <c r="R1611" s="6659" t="s">
        <v>421</v>
      </c>
      <c r="S1611" s="6604"/>
      <c r="T1611" s="2483"/>
      <c r="U1611" s="544"/>
      <c r="V1611" s="545"/>
      <c r="W1611" s="546"/>
      <c r="X1611" s="547"/>
      <c r="Y1611" s="548"/>
      <c r="Z1611" s="277"/>
      <c r="AA1611" s="277"/>
      <c r="AB1611" s="187"/>
    </row>
    <row r="1612" spans="1:28" ht="20.100000000000001" customHeight="1">
      <c r="A1612" s="11"/>
      <c r="B1612" s="1360"/>
      <c r="C1612" s="9866" t="s">
        <v>143</v>
      </c>
      <c r="D1612" s="9923"/>
      <c r="E1612" s="9679"/>
      <c r="F1612" s="285" t="s">
        <v>156</v>
      </c>
      <c r="G1612" s="666"/>
      <c r="H1612" s="6256"/>
      <c r="I1612" s="9582" t="s">
        <v>144</v>
      </c>
      <c r="J1612" s="9583"/>
      <c r="K1612" s="105" t="s">
        <v>156</v>
      </c>
      <c r="L1612" s="6753"/>
      <c r="M1612" s="7325"/>
      <c r="N1612" s="6882"/>
      <c r="O1612" s="7304"/>
      <c r="P1612" s="6882"/>
      <c r="Q1612" s="7325"/>
      <c r="R1612" s="6659" t="s">
        <v>421</v>
      </c>
      <c r="S1612" s="6604"/>
      <c r="T1612" s="2483"/>
      <c r="U1612" s="544"/>
      <c r="V1612" s="545"/>
      <c r="W1612" s="546"/>
      <c r="X1612" s="547"/>
      <c r="Y1612" s="548"/>
      <c r="Z1612" s="277"/>
      <c r="AA1612" s="277"/>
      <c r="AB1612" s="187"/>
    </row>
    <row r="1613" spans="1:28" ht="20.100000000000001" customHeight="1">
      <c r="A1613" s="11"/>
      <c r="B1613" s="1360"/>
      <c r="C1613" s="9866" t="s">
        <v>146</v>
      </c>
      <c r="D1613" s="9923"/>
      <c r="E1613" s="9679"/>
      <c r="F1613" s="285" t="s">
        <v>156</v>
      </c>
      <c r="G1613" s="666"/>
      <c r="H1613" s="6192"/>
      <c r="I1613" s="9582" t="s">
        <v>147</v>
      </c>
      <c r="J1613" s="9583"/>
      <c r="K1613" s="105" t="s">
        <v>156</v>
      </c>
      <c r="L1613" s="6764" t="s">
        <v>168</v>
      </c>
      <c r="M1613" s="7326" t="s">
        <v>641</v>
      </c>
      <c r="N1613" s="6882" t="s">
        <v>169</v>
      </c>
      <c r="O1613" s="7325" t="s">
        <v>641</v>
      </c>
      <c r="P1613" s="6882" t="s">
        <v>169</v>
      </c>
      <c r="Q1613" s="7325" t="s">
        <v>641</v>
      </c>
      <c r="R1613" s="6659" t="s">
        <v>421</v>
      </c>
      <c r="S1613" s="6604"/>
      <c r="T1613" s="2483"/>
      <c r="U1613" s="544"/>
      <c r="V1613" s="545"/>
      <c r="W1613" s="546"/>
      <c r="X1613" s="547"/>
      <c r="Y1613" s="548"/>
      <c r="Z1613" s="277"/>
      <c r="AA1613" s="277"/>
      <c r="AB1613" s="187"/>
    </row>
    <row r="1614" spans="1:28" ht="20.100000000000001" customHeight="1">
      <c r="A1614" s="11"/>
      <c r="B1614" s="1360"/>
      <c r="C1614" s="9866" t="s">
        <v>149</v>
      </c>
      <c r="D1614" s="9923"/>
      <c r="E1614" s="9679"/>
      <c r="F1614" s="285" t="s">
        <v>156</v>
      </c>
      <c r="G1614" s="666"/>
      <c r="H1614" s="6192"/>
      <c r="I1614" s="9582" t="s">
        <v>150</v>
      </c>
      <c r="J1614" s="9583"/>
      <c r="K1614" s="105" t="s">
        <v>156</v>
      </c>
      <c r="L1614" s="6764" t="s">
        <v>168</v>
      </c>
      <c r="M1614" s="7326" t="s">
        <v>641</v>
      </c>
      <c r="N1614" s="6882" t="s">
        <v>169</v>
      </c>
      <c r="O1614" s="7325" t="s">
        <v>641</v>
      </c>
      <c r="P1614" s="6882" t="s">
        <v>169</v>
      </c>
      <c r="Q1614" s="7325" t="s">
        <v>641</v>
      </c>
      <c r="R1614" s="6659" t="s">
        <v>421</v>
      </c>
      <c r="S1614" s="6604"/>
      <c r="T1614" s="2483"/>
      <c r="U1614" s="544"/>
      <c r="V1614" s="545"/>
      <c r="W1614" s="546"/>
      <c r="X1614" s="547"/>
      <c r="Y1614" s="548"/>
      <c r="Z1614" s="277"/>
      <c r="AA1614" s="277"/>
      <c r="AB1614" s="187"/>
    </row>
    <row r="1615" spans="1:28" ht="20.100000000000001" customHeight="1">
      <c r="A1615" s="11"/>
      <c r="B1615" s="1360"/>
      <c r="C1615" s="9656" t="s">
        <v>1271</v>
      </c>
      <c r="D1615" s="9587"/>
      <c r="E1615" s="9588"/>
      <c r="F1615" s="7006" t="s">
        <v>1272</v>
      </c>
      <c r="G1615" s="7053"/>
      <c r="H1615" s="9586" t="s">
        <v>1273</v>
      </c>
      <c r="I1615" s="9587"/>
      <c r="J1615" s="9588"/>
      <c r="K1615" s="6683" t="s">
        <v>1274</v>
      </c>
      <c r="L1615" s="6970">
        <f>IF(COUNTBLANK(L1616:L1621)&gt;0,"미취합법인有",SUM(L1616:L1621))</f>
        <v>4.9843824314501601</v>
      </c>
      <c r="M1615" s="7026"/>
      <c r="N1615" s="7001">
        <f>IF(COUNTBLANK(N1616:N1621)&gt;0,"미취합법인有",SUM(N1616:N1621))</f>
        <v>6.7072910742766947</v>
      </c>
      <c r="O1615" s="7384"/>
      <c r="P1615" s="7002">
        <f>IF(COUNTBLANK(P1616:P1621)&gt;0,"미취합법인有",SUM(P1616:P1621))</f>
        <v>7.6799768130540071</v>
      </c>
      <c r="Q1615" s="7029"/>
      <c r="R1615" s="7010" t="s">
        <v>31</v>
      </c>
      <c r="S1615" s="7007"/>
      <c r="T1615" s="7008" t="s">
        <v>1275</v>
      </c>
      <c r="U1615" s="276" t="s">
        <v>1276</v>
      </c>
      <c r="V1615" s="109" t="s">
        <v>206</v>
      </c>
      <c r="W1615" s="547"/>
      <c r="X1615" s="547"/>
      <c r="Y1615" s="109"/>
      <c r="Z1615" s="965" t="s">
        <v>1277</v>
      </c>
      <c r="AA1615" s="265" t="s">
        <v>1968</v>
      </c>
      <c r="AB1615" s="974"/>
    </row>
    <row r="1616" spans="1:28" ht="20.100000000000001" customHeight="1">
      <c r="A1616" s="11"/>
      <c r="B1616" s="1360"/>
      <c r="C1616" s="9647" t="s">
        <v>134</v>
      </c>
      <c r="D1616" s="9648"/>
      <c r="E1616" s="9649"/>
      <c r="F1616" s="492" t="s">
        <v>1278</v>
      </c>
      <c r="G1616" s="666"/>
      <c r="H1616" s="9579" t="s">
        <v>135</v>
      </c>
      <c r="I1616" s="9580"/>
      <c r="J1616" s="9581"/>
      <c r="K1616" s="105" t="s">
        <v>1274</v>
      </c>
      <c r="L1616" s="6794">
        <f>L1581/L1623*10^6</f>
        <v>0.9493463036316403</v>
      </c>
      <c r="M1616" s="7327"/>
      <c r="N1616" s="6885">
        <f t="shared" ref="N1616:N1621" si="39">N1581/N1623*10^6</f>
        <v>0.96400873577775503</v>
      </c>
      <c r="O1616" s="7327"/>
      <c r="P1616" s="6885">
        <f t="shared" ref="P1616:P1621" si="40">P1581/P1623*10^6</f>
        <v>0.53087929213319651</v>
      </c>
      <c r="Q1616" s="7311"/>
      <c r="R1616" s="6659" t="s">
        <v>31</v>
      </c>
      <c r="S1616" s="6572"/>
      <c r="T1616" s="2468"/>
      <c r="U1616" s="544"/>
      <c r="V1616" s="545"/>
      <c r="W1616" s="546"/>
      <c r="X1616" s="547"/>
      <c r="Y1616" s="548"/>
      <c r="Z1616" s="277"/>
      <c r="AA1616" s="277"/>
      <c r="AB1616" s="187"/>
    </row>
    <row r="1617" spans="1:30" ht="20.100000000000001" customHeight="1">
      <c r="A1617" s="11"/>
      <c r="B1617" s="1360"/>
      <c r="C1617" s="9647" t="s">
        <v>137</v>
      </c>
      <c r="D1617" s="9648"/>
      <c r="E1617" s="9649"/>
      <c r="F1617" s="492" t="s">
        <v>1278</v>
      </c>
      <c r="G1617" s="666"/>
      <c r="H1617" s="9579" t="s">
        <v>138</v>
      </c>
      <c r="I1617" s="9580"/>
      <c r="J1617" s="9581"/>
      <c r="K1617" s="105" t="s">
        <v>1274</v>
      </c>
      <c r="L1617" s="6794">
        <f t="shared" ref="L1617:L1620" si="41">L1582/L1624*10^6</f>
        <v>0</v>
      </c>
      <c r="M1617" s="7311"/>
      <c r="N1617" s="6896">
        <f t="shared" si="39"/>
        <v>0</v>
      </c>
      <c r="O1617" s="7311"/>
      <c r="P1617" s="6896">
        <f t="shared" si="40"/>
        <v>0</v>
      </c>
      <c r="Q1617" s="7311"/>
      <c r="R1617" s="6659" t="s">
        <v>31</v>
      </c>
      <c r="S1617" s="6572"/>
      <c r="T1617" s="2468"/>
      <c r="U1617" s="544"/>
      <c r="V1617" s="545"/>
      <c r="W1617" s="546"/>
      <c r="X1617" s="547"/>
      <c r="Y1617" s="548"/>
      <c r="Z1617" s="277"/>
      <c r="AA1617" s="277"/>
      <c r="AB1617" s="187"/>
    </row>
    <row r="1618" spans="1:30" ht="20.100000000000001" customHeight="1">
      <c r="A1618" s="11"/>
      <c r="B1618" s="1360"/>
      <c r="C1618" s="9647" t="s">
        <v>140</v>
      </c>
      <c r="D1618" s="9648"/>
      <c r="E1618" s="9649"/>
      <c r="F1618" s="492" t="s">
        <v>1278</v>
      </c>
      <c r="G1618" s="666"/>
      <c r="H1618" s="9579" t="s">
        <v>141</v>
      </c>
      <c r="I1618" s="9580"/>
      <c r="J1618" s="9581"/>
      <c r="K1618" s="105" t="s">
        <v>1274</v>
      </c>
      <c r="L1618" s="6794">
        <f t="shared" si="41"/>
        <v>1.363170407206264</v>
      </c>
      <c r="M1618" s="7311"/>
      <c r="N1618" s="6896">
        <f t="shared" si="39"/>
        <v>1.0537452212654217</v>
      </c>
      <c r="O1618" s="7311"/>
      <c r="P1618" s="6896">
        <f t="shared" si="40"/>
        <v>1.2771392081736908</v>
      </c>
      <c r="Q1618" s="7311"/>
      <c r="R1618" s="6659" t="s">
        <v>31</v>
      </c>
      <c r="S1618" s="6572"/>
      <c r="T1618" s="2468"/>
      <c r="U1618" s="544"/>
      <c r="V1618" s="545"/>
      <c r="W1618" s="546"/>
      <c r="X1618" s="547"/>
      <c r="Y1618" s="548"/>
      <c r="Z1618" s="277"/>
      <c r="AA1618" s="277"/>
      <c r="AB1618" s="187"/>
    </row>
    <row r="1619" spans="1:30" ht="20.100000000000001" customHeight="1">
      <c r="A1619" s="11"/>
      <c r="B1619" s="1360"/>
      <c r="C1619" s="9647" t="s">
        <v>143</v>
      </c>
      <c r="D1619" s="9648"/>
      <c r="E1619" s="9649"/>
      <c r="F1619" s="492" t="s">
        <v>1278</v>
      </c>
      <c r="G1619" s="666"/>
      <c r="H1619" s="9579" t="s">
        <v>144</v>
      </c>
      <c r="I1619" s="9580"/>
      <c r="J1619" s="9581"/>
      <c r="K1619" s="105" t="s">
        <v>1274</v>
      </c>
      <c r="L1619" s="6794">
        <f t="shared" si="41"/>
        <v>0</v>
      </c>
      <c r="M1619" s="7311"/>
      <c r="N1619" s="6896">
        <f t="shared" si="39"/>
        <v>0</v>
      </c>
      <c r="O1619" s="7311"/>
      <c r="P1619" s="6896">
        <f t="shared" si="40"/>
        <v>0</v>
      </c>
      <c r="Q1619" s="7311"/>
      <c r="R1619" s="6659" t="s">
        <v>31</v>
      </c>
      <c r="S1619" s="6572"/>
      <c r="T1619" s="2468"/>
      <c r="U1619" s="544"/>
      <c r="V1619" s="545"/>
      <c r="W1619" s="546"/>
      <c r="X1619" s="547"/>
      <c r="Y1619" s="548"/>
      <c r="Z1619" s="277"/>
      <c r="AA1619" s="277"/>
      <c r="AB1619" s="187"/>
    </row>
    <row r="1620" spans="1:30" ht="20.100000000000001" customHeight="1">
      <c r="A1620" s="11"/>
      <c r="B1620" s="1360"/>
      <c r="C1620" s="9647" t="s">
        <v>146</v>
      </c>
      <c r="D1620" s="9648"/>
      <c r="E1620" s="9649"/>
      <c r="F1620" s="492" t="s">
        <v>1278</v>
      </c>
      <c r="G1620" s="666"/>
      <c r="H1620" s="9579" t="s">
        <v>147</v>
      </c>
      <c r="I1620" s="9580"/>
      <c r="J1620" s="9581"/>
      <c r="K1620" s="105" t="s">
        <v>1274</v>
      </c>
      <c r="L1620" s="6794">
        <f t="shared" si="41"/>
        <v>1.3336747540703753</v>
      </c>
      <c r="M1620" s="7311"/>
      <c r="N1620" s="6896">
        <f t="shared" si="39"/>
        <v>2.5859037216326359</v>
      </c>
      <c r="O1620" s="7311"/>
      <c r="P1620" s="6896">
        <f t="shared" si="40"/>
        <v>1.2233792671468839</v>
      </c>
      <c r="Q1620" s="7311"/>
      <c r="R1620" s="6659" t="s">
        <v>31</v>
      </c>
      <c r="S1620" s="6572"/>
      <c r="T1620" s="2468"/>
      <c r="U1620" s="544"/>
      <c r="V1620" s="545"/>
      <c r="W1620" s="546"/>
      <c r="X1620" s="547"/>
      <c r="Y1620" s="548"/>
      <c r="Z1620" s="277"/>
      <c r="AA1620" s="277"/>
      <c r="AB1620" s="187"/>
    </row>
    <row r="1621" spans="1:30" ht="20.100000000000001" customHeight="1">
      <c r="A1621" s="11"/>
      <c r="B1621" s="1360"/>
      <c r="C1621" s="9647" t="s">
        <v>149</v>
      </c>
      <c r="D1621" s="9648"/>
      <c r="E1621" s="9649"/>
      <c r="F1621" s="492" t="s">
        <v>1278</v>
      </c>
      <c r="G1621" s="666"/>
      <c r="H1621" s="9579" t="s">
        <v>150</v>
      </c>
      <c r="I1621" s="9580"/>
      <c r="J1621" s="9581"/>
      <c r="K1621" s="105" t="s">
        <v>1274</v>
      </c>
      <c r="L1621" s="6794">
        <f>L1586/L1628*10^6</f>
        <v>1.3381909665418805</v>
      </c>
      <c r="M1621" s="7311"/>
      <c r="N1621" s="6896">
        <f t="shared" si="39"/>
        <v>2.1036333956008821</v>
      </c>
      <c r="O1621" s="7311"/>
      <c r="P1621" s="6896">
        <f t="shared" si="40"/>
        <v>4.6485790456002363</v>
      </c>
      <c r="Q1621" s="7311"/>
      <c r="R1621" s="6659" t="s">
        <v>31</v>
      </c>
      <c r="S1621" s="6572"/>
      <c r="T1621" s="2468"/>
      <c r="U1621" s="544"/>
      <c r="V1621" s="545"/>
      <c r="W1621" s="546"/>
      <c r="X1621" s="547"/>
      <c r="Y1621" s="548"/>
      <c r="Z1621" s="277"/>
      <c r="AA1621" s="277"/>
      <c r="AB1621" s="187"/>
    </row>
    <row r="1622" spans="1:30" ht="20.100000000000001" customHeight="1">
      <c r="A1622" s="11"/>
      <c r="B1622" s="1360"/>
      <c r="C1622" s="1389"/>
      <c r="D1622" s="9584" t="s">
        <v>1286</v>
      </c>
      <c r="E1622" s="9585"/>
      <c r="F1622" s="6683" t="s">
        <v>1018</v>
      </c>
      <c r="G1622" s="7051"/>
      <c r="H1622" s="7074"/>
      <c r="I1622" s="9584" t="s">
        <v>1287</v>
      </c>
      <c r="J1622" s="9585"/>
      <c r="K1622" s="6683" t="s">
        <v>1020</v>
      </c>
      <c r="L1622" s="6970">
        <f>IF(COUNTBLANK(L1623:L1628)&gt;0,"미취합법인有",SUM(L1623:L1628))</f>
        <v>10564334.58</v>
      </c>
      <c r="M1622" s="7026"/>
      <c r="N1622" s="7001">
        <f>IF(COUNTBLANK(N1623:N1628)&gt;0,"미취합법인有",SUM(N1623:N1628))</f>
        <v>13196069.99</v>
      </c>
      <c r="O1622" s="7384"/>
      <c r="P1622" s="7002">
        <f>IF(COUNTBLANK(P1623:P1628)&gt;0,"미취합법인有",SUM(P1623:P1628))</f>
        <v>13349694.109999999</v>
      </c>
      <c r="Q1622" s="7029"/>
      <c r="R1622" s="7010" t="s">
        <v>31</v>
      </c>
      <c r="S1622" s="7007"/>
      <c r="T1622" s="7008" t="s">
        <v>1288</v>
      </c>
      <c r="U1622" s="276" t="s">
        <v>1289</v>
      </c>
      <c r="V1622" s="109" t="s">
        <v>737</v>
      </c>
      <c r="W1622" s="547"/>
      <c r="X1622" s="547"/>
      <c r="Y1622" s="109"/>
      <c r="Z1622" s="981" t="s">
        <v>1277</v>
      </c>
      <c r="AA1622" s="265" t="s">
        <v>1333</v>
      </c>
      <c r="AB1622" s="982"/>
    </row>
    <row r="1623" spans="1:30" ht="20.100000000000001" customHeight="1">
      <c r="A1623" s="11"/>
      <c r="B1623" s="1360"/>
      <c r="C1623" s="614"/>
      <c r="D1623" s="9598" t="s">
        <v>134</v>
      </c>
      <c r="E1623" s="9600"/>
      <c r="F1623" s="105" t="s">
        <v>1018</v>
      </c>
      <c r="G1623" s="666"/>
      <c r="H1623" s="6256"/>
      <c r="I1623" s="9579" t="s">
        <v>135</v>
      </c>
      <c r="J1623" s="9581"/>
      <c r="K1623" s="105" t="s">
        <v>1020</v>
      </c>
      <c r="L1623" s="6793">
        <v>4213425.58</v>
      </c>
      <c r="M1623" s="7328" t="s">
        <v>1290</v>
      </c>
      <c r="N1623" s="6875">
        <v>5186674.99</v>
      </c>
      <c r="O1623" s="7402" t="s">
        <v>1291</v>
      </c>
      <c r="P1623" s="6875">
        <v>5651002.1100000003</v>
      </c>
      <c r="Q1623" s="7421" t="s">
        <v>1292</v>
      </c>
      <c r="R1623" s="6659" t="s">
        <v>31</v>
      </c>
      <c r="S1623" s="6591" t="s">
        <v>1981</v>
      </c>
      <c r="T1623" s="2483"/>
      <c r="U1623" s="544"/>
      <c r="V1623" s="545"/>
      <c r="W1623" s="546"/>
      <c r="X1623" s="547"/>
      <c r="Y1623" s="548"/>
      <c r="Z1623" s="277"/>
      <c r="AA1623" s="277"/>
      <c r="AB1623" s="187"/>
      <c r="AD1623" s="11"/>
    </row>
    <row r="1624" spans="1:30" ht="20.100000000000001" customHeight="1">
      <c r="A1624" s="11"/>
      <c r="B1624" s="1360"/>
      <c r="C1624" s="5598"/>
      <c r="D1624" s="9598" t="s">
        <v>137</v>
      </c>
      <c r="E1624" s="9600"/>
      <c r="F1624" s="105" t="s">
        <v>1018</v>
      </c>
      <c r="G1624" s="666"/>
      <c r="H1624" s="6192"/>
      <c r="I1624" s="9579" t="s">
        <v>138</v>
      </c>
      <c r="J1624" s="9581"/>
      <c r="K1624" s="105" t="s">
        <v>1020</v>
      </c>
      <c r="L1624" s="6793">
        <v>458964</v>
      </c>
      <c r="M1624" s="7307" t="s">
        <v>1293</v>
      </c>
      <c r="N1624" s="6875">
        <v>539220</v>
      </c>
      <c r="O1624" s="7403" t="s">
        <v>1294</v>
      </c>
      <c r="P1624" s="6960">
        <v>491568</v>
      </c>
      <c r="Q1624" s="7720" t="s">
        <v>1982</v>
      </c>
      <c r="R1624" s="6659" t="s">
        <v>31</v>
      </c>
      <c r="S1624" s="6591" t="s">
        <v>1983</v>
      </c>
      <c r="T1624" s="2483"/>
      <c r="U1624" s="544"/>
      <c r="V1624" s="545"/>
      <c r="W1624" s="546"/>
      <c r="X1624" s="547"/>
      <c r="Y1624" s="548"/>
      <c r="Z1624" s="277"/>
      <c r="AA1624" s="277"/>
      <c r="AB1624" s="187"/>
      <c r="AD1624" s="139" t="s">
        <v>1295</v>
      </c>
    </row>
    <row r="1625" spans="1:30" ht="20.100000000000001" customHeight="1">
      <c r="A1625" s="11"/>
      <c r="B1625" s="1360"/>
      <c r="C1625" s="5598"/>
      <c r="D1625" s="9598" t="s">
        <v>140</v>
      </c>
      <c r="E1625" s="9600"/>
      <c r="F1625" s="105" t="s">
        <v>1018</v>
      </c>
      <c r="G1625" s="666"/>
      <c r="H1625" s="6192"/>
      <c r="I1625" s="9582" t="s">
        <v>141</v>
      </c>
      <c r="J1625" s="9583"/>
      <c r="K1625" s="105" t="s">
        <v>1020</v>
      </c>
      <c r="L1625" s="6793">
        <v>2200752</v>
      </c>
      <c r="M1625" s="7303" t="s">
        <v>1296</v>
      </c>
      <c r="N1625" s="6875">
        <v>1897992</v>
      </c>
      <c r="O1625" s="7402" t="s">
        <v>1297</v>
      </c>
      <c r="P1625" s="6948">
        <v>1566000</v>
      </c>
      <c r="Q1625" s="7421" t="s">
        <v>1298</v>
      </c>
      <c r="R1625" s="6659" t="s">
        <v>31</v>
      </c>
      <c r="S1625" s="6591" t="s">
        <v>1983</v>
      </c>
      <c r="T1625" s="2483"/>
      <c r="U1625" s="544"/>
      <c r="V1625" s="545"/>
      <c r="W1625" s="546"/>
      <c r="X1625" s="547"/>
      <c r="Y1625" s="548"/>
      <c r="Z1625" s="277"/>
      <c r="AA1625" s="277"/>
      <c r="AB1625" s="187"/>
    </row>
    <row r="1626" spans="1:30" ht="20.100000000000001" customHeight="1">
      <c r="A1626" s="11"/>
      <c r="B1626" s="1360"/>
      <c r="C1626" s="614"/>
      <c r="D1626" s="9598" t="s">
        <v>143</v>
      </c>
      <c r="E1626" s="9600"/>
      <c r="F1626" s="105" t="s">
        <v>1018</v>
      </c>
      <c r="G1626" s="666"/>
      <c r="H1626" s="6256"/>
      <c r="I1626" s="9582" t="s">
        <v>144</v>
      </c>
      <c r="J1626" s="9583"/>
      <c r="K1626" s="105" t="s">
        <v>1020</v>
      </c>
      <c r="L1626" s="6793">
        <v>1446830</v>
      </c>
      <c r="M1626" s="7303"/>
      <c r="N1626" s="6875">
        <v>2421919</v>
      </c>
      <c r="O1626" s="7402"/>
      <c r="P1626" s="6948">
        <v>2672521</v>
      </c>
      <c r="Q1626" s="7421"/>
      <c r="R1626" s="6659" t="s">
        <v>31</v>
      </c>
      <c r="S1626" s="6591" t="s">
        <v>1981</v>
      </c>
      <c r="T1626" s="2483"/>
      <c r="U1626" s="544"/>
      <c r="V1626" s="545"/>
      <c r="W1626" s="546"/>
      <c r="X1626" s="547"/>
      <c r="Y1626" s="548"/>
      <c r="Z1626" s="277"/>
      <c r="AA1626" s="277"/>
      <c r="AB1626" s="187"/>
      <c r="AC1626" s="6303" t="s">
        <v>1299</v>
      </c>
    </row>
    <row r="1627" spans="1:30" ht="20.100000000000001" customHeight="1">
      <c r="A1627" s="11"/>
      <c r="B1627" s="1360"/>
      <c r="C1627" s="5598"/>
      <c r="D1627" s="9598" t="s">
        <v>146</v>
      </c>
      <c r="E1627" s="9600"/>
      <c r="F1627" s="105" t="s">
        <v>1018</v>
      </c>
      <c r="G1627" s="666"/>
      <c r="H1627" s="6192"/>
      <c r="I1627" s="9582" t="s">
        <v>147</v>
      </c>
      <c r="J1627" s="9583"/>
      <c r="K1627" s="105" t="s">
        <v>1020</v>
      </c>
      <c r="L1627" s="6793">
        <v>749808</v>
      </c>
      <c r="M1627" s="7303" t="s">
        <v>1300</v>
      </c>
      <c r="N1627" s="6883">
        <v>773424</v>
      </c>
      <c r="O1627" s="7402" t="s">
        <v>1300</v>
      </c>
      <c r="P1627" s="6948">
        <v>817408</v>
      </c>
      <c r="Q1627" s="7421"/>
      <c r="R1627" s="6659" t="s">
        <v>31</v>
      </c>
      <c r="S1627" s="6591" t="s">
        <v>1983</v>
      </c>
      <c r="T1627" s="2483"/>
      <c r="U1627" s="544"/>
      <c r="V1627" s="545"/>
      <c r="W1627" s="546"/>
      <c r="X1627" s="547"/>
      <c r="Y1627" s="548"/>
      <c r="Z1627" s="277"/>
      <c r="AA1627" s="277"/>
      <c r="AB1627" s="187"/>
    </row>
    <row r="1628" spans="1:30" ht="20.100000000000001" customHeight="1">
      <c r="A1628" s="11"/>
      <c r="B1628" s="1360"/>
      <c r="C1628" s="5598"/>
      <c r="D1628" s="9598" t="s">
        <v>149</v>
      </c>
      <c r="E1628" s="9600"/>
      <c r="F1628" s="105" t="s">
        <v>1018</v>
      </c>
      <c r="G1628" s="666"/>
      <c r="H1628" s="6192"/>
      <c r="I1628" s="9582" t="s">
        <v>150</v>
      </c>
      <c r="J1628" s="9583"/>
      <c r="K1628" s="105" t="s">
        <v>1020</v>
      </c>
      <c r="L1628" s="6794">
        <v>1494555</v>
      </c>
      <c r="M1628" s="7329"/>
      <c r="N1628" s="6881">
        <v>2376840</v>
      </c>
      <c r="O1628" s="7329"/>
      <c r="P1628" s="6881">
        <v>2151195</v>
      </c>
      <c r="Q1628" s="7421"/>
      <c r="R1628" s="6659" t="s">
        <v>31</v>
      </c>
      <c r="S1628" s="6591" t="s">
        <v>1981</v>
      </c>
      <c r="T1628" s="2483"/>
      <c r="U1628" s="544"/>
      <c r="V1628" s="545"/>
      <c r="W1628" s="546"/>
      <c r="X1628" s="547"/>
      <c r="Y1628" s="548"/>
      <c r="Z1628" s="277"/>
      <c r="AA1628" s="277"/>
      <c r="AB1628" s="187"/>
      <c r="AD1628" s="6403" t="s">
        <v>1984</v>
      </c>
    </row>
    <row r="1629" spans="1:30" ht="20.100000000000001" customHeight="1">
      <c r="A1629" s="11"/>
      <c r="B1629" s="1360"/>
      <c r="C1629" s="9656" t="s">
        <v>1325</v>
      </c>
      <c r="D1629" s="9587"/>
      <c r="E1629" s="9588"/>
      <c r="F1629" s="6683" t="s">
        <v>557</v>
      </c>
      <c r="G1629" s="7053"/>
      <c r="H1629" s="9586" t="s">
        <v>1326</v>
      </c>
      <c r="I1629" s="9587"/>
      <c r="J1629" s="9588"/>
      <c r="K1629" s="6683" t="s">
        <v>559</v>
      </c>
      <c r="L1629" s="7111">
        <f>IF(COUNTBLANK(L1630:L1631)&gt;0,"미취합법인有",SUM(L1630:L1631))</f>
        <v>0</v>
      </c>
      <c r="M1629" s="7279"/>
      <c r="N1629" s="7115">
        <f>IF(COUNTBLANK(N1630:N1631)&gt;0,"미취합법인有",SUM(N1630:N1631))</f>
        <v>0</v>
      </c>
      <c r="O1629" s="7385"/>
      <c r="P1629" s="7121">
        <f>IF(COUNTBLANK(P1630:P1631)&gt;0,"미취합법인有",SUM(P1630:P1631))</f>
        <v>0</v>
      </c>
      <c r="Q1629" s="7029"/>
      <c r="R1629" s="7010" t="s">
        <v>31</v>
      </c>
      <c r="S1629" s="7007"/>
      <c r="T1629" s="7008" t="s">
        <v>1327</v>
      </c>
      <c r="U1629" s="276" t="s">
        <v>1328</v>
      </c>
      <c r="V1629" s="109" t="s">
        <v>206</v>
      </c>
      <c r="W1629" s="547"/>
      <c r="X1629" s="547"/>
      <c r="Y1629" s="986"/>
      <c r="Z1629" s="277" t="s">
        <v>1329</v>
      </c>
      <c r="AA1629" s="265" t="s">
        <v>1968</v>
      </c>
      <c r="AB1629" s="982"/>
    </row>
    <row r="1630" spans="1:30" ht="20.100000000000001" customHeight="1">
      <c r="A1630" s="11"/>
      <c r="B1630" s="1360"/>
      <c r="C1630" s="9647" t="s">
        <v>134</v>
      </c>
      <c r="D1630" s="9648"/>
      <c r="E1630" s="9649"/>
      <c r="F1630" s="105" t="s">
        <v>557</v>
      </c>
      <c r="G1630" s="666"/>
      <c r="H1630" s="9579" t="s">
        <v>135</v>
      </c>
      <c r="I1630" s="9580"/>
      <c r="J1630" s="9581"/>
      <c r="K1630" s="105" t="s">
        <v>559</v>
      </c>
      <c r="L1630" s="7113">
        <v>0</v>
      </c>
      <c r="M1630" s="7288"/>
      <c r="N1630" s="7118">
        <v>0</v>
      </c>
      <c r="O1630" s="7393"/>
      <c r="P1630" s="7150">
        <v>0</v>
      </c>
      <c r="Q1630" s="7311"/>
      <c r="R1630" s="6659" t="s">
        <v>31</v>
      </c>
      <c r="S1630" s="6572"/>
      <c r="T1630" s="2468"/>
      <c r="U1630" s="544"/>
      <c r="V1630" s="545"/>
      <c r="W1630" s="546"/>
      <c r="X1630" s="547"/>
      <c r="Y1630" s="548"/>
      <c r="Z1630" s="277"/>
      <c r="AA1630" s="277"/>
      <c r="AB1630" s="187"/>
    </row>
    <row r="1631" spans="1:30" ht="20.100000000000001" customHeight="1">
      <c r="A1631" s="11"/>
      <c r="B1631" s="1360"/>
      <c r="C1631" s="9647" t="s">
        <v>137</v>
      </c>
      <c r="D1631" s="9648"/>
      <c r="E1631" s="9649"/>
      <c r="F1631" s="105" t="s">
        <v>557</v>
      </c>
      <c r="G1631" s="666"/>
      <c r="H1631" s="9579" t="s">
        <v>138</v>
      </c>
      <c r="I1631" s="9580"/>
      <c r="J1631" s="9581"/>
      <c r="K1631" s="105" t="s">
        <v>559</v>
      </c>
      <c r="L1631" s="7113">
        <v>0</v>
      </c>
      <c r="M1631" s="7288"/>
      <c r="N1631" s="7118">
        <v>0</v>
      </c>
      <c r="O1631" s="7393"/>
      <c r="P1631" s="7157">
        <v>0</v>
      </c>
      <c r="Q1631" s="7311"/>
      <c r="R1631" s="6659" t="s">
        <v>31</v>
      </c>
      <c r="S1631" s="6572"/>
      <c r="T1631" s="2468"/>
      <c r="U1631" s="544"/>
      <c r="V1631" s="545"/>
      <c r="W1631" s="546"/>
      <c r="X1631" s="547"/>
      <c r="Y1631" s="548"/>
      <c r="Z1631" s="277"/>
      <c r="AA1631" s="277"/>
      <c r="AB1631" s="187"/>
    </row>
    <row r="1632" spans="1:30" ht="20.100000000000001" customHeight="1">
      <c r="A1632" s="11"/>
      <c r="B1632" s="1360"/>
      <c r="C1632" s="9656" t="s">
        <v>1334</v>
      </c>
      <c r="D1632" s="9587"/>
      <c r="E1632" s="9588"/>
      <c r="F1632" s="6683" t="s">
        <v>557</v>
      </c>
      <c r="G1632" s="7053"/>
      <c r="H1632" s="9586" t="s">
        <v>1335</v>
      </c>
      <c r="I1632" s="9587"/>
      <c r="J1632" s="9588"/>
      <c r="K1632" s="6683" t="s">
        <v>559</v>
      </c>
      <c r="L1632" s="7111" t="str">
        <f>IF(COUNTBLANK(L1633:L1634)&gt;0,"미취합법인有",SUM(L1633:L1634))</f>
        <v>미취합법인有</v>
      </c>
      <c r="M1632" s="7279"/>
      <c r="N1632" s="7115" t="str">
        <f>IF(COUNTBLANK(N1633:N1634)&gt;0,"미취합법인有",SUM(N1633:N1634))</f>
        <v>미취합법인有</v>
      </c>
      <c r="O1632" s="7293"/>
      <c r="P1632" s="7121" t="str">
        <f>IF(COUNTBLANK(P1633:P1634)&gt;0,"미취합법인有",SUM(P1633:P1634))</f>
        <v>미취합법인有</v>
      </c>
      <c r="Q1632" s="7029"/>
      <c r="R1632" s="7010" t="s">
        <v>31</v>
      </c>
      <c r="S1632" s="7043" t="s">
        <v>1985</v>
      </c>
      <c r="T1632" s="7072" t="s">
        <v>1986</v>
      </c>
      <c r="U1632" s="6050"/>
      <c r="V1632" s="545"/>
      <c r="W1632" s="547"/>
      <c r="X1632" s="547"/>
      <c r="Y1632" s="109"/>
      <c r="Z1632" s="265"/>
      <c r="AA1632" s="265" t="s">
        <v>1336</v>
      </c>
      <c r="AB1632" s="982"/>
    </row>
    <row r="1633" spans="1:30" ht="20.100000000000001" customHeight="1">
      <c r="A1633" s="11"/>
      <c r="B1633" s="1360"/>
      <c r="C1633" s="9647" t="s">
        <v>134</v>
      </c>
      <c r="D1633" s="9648"/>
      <c r="E1633" s="9649"/>
      <c r="F1633" s="105" t="s">
        <v>557</v>
      </c>
      <c r="G1633" s="666"/>
      <c r="H1633" s="9579" t="s">
        <v>135</v>
      </c>
      <c r="I1633" s="9580"/>
      <c r="J1633" s="9581"/>
      <c r="K1633" s="105" t="s">
        <v>559</v>
      </c>
      <c r="L1633" s="7172"/>
      <c r="M1633" s="7288"/>
      <c r="N1633" s="7173"/>
      <c r="O1633" s="7393"/>
      <c r="P1633" s="7721"/>
      <c r="Q1633" s="7311"/>
      <c r="R1633" s="6659" t="s">
        <v>31</v>
      </c>
      <c r="S1633" s="6572"/>
      <c r="T1633" s="2468"/>
      <c r="U1633" s="6050"/>
      <c r="V1633" s="545"/>
      <c r="W1633" s="546"/>
      <c r="X1633" s="547"/>
      <c r="Y1633" s="548"/>
      <c r="Z1633" s="277"/>
      <c r="AA1633" s="277"/>
      <c r="AB1633" s="187"/>
    </row>
    <row r="1634" spans="1:30" ht="20.100000000000001" customHeight="1">
      <c r="A1634" s="11"/>
      <c r="B1634" s="1360"/>
      <c r="C1634" s="9647" t="s">
        <v>137</v>
      </c>
      <c r="D1634" s="9648"/>
      <c r="E1634" s="9649"/>
      <c r="F1634" s="105" t="s">
        <v>557</v>
      </c>
      <c r="G1634" s="666"/>
      <c r="H1634" s="9579" t="s">
        <v>138</v>
      </c>
      <c r="I1634" s="9580"/>
      <c r="J1634" s="9581"/>
      <c r="K1634" s="105" t="s">
        <v>559</v>
      </c>
      <c r="L1634" s="7172"/>
      <c r="M1634" s="7288"/>
      <c r="N1634" s="7173"/>
      <c r="O1634" s="7393"/>
      <c r="P1634" s="7174"/>
      <c r="Q1634" s="7311"/>
      <c r="R1634" s="6659" t="s">
        <v>31</v>
      </c>
      <c r="S1634" s="6572"/>
      <c r="T1634" s="2468"/>
      <c r="U1634" s="6050"/>
      <c r="V1634" s="545"/>
      <c r="W1634" s="546"/>
      <c r="X1634" s="547"/>
      <c r="Y1634" s="548"/>
      <c r="Z1634" s="277"/>
      <c r="AA1634" s="277"/>
      <c r="AB1634" s="187"/>
    </row>
    <row r="1635" spans="1:30" ht="20.100000000000001" customHeight="1">
      <c r="A1635" s="11"/>
      <c r="B1635" s="1360"/>
      <c r="C1635" s="9656" t="s">
        <v>1337</v>
      </c>
      <c r="D1635" s="9587"/>
      <c r="E1635" s="9588"/>
      <c r="F1635" s="6683" t="s">
        <v>156</v>
      </c>
      <c r="G1635" s="7057"/>
      <c r="H1635" s="9586" t="s">
        <v>1338</v>
      </c>
      <c r="I1635" s="9587"/>
      <c r="J1635" s="9588"/>
      <c r="K1635" s="6683" t="s">
        <v>156</v>
      </c>
      <c r="L1635" s="7016">
        <f>IF(COUNTBLANK(L1636:L1641)&gt;0,"미취합법인有",AVERAGE(L1636:L1641))</f>
        <v>22.439420803782507</v>
      </c>
      <c r="M1635" s="7026"/>
      <c r="N1635" s="7001">
        <f>IF(COUNTBLANK(N1636:N1641)&gt;0,"미취합법인有",AVERAGE(N1636:N1641))</f>
        <v>35.761178211351528</v>
      </c>
      <c r="O1635" s="6988"/>
      <c r="P1635" s="7002">
        <f>IF(COUNTBLANK(P1636:P1641)&gt;0,"미취합법인有",AVERAGE(P1636:P1641))</f>
        <v>44.070795542871629</v>
      </c>
      <c r="Q1635" s="7029"/>
      <c r="R1635" s="7010" t="s">
        <v>31</v>
      </c>
      <c r="S1635" s="7007"/>
      <c r="T1635" s="7020" t="s">
        <v>1339</v>
      </c>
      <c r="U1635" s="457" t="s">
        <v>1340</v>
      </c>
      <c r="V1635" s="109" t="s">
        <v>206</v>
      </c>
      <c r="W1635" s="547"/>
      <c r="X1635" s="547"/>
      <c r="Y1635" s="109"/>
      <c r="Z1635" s="265" t="s">
        <v>1341</v>
      </c>
      <c r="AA1635" s="265"/>
      <c r="AB1635" s="982"/>
    </row>
    <row r="1636" spans="1:30" ht="20.100000000000001" customHeight="1">
      <c r="A1636" s="11"/>
      <c r="B1636" s="1360"/>
      <c r="C1636" s="9647" t="s">
        <v>134</v>
      </c>
      <c r="D1636" s="9648"/>
      <c r="E1636" s="9649"/>
      <c r="F1636" s="105" t="s">
        <v>156</v>
      </c>
      <c r="G1636" s="666"/>
      <c r="H1636" s="9579" t="s">
        <v>135</v>
      </c>
      <c r="I1636" s="9580"/>
      <c r="J1636" s="9581"/>
      <c r="K1636" s="105" t="s">
        <v>156</v>
      </c>
      <c r="L1636" s="6765">
        <f>L1643/L1650*100</f>
        <v>0</v>
      </c>
      <c r="M1636" s="7314"/>
      <c r="N1636" s="6886">
        <f>N1643/N1650*100</f>
        <v>0</v>
      </c>
      <c r="O1636" s="7421"/>
      <c r="P1636" s="6886">
        <f>P1643/P1650*100</f>
        <v>0</v>
      </c>
      <c r="Q1636" s="7421"/>
      <c r="R1636" s="6659" t="s">
        <v>31</v>
      </c>
      <c r="S1636" s="6591"/>
      <c r="T1636" s="2468"/>
      <c r="U1636" s="544"/>
      <c r="V1636" s="545"/>
      <c r="W1636" s="546"/>
      <c r="X1636" s="547"/>
      <c r="Y1636" s="548"/>
      <c r="Z1636" s="277"/>
      <c r="AA1636" s="277"/>
      <c r="AB1636" s="187"/>
    </row>
    <row r="1637" spans="1:30" ht="20.100000000000001" customHeight="1">
      <c r="A1637" s="11"/>
      <c r="B1637" s="1360"/>
      <c r="C1637" s="9647" t="s">
        <v>137</v>
      </c>
      <c r="D1637" s="9648"/>
      <c r="E1637" s="9649"/>
      <c r="F1637" s="105" t="s">
        <v>156</v>
      </c>
      <c r="G1637" s="666"/>
      <c r="H1637" s="9579" t="s">
        <v>138</v>
      </c>
      <c r="I1637" s="9580"/>
      <c r="J1637" s="9581"/>
      <c r="K1637" s="105" t="s">
        <v>156</v>
      </c>
      <c r="L1637" s="6766">
        <f t="shared" ref="L1637:N1641" si="42">L1644/L1651*100</f>
        <v>0</v>
      </c>
      <c r="M1637" s="7315"/>
      <c r="N1637" s="6886">
        <f t="shared" si="42"/>
        <v>72.294372294372295</v>
      </c>
      <c r="O1637" s="7421"/>
      <c r="P1637" s="6886">
        <f t="shared" ref="P1637:P1641" si="43">P1644/P1651*100</f>
        <v>112.75510204081634</v>
      </c>
      <c r="Q1637" s="7421"/>
      <c r="R1637" s="6659" t="s">
        <v>31</v>
      </c>
      <c r="S1637" s="6591"/>
      <c r="T1637" s="2468"/>
      <c r="U1637" s="544"/>
      <c r="V1637" s="545"/>
      <c r="W1637" s="546"/>
      <c r="X1637" s="547"/>
      <c r="Y1637" s="548"/>
      <c r="Z1637" s="277"/>
      <c r="AA1637" s="277"/>
      <c r="AB1637" s="187"/>
    </row>
    <row r="1638" spans="1:30" ht="20.100000000000001" customHeight="1">
      <c r="A1638" s="11"/>
      <c r="B1638" s="1360"/>
      <c r="C1638" s="9647" t="s">
        <v>140</v>
      </c>
      <c r="D1638" s="9648"/>
      <c r="E1638" s="9649"/>
      <c r="F1638" s="105" t="s">
        <v>156</v>
      </c>
      <c r="G1638" s="666"/>
      <c r="H1638" s="9579" t="s">
        <v>141</v>
      </c>
      <c r="I1638" s="9580"/>
      <c r="J1638" s="9581"/>
      <c r="K1638" s="105" t="s">
        <v>156</v>
      </c>
      <c r="L1638" s="6765">
        <f t="shared" si="42"/>
        <v>0</v>
      </c>
      <c r="M1638" s="7314"/>
      <c r="N1638" s="6886">
        <f t="shared" si="42"/>
        <v>0</v>
      </c>
      <c r="O1638" s="7421"/>
      <c r="P1638" s="6886">
        <f t="shared" si="43"/>
        <v>0</v>
      </c>
      <c r="Q1638" s="7421"/>
      <c r="R1638" s="6659" t="s">
        <v>31</v>
      </c>
      <c r="S1638" s="6591"/>
      <c r="T1638" s="2468"/>
      <c r="U1638" s="544"/>
      <c r="V1638" s="545"/>
      <c r="W1638" s="546"/>
      <c r="X1638" s="547"/>
      <c r="Y1638" s="548"/>
      <c r="Z1638" s="277"/>
      <c r="AA1638" s="277"/>
      <c r="AB1638" s="187"/>
    </row>
    <row r="1639" spans="1:30" ht="20.100000000000001" customHeight="1">
      <c r="A1639" s="11"/>
      <c r="B1639" s="1360"/>
      <c r="C1639" s="9647" t="s">
        <v>143</v>
      </c>
      <c r="D1639" s="9648"/>
      <c r="E1639" s="9649"/>
      <c r="F1639" s="105" t="s">
        <v>156</v>
      </c>
      <c r="G1639" s="666"/>
      <c r="H1639" s="9579" t="s">
        <v>144</v>
      </c>
      <c r="I1639" s="9580"/>
      <c r="J1639" s="9581"/>
      <c r="K1639" s="105" t="s">
        <v>156</v>
      </c>
      <c r="L1639" s="6765">
        <f t="shared" si="42"/>
        <v>75.886524822695037</v>
      </c>
      <c r="M1639" s="7314"/>
      <c r="N1639" s="6886">
        <f t="shared" si="42"/>
        <v>74.003466204506068</v>
      </c>
      <c r="O1639" s="7421"/>
      <c r="P1639" s="6886">
        <f t="shared" si="43"/>
        <v>72.727272727272734</v>
      </c>
      <c r="Q1639" s="7421"/>
      <c r="R1639" s="6659" t="s">
        <v>31</v>
      </c>
      <c r="S1639" s="6591"/>
      <c r="T1639" s="2468"/>
      <c r="U1639" s="544"/>
      <c r="V1639" s="545"/>
      <c r="W1639" s="546"/>
      <c r="X1639" s="547"/>
      <c r="Y1639" s="548"/>
      <c r="Z1639" s="277"/>
      <c r="AA1639" s="277"/>
      <c r="AB1639" s="187"/>
    </row>
    <row r="1640" spans="1:30" ht="20.100000000000001" customHeight="1">
      <c r="A1640" s="11"/>
      <c r="B1640" s="1360"/>
      <c r="C1640" s="9647" t="s">
        <v>146</v>
      </c>
      <c r="D1640" s="9648"/>
      <c r="E1640" s="9649"/>
      <c r="F1640" s="105" t="s">
        <v>156</v>
      </c>
      <c r="G1640" s="666"/>
      <c r="H1640" s="9579" t="s">
        <v>147</v>
      </c>
      <c r="I1640" s="9580"/>
      <c r="J1640" s="9581"/>
      <c r="K1640" s="105" t="s">
        <v>156</v>
      </c>
      <c r="L1640" s="6765">
        <f t="shared" si="42"/>
        <v>0</v>
      </c>
      <c r="M1640" s="7314"/>
      <c r="N1640" s="6886">
        <f t="shared" si="42"/>
        <v>0</v>
      </c>
      <c r="O1640" s="7421"/>
      <c r="P1640" s="6886">
        <f t="shared" si="43"/>
        <v>0</v>
      </c>
      <c r="Q1640" s="7421"/>
      <c r="R1640" s="6659" t="s">
        <v>31</v>
      </c>
      <c r="S1640" s="6591"/>
      <c r="T1640" s="2468"/>
      <c r="U1640" s="544"/>
      <c r="V1640" s="545"/>
      <c r="W1640" s="546"/>
      <c r="X1640" s="547"/>
      <c r="Y1640" s="548"/>
      <c r="Z1640" s="277"/>
      <c r="AA1640" s="277"/>
      <c r="AB1640" s="187"/>
    </row>
    <row r="1641" spans="1:30" ht="20.100000000000001" customHeight="1">
      <c r="A1641" s="11"/>
      <c r="B1641" s="1360"/>
      <c r="C1641" s="9647" t="s">
        <v>149</v>
      </c>
      <c r="D1641" s="9648"/>
      <c r="E1641" s="9649"/>
      <c r="F1641" s="105" t="s">
        <v>156</v>
      </c>
      <c r="G1641" s="666"/>
      <c r="H1641" s="9579" t="s">
        <v>150</v>
      </c>
      <c r="I1641" s="9580"/>
      <c r="J1641" s="9581"/>
      <c r="K1641" s="105" t="s">
        <v>156</v>
      </c>
      <c r="L1641" s="6765">
        <f t="shared" si="42"/>
        <v>58.75</v>
      </c>
      <c r="M1641" s="7314"/>
      <c r="N1641" s="6886">
        <f t="shared" si="42"/>
        <v>68.269230769230774</v>
      </c>
      <c r="O1641" s="7421"/>
      <c r="P1641" s="6886">
        <f t="shared" si="43"/>
        <v>78.9423984891407</v>
      </c>
      <c r="Q1641" s="7421"/>
      <c r="R1641" s="6659" t="s">
        <v>31</v>
      </c>
      <c r="S1641" s="6591"/>
      <c r="T1641" s="2468"/>
      <c r="U1641" s="544"/>
      <c r="V1641" s="545"/>
      <c r="W1641" s="546"/>
      <c r="X1641" s="547"/>
      <c r="Y1641" s="548"/>
      <c r="Z1641" s="277"/>
      <c r="AA1641" s="277"/>
      <c r="AB1641" s="187"/>
    </row>
    <row r="1642" spans="1:30" ht="20.100000000000001" customHeight="1">
      <c r="A1642" s="11"/>
      <c r="B1642" s="1360"/>
      <c r="C1642" s="1388"/>
      <c r="D1642" s="9584" t="s">
        <v>1342</v>
      </c>
      <c r="E1642" s="9585"/>
      <c r="F1642" s="6683" t="s">
        <v>742</v>
      </c>
      <c r="G1642" s="7051"/>
      <c r="H1642" s="7051"/>
      <c r="I1642" s="9584" t="s">
        <v>1343</v>
      </c>
      <c r="J1642" s="9585"/>
      <c r="K1642" s="6683" t="s">
        <v>734</v>
      </c>
      <c r="L1642" s="7111" t="str">
        <f>IF(COUNTBLANK(L1643:L1648)&gt;0,"미취합법인有",SUM(L1643:L1648))</f>
        <v>미취합법인有</v>
      </c>
      <c r="M1642" s="7279"/>
      <c r="N1642" s="7119" t="str">
        <f>IF(COUNTBLANK(N1643:N1648)&gt;0,"미취합법인有",SUM(N1643:N1648))</f>
        <v>미취합법인有</v>
      </c>
      <c r="O1642" s="7385"/>
      <c r="P1642" s="7121" t="str">
        <f>IF(COUNTBLANK(P1643:P1648)&gt;0,"미취합법인有",SUM(P1643:P1648))</f>
        <v>미취합법인有</v>
      </c>
      <c r="Q1642" s="7029"/>
      <c r="R1642" s="7010" t="s">
        <v>1808</v>
      </c>
      <c r="S1642" s="7007"/>
      <c r="T1642" s="7008"/>
      <c r="U1642" s="276"/>
      <c r="V1642" s="109" t="s">
        <v>206</v>
      </c>
      <c r="W1642" s="547"/>
      <c r="X1642" s="547"/>
      <c r="Y1642" s="109"/>
      <c r="Z1642" s="265" t="s">
        <v>1341</v>
      </c>
      <c r="AA1642" s="265"/>
      <c r="AB1642" s="982"/>
    </row>
    <row r="1643" spans="1:30" ht="20.100000000000001" customHeight="1">
      <c r="A1643" s="11"/>
      <c r="B1643" s="1360"/>
      <c r="C1643" s="614"/>
      <c r="D1643" s="9598" t="s">
        <v>134</v>
      </c>
      <c r="E1643" s="9600"/>
      <c r="F1643" s="105" t="s">
        <v>742</v>
      </c>
      <c r="G1643" s="666"/>
      <c r="H1643" s="666"/>
      <c r="I1643" s="9579" t="s">
        <v>135</v>
      </c>
      <c r="J1643" s="9581"/>
      <c r="K1643" s="105" t="s">
        <v>734</v>
      </c>
      <c r="L1643" s="7187"/>
      <c r="M1643" s="7306" t="s">
        <v>1859</v>
      </c>
      <c r="N1643" s="7188"/>
      <c r="O1643" s="7312" t="s">
        <v>1344</v>
      </c>
      <c r="P1643" s="7723"/>
      <c r="Q1643" s="7722" t="s">
        <v>1345</v>
      </c>
      <c r="R1643" s="6659" t="s">
        <v>1808</v>
      </c>
      <c r="S1643" s="6605" t="s">
        <v>1987</v>
      </c>
      <c r="T1643" s="2483"/>
      <c r="U1643" s="544"/>
      <c r="V1643" s="545"/>
      <c r="W1643" s="546"/>
      <c r="X1643" s="547"/>
      <c r="Y1643" s="548"/>
      <c r="Z1643" s="277"/>
      <c r="AA1643" s="277"/>
      <c r="AB1643" s="187"/>
    </row>
    <row r="1644" spans="1:30" ht="20.100000000000001" customHeight="1">
      <c r="A1644" s="11"/>
      <c r="B1644" s="1360"/>
      <c r="C1644" s="5598"/>
      <c r="D1644" s="9598" t="s">
        <v>137</v>
      </c>
      <c r="E1644" s="9600"/>
      <c r="F1644" s="105" t="s">
        <v>742</v>
      </c>
      <c r="G1644" s="666"/>
      <c r="H1644" s="666"/>
      <c r="I1644" s="9579" t="s">
        <v>138</v>
      </c>
      <c r="J1644" s="9581"/>
      <c r="K1644" s="105" t="s">
        <v>734</v>
      </c>
      <c r="L1644" s="7113">
        <v>0</v>
      </c>
      <c r="M1644" s="7288" t="s">
        <v>1346</v>
      </c>
      <c r="N1644" s="7118">
        <v>167</v>
      </c>
      <c r="O1644" s="7393"/>
      <c r="P1644" s="7157">
        <v>221</v>
      </c>
      <c r="Q1644" s="7421"/>
      <c r="R1644" s="6659" t="s">
        <v>1808</v>
      </c>
      <c r="S1644" s="6605" t="s">
        <v>1987</v>
      </c>
      <c r="T1644" s="2483"/>
      <c r="U1644" s="544"/>
      <c r="V1644" s="545"/>
      <c r="W1644" s="546"/>
      <c r="X1644" s="547"/>
      <c r="Y1644" s="548"/>
      <c r="Z1644" s="277"/>
      <c r="AA1644" s="277"/>
      <c r="AB1644" s="187"/>
      <c r="AD1644" s="1377" t="s">
        <v>1347</v>
      </c>
    </row>
    <row r="1645" spans="1:30" ht="20.100000000000001" customHeight="1">
      <c r="A1645" s="11"/>
      <c r="B1645" s="1360"/>
      <c r="C1645" s="5598"/>
      <c r="D1645" s="9598" t="s">
        <v>140</v>
      </c>
      <c r="E1645" s="9600"/>
      <c r="F1645" s="105" t="s">
        <v>742</v>
      </c>
      <c r="G1645" s="666"/>
      <c r="H1645" s="666"/>
      <c r="I1645" s="9582" t="s">
        <v>141</v>
      </c>
      <c r="J1645" s="9583"/>
      <c r="K1645" s="105" t="s">
        <v>734</v>
      </c>
      <c r="L1645" s="7166">
        <v>0</v>
      </c>
      <c r="M1645" s="7306"/>
      <c r="N1645" s="7162">
        <v>0</v>
      </c>
      <c r="O1645" s="7312"/>
      <c r="P1645" s="7167">
        <v>0</v>
      </c>
      <c r="Q1645" s="7421"/>
      <c r="R1645" s="6659" t="s">
        <v>1808</v>
      </c>
      <c r="S1645" s="6605" t="s">
        <v>1987</v>
      </c>
      <c r="T1645" s="2483"/>
      <c r="U1645" s="544"/>
      <c r="V1645" s="545"/>
      <c r="W1645" s="546"/>
      <c r="X1645" s="547"/>
      <c r="Y1645" s="548"/>
      <c r="Z1645" s="277"/>
      <c r="AA1645" s="277"/>
      <c r="AB1645" s="187"/>
    </row>
    <row r="1646" spans="1:30" ht="20.100000000000001" customHeight="1">
      <c r="A1646" s="11"/>
      <c r="B1646" s="1360"/>
      <c r="C1646" s="614"/>
      <c r="D1646" s="9598" t="s">
        <v>143</v>
      </c>
      <c r="E1646" s="9600"/>
      <c r="F1646" s="105" t="s">
        <v>742</v>
      </c>
      <c r="G1646" s="666"/>
      <c r="H1646" s="666"/>
      <c r="I1646" s="9582" t="s">
        <v>144</v>
      </c>
      <c r="J1646" s="9583"/>
      <c r="K1646" s="105" t="s">
        <v>734</v>
      </c>
      <c r="L1646" s="7166">
        <v>428</v>
      </c>
      <c r="M1646" s="7306" t="s">
        <v>1988</v>
      </c>
      <c r="N1646" s="7162">
        <v>427</v>
      </c>
      <c r="O1646" s="7312" t="s">
        <v>1348</v>
      </c>
      <c r="P1646" s="7167">
        <v>416</v>
      </c>
      <c r="Q1646" s="7421"/>
      <c r="R1646" s="6659" t="s">
        <v>1808</v>
      </c>
      <c r="S1646" s="6605" t="s">
        <v>1987</v>
      </c>
      <c r="T1646" s="2483"/>
      <c r="U1646" s="544"/>
      <c r="V1646" s="545"/>
      <c r="W1646" s="546"/>
      <c r="X1646" s="547"/>
      <c r="Y1646" s="548"/>
      <c r="Z1646" s="277"/>
      <c r="AA1646" s="277"/>
      <c r="AB1646" s="187"/>
      <c r="AD1646" s="1377" t="s">
        <v>1349</v>
      </c>
    </row>
    <row r="1647" spans="1:30" ht="20.100000000000001" customHeight="1">
      <c r="A1647" s="11"/>
      <c r="B1647" s="1360"/>
      <c r="C1647" s="5598"/>
      <c r="D1647" s="9598" t="s">
        <v>146</v>
      </c>
      <c r="E1647" s="9600"/>
      <c r="F1647" s="105" t="s">
        <v>742</v>
      </c>
      <c r="G1647" s="666"/>
      <c r="H1647" s="666"/>
      <c r="I1647" s="9582" t="s">
        <v>147</v>
      </c>
      <c r="J1647" s="9583"/>
      <c r="K1647" s="105" t="s">
        <v>734</v>
      </c>
      <c r="L1647" s="7166">
        <v>0</v>
      </c>
      <c r="M1647" s="7306" t="s">
        <v>1350</v>
      </c>
      <c r="N1647" s="7162">
        <v>0</v>
      </c>
      <c r="O1647" s="7312" t="s">
        <v>1350</v>
      </c>
      <c r="P1647" s="7724"/>
      <c r="Q1647" s="7421"/>
      <c r="R1647" s="6659" t="s">
        <v>1808</v>
      </c>
      <c r="S1647" s="6605" t="s">
        <v>1987</v>
      </c>
      <c r="T1647" s="2483"/>
      <c r="U1647" s="544"/>
      <c r="V1647" s="545"/>
      <c r="W1647" s="546"/>
      <c r="X1647" s="547"/>
      <c r="Y1647" s="548"/>
      <c r="Z1647" s="277"/>
      <c r="AA1647" s="277"/>
      <c r="AB1647" s="187"/>
    </row>
    <row r="1648" spans="1:30" ht="20.100000000000001" customHeight="1">
      <c r="A1648" s="11"/>
      <c r="B1648" s="1360"/>
      <c r="C1648" s="5598"/>
      <c r="D1648" s="9598" t="s">
        <v>149</v>
      </c>
      <c r="E1648" s="9600"/>
      <c r="F1648" s="105" t="s">
        <v>742</v>
      </c>
      <c r="G1648" s="666"/>
      <c r="H1648" s="666"/>
      <c r="I1648" s="9582" t="s">
        <v>150</v>
      </c>
      <c r="J1648" s="9583"/>
      <c r="K1648" s="105" t="s">
        <v>734</v>
      </c>
      <c r="L1648" s="7166">
        <v>752</v>
      </c>
      <c r="M1648" s="7306"/>
      <c r="N1648" s="7162">
        <v>781</v>
      </c>
      <c r="O1648" s="7306"/>
      <c r="P1648" s="7162">
        <v>836</v>
      </c>
      <c r="Q1648" s="7421"/>
      <c r="R1648" s="6659" t="s">
        <v>1808</v>
      </c>
      <c r="S1648" s="7863" t="s">
        <v>1989</v>
      </c>
      <c r="T1648" s="276"/>
      <c r="U1648" s="276"/>
      <c r="V1648" s="545"/>
      <c r="W1648" s="546"/>
      <c r="X1648" s="547"/>
      <c r="Y1648" s="548"/>
      <c r="Z1648" s="277"/>
      <c r="AA1648" s="277"/>
      <c r="AB1648" s="187"/>
    </row>
    <row r="1649" spans="1:30" ht="20.100000000000001" customHeight="1">
      <c r="A1649" s="11"/>
      <c r="B1649" s="1360"/>
      <c r="C1649" s="1389"/>
      <c r="D1649" s="9584" t="s">
        <v>1351</v>
      </c>
      <c r="E1649" s="9585"/>
      <c r="F1649" s="6683" t="s">
        <v>742</v>
      </c>
      <c r="G1649" s="7051"/>
      <c r="H1649" s="7051"/>
      <c r="I1649" s="9584" t="s">
        <v>1032</v>
      </c>
      <c r="J1649" s="9585"/>
      <c r="K1649" s="6683" t="s">
        <v>734</v>
      </c>
      <c r="L1649" s="7111">
        <f>IF(COUNTBLANK(L1650:L1655)&gt;0,"미취합법인有",SUM(L1650:L1655))</f>
        <v>4597</v>
      </c>
      <c r="M1649" s="7279"/>
      <c r="N1649" s="7115">
        <f>IF(COUNTBLANK(N1650:N1655)&gt;0,"미취합법인有",SUM(N1650:N1655))</f>
        <v>4351</v>
      </c>
      <c r="O1649" s="7385"/>
      <c r="P1649" s="7121">
        <f>IF(COUNTBLANK(P1650:P1655)&gt;0,"미취합법인有",SUM(P1650:P1655))</f>
        <v>4199</v>
      </c>
      <c r="Q1649" s="7029"/>
      <c r="R1649" s="7010" t="s">
        <v>1808</v>
      </c>
      <c r="S1649" s="7029"/>
      <c r="T1649" s="7050"/>
      <c r="U1649" s="276"/>
      <c r="V1649" s="109" t="s">
        <v>206</v>
      </c>
      <c r="W1649" s="547"/>
      <c r="X1649" s="547"/>
      <c r="Y1649" s="109"/>
      <c r="Z1649" s="265" t="s">
        <v>1341</v>
      </c>
      <c r="AA1649" s="265"/>
      <c r="AB1649" s="982"/>
    </row>
    <row r="1650" spans="1:30" ht="20.100000000000001" customHeight="1">
      <c r="A1650" s="11"/>
      <c r="B1650" s="1360"/>
      <c r="C1650" s="614"/>
      <c r="D1650" s="9598" t="s">
        <v>134</v>
      </c>
      <c r="E1650" s="9600"/>
      <c r="F1650" s="105" t="s">
        <v>742</v>
      </c>
      <c r="G1650" s="666"/>
      <c r="H1650" s="666"/>
      <c r="I1650" s="9579" t="s">
        <v>135</v>
      </c>
      <c r="J1650" s="9581"/>
      <c r="K1650" s="105" t="s">
        <v>734</v>
      </c>
      <c r="L1650" s="7166">
        <f>L1008</f>
        <v>1135</v>
      </c>
      <c r="M1650" s="7306"/>
      <c r="N1650" s="7162">
        <f>N1008</f>
        <v>1097</v>
      </c>
      <c r="O1650" s="7312">
        <v>0</v>
      </c>
      <c r="P1650" s="7169">
        <f>P1008</f>
        <v>1210</v>
      </c>
      <c r="Q1650" s="7722" t="s">
        <v>1345</v>
      </c>
      <c r="R1650" s="6659" t="s">
        <v>1808</v>
      </c>
      <c r="S1650" s="6606" t="s">
        <v>1990</v>
      </c>
      <c r="T1650" s="276"/>
      <c r="U1650" s="276"/>
      <c r="V1650" s="545"/>
      <c r="W1650" s="546"/>
      <c r="X1650" s="547"/>
      <c r="Y1650" s="548"/>
      <c r="Z1650" s="277"/>
      <c r="AA1650" s="277"/>
      <c r="AB1650" s="187"/>
      <c r="AD1650" s="6405" t="s">
        <v>1347</v>
      </c>
    </row>
    <row r="1651" spans="1:30" ht="20.100000000000001" customHeight="1">
      <c r="A1651" s="11"/>
      <c r="B1651" s="1360"/>
      <c r="C1651" s="5598"/>
      <c r="D1651" s="9598" t="s">
        <v>137</v>
      </c>
      <c r="E1651" s="9600"/>
      <c r="F1651" s="105" t="s">
        <v>742</v>
      </c>
      <c r="G1651" s="666"/>
      <c r="H1651" s="666"/>
      <c r="I1651" s="9579" t="s">
        <v>138</v>
      </c>
      <c r="J1651" s="9581"/>
      <c r="K1651" s="105" t="s">
        <v>734</v>
      </c>
      <c r="L1651" s="7166">
        <f t="shared" ref="L1651:N1654" si="44">L1009</f>
        <v>183</v>
      </c>
      <c r="M1651" s="7288" t="s">
        <v>1991</v>
      </c>
      <c r="N1651" s="7118">
        <f t="shared" si="44"/>
        <v>231</v>
      </c>
      <c r="O1651" s="7393"/>
      <c r="P1651" s="7157">
        <f t="shared" ref="P1651:P1654" si="45">P1009</f>
        <v>196</v>
      </c>
      <c r="Q1651" s="7421"/>
      <c r="R1651" s="6659" t="s">
        <v>1808</v>
      </c>
      <c r="S1651" s="6606" t="s">
        <v>1990</v>
      </c>
      <c r="T1651" s="276"/>
      <c r="U1651" s="276"/>
      <c r="V1651" s="545"/>
      <c r="W1651" s="546"/>
      <c r="X1651" s="547"/>
      <c r="Y1651" s="548"/>
      <c r="Z1651" s="277"/>
      <c r="AA1651" s="277"/>
      <c r="AB1651" s="187"/>
    </row>
    <row r="1652" spans="1:30" ht="20.100000000000001" customHeight="1">
      <c r="A1652" s="11"/>
      <c r="B1652" s="1360"/>
      <c r="C1652" s="5598"/>
      <c r="D1652" s="9598" t="s">
        <v>140</v>
      </c>
      <c r="E1652" s="9600"/>
      <c r="F1652" s="105" t="s">
        <v>742</v>
      </c>
      <c r="G1652" s="666"/>
      <c r="H1652" s="666"/>
      <c r="I1652" s="9582" t="s">
        <v>141</v>
      </c>
      <c r="J1652" s="9583"/>
      <c r="K1652" s="105" t="s">
        <v>734</v>
      </c>
      <c r="L1652" s="7166">
        <f t="shared" si="44"/>
        <v>1054</v>
      </c>
      <c r="M1652" s="7306"/>
      <c r="N1652" s="7162">
        <f t="shared" si="44"/>
        <v>909</v>
      </c>
      <c r="O1652" s="7312"/>
      <c r="P1652" s="7134">
        <f t="shared" si="45"/>
        <v>750</v>
      </c>
      <c r="Q1652" s="7421"/>
      <c r="R1652" s="6659" t="s">
        <v>1808</v>
      </c>
      <c r="S1652" s="6606" t="s">
        <v>1990</v>
      </c>
      <c r="T1652" s="276"/>
      <c r="U1652" s="276"/>
      <c r="V1652" s="545"/>
      <c r="W1652" s="546"/>
      <c r="X1652" s="547"/>
      <c r="Y1652" s="548"/>
      <c r="Z1652" s="277"/>
      <c r="AA1652" s="277"/>
      <c r="AB1652" s="187"/>
    </row>
    <row r="1653" spans="1:30" ht="20.100000000000001" customHeight="1">
      <c r="A1653" s="11"/>
      <c r="B1653" s="1360"/>
      <c r="C1653" s="614"/>
      <c r="D1653" s="9598" t="s">
        <v>143</v>
      </c>
      <c r="E1653" s="9600"/>
      <c r="F1653" s="105" t="s">
        <v>742</v>
      </c>
      <c r="G1653" s="666"/>
      <c r="H1653" s="666"/>
      <c r="I1653" s="9582" t="s">
        <v>144</v>
      </c>
      <c r="J1653" s="9583"/>
      <c r="K1653" s="105" t="s">
        <v>734</v>
      </c>
      <c r="L1653" s="7166">
        <f t="shared" si="44"/>
        <v>564</v>
      </c>
      <c r="M1653" s="7306" t="s">
        <v>759</v>
      </c>
      <c r="N1653" s="7162">
        <f t="shared" si="44"/>
        <v>577</v>
      </c>
      <c r="O1653" s="7312" t="s">
        <v>759</v>
      </c>
      <c r="P1653" s="7189">
        <f t="shared" si="45"/>
        <v>572</v>
      </c>
      <c r="Q1653" s="7421"/>
      <c r="R1653" s="6659" t="s">
        <v>1808</v>
      </c>
      <c r="S1653" s="6606" t="s">
        <v>1990</v>
      </c>
      <c r="T1653" s="276"/>
      <c r="U1653" s="276"/>
      <c r="V1653" s="545"/>
      <c r="W1653" s="546"/>
      <c r="X1653" s="547"/>
      <c r="Y1653" s="548"/>
      <c r="Z1653" s="277"/>
      <c r="AA1653" s="277"/>
      <c r="AB1653" s="187"/>
    </row>
    <row r="1654" spans="1:30" ht="20.100000000000001" customHeight="1">
      <c r="A1654" s="11"/>
      <c r="B1654" s="1360"/>
      <c r="C1654" s="5598"/>
      <c r="D1654" s="9598" t="s">
        <v>146</v>
      </c>
      <c r="E1654" s="9600"/>
      <c r="F1654" s="105" t="s">
        <v>742</v>
      </c>
      <c r="G1654" s="666"/>
      <c r="H1654" s="666"/>
      <c r="I1654" s="9582" t="s">
        <v>147</v>
      </c>
      <c r="J1654" s="9583"/>
      <c r="K1654" s="105" t="s">
        <v>734</v>
      </c>
      <c r="L1654" s="7166">
        <f t="shared" si="44"/>
        <v>381</v>
      </c>
      <c r="M1654" s="7306"/>
      <c r="N1654" s="7162">
        <f t="shared" si="44"/>
        <v>393</v>
      </c>
      <c r="O1654" s="7312"/>
      <c r="P1654" s="7167">
        <f t="shared" si="45"/>
        <v>412</v>
      </c>
      <c r="Q1654" s="7421"/>
      <c r="R1654" s="6659" t="s">
        <v>1808</v>
      </c>
      <c r="S1654" s="6606" t="s">
        <v>1990</v>
      </c>
      <c r="T1654" s="276"/>
      <c r="U1654" s="276"/>
      <c r="V1654" s="545"/>
      <c r="W1654" s="546"/>
      <c r="X1654" s="547"/>
      <c r="Y1654" s="548"/>
      <c r="Z1654" s="277"/>
      <c r="AA1654" s="277"/>
      <c r="AB1654" s="187"/>
    </row>
    <row r="1655" spans="1:30" ht="20.100000000000001" customHeight="1" thickBot="1">
      <c r="A1655" s="11"/>
      <c r="B1655" s="1360"/>
      <c r="C1655" s="5598"/>
      <c r="D1655" s="9598" t="s">
        <v>149</v>
      </c>
      <c r="E1655" s="9600"/>
      <c r="F1655" s="105" t="s">
        <v>742</v>
      </c>
      <c r="G1655" s="666"/>
      <c r="H1655" s="666"/>
      <c r="I1655" s="9582" t="s">
        <v>150</v>
      </c>
      <c r="J1655" s="9583"/>
      <c r="K1655" s="105" t="s">
        <v>734</v>
      </c>
      <c r="L1655" s="7133">
        <f>L1013+L1020</f>
        <v>1280</v>
      </c>
      <c r="M1655" s="7306"/>
      <c r="N1655" s="7145">
        <f>N1013+N1020</f>
        <v>1144</v>
      </c>
      <c r="O1655" s="7306"/>
      <c r="P1655" s="7145">
        <f>P1013+P1020</f>
        <v>1059</v>
      </c>
      <c r="Q1655" s="7421"/>
      <c r="R1655" s="6659" t="s">
        <v>1808</v>
      </c>
      <c r="S1655" s="7863" t="s">
        <v>1992</v>
      </c>
      <c r="T1655" s="276"/>
      <c r="U1655" s="276"/>
      <c r="V1655" s="545"/>
      <c r="W1655" s="546"/>
      <c r="X1655" s="547"/>
      <c r="Y1655" s="548"/>
      <c r="Z1655" s="277"/>
      <c r="AA1655" s="277"/>
      <c r="AB1655" s="187"/>
    </row>
    <row r="1656" spans="1:30" ht="27" thickBot="1">
      <c r="A1656" s="11"/>
      <c r="B1656" s="123" t="s">
        <v>1993</v>
      </c>
      <c r="C1656" s="124"/>
      <c r="D1656" s="124"/>
      <c r="E1656" s="124"/>
      <c r="F1656" s="78"/>
      <c r="G1656" s="125" t="s">
        <v>1235</v>
      </c>
      <c r="H1656" s="126"/>
      <c r="I1656" s="521"/>
      <c r="J1656" s="521"/>
      <c r="K1656" s="78"/>
      <c r="L1656" s="6775"/>
      <c r="M1656" s="5600"/>
      <c r="N1656" s="6853"/>
      <c r="O1656" s="5600"/>
      <c r="P1656" s="6853"/>
      <c r="Q1656" s="5600"/>
      <c r="R1656" s="5600"/>
      <c r="S1656" s="5600"/>
      <c r="T1656" s="80"/>
      <c r="U1656" s="80"/>
      <c r="V1656" s="129"/>
      <c r="W1656" s="80"/>
      <c r="X1656" s="80"/>
      <c r="Y1656" s="6023"/>
      <c r="Z1656" s="752"/>
      <c r="AA1656" s="328"/>
      <c r="AB1656" s="329"/>
    </row>
    <row r="1657" spans="1:30" ht="20.100000000000001" customHeight="1">
      <c r="A1657" s="11"/>
      <c r="B1657" s="1360"/>
      <c r="C1657" s="5762" t="s">
        <v>1673</v>
      </c>
      <c r="D1657" s="5763"/>
      <c r="E1657" s="5763"/>
      <c r="F1657" s="5766" t="s">
        <v>1476</v>
      </c>
      <c r="G1657" s="5770"/>
      <c r="H1657" s="7101"/>
      <c r="I1657" s="5770" t="s">
        <v>1674</v>
      </c>
      <c r="J1657" s="5770"/>
      <c r="K1657" s="5766" t="s">
        <v>559</v>
      </c>
      <c r="L1657" s="7111" t="str">
        <f>IF(COUNTBLANK(L1658:L1663)&gt;0,"미취합법인有",SUM(L1658:L1663))</f>
        <v>미취합법인有</v>
      </c>
      <c r="M1657" s="7279"/>
      <c r="N1657" s="7115" t="str">
        <f>IF(COUNTBLANK(N1658:N1663)&gt;0,"미취합법인有",SUM(N1658:N1663))</f>
        <v>미취합법인有</v>
      </c>
      <c r="O1657" s="7385"/>
      <c r="P1657" s="7121" t="str">
        <f>IF(COUNTBLANK(P1658:P1663)&gt;0,"미취합법인有",SUM(P1658:P1663))</f>
        <v>미취합법인有</v>
      </c>
      <c r="Q1657" s="7492"/>
      <c r="R1657" s="7093" t="s">
        <v>31</v>
      </c>
      <c r="S1657" s="7067"/>
      <c r="T1657" s="7008" t="s">
        <v>1994</v>
      </c>
      <c r="U1657" s="367" t="s">
        <v>1675</v>
      </c>
      <c r="V1657" s="508" t="s">
        <v>1676</v>
      </c>
      <c r="W1657" s="547"/>
      <c r="X1657" s="547"/>
      <c r="Y1657" s="162"/>
      <c r="Z1657" s="277" t="s">
        <v>1677</v>
      </c>
      <c r="AA1657" s="265" t="s">
        <v>1678</v>
      </c>
      <c r="AB1657" s="982"/>
    </row>
    <row r="1658" spans="1:30" ht="20.100000000000001" customHeight="1">
      <c r="A1658" s="11"/>
      <c r="B1658" s="1360"/>
      <c r="C1658" s="357" t="s">
        <v>134</v>
      </c>
      <c r="D1658" s="497"/>
      <c r="E1658" s="497"/>
      <c r="F1658" s="285" t="s">
        <v>1476</v>
      </c>
      <c r="G1658" s="358"/>
      <c r="H1658" s="6276"/>
      <c r="I1658" s="9579" t="s">
        <v>135</v>
      </c>
      <c r="J1658" s="9581"/>
      <c r="K1658" s="285" t="s">
        <v>559</v>
      </c>
      <c r="L1658" s="7113">
        <v>0</v>
      </c>
      <c r="M1658" s="7295"/>
      <c r="N1658" s="7117">
        <v>0</v>
      </c>
      <c r="O1658" s="7414"/>
      <c r="P1658" s="7177">
        <v>0</v>
      </c>
      <c r="Q1658" s="7375"/>
      <c r="R1658" s="6664" t="s">
        <v>31</v>
      </c>
      <c r="S1658" s="6577"/>
      <c r="T1658" s="498"/>
      <c r="U1658" s="367"/>
      <c r="V1658" s="508"/>
      <c r="W1658" s="547"/>
      <c r="X1658" s="547"/>
      <c r="Y1658" s="162"/>
      <c r="Z1658" s="277"/>
      <c r="AA1658" s="265"/>
      <c r="AB1658" s="982"/>
    </row>
    <row r="1659" spans="1:30" ht="20.100000000000001" customHeight="1">
      <c r="A1659" s="11"/>
      <c r="B1659" s="1360"/>
      <c r="C1659" s="357" t="s">
        <v>137</v>
      </c>
      <c r="D1659" s="497"/>
      <c r="E1659" s="497"/>
      <c r="F1659" s="285" t="s">
        <v>1476</v>
      </c>
      <c r="G1659" s="358"/>
      <c r="H1659" s="6275"/>
      <c r="I1659" s="9579" t="s">
        <v>138</v>
      </c>
      <c r="J1659" s="9581"/>
      <c r="K1659" s="285" t="s">
        <v>559</v>
      </c>
      <c r="L1659" s="7113">
        <v>0</v>
      </c>
      <c r="M1659" s="7295"/>
      <c r="N1659" s="7117">
        <v>0</v>
      </c>
      <c r="O1659" s="7414"/>
      <c r="P1659" s="7177">
        <v>0</v>
      </c>
      <c r="Q1659" s="7375"/>
      <c r="R1659" s="6664" t="s">
        <v>31</v>
      </c>
      <c r="S1659" s="6577"/>
      <c r="T1659" s="498"/>
      <c r="U1659" s="367"/>
      <c r="V1659" s="508"/>
      <c r="W1659" s="547"/>
      <c r="X1659" s="547"/>
      <c r="Y1659" s="162"/>
      <c r="Z1659" s="277"/>
      <c r="AA1659" s="265"/>
      <c r="AB1659" s="982"/>
    </row>
    <row r="1660" spans="1:30" ht="20.100000000000001" customHeight="1">
      <c r="A1660" s="11"/>
      <c r="B1660" s="1360"/>
      <c r="C1660" s="357" t="s">
        <v>140</v>
      </c>
      <c r="D1660" s="497"/>
      <c r="E1660" s="497"/>
      <c r="F1660" s="285" t="s">
        <v>1476</v>
      </c>
      <c r="G1660" s="358"/>
      <c r="H1660" s="6276"/>
      <c r="I1660" s="9582" t="s">
        <v>141</v>
      </c>
      <c r="J1660" s="9583"/>
      <c r="K1660" s="285" t="s">
        <v>559</v>
      </c>
      <c r="L1660" s="7113">
        <v>0</v>
      </c>
      <c r="M1660" s="7295"/>
      <c r="N1660" s="7117">
        <v>0</v>
      </c>
      <c r="O1660" s="7414"/>
      <c r="P1660" s="7177">
        <v>0</v>
      </c>
      <c r="Q1660" s="7375"/>
      <c r="R1660" s="6664" t="s">
        <v>31</v>
      </c>
      <c r="S1660" s="6577"/>
      <c r="T1660" s="498"/>
      <c r="U1660" s="367"/>
      <c r="V1660" s="508"/>
      <c r="W1660" s="547"/>
      <c r="X1660" s="547"/>
      <c r="Y1660" s="162"/>
      <c r="Z1660" s="277"/>
      <c r="AA1660" s="265"/>
      <c r="AB1660" s="982"/>
    </row>
    <row r="1661" spans="1:30" ht="20.100000000000001" customHeight="1">
      <c r="A1661" s="11"/>
      <c r="B1661" s="1360"/>
      <c r="C1661" s="357" t="s">
        <v>143</v>
      </c>
      <c r="D1661" s="497"/>
      <c r="E1661" s="497"/>
      <c r="F1661" s="285" t="s">
        <v>1476</v>
      </c>
      <c r="G1661" s="358"/>
      <c r="H1661" s="6275"/>
      <c r="I1661" s="9582" t="s">
        <v>144</v>
      </c>
      <c r="J1661" s="9583"/>
      <c r="K1661" s="285" t="s">
        <v>559</v>
      </c>
      <c r="L1661" s="7172"/>
      <c r="M1661" s="7295"/>
      <c r="N1661" s="7178"/>
      <c r="O1661" s="7414"/>
      <c r="P1661" s="7199"/>
      <c r="Q1661" s="7375"/>
      <c r="R1661" s="6664" t="s">
        <v>1995</v>
      </c>
      <c r="S1661" s="6577"/>
      <c r="T1661" s="498"/>
      <c r="U1661" s="367"/>
      <c r="V1661" s="508"/>
      <c r="W1661" s="547"/>
      <c r="X1661" s="547"/>
      <c r="Y1661" s="162"/>
      <c r="Z1661" s="277"/>
      <c r="AA1661" s="265"/>
      <c r="AB1661" s="982"/>
    </row>
    <row r="1662" spans="1:30" ht="20.100000000000001" customHeight="1">
      <c r="A1662" s="11"/>
      <c r="B1662" s="1360"/>
      <c r="C1662" s="357" t="s">
        <v>146</v>
      </c>
      <c r="D1662" s="497"/>
      <c r="E1662" s="497"/>
      <c r="F1662" s="285" t="s">
        <v>1476</v>
      </c>
      <c r="G1662" s="358"/>
      <c r="H1662" s="6276"/>
      <c r="I1662" s="9582" t="s">
        <v>147</v>
      </c>
      <c r="J1662" s="9583"/>
      <c r="K1662" s="285" t="s">
        <v>559</v>
      </c>
      <c r="L1662" s="7172"/>
      <c r="M1662" s="7295"/>
      <c r="N1662" s="7178"/>
      <c r="O1662" s="7414"/>
      <c r="P1662" s="7199"/>
      <c r="Q1662" s="7375"/>
      <c r="R1662" s="6664" t="s">
        <v>1995</v>
      </c>
      <c r="S1662" s="6577"/>
      <c r="T1662" s="498"/>
      <c r="U1662" s="367"/>
      <c r="V1662" s="508"/>
      <c r="W1662" s="547"/>
      <c r="X1662" s="547"/>
      <c r="Y1662" s="162"/>
      <c r="Z1662" s="277"/>
      <c r="AA1662" s="265"/>
      <c r="AB1662" s="982"/>
    </row>
    <row r="1663" spans="1:30" ht="20.100000000000001" customHeight="1">
      <c r="A1663" s="11"/>
      <c r="B1663" s="1360"/>
      <c r="C1663" s="357" t="s">
        <v>149</v>
      </c>
      <c r="D1663" s="497"/>
      <c r="E1663" s="497"/>
      <c r="F1663" s="285" t="s">
        <v>1476</v>
      </c>
      <c r="G1663" s="358"/>
      <c r="H1663" s="6275"/>
      <c r="I1663" s="9582" t="s">
        <v>150</v>
      </c>
      <c r="J1663" s="9583"/>
      <c r="K1663" s="285" t="s">
        <v>559</v>
      </c>
      <c r="L1663" s="7172"/>
      <c r="M1663" s="7295"/>
      <c r="N1663" s="7178"/>
      <c r="O1663" s="7414"/>
      <c r="P1663" s="7199"/>
      <c r="Q1663" s="7375"/>
      <c r="R1663" s="6664" t="s">
        <v>1995</v>
      </c>
      <c r="S1663" s="6577"/>
      <c r="T1663" s="498"/>
      <c r="U1663" s="367"/>
      <c r="V1663" s="508"/>
      <c r="W1663" s="547"/>
      <c r="X1663" s="547"/>
      <c r="Y1663" s="162"/>
      <c r="Z1663" s="277"/>
      <c r="AA1663" s="265"/>
      <c r="AB1663" s="982"/>
    </row>
    <row r="1664" spans="1:30" ht="20.100000000000001" customHeight="1">
      <c r="A1664" s="11"/>
      <c r="B1664" s="1360"/>
      <c r="C1664" s="5762" t="s">
        <v>1722</v>
      </c>
      <c r="D1664" s="5762"/>
      <c r="E1664" s="5763"/>
      <c r="F1664" s="5766" t="s">
        <v>557</v>
      </c>
      <c r="G1664" s="5770"/>
      <c r="H1664" s="5769" t="s">
        <v>1723</v>
      </c>
      <c r="I1664" s="5770"/>
      <c r="J1664" s="5770"/>
      <c r="K1664" s="5766" t="s">
        <v>559</v>
      </c>
      <c r="L1664" s="7111" t="str">
        <f>IF(COUNTBLANK(L1665:L1670)&gt;0,"미취합법인有",SUM(L1665:L1670))</f>
        <v>미취합법인有</v>
      </c>
      <c r="M1664" s="7279"/>
      <c r="N1664" s="7115" t="str">
        <f>IF(COUNTBLANK(N1665:N1670)&gt;0,"미취합법인有",SUM(N1665:N1670))</f>
        <v>미취합법인有</v>
      </c>
      <c r="O1664" s="7385"/>
      <c r="P1664" s="7121" t="str">
        <f>IF(COUNTBLANK(P1665:P1670)&gt;0,"미취합법인有",SUM(P1665:P1670))</f>
        <v>미취합법인有</v>
      </c>
      <c r="Q1664" s="7492"/>
      <c r="R1664" s="7066" t="s">
        <v>1996</v>
      </c>
      <c r="S1664" s="7067"/>
      <c r="T1664" s="7008" t="s">
        <v>1724</v>
      </c>
      <c r="U1664" s="276" t="s">
        <v>1725</v>
      </c>
      <c r="V1664" s="162" t="s">
        <v>1726</v>
      </c>
      <c r="W1664" s="547"/>
      <c r="X1664" s="547"/>
      <c r="Y1664" s="162"/>
      <c r="Z1664" s="265"/>
      <c r="AA1664" s="265" t="s">
        <v>1678</v>
      </c>
      <c r="AB1664" s="982"/>
    </row>
    <row r="1665" spans="1:29" ht="20.100000000000001" customHeight="1">
      <c r="A1665" s="11"/>
      <c r="B1665" s="1360"/>
      <c r="C1665" s="491" t="s">
        <v>1716</v>
      </c>
      <c r="D1665" s="497"/>
      <c r="E1665" s="497"/>
      <c r="F1665" s="285" t="s">
        <v>1476</v>
      </c>
      <c r="G1665" s="358"/>
      <c r="H1665" s="6133" t="s">
        <v>135</v>
      </c>
      <c r="I1665" s="6135"/>
      <c r="J1665" s="6134"/>
      <c r="K1665" s="105" t="s">
        <v>559</v>
      </c>
      <c r="L1665" s="7113">
        <v>0</v>
      </c>
      <c r="M1665" s="7295"/>
      <c r="N1665" s="7117">
        <v>0</v>
      </c>
      <c r="O1665" s="7414"/>
      <c r="P1665" s="7177">
        <v>0</v>
      </c>
      <c r="Q1665" s="7375"/>
      <c r="R1665" s="6664" t="s">
        <v>1995</v>
      </c>
      <c r="S1665" s="6577"/>
      <c r="T1665" s="2468"/>
      <c r="U1665" s="276"/>
      <c r="V1665" s="162"/>
      <c r="W1665" s="547"/>
      <c r="X1665" s="547"/>
      <c r="Y1665" s="162"/>
      <c r="Z1665" s="265"/>
      <c r="AA1665" s="265"/>
      <c r="AB1665" s="982"/>
    </row>
    <row r="1666" spans="1:29" ht="20.100000000000001" customHeight="1">
      <c r="A1666" s="11"/>
      <c r="B1666" s="1360"/>
      <c r="C1666" s="491" t="s">
        <v>1717</v>
      </c>
      <c r="D1666" s="497"/>
      <c r="E1666" s="497"/>
      <c r="F1666" s="285" t="s">
        <v>1476</v>
      </c>
      <c r="G1666" s="358"/>
      <c r="H1666" s="6133" t="s">
        <v>138</v>
      </c>
      <c r="I1666" s="6135"/>
      <c r="J1666" s="6134"/>
      <c r="K1666" s="105" t="s">
        <v>559</v>
      </c>
      <c r="L1666" s="7113">
        <v>0</v>
      </c>
      <c r="M1666" s="7295"/>
      <c r="N1666" s="7131">
        <v>0</v>
      </c>
      <c r="O1666" s="7414"/>
      <c r="P1666" s="7177">
        <v>0</v>
      </c>
      <c r="Q1666" s="7375"/>
      <c r="R1666" s="6664" t="s">
        <v>1995</v>
      </c>
      <c r="S1666" s="6577"/>
      <c r="T1666" s="2468"/>
      <c r="U1666" s="276"/>
      <c r="V1666" s="162"/>
      <c r="W1666" s="547"/>
      <c r="X1666" s="547"/>
      <c r="Y1666" s="162"/>
      <c r="Z1666" s="265"/>
      <c r="AA1666" s="265"/>
      <c r="AB1666" s="982"/>
    </row>
    <row r="1667" spans="1:29" ht="20.100000000000001" customHeight="1">
      <c r="A1667" s="11"/>
      <c r="B1667" s="1360"/>
      <c r="C1667" s="491" t="s">
        <v>1718</v>
      </c>
      <c r="D1667" s="497"/>
      <c r="E1667" s="497"/>
      <c r="F1667" s="285" t="s">
        <v>1476</v>
      </c>
      <c r="G1667" s="358"/>
      <c r="H1667" s="267" t="s">
        <v>141</v>
      </c>
      <c r="I1667" s="6280"/>
      <c r="J1667" s="268"/>
      <c r="K1667" s="105" t="s">
        <v>559</v>
      </c>
      <c r="L1667" s="7113">
        <v>0</v>
      </c>
      <c r="M1667" s="7295"/>
      <c r="N1667" s="7117">
        <v>0</v>
      </c>
      <c r="O1667" s="7414"/>
      <c r="P1667" s="7177">
        <v>0</v>
      </c>
      <c r="Q1667" s="7375"/>
      <c r="R1667" s="6664" t="s">
        <v>1995</v>
      </c>
      <c r="S1667" s="6577"/>
      <c r="T1667" s="2468"/>
      <c r="U1667" s="276"/>
      <c r="V1667" s="162"/>
      <c r="W1667" s="547"/>
      <c r="X1667" s="547"/>
      <c r="Y1667" s="162"/>
      <c r="Z1667" s="265"/>
      <c r="AA1667" s="265"/>
      <c r="AB1667" s="982"/>
    </row>
    <row r="1668" spans="1:29" ht="20.100000000000001" customHeight="1">
      <c r="A1668" s="11"/>
      <c r="B1668" s="1360"/>
      <c r="C1668" s="491" t="s">
        <v>1719</v>
      </c>
      <c r="D1668" s="497"/>
      <c r="E1668" s="497"/>
      <c r="F1668" s="285" t="s">
        <v>1476</v>
      </c>
      <c r="G1668" s="358"/>
      <c r="H1668" s="267" t="s">
        <v>144</v>
      </c>
      <c r="I1668" s="6280"/>
      <c r="J1668" s="268"/>
      <c r="K1668" s="105" t="s">
        <v>559</v>
      </c>
      <c r="L1668" s="7172"/>
      <c r="M1668" s="7295"/>
      <c r="N1668" s="7178"/>
      <c r="O1668" s="7414"/>
      <c r="P1668" s="7179"/>
      <c r="Q1668" s="7375"/>
      <c r="R1668" s="6664" t="s">
        <v>1995</v>
      </c>
      <c r="S1668" s="6577"/>
      <c r="T1668" s="2468"/>
      <c r="U1668" s="276"/>
      <c r="V1668" s="162"/>
      <c r="W1668" s="547"/>
      <c r="X1668" s="547"/>
      <c r="Y1668" s="162"/>
      <c r="Z1668" s="265"/>
      <c r="AA1668" s="265"/>
      <c r="AB1668" s="982"/>
    </row>
    <row r="1669" spans="1:29" ht="20.100000000000001" customHeight="1">
      <c r="A1669" s="11"/>
      <c r="B1669" s="1360"/>
      <c r="C1669" s="491" t="s">
        <v>146</v>
      </c>
      <c r="D1669" s="497"/>
      <c r="E1669" s="497"/>
      <c r="F1669" s="285" t="s">
        <v>1476</v>
      </c>
      <c r="G1669" s="358"/>
      <c r="H1669" s="267" t="s">
        <v>147</v>
      </c>
      <c r="I1669" s="6280"/>
      <c r="J1669" s="268"/>
      <c r="K1669" s="105" t="s">
        <v>559</v>
      </c>
      <c r="L1669" s="7172"/>
      <c r="M1669" s="7295"/>
      <c r="N1669" s="7178"/>
      <c r="O1669" s="7414"/>
      <c r="P1669" s="7179"/>
      <c r="Q1669" s="7375"/>
      <c r="R1669" s="6664" t="s">
        <v>1995</v>
      </c>
      <c r="S1669" s="6577"/>
      <c r="T1669" s="2468"/>
      <c r="U1669" s="276"/>
      <c r="V1669" s="162"/>
      <c r="W1669" s="547"/>
      <c r="X1669" s="547"/>
      <c r="Y1669" s="162"/>
      <c r="Z1669" s="265"/>
      <c r="AA1669" s="265"/>
      <c r="AB1669" s="982"/>
    </row>
    <row r="1670" spans="1:29" ht="20.100000000000001" customHeight="1">
      <c r="A1670" s="11"/>
      <c r="B1670" s="1360"/>
      <c r="C1670" s="491" t="s">
        <v>149</v>
      </c>
      <c r="D1670" s="497"/>
      <c r="E1670" s="497"/>
      <c r="F1670" s="285" t="s">
        <v>1476</v>
      </c>
      <c r="G1670" s="358"/>
      <c r="H1670" s="267" t="s">
        <v>150</v>
      </c>
      <c r="I1670" s="6280"/>
      <c r="J1670" s="268"/>
      <c r="K1670" s="105" t="s">
        <v>559</v>
      </c>
      <c r="L1670" s="7172"/>
      <c r="M1670" s="7295"/>
      <c r="N1670" s="7178"/>
      <c r="O1670" s="7414"/>
      <c r="P1670" s="7179"/>
      <c r="Q1670" s="7375"/>
      <c r="R1670" s="6664" t="s">
        <v>1995</v>
      </c>
      <c r="S1670" s="6577"/>
      <c r="T1670" s="2468"/>
      <c r="U1670" s="276"/>
      <c r="V1670" s="162"/>
      <c r="W1670" s="547"/>
      <c r="X1670" s="547"/>
      <c r="Y1670" s="162"/>
      <c r="Z1670" s="265"/>
      <c r="AA1670" s="265"/>
      <c r="AB1670" s="982"/>
    </row>
    <row r="1671" spans="1:29" s="139" customFormat="1" ht="20.100000000000001" customHeight="1">
      <c r="B1671" s="1360"/>
      <c r="C1671" s="5762" t="s">
        <v>1727</v>
      </c>
      <c r="D1671" s="5762"/>
      <c r="E1671" s="5763"/>
      <c r="F1671" s="5766" t="s">
        <v>156</v>
      </c>
      <c r="G1671" s="5770"/>
      <c r="H1671" s="5769" t="s">
        <v>1728</v>
      </c>
      <c r="I1671" s="5770"/>
      <c r="J1671" s="5770"/>
      <c r="K1671" s="5766" t="s">
        <v>156</v>
      </c>
      <c r="L1671" s="7016">
        <f>IF(COUNTBLANK(L1672:L1677)&gt;0,"미취합법인有",AVERAGE(L1672:L1677))</f>
        <v>98.399209177294324</v>
      </c>
      <c r="M1671" s="7026"/>
      <c r="N1671" s="7001">
        <f>IF(COUNTBLANK(N1672:N1677)&gt;0,"미취합법인有",AVERAGE(N1672:N1677))</f>
        <v>99.6875</v>
      </c>
      <c r="O1671" s="7384"/>
      <c r="P1671" s="7002">
        <f>IF(COUNTBLANK(P1672:P1677)&gt;0,"미취합법인有",AVERAGE(P1672:P1677))</f>
        <v>99.652777777777786</v>
      </c>
      <c r="Q1671" s="7029"/>
      <c r="R1671" s="7010" t="s">
        <v>1997</v>
      </c>
      <c r="S1671" s="7068" t="s">
        <v>1998</v>
      </c>
      <c r="T1671" s="7069" t="s">
        <v>1729</v>
      </c>
      <c r="U1671" s="1202" t="s">
        <v>1730</v>
      </c>
      <c r="V1671" s="508" t="s">
        <v>1731</v>
      </c>
      <c r="W1671" s="547"/>
      <c r="X1671" s="547"/>
      <c r="Y1671" s="162"/>
      <c r="Z1671" s="265" t="s">
        <v>1732</v>
      </c>
      <c r="AA1671" s="265"/>
      <c r="AB1671" s="982"/>
      <c r="AC1671" s="6301"/>
    </row>
    <row r="1672" spans="1:29" s="139" customFormat="1" ht="20.100000000000001" customHeight="1">
      <c r="B1672" s="1360"/>
      <c r="C1672" s="924" t="s">
        <v>1716</v>
      </c>
      <c r="D1672" s="1313"/>
      <c r="E1672" s="1313"/>
      <c r="F1672" s="285" t="s">
        <v>154</v>
      </c>
      <c r="G1672" s="1223"/>
      <c r="H1672" s="6133" t="s">
        <v>135</v>
      </c>
      <c r="I1672" s="6135"/>
      <c r="J1672" s="6134"/>
      <c r="K1672" s="105" t="s">
        <v>154</v>
      </c>
      <c r="L1672" s="6765">
        <f>L1679/L1686*100</f>
        <v>99.899193548387103</v>
      </c>
      <c r="M1672" s="7320"/>
      <c r="N1672" s="6843">
        <f>N1679/N1686*100</f>
        <v>100</v>
      </c>
      <c r="O1672" s="7415"/>
      <c r="P1672" s="6958">
        <f>P1679/P1686*100</f>
        <v>100</v>
      </c>
      <c r="Q1672" s="7493"/>
      <c r="R1672" s="6680" t="s">
        <v>1997</v>
      </c>
      <c r="S1672" s="6614"/>
      <c r="T1672" s="2492"/>
      <c r="U1672" s="1202"/>
      <c r="V1672" s="508"/>
      <c r="W1672" s="547"/>
      <c r="X1672" s="547"/>
      <c r="Y1672" s="162"/>
      <c r="Z1672" s="265"/>
      <c r="AA1672" s="265"/>
      <c r="AB1672" s="982"/>
      <c r="AC1672" s="6301"/>
    </row>
    <row r="1673" spans="1:29" s="139" customFormat="1" ht="20.100000000000001" customHeight="1">
      <c r="B1673" s="1360"/>
      <c r="C1673" s="924" t="s">
        <v>1717</v>
      </c>
      <c r="D1673" s="1313"/>
      <c r="E1673" s="1313"/>
      <c r="F1673" s="285" t="s">
        <v>154</v>
      </c>
      <c r="G1673" s="1223"/>
      <c r="H1673" s="6133" t="s">
        <v>138</v>
      </c>
      <c r="I1673" s="6135"/>
      <c r="J1673" s="6134"/>
      <c r="K1673" s="105" t="s">
        <v>154</v>
      </c>
      <c r="L1673" s="6765">
        <f>L1680/L1687*100</f>
        <v>96.899224806201545</v>
      </c>
      <c r="M1673" s="7301"/>
      <c r="N1673" s="6843">
        <f>N1680/N1687*100</f>
        <v>99.375</v>
      </c>
      <c r="O1673" s="7416"/>
      <c r="P1673" s="6958">
        <f>P1680/P1687*100</f>
        <v>98.958333333333343</v>
      </c>
      <c r="Q1673" s="7493"/>
      <c r="R1673" s="6680" t="s">
        <v>1997</v>
      </c>
      <c r="S1673" s="6614"/>
      <c r="T1673" s="2492"/>
      <c r="U1673" s="1202"/>
      <c r="V1673" s="508"/>
      <c r="W1673" s="547"/>
      <c r="X1673" s="547"/>
      <c r="Y1673" s="162"/>
      <c r="Z1673" s="265"/>
      <c r="AA1673" s="265"/>
      <c r="AB1673" s="982"/>
      <c r="AC1673" s="6301"/>
    </row>
    <row r="1674" spans="1:29" s="139" customFormat="1" ht="20.100000000000001" customHeight="1">
      <c r="B1674" s="1360"/>
      <c r="C1674" s="924" t="s">
        <v>1718</v>
      </c>
      <c r="D1674" s="1313"/>
      <c r="E1674" s="1313"/>
      <c r="F1674" s="285" t="s">
        <v>154</v>
      </c>
      <c r="G1674" s="1223"/>
      <c r="H1674" s="267" t="s">
        <v>141</v>
      </c>
      <c r="I1674" s="6280"/>
      <c r="J1674" s="268"/>
      <c r="K1674" s="105" t="s">
        <v>154</v>
      </c>
      <c r="L1674" s="6800" t="s">
        <v>168</v>
      </c>
      <c r="M1674" s="7301"/>
      <c r="N1674" s="6873" t="s">
        <v>168</v>
      </c>
      <c r="O1674" s="7416"/>
      <c r="P1674" s="6958">
        <f>P1681/P1688*100</f>
        <v>100</v>
      </c>
      <c r="Q1674" s="7493"/>
      <c r="R1674" s="6680" t="s">
        <v>1997</v>
      </c>
      <c r="S1674" s="6614"/>
      <c r="T1674" s="2492"/>
      <c r="U1674" s="1202"/>
      <c r="V1674" s="508"/>
      <c r="W1674" s="547"/>
      <c r="X1674" s="547"/>
      <c r="Y1674" s="162"/>
      <c r="Z1674" s="265"/>
      <c r="AA1674" s="265"/>
      <c r="AB1674" s="982"/>
      <c r="AC1674" s="6301"/>
    </row>
    <row r="1675" spans="1:29" s="139" customFormat="1" ht="20.100000000000001" customHeight="1">
      <c r="B1675" s="1360"/>
      <c r="C1675" s="924" t="s">
        <v>1719</v>
      </c>
      <c r="D1675" s="1313"/>
      <c r="E1675" s="1313"/>
      <c r="F1675" s="285" t="s">
        <v>154</v>
      </c>
      <c r="G1675" s="1223"/>
      <c r="H1675" s="267" t="s">
        <v>144</v>
      </c>
      <c r="I1675" s="6280"/>
      <c r="J1675" s="268"/>
      <c r="K1675" s="105" t="s">
        <v>154</v>
      </c>
      <c r="L1675" s="6800" t="s">
        <v>168</v>
      </c>
      <c r="M1675" s="7301"/>
      <c r="N1675" s="6873" t="s">
        <v>168</v>
      </c>
      <c r="O1675" s="7416"/>
      <c r="P1675" s="6873" t="s">
        <v>168</v>
      </c>
      <c r="Q1675" s="7493"/>
      <c r="R1675" s="6680" t="s">
        <v>1997</v>
      </c>
      <c r="S1675" s="6614"/>
      <c r="T1675" s="2492"/>
      <c r="U1675" s="1202"/>
      <c r="V1675" s="508"/>
      <c r="W1675" s="547"/>
      <c r="X1675" s="547"/>
      <c r="Y1675" s="162"/>
      <c r="Z1675" s="265"/>
      <c r="AA1675" s="265"/>
      <c r="AB1675" s="982"/>
      <c r="AC1675" s="6301"/>
    </row>
    <row r="1676" spans="1:29" s="139" customFormat="1" ht="20.100000000000001" customHeight="1">
      <c r="B1676" s="1360"/>
      <c r="C1676" s="924" t="s">
        <v>146</v>
      </c>
      <c r="D1676" s="1313"/>
      <c r="E1676" s="1313"/>
      <c r="F1676" s="285" t="s">
        <v>154</v>
      </c>
      <c r="G1676" s="1223"/>
      <c r="H1676" s="267" t="s">
        <v>147</v>
      </c>
      <c r="I1676" s="6280"/>
      <c r="J1676" s="268"/>
      <c r="K1676" s="105" t="s">
        <v>154</v>
      </c>
      <c r="L1676" s="6800" t="s">
        <v>168</v>
      </c>
      <c r="M1676" s="7301"/>
      <c r="N1676" s="6873" t="s">
        <v>168</v>
      </c>
      <c r="O1676" s="7416"/>
      <c r="P1676" s="6873" t="s">
        <v>168</v>
      </c>
      <c r="Q1676" s="7493"/>
      <c r="R1676" s="6680" t="s">
        <v>1997</v>
      </c>
      <c r="S1676" s="6614"/>
      <c r="T1676" s="2492"/>
      <c r="U1676" s="1202"/>
      <c r="V1676" s="508"/>
      <c r="W1676" s="547"/>
      <c r="X1676" s="547"/>
      <c r="Y1676" s="162"/>
      <c r="Z1676" s="265"/>
      <c r="AA1676" s="265"/>
      <c r="AB1676" s="982"/>
      <c r="AC1676" s="6301"/>
    </row>
    <row r="1677" spans="1:29" s="139" customFormat="1" ht="20.100000000000001" customHeight="1">
      <c r="B1677" s="1360"/>
      <c r="C1677" s="924" t="s">
        <v>149</v>
      </c>
      <c r="D1677" s="1313"/>
      <c r="E1677" s="1313"/>
      <c r="F1677" s="285" t="s">
        <v>154</v>
      </c>
      <c r="G1677" s="1223"/>
      <c r="H1677" s="267" t="s">
        <v>150</v>
      </c>
      <c r="I1677" s="6280"/>
      <c r="J1677" s="268"/>
      <c r="K1677" s="105" t="s">
        <v>154</v>
      </c>
      <c r="L1677" s="6800" t="s">
        <v>168</v>
      </c>
      <c r="M1677" s="7301"/>
      <c r="N1677" s="6873" t="s">
        <v>168</v>
      </c>
      <c r="O1677" s="7416"/>
      <c r="P1677" s="6873" t="s">
        <v>168</v>
      </c>
      <c r="Q1677" s="7493"/>
      <c r="R1677" s="6680" t="s">
        <v>1997</v>
      </c>
      <c r="S1677" s="6614"/>
      <c r="T1677" s="2492"/>
      <c r="U1677" s="1202"/>
      <c r="V1677" s="508"/>
      <c r="W1677" s="547"/>
      <c r="X1677" s="547"/>
      <c r="Y1677" s="162"/>
      <c r="Z1677" s="265"/>
      <c r="AA1677" s="265"/>
      <c r="AB1677" s="982"/>
      <c r="AC1677" s="6301"/>
    </row>
    <row r="1678" spans="1:29" s="139" customFormat="1" ht="20.45" customHeight="1">
      <c r="B1678" s="1360"/>
      <c r="C1678" s="1352"/>
      <c r="D1678" s="5762" t="s">
        <v>1733</v>
      </c>
      <c r="E1678" s="5763"/>
      <c r="F1678" s="5766" t="s">
        <v>742</v>
      </c>
      <c r="G1678" s="5770"/>
      <c r="H1678" s="5770"/>
      <c r="I1678" s="5770" t="s">
        <v>1734</v>
      </c>
      <c r="J1678" s="5770"/>
      <c r="K1678" s="5766" t="s">
        <v>734</v>
      </c>
      <c r="L1678" s="7111">
        <f>IF(COUNTBLANK(L1679:L1684)&gt;0,"미취합법인有",SUM(L1679:L1684))</f>
        <v>1116</v>
      </c>
      <c r="M1678" s="7279"/>
      <c r="N1678" s="7115">
        <f>IF(COUNTBLANK(N1679:N1684)&gt;0,"미취합법인有",SUM(N1679:N1684))</f>
        <v>1182</v>
      </c>
      <c r="O1678" s="7385"/>
      <c r="P1678" s="7121">
        <f>IF(COUNTBLANK(P1679:P1684)&gt;0,"미취합법인有",SUM(P1679:P1684))</f>
        <v>1975</v>
      </c>
      <c r="Q1678" s="7492"/>
      <c r="R1678" s="7066" t="s">
        <v>1808</v>
      </c>
      <c r="S1678" s="7067"/>
      <c r="T1678" s="7069" t="s">
        <v>1735</v>
      </c>
      <c r="U1678" s="367" t="s">
        <v>1736</v>
      </c>
      <c r="V1678" s="508" t="s">
        <v>1731</v>
      </c>
      <c r="W1678" s="547"/>
      <c r="X1678" s="547"/>
      <c r="Y1678" s="162"/>
      <c r="Z1678" s="265" t="s">
        <v>1732</v>
      </c>
      <c r="AA1678" s="265" t="s">
        <v>527</v>
      </c>
      <c r="AB1678" s="982"/>
      <c r="AC1678" s="6301"/>
    </row>
    <row r="1679" spans="1:29" s="139" customFormat="1" ht="20.45" customHeight="1">
      <c r="B1679" s="1546"/>
      <c r="C1679" s="5753"/>
      <c r="D1679" s="5754" t="s">
        <v>1716</v>
      </c>
      <c r="E1679" s="5755"/>
      <c r="F1679" s="997" t="s">
        <v>732</v>
      </c>
      <c r="G1679" s="6282"/>
      <c r="H1679" s="6282"/>
      <c r="I1679" s="9579" t="s">
        <v>135</v>
      </c>
      <c r="J1679" s="9581"/>
      <c r="K1679" s="119" t="s">
        <v>734</v>
      </c>
      <c r="L1679" s="7180">
        <v>991</v>
      </c>
      <c r="M1679" s="7321"/>
      <c r="N1679" s="7140">
        <v>1023</v>
      </c>
      <c r="O1679" s="7394"/>
      <c r="P1679" s="7182">
        <v>1035</v>
      </c>
      <c r="Q1679" s="7469"/>
      <c r="R1679" s="7747" t="s">
        <v>1808</v>
      </c>
      <c r="S1679" s="6579"/>
      <c r="T1679" s="5760"/>
      <c r="U1679" s="1164"/>
      <c r="V1679" s="5761"/>
      <c r="W1679" s="1101"/>
      <c r="X1679" s="1102"/>
      <c r="Y1679" s="165"/>
      <c r="Z1679" s="265"/>
      <c r="AA1679" s="265"/>
      <c r="AB1679" s="982"/>
      <c r="AC1679" s="6301"/>
    </row>
    <row r="1680" spans="1:29" s="139" customFormat="1" ht="20.45" customHeight="1">
      <c r="B1680" s="1546"/>
      <c r="C1680" s="5753"/>
      <c r="D1680" s="5754" t="s">
        <v>1717</v>
      </c>
      <c r="E1680" s="5755"/>
      <c r="F1680" s="997" t="s">
        <v>732</v>
      </c>
      <c r="G1680" s="6282"/>
      <c r="H1680" s="6282"/>
      <c r="I1680" s="9579" t="s">
        <v>138</v>
      </c>
      <c r="J1680" s="9581"/>
      <c r="K1680" s="119" t="s">
        <v>734</v>
      </c>
      <c r="L1680" s="7180">
        <v>125</v>
      </c>
      <c r="M1680" s="7321"/>
      <c r="N1680" s="7140">
        <v>159</v>
      </c>
      <c r="O1680" s="7394"/>
      <c r="P1680" s="7182">
        <v>190</v>
      </c>
      <c r="Q1680" s="7469"/>
      <c r="R1680" s="7747" t="s">
        <v>1808</v>
      </c>
      <c r="S1680" s="6579"/>
      <c r="T1680" s="5760"/>
      <c r="U1680" s="1164"/>
      <c r="V1680" s="5761"/>
      <c r="W1680" s="1101"/>
      <c r="X1680" s="1102"/>
      <c r="Y1680" s="165"/>
      <c r="Z1680" s="265"/>
      <c r="AA1680" s="265"/>
      <c r="AB1680" s="982"/>
      <c r="AC1680" s="6301"/>
    </row>
    <row r="1681" spans="1:31" s="139" customFormat="1" ht="20.45" customHeight="1">
      <c r="B1681" s="1546"/>
      <c r="C1681" s="5753"/>
      <c r="D1681" s="5754" t="s">
        <v>1718</v>
      </c>
      <c r="E1681" s="5755"/>
      <c r="F1681" s="6249" t="s">
        <v>732</v>
      </c>
      <c r="G1681" s="6621"/>
      <c r="H1681" s="6282"/>
      <c r="I1681" s="9582" t="s">
        <v>144</v>
      </c>
      <c r="J1681" s="9583"/>
      <c r="K1681" s="119" t="s">
        <v>734</v>
      </c>
      <c r="L1681" s="7183" t="s">
        <v>168</v>
      </c>
      <c r="M1681" s="7321"/>
      <c r="N1681" s="7140" t="s">
        <v>168</v>
      </c>
      <c r="O1681" s="7394"/>
      <c r="P1681" s="7182">
        <v>750</v>
      </c>
      <c r="Q1681" s="7469"/>
      <c r="R1681" s="7747" t="s">
        <v>1808</v>
      </c>
      <c r="S1681" s="6579"/>
      <c r="T1681" s="5760"/>
      <c r="U1681" s="1164"/>
      <c r="V1681" s="5761"/>
      <c r="W1681" s="1101"/>
      <c r="X1681" s="1102"/>
      <c r="Y1681" s="165"/>
      <c r="Z1681" s="265"/>
      <c r="AA1681" s="265"/>
      <c r="AB1681" s="982"/>
      <c r="AC1681" s="6301"/>
    </row>
    <row r="1682" spans="1:31" s="139" customFormat="1" ht="20.45" customHeight="1">
      <c r="B1682" s="1546"/>
      <c r="C1682" s="5753"/>
      <c r="D1682" s="5754" t="s">
        <v>1719</v>
      </c>
      <c r="E1682" s="5755"/>
      <c r="F1682" s="6249" t="s">
        <v>732</v>
      </c>
      <c r="G1682" s="6621"/>
      <c r="H1682" s="6282"/>
      <c r="I1682" s="9582" t="s">
        <v>144</v>
      </c>
      <c r="J1682" s="9583"/>
      <c r="K1682" s="119" t="s">
        <v>734</v>
      </c>
      <c r="L1682" s="7183" t="s">
        <v>168</v>
      </c>
      <c r="M1682" s="7321"/>
      <c r="N1682" s="7140" t="s">
        <v>168</v>
      </c>
      <c r="O1682" s="7394"/>
      <c r="P1682" s="7140" t="s">
        <v>168</v>
      </c>
      <c r="Q1682" s="7469"/>
      <c r="R1682" s="7747" t="s">
        <v>1808</v>
      </c>
      <c r="S1682" s="6579"/>
      <c r="T1682" s="5760"/>
      <c r="U1682" s="1164"/>
      <c r="V1682" s="5761"/>
      <c r="W1682" s="1101"/>
      <c r="X1682" s="1102"/>
      <c r="Y1682" s="165"/>
      <c r="Z1682" s="265"/>
      <c r="AA1682" s="265"/>
      <c r="AB1682" s="982"/>
      <c r="AC1682" s="6301"/>
    </row>
    <row r="1683" spans="1:31" s="139" customFormat="1" ht="20.45" customHeight="1">
      <c r="B1683" s="1546"/>
      <c r="C1683" s="5753"/>
      <c r="D1683" s="5754" t="s">
        <v>146</v>
      </c>
      <c r="E1683" s="5755"/>
      <c r="F1683" s="6249" t="s">
        <v>732</v>
      </c>
      <c r="G1683" s="6621"/>
      <c r="H1683" s="6282"/>
      <c r="I1683" s="9582" t="s">
        <v>147</v>
      </c>
      <c r="J1683" s="9583"/>
      <c r="K1683" s="119" t="s">
        <v>734</v>
      </c>
      <c r="L1683" s="7183" t="s">
        <v>168</v>
      </c>
      <c r="M1683" s="7321"/>
      <c r="N1683" s="7140" t="s">
        <v>168</v>
      </c>
      <c r="O1683" s="7394"/>
      <c r="P1683" s="7140" t="s">
        <v>168</v>
      </c>
      <c r="Q1683" s="7469"/>
      <c r="R1683" s="7747" t="s">
        <v>1808</v>
      </c>
      <c r="S1683" s="6579"/>
      <c r="T1683" s="5760"/>
      <c r="U1683" s="1164"/>
      <c r="V1683" s="5761"/>
      <c r="W1683" s="1101"/>
      <c r="X1683" s="1102"/>
      <c r="Y1683" s="165"/>
      <c r="Z1683" s="265"/>
      <c r="AA1683" s="265"/>
      <c r="AB1683" s="982"/>
      <c r="AC1683" s="6301"/>
    </row>
    <row r="1684" spans="1:31" s="139" customFormat="1" ht="20.45" customHeight="1">
      <c r="B1684" s="1546"/>
      <c r="C1684" s="5753"/>
      <c r="D1684" s="5754" t="s">
        <v>149</v>
      </c>
      <c r="E1684" s="5755"/>
      <c r="F1684" s="6130" t="s">
        <v>732</v>
      </c>
      <c r="G1684" s="6621"/>
      <c r="H1684" s="6282"/>
      <c r="I1684" s="9582" t="s">
        <v>150</v>
      </c>
      <c r="J1684" s="9583"/>
      <c r="K1684" s="119" t="s">
        <v>734</v>
      </c>
      <c r="L1684" s="7183" t="s">
        <v>168</v>
      </c>
      <c r="M1684" s="7322"/>
      <c r="N1684" s="7140" t="s">
        <v>168</v>
      </c>
      <c r="O1684" s="7417"/>
      <c r="P1684" s="7140" t="s">
        <v>168</v>
      </c>
      <c r="Q1684" s="7469"/>
      <c r="R1684" s="7747" t="s">
        <v>1808</v>
      </c>
      <c r="S1684" s="6579"/>
      <c r="T1684" s="5760"/>
      <c r="U1684" s="1164"/>
      <c r="V1684" s="5761"/>
      <c r="W1684" s="1101"/>
      <c r="X1684" s="1102"/>
      <c r="Y1684" s="165"/>
      <c r="Z1684" s="265"/>
      <c r="AA1684" s="265"/>
      <c r="AB1684" s="982"/>
      <c r="AC1684" s="6301"/>
    </row>
    <row r="1685" spans="1:31" s="139" customFormat="1" ht="34.15" customHeight="1">
      <c r="B1685" s="1546"/>
      <c r="C1685" s="5753"/>
      <c r="D1685" s="9924" t="s">
        <v>1999</v>
      </c>
      <c r="E1685" s="9925"/>
      <c r="F1685" s="5766" t="s">
        <v>742</v>
      </c>
      <c r="G1685" s="5767"/>
      <c r="H1685" s="5769"/>
      <c r="I1685" s="5609" t="s">
        <v>1738</v>
      </c>
      <c r="J1685" s="5609"/>
      <c r="K1685" s="5766" t="s">
        <v>734</v>
      </c>
      <c r="L1685" s="7136">
        <f>IF(COUNTBLANK(L1686:L1691)&gt;0,"미취합법인有",SUM(L1686:L1691))</f>
        <v>1121</v>
      </c>
      <c r="M1685" s="7323"/>
      <c r="N1685" s="7119">
        <f>IF(COUNTBLANK(N1686:N1691)&gt;0,"미취합법인有",SUM(N1686:N1691))</f>
        <v>1183</v>
      </c>
      <c r="O1685" s="7323"/>
      <c r="P1685" s="7119">
        <f>IF(COUNTBLANK(P1686:P1691)&gt;0,"미취합법인有",SUM(P1686:P1691))</f>
        <v>1977</v>
      </c>
      <c r="Q1685" s="7492"/>
      <c r="R1685" s="7070" t="s">
        <v>1808</v>
      </c>
      <c r="S1685" s="7071"/>
      <c r="T1685" s="7072" t="s">
        <v>1739</v>
      </c>
      <c r="U1685" s="1164" t="s">
        <v>1740</v>
      </c>
      <c r="V1685" s="5761" t="s">
        <v>1731</v>
      </c>
      <c r="W1685" s="1101"/>
      <c r="X1685" s="1102"/>
      <c r="Y1685" s="165"/>
      <c r="Z1685" s="265" t="s">
        <v>1732</v>
      </c>
      <c r="AA1685" s="265"/>
      <c r="AB1685" s="982"/>
      <c r="AC1685" s="6301"/>
    </row>
    <row r="1686" spans="1:31" s="139" customFormat="1" ht="20.45" customHeight="1">
      <c r="B1686" s="1546"/>
      <c r="C1686" s="5753"/>
      <c r="D1686" s="5754" t="s">
        <v>1716</v>
      </c>
      <c r="E1686" s="5755"/>
      <c r="F1686" s="6624" t="s">
        <v>732</v>
      </c>
      <c r="G1686" s="6621"/>
      <c r="H1686" s="6282"/>
      <c r="I1686" s="9579" t="s">
        <v>135</v>
      </c>
      <c r="J1686" s="9581"/>
      <c r="K1686" s="5833" t="s">
        <v>734</v>
      </c>
      <c r="L1686" s="7180">
        <v>992</v>
      </c>
      <c r="M1686" s="7321"/>
      <c r="N1686" s="7140">
        <v>1023</v>
      </c>
      <c r="O1686" s="7418"/>
      <c r="P1686" s="7184">
        <v>1035</v>
      </c>
      <c r="Q1686" s="7375"/>
      <c r="R1686" s="5174" t="s">
        <v>1808</v>
      </c>
      <c r="S1686" s="6608"/>
      <c r="T1686" s="276"/>
      <c r="U1686" s="367"/>
      <c r="V1686" s="508"/>
      <c r="W1686" s="547"/>
      <c r="X1686" s="547"/>
      <c r="Y1686" s="165"/>
      <c r="Z1686" s="265"/>
      <c r="AA1686" s="265"/>
      <c r="AB1686" s="982"/>
      <c r="AC1686" s="6301"/>
    </row>
    <row r="1687" spans="1:31" s="139" customFormat="1" ht="20.45" customHeight="1">
      <c r="B1687" s="1546"/>
      <c r="C1687" s="5753"/>
      <c r="D1687" s="5754" t="s">
        <v>1717</v>
      </c>
      <c r="E1687" s="5755"/>
      <c r="F1687" s="6624" t="s">
        <v>732</v>
      </c>
      <c r="G1687" s="6622"/>
      <c r="H1687" s="6127"/>
      <c r="I1687" s="9579" t="s">
        <v>138</v>
      </c>
      <c r="J1687" s="9581"/>
      <c r="K1687" s="5833" t="s">
        <v>734</v>
      </c>
      <c r="L1687" s="7181">
        <v>129</v>
      </c>
      <c r="M1687" s="7321"/>
      <c r="N1687" s="7140">
        <v>160</v>
      </c>
      <c r="O1687" s="7394"/>
      <c r="P1687" s="7182">
        <v>192</v>
      </c>
      <c r="Q1687" s="7469"/>
      <c r="R1687" s="7748" t="s">
        <v>1808</v>
      </c>
      <c r="S1687" s="6615"/>
      <c r="T1687" s="276"/>
      <c r="U1687" s="367"/>
      <c r="V1687" s="508"/>
      <c r="W1687" s="547"/>
      <c r="X1687" s="547"/>
      <c r="Y1687" s="165"/>
      <c r="Z1687" s="265"/>
      <c r="AA1687" s="265"/>
      <c r="AB1687" s="982"/>
      <c r="AC1687" s="6301"/>
    </row>
    <row r="1688" spans="1:31" s="139" customFormat="1" ht="20.45" customHeight="1">
      <c r="B1688" s="1546"/>
      <c r="C1688" s="5753"/>
      <c r="D1688" s="5754" t="s">
        <v>1718</v>
      </c>
      <c r="E1688" s="5755"/>
      <c r="F1688" s="6624" t="s">
        <v>732</v>
      </c>
      <c r="G1688" s="6622"/>
      <c r="H1688" s="6127"/>
      <c r="I1688" s="9582" t="s">
        <v>141</v>
      </c>
      <c r="J1688" s="9583"/>
      <c r="K1688" s="5833" t="s">
        <v>734</v>
      </c>
      <c r="L1688" s="7183" t="s">
        <v>168</v>
      </c>
      <c r="M1688" s="7321"/>
      <c r="N1688" s="7140" t="s">
        <v>168</v>
      </c>
      <c r="O1688" s="7394"/>
      <c r="P1688" s="7182">
        <v>750</v>
      </c>
      <c r="Q1688" s="7469"/>
      <c r="R1688" s="7748" t="s">
        <v>1808</v>
      </c>
      <c r="S1688" s="6615"/>
      <c r="T1688" s="276"/>
      <c r="U1688" s="367"/>
      <c r="V1688" s="508"/>
      <c r="W1688" s="547"/>
      <c r="X1688" s="547"/>
      <c r="Y1688" s="165"/>
      <c r="Z1688" s="265"/>
      <c r="AA1688" s="265"/>
      <c r="AB1688" s="982"/>
      <c r="AC1688" s="6301"/>
    </row>
    <row r="1689" spans="1:31" s="139" customFormat="1" ht="20.45" customHeight="1">
      <c r="B1689" s="1546"/>
      <c r="C1689" s="5753"/>
      <c r="D1689" s="5754" t="s">
        <v>1719</v>
      </c>
      <c r="E1689" s="5755"/>
      <c r="F1689" s="6624" t="s">
        <v>732</v>
      </c>
      <c r="G1689" s="6622"/>
      <c r="H1689" s="6127"/>
      <c r="I1689" s="9582" t="s">
        <v>144</v>
      </c>
      <c r="J1689" s="9583"/>
      <c r="K1689" s="5833" t="s">
        <v>734</v>
      </c>
      <c r="L1689" s="7183" t="s">
        <v>168</v>
      </c>
      <c r="M1689" s="7321"/>
      <c r="N1689" s="7140" t="s">
        <v>168</v>
      </c>
      <c r="O1689" s="7394"/>
      <c r="P1689" s="7140" t="s">
        <v>168</v>
      </c>
      <c r="Q1689" s="7469"/>
      <c r="R1689" s="7748" t="s">
        <v>1808</v>
      </c>
      <c r="S1689" s="6615"/>
      <c r="T1689" s="276"/>
      <c r="U1689" s="367"/>
      <c r="V1689" s="508"/>
      <c r="W1689" s="547"/>
      <c r="X1689" s="547"/>
      <c r="Y1689" s="165"/>
      <c r="Z1689" s="265"/>
      <c r="AA1689" s="265"/>
      <c r="AB1689" s="982"/>
      <c r="AC1689" s="6301"/>
    </row>
    <row r="1690" spans="1:31" s="139" customFormat="1" ht="20.45" customHeight="1">
      <c r="B1690" s="1546"/>
      <c r="C1690" s="5753"/>
      <c r="D1690" s="5754" t="s">
        <v>146</v>
      </c>
      <c r="E1690" s="5755"/>
      <c r="F1690" s="6624" t="s">
        <v>732</v>
      </c>
      <c r="G1690" s="6622"/>
      <c r="H1690" s="6127"/>
      <c r="I1690" s="9582" t="s">
        <v>147</v>
      </c>
      <c r="J1690" s="9583"/>
      <c r="K1690" s="5833" t="s">
        <v>734</v>
      </c>
      <c r="L1690" s="7183" t="s">
        <v>168</v>
      </c>
      <c r="M1690" s="7321"/>
      <c r="N1690" s="7140" t="s">
        <v>168</v>
      </c>
      <c r="O1690" s="7394"/>
      <c r="P1690" s="7140" t="s">
        <v>168</v>
      </c>
      <c r="Q1690" s="7469"/>
      <c r="R1690" s="7748" t="s">
        <v>1808</v>
      </c>
      <c r="S1690" s="6615"/>
      <c r="T1690" s="276"/>
      <c r="U1690" s="367"/>
      <c r="V1690" s="508"/>
      <c r="W1690" s="547"/>
      <c r="X1690" s="547"/>
      <c r="Y1690" s="165"/>
      <c r="Z1690" s="265"/>
      <c r="AA1690" s="265"/>
      <c r="AB1690" s="982"/>
      <c r="AC1690" s="6301"/>
    </row>
    <row r="1691" spans="1:31" s="139" customFormat="1" ht="20.45" customHeight="1" thickBot="1">
      <c r="B1691" s="1361"/>
      <c r="C1691" s="1326"/>
      <c r="D1691" s="5764" t="s">
        <v>149</v>
      </c>
      <c r="E1691" s="5765"/>
      <c r="F1691" s="6625" t="s">
        <v>732</v>
      </c>
      <c r="G1691" s="6623"/>
      <c r="H1691" s="6128"/>
      <c r="I1691" s="9589" t="s">
        <v>150</v>
      </c>
      <c r="J1691" s="9590"/>
      <c r="K1691" s="5834" t="s">
        <v>734</v>
      </c>
      <c r="L1691" s="7185" t="s">
        <v>168</v>
      </c>
      <c r="M1691" s="7324"/>
      <c r="N1691" s="7186" t="s">
        <v>168</v>
      </c>
      <c r="O1691" s="7419"/>
      <c r="P1691" s="7186" t="s">
        <v>168</v>
      </c>
      <c r="Q1691" s="7494"/>
      <c r="R1691" s="7749" t="s">
        <v>1808</v>
      </c>
      <c r="S1691" s="6620"/>
      <c r="T1691" s="1271"/>
      <c r="U1691" s="1179"/>
      <c r="V1691" s="6129"/>
      <c r="W1691" s="597"/>
      <c r="X1691" s="597"/>
      <c r="Y1691" s="1338"/>
      <c r="Z1691" s="1339"/>
      <c r="AA1691" s="6322"/>
      <c r="AB1691" s="1341"/>
      <c r="AC1691" s="6301"/>
    </row>
    <row r="1692" spans="1:31" ht="27" thickBot="1">
      <c r="A1692" s="11"/>
      <c r="B1692" s="123" t="s">
        <v>1396</v>
      </c>
      <c r="C1692" s="124"/>
      <c r="D1692" s="124"/>
      <c r="E1692" s="124"/>
      <c r="F1692" s="124"/>
      <c r="G1692" s="598" t="s">
        <v>1397</v>
      </c>
      <c r="H1692" s="124"/>
      <c r="I1692" s="126"/>
      <c r="J1692" s="126"/>
      <c r="K1692" s="78"/>
      <c r="L1692" s="6812"/>
      <c r="M1692" s="5600"/>
      <c r="N1692" s="6898"/>
      <c r="O1692" s="5600"/>
      <c r="P1692" s="6898"/>
      <c r="Q1692" s="5600"/>
      <c r="R1692" s="5600"/>
      <c r="S1692" s="5600"/>
      <c r="T1692" s="80"/>
      <c r="U1692" s="80"/>
      <c r="V1692" s="129"/>
      <c r="W1692" s="129"/>
      <c r="X1692" s="129"/>
      <c r="Y1692" s="129"/>
      <c r="Z1692" s="328"/>
      <c r="AA1692" s="328"/>
      <c r="AB1692" s="1006"/>
    </row>
    <row r="1693" spans="1:31" ht="20.100000000000001" customHeight="1">
      <c r="A1693" s="11"/>
      <c r="B1693" s="1360"/>
      <c r="C1693" s="9656" t="s">
        <v>1403</v>
      </c>
      <c r="D1693" s="9587"/>
      <c r="E1693" s="9588"/>
      <c r="F1693" s="7076" t="s">
        <v>1404</v>
      </c>
      <c r="G1693" s="6697"/>
      <c r="H1693" s="9586" t="s">
        <v>1405</v>
      </c>
      <c r="I1693" s="9587"/>
      <c r="J1693" s="9588"/>
      <c r="K1693" s="7076" t="s">
        <v>1406</v>
      </c>
      <c r="L1693" s="6970"/>
      <c r="M1693" s="7026"/>
      <c r="N1693" s="7001"/>
      <c r="O1693" s="7384"/>
      <c r="P1693" s="7002"/>
      <c r="Q1693" s="7029"/>
      <c r="R1693" s="6994" t="s">
        <v>31</v>
      </c>
      <c r="S1693" s="7046"/>
      <c r="T1693" s="7027" t="s">
        <v>1407</v>
      </c>
      <c r="U1693" s="1033" t="s">
        <v>1408</v>
      </c>
      <c r="V1693" s="1034" t="s">
        <v>189</v>
      </c>
      <c r="W1693" s="878"/>
      <c r="X1693" s="878"/>
      <c r="Y1693" s="1034"/>
      <c r="Z1693" s="277" t="s">
        <v>1409</v>
      </c>
      <c r="AA1693" s="265"/>
      <c r="AB1693" s="982"/>
      <c r="AD1693" s="139" t="s">
        <v>1410</v>
      </c>
      <c r="AE1693" s="6442" t="s">
        <v>1411</v>
      </c>
    </row>
    <row r="1694" spans="1:31" ht="18.75" customHeight="1">
      <c r="A1694" s="11"/>
      <c r="B1694" s="1360"/>
      <c r="C1694" s="9647" t="s">
        <v>134</v>
      </c>
      <c r="D1694" s="9648"/>
      <c r="E1694" s="9649"/>
      <c r="F1694" s="1007" t="s">
        <v>1404</v>
      </c>
      <c r="G1694" s="666"/>
      <c r="H1694" s="9579" t="s">
        <v>135</v>
      </c>
      <c r="I1694" s="9580"/>
      <c r="J1694" s="9581"/>
      <c r="K1694" s="5629" t="s">
        <v>1406</v>
      </c>
      <c r="L1694" s="6753">
        <v>1.59</v>
      </c>
      <c r="M1694" s="7256"/>
      <c r="N1694" s="6842">
        <v>2.86</v>
      </c>
      <c r="O1694" s="7423"/>
      <c r="P1694" s="6842">
        <v>5.07</v>
      </c>
      <c r="Q1694" s="7356"/>
      <c r="R1694" s="6658" t="s">
        <v>31</v>
      </c>
      <c r="S1694" s="6557"/>
      <c r="T1694" s="2468"/>
      <c r="U1694" s="544"/>
      <c r="V1694" s="545"/>
      <c r="W1694" s="546"/>
      <c r="X1694" s="547"/>
      <c r="Y1694" s="548"/>
      <c r="Z1694" s="277"/>
      <c r="AA1694" s="277"/>
      <c r="AB1694" s="187"/>
      <c r="AE1694" s="6443"/>
    </row>
    <row r="1695" spans="1:31" ht="20.100000000000001" customHeight="1">
      <c r="A1695" s="11"/>
      <c r="B1695" s="1360"/>
      <c r="C1695" s="9647" t="s">
        <v>137</v>
      </c>
      <c r="D1695" s="9648"/>
      <c r="E1695" s="9649"/>
      <c r="F1695" s="492" t="s">
        <v>1412</v>
      </c>
      <c r="G1695" s="666"/>
      <c r="H1695" s="9579" t="s">
        <v>138</v>
      </c>
      <c r="I1695" s="9580"/>
      <c r="J1695" s="9581"/>
      <c r="K1695" s="5629" t="s">
        <v>1406</v>
      </c>
      <c r="L1695" s="6753">
        <v>0</v>
      </c>
      <c r="M1695" s="7256"/>
      <c r="N1695" s="6842">
        <v>0</v>
      </c>
      <c r="O1695" s="7423"/>
      <c r="P1695" s="6936">
        <v>0</v>
      </c>
      <c r="Q1695" s="7356"/>
      <c r="R1695" s="6658" t="s">
        <v>31</v>
      </c>
      <c r="S1695" s="6557"/>
      <c r="T1695" s="2468"/>
      <c r="U1695" s="544"/>
      <c r="V1695" s="545"/>
      <c r="W1695" s="546"/>
      <c r="X1695" s="547"/>
      <c r="Y1695" s="548"/>
      <c r="Z1695" s="277"/>
      <c r="AA1695" s="277"/>
      <c r="AB1695" s="187"/>
      <c r="AE1695" s="6443"/>
    </row>
    <row r="1696" spans="1:31" ht="20.100000000000001" customHeight="1">
      <c r="A1696" s="11"/>
      <c r="B1696" s="1360"/>
      <c r="C1696" s="9647" t="s">
        <v>140</v>
      </c>
      <c r="D1696" s="9648"/>
      <c r="E1696" s="9649"/>
      <c r="F1696" s="492" t="s">
        <v>1412</v>
      </c>
      <c r="G1696" s="666"/>
      <c r="H1696" s="9579" t="s">
        <v>141</v>
      </c>
      <c r="I1696" s="9580"/>
      <c r="J1696" s="9581"/>
      <c r="K1696" s="5629" t="s">
        <v>1406</v>
      </c>
      <c r="L1696" s="6753">
        <v>0</v>
      </c>
      <c r="M1696" s="7256"/>
      <c r="N1696" s="6842">
        <v>0</v>
      </c>
      <c r="O1696" s="7423"/>
      <c r="P1696" s="6936">
        <v>0</v>
      </c>
      <c r="Q1696" s="7356"/>
      <c r="R1696" s="6658" t="s">
        <v>31</v>
      </c>
      <c r="S1696" s="6557"/>
      <c r="T1696" s="2468"/>
      <c r="U1696" s="544"/>
      <c r="V1696" s="545"/>
      <c r="W1696" s="546"/>
      <c r="X1696" s="547"/>
      <c r="Y1696" s="548"/>
      <c r="Z1696" s="277"/>
      <c r="AA1696" s="277"/>
      <c r="AB1696" s="187"/>
      <c r="AE1696" s="6442" t="s">
        <v>1411</v>
      </c>
    </row>
    <row r="1697" spans="1:31" ht="20.100000000000001" customHeight="1">
      <c r="A1697" s="11"/>
      <c r="B1697" s="1360"/>
      <c r="C1697" s="9647" t="s">
        <v>143</v>
      </c>
      <c r="D1697" s="9648"/>
      <c r="E1697" s="9649"/>
      <c r="F1697" s="492" t="s">
        <v>1412</v>
      </c>
      <c r="G1697" s="666"/>
      <c r="H1697" s="9579" t="s">
        <v>144</v>
      </c>
      <c r="I1697" s="9580"/>
      <c r="J1697" s="9581"/>
      <c r="K1697" s="5629" t="s">
        <v>1406</v>
      </c>
      <c r="L1697" s="6753">
        <v>0</v>
      </c>
      <c r="M1697" s="7256"/>
      <c r="N1697" s="6838">
        <v>0</v>
      </c>
      <c r="O1697" s="7423"/>
      <c r="P1697" s="6936">
        <v>0</v>
      </c>
      <c r="Q1697" s="7356"/>
      <c r="R1697" s="6658" t="s">
        <v>31</v>
      </c>
      <c r="S1697" s="6557"/>
      <c r="T1697" s="2468"/>
      <c r="U1697" s="544"/>
      <c r="V1697" s="545"/>
      <c r="W1697" s="546"/>
      <c r="X1697" s="547"/>
      <c r="Y1697" s="548"/>
      <c r="Z1697" s="277"/>
      <c r="AA1697" s="277"/>
      <c r="AB1697" s="187"/>
      <c r="AE1697" s="6442" t="s">
        <v>1411</v>
      </c>
    </row>
    <row r="1698" spans="1:31" ht="20.100000000000001" customHeight="1">
      <c r="A1698" s="11"/>
      <c r="B1698" s="1360"/>
      <c r="C1698" s="9647" t="s">
        <v>146</v>
      </c>
      <c r="D1698" s="9648"/>
      <c r="E1698" s="9649"/>
      <c r="F1698" s="492" t="s">
        <v>1412</v>
      </c>
      <c r="G1698" s="666"/>
      <c r="H1698" s="9579" t="s">
        <v>147</v>
      </c>
      <c r="I1698" s="9580"/>
      <c r="J1698" s="9581"/>
      <c r="K1698" s="5629" t="s">
        <v>1406</v>
      </c>
      <c r="L1698" s="6753">
        <v>0</v>
      </c>
      <c r="M1698" s="7256"/>
      <c r="N1698" s="6838">
        <v>0</v>
      </c>
      <c r="O1698" s="7423"/>
      <c r="P1698" s="6936">
        <v>0</v>
      </c>
      <c r="Q1698" s="7356"/>
      <c r="R1698" s="6658" t="s">
        <v>31</v>
      </c>
      <c r="S1698" s="6557"/>
      <c r="T1698" s="2468"/>
      <c r="U1698" s="544"/>
      <c r="V1698" s="545"/>
      <c r="W1698" s="546"/>
      <c r="X1698" s="547"/>
      <c r="Y1698" s="548"/>
      <c r="Z1698" s="277"/>
      <c r="AA1698" s="277"/>
      <c r="AB1698" s="187"/>
      <c r="AE1698" s="6442" t="s">
        <v>1411</v>
      </c>
    </row>
    <row r="1699" spans="1:31" ht="20.100000000000001" customHeight="1" thickBot="1">
      <c r="A1699" s="11"/>
      <c r="B1699" s="1360"/>
      <c r="C1699" s="9647" t="s">
        <v>149</v>
      </c>
      <c r="D1699" s="9648"/>
      <c r="E1699" s="9649"/>
      <c r="F1699" s="492" t="s">
        <v>1412</v>
      </c>
      <c r="G1699" s="666"/>
      <c r="H1699" s="9579" t="s">
        <v>150</v>
      </c>
      <c r="I1699" s="9580"/>
      <c r="J1699" s="9581"/>
      <c r="K1699" s="5629" t="s">
        <v>1406</v>
      </c>
      <c r="L1699" s="6753">
        <v>0</v>
      </c>
      <c r="M1699" s="7256"/>
      <c r="N1699" s="6838">
        <v>0</v>
      </c>
      <c r="O1699" s="7423"/>
      <c r="P1699" s="6936">
        <v>0</v>
      </c>
      <c r="Q1699" s="7356"/>
      <c r="R1699" s="6658" t="s">
        <v>31</v>
      </c>
      <c r="S1699" s="6557"/>
      <c r="T1699" s="2468"/>
      <c r="U1699" s="544"/>
      <c r="V1699" s="545"/>
      <c r="W1699" s="546"/>
      <c r="X1699" s="547"/>
      <c r="Y1699" s="548"/>
      <c r="Z1699" s="277"/>
      <c r="AA1699" s="277"/>
      <c r="AB1699" s="187"/>
      <c r="AE1699" s="6442" t="s">
        <v>1411</v>
      </c>
    </row>
    <row r="1700" spans="1:31" ht="20.100000000000001" customHeight="1">
      <c r="A1700" s="11"/>
      <c r="B1700" s="1360"/>
      <c r="C1700" s="9656" t="s">
        <v>1398</v>
      </c>
      <c r="D1700" s="9587"/>
      <c r="E1700" s="9588"/>
      <c r="F1700" s="7076" t="s">
        <v>233</v>
      </c>
      <c r="G1700" s="7077"/>
      <c r="H1700" s="9586" t="s">
        <v>1399</v>
      </c>
      <c r="I1700" s="9587"/>
      <c r="J1700" s="9588"/>
      <c r="K1700" s="7078" t="s">
        <v>295</v>
      </c>
      <c r="L1700" s="6970">
        <f>IF(COUNTBLANK(L1701:L1706)&gt;0,"미취합법인有",SUM(L1701:L1706))</f>
        <v>0</v>
      </c>
      <c r="M1700" s="7026"/>
      <c r="N1700" s="7001">
        <f>IF(COUNTBLANK(N1701:N1706)&gt;0,"미취합법인有",SUM(N1701:N1706))</f>
        <v>0</v>
      </c>
      <c r="O1700" s="7424"/>
      <c r="P1700" s="7002">
        <f>IF(COUNTBLANK(P1701:P1706)&gt;0,"미취합법인有",SUM(P1701:P1706))</f>
        <v>0</v>
      </c>
      <c r="Q1700" s="7029"/>
      <c r="R1700" s="6994" t="s">
        <v>155</v>
      </c>
      <c r="S1700" s="7007"/>
      <c r="T1700" s="7008" t="s">
        <v>1400</v>
      </c>
      <c r="U1700" s="276" t="s">
        <v>1401</v>
      </c>
      <c r="V1700" s="162" t="s">
        <v>189</v>
      </c>
      <c r="W1700" s="547"/>
      <c r="X1700" s="547"/>
      <c r="Y1700" s="299" t="s">
        <v>193</v>
      </c>
      <c r="Z1700" s="277" t="s">
        <v>1402</v>
      </c>
      <c r="AA1700" s="277"/>
      <c r="AB1700" s="982"/>
    </row>
    <row r="1701" spans="1:31" ht="20.100000000000001" customHeight="1">
      <c r="A1701" s="11"/>
      <c r="B1701" s="1360"/>
      <c r="C1701" s="9647" t="s">
        <v>134</v>
      </c>
      <c r="D1701" s="9648"/>
      <c r="E1701" s="9649"/>
      <c r="F1701" s="1007" t="s">
        <v>233</v>
      </c>
      <c r="G1701" s="666"/>
      <c r="H1701" s="9579" t="s">
        <v>135</v>
      </c>
      <c r="I1701" s="9580"/>
      <c r="J1701" s="9581"/>
      <c r="K1701" s="492" t="s">
        <v>295</v>
      </c>
      <c r="L1701" s="6764" t="s">
        <v>168</v>
      </c>
      <c r="M1701" s="7249"/>
      <c r="N1701" s="6842" t="s">
        <v>168</v>
      </c>
      <c r="O1701" s="7377"/>
      <c r="P1701" s="6826" t="s">
        <v>168</v>
      </c>
      <c r="Q1701" s="7356"/>
      <c r="R1701" s="6658" t="s">
        <v>155</v>
      </c>
      <c r="S1701" s="6557" t="s">
        <v>2000</v>
      </c>
      <c r="T1701" s="2468"/>
      <c r="U1701" s="544"/>
      <c r="V1701" s="545"/>
      <c r="W1701" s="546"/>
      <c r="X1701" s="547"/>
      <c r="Y1701" s="299" t="s">
        <v>193</v>
      </c>
      <c r="Z1701" s="277"/>
      <c r="AA1701" s="277"/>
      <c r="AB1701" s="187"/>
    </row>
    <row r="1702" spans="1:31" ht="20.100000000000001" customHeight="1">
      <c r="A1702" s="11"/>
      <c r="B1702" s="1360"/>
      <c r="C1702" s="9647" t="s">
        <v>137</v>
      </c>
      <c r="D1702" s="9648"/>
      <c r="E1702" s="9649"/>
      <c r="F1702" s="1007" t="s">
        <v>233</v>
      </c>
      <c r="G1702" s="666"/>
      <c r="H1702" s="9579" t="s">
        <v>138</v>
      </c>
      <c r="I1702" s="9580"/>
      <c r="J1702" s="9581"/>
      <c r="K1702" s="492" t="s">
        <v>295</v>
      </c>
      <c r="L1702" s="6764" t="s">
        <v>168</v>
      </c>
      <c r="M1702" s="7249"/>
      <c r="N1702" s="6842" t="s">
        <v>168</v>
      </c>
      <c r="O1702" s="7377"/>
      <c r="P1702" s="6826" t="s">
        <v>168</v>
      </c>
      <c r="Q1702" s="7356"/>
      <c r="R1702" s="6658" t="s">
        <v>155</v>
      </c>
      <c r="S1702" s="6557"/>
      <c r="T1702" s="2468"/>
      <c r="U1702" s="544"/>
      <c r="V1702" s="545"/>
      <c r="W1702" s="546"/>
      <c r="X1702" s="547"/>
      <c r="Y1702" s="299" t="s">
        <v>193</v>
      </c>
      <c r="Z1702" s="277"/>
      <c r="AA1702" s="277"/>
      <c r="AB1702" s="187"/>
    </row>
    <row r="1703" spans="1:31" ht="20.100000000000001" customHeight="1">
      <c r="A1703" s="11"/>
      <c r="B1703" s="1360"/>
      <c r="C1703" s="9647" t="s">
        <v>140</v>
      </c>
      <c r="D1703" s="9648"/>
      <c r="E1703" s="9649"/>
      <c r="F1703" s="1007" t="s">
        <v>233</v>
      </c>
      <c r="G1703" s="666"/>
      <c r="H1703" s="9579" t="s">
        <v>141</v>
      </c>
      <c r="I1703" s="9580"/>
      <c r="J1703" s="9581"/>
      <c r="K1703" s="492" t="s">
        <v>295</v>
      </c>
      <c r="L1703" s="6764" t="s">
        <v>168</v>
      </c>
      <c r="M1703" s="7249"/>
      <c r="N1703" s="6842" t="s">
        <v>168</v>
      </c>
      <c r="O1703" s="7377"/>
      <c r="P1703" s="6826" t="s">
        <v>168</v>
      </c>
      <c r="Q1703" s="7356"/>
      <c r="R1703" s="6658" t="s">
        <v>155</v>
      </c>
      <c r="S1703" s="6557"/>
      <c r="T1703" s="2468"/>
      <c r="U1703" s="544"/>
      <c r="V1703" s="545"/>
      <c r="W1703" s="546"/>
      <c r="X1703" s="547"/>
      <c r="Y1703" s="299" t="s">
        <v>193</v>
      </c>
      <c r="Z1703" s="277"/>
      <c r="AA1703" s="277"/>
      <c r="AB1703" s="187"/>
    </row>
    <row r="1704" spans="1:31" ht="20.100000000000001" customHeight="1">
      <c r="A1704" s="11"/>
      <c r="B1704" s="1360"/>
      <c r="C1704" s="9647" t="s">
        <v>143</v>
      </c>
      <c r="D1704" s="9648"/>
      <c r="E1704" s="9649"/>
      <c r="F1704" s="1007" t="s">
        <v>233</v>
      </c>
      <c r="G1704" s="666"/>
      <c r="H1704" s="9579" t="s">
        <v>144</v>
      </c>
      <c r="I1704" s="9580"/>
      <c r="J1704" s="9581"/>
      <c r="K1704" s="492" t="s">
        <v>295</v>
      </c>
      <c r="L1704" s="6764" t="s">
        <v>168</v>
      </c>
      <c r="M1704" s="7249"/>
      <c r="N1704" s="6842" t="s">
        <v>168</v>
      </c>
      <c r="O1704" s="7377"/>
      <c r="P1704" s="6826" t="s">
        <v>168</v>
      </c>
      <c r="Q1704" s="7356"/>
      <c r="R1704" s="6658" t="s">
        <v>155</v>
      </c>
      <c r="S1704" s="6557"/>
      <c r="T1704" s="2468"/>
      <c r="U1704" s="544"/>
      <c r="V1704" s="545"/>
      <c r="W1704" s="546"/>
      <c r="X1704" s="547"/>
      <c r="Y1704" s="299" t="s">
        <v>193</v>
      </c>
      <c r="Z1704" s="277"/>
      <c r="AA1704" s="277"/>
      <c r="AB1704" s="187"/>
    </row>
    <row r="1705" spans="1:31" ht="20.100000000000001" customHeight="1">
      <c r="A1705" s="11"/>
      <c r="B1705" s="1360"/>
      <c r="C1705" s="9647" t="s">
        <v>146</v>
      </c>
      <c r="D1705" s="9648"/>
      <c r="E1705" s="9649"/>
      <c r="F1705" s="1007" t="s">
        <v>233</v>
      </c>
      <c r="G1705" s="666"/>
      <c r="H1705" s="9579" t="s">
        <v>147</v>
      </c>
      <c r="I1705" s="9580"/>
      <c r="J1705" s="9581"/>
      <c r="K1705" s="492" t="s">
        <v>295</v>
      </c>
      <c r="L1705" s="6764" t="s">
        <v>168</v>
      </c>
      <c r="M1705" s="7249"/>
      <c r="N1705" s="6842" t="s">
        <v>168</v>
      </c>
      <c r="O1705" s="7377"/>
      <c r="P1705" s="6826" t="s">
        <v>168</v>
      </c>
      <c r="Q1705" s="7356"/>
      <c r="R1705" s="6658" t="s">
        <v>155</v>
      </c>
      <c r="S1705" s="6557"/>
      <c r="T1705" s="2468"/>
      <c r="U1705" s="544"/>
      <c r="V1705" s="545"/>
      <c r="W1705" s="546"/>
      <c r="X1705" s="547"/>
      <c r="Y1705" s="299" t="s">
        <v>193</v>
      </c>
      <c r="Z1705" s="277"/>
      <c r="AA1705" s="277"/>
      <c r="AB1705" s="187"/>
    </row>
    <row r="1706" spans="1:31" ht="20.100000000000001" customHeight="1">
      <c r="A1706" s="11"/>
      <c r="B1706" s="1360"/>
      <c r="C1706" s="9647" t="s">
        <v>149</v>
      </c>
      <c r="D1706" s="9648"/>
      <c r="E1706" s="9649"/>
      <c r="F1706" s="1007" t="s">
        <v>233</v>
      </c>
      <c r="G1706" s="666"/>
      <c r="H1706" s="9579" t="s">
        <v>150</v>
      </c>
      <c r="I1706" s="9580"/>
      <c r="J1706" s="9581"/>
      <c r="K1706" s="492" t="s">
        <v>295</v>
      </c>
      <c r="L1706" s="6764" t="s">
        <v>168</v>
      </c>
      <c r="M1706" s="7249"/>
      <c r="N1706" s="6842" t="s">
        <v>168</v>
      </c>
      <c r="O1706" s="7382"/>
      <c r="P1706" s="6826" t="s">
        <v>168</v>
      </c>
      <c r="Q1706" s="7356"/>
      <c r="R1706" s="6658" t="s">
        <v>155</v>
      </c>
      <c r="S1706" s="6557"/>
      <c r="T1706" s="2468"/>
      <c r="U1706" s="544"/>
      <c r="V1706" s="545"/>
      <c r="W1706" s="546"/>
      <c r="X1706" s="547"/>
      <c r="Y1706" s="299" t="s">
        <v>193</v>
      </c>
      <c r="Z1706" s="277"/>
      <c r="AA1706" s="277"/>
      <c r="AB1706" s="187"/>
    </row>
    <row r="1707" spans="1:31" ht="20.100000000000001" customHeight="1">
      <c r="A1707" s="11"/>
      <c r="B1707" s="1360"/>
      <c r="C1707" s="9656" t="s">
        <v>1413</v>
      </c>
      <c r="D1707" s="9587"/>
      <c r="E1707" s="9588"/>
      <c r="F1707" s="6683" t="s">
        <v>628</v>
      </c>
      <c r="G1707" s="6697"/>
      <c r="H1707" s="9586" t="s">
        <v>1414</v>
      </c>
      <c r="I1707" s="9587"/>
      <c r="J1707" s="9588"/>
      <c r="K1707" s="6695" t="s">
        <v>128</v>
      </c>
      <c r="L1707" s="6970"/>
      <c r="M1707" s="7026"/>
      <c r="N1707" s="7001"/>
      <c r="O1707" s="7424"/>
      <c r="P1707" s="7002"/>
      <c r="Q1707" s="7029"/>
      <c r="R1707" s="6994" t="s">
        <v>31</v>
      </c>
      <c r="S1707" s="7007"/>
      <c r="T1707" s="7008" t="s">
        <v>2001</v>
      </c>
      <c r="U1707" s="276"/>
      <c r="V1707" s="162" t="s">
        <v>1415</v>
      </c>
      <c r="W1707" s="547"/>
      <c r="X1707" s="547"/>
      <c r="Y1707" s="162"/>
      <c r="Z1707" s="277"/>
      <c r="AA1707" s="277" t="s">
        <v>1416</v>
      </c>
      <c r="AB1707" s="982"/>
      <c r="AD1707" s="139" t="s">
        <v>1417</v>
      </c>
    </row>
    <row r="1708" spans="1:31" ht="20.100000000000001" customHeight="1">
      <c r="A1708" s="11"/>
      <c r="B1708" s="1360"/>
      <c r="C1708" s="9647" t="s">
        <v>134</v>
      </c>
      <c r="D1708" s="9648"/>
      <c r="E1708" s="9649"/>
      <c r="F1708" s="285" t="s">
        <v>33</v>
      </c>
      <c r="G1708" s="666"/>
      <c r="H1708" s="9579" t="s">
        <v>135</v>
      </c>
      <c r="I1708" s="9580"/>
      <c r="J1708" s="9581"/>
      <c r="K1708" s="5833" t="s">
        <v>35</v>
      </c>
      <c r="L1708" s="6753">
        <f>CGV국내!R372</f>
        <v>0</v>
      </c>
      <c r="M1708" s="7256"/>
      <c r="N1708" s="6842">
        <f>CGV국내!T372</f>
        <v>0</v>
      </c>
      <c r="O1708" s="7423"/>
      <c r="P1708" s="6826">
        <f>CGV국내!V372</f>
        <v>0</v>
      </c>
      <c r="Q1708" s="7356"/>
      <c r="R1708" s="6658" t="s">
        <v>31</v>
      </c>
      <c r="S1708" s="6557"/>
      <c r="T1708" s="2468"/>
      <c r="U1708" s="544"/>
      <c r="V1708" s="545"/>
      <c r="W1708" s="546"/>
      <c r="X1708" s="547"/>
      <c r="Y1708" s="548"/>
      <c r="Z1708" s="277"/>
      <c r="AA1708" s="277"/>
      <c r="AB1708" s="187"/>
    </row>
    <row r="1709" spans="1:31" ht="20.100000000000001" customHeight="1">
      <c r="A1709" s="11"/>
      <c r="B1709" s="1360"/>
      <c r="C1709" s="9647" t="s">
        <v>137</v>
      </c>
      <c r="D1709" s="9648"/>
      <c r="E1709" s="9649"/>
      <c r="F1709" s="285" t="s">
        <v>33</v>
      </c>
      <c r="G1709" s="666"/>
      <c r="H1709" s="9579" t="s">
        <v>138</v>
      </c>
      <c r="I1709" s="9580"/>
      <c r="J1709" s="9581"/>
      <c r="K1709" s="5833" t="s">
        <v>35</v>
      </c>
      <c r="L1709" s="6764" t="s">
        <v>168</v>
      </c>
      <c r="M1709" s="7249"/>
      <c r="N1709" s="6842" t="s">
        <v>168</v>
      </c>
      <c r="O1709" s="7377"/>
      <c r="P1709" s="6842" t="s">
        <v>168</v>
      </c>
      <c r="Q1709" s="7356"/>
      <c r="R1709" s="6658" t="s">
        <v>31</v>
      </c>
      <c r="S1709" s="6557"/>
      <c r="T1709" s="2468"/>
      <c r="U1709" s="544"/>
      <c r="V1709" s="545"/>
      <c r="W1709" s="546"/>
      <c r="X1709" s="547"/>
      <c r="Y1709" s="548"/>
      <c r="Z1709" s="277"/>
      <c r="AA1709" s="277"/>
      <c r="AB1709" s="187"/>
    </row>
    <row r="1710" spans="1:31" ht="20.100000000000001" customHeight="1">
      <c r="A1710" s="11"/>
      <c r="B1710" s="1360"/>
      <c r="C1710" s="9647" t="s">
        <v>140</v>
      </c>
      <c r="D1710" s="9648"/>
      <c r="E1710" s="9649"/>
      <c r="F1710" s="285" t="s">
        <v>272</v>
      </c>
      <c r="G1710" s="666"/>
      <c r="H1710" s="9579" t="s">
        <v>141</v>
      </c>
      <c r="I1710" s="9580"/>
      <c r="J1710" s="9581"/>
      <c r="K1710" s="132" t="s">
        <v>142</v>
      </c>
      <c r="L1710" s="6764" t="s">
        <v>168</v>
      </c>
      <c r="M1710" s="7249"/>
      <c r="N1710" s="6842" t="s">
        <v>168</v>
      </c>
      <c r="O1710" s="7377"/>
      <c r="P1710" s="6842" t="s">
        <v>168</v>
      </c>
      <c r="Q1710" s="7356"/>
      <c r="R1710" s="6658" t="s">
        <v>31</v>
      </c>
      <c r="S1710" s="6557"/>
      <c r="T1710" s="2468"/>
      <c r="U1710" s="544"/>
      <c r="V1710" s="545"/>
      <c r="W1710" s="546"/>
      <c r="X1710" s="547"/>
      <c r="Y1710" s="548"/>
      <c r="Z1710" s="277"/>
      <c r="AA1710" s="277"/>
      <c r="AB1710" s="187"/>
    </row>
    <row r="1711" spans="1:31" ht="20.100000000000001" customHeight="1">
      <c r="A1711" s="11"/>
      <c r="B1711" s="1360"/>
      <c r="C1711" s="9647" t="s">
        <v>143</v>
      </c>
      <c r="D1711" s="9648"/>
      <c r="E1711" s="9649"/>
      <c r="F1711" s="285" t="s">
        <v>630</v>
      </c>
      <c r="G1711" s="666"/>
      <c r="H1711" s="9579" t="s">
        <v>144</v>
      </c>
      <c r="I1711" s="9580"/>
      <c r="J1711" s="9581"/>
      <c r="K1711" s="132" t="s">
        <v>145</v>
      </c>
      <c r="L1711" s="6753">
        <v>500000</v>
      </c>
      <c r="M1711" s="7261" t="s">
        <v>1418</v>
      </c>
      <c r="N1711" s="6842" t="s">
        <v>168</v>
      </c>
      <c r="O1711" s="7377"/>
      <c r="P1711" s="6842" t="s">
        <v>168</v>
      </c>
      <c r="Q1711" s="7356"/>
      <c r="R1711" s="6658" t="s">
        <v>31</v>
      </c>
      <c r="S1711" s="6557"/>
      <c r="T1711" s="2468"/>
      <c r="U1711" s="544"/>
      <c r="V1711" s="545"/>
      <c r="W1711" s="546"/>
      <c r="X1711" s="547"/>
      <c r="Y1711" s="548"/>
      <c r="Z1711" s="277"/>
      <c r="AA1711" s="277"/>
      <c r="AB1711" s="187"/>
    </row>
    <row r="1712" spans="1:31" ht="20.100000000000001" customHeight="1">
      <c r="A1712" s="11"/>
      <c r="B1712" s="1360"/>
      <c r="C1712" s="9647" t="s">
        <v>146</v>
      </c>
      <c r="D1712" s="9648"/>
      <c r="E1712" s="9649"/>
      <c r="F1712" s="285" t="s">
        <v>632</v>
      </c>
      <c r="G1712" s="666"/>
      <c r="H1712" s="9579" t="s">
        <v>147</v>
      </c>
      <c r="I1712" s="9580"/>
      <c r="J1712" s="9581"/>
      <c r="K1712" s="132" t="s">
        <v>148</v>
      </c>
      <c r="L1712" s="6764" t="s">
        <v>168</v>
      </c>
      <c r="M1712" s="7249" t="s">
        <v>641</v>
      </c>
      <c r="N1712" s="6842" t="s">
        <v>168</v>
      </c>
      <c r="O1712" s="7377" t="s">
        <v>641</v>
      </c>
      <c r="P1712" s="6939" t="s">
        <v>168</v>
      </c>
      <c r="Q1712" s="7356" t="s">
        <v>641</v>
      </c>
      <c r="R1712" s="6658" t="s">
        <v>31</v>
      </c>
      <c r="S1712" s="6557"/>
      <c r="T1712" s="2468"/>
      <c r="U1712" s="544"/>
      <c r="V1712" s="545"/>
      <c r="W1712" s="546"/>
      <c r="X1712" s="547"/>
      <c r="Y1712" s="548"/>
      <c r="Z1712" s="277"/>
      <c r="AA1712" s="277"/>
      <c r="AB1712" s="187"/>
    </row>
    <row r="1713" spans="1:31" ht="20.100000000000001" customHeight="1">
      <c r="A1713" s="11"/>
      <c r="B1713" s="1360"/>
      <c r="C1713" s="9647" t="s">
        <v>149</v>
      </c>
      <c r="D1713" s="9648"/>
      <c r="E1713" s="9649"/>
      <c r="F1713" s="285" t="s">
        <v>634</v>
      </c>
      <c r="G1713" s="666"/>
      <c r="H1713" s="9579" t="s">
        <v>150</v>
      </c>
      <c r="I1713" s="9580"/>
      <c r="J1713" s="9581"/>
      <c r="K1713" s="132" t="s">
        <v>151</v>
      </c>
      <c r="L1713" s="6764" t="s">
        <v>168</v>
      </c>
      <c r="M1713" s="7249" t="s">
        <v>641</v>
      </c>
      <c r="N1713" s="6842" t="s">
        <v>168</v>
      </c>
      <c r="O1713" s="7377" t="s">
        <v>641</v>
      </c>
      <c r="P1713" s="6939" t="s">
        <v>168</v>
      </c>
      <c r="Q1713" s="7356" t="s">
        <v>641</v>
      </c>
      <c r="R1713" s="6658" t="s">
        <v>31</v>
      </c>
      <c r="S1713" s="6557"/>
      <c r="T1713" s="2468"/>
      <c r="U1713" s="544"/>
      <c r="V1713" s="545"/>
      <c r="W1713" s="546"/>
      <c r="X1713" s="547"/>
      <c r="Y1713" s="548"/>
      <c r="Z1713" s="277"/>
      <c r="AA1713" s="277"/>
      <c r="AB1713" s="187"/>
    </row>
    <row r="1714" spans="1:31" ht="20.100000000000001" customHeight="1">
      <c r="A1714" s="11"/>
      <c r="B1714" s="1360"/>
      <c r="C1714" s="9656" t="s">
        <v>2002</v>
      </c>
      <c r="D1714" s="9587"/>
      <c r="E1714" s="9588"/>
      <c r="F1714" s="7076" t="s">
        <v>1018</v>
      </c>
      <c r="G1714" s="6697"/>
      <c r="H1714" s="7079"/>
      <c r="I1714" s="5608" t="s">
        <v>1421</v>
      </c>
      <c r="J1714" s="6155"/>
      <c r="K1714" s="6683" t="s">
        <v>1020</v>
      </c>
      <c r="L1714" s="6970">
        <f>IF(COUNTBLANK(L1715:L1720)&gt;0,"미취합법인有",SUM(L1715:L1720))</f>
        <v>890</v>
      </c>
      <c r="M1714" s="7282"/>
      <c r="N1714" s="7001">
        <f>IF(COUNTBLANK(N1715:N1720)&gt;0,"미취합법인有",SUM(N1715:N1720))</f>
        <v>598</v>
      </c>
      <c r="O1714" s="7293"/>
      <c r="P1714" s="7002">
        <f>IF(COUNTBLANK(P1715:P1720)&gt;0,"미취합법인有",SUM(P1715:P1720))</f>
        <v>917</v>
      </c>
      <c r="Q1714" s="7029"/>
      <c r="R1714" s="6994" t="s">
        <v>31</v>
      </c>
      <c r="S1714" s="7007"/>
      <c r="T1714" s="7008" t="s">
        <v>1422</v>
      </c>
      <c r="U1714" s="498" t="s">
        <v>1423</v>
      </c>
      <c r="V1714" s="162" t="s">
        <v>189</v>
      </c>
      <c r="W1714" s="547"/>
      <c r="X1714" s="1047" t="s">
        <v>1424</v>
      </c>
      <c r="Y1714" s="162"/>
      <c r="Z1714" s="277" t="s">
        <v>1425</v>
      </c>
      <c r="AA1714" s="265"/>
      <c r="AB1714" s="982"/>
    </row>
    <row r="1715" spans="1:31" ht="20.100000000000001" customHeight="1">
      <c r="A1715" s="11"/>
      <c r="B1715" s="1360"/>
      <c r="C1715" s="9647" t="s">
        <v>134</v>
      </c>
      <c r="D1715" s="9648"/>
      <c r="E1715" s="9649"/>
      <c r="F1715" s="1007" t="s">
        <v>1018</v>
      </c>
      <c r="G1715" s="666"/>
      <c r="H1715" s="6256"/>
      <c r="I1715" s="9579" t="s">
        <v>135</v>
      </c>
      <c r="J1715" s="9581"/>
      <c r="K1715" s="285" t="s">
        <v>1020</v>
      </c>
      <c r="L1715" s="6794">
        <v>890</v>
      </c>
      <c r="M1715" s="7300"/>
      <c r="N1715" s="6873">
        <v>598</v>
      </c>
      <c r="O1715" s="7398"/>
      <c r="P1715" s="6946">
        <v>917</v>
      </c>
      <c r="Q1715" s="7356"/>
      <c r="R1715" s="6658" t="s">
        <v>31</v>
      </c>
      <c r="S1715" s="6557"/>
      <c r="T1715" s="2483"/>
      <c r="U1715" s="544"/>
      <c r="V1715" s="545"/>
      <c r="W1715" s="546"/>
      <c r="X1715" s="547"/>
      <c r="Y1715" s="548"/>
      <c r="Z1715" s="277"/>
      <c r="AA1715" s="277"/>
      <c r="AB1715" s="187"/>
    </row>
    <row r="1716" spans="1:31" ht="20.100000000000001" customHeight="1">
      <c r="A1716" s="11"/>
      <c r="B1716" s="1360"/>
      <c r="C1716" s="9647" t="s">
        <v>137</v>
      </c>
      <c r="D1716" s="9648"/>
      <c r="E1716" s="9649"/>
      <c r="F1716" s="1007" t="s">
        <v>1018</v>
      </c>
      <c r="G1716" s="666"/>
      <c r="H1716" s="6192"/>
      <c r="I1716" s="9579" t="s">
        <v>138</v>
      </c>
      <c r="J1716" s="9581"/>
      <c r="K1716" s="285" t="s">
        <v>1020</v>
      </c>
      <c r="L1716" s="6753">
        <v>0</v>
      </c>
      <c r="M1716" s="7320"/>
      <c r="N1716" s="6842">
        <v>0</v>
      </c>
      <c r="O1716" s="7425"/>
      <c r="P1716" s="6936">
        <v>0</v>
      </c>
      <c r="Q1716" s="7356"/>
      <c r="R1716" s="6658" t="s">
        <v>31</v>
      </c>
      <c r="S1716" s="6557"/>
      <c r="T1716" s="2483"/>
      <c r="U1716" s="544"/>
      <c r="V1716" s="545"/>
      <c r="W1716" s="546"/>
      <c r="X1716" s="547"/>
      <c r="Y1716" s="548"/>
      <c r="Z1716" s="277"/>
      <c r="AA1716" s="277"/>
      <c r="AB1716" s="187"/>
    </row>
    <row r="1717" spans="1:31" ht="20.100000000000001" customHeight="1">
      <c r="A1717" s="11"/>
      <c r="B1717" s="1360"/>
      <c r="C1717" s="9647" t="s">
        <v>140</v>
      </c>
      <c r="D1717" s="9648"/>
      <c r="E1717" s="9649"/>
      <c r="F1717" s="1007" t="s">
        <v>1018</v>
      </c>
      <c r="G1717" s="666"/>
      <c r="H1717" s="6192"/>
      <c r="I1717" s="9582" t="s">
        <v>141</v>
      </c>
      <c r="J1717" s="9583"/>
      <c r="K1717" s="285" t="s">
        <v>1020</v>
      </c>
      <c r="L1717" s="6794">
        <v>0</v>
      </c>
      <c r="M1717" s="7300"/>
      <c r="N1717" s="6873">
        <v>0</v>
      </c>
      <c r="O1717" s="7398"/>
      <c r="P1717" s="6946">
        <v>0</v>
      </c>
      <c r="Q1717" s="7356"/>
      <c r="R1717" s="6658" t="s">
        <v>31</v>
      </c>
      <c r="S1717" s="6557"/>
      <c r="T1717" s="2483"/>
      <c r="U1717" s="544"/>
      <c r="V1717" s="545"/>
      <c r="W1717" s="546"/>
      <c r="X1717" s="547"/>
      <c r="Y1717" s="548"/>
      <c r="Z1717" s="277"/>
      <c r="AA1717" s="277"/>
      <c r="AB1717" s="187"/>
    </row>
    <row r="1718" spans="1:31" ht="20.100000000000001" customHeight="1">
      <c r="A1718" s="11"/>
      <c r="B1718" s="1360"/>
      <c r="C1718" s="9647" t="s">
        <v>143</v>
      </c>
      <c r="D1718" s="9648"/>
      <c r="E1718" s="9649"/>
      <c r="F1718" s="1007" t="s">
        <v>1018</v>
      </c>
      <c r="G1718" s="666"/>
      <c r="H1718" s="6256"/>
      <c r="I1718" s="9582" t="s">
        <v>144</v>
      </c>
      <c r="J1718" s="9583"/>
      <c r="K1718" s="285" t="s">
        <v>1020</v>
      </c>
      <c r="L1718" s="6794">
        <v>0</v>
      </c>
      <c r="M1718" s="7300"/>
      <c r="N1718" s="6873">
        <v>0</v>
      </c>
      <c r="O1718" s="7398"/>
      <c r="P1718" s="6946">
        <v>0</v>
      </c>
      <c r="Q1718" s="7356"/>
      <c r="R1718" s="6658" t="s">
        <v>31</v>
      </c>
      <c r="S1718" s="6557"/>
      <c r="T1718" s="2483"/>
      <c r="U1718" s="544"/>
      <c r="V1718" s="545"/>
      <c r="W1718" s="546"/>
      <c r="X1718" s="547"/>
      <c r="Y1718" s="548"/>
      <c r="Z1718" s="277"/>
      <c r="AA1718" s="277"/>
      <c r="AB1718" s="187"/>
    </row>
    <row r="1719" spans="1:31" ht="20.100000000000001" customHeight="1">
      <c r="A1719" s="11"/>
      <c r="B1719" s="1360"/>
      <c r="C1719" s="9647" t="s">
        <v>146</v>
      </c>
      <c r="D1719" s="9648"/>
      <c r="E1719" s="9649"/>
      <c r="F1719" s="1007" t="s">
        <v>1018</v>
      </c>
      <c r="G1719" s="666"/>
      <c r="H1719" s="6192"/>
      <c r="I1719" s="9582" t="s">
        <v>147</v>
      </c>
      <c r="J1719" s="9583"/>
      <c r="K1719" s="285" t="s">
        <v>1020</v>
      </c>
      <c r="L1719" s="6794">
        <v>0</v>
      </c>
      <c r="M1719" s="7303" t="s">
        <v>1426</v>
      </c>
      <c r="N1719" s="6881">
        <v>0</v>
      </c>
      <c r="O1719" s="7402" t="s">
        <v>1426</v>
      </c>
      <c r="P1719" s="6886">
        <v>0</v>
      </c>
      <c r="Q1719" s="7356"/>
      <c r="R1719" s="6658" t="s">
        <v>31</v>
      </c>
      <c r="S1719" s="6557"/>
      <c r="T1719" s="2483"/>
      <c r="U1719" s="544"/>
      <c r="V1719" s="545"/>
      <c r="W1719" s="546"/>
      <c r="X1719" s="547"/>
      <c r="Y1719" s="548"/>
      <c r="Z1719" s="277"/>
      <c r="AA1719" s="277"/>
      <c r="AB1719" s="187"/>
    </row>
    <row r="1720" spans="1:31" ht="20.100000000000001" customHeight="1">
      <c r="A1720" s="11"/>
      <c r="B1720" s="1360"/>
      <c r="C1720" s="9647" t="s">
        <v>149</v>
      </c>
      <c r="D1720" s="9648"/>
      <c r="E1720" s="9649"/>
      <c r="F1720" s="1007" t="s">
        <v>1018</v>
      </c>
      <c r="G1720" s="666"/>
      <c r="H1720" s="6192"/>
      <c r="I1720" s="9582" t="s">
        <v>150</v>
      </c>
      <c r="J1720" s="9583"/>
      <c r="K1720" s="285" t="s">
        <v>1020</v>
      </c>
      <c r="L1720" s="6764" t="s">
        <v>168</v>
      </c>
      <c r="M1720" s="7249" t="s">
        <v>641</v>
      </c>
      <c r="N1720" s="6842" t="s">
        <v>168</v>
      </c>
      <c r="O1720" s="7377" t="s">
        <v>641</v>
      </c>
      <c r="P1720" s="6939" t="s">
        <v>168</v>
      </c>
      <c r="Q1720" s="7356" t="s">
        <v>641</v>
      </c>
      <c r="R1720" s="6658" t="s">
        <v>31</v>
      </c>
      <c r="S1720" s="6557"/>
      <c r="T1720" s="2483"/>
      <c r="U1720" s="544"/>
      <c r="V1720" s="545"/>
      <c r="W1720" s="546"/>
      <c r="X1720" s="547"/>
      <c r="Y1720" s="548"/>
      <c r="Z1720" s="277"/>
      <c r="AA1720" s="277"/>
      <c r="AB1720" s="187"/>
      <c r="AE1720" s="1377" t="s">
        <v>2003</v>
      </c>
    </row>
    <row r="1721" spans="1:31" ht="20.100000000000001" customHeight="1">
      <c r="A1721" s="11"/>
      <c r="B1721" s="1360"/>
      <c r="C1721" s="9656" t="s">
        <v>2004</v>
      </c>
      <c r="D1721" s="9587"/>
      <c r="E1721" s="9588"/>
      <c r="F1721" s="7076" t="s">
        <v>742</v>
      </c>
      <c r="G1721" s="6697"/>
      <c r="H1721" s="7080"/>
      <c r="I1721" s="9584" t="s">
        <v>1429</v>
      </c>
      <c r="J1721" s="9585"/>
      <c r="K1721" s="6683" t="s">
        <v>734</v>
      </c>
      <c r="L1721" s="7111">
        <f>IF(COUNTBLANK(L1722:L1727)&gt;0,"미취합법인有",SUM(L1722:L1727))</f>
        <v>196</v>
      </c>
      <c r="M1721" s="7279"/>
      <c r="N1721" s="7115">
        <f>IF(COUNTBLANK(N1722:N1727)&gt;0,"미취합법인有",SUM(N1722:N1727))</f>
        <v>154</v>
      </c>
      <c r="O1721" s="7293"/>
      <c r="P1721" s="7121">
        <f>IF(COUNTBLANK(P1722:P1727)&gt;0,"미취합법인有",SUM(P1722:P1727))</f>
        <v>175</v>
      </c>
      <c r="Q1721" s="7029"/>
      <c r="R1721" s="6994" t="s">
        <v>31</v>
      </c>
      <c r="S1721" s="7007"/>
      <c r="T1721" s="7008" t="s">
        <v>1430</v>
      </c>
      <c r="U1721" s="498" t="s">
        <v>1429</v>
      </c>
      <c r="V1721" s="162" t="s">
        <v>189</v>
      </c>
      <c r="W1721" s="547"/>
      <c r="X1721" s="1047" t="s">
        <v>1424</v>
      </c>
      <c r="Y1721" s="162"/>
      <c r="Z1721" s="981" t="s">
        <v>1431</v>
      </c>
      <c r="AA1721" s="427"/>
      <c r="AB1721" s="974"/>
    </row>
    <row r="1722" spans="1:31" ht="20.100000000000001" customHeight="1">
      <c r="A1722" s="11"/>
      <c r="B1722" s="1360"/>
      <c r="C1722" s="9647" t="s">
        <v>134</v>
      </c>
      <c r="D1722" s="9648"/>
      <c r="E1722" s="9649"/>
      <c r="F1722" s="1007" t="s">
        <v>742</v>
      </c>
      <c r="G1722" s="666"/>
      <c r="H1722" s="6256"/>
      <c r="I1722" s="9579" t="s">
        <v>135</v>
      </c>
      <c r="J1722" s="9581"/>
      <c r="K1722" s="285" t="s">
        <v>734</v>
      </c>
      <c r="L1722" s="7166">
        <v>196</v>
      </c>
      <c r="M1722" s="7319"/>
      <c r="N1722" s="7175">
        <v>154</v>
      </c>
      <c r="O1722" s="7413"/>
      <c r="P1722" s="7190">
        <v>175</v>
      </c>
      <c r="Q1722" s="7356"/>
      <c r="R1722" s="6658" t="s">
        <v>31</v>
      </c>
      <c r="S1722" s="6557"/>
      <c r="T1722" s="2483"/>
      <c r="U1722" s="544"/>
      <c r="V1722" s="545"/>
      <c r="W1722" s="546"/>
      <c r="X1722" s="547"/>
      <c r="Y1722" s="548"/>
      <c r="Z1722" s="277"/>
      <c r="AA1722" s="277"/>
      <c r="AB1722" s="187"/>
    </row>
    <row r="1723" spans="1:31" ht="20.100000000000001" customHeight="1">
      <c r="A1723" s="11"/>
      <c r="B1723" s="1360"/>
      <c r="C1723" s="9647" t="s">
        <v>137</v>
      </c>
      <c r="D1723" s="9648"/>
      <c r="E1723" s="9649"/>
      <c r="F1723" s="1007" t="s">
        <v>742</v>
      </c>
      <c r="G1723" s="666"/>
      <c r="H1723" s="6192"/>
      <c r="I1723" s="9579" t="s">
        <v>138</v>
      </c>
      <c r="J1723" s="9581"/>
      <c r="K1723" s="285" t="s">
        <v>734</v>
      </c>
      <c r="L1723" s="7113">
        <v>0</v>
      </c>
      <c r="M1723" s="7295"/>
      <c r="N1723" s="7117">
        <v>0</v>
      </c>
      <c r="O1723" s="7394"/>
      <c r="P1723" s="7138">
        <v>0</v>
      </c>
      <c r="Q1723" s="7356"/>
      <c r="R1723" s="6658" t="s">
        <v>31</v>
      </c>
      <c r="S1723" s="6557"/>
      <c r="T1723" s="2483"/>
      <c r="U1723" s="544"/>
      <c r="V1723" s="545"/>
      <c r="W1723" s="546"/>
      <c r="X1723" s="547"/>
      <c r="Y1723" s="548"/>
      <c r="Z1723" s="277"/>
      <c r="AA1723" s="277"/>
      <c r="AB1723" s="187"/>
    </row>
    <row r="1724" spans="1:31" ht="20.100000000000001" customHeight="1">
      <c r="A1724" s="11"/>
      <c r="B1724" s="1360"/>
      <c r="C1724" s="9647" t="s">
        <v>140</v>
      </c>
      <c r="D1724" s="9648"/>
      <c r="E1724" s="9649"/>
      <c r="F1724" s="1007" t="s">
        <v>742</v>
      </c>
      <c r="G1724" s="666"/>
      <c r="H1724" s="6192"/>
      <c r="I1724" s="9582" t="s">
        <v>141</v>
      </c>
      <c r="J1724" s="9583"/>
      <c r="K1724" s="285" t="s">
        <v>734</v>
      </c>
      <c r="L1724" s="7166">
        <v>0</v>
      </c>
      <c r="M1724" s="7319"/>
      <c r="N1724" s="7175">
        <v>0</v>
      </c>
      <c r="O1724" s="7413"/>
      <c r="P1724" s="7190">
        <v>0</v>
      </c>
      <c r="Q1724" s="7356"/>
      <c r="R1724" s="6658" t="s">
        <v>31</v>
      </c>
      <c r="S1724" s="6557"/>
      <c r="T1724" s="2483"/>
      <c r="U1724" s="544"/>
      <c r="V1724" s="545"/>
      <c r="W1724" s="546"/>
      <c r="X1724" s="547"/>
      <c r="Y1724" s="548"/>
      <c r="Z1724" s="277"/>
      <c r="AA1724" s="277"/>
      <c r="AB1724" s="187"/>
    </row>
    <row r="1725" spans="1:31" ht="20.100000000000001" customHeight="1">
      <c r="A1725" s="11"/>
      <c r="B1725" s="1360"/>
      <c r="C1725" s="9647" t="s">
        <v>143</v>
      </c>
      <c r="D1725" s="9648"/>
      <c r="E1725" s="9649"/>
      <c r="F1725" s="1007" t="s">
        <v>742</v>
      </c>
      <c r="G1725" s="666"/>
      <c r="H1725" s="6256"/>
      <c r="I1725" s="9582" t="s">
        <v>144</v>
      </c>
      <c r="J1725" s="9583"/>
      <c r="K1725" s="285" t="s">
        <v>734</v>
      </c>
      <c r="L1725" s="7166">
        <v>0</v>
      </c>
      <c r="M1725" s="7319"/>
      <c r="N1725" s="7175">
        <v>0</v>
      </c>
      <c r="O1725" s="7413"/>
      <c r="P1725" s="7190">
        <v>0</v>
      </c>
      <c r="Q1725" s="7356"/>
      <c r="R1725" s="6658" t="s">
        <v>31</v>
      </c>
      <c r="S1725" s="6557"/>
      <c r="T1725" s="2483"/>
      <c r="U1725" s="544"/>
      <c r="V1725" s="545"/>
      <c r="W1725" s="546"/>
      <c r="X1725" s="547"/>
      <c r="Y1725" s="548"/>
      <c r="Z1725" s="277"/>
      <c r="AA1725" s="277"/>
      <c r="AB1725" s="187"/>
    </row>
    <row r="1726" spans="1:31" ht="20.100000000000001" customHeight="1">
      <c r="A1726" s="11"/>
      <c r="B1726" s="1360"/>
      <c r="C1726" s="9647" t="s">
        <v>146</v>
      </c>
      <c r="D1726" s="9648"/>
      <c r="E1726" s="9649"/>
      <c r="F1726" s="1007" t="s">
        <v>742</v>
      </c>
      <c r="G1726" s="666"/>
      <c r="H1726" s="6192"/>
      <c r="I1726" s="9582" t="s">
        <v>147</v>
      </c>
      <c r="J1726" s="9583"/>
      <c r="K1726" s="285" t="s">
        <v>734</v>
      </c>
      <c r="L1726" s="7166">
        <v>0</v>
      </c>
      <c r="M1726" s="7319"/>
      <c r="N1726" s="7175">
        <v>0</v>
      </c>
      <c r="O1726" s="7413"/>
      <c r="P1726" s="7190">
        <v>0</v>
      </c>
      <c r="Q1726" s="7356"/>
      <c r="R1726" s="6658" t="s">
        <v>31</v>
      </c>
      <c r="S1726" s="6557"/>
      <c r="T1726" s="2483"/>
      <c r="U1726" s="544"/>
      <c r="V1726" s="545"/>
      <c r="W1726" s="546"/>
      <c r="X1726" s="547"/>
      <c r="Y1726" s="548"/>
      <c r="Z1726" s="277"/>
      <c r="AA1726" s="277"/>
      <c r="AB1726" s="187"/>
    </row>
    <row r="1727" spans="1:31" ht="20.100000000000001" customHeight="1" thickBot="1">
      <c r="A1727" s="11"/>
      <c r="B1727" s="1360"/>
      <c r="C1727" s="9647" t="s">
        <v>149</v>
      </c>
      <c r="D1727" s="9648"/>
      <c r="E1727" s="9649"/>
      <c r="F1727" s="1007" t="s">
        <v>742</v>
      </c>
      <c r="G1727" s="746"/>
      <c r="H1727" s="6192"/>
      <c r="I1727" s="9582" t="s">
        <v>150</v>
      </c>
      <c r="J1727" s="9583"/>
      <c r="K1727" s="285" t="s">
        <v>734</v>
      </c>
      <c r="L1727" s="7171" t="s">
        <v>168</v>
      </c>
      <c r="M1727" s="7295" t="s">
        <v>641</v>
      </c>
      <c r="N1727" s="7117" t="s">
        <v>168</v>
      </c>
      <c r="O1727" s="7394" t="s">
        <v>641</v>
      </c>
      <c r="P1727" s="7149" t="s">
        <v>168</v>
      </c>
      <c r="Q1727" s="7356" t="s">
        <v>641</v>
      </c>
      <c r="R1727" s="6658" t="s">
        <v>31</v>
      </c>
      <c r="S1727" s="6557"/>
      <c r="T1727" s="2483"/>
      <c r="U1727" s="544"/>
      <c r="V1727" s="545"/>
      <c r="W1727" s="546"/>
      <c r="X1727" s="547"/>
      <c r="Y1727" s="548"/>
      <c r="Z1727" s="277"/>
      <c r="AA1727" s="277"/>
      <c r="AB1727" s="187"/>
      <c r="AE1727" s="1377" t="s">
        <v>2005</v>
      </c>
    </row>
    <row r="1728" spans="1:31" ht="27" thickBot="1">
      <c r="A1728" s="50"/>
      <c r="B1728" s="1652" t="s">
        <v>1437</v>
      </c>
      <c r="C1728" s="1653"/>
      <c r="D1728" s="1653"/>
      <c r="E1728" s="1653"/>
      <c r="F1728" s="1654"/>
      <c r="G1728" s="6150" t="s">
        <v>1438</v>
      </c>
      <c r="H1728" s="1657"/>
      <c r="I1728" s="1657"/>
      <c r="J1728" s="1657"/>
      <c r="K1728" s="1654"/>
      <c r="L1728" s="7718"/>
      <c r="M1728" s="1657"/>
      <c r="N1728" s="7719"/>
      <c r="O1728" s="1657"/>
      <c r="P1728" s="7719"/>
      <c r="Q1728" s="1657"/>
      <c r="R1728" s="1657"/>
      <c r="S1728" s="1657"/>
      <c r="T1728" s="1658"/>
      <c r="U1728" s="1658"/>
      <c r="V1728" s="73"/>
      <c r="W1728" s="73"/>
      <c r="X1728" s="73"/>
      <c r="Y1728" s="73"/>
      <c r="Z1728" s="1659"/>
      <c r="AA1728" s="1659"/>
      <c r="AB1728" s="1660"/>
      <c r="AD1728" s="6402"/>
    </row>
    <row r="1729" spans="1:28" ht="27" thickBot="1">
      <c r="A1729" s="11"/>
      <c r="B1729" s="7761" t="s">
        <v>1439</v>
      </c>
      <c r="C1729" s="7762"/>
      <c r="D1729" s="7762"/>
      <c r="E1729" s="7762"/>
      <c r="F1729" s="7763"/>
      <c r="G1729" s="7764" t="s">
        <v>1440</v>
      </c>
      <c r="H1729" s="7765"/>
      <c r="I1729" s="7765"/>
      <c r="J1729" s="7766"/>
      <c r="K1729" s="7767"/>
      <c r="L1729" s="7768"/>
      <c r="M1729" s="7769"/>
      <c r="N1729" s="7770"/>
      <c r="O1729" s="7769"/>
      <c r="P1729" s="7770"/>
      <c r="Q1729" s="7769"/>
      <c r="R1729" s="7769"/>
      <c r="S1729" s="7769"/>
      <c r="T1729" s="7771"/>
      <c r="U1729" s="7772"/>
      <c r="V1729" s="7773"/>
      <c r="W1729" s="7774"/>
      <c r="X1729" s="7774"/>
      <c r="Y1729" s="7773"/>
      <c r="Z1729" s="7775"/>
      <c r="AA1729" s="7775"/>
      <c r="AB1729" s="7776"/>
    </row>
    <row r="1730" spans="1:28" ht="20.100000000000001" customHeight="1">
      <c r="A1730" s="11"/>
      <c r="B1730" s="1395"/>
      <c r="C1730" s="9926" t="s">
        <v>1441</v>
      </c>
      <c r="D1730" s="9927"/>
      <c r="E1730" s="9927"/>
      <c r="F1730" s="9927"/>
      <c r="G1730" s="9927"/>
      <c r="H1730" s="9927" t="s">
        <v>1442</v>
      </c>
      <c r="I1730" s="9927"/>
      <c r="J1730" s="9927"/>
      <c r="K1730" s="9927" t="s">
        <v>1443</v>
      </c>
      <c r="L1730" s="9927"/>
      <c r="M1730" s="9927"/>
      <c r="N1730" s="9927"/>
      <c r="O1730" s="9927"/>
      <c r="P1730" s="9927"/>
      <c r="Q1730" s="9928"/>
      <c r="R1730" s="7777"/>
      <c r="S1730" s="7778"/>
      <c r="T1730" s="7779"/>
      <c r="U1730" s="533"/>
      <c r="V1730" s="873" t="s">
        <v>1444</v>
      </c>
      <c r="W1730" s="547"/>
      <c r="X1730" s="547"/>
      <c r="Y1730" s="299" t="s">
        <v>1435</v>
      </c>
      <c r="Z1730" s="1243"/>
      <c r="AA1730" s="1243"/>
      <c r="AB1730" s="4532"/>
    </row>
    <row r="1731" spans="1:28" ht="20.100000000000001" customHeight="1">
      <c r="A1731" s="11"/>
      <c r="B1731" s="1360"/>
      <c r="C1731" s="614"/>
      <c r="D1731" s="787" t="s">
        <v>1445</v>
      </c>
      <c r="E1731" s="781"/>
      <c r="F1731" s="105" t="s">
        <v>732</v>
      </c>
      <c r="G1731" s="358"/>
      <c r="H1731" s="6256"/>
      <c r="I1731" s="945" t="s">
        <v>1446</v>
      </c>
      <c r="J1731" s="945"/>
      <c r="K1731" s="1222" t="s">
        <v>734</v>
      </c>
      <c r="L1731" s="7113">
        <v>5</v>
      </c>
      <c r="M1731" s="7295"/>
      <c r="N1731" s="7117">
        <v>7</v>
      </c>
      <c r="O1731" s="7414"/>
      <c r="P1731" s="7177">
        <v>7</v>
      </c>
      <c r="Q1731" s="7375"/>
      <c r="R1731" s="6676" t="s">
        <v>31</v>
      </c>
      <c r="S1731" s="6607"/>
      <c r="T1731" s="544" t="s">
        <v>1447</v>
      </c>
      <c r="U1731" s="276" t="s">
        <v>1448</v>
      </c>
      <c r="V1731" s="873" t="s">
        <v>1444</v>
      </c>
      <c r="W1731" s="547"/>
      <c r="X1731" s="547"/>
      <c r="Y1731" s="299" t="s">
        <v>1435</v>
      </c>
      <c r="Z1731" s="277" t="s">
        <v>1449</v>
      </c>
      <c r="AA1731" s="277" t="s">
        <v>1450</v>
      </c>
      <c r="AB1731" s="4679"/>
    </row>
    <row r="1732" spans="1:28" ht="20.100000000000001" customHeight="1">
      <c r="A1732" s="11"/>
      <c r="B1732" s="1360"/>
      <c r="C1732" s="5598"/>
      <c r="D1732" s="787" t="s">
        <v>1451</v>
      </c>
      <c r="E1732" s="781"/>
      <c r="F1732" s="105" t="s">
        <v>732</v>
      </c>
      <c r="G1732" s="358"/>
      <c r="H1732" s="6192"/>
      <c r="I1732" s="735" t="s">
        <v>1452</v>
      </c>
      <c r="J1732" s="735"/>
      <c r="K1732" s="105" t="s">
        <v>734</v>
      </c>
      <c r="L1732" s="7113">
        <v>3</v>
      </c>
      <c r="M1732" s="7295"/>
      <c r="N1732" s="7117">
        <v>4</v>
      </c>
      <c r="O1732" s="7414"/>
      <c r="P1732" s="7177">
        <v>4</v>
      </c>
      <c r="Q1732" s="7375"/>
      <c r="R1732" s="6676" t="s">
        <v>31</v>
      </c>
      <c r="S1732" s="6608"/>
      <c r="T1732" s="276" t="s">
        <v>1453</v>
      </c>
      <c r="U1732" s="276" t="s">
        <v>1454</v>
      </c>
      <c r="V1732" s="109" t="s">
        <v>37</v>
      </c>
      <c r="W1732" s="547"/>
      <c r="X1732" s="547"/>
      <c r="Y1732" s="299" t="s">
        <v>193</v>
      </c>
      <c r="Z1732" s="277" t="s">
        <v>1455</v>
      </c>
      <c r="AA1732" s="277" t="s">
        <v>1450</v>
      </c>
      <c r="AB1732" s="982"/>
    </row>
    <row r="1733" spans="1:28" ht="20.100000000000001" customHeight="1">
      <c r="A1733" s="11"/>
      <c r="B1733" s="1360"/>
      <c r="C1733" s="5598"/>
      <c r="D1733" s="787" t="s">
        <v>1456</v>
      </c>
      <c r="E1733" s="781"/>
      <c r="F1733" s="105" t="s">
        <v>732</v>
      </c>
      <c r="G1733" s="358"/>
      <c r="H1733" s="6192"/>
      <c r="I1733" s="1065" t="s">
        <v>1457</v>
      </c>
      <c r="J1733" s="1066"/>
      <c r="K1733" s="105" t="s">
        <v>734</v>
      </c>
      <c r="L1733" s="7113">
        <v>0</v>
      </c>
      <c r="M1733" s="7295"/>
      <c r="N1733" s="7117">
        <v>1</v>
      </c>
      <c r="O1733" s="7414"/>
      <c r="P1733" s="7177">
        <v>1</v>
      </c>
      <c r="Q1733" s="7375"/>
      <c r="R1733" s="6676" t="s">
        <v>31</v>
      </c>
      <c r="S1733" s="6608"/>
      <c r="T1733" s="276" t="s">
        <v>1458</v>
      </c>
      <c r="U1733" s="276" t="s">
        <v>1459</v>
      </c>
      <c r="V1733" s="109" t="s">
        <v>37</v>
      </c>
      <c r="W1733" s="547"/>
      <c r="X1733" s="547"/>
      <c r="Y1733" s="299" t="s">
        <v>193</v>
      </c>
      <c r="Z1733" s="277" t="s">
        <v>1460</v>
      </c>
      <c r="AA1733" s="277" t="s">
        <v>1450</v>
      </c>
      <c r="AB1733" s="982"/>
    </row>
    <row r="1734" spans="1:28" ht="20.100000000000001" customHeight="1">
      <c r="A1734" s="11"/>
      <c r="B1734" s="1396"/>
      <c r="C1734" s="9926" t="s">
        <v>1461</v>
      </c>
      <c r="D1734" s="9927"/>
      <c r="E1734" s="9927"/>
      <c r="F1734" s="9927"/>
      <c r="G1734" s="9927"/>
      <c r="H1734" s="9927" t="s">
        <v>1462</v>
      </c>
      <c r="I1734" s="9927"/>
      <c r="J1734" s="9927"/>
      <c r="K1734" s="9927" t="s">
        <v>168</v>
      </c>
      <c r="L1734" s="9927"/>
      <c r="M1734" s="9927"/>
      <c r="N1734" s="9927"/>
      <c r="O1734" s="9927"/>
      <c r="P1734" s="9927"/>
      <c r="Q1734" s="9928"/>
      <c r="R1734" s="7780" t="s">
        <v>31</v>
      </c>
      <c r="S1734" s="6706"/>
      <c r="T1734" s="7781"/>
      <c r="U1734" s="276"/>
      <c r="V1734" s="873" t="s">
        <v>1444</v>
      </c>
      <c r="W1734" s="547"/>
      <c r="X1734" s="547"/>
      <c r="Y1734" s="299" t="s">
        <v>1435</v>
      </c>
      <c r="Z1734" s="1243"/>
      <c r="AA1734" s="1243"/>
      <c r="AB1734" s="4532"/>
    </row>
    <row r="1735" spans="1:28" ht="20.100000000000001" customHeight="1">
      <c r="A1735" s="11"/>
      <c r="B1735" s="1360"/>
      <c r="C1735" s="5598"/>
      <c r="D1735" s="787" t="s">
        <v>1445</v>
      </c>
      <c r="E1735" s="781"/>
      <c r="F1735" s="105" t="s">
        <v>154</v>
      </c>
      <c r="G1735" s="358"/>
      <c r="H1735" s="6192"/>
      <c r="I1735" s="735" t="s">
        <v>1454</v>
      </c>
      <c r="J1735" s="735"/>
      <c r="K1735" s="105" t="s">
        <v>154</v>
      </c>
      <c r="L1735" s="6753">
        <v>60</v>
      </c>
      <c r="M1735" s="7330"/>
      <c r="N1735" s="6825">
        <v>57.142857142857139</v>
      </c>
      <c r="O1735" s="7330"/>
      <c r="P1735" s="6825">
        <v>57</v>
      </c>
      <c r="Q1735" s="7330"/>
      <c r="R1735" s="6676" t="s">
        <v>31</v>
      </c>
      <c r="S1735" s="6609"/>
      <c r="T1735" s="276" t="s">
        <v>1463</v>
      </c>
      <c r="U1735" s="276" t="s">
        <v>1464</v>
      </c>
      <c r="V1735" s="109" t="s">
        <v>37</v>
      </c>
      <c r="W1735" s="547"/>
      <c r="X1735" s="547"/>
      <c r="Y1735" s="299" t="s">
        <v>193</v>
      </c>
      <c r="Z1735" s="277" t="s">
        <v>1465</v>
      </c>
      <c r="AA1735" s="277" t="s">
        <v>1450</v>
      </c>
      <c r="AB1735" s="982"/>
    </row>
    <row r="1736" spans="1:28" ht="20.100000000000001" customHeight="1" thickBot="1">
      <c r="A1736" s="11"/>
      <c r="B1736" s="1361"/>
      <c r="C1736" s="614"/>
      <c r="D1736" s="787" t="s">
        <v>1466</v>
      </c>
      <c r="E1736" s="781"/>
      <c r="F1736" s="706" t="s">
        <v>154</v>
      </c>
      <c r="G1736" s="707"/>
      <c r="H1736" s="6256"/>
      <c r="I1736" s="1072" t="s">
        <v>1467</v>
      </c>
      <c r="J1736" s="1072"/>
      <c r="K1736" s="706" t="s">
        <v>154</v>
      </c>
      <c r="L1736" s="6753">
        <v>100</v>
      </c>
      <c r="M1736" s="7330"/>
      <c r="N1736" s="6825">
        <v>100</v>
      </c>
      <c r="O1736" s="7330"/>
      <c r="P1736" s="6961">
        <v>100</v>
      </c>
      <c r="Q1736" s="7330"/>
      <c r="R1736" s="6677" t="s">
        <v>31</v>
      </c>
      <c r="S1736" s="6610"/>
      <c r="T1736" s="2477"/>
      <c r="U1736" s="595"/>
      <c r="V1736" s="711" t="s">
        <v>37</v>
      </c>
      <c r="W1736" s="547"/>
      <c r="X1736" s="547"/>
      <c r="Y1736" s="299" t="s">
        <v>193</v>
      </c>
      <c r="Z1736" s="277" t="s">
        <v>1465</v>
      </c>
      <c r="AA1736" s="277" t="s">
        <v>1450</v>
      </c>
      <c r="AB1736" s="982"/>
    </row>
    <row r="1737" spans="1:28" ht="27" thickBot="1">
      <c r="A1737" s="11"/>
      <c r="B1737" s="7761" t="s">
        <v>1468</v>
      </c>
      <c r="C1737" s="7762"/>
      <c r="D1737" s="7762"/>
      <c r="E1737" s="7762"/>
      <c r="F1737" s="7763"/>
      <c r="G1737" s="7763"/>
      <c r="H1737" s="7763"/>
      <c r="I1737" s="7763"/>
      <c r="J1737" s="7763"/>
      <c r="K1737" s="7763"/>
      <c r="L1737" s="7782"/>
      <c r="M1737" s="7783"/>
      <c r="N1737" s="7784"/>
      <c r="O1737" s="7783"/>
      <c r="P1737" s="7784"/>
      <c r="Q1737" s="7783"/>
      <c r="R1737" s="7763"/>
      <c r="S1737" s="7783"/>
      <c r="T1737" s="7771"/>
      <c r="U1737" s="7772"/>
      <c r="V1737" s="7773"/>
      <c r="W1737" s="7774"/>
      <c r="X1737" s="7774"/>
      <c r="Y1737" s="7773"/>
      <c r="Z1737" s="7775"/>
      <c r="AA1737" s="7775"/>
      <c r="AB1737" s="7776"/>
    </row>
    <row r="1738" spans="1:28" ht="20.100000000000001" customHeight="1">
      <c r="A1738" s="11"/>
      <c r="B1738" s="1398"/>
      <c r="C1738" s="7785" t="s">
        <v>1469</v>
      </c>
      <c r="D1738" s="7785"/>
      <c r="E1738" s="7785"/>
      <c r="F1738" s="7786"/>
      <c r="G1738" s="7787"/>
      <c r="H1738" s="7788" t="s">
        <v>1470</v>
      </c>
      <c r="I1738" s="7788"/>
      <c r="J1738" s="7789"/>
      <c r="K1738" s="7790" t="s">
        <v>168</v>
      </c>
      <c r="L1738" s="7791"/>
      <c r="M1738" s="7792"/>
      <c r="N1738" s="7793"/>
      <c r="O1738" s="7794"/>
      <c r="P1738" s="7795"/>
      <c r="Q1738" s="7794"/>
      <c r="R1738" s="7796" t="s">
        <v>31</v>
      </c>
      <c r="S1738" s="7797"/>
      <c r="T1738" s="7798"/>
      <c r="U1738" s="262"/>
      <c r="V1738" s="162" t="s">
        <v>37</v>
      </c>
      <c r="W1738" s="534"/>
      <c r="X1738" s="534"/>
      <c r="Y1738" s="299" t="s">
        <v>1435</v>
      </c>
      <c r="Z1738" s="1243"/>
      <c r="AA1738" s="1243"/>
      <c r="AB1738" s="4532"/>
    </row>
    <row r="1739" spans="1:28" ht="20.100000000000001" customHeight="1">
      <c r="A1739" s="11"/>
      <c r="B1739" s="1360"/>
      <c r="C1739" s="5598"/>
      <c r="D1739" s="787" t="s">
        <v>1445</v>
      </c>
      <c r="E1739" s="781"/>
      <c r="F1739" s="105" t="s">
        <v>1471</v>
      </c>
      <c r="G1739" s="358"/>
      <c r="H1739" s="6192"/>
      <c r="I1739" s="384" t="s">
        <v>1472</v>
      </c>
      <c r="J1739" s="384"/>
      <c r="K1739" s="1143" t="s">
        <v>559</v>
      </c>
      <c r="L1739" s="7113">
        <v>15</v>
      </c>
      <c r="M1739" s="7295"/>
      <c r="N1739" s="7117">
        <v>11</v>
      </c>
      <c r="O1739" s="7414"/>
      <c r="P1739" s="7177">
        <v>12</v>
      </c>
      <c r="Q1739" s="7428"/>
      <c r="R1739" s="6678" t="s">
        <v>31</v>
      </c>
      <c r="S1739" s="6611"/>
      <c r="T1739" s="544" t="s">
        <v>1473</v>
      </c>
      <c r="U1739" s="263" t="s">
        <v>1474</v>
      </c>
      <c r="V1739" s="1034" t="s">
        <v>1444</v>
      </c>
      <c r="W1739" s="878"/>
      <c r="X1739" s="878"/>
      <c r="Y1739" s="299" t="s">
        <v>1435</v>
      </c>
      <c r="Z1739" s="277" t="s">
        <v>1475</v>
      </c>
      <c r="AA1739" s="277" t="s">
        <v>1450</v>
      </c>
      <c r="AB1739" s="982"/>
    </row>
    <row r="1740" spans="1:28" ht="20.100000000000001" customHeight="1">
      <c r="A1740" s="11"/>
      <c r="B1740" s="1360"/>
      <c r="C1740" s="614"/>
      <c r="D1740" s="787" t="s">
        <v>1466</v>
      </c>
      <c r="E1740" s="781"/>
      <c r="F1740" s="105" t="s">
        <v>1476</v>
      </c>
      <c r="G1740" s="358"/>
      <c r="H1740" s="6256"/>
      <c r="I1740" s="358" t="s">
        <v>1477</v>
      </c>
      <c r="J1740" s="358"/>
      <c r="K1740" s="285" t="s">
        <v>1013</v>
      </c>
      <c r="L1740" s="7113">
        <v>6</v>
      </c>
      <c r="M1740" s="7295"/>
      <c r="N1740" s="7117">
        <v>6</v>
      </c>
      <c r="O1740" s="7414"/>
      <c r="P1740" s="7177">
        <v>5</v>
      </c>
      <c r="Q1740" s="7428"/>
      <c r="R1740" s="6679" t="s">
        <v>31</v>
      </c>
      <c r="S1740" s="6612"/>
      <c r="T1740" s="276" t="s">
        <v>1478</v>
      </c>
      <c r="U1740" s="367" t="s">
        <v>1479</v>
      </c>
      <c r="V1740" s="162" t="s">
        <v>37</v>
      </c>
      <c r="W1740" s="547"/>
      <c r="X1740" s="547"/>
      <c r="Y1740" s="299" t="s">
        <v>193</v>
      </c>
      <c r="Z1740" s="277" t="s">
        <v>1480</v>
      </c>
      <c r="AA1740" s="265"/>
      <c r="AB1740" s="982"/>
    </row>
    <row r="1741" spans="1:28" ht="20.100000000000001" customHeight="1">
      <c r="A1741" s="11"/>
      <c r="B1741" s="1399"/>
      <c r="C1741" s="7127" t="s">
        <v>1481</v>
      </c>
      <c r="D1741" s="7127"/>
      <c r="E1741" s="7127"/>
      <c r="F1741" s="7800"/>
      <c r="G1741" s="6703"/>
      <c r="H1741" s="7799" t="s">
        <v>1482</v>
      </c>
      <c r="I1741" s="7799"/>
      <c r="J1741" s="7801"/>
      <c r="K1741" s="6702" t="s">
        <v>168</v>
      </c>
      <c r="L1741" s="7808"/>
      <c r="M1741" s="7809"/>
      <c r="N1741" s="7810"/>
      <c r="O1741" s="7811"/>
      <c r="P1741" s="7812"/>
      <c r="Q1741" s="7805"/>
      <c r="R1741" s="7807" t="s">
        <v>31</v>
      </c>
      <c r="S1741" s="7805"/>
      <c r="T1741" s="6704"/>
      <c r="V1741" s="162" t="s">
        <v>37</v>
      </c>
      <c r="W1741" s="547"/>
      <c r="X1741" s="547"/>
      <c r="Y1741" s="299" t="s">
        <v>1435</v>
      </c>
      <c r="Z1741" s="1243"/>
      <c r="AA1741" s="1243"/>
      <c r="AB1741" s="4532"/>
    </row>
    <row r="1742" spans="1:28" ht="20.100000000000001" customHeight="1">
      <c r="A1742" s="11"/>
      <c r="B1742" s="1360"/>
      <c r="C1742" s="5598"/>
      <c r="D1742" s="787" t="s">
        <v>1483</v>
      </c>
      <c r="E1742" s="781"/>
      <c r="F1742" s="105" t="s">
        <v>1476</v>
      </c>
      <c r="G1742" s="358"/>
      <c r="H1742" s="6192"/>
      <c r="I1742" s="358" t="s">
        <v>1484</v>
      </c>
      <c r="J1742" s="358"/>
      <c r="K1742" s="285" t="s">
        <v>559</v>
      </c>
      <c r="L1742" s="7113">
        <v>34</v>
      </c>
      <c r="M1742" s="7295"/>
      <c r="N1742" s="7117">
        <v>24</v>
      </c>
      <c r="O1742" s="7414"/>
      <c r="P1742" s="7177">
        <v>33</v>
      </c>
      <c r="Q1742" s="7428"/>
      <c r="R1742" s="6679" t="s">
        <v>31</v>
      </c>
      <c r="S1742" s="6612"/>
      <c r="T1742" s="276" t="s">
        <v>1485</v>
      </c>
      <c r="U1742" s="276" t="s">
        <v>1486</v>
      </c>
      <c r="V1742" s="162" t="s">
        <v>37</v>
      </c>
      <c r="W1742" s="547"/>
      <c r="X1742" s="547"/>
      <c r="Y1742" s="299" t="s">
        <v>193</v>
      </c>
      <c r="Z1742" s="277" t="s">
        <v>1487</v>
      </c>
      <c r="AA1742" s="265"/>
      <c r="AB1742" s="982"/>
    </row>
    <row r="1743" spans="1:28" ht="20.100000000000001" customHeight="1">
      <c r="A1743" s="11"/>
      <c r="B1743" s="1360"/>
      <c r="C1743" s="614"/>
      <c r="D1743" s="787" t="s">
        <v>1488</v>
      </c>
      <c r="E1743" s="781"/>
      <c r="F1743" s="105" t="s">
        <v>1476</v>
      </c>
      <c r="G1743" s="358"/>
      <c r="H1743" s="6256"/>
      <c r="I1743" s="358" t="s">
        <v>1489</v>
      </c>
      <c r="J1743" s="358"/>
      <c r="K1743" s="285" t="s">
        <v>559</v>
      </c>
      <c r="L1743" s="7113">
        <v>0</v>
      </c>
      <c r="M1743" s="7295"/>
      <c r="N1743" s="7117">
        <v>0</v>
      </c>
      <c r="O1743" s="7414"/>
      <c r="P1743" s="7177">
        <v>0</v>
      </c>
      <c r="Q1743" s="7428"/>
      <c r="R1743" s="6679" t="s">
        <v>31</v>
      </c>
      <c r="S1743" s="6612"/>
      <c r="T1743" s="276" t="s">
        <v>1490</v>
      </c>
      <c r="U1743" s="276" t="s">
        <v>1491</v>
      </c>
      <c r="V1743" s="162" t="s">
        <v>37</v>
      </c>
      <c r="W1743" s="547"/>
      <c r="X1743" s="547"/>
      <c r="Y1743" s="299" t="s">
        <v>193</v>
      </c>
      <c r="Z1743" s="277" t="s">
        <v>1492</v>
      </c>
      <c r="AA1743" s="265"/>
      <c r="AB1743" s="982"/>
    </row>
    <row r="1744" spans="1:28" ht="20.100000000000001" customHeight="1">
      <c r="A1744" s="11"/>
      <c r="B1744" s="1399"/>
      <c r="C1744" s="7127" t="s">
        <v>1493</v>
      </c>
      <c r="D1744" s="7799"/>
      <c r="E1744" s="7799"/>
      <c r="F1744" s="7800"/>
      <c r="G1744" s="6703"/>
      <c r="H1744" s="7799" t="s">
        <v>1494</v>
      </c>
      <c r="I1744" s="7799"/>
      <c r="J1744" s="7801"/>
      <c r="K1744" s="6702" t="s">
        <v>168</v>
      </c>
      <c r="L1744" s="7802"/>
      <c r="M1744" s="7803"/>
      <c r="N1744" s="7804"/>
      <c r="O1744" s="7805"/>
      <c r="P1744" s="7806"/>
      <c r="Q1744" s="7805"/>
      <c r="R1744" s="7807" t="s">
        <v>31</v>
      </c>
      <c r="S1744" s="7805"/>
      <c r="T1744" s="6704"/>
      <c r="V1744" s="162" t="s">
        <v>37</v>
      </c>
      <c r="W1744" s="547"/>
      <c r="X1744" s="547"/>
      <c r="Y1744" s="299" t="s">
        <v>1435</v>
      </c>
      <c r="Z1744" s="1243"/>
      <c r="AA1744" s="1243"/>
      <c r="AB1744" s="4532"/>
    </row>
    <row r="1745" spans="1:29" s="139" customFormat="1" ht="20.100000000000001" customHeight="1">
      <c r="B1745" s="1360"/>
      <c r="C1745" s="6638"/>
      <c r="D1745" s="787" t="s">
        <v>1495</v>
      </c>
      <c r="E1745" s="781"/>
      <c r="F1745" s="105" t="s">
        <v>154</v>
      </c>
      <c r="G1745" s="358"/>
      <c r="H1745" s="6256"/>
      <c r="I1745" s="735" t="s">
        <v>1496</v>
      </c>
      <c r="J1745" s="735"/>
      <c r="K1745" s="105" t="s">
        <v>154</v>
      </c>
      <c r="L1745" s="6753">
        <v>90</v>
      </c>
      <c r="M1745" s="7249"/>
      <c r="N1745" s="6825">
        <v>93.55</v>
      </c>
      <c r="O1745" s="7355"/>
      <c r="P1745" s="6963">
        <v>100</v>
      </c>
      <c r="Q1745" s="7355"/>
      <c r="R1745" s="6679" t="s">
        <v>31</v>
      </c>
      <c r="S1745" s="6613"/>
      <c r="T1745" s="276" t="s">
        <v>1497</v>
      </c>
      <c r="U1745" s="276" t="s">
        <v>1498</v>
      </c>
      <c r="V1745" s="162" t="s">
        <v>37</v>
      </c>
      <c r="W1745" s="547"/>
      <c r="X1745" s="547"/>
      <c r="Y1745" s="299" t="s">
        <v>193</v>
      </c>
      <c r="Z1745" s="277" t="s">
        <v>1499</v>
      </c>
      <c r="AA1745" s="265"/>
      <c r="AB1745" s="982"/>
      <c r="AC1745" s="6301"/>
    </row>
    <row r="1746" spans="1:29" s="139" customFormat="1" ht="20.100000000000001" customHeight="1">
      <c r="B1746" s="1360"/>
      <c r="C1746" s="5598"/>
      <c r="D1746" s="787" t="s">
        <v>1500</v>
      </c>
      <c r="E1746" s="781"/>
      <c r="F1746" s="105" t="s">
        <v>154</v>
      </c>
      <c r="G1746" s="358"/>
      <c r="H1746" s="6192"/>
      <c r="I1746" s="735" t="s">
        <v>1501</v>
      </c>
      <c r="J1746" s="735"/>
      <c r="K1746" s="105" t="s">
        <v>154</v>
      </c>
      <c r="L1746" s="6753">
        <v>97.77</v>
      </c>
      <c r="M1746" s="7249"/>
      <c r="N1746" s="6825">
        <v>100</v>
      </c>
      <c r="O1746" s="7249"/>
      <c r="P1746" s="6963">
        <v>96</v>
      </c>
      <c r="Q1746" s="7355"/>
      <c r="R1746" s="6679" t="s">
        <v>31</v>
      </c>
      <c r="S1746" s="6613"/>
      <c r="T1746" s="276" t="s">
        <v>1502</v>
      </c>
      <c r="U1746" s="276" t="s">
        <v>1503</v>
      </c>
      <c r="V1746" s="162" t="s">
        <v>37</v>
      </c>
      <c r="W1746" s="547"/>
      <c r="X1746" s="547"/>
      <c r="Y1746" s="299" t="s">
        <v>193</v>
      </c>
      <c r="Z1746" s="277" t="s">
        <v>1504</v>
      </c>
      <c r="AA1746" s="265"/>
      <c r="AB1746" s="982"/>
      <c r="AC1746" s="6301"/>
    </row>
    <row r="1747" spans="1:29" s="139" customFormat="1" ht="20.100000000000001" customHeight="1">
      <c r="B1747" s="1360"/>
      <c r="C1747" s="614"/>
      <c r="D1747" s="787" t="s">
        <v>1505</v>
      </c>
      <c r="E1747" s="781"/>
      <c r="F1747" s="105" t="s">
        <v>154</v>
      </c>
      <c r="G1747" s="358"/>
      <c r="H1747" s="6256"/>
      <c r="I1747" s="735" t="s">
        <v>1506</v>
      </c>
      <c r="J1747" s="735"/>
      <c r="K1747" s="105" t="s">
        <v>154</v>
      </c>
      <c r="L1747" s="6753">
        <v>100</v>
      </c>
      <c r="M1747" s="7249"/>
      <c r="N1747" s="6825">
        <v>100</v>
      </c>
      <c r="O1747" s="7355"/>
      <c r="P1747" s="6963">
        <v>0</v>
      </c>
      <c r="Q1747" s="7245"/>
      <c r="R1747" s="6679" t="s">
        <v>31</v>
      </c>
      <c r="S1747" s="6613"/>
      <c r="T1747" s="276" t="s">
        <v>1507</v>
      </c>
      <c r="U1747" s="276" t="s">
        <v>1508</v>
      </c>
      <c r="V1747" s="162" t="s">
        <v>37</v>
      </c>
      <c r="W1747" s="547"/>
      <c r="X1747" s="547"/>
      <c r="Y1747" s="299" t="s">
        <v>193</v>
      </c>
      <c r="Z1747" s="277" t="s">
        <v>1509</v>
      </c>
      <c r="AA1747" s="265"/>
      <c r="AB1747" s="982"/>
      <c r="AC1747" s="6301"/>
    </row>
    <row r="1748" spans="1:29" s="139" customFormat="1" ht="20.100000000000001" customHeight="1">
      <c r="B1748" s="1360"/>
      <c r="C1748" s="5598"/>
      <c r="D1748" s="787" t="s">
        <v>1510</v>
      </c>
      <c r="E1748" s="781"/>
      <c r="F1748" s="105" t="s">
        <v>154</v>
      </c>
      <c r="G1748" s="358"/>
      <c r="H1748" s="6192"/>
      <c r="I1748" s="735" t="s">
        <v>1511</v>
      </c>
      <c r="J1748" s="735"/>
      <c r="K1748" s="105" t="s">
        <v>154</v>
      </c>
      <c r="L1748" s="6753">
        <v>100</v>
      </c>
      <c r="M1748" s="7249"/>
      <c r="N1748" s="6825">
        <v>100</v>
      </c>
      <c r="O1748" s="7355"/>
      <c r="P1748" s="6963">
        <v>100</v>
      </c>
      <c r="Q1748" s="7245"/>
      <c r="R1748" s="6679" t="s">
        <v>31</v>
      </c>
      <c r="S1748" s="6613"/>
      <c r="T1748" s="276" t="s">
        <v>1512</v>
      </c>
      <c r="U1748" s="276" t="s">
        <v>1513</v>
      </c>
      <c r="V1748" s="162" t="s">
        <v>37</v>
      </c>
      <c r="W1748" s="547"/>
      <c r="X1748" s="547"/>
      <c r="Y1748" s="299" t="s">
        <v>193</v>
      </c>
      <c r="Z1748" s="277" t="s">
        <v>1514</v>
      </c>
      <c r="AA1748" s="265"/>
      <c r="AB1748" s="982"/>
      <c r="AC1748" s="6301"/>
    </row>
    <row r="1749" spans="1:29" s="139" customFormat="1" ht="20.100000000000001" customHeight="1">
      <c r="B1749" s="1360"/>
      <c r="C1749" s="5598"/>
      <c r="D1749" s="787" t="s">
        <v>1515</v>
      </c>
      <c r="E1749" s="781"/>
      <c r="F1749" s="105" t="s">
        <v>154</v>
      </c>
      <c r="G1749" s="358"/>
      <c r="H1749" s="6192"/>
      <c r="I1749" s="735" t="s">
        <v>1516</v>
      </c>
      <c r="J1749" s="735"/>
      <c r="K1749" s="105" t="s">
        <v>154</v>
      </c>
      <c r="L1749" s="6753">
        <v>94.44</v>
      </c>
      <c r="M1749" s="7249"/>
      <c r="N1749" s="6825">
        <v>100</v>
      </c>
      <c r="O1749" s="7249"/>
      <c r="P1749" s="6825">
        <v>100</v>
      </c>
      <c r="Q1749" s="7245"/>
      <c r="R1749" s="6679" t="s">
        <v>31</v>
      </c>
      <c r="S1749" s="6613"/>
      <c r="T1749" s="276" t="s">
        <v>1517</v>
      </c>
      <c r="U1749" s="276" t="s">
        <v>1518</v>
      </c>
      <c r="V1749" s="162" t="s">
        <v>37</v>
      </c>
      <c r="W1749" s="547"/>
      <c r="X1749" s="547"/>
      <c r="Y1749" s="299" t="s">
        <v>193</v>
      </c>
      <c r="Z1749" s="277" t="s">
        <v>1519</v>
      </c>
      <c r="AA1749" s="265"/>
      <c r="AB1749" s="982"/>
      <c r="AC1749" s="6301"/>
    </row>
    <row r="1750" spans="1:29" s="139" customFormat="1" ht="20.100000000000001" customHeight="1">
      <c r="B1750" s="1360"/>
      <c r="C1750" s="5763" t="s">
        <v>1520</v>
      </c>
      <c r="D1750" s="5763"/>
      <c r="E1750" s="5763"/>
      <c r="F1750" s="5766" t="s">
        <v>742</v>
      </c>
      <c r="G1750" s="5770"/>
      <c r="H1750" s="7813" t="s">
        <v>1521</v>
      </c>
      <c r="I1750" s="7813"/>
      <c r="J1750" s="6279"/>
      <c r="K1750" s="5766" t="s">
        <v>734</v>
      </c>
      <c r="L1750" s="7814">
        <v>3</v>
      </c>
      <c r="M1750" s="7815"/>
      <c r="N1750" s="7816">
        <v>4</v>
      </c>
      <c r="O1750" s="7817"/>
      <c r="P1750" s="7818">
        <v>4</v>
      </c>
      <c r="Q1750" s="7492"/>
      <c r="R1750" s="7819" t="s">
        <v>31</v>
      </c>
      <c r="S1750" s="7820"/>
      <c r="T1750" s="7821" t="s">
        <v>2012</v>
      </c>
      <c r="U1750" s="276" t="s">
        <v>1521</v>
      </c>
      <c r="V1750" s="162" t="s">
        <v>37</v>
      </c>
      <c r="W1750" s="547"/>
      <c r="X1750" s="547"/>
      <c r="Y1750" s="299" t="s">
        <v>193</v>
      </c>
      <c r="Z1750" s="981" t="s">
        <v>1522</v>
      </c>
      <c r="AA1750" s="427"/>
      <c r="AB1750" s="974"/>
      <c r="AC1750" s="6301"/>
    </row>
    <row r="1751" spans="1:29" s="139" customFormat="1" ht="20.100000000000001" customHeight="1">
      <c r="B1751" s="1360"/>
      <c r="C1751" s="5763" t="s">
        <v>1523</v>
      </c>
      <c r="D1751" s="5763"/>
      <c r="E1751" s="5763"/>
      <c r="F1751" s="5766" t="s">
        <v>742</v>
      </c>
      <c r="G1751" s="5770"/>
      <c r="H1751" s="7813" t="s">
        <v>1524</v>
      </c>
      <c r="I1751" s="7813"/>
      <c r="J1751" s="6279"/>
      <c r="K1751" s="5766" t="s">
        <v>734</v>
      </c>
      <c r="L1751" s="7814">
        <v>3</v>
      </c>
      <c r="M1751" s="7815"/>
      <c r="N1751" s="7816">
        <v>4</v>
      </c>
      <c r="O1751" s="7817"/>
      <c r="P1751" s="7818">
        <v>4</v>
      </c>
      <c r="Q1751" s="7492"/>
      <c r="R1751" s="7819" t="s">
        <v>31</v>
      </c>
      <c r="S1751" s="7820"/>
      <c r="T1751" s="7821" t="s">
        <v>2013</v>
      </c>
      <c r="U1751" s="714" t="s">
        <v>1524</v>
      </c>
      <c r="V1751" s="165" t="s">
        <v>37</v>
      </c>
      <c r="W1751" s="1101"/>
      <c r="X1751" s="1102"/>
      <c r="Y1751" s="299" t="s">
        <v>193</v>
      </c>
      <c r="Z1751" s="1103" t="s">
        <v>1525</v>
      </c>
      <c r="AA1751" s="427"/>
      <c r="AB1751" s="974"/>
      <c r="AC1751" s="6301"/>
    </row>
    <row r="1752" spans="1:29" s="139" customFormat="1" ht="20.100000000000001" customHeight="1">
      <c r="B1752" s="1360"/>
      <c r="C1752" s="9656" t="s">
        <v>1526</v>
      </c>
      <c r="D1752" s="9587"/>
      <c r="E1752" s="9588"/>
      <c r="F1752" s="6683" t="s">
        <v>156</v>
      </c>
      <c r="G1752" s="6697"/>
      <c r="H1752" s="9586" t="s">
        <v>1527</v>
      </c>
      <c r="I1752" s="9625"/>
      <c r="J1752" s="9626"/>
      <c r="K1752" s="7075" t="s">
        <v>156</v>
      </c>
      <c r="L1752" s="7081" t="s">
        <v>168</v>
      </c>
      <c r="M1752" s="7007" t="s">
        <v>302</v>
      </c>
      <c r="N1752" s="7082" t="s">
        <v>168</v>
      </c>
      <c r="O1752" s="7007" t="s">
        <v>302</v>
      </c>
      <c r="P1752" s="7083" t="s">
        <v>168</v>
      </c>
      <c r="Q1752" s="7043" t="s">
        <v>302</v>
      </c>
      <c r="R1752" s="7084" t="s">
        <v>155</v>
      </c>
      <c r="S1752" s="7085"/>
      <c r="T1752" s="7086" t="s">
        <v>1528</v>
      </c>
      <c r="U1752" s="6297"/>
      <c r="V1752" s="1114" t="s">
        <v>37</v>
      </c>
      <c r="W1752" s="1115"/>
      <c r="X1752" s="773"/>
      <c r="Y1752" s="299" t="s">
        <v>193</v>
      </c>
      <c r="Z1752" s="1116" t="s">
        <v>1529</v>
      </c>
      <c r="AA1752" s="427"/>
      <c r="AB1752" s="974"/>
      <c r="AC1752" s="6301"/>
    </row>
    <row r="1753" spans="1:29" s="139" customFormat="1" ht="20.100000000000001" customHeight="1">
      <c r="B1753" s="1360"/>
      <c r="C1753" s="1385"/>
      <c r="D1753" s="936" t="s">
        <v>1530</v>
      </c>
      <c r="E1753" s="924"/>
      <c r="F1753" s="105" t="s">
        <v>742</v>
      </c>
      <c r="G1753" s="1223"/>
      <c r="H1753" s="6264"/>
      <c r="I1753" s="932" t="s">
        <v>1531</v>
      </c>
      <c r="J1753" s="993"/>
      <c r="K1753" s="105" t="s">
        <v>734</v>
      </c>
      <c r="L1753" s="7171" t="s">
        <v>168</v>
      </c>
      <c r="M1753" s="7295" t="s">
        <v>302</v>
      </c>
      <c r="N1753" s="7195" t="s">
        <v>2058</v>
      </c>
      <c r="O1753" s="7414" t="s">
        <v>302</v>
      </c>
      <c r="P1753" s="7117" t="s">
        <v>168</v>
      </c>
      <c r="Q1753" s="7375" t="s">
        <v>302</v>
      </c>
      <c r="R1753" s="6665" t="s">
        <v>155</v>
      </c>
      <c r="S1753" s="6577"/>
      <c r="T1753" s="2489"/>
      <c r="U1753" s="6298"/>
      <c r="V1753" s="1119" t="s">
        <v>37</v>
      </c>
      <c r="W1753" s="1115"/>
      <c r="X1753" s="773"/>
      <c r="Y1753" s="299" t="s">
        <v>193</v>
      </c>
      <c r="Z1753" s="1120" t="s">
        <v>1529</v>
      </c>
      <c r="AA1753" s="265"/>
      <c r="AB1753" s="982"/>
      <c r="AC1753" s="6301"/>
    </row>
    <row r="1754" spans="1:29" s="139" customFormat="1" ht="20.100000000000001" customHeight="1" thickBot="1">
      <c r="B1754" s="1546"/>
      <c r="C1754" s="1547"/>
      <c r="D1754" s="1548" t="s">
        <v>1532</v>
      </c>
      <c r="E1754" s="1549"/>
      <c r="F1754" s="119" t="s">
        <v>742</v>
      </c>
      <c r="G1754" s="6285"/>
      <c r="H1754" s="6273"/>
      <c r="I1754" s="1123" t="s">
        <v>1533</v>
      </c>
      <c r="J1754" s="1124"/>
      <c r="K1754" s="706" t="s">
        <v>734</v>
      </c>
      <c r="L1754" s="7196">
        <v>3</v>
      </c>
      <c r="M1754" s="7324"/>
      <c r="N1754" s="7186">
        <v>4</v>
      </c>
      <c r="O1754" s="7419"/>
      <c r="P1754" s="7197">
        <v>4</v>
      </c>
      <c r="Q1754" s="7494"/>
      <c r="R1754" s="6665" t="s">
        <v>155</v>
      </c>
      <c r="S1754" s="6579"/>
      <c r="T1754" s="2488"/>
      <c r="U1754" s="6299"/>
      <c r="V1754" s="1119" t="s">
        <v>37</v>
      </c>
      <c r="W1754" s="1550"/>
      <c r="X1754" s="1102"/>
      <c r="Y1754" s="1551" t="s">
        <v>193</v>
      </c>
      <c r="Z1754" s="1552" t="s">
        <v>1529</v>
      </c>
      <c r="AA1754" s="427"/>
      <c r="AB1754" s="974"/>
      <c r="AC1754" s="6301"/>
    </row>
    <row r="1755" spans="1:29" ht="27" thickBot="1">
      <c r="A1755" s="11"/>
      <c r="B1755" s="7761" t="s">
        <v>1534</v>
      </c>
      <c r="C1755" s="7762"/>
      <c r="D1755" s="7762"/>
      <c r="E1755" s="7762"/>
      <c r="F1755" s="7763"/>
      <c r="G1755" s="7764" t="s">
        <v>1440</v>
      </c>
      <c r="H1755" s="7765"/>
      <c r="I1755" s="7765"/>
      <c r="J1755" s="7766"/>
      <c r="K1755" s="7767"/>
      <c r="L1755" s="7768"/>
      <c r="M1755" s="7769"/>
      <c r="N1755" s="7770"/>
      <c r="O1755" s="7769"/>
      <c r="P1755" s="7770"/>
      <c r="Q1755" s="7769"/>
      <c r="R1755" s="7751"/>
      <c r="S1755" s="7750"/>
      <c r="T1755" s="7771"/>
      <c r="U1755" s="7772"/>
      <c r="V1755" s="7773"/>
      <c r="W1755" s="7774"/>
      <c r="X1755" s="7774"/>
      <c r="Y1755" s="7773"/>
      <c r="Z1755" s="7775"/>
      <c r="AA1755" s="7775"/>
      <c r="AB1755" s="7776"/>
    </row>
    <row r="1756" spans="1:29" ht="20.100000000000001" customHeight="1">
      <c r="A1756" s="11"/>
      <c r="B1756" s="1553"/>
      <c r="C1756" s="9929" t="s">
        <v>2014</v>
      </c>
      <c r="D1756" s="9930"/>
      <c r="E1756" s="9930"/>
      <c r="F1756" s="9931"/>
      <c r="G1756" s="7822"/>
      <c r="H1756" s="9930" t="s">
        <v>1535</v>
      </c>
      <c r="I1756" s="9930"/>
      <c r="J1756" s="9930"/>
      <c r="K1756" s="9932" t="s">
        <v>168</v>
      </c>
      <c r="L1756" s="7823"/>
      <c r="M1756" s="7824"/>
      <c r="N1756" s="7825"/>
      <c r="O1756" s="7826"/>
      <c r="P1756" s="7827"/>
      <c r="Q1756" s="7826"/>
      <c r="R1756" s="7828" t="s">
        <v>31</v>
      </c>
      <c r="S1756" s="7826"/>
      <c r="T1756" s="7779"/>
      <c r="U1756" s="262"/>
      <c r="V1756" s="1034" t="s">
        <v>37</v>
      </c>
      <c r="W1756" s="1554"/>
      <c r="X1756" s="1555"/>
      <c r="Y1756" s="1556"/>
      <c r="Z1756" s="6338"/>
      <c r="AA1756" s="1231"/>
      <c r="AB1756" s="1232"/>
    </row>
    <row r="1757" spans="1:29" ht="20.100000000000001" customHeight="1">
      <c r="A1757" s="11"/>
      <c r="B1757" s="1360"/>
      <c r="C1757" s="1385"/>
      <c r="D1757" s="1142" t="s">
        <v>1536</v>
      </c>
      <c r="E1757" s="915"/>
      <c r="F1757" s="1143" t="s">
        <v>33</v>
      </c>
      <c r="G1757" s="358"/>
      <c r="H1757" s="6266"/>
      <c r="I1757" s="384" t="s">
        <v>1537</v>
      </c>
      <c r="J1757" s="384"/>
      <c r="K1757" s="1143" t="s">
        <v>35</v>
      </c>
      <c r="L1757" s="6753">
        <v>975</v>
      </c>
      <c r="M1757" s="7249"/>
      <c r="N1757" s="6842">
        <v>2044</v>
      </c>
      <c r="O1757" s="7428"/>
      <c r="P1757" s="6957">
        <v>1303</v>
      </c>
      <c r="Q1757" s="7375"/>
      <c r="R1757" s="6667" t="s">
        <v>31</v>
      </c>
      <c r="S1757" s="6583"/>
      <c r="T1757" s="1033" t="s">
        <v>1538</v>
      </c>
      <c r="U1757" s="6300" t="s">
        <v>1539</v>
      </c>
      <c r="V1757" s="1153" t="s">
        <v>37</v>
      </c>
      <c r="W1757" s="1154"/>
      <c r="X1757" s="1155"/>
      <c r="Y1757" s="299" t="s">
        <v>193</v>
      </c>
      <c r="Z1757" s="981" t="s">
        <v>1540</v>
      </c>
      <c r="AA1757" s="427"/>
      <c r="AB1757" s="974"/>
    </row>
    <row r="1758" spans="1:29" ht="20.100000000000001" customHeight="1">
      <c r="A1758" s="11"/>
      <c r="B1758" s="1360"/>
      <c r="C1758" s="1547"/>
      <c r="D1758" s="787" t="s">
        <v>1451</v>
      </c>
      <c r="E1758" s="781"/>
      <c r="F1758" s="285" t="s">
        <v>33</v>
      </c>
      <c r="G1758" s="358"/>
      <c r="H1758" s="6267"/>
      <c r="I1758" s="347" t="s">
        <v>1541</v>
      </c>
      <c r="J1758" s="347"/>
      <c r="K1758" s="997" t="s">
        <v>35</v>
      </c>
      <c r="L1758" s="6753">
        <v>181</v>
      </c>
      <c r="M1758" s="7249"/>
      <c r="N1758" s="6842">
        <v>227</v>
      </c>
      <c r="O1758" s="7428"/>
      <c r="P1758" s="6957">
        <v>240</v>
      </c>
      <c r="Q1758" s="7375"/>
      <c r="R1758" s="6665" t="s">
        <v>31</v>
      </c>
      <c r="S1758" s="6579"/>
      <c r="T1758" s="2487" t="s">
        <v>1542</v>
      </c>
      <c r="U1758" s="1164" t="s">
        <v>1543</v>
      </c>
      <c r="V1758" s="165" t="s">
        <v>37</v>
      </c>
      <c r="W1758" s="1102"/>
      <c r="X1758" s="1101"/>
      <c r="Y1758" s="299" t="s">
        <v>193</v>
      </c>
      <c r="Z1758" s="277" t="s">
        <v>1544</v>
      </c>
      <c r="AA1758" s="265"/>
      <c r="AB1758" s="982"/>
    </row>
    <row r="1759" spans="1:29" ht="20.100000000000001" customHeight="1">
      <c r="A1759" s="11"/>
      <c r="B1759" s="1360"/>
      <c r="C1759" s="9739" t="s">
        <v>1545</v>
      </c>
      <c r="D1759" s="9740"/>
      <c r="E1759" s="9741"/>
      <c r="F1759" s="6683" t="s">
        <v>156</v>
      </c>
      <c r="G1759" s="7028"/>
      <c r="H1759" s="9736" t="s">
        <v>1546</v>
      </c>
      <c r="I1759" s="9737"/>
      <c r="J1759" s="9642"/>
      <c r="K1759" s="6683" t="s">
        <v>154</v>
      </c>
      <c r="L1759" s="7087">
        <v>0</v>
      </c>
      <c r="M1759" s="7090"/>
      <c r="N1759" s="7088">
        <v>0</v>
      </c>
      <c r="O1759" s="7090"/>
      <c r="P1759" s="7040">
        <v>0</v>
      </c>
      <c r="Q1759" s="7495"/>
      <c r="R1759" s="7089" t="s">
        <v>31</v>
      </c>
      <c r="S1759" s="7090"/>
      <c r="T1759" s="7008" t="s">
        <v>1547</v>
      </c>
      <c r="U1759" s="367" t="s">
        <v>1548</v>
      </c>
      <c r="V1759" s="162" t="s">
        <v>37</v>
      </c>
      <c r="W1759" s="773"/>
      <c r="X1759" s="547"/>
      <c r="Y1759" s="299" t="s">
        <v>193</v>
      </c>
      <c r="Z1759" s="277" t="s">
        <v>1549</v>
      </c>
      <c r="AA1759" s="265"/>
      <c r="AB1759" s="982"/>
    </row>
    <row r="1760" spans="1:29" ht="20.100000000000001" customHeight="1">
      <c r="A1760" s="11"/>
      <c r="B1760" s="1360"/>
      <c r="C1760" s="1385"/>
      <c r="D1760" s="936" t="s">
        <v>1550</v>
      </c>
      <c r="E1760" s="924"/>
      <c r="F1760" s="105" t="s">
        <v>33</v>
      </c>
      <c r="G1760" s="358"/>
      <c r="H1760" s="6319"/>
      <c r="I1760" s="384" t="s">
        <v>1551</v>
      </c>
      <c r="J1760" s="384"/>
      <c r="K1760" s="285" t="s">
        <v>35</v>
      </c>
      <c r="L1760" s="6753">
        <v>0</v>
      </c>
      <c r="M1760" s="7249"/>
      <c r="N1760" s="6842">
        <v>0</v>
      </c>
      <c r="O1760" s="7428"/>
      <c r="P1760" s="6957">
        <v>0</v>
      </c>
      <c r="Q1760" s="7375"/>
      <c r="R1760" s="6664" t="s">
        <v>31</v>
      </c>
      <c r="S1760" s="6577"/>
      <c r="T1760" s="498"/>
      <c r="U1760" s="1164"/>
      <c r="V1760" s="165" t="s">
        <v>37</v>
      </c>
      <c r="W1760" s="773"/>
      <c r="X1760" s="1101"/>
      <c r="Y1760" s="299" t="s">
        <v>193</v>
      </c>
      <c r="Z1760" s="427" t="s">
        <v>1549</v>
      </c>
      <c r="AA1760" s="427"/>
      <c r="AB1760" s="982"/>
    </row>
    <row r="1761" spans="1:30" ht="20.100000000000001" customHeight="1" thickBot="1">
      <c r="A1761" s="11"/>
      <c r="B1761" s="1361"/>
      <c r="C1761" s="1169"/>
      <c r="D1761" s="1168" t="s">
        <v>1552</v>
      </c>
      <c r="E1761" s="1169"/>
      <c r="F1761" s="1170" t="s">
        <v>33</v>
      </c>
      <c r="G1761" s="707"/>
      <c r="H1761" s="6278"/>
      <c r="I1761" s="707" t="s">
        <v>1553</v>
      </c>
      <c r="J1761" s="707"/>
      <c r="K1761" s="5641" t="s">
        <v>35</v>
      </c>
      <c r="L1761" s="6814">
        <v>650</v>
      </c>
      <c r="M1761" s="7333" t="s">
        <v>1554</v>
      </c>
      <c r="N1761" s="6895">
        <v>690</v>
      </c>
      <c r="O1761" s="7429" t="s">
        <v>1554</v>
      </c>
      <c r="P1761" s="6964">
        <v>720</v>
      </c>
      <c r="Q1761" s="7494"/>
      <c r="R1761" s="6664" t="s">
        <v>31</v>
      </c>
      <c r="S1761" s="6579"/>
      <c r="T1761" s="2490"/>
      <c r="U1761" s="1180"/>
      <c r="V1761" s="1181" t="s">
        <v>37</v>
      </c>
      <c r="W1761" s="1182"/>
      <c r="X1761" s="597"/>
      <c r="Y1761" s="1130" t="s">
        <v>193</v>
      </c>
      <c r="Z1761" s="1183" t="s">
        <v>1549</v>
      </c>
      <c r="AA1761" s="1131"/>
      <c r="AB1761" s="1184"/>
    </row>
    <row r="1762" spans="1:30" ht="27" thickBot="1">
      <c r="A1762" s="11"/>
      <c r="B1762" s="7761" t="s">
        <v>1555</v>
      </c>
      <c r="C1762" s="7765"/>
      <c r="D1762" s="7765"/>
      <c r="E1762" s="7765"/>
      <c r="F1762" s="7765"/>
      <c r="G1762" s="7829" t="s">
        <v>1556</v>
      </c>
      <c r="H1762" s="7830"/>
      <c r="I1762" s="7830"/>
      <c r="J1762" s="7830"/>
      <c r="K1762" s="7767"/>
      <c r="L1762" s="7768"/>
      <c r="M1762" s="7769"/>
      <c r="N1762" s="7770"/>
      <c r="O1762" s="7769"/>
      <c r="P1762" s="7770"/>
      <c r="Q1762" s="7831"/>
      <c r="R1762" s="7763"/>
      <c r="S1762" s="7783"/>
      <c r="T1762" s="7772"/>
      <c r="U1762" s="7832"/>
      <c r="V1762" s="7832"/>
      <c r="W1762" s="7833"/>
      <c r="X1762" s="7833"/>
      <c r="Y1762" s="7832"/>
      <c r="Z1762" s="7834"/>
      <c r="AA1762" s="7834"/>
      <c r="AB1762" s="7835"/>
    </row>
    <row r="1763" spans="1:30" s="139" customFormat="1" ht="20.100000000000001" customHeight="1">
      <c r="B1763" s="1359"/>
      <c r="C1763" s="9739" t="s">
        <v>1557</v>
      </c>
      <c r="D1763" s="9740"/>
      <c r="E1763" s="9741"/>
      <c r="F1763" s="7055" t="s">
        <v>156</v>
      </c>
      <c r="G1763" s="7077"/>
      <c r="H1763" s="9736" t="s">
        <v>1558</v>
      </c>
      <c r="I1763" s="9737"/>
      <c r="J1763" s="9642"/>
      <c r="K1763" s="7055" t="s">
        <v>156</v>
      </c>
      <c r="L1763" s="7091">
        <v>40.019095388033222</v>
      </c>
      <c r="M1763" s="7334"/>
      <c r="N1763" s="7092">
        <v>48.507536747687816</v>
      </c>
      <c r="O1763" s="7430"/>
      <c r="P1763" s="7092">
        <v>33.621514197458332</v>
      </c>
      <c r="Q1763" s="7496"/>
      <c r="R1763" s="7093" t="s">
        <v>31</v>
      </c>
      <c r="S1763" s="7094"/>
      <c r="T1763" s="7095" t="s">
        <v>1559</v>
      </c>
      <c r="U1763" s="1194" t="s">
        <v>1560</v>
      </c>
      <c r="V1763" s="758" t="s">
        <v>37</v>
      </c>
      <c r="W1763" s="534"/>
      <c r="X1763" s="534"/>
      <c r="Y1763" s="299" t="s">
        <v>193</v>
      </c>
      <c r="Z1763" s="277" t="s">
        <v>1561</v>
      </c>
      <c r="AA1763" s="154"/>
      <c r="AB1763" s="1195"/>
      <c r="AC1763" s="6301"/>
    </row>
    <row r="1764" spans="1:30" s="139" customFormat="1" ht="20.100000000000001" customHeight="1">
      <c r="B1764" s="1360"/>
      <c r="C1764" s="1385"/>
      <c r="D1764" s="1196" t="s">
        <v>1562</v>
      </c>
      <c r="E1764" s="253"/>
      <c r="F1764" s="105" t="s">
        <v>1563</v>
      </c>
      <c r="G1764" s="735"/>
      <c r="H1764" s="6266"/>
      <c r="I1764" s="457" t="s">
        <v>1564</v>
      </c>
      <c r="J1764" s="457"/>
      <c r="K1764" s="105" t="s">
        <v>1565</v>
      </c>
      <c r="L1764" s="6753">
        <v>16330477</v>
      </c>
      <c r="M1764" s="7249"/>
      <c r="N1764" s="6842">
        <v>23148659</v>
      </c>
      <c r="O1764" s="7428"/>
      <c r="P1764" s="6965">
        <v>41163345</v>
      </c>
      <c r="Q1764" s="7375"/>
      <c r="R1764" s="6664" t="s">
        <v>31</v>
      </c>
      <c r="S1764" s="6577"/>
      <c r="T1764" s="2492"/>
      <c r="U1764" s="1202"/>
      <c r="V1764" s="162" t="s">
        <v>37</v>
      </c>
      <c r="W1764" s="547"/>
      <c r="X1764" s="547"/>
      <c r="Y1764" s="299" t="s">
        <v>193</v>
      </c>
      <c r="Z1764" s="277" t="s">
        <v>1561</v>
      </c>
      <c r="AA1764" s="154"/>
      <c r="AB1764" s="1195"/>
      <c r="AC1764" s="6301"/>
      <c r="AD1764" s="139" t="s">
        <v>1566</v>
      </c>
    </row>
    <row r="1765" spans="1:30" s="139" customFormat="1" ht="20.100000000000001" customHeight="1">
      <c r="B1765" s="1360"/>
      <c r="C1765" s="1547"/>
      <c r="D1765" s="1196" t="s">
        <v>1567</v>
      </c>
      <c r="E1765" s="726"/>
      <c r="F1765" s="105" t="s">
        <v>1563</v>
      </c>
      <c r="G1765" s="735"/>
      <c r="H1765" s="6267"/>
      <c r="I1765" s="457" t="s">
        <v>1568</v>
      </c>
      <c r="J1765" s="457"/>
      <c r="K1765" s="105" t="s">
        <v>1565</v>
      </c>
      <c r="L1765" s="6810">
        <v>40806712</v>
      </c>
      <c r="M1765" s="7335"/>
      <c r="N1765" s="6844">
        <v>47721778</v>
      </c>
      <c r="O1765" s="7377"/>
      <c r="P1765" s="6959">
        <v>122431562</v>
      </c>
      <c r="Q1765" s="7375"/>
      <c r="R1765" s="6664" t="s">
        <v>31</v>
      </c>
      <c r="S1765" s="6577"/>
      <c r="T1765" s="2468"/>
      <c r="U1765" s="276"/>
      <c r="V1765" s="162" t="s">
        <v>37</v>
      </c>
      <c r="W1765" s="547"/>
      <c r="X1765" s="547"/>
      <c r="Y1765" s="299" t="s">
        <v>193</v>
      </c>
      <c r="Z1765" s="277" t="s">
        <v>1561</v>
      </c>
      <c r="AA1765" s="154"/>
      <c r="AB1765" s="1195"/>
      <c r="AC1765" s="6301"/>
    </row>
    <row r="1766" spans="1:30" s="139" customFormat="1" ht="20.100000000000001" customHeight="1">
      <c r="B1766" s="1360"/>
      <c r="C1766" s="9739" t="s">
        <v>1569</v>
      </c>
      <c r="D1766" s="9740"/>
      <c r="E1766" s="9741"/>
      <c r="F1766" s="6683" t="s">
        <v>156</v>
      </c>
      <c r="G1766" s="6697"/>
      <c r="H1766" s="9736" t="s">
        <v>1570</v>
      </c>
      <c r="I1766" s="9737"/>
      <c r="J1766" s="9642"/>
      <c r="K1766" s="6683" t="s">
        <v>156</v>
      </c>
      <c r="L1766" s="7087">
        <v>0</v>
      </c>
      <c r="M1766" s="7336"/>
      <c r="N1766" s="7088">
        <v>0</v>
      </c>
      <c r="O1766" s="7431"/>
      <c r="P1766" s="7088">
        <v>0</v>
      </c>
      <c r="Q1766" s="7496"/>
      <c r="R1766" s="7093" t="s">
        <v>31</v>
      </c>
      <c r="S1766" s="7094"/>
      <c r="T1766" s="7069" t="s">
        <v>1571</v>
      </c>
      <c r="U1766" s="1202" t="s">
        <v>1572</v>
      </c>
      <c r="V1766" s="162" t="s">
        <v>37</v>
      </c>
      <c r="W1766" s="547"/>
      <c r="X1766" s="547"/>
      <c r="Y1766" s="299" t="s">
        <v>193</v>
      </c>
      <c r="Z1766" s="277" t="s">
        <v>1573</v>
      </c>
      <c r="AA1766" s="154"/>
      <c r="AB1766" s="1195"/>
      <c r="AC1766" s="6301"/>
    </row>
    <row r="1767" spans="1:30" s="139" customFormat="1" ht="20.100000000000001" customHeight="1">
      <c r="B1767" s="1360"/>
      <c r="C1767" s="1210"/>
      <c r="D1767" s="936" t="s">
        <v>1574</v>
      </c>
      <c r="E1767" s="924"/>
      <c r="F1767" s="105" t="s">
        <v>1563</v>
      </c>
      <c r="G1767" s="1223"/>
      <c r="H1767" s="6264"/>
      <c r="I1767" s="6316" t="s">
        <v>1575</v>
      </c>
      <c r="J1767" s="6242"/>
      <c r="K1767" s="105" t="s">
        <v>1565</v>
      </c>
      <c r="L1767" s="6753">
        <v>0</v>
      </c>
      <c r="M1767" s="7249"/>
      <c r="N1767" s="6842">
        <v>0</v>
      </c>
      <c r="O1767" s="7428"/>
      <c r="P1767" s="6957">
        <v>0</v>
      </c>
      <c r="Q1767" s="7375"/>
      <c r="R1767" s="6664" t="s">
        <v>31</v>
      </c>
      <c r="S1767" s="6577"/>
      <c r="T1767" s="2492"/>
      <c r="U1767" s="1202"/>
      <c r="V1767" s="162" t="s">
        <v>37</v>
      </c>
      <c r="W1767" s="547"/>
      <c r="X1767" s="547"/>
      <c r="Y1767" s="299" t="s">
        <v>193</v>
      </c>
      <c r="Z1767" s="277" t="s">
        <v>1573</v>
      </c>
      <c r="AA1767" s="154"/>
      <c r="AB1767" s="1195"/>
      <c r="AC1767" s="6301"/>
    </row>
    <row r="1768" spans="1:30" s="139" customFormat="1" ht="20.100000000000001" customHeight="1">
      <c r="B1768" s="1360"/>
      <c r="C1768" s="1210"/>
      <c r="D1768" s="1216" t="s">
        <v>1567</v>
      </c>
      <c r="E1768" s="1217"/>
      <c r="F1768" s="105" t="s">
        <v>1563</v>
      </c>
      <c r="G1768" s="1223"/>
      <c r="H1768" s="6265"/>
      <c r="I1768" s="1219" t="s">
        <v>1576</v>
      </c>
      <c r="J1768" s="1220"/>
      <c r="K1768" s="105" t="s">
        <v>1565</v>
      </c>
      <c r="L1768" s="6810">
        <v>40806712</v>
      </c>
      <c r="M1768" s="7335"/>
      <c r="N1768" s="6844">
        <v>47721778</v>
      </c>
      <c r="O1768" s="7377"/>
      <c r="P1768" s="6959">
        <v>122431562</v>
      </c>
      <c r="Q1768" s="7375"/>
      <c r="R1768" s="6664" t="s">
        <v>31</v>
      </c>
      <c r="S1768" s="6577"/>
      <c r="T1768" s="2468"/>
      <c r="U1768" s="276"/>
      <c r="V1768" s="162" t="s">
        <v>37</v>
      </c>
      <c r="W1768" s="547"/>
      <c r="X1768" s="547"/>
      <c r="Y1768" s="299" t="s">
        <v>193</v>
      </c>
      <c r="Z1768" s="277" t="s">
        <v>1573</v>
      </c>
      <c r="AA1768" s="154"/>
      <c r="AB1768" s="1195"/>
      <c r="AC1768" s="6301"/>
    </row>
    <row r="1769" spans="1:30" s="139" customFormat="1" ht="20.100000000000001" customHeight="1">
      <c r="B1769" s="1360"/>
      <c r="C1769" s="9739" t="s">
        <v>1577</v>
      </c>
      <c r="D1769" s="9740"/>
      <c r="E1769" s="9741"/>
      <c r="F1769" s="6969" t="s">
        <v>156</v>
      </c>
      <c r="G1769" s="7051"/>
      <c r="H1769" s="9739" t="s">
        <v>1578</v>
      </c>
      <c r="I1769" s="9740"/>
      <c r="J1769" s="9741"/>
      <c r="K1769" s="6969" t="s">
        <v>156</v>
      </c>
      <c r="L1769" s="7087">
        <v>0</v>
      </c>
      <c r="M1769" s="7336"/>
      <c r="N1769" s="7088">
        <v>0</v>
      </c>
      <c r="O1769" s="7431"/>
      <c r="P1769" s="7088" t="s">
        <v>169</v>
      </c>
      <c r="Q1769" s="7496"/>
      <c r="R1769" s="7093" t="s">
        <v>31</v>
      </c>
      <c r="S1769" s="7094"/>
      <c r="T1769" s="7096" t="s">
        <v>1579</v>
      </c>
      <c r="U1769" s="1230" t="s">
        <v>1580</v>
      </c>
      <c r="V1769" s="1034" t="s">
        <v>37</v>
      </c>
      <c r="W1769" s="878"/>
      <c r="X1769" s="878"/>
      <c r="Y1769" s="299" t="s">
        <v>193</v>
      </c>
      <c r="Z1769" s="277" t="s">
        <v>1581</v>
      </c>
      <c r="AA1769" s="154"/>
      <c r="AB1769" s="1195"/>
      <c r="AC1769" s="6301"/>
    </row>
    <row r="1770" spans="1:30" s="139" customFormat="1" ht="20.100000000000001" customHeight="1">
      <c r="B1770" s="1360"/>
      <c r="C1770" s="1210"/>
      <c r="D1770" s="936" t="s">
        <v>1582</v>
      </c>
      <c r="E1770" s="924"/>
      <c r="F1770" s="105" t="s">
        <v>1563</v>
      </c>
      <c r="G1770" s="1223"/>
      <c r="H1770" s="6264"/>
      <c r="I1770" s="932" t="s">
        <v>1583</v>
      </c>
      <c r="J1770" s="993"/>
      <c r="K1770" s="105" t="s">
        <v>1565</v>
      </c>
      <c r="L1770" s="6753">
        <v>0</v>
      </c>
      <c r="M1770" s="7249"/>
      <c r="N1770" s="6842">
        <v>0</v>
      </c>
      <c r="O1770" s="7428"/>
      <c r="P1770" s="6957">
        <v>0</v>
      </c>
      <c r="Q1770" s="7375"/>
      <c r="R1770" s="6664" t="s">
        <v>31</v>
      </c>
      <c r="S1770" s="6577"/>
      <c r="T1770" s="2492"/>
      <c r="U1770" s="1202"/>
      <c r="V1770" s="162" t="s">
        <v>37</v>
      </c>
      <c r="W1770" s="547"/>
      <c r="X1770" s="547"/>
      <c r="Y1770" s="299" t="s">
        <v>193</v>
      </c>
      <c r="Z1770" s="277" t="s">
        <v>1581</v>
      </c>
      <c r="AA1770" s="154"/>
      <c r="AB1770" s="1195"/>
      <c r="AC1770" s="6301"/>
    </row>
    <row r="1771" spans="1:30" s="139" customFormat="1" ht="20.100000000000001" customHeight="1">
      <c r="B1771" s="1360"/>
      <c r="C1771" s="1210"/>
      <c r="D1771" s="1216" t="s">
        <v>1584</v>
      </c>
      <c r="E1771" s="1217"/>
      <c r="F1771" s="105" t="s">
        <v>1563</v>
      </c>
      <c r="G1771" s="1223"/>
      <c r="H1771" s="6265"/>
      <c r="I1771" s="1219" t="s">
        <v>1585</v>
      </c>
      <c r="J1771" s="1220"/>
      <c r="K1771" s="105" t="s">
        <v>1565</v>
      </c>
      <c r="L1771" s="6753">
        <v>29176998</v>
      </c>
      <c r="M1771" s="7249"/>
      <c r="N1771" s="6842">
        <v>29176998</v>
      </c>
      <c r="O1771" s="7428"/>
      <c r="P1771" s="6957">
        <v>41134270</v>
      </c>
      <c r="Q1771" s="7375"/>
      <c r="R1771" s="6664" t="s">
        <v>31</v>
      </c>
      <c r="S1771" s="6579"/>
      <c r="T1771" s="1052"/>
      <c r="U1771" s="714"/>
      <c r="V1771" s="165" t="s">
        <v>37</v>
      </c>
      <c r="W1771" s="1101"/>
      <c r="X1771" s="1101"/>
      <c r="Y1771" s="299" t="s">
        <v>193</v>
      </c>
      <c r="Z1771" s="277" t="s">
        <v>1581</v>
      </c>
      <c r="AA1771" s="1231"/>
      <c r="AB1771" s="1232"/>
      <c r="AC1771" s="6301"/>
    </row>
    <row r="1772" spans="1:30" s="139" customFormat="1" ht="20.100000000000001" customHeight="1">
      <c r="B1772" s="1360"/>
      <c r="C1772" s="9739" t="s">
        <v>1586</v>
      </c>
      <c r="D1772" s="9740"/>
      <c r="E1772" s="9741"/>
      <c r="F1772" s="6683" t="s">
        <v>156</v>
      </c>
      <c r="G1772" s="7051"/>
      <c r="H1772" s="7752" t="s">
        <v>1587</v>
      </c>
      <c r="I1772" s="7753"/>
      <c r="J1772" s="7754"/>
      <c r="K1772" s="6683" t="s">
        <v>156</v>
      </c>
      <c r="L1772" s="7087" t="s">
        <v>169</v>
      </c>
      <c r="M1772" s="7007"/>
      <c r="N1772" s="7088" t="s">
        <v>169</v>
      </c>
      <c r="O1772" s="7007"/>
      <c r="P1772" s="7755" t="s">
        <v>169</v>
      </c>
      <c r="Q1772" s="7029"/>
      <c r="R1772" s="7093" t="s">
        <v>31</v>
      </c>
      <c r="S1772" s="7007"/>
      <c r="T1772" s="7008"/>
      <c r="U1772" s="1242"/>
      <c r="V1772" s="285" t="s">
        <v>37</v>
      </c>
      <c r="W1772" s="547"/>
      <c r="X1772" s="546"/>
      <c r="Y1772" s="299" t="s">
        <v>193</v>
      </c>
      <c r="Z1772" s="1243" t="s">
        <v>1588</v>
      </c>
      <c r="AA1772" s="265"/>
      <c r="AB1772" s="1244"/>
      <c r="AC1772" s="6301"/>
    </row>
    <row r="1773" spans="1:30" s="139" customFormat="1" ht="20.100000000000001" customHeight="1">
      <c r="B1773" s="1360"/>
      <c r="C1773" s="9739" t="s">
        <v>1589</v>
      </c>
      <c r="D1773" s="9740"/>
      <c r="E1773" s="9741"/>
      <c r="F1773" s="6683" t="s">
        <v>156</v>
      </c>
      <c r="G1773" s="7051"/>
      <c r="H1773" s="9736" t="s">
        <v>1590</v>
      </c>
      <c r="I1773" s="9740"/>
      <c r="J1773" s="9741"/>
      <c r="K1773" s="6683" t="s">
        <v>156</v>
      </c>
      <c r="L1773" s="7756">
        <v>0.59523809523809523</v>
      </c>
      <c r="M1773" s="7757"/>
      <c r="N1773" s="7088">
        <v>32.335329341317362</v>
      </c>
      <c r="O1773" s="7757"/>
      <c r="P1773" s="7088">
        <v>-333.39100346020763</v>
      </c>
      <c r="Q1773" s="7757"/>
      <c r="R1773" s="7093" t="s">
        <v>31</v>
      </c>
      <c r="S1773" s="7094"/>
      <c r="T1773" s="7096" t="s">
        <v>1591</v>
      </c>
      <c r="U1773" s="1230" t="s">
        <v>1592</v>
      </c>
      <c r="V1773" s="1034" t="s">
        <v>37</v>
      </c>
      <c r="W1773" s="878"/>
      <c r="X1773" s="878"/>
      <c r="Y1773" s="299" t="s">
        <v>193</v>
      </c>
      <c r="Z1773" s="277" t="s">
        <v>1593</v>
      </c>
      <c r="AA1773" s="154"/>
      <c r="AB1773" s="982"/>
      <c r="AC1773" s="6301"/>
    </row>
    <row r="1774" spans="1:30" s="139" customFormat="1" ht="20.100000000000001" customHeight="1">
      <c r="B1774" s="1360"/>
      <c r="C1774" s="1385"/>
      <c r="D1774" s="932" t="s">
        <v>1594</v>
      </c>
      <c r="E1774" s="926"/>
      <c r="F1774" s="105" t="s">
        <v>1595</v>
      </c>
      <c r="G1774" s="1211"/>
      <c r="H1774" s="6264"/>
      <c r="I1774" s="932" t="s">
        <v>1596</v>
      </c>
      <c r="J1774" s="993"/>
      <c r="K1774" s="105" t="s">
        <v>1597</v>
      </c>
      <c r="L1774" s="6753">
        <v>25200</v>
      </c>
      <c r="M1774" s="7249"/>
      <c r="N1774" s="6838">
        <v>25050</v>
      </c>
      <c r="O1774" s="7428"/>
      <c r="P1774" s="6965">
        <v>5780</v>
      </c>
      <c r="Q1774" s="7375"/>
      <c r="R1774" s="6664" t="s">
        <v>31</v>
      </c>
      <c r="S1774" s="6577"/>
      <c r="T1774" s="2492"/>
      <c r="U1774" s="1202"/>
      <c r="V1774" s="162" t="s">
        <v>37</v>
      </c>
      <c r="W1774" s="547"/>
      <c r="X1774" s="547"/>
      <c r="Y1774" s="299" t="s">
        <v>193</v>
      </c>
      <c r="Z1774" s="277" t="s">
        <v>1598</v>
      </c>
      <c r="AA1774" s="154"/>
      <c r="AB1774" s="1195"/>
      <c r="AC1774" s="6301"/>
      <c r="AD1774" s="139" t="s">
        <v>1599</v>
      </c>
    </row>
    <row r="1775" spans="1:30" s="139" customFormat="1" ht="20.100000000000001" customHeight="1">
      <c r="B1775" s="1360"/>
      <c r="C1775" s="1385"/>
      <c r="D1775" s="1219" t="s">
        <v>1600</v>
      </c>
      <c r="E1775" s="1251"/>
      <c r="F1775" s="109" t="s">
        <v>1595</v>
      </c>
      <c r="G1775" s="6270"/>
      <c r="H1775" s="6271"/>
      <c r="I1775" s="6268" t="s">
        <v>1601</v>
      </c>
      <c r="J1775" s="1251"/>
      <c r="K1775" s="665" t="s">
        <v>1597</v>
      </c>
      <c r="L1775" s="6753">
        <v>25050</v>
      </c>
      <c r="M1775" s="7249"/>
      <c r="N1775" s="6842">
        <v>16950</v>
      </c>
      <c r="O1775" s="7428"/>
      <c r="P1775" s="6957">
        <v>25050</v>
      </c>
      <c r="Q1775" s="7375"/>
      <c r="R1775" s="6664" t="s">
        <v>31</v>
      </c>
      <c r="S1775" s="6577"/>
      <c r="T1775" s="2468"/>
      <c r="U1775" s="276"/>
      <c r="V1775" s="162" t="s">
        <v>37</v>
      </c>
      <c r="W1775" s="547"/>
      <c r="X1775" s="547"/>
      <c r="Y1775" s="299" t="s">
        <v>193</v>
      </c>
      <c r="Z1775" s="277" t="s">
        <v>1598</v>
      </c>
      <c r="AA1775" s="154"/>
      <c r="AB1775" s="1195"/>
      <c r="AC1775" s="6301"/>
    </row>
    <row r="1776" spans="1:30" s="139" customFormat="1" ht="20.100000000000001" customHeight="1" thickBot="1">
      <c r="B1776" s="1361"/>
      <c r="C1776" s="1547"/>
      <c r="D1776" s="1256" t="s">
        <v>1602</v>
      </c>
      <c r="E1776" s="1251"/>
      <c r="F1776" s="109" t="s">
        <v>1595</v>
      </c>
      <c r="G1776" s="6272"/>
      <c r="H1776" s="6273"/>
      <c r="I1776" s="6269" t="s">
        <v>1603</v>
      </c>
      <c r="J1776" s="1251"/>
      <c r="K1776" s="665" t="s">
        <v>1597</v>
      </c>
      <c r="L1776" s="6814">
        <v>0</v>
      </c>
      <c r="M1776" s="7337"/>
      <c r="N1776" s="6895">
        <v>0</v>
      </c>
      <c r="O1776" s="7432"/>
      <c r="P1776" s="6964">
        <v>0</v>
      </c>
      <c r="Q1776" s="7494"/>
      <c r="R1776" s="6664" t="s">
        <v>31</v>
      </c>
      <c r="S1776" s="6577"/>
      <c r="T1776" s="2477"/>
      <c r="U1776" s="1271"/>
      <c r="V1776" s="165" t="s">
        <v>37</v>
      </c>
      <c r="W1776" s="1101"/>
      <c r="X1776" s="1101"/>
      <c r="Y1776" s="299" t="s">
        <v>193</v>
      </c>
      <c r="Z1776" s="981" t="s">
        <v>1598</v>
      </c>
      <c r="AA1776" s="1231"/>
      <c r="AB1776" s="1232"/>
      <c r="AC1776" s="6301"/>
    </row>
    <row r="1777" spans="1:29" ht="27" thickBot="1">
      <c r="A1777" s="11"/>
      <c r="B1777" s="7761" t="s">
        <v>1604</v>
      </c>
      <c r="C1777" s="7762"/>
      <c r="D1777" s="7762"/>
      <c r="E1777" s="7762"/>
      <c r="F1777" s="7763"/>
      <c r="G1777" s="7761" t="s">
        <v>1440</v>
      </c>
      <c r="H1777" s="7783"/>
      <c r="I1777" s="7762"/>
      <c r="J1777" s="7762"/>
      <c r="K1777" s="7763"/>
      <c r="L1777" s="7768"/>
      <c r="M1777" s="7769"/>
      <c r="N1777" s="7770"/>
      <c r="O1777" s="7769"/>
      <c r="P1777" s="7770"/>
      <c r="Q1777" s="7769"/>
      <c r="R1777" s="7763"/>
      <c r="S1777" s="7783"/>
      <c r="T1777" s="7771"/>
      <c r="U1777" s="7772"/>
      <c r="V1777" s="7773"/>
      <c r="W1777" s="7774"/>
      <c r="X1777" s="7774"/>
      <c r="Y1777" s="7773"/>
      <c r="Z1777" s="7775"/>
      <c r="AA1777" s="7775"/>
      <c r="AB1777" s="7776"/>
    </row>
    <row r="1778" spans="1:29" s="139" customFormat="1" ht="20.100000000000001" customHeight="1">
      <c r="B1778" s="1662"/>
      <c r="C1778" s="9739" t="s">
        <v>1605</v>
      </c>
      <c r="D1778" s="9740"/>
      <c r="E1778" s="9741"/>
      <c r="F1778" s="7055" t="s">
        <v>156</v>
      </c>
      <c r="G1778" s="7097"/>
      <c r="H1778" s="9736" t="s">
        <v>1606</v>
      </c>
      <c r="I1778" s="9740"/>
      <c r="J1778" s="9741"/>
      <c r="K1778" s="7055" t="s">
        <v>156</v>
      </c>
      <c r="L1778" s="7091">
        <v>0</v>
      </c>
      <c r="M1778" s="7099"/>
      <c r="N1778" s="7092">
        <v>0</v>
      </c>
      <c r="O1778" s="7433"/>
      <c r="P1778" s="7098">
        <v>0</v>
      </c>
      <c r="Q1778" s="7497"/>
      <c r="R1778" s="7093" t="s">
        <v>31</v>
      </c>
      <c r="S1778" s="7099"/>
      <c r="T1778" s="7095" t="s">
        <v>1607</v>
      </c>
      <c r="U1778" s="1284" t="s">
        <v>1608</v>
      </c>
      <c r="V1778" s="162" t="s">
        <v>37</v>
      </c>
      <c r="W1778" s="534"/>
      <c r="X1778" s="534"/>
      <c r="Y1778" s="299" t="s">
        <v>193</v>
      </c>
      <c r="Z1778" s="277" t="s">
        <v>1609</v>
      </c>
      <c r="AA1778" s="154"/>
      <c r="AB1778" s="1195"/>
      <c r="AC1778" s="6301"/>
    </row>
    <row r="1779" spans="1:29" s="139" customFormat="1" ht="20.100000000000001" customHeight="1">
      <c r="B1779" s="1360"/>
      <c r="C1779" s="1210"/>
      <c r="D1779" s="1216" t="s">
        <v>1610</v>
      </c>
      <c r="E1779" s="1217"/>
      <c r="F1779" s="105" t="s">
        <v>33</v>
      </c>
      <c r="G1779" s="475"/>
      <c r="H1779" s="1285"/>
      <c r="I1779" s="1219" t="s">
        <v>1611</v>
      </c>
      <c r="J1779" s="1285"/>
      <c r="K1779" s="105" t="s">
        <v>35</v>
      </c>
      <c r="L1779" s="6753">
        <v>0</v>
      </c>
      <c r="M1779" s="7249"/>
      <c r="N1779" s="6842">
        <v>0</v>
      </c>
      <c r="O1779" s="7428"/>
      <c r="P1779" s="6957">
        <v>0</v>
      </c>
      <c r="Q1779" s="7375"/>
      <c r="R1779" s="6664" t="s">
        <v>31</v>
      </c>
      <c r="S1779" s="6577"/>
      <c r="T1779" s="2492"/>
      <c r="U1779" s="1202"/>
      <c r="V1779" s="162" t="s">
        <v>37</v>
      </c>
      <c r="W1779" s="547"/>
      <c r="X1779" s="547"/>
      <c r="Y1779" s="299" t="s">
        <v>193</v>
      </c>
      <c r="Z1779" s="277" t="s">
        <v>1609</v>
      </c>
      <c r="AA1779" s="154"/>
      <c r="AB1779" s="1195"/>
      <c r="AC1779" s="6301"/>
    </row>
    <row r="1780" spans="1:29" s="139" customFormat="1" ht="20.100000000000001" customHeight="1">
      <c r="B1780" s="1360"/>
      <c r="C1780" s="1388"/>
      <c r="D1780" s="1216" t="s">
        <v>1612</v>
      </c>
      <c r="E1780" s="1217"/>
      <c r="F1780" s="105" t="s">
        <v>33</v>
      </c>
      <c r="G1780" s="475"/>
      <c r="H1780" s="1285"/>
      <c r="I1780" s="1219" t="s">
        <v>1613</v>
      </c>
      <c r="J1780" s="1285"/>
      <c r="K1780" s="105" t="s">
        <v>35</v>
      </c>
      <c r="L1780" s="6753">
        <v>396981</v>
      </c>
      <c r="M1780" s="7249"/>
      <c r="N1780" s="6842">
        <v>569297</v>
      </c>
      <c r="O1780" s="7428"/>
      <c r="P1780" s="6957">
        <v>628458</v>
      </c>
      <c r="Q1780" s="7375"/>
      <c r="R1780" s="6664" t="s">
        <v>31</v>
      </c>
      <c r="S1780" s="6577"/>
      <c r="T1780" s="2468"/>
      <c r="U1780" s="276"/>
      <c r="V1780" s="162" t="s">
        <v>37</v>
      </c>
      <c r="W1780" s="547"/>
      <c r="X1780" s="547"/>
      <c r="Y1780" s="299" t="s">
        <v>193</v>
      </c>
      <c r="Z1780" s="154" t="s">
        <v>1609</v>
      </c>
      <c r="AA1780" s="154"/>
      <c r="AB1780" s="1195"/>
      <c r="AC1780" s="6301"/>
    </row>
    <row r="1781" spans="1:29" s="139" customFormat="1" ht="20.100000000000001" customHeight="1">
      <c r="B1781" s="1662"/>
      <c r="C1781" s="9739" t="s">
        <v>1614</v>
      </c>
      <c r="D1781" s="9740"/>
      <c r="E1781" s="9741"/>
      <c r="F1781" s="6683" t="s">
        <v>156</v>
      </c>
      <c r="G1781" s="7060"/>
      <c r="H1781" s="9736" t="s">
        <v>1615</v>
      </c>
      <c r="I1781" s="9740"/>
      <c r="J1781" s="9642"/>
      <c r="K1781" s="6683" t="s">
        <v>156</v>
      </c>
      <c r="L1781" s="7087">
        <v>7.2726885424496288</v>
      </c>
      <c r="M1781" s="7100"/>
      <c r="N1781" s="7088">
        <v>3.880341856150396</v>
      </c>
      <c r="O1781" s="7434"/>
      <c r="P1781" s="7040">
        <v>4.6157765289153607</v>
      </c>
      <c r="Q1781" s="7498"/>
      <c r="R1781" s="7093" t="s">
        <v>31</v>
      </c>
      <c r="S1781" s="7100"/>
      <c r="T1781" s="7069" t="s">
        <v>1616</v>
      </c>
      <c r="U1781" s="1230" t="s">
        <v>1617</v>
      </c>
      <c r="V1781" s="1034" t="s">
        <v>37</v>
      </c>
      <c r="W1781" s="547"/>
      <c r="X1781" s="547"/>
      <c r="Y1781" s="299" t="s">
        <v>193</v>
      </c>
      <c r="Z1781" s="154" t="s">
        <v>1618</v>
      </c>
      <c r="AA1781" s="154"/>
      <c r="AB1781" s="1195"/>
      <c r="AC1781" s="6301"/>
    </row>
    <row r="1782" spans="1:29" s="139" customFormat="1" ht="20.100000000000001" customHeight="1">
      <c r="B1782" s="1360"/>
      <c r="C1782" s="1210"/>
      <c r="D1782" s="936" t="s">
        <v>1619</v>
      </c>
      <c r="E1782" s="924"/>
      <c r="F1782" s="105" t="s">
        <v>33</v>
      </c>
      <c r="G1782" s="1286"/>
      <c r="H1782" s="1292"/>
      <c r="I1782" s="995" t="s">
        <v>1620</v>
      </c>
      <c r="J1782" s="993"/>
      <c r="K1782" s="105" t="s">
        <v>35</v>
      </c>
      <c r="L1782" s="6753">
        <v>23899</v>
      </c>
      <c r="M1782" s="7249"/>
      <c r="N1782" s="6842">
        <v>27419</v>
      </c>
      <c r="O1782" s="7428"/>
      <c r="P1782" s="6957">
        <v>35695</v>
      </c>
      <c r="Q1782" s="7375"/>
      <c r="R1782" s="6664" t="s">
        <v>31</v>
      </c>
      <c r="S1782" s="6577"/>
      <c r="T1782" s="2492"/>
      <c r="U1782" s="1230"/>
      <c r="V1782" s="1034" t="s">
        <v>37</v>
      </c>
      <c r="W1782" s="547"/>
      <c r="X1782" s="547"/>
      <c r="Y1782" s="299" t="s">
        <v>193</v>
      </c>
      <c r="Z1782" s="154" t="s">
        <v>1618</v>
      </c>
      <c r="AA1782" s="154"/>
      <c r="AB1782" s="1195"/>
      <c r="AC1782" s="6301"/>
    </row>
    <row r="1783" spans="1:29" s="139" customFormat="1" ht="20.100000000000001" customHeight="1">
      <c r="B1783" s="1360"/>
      <c r="C1783" s="1210"/>
      <c r="D1783" s="1216" t="s">
        <v>1621</v>
      </c>
      <c r="E1783" s="1217"/>
      <c r="F1783" s="105" t="s">
        <v>33</v>
      </c>
      <c r="G1783" s="475"/>
      <c r="H1783" s="1285"/>
      <c r="I1783" s="726" t="s">
        <v>1622</v>
      </c>
      <c r="J1783" s="1293"/>
      <c r="K1783" s="105" t="s">
        <v>35</v>
      </c>
      <c r="L1783" s="6753">
        <v>328613</v>
      </c>
      <c r="M1783" s="7249"/>
      <c r="N1783" s="6842">
        <v>706613</v>
      </c>
      <c r="O1783" s="7428"/>
      <c r="P1783" s="6957">
        <v>773326</v>
      </c>
      <c r="Q1783" s="7375"/>
      <c r="R1783" s="6664" t="s">
        <v>31</v>
      </c>
      <c r="S1783" s="6577"/>
      <c r="T1783" s="2468"/>
      <c r="U1783" s="544"/>
      <c r="V1783" s="1034" t="s">
        <v>37</v>
      </c>
      <c r="W1783" s="547"/>
      <c r="X1783" s="547"/>
      <c r="Y1783" s="299" t="s">
        <v>193</v>
      </c>
      <c r="Z1783" s="154" t="s">
        <v>1618</v>
      </c>
      <c r="AA1783" s="154"/>
      <c r="AB1783" s="1195"/>
      <c r="AC1783" s="6301"/>
    </row>
    <row r="1784" spans="1:29" s="139" customFormat="1" ht="20.100000000000001" customHeight="1">
      <c r="B1784" s="1662"/>
      <c r="C1784" s="9739" t="s">
        <v>1623</v>
      </c>
      <c r="D1784" s="9740"/>
      <c r="E1784" s="9741"/>
      <c r="F1784" s="6683" t="s">
        <v>156</v>
      </c>
      <c r="G1784" s="7051"/>
      <c r="H1784" s="9736" t="s">
        <v>1624</v>
      </c>
      <c r="I1784" s="9740"/>
      <c r="J1784" s="9741"/>
      <c r="K1784" s="6683" t="s">
        <v>156</v>
      </c>
      <c r="L1784" s="7087">
        <v>10.767786647595091</v>
      </c>
      <c r="M1784" s="7100"/>
      <c r="N1784" s="7088">
        <v>14.159225569556872</v>
      </c>
      <c r="O1784" s="7434"/>
      <c r="P1784" s="7040">
        <v>13.541782443881015</v>
      </c>
      <c r="Q1784" s="7498"/>
      <c r="R1784" s="7093" t="s">
        <v>31</v>
      </c>
      <c r="S1784" s="7100"/>
      <c r="T1784" s="7069" t="s">
        <v>1625</v>
      </c>
      <c r="U1784" s="1230" t="s">
        <v>1626</v>
      </c>
      <c r="V1784" s="1034" t="s">
        <v>37</v>
      </c>
      <c r="W1784" s="547"/>
      <c r="X1784" s="547"/>
      <c r="Y1784" s="299" t="s">
        <v>193</v>
      </c>
      <c r="Z1784" s="154" t="s">
        <v>1627</v>
      </c>
      <c r="AA1784" s="154"/>
      <c r="AB1784" s="1195"/>
      <c r="AC1784" s="6301"/>
    </row>
    <row r="1785" spans="1:29" s="139" customFormat="1" ht="20.100000000000001" customHeight="1">
      <c r="B1785" s="1360"/>
      <c r="C1785" s="1210"/>
      <c r="D1785" s="936" t="s">
        <v>1628</v>
      </c>
      <c r="E1785" s="924"/>
      <c r="F1785" s="105" t="s">
        <v>33</v>
      </c>
      <c r="G1785" s="1286"/>
      <c r="H1785" s="1292"/>
      <c r="I1785" s="995" t="s">
        <v>1629</v>
      </c>
      <c r="J1785" s="993"/>
      <c r="K1785" s="105" t="s">
        <v>35</v>
      </c>
      <c r="L1785" s="6753">
        <v>52997</v>
      </c>
      <c r="M1785" s="7249"/>
      <c r="N1785" s="6842">
        <v>101802</v>
      </c>
      <c r="O1785" s="7428"/>
      <c r="P1785" s="6957">
        <v>103562</v>
      </c>
      <c r="Q1785" s="7375"/>
      <c r="R1785" s="6664" t="s">
        <v>31</v>
      </c>
      <c r="S1785" s="6577"/>
      <c r="T1785" s="2492"/>
      <c r="U1785" s="1230"/>
      <c r="V1785" s="1034" t="s">
        <v>37</v>
      </c>
      <c r="W1785" s="547"/>
      <c r="X1785" s="547"/>
      <c r="Y1785" s="299" t="s">
        <v>193</v>
      </c>
      <c r="Z1785" s="277" t="s">
        <v>1627</v>
      </c>
      <c r="AA1785" s="154"/>
      <c r="AB1785" s="1195"/>
      <c r="AC1785" s="6301"/>
    </row>
    <row r="1786" spans="1:29" s="139" customFormat="1" ht="20.100000000000001" customHeight="1" thickBot="1">
      <c r="B1786" s="1361"/>
      <c r="C1786" s="1388"/>
      <c r="D1786" s="1295" t="s">
        <v>1630</v>
      </c>
      <c r="E1786" s="1296"/>
      <c r="F1786" s="105" t="s">
        <v>33</v>
      </c>
      <c r="G1786" s="1297"/>
      <c r="H1786" s="1298"/>
      <c r="I1786" s="1299" t="s">
        <v>1631</v>
      </c>
      <c r="J1786" s="1255"/>
      <c r="K1786" s="105" t="s">
        <v>35</v>
      </c>
      <c r="L1786" s="6753">
        <v>492181</v>
      </c>
      <c r="M1786" s="7249"/>
      <c r="N1786" s="6842">
        <v>718980</v>
      </c>
      <c r="O1786" s="7428"/>
      <c r="P1786" s="6957">
        <v>764759</v>
      </c>
      <c r="Q1786" s="7471"/>
      <c r="R1786" s="6664" t="s">
        <v>31</v>
      </c>
      <c r="S1786" s="6577"/>
      <c r="T1786" s="1052"/>
      <c r="U1786" s="596"/>
      <c r="V1786" s="1153" t="s">
        <v>37</v>
      </c>
      <c r="W1786" s="1101"/>
      <c r="X1786" s="1101"/>
      <c r="Y1786" s="1551" t="s">
        <v>193</v>
      </c>
      <c r="Z1786" s="981" t="s">
        <v>1627</v>
      </c>
      <c r="AA1786" s="1231"/>
      <c r="AB1786" s="1232"/>
      <c r="AC1786" s="6301"/>
    </row>
    <row r="1787" spans="1:29" ht="27" thickBot="1">
      <c r="A1787" s="11"/>
      <c r="B1787" s="7761" t="s">
        <v>1632</v>
      </c>
      <c r="C1787" s="7762"/>
      <c r="D1787" s="7762"/>
      <c r="E1787" s="7762"/>
      <c r="F1787" s="7763"/>
      <c r="G1787" s="7763"/>
      <c r="H1787" s="7763"/>
      <c r="I1787" s="7763"/>
      <c r="J1787" s="7763"/>
      <c r="K1787" s="7763"/>
      <c r="L1787" s="7782"/>
      <c r="M1787" s="7783"/>
      <c r="N1787" s="7784"/>
      <c r="O1787" s="7783"/>
      <c r="P1787" s="7784"/>
      <c r="Q1787" s="7783"/>
      <c r="R1787" s="7763"/>
      <c r="S1787" s="7783"/>
      <c r="T1787" s="7836"/>
      <c r="U1787" s="2507"/>
      <c r="V1787" s="7845"/>
      <c r="W1787" s="7846"/>
      <c r="X1787" s="7846"/>
      <c r="Y1787" s="7845"/>
      <c r="Z1787" s="7847"/>
      <c r="AA1787" s="7847"/>
      <c r="AB1787" s="7848"/>
    </row>
    <row r="1788" spans="1:29" ht="20.100000000000001" customHeight="1">
      <c r="A1788" s="11"/>
      <c r="B1788" s="7837"/>
      <c r="C1788" s="9929" t="s">
        <v>1633</v>
      </c>
      <c r="D1788" s="9930"/>
      <c r="E1788" s="9930"/>
      <c r="F1788" s="9931"/>
      <c r="G1788" s="7838"/>
      <c r="H1788" s="7839" t="s">
        <v>1634</v>
      </c>
      <c r="I1788" s="7839"/>
      <c r="J1788" s="7839"/>
      <c r="K1788" s="7840"/>
      <c r="L1788" s="7823"/>
      <c r="M1788" s="7824"/>
      <c r="N1788" s="7825"/>
      <c r="O1788" s="7826"/>
      <c r="P1788" s="7827"/>
      <c r="Q1788" s="7841"/>
      <c r="R1788" s="7842" t="s">
        <v>31</v>
      </c>
      <c r="S1788" s="7843"/>
      <c r="T1788" s="7844"/>
      <c r="V1788" s="7849"/>
      <c r="W1788" s="7850"/>
      <c r="X1788" s="7850"/>
      <c r="Y1788" s="7849"/>
      <c r="Z1788" s="7851"/>
      <c r="AA1788" s="690"/>
      <c r="AB1788" s="1306"/>
    </row>
    <row r="1789" spans="1:29" ht="20.100000000000001" customHeight="1">
      <c r="A1789" s="11"/>
      <c r="B1789" s="1360"/>
      <c r="C1789" s="1210"/>
      <c r="D1789" s="5762" t="s">
        <v>2024</v>
      </c>
      <c r="E1789" s="5763"/>
      <c r="F1789" s="5766" t="s">
        <v>1636</v>
      </c>
      <c r="G1789" s="5770"/>
      <c r="H1789" s="5769"/>
      <c r="I1789" s="5767" t="s">
        <v>1637</v>
      </c>
      <c r="J1789" s="5767"/>
      <c r="K1789" s="5768" t="s">
        <v>1020</v>
      </c>
      <c r="L1789" s="6970" t="str">
        <f>IF(COUNTBLANK(L1790:L1795)&gt;0,"미취합법인有",SUM(L1790:L1795))</f>
        <v>미취합법인有</v>
      </c>
      <c r="M1789" s="7026"/>
      <c r="N1789" s="7001" t="str">
        <f>IF(COUNTBLANK(N1790:N1795)&gt;0,"미취합법인有",SUM(N1790:N1795))</f>
        <v>미취합법인有</v>
      </c>
      <c r="O1789" s="7384"/>
      <c r="P1789" s="7002" t="str">
        <f>IF(COUNTBLANK(P1790:P1795)&gt;0,"미취합법인有",SUM(P1790:P1795))</f>
        <v>미취합법인有</v>
      </c>
      <c r="Q1789" s="7492"/>
      <c r="R1789" s="7093" t="s">
        <v>1997</v>
      </c>
      <c r="S1789" s="7043" t="s">
        <v>2059</v>
      </c>
      <c r="T1789" s="7027" t="s">
        <v>1638</v>
      </c>
      <c r="U1789" s="276" t="s">
        <v>1639</v>
      </c>
      <c r="V1789" s="1034" t="s">
        <v>1635</v>
      </c>
      <c r="W1789" s="878"/>
      <c r="X1789" s="878"/>
      <c r="Y1789" s="1034"/>
      <c r="Z1789" s="620" t="s">
        <v>1640</v>
      </c>
      <c r="AA1789" s="277" t="s">
        <v>1024</v>
      </c>
      <c r="AB1789" s="1195"/>
    </row>
    <row r="1790" spans="1:29" ht="20.100000000000001" customHeight="1">
      <c r="A1790" s="11"/>
      <c r="B1790" s="1360"/>
      <c r="C1790" s="1388"/>
      <c r="D1790" s="9598" t="s">
        <v>134</v>
      </c>
      <c r="E1790" s="9600"/>
      <c r="F1790" s="285" t="s">
        <v>1636</v>
      </c>
      <c r="G1790" s="358"/>
      <c r="H1790" s="643"/>
      <c r="I1790" s="9579" t="s">
        <v>135</v>
      </c>
      <c r="J1790" s="9581"/>
      <c r="K1790" s="1143" t="s">
        <v>1020</v>
      </c>
      <c r="L1790" s="6753">
        <v>2892.3</v>
      </c>
      <c r="M1790" s="7261" t="s">
        <v>1641</v>
      </c>
      <c r="N1790" s="6842">
        <v>4113</v>
      </c>
      <c r="O1790" s="7370" t="s">
        <v>2060</v>
      </c>
      <c r="P1790" s="6842">
        <v>2030</v>
      </c>
      <c r="Q1790" s="7375"/>
      <c r="R1790" s="6667" t="s">
        <v>1997</v>
      </c>
      <c r="S1790" s="6692"/>
      <c r="T1790" s="2483"/>
      <c r="U1790" s="276"/>
      <c r="V1790" s="1034"/>
      <c r="W1790" s="878"/>
      <c r="X1790" s="878"/>
      <c r="Y1790" s="1034"/>
      <c r="Z1790" s="620"/>
      <c r="AA1790" s="277"/>
      <c r="AB1790" s="1195"/>
    </row>
    <row r="1791" spans="1:29" ht="20.100000000000001" customHeight="1">
      <c r="A1791" s="11"/>
      <c r="B1791" s="1360"/>
      <c r="C1791" s="1210"/>
      <c r="D1791" s="9598" t="s">
        <v>137</v>
      </c>
      <c r="E1791" s="9600"/>
      <c r="F1791" s="285" t="s">
        <v>1636</v>
      </c>
      <c r="G1791" s="358"/>
      <c r="H1791" s="643"/>
      <c r="I1791" s="9579" t="s">
        <v>138</v>
      </c>
      <c r="J1791" s="9581"/>
      <c r="K1791" s="1143" t="s">
        <v>1020</v>
      </c>
      <c r="L1791" s="6753">
        <f>'4DPLEX'!W400</f>
        <v>244</v>
      </c>
      <c r="M1791" s="7249"/>
      <c r="N1791" s="6842">
        <f>'4DPLEX'!T400</f>
        <v>288</v>
      </c>
      <c r="O1791" s="7428"/>
      <c r="P1791" s="6957">
        <f>'4DPLEX'!V400</f>
        <v>236.75</v>
      </c>
      <c r="Q1791" s="7375"/>
      <c r="R1791" s="6667" t="s">
        <v>1997</v>
      </c>
      <c r="S1791" s="6692"/>
      <c r="T1791" s="2483"/>
      <c r="U1791" s="276"/>
      <c r="V1791" s="1034"/>
      <c r="W1791" s="878"/>
      <c r="X1791" s="878"/>
      <c r="Y1791" s="1034"/>
      <c r="Z1791" s="620"/>
      <c r="AA1791" s="277"/>
      <c r="AB1791" s="1195"/>
    </row>
    <row r="1792" spans="1:29" ht="20.100000000000001" customHeight="1">
      <c r="A1792" s="11"/>
      <c r="B1792" s="1360"/>
      <c r="C1792" s="1388"/>
      <c r="D1792" s="9598" t="s">
        <v>140</v>
      </c>
      <c r="E1792" s="9600"/>
      <c r="F1792" s="285" t="s">
        <v>1636</v>
      </c>
      <c r="G1792" s="358"/>
      <c r="H1792" s="643"/>
      <c r="I1792" s="9582" t="s">
        <v>141</v>
      </c>
      <c r="J1792" s="9583"/>
      <c r="K1792" s="1143" t="s">
        <v>1020</v>
      </c>
      <c r="L1792" s="6753">
        <f>China!AO438</f>
        <v>0</v>
      </c>
      <c r="M1792" s="7249"/>
      <c r="N1792" s="6842">
        <f>China!AQ438</f>
        <v>0</v>
      </c>
      <c r="O1792" s="7428"/>
      <c r="P1792" s="6957">
        <f>China!AS438</f>
        <v>2</v>
      </c>
      <c r="Q1792" s="7375"/>
      <c r="R1792" s="6667" t="s">
        <v>1997</v>
      </c>
      <c r="S1792" s="6692"/>
      <c r="T1792" s="2483"/>
      <c r="U1792" s="276"/>
      <c r="V1792" s="1034"/>
      <c r="W1792" s="878"/>
      <c r="X1792" s="878"/>
      <c r="Y1792" s="1034"/>
      <c r="Z1792" s="620"/>
      <c r="AA1792" s="277"/>
      <c r="AB1792" s="1195"/>
    </row>
    <row r="1793" spans="1:28" ht="20.100000000000001" customHeight="1">
      <c r="A1793" s="11"/>
      <c r="B1793" s="1360"/>
      <c r="C1793" s="1210"/>
      <c r="D1793" s="9598" t="s">
        <v>143</v>
      </c>
      <c r="E1793" s="9600"/>
      <c r="F1793" s="285" t="s">
        <v>1636</v>
      </c>
      <c r="G1793" s="358"/>
      <c r="H1793" s="643"/>
      <c r="I1793" s="9582" t="s">
        <v>144</v>
      </c>
      <c r="J1793" s="9583"/>
      <c r="K1793" s="1143" t="s">
        <v>1020</v>
      </c>
      <c r="L1793" s="6781">
        <v>376</v>
      </c>
      <c r="M1793" s="7249"/>
      <c r="N1793" s="6867">
        <v>548</v>
      </c>
      <c r="O1793" s="7428"/>
      <c r="P1793" s="6966">
        <v>428</v>
      </c>
      <c r="Q1793" s="7375"/>
      <c r="R1793" s="6667" t="s">
        <v>1997</v>
      </c>
      <c r="S1793" s="6692"/>
      <c r="T1793" s="2483"/>
      <c r="U1793" s="276"/>
      <c r="V1793" s="1034"/>
      <c r="W1793" s="878"/>
      <c r="X1793" s="878"/>
      <c r="Y1793" s="1034"/>
      <c r="Z1793" s="620"/>
      <c r="AA1793" s="277"/>
      <c r="AB1793" s="1195"/>
    </row>
    <row r="1794" spans="1:28" ht="20.100000000000001" customHeight="1">
      <c r="A1794" s="11"/>
      <c r="B1794" s="1360"/>
      <c r="C1794" s="1388"/>
      <c r="D1794" s="9598" t="s">
        <v>146</v>
      </c>
      <c r="E1794" s="9600"/>
      <c r="F1794" s="285" t="s">
        <v>1636</v>
      </c>
      <c r="G1794" s="358"/>
      <c r="H1794" s="643"/>
      <c r="I1794" s="9582" t="s">
        <v>147</v>
      </c>
      <c r="J1794" s="9583"/>
      <c r="K1794" s="1143" t="s">
        <v>1020</v>
      </c>
      <c r="L1794" s="6753"/>
      <c r="M1794" s="7249"/>
      <c r="N1794" s="6842"/>
      <c r="O1794" s="7428"/>
      <c r="P1794" s="6957"/>
      <c r="Q1794" s="7375"/>
      <c r="R1794" s="6667" t="s">
        <v>1997</v>
      </c>
      <c r="S1794" s="6692"/>
      <c r="T1794" s="2483"/>
      <c r="U1794" s="276"/>
      <c r="V1794" s="1034"/>
      <c r="W1794" s="878"/>
      <c r="X1794" s="878"/>
      <c r="Y1794" s="1034"/>
      <c r="Z1794" s="620"/>
      <c r="AA1794" s="277"/>
      <c r="AB1794" s="1195"/>
    </row>
    <row r="1795" spans="1:28" ht="20.100000000000001" customHeight="1">
      <c r="A1795" s="11"/>
      <c r="B1795" s="1360"/>
      <c r="C1795" s="1210"/>
      <c r="D1795" s="9598" t="s">
        <v>149</v>
      </c>
      <c r="E1795" s="9600"/>
      <c r="F1795" s="285" t="s">
        <v>1636</v>
      </c>
      <c r="G1795" s="358"/>
      <c r="H1795" s="643"/>
      <c r="I1795" s="9582" t="s">
        <v>150</v>
      </c>
      <c r="J1795" s="9583"/>
      <c r="K1795" s="1143" t="s">
        <v>1020</v>
      </c>
      <c r="L1795" s="6753"/>
      <c r="M1795" s="7249"/>
      <c r="N1795" s="6842"/>
      <c r="O1795" s="7428"/>
      <c r="P1795" s="6957"/>
      <c r="Q1795" s="7375"/>
      <c r="R1795" s="6667" t="s">
        <v>1997</v>
      </c>
      <c r="S1795" s="6692"/>
      <c r="T1795" s="2483"/>
      <c r="U1795" s="276"/>
      <c r="V1795" s="1034"/>
      <c r="W1795" s="878"/>
      <c r="X1795" s="878"/>
      <c r="Y1795" s="1034"/>
      <c r="Z1795" s="620"/>
      <c r="AA1795" s="277"/>
      <c r="AB1795" s="1195"/>
    </row>
    <row r="1796" spans="1:28" ht="20.100000000000001" customHeight="1">
      <c r="A1796" s="11"/>
      <c r="B1796" s="1360"/>
      <c r="C1796" s="1388"/>
      <c r="D1796" s="5762" t="s">
        <v>2025</v>
      </c>
      <c r="E1796" s="5763"/>
      <c r="F1796" s="5766" t="s">
        <v>732</v>
      </c>
      <c r="G1796" s="5770"/>
      <c r="H1796" s="6279"/>
      <c r="I1796" s="5770" t="s">
        <v>1643</v>
      </c>
      <c r="J1796" s="5770"/>
      <c r="K1796" s="5766" t="s">
        <v>734</v>
      </c>
      <c r="L1796" s="6970" t="str">
        <f>IF(COUNTBLANK(L1797:L1802)&gt;0,"미취합법인有",SUM(L1797:L1802))</f>
        <v>미취합법인有</v>
      </c>
      <c r="M1796" s="7026"/>
      <c r="N1796" s="7001" t="str">
        <f>IF(COUNTBLANK(N1797:N1802)&gt;0,"미취합법인有",SUM(N1797:N1802))</f>
        <v>미취합법인有</v>
      </c>
      <c r="O1796" s="7384"/>
      <c r="P1796" s="7002" t="str">
        <f>IF(COUNTBLANK(P1797:P1802)&gt;0,"미취합법인有",SUM(P1797:P1802))</f>
        <v>미취합법인有</v>
      </c>
      <c r="Q1796" s="7492"/>
      <c r="R1796" s="7093" t="s">
        <v>1997</v>
      </c>
      <c r="S1796" s="7067"/>
      <c r="T1796" s="7008" t="s">
        <v>1644</v>
      </c>
      <c r="U1796" s="276" t="s">
        <v>1643</v>
      </c>
      <c r="V1796" s="162" t="s">
        <v>758</v>
      </c>
      <c r="W1796" s="547"/>
      <c r="X1796" s="547"/>
      <c r="Y1796" s="162"/>
      <c r="Z1796" s="620" t="s">
        <v>1645</v>
      </c>
      <c r="AA1796" s="277" t="s">
        <v>1024</v>
      </c>
      <c r="AB1796" s="982"/>
    </row>
    <row r="1797" spans="1:28" ht="20.100000000000001" customHeight="1">
      <c r="A1797" s="11"/>
      <c r="B1797" s="1360"/>
      <c r="C1797" s="1210"/>
      <c r="D1797" s="9598" t="s">
        <v>134</v>
      </c>
      <c r="E1797" s="9600"/>
      <c r="F1797" s="5623" t="s">
        <v>732</v>
      </c>
      <c r="G1797" s="358"/>
      <c r="H1797" s="643"/>
      <c r="I1797" s="9579" t="s">
        <v>135</v>
      </c>
      <c r="J1797" s="9581"/>
      <c r="K1797" s="285" t="s">
        <v>734</v>
      </c>
      <c r="L1797" s="7113">
        <v>1031</v>
      </c>
      <c r="M1797" s="7288" t="s">
        <v>1646</v>
      </c>
      <c r="N1797" s="7117">
        <v>1186</v>
      </c>
      <c r="O1797" s="7435" t="s">
        <v>1646</v>
      </c>
      <c r="P1797" s="7117">
        <v>1016</v>
      </c>
      <c r="Q1797" s="7375"/>
      <c r="R1797" s="6664" t="s">
        <v>1997</v>
      </c>
      <c r="S1797" s="6691"/>
      <c r="T1797" s="2468"/>
      <c r="U1797" s="276"/>
      <c r="V1797" s="162"/>
      <c r="W1797" s="547"/>
      <c r="X1797" s="547"/>
      <c r="Y1797" s="162"/>
      <c r="Z1797" s="620"/>
      <c r="AA1797" s="277"/>
      <c r="AB1797" s="982"/>
    </row>
    <row r="1798" spans="1:28" ht="20.100000000000001" customHeight="1">
      <c r="A1798" s="11"/>
      <c r="B1798" s="1360"/>
      <c r="C1798" s="1388"/>
      <c r="D1798" s="9598" t="s">
        <v>137</v>
      </c>
      <c r="E1798" s="9600"/>
      <c r="F1798" s="5623" t="s">
        <v>732</v>
      </c>
      <c r="G1798" s="358"/>
      <c r="H1798" s="643"/>
      <c r="I1798" s="9579" t="s">
        <v>138</v>
      </c>
      <c r="J1798" s="9581"/>
      <c r="K1798" s="285" t="s">
        <v>734</v>
      </c>
      <c r="L1798" s="7113">
        <f>'4DPLEX'!R401</f>
        <v>123</v>
      </c>
      <c r="M1798" s="7295"/>
      <c r="N1798" s="7117">
        <f>'4DPLEX'!T401</f>
        <v>161</v>
      </c>
      <c r="O1798" s="7414"/>
      <c r="P1798" s="7177">
        <f>'4DPLEX'!V401</f>
        <v>231</v>
      </c>
      <c r="Q1798" s="7375"/>
      <c r="R1798" s="6664" t="s">
        <v>1997</v>
      </c>
      <c r="S1798" s="6691"/>
      <c r="T1798" s="2468"/>
      <c r="U1798" s="276"/>
      <c r="V1798" s="162"/>
      <c r="W1798" s="547"/>
      <c r="X1798" s="547"/>
      <c r="Y1798" s="162"/>
      <c r="Z1798" s="620"/>
      <c r="AA1798" s="277"/>
      <c r="AB1798" s="982"/>
    </row>
    <row r="1799" spans="1:28" ht="20.100000000000001" customHeight="1">
      <c r="A1799" s="11"/>
      <c r="B1799" s="1360"/>
      <c r="C1799" s="1210"/>
      <c r="D1799" s="9598" t="s">
        <v>140</v>
      </c>
      <c r="E1799" s="9600"/>
      <c r="F1799" s="5623" t="s">
        <v>732</v>
      </c>
      <c r="G1799" s="358"/>
      <c r="H1799" s="643"/>
      <c r="I1799" s="9582" t="s">
        <v>141</v>
      </c>
      <c r="J1799" s="9583"/>
      <c r="K1799" s="285" t="s">
        <v>734</v>
      </c>
      <c r="L1799" s="7113">
        <f>China!AO439</f>
        <v>0</v>
      </c>
      <c r="M1799" s="7295"/>
      <c r="N1799" s="7117">
        <f>China!AQ439</f>
        <v>0</v>
      </c>
      <c r="O1799" s="7414"/>
      <c r="P1799" s="7177">
        <f>China!AS439</f>
        <v>750</v>
      </c>
      <c r="Q1799" s="7375"/>
      <c r="R1799" s="6664" t="s">
        <v>1997</v>
      </c>
      <c r="S1799" s="6691"/>
      <c r="T1799" s="2468"/>
      <c r="U1799" s="276"/>
      <c r="V1799" s="162"/>
      <c r="W1799" s="547"/>
      <c r="X1799" s="547"/>
      <c r="Y1799" s="162"/>
      <c r="Z1799" s="620"/>
      <c r="AA1799" s="277"/>
      <c r="AB1799" s="982"/>
    </row>
    <row r="1800" spans="1:28" ht="20.100000000000001" customHeight="1">
      <c r="A1800" s="11"/>
      <c r="B1800" s="1360"/>
      <c r="C1800" s="1388"/>
      <c r="D1800" s="9598" t="s">
        <v>143</v>
      </c>
      <c r="E1800" s="9600"/>
      <c r="F1800" s="5623" t="s">
        <v>732</v>
      </c>
      <c r="G1800" s="358"/>
      <c r="H1800" s="643"/>
      <c r="I1800" s="9582" t="s">
        <v>144</v>
      </c>
      <c r="J1800" s="9583"/>
      <c r="K1800" s="285" t="s">
        <v>734</v>
      </c>
      <c r="L1800" s="7114">
        <v>94</v>
      </c>
      <c r="M1800" s="7295"/>
      <c r="N1800" s="7120">
        <v>137</v>
      </c>
      <c r="O1800" s="7414"/>
      <c r="P1800" s="7198">
        <v>214</v>
      </c>
      <c r="Q1800" s="7375"/>
      <c r="R1800" s="6664" t="s">
        <v>1997</v>
      </c>
      <c r="S1800" s="6691"/>
      <c r="T1800" s="2468"/>
      <c r="U1800" s="276"/>
      <c r="V1800" s="162"/>
      <c r="W1800" s="547"/>
      <c r="X1800" s="547"/>
      <c r="Y1800" s="162"/>
      <c r="Z1800" s="620"/>
      <c r="AA1800" s="277"/>
      <c r="AB1800" s="982"/>
    </row>
    <row r="1801" spans="1:28" ht="20.100000000000001" customHeight="1">
      <c r="A1801" s="11"/>
      <c r="B1801" s="1360"/>
      <c r="C1801" s="1210"/>
      <c r="D1801" s="9598" t="s">
        <v>146</v>
      </c>
      <c r="E1801" s="9600"/>
      <c r="F1801" s="5623" t="s">
        <v>732</v>
      </c>
      <c r="G1801" s="358"/>
      <c r="H1801" s="643"/>
      <c r="I1801" s="9582" t="s">
        <v>147</v>
      </c>
      <c r="J1801" s="9583"/>
      <c r="K1801" s="285" t="s">
        <v>734</v>
      </c>
      <c r="L1801" s="7113"/>
      <c r="M1801" s="7295"/>
      <c r="N1801" s="7117"/>
      <c r="O1801" s="7414"/>
      <c r="P1801" s="7177"/>
      <c r="Q1801" s="7375"/>
      <c r="R1801" s="6664" t="s">
        <v>1997</v>
      </c>
      <c r="S1801" s="6691"/>
      <c r="T1801" s="2468"/>
      <c r="U1801" s="276"/>
      <c r="V1801" s="162"/>
      <c r="W1801" s="547"/>
      <c r="X1801" s="547"/>
      <c r="Y1801" s="162"/>
      <c r="Z1801" s="620"/>
      <c r="AA1801" s="277"/>
      <c r="AB1801" s="982"/>
    </row>
    <row r="1802" spans="1:28" ht="20.100000000000001" customHeight="1">
      <c r="A1802" s="11"/>
      <c r="B1802" s="6332"/>
      <c r="C1802" s="643"/>
      <c r="D1802" s="9582" t="s">
        <v>149</v>
      </c>
      <c r="E1802" s="9583"/>
      <c r="F1802" s="5623" t="s">
        <v>732</v>
      </c>
      <c r="G1802" s="358"/>
      <c r="H1802" s="643"/>
      <c r="I1802" s="9582" t="s">
        <v>150</v>
      </c>
      <c r="J1802" s="9583"/>
      <c r="K1802" s="285" t="s">
        <v>734</v>
      </c>
      <c r="L1802" s="7113"/>
      <c r="M1802" s="7295"/>
      <c r="N1802" s="7117"/>
      <c r="O1802" s="7414"/>
      <c r="P1802" s="7177"/>
      <c r="Q1802" s="7375"/>
      <c r="R1802" s="6664" t="s">
        <v>1997</v>
      </c>
      <c r="S1802" s="6691"/>
      <c r="T1802" s="2468"/>
      <c r="U1802" s="276"/>
      <c r="V1802" s="162"/>
      <c r="W1802" s="547"/>
      <c r="X1802" s="547"/>
      <c r="Y1802" s="162"/>
      <c r="Z1802" s="620"/>
      <c r="AA1802" s="277"/>
      <c r="AB1802" s="982"/>
    </row>
    <row r="1803" spans="1:28" ht="20.100000000000001" customHeight="1">
      <c r="A1803" s="11"/>
      <c r="B1803" s="1399"/>
      <c r="C1803" s="7760" t="s">
        <v>1647</v>
      </c>
      <c r="D1803" s="728"/>
      <c r="E1803" s="728"/>
      <c r="F1803" s="728"/>
      <c r="G1803" s="739"/>
      <c r="H1803" s="686" t="s">
        <v>1648</v>
      </c>
      <c r="I1803" s="654"/>
      <c r="J1803" s="655"/>
      <c r="K1803" s="2371"/>
      <c r="L1803" s="6813"/>
      <c r="M1803" s="7332"/>
      <c r="N1803" s="6899"/>
      <c r="O1803" s="7427"/>
      <c r="P1803" s="6962"/>
      <c r="Q1803" s="7499"/>
      <c r="R1803" s="7758"/>
      <c r="S1803" s="7759"/>
      <c r="T1803" s="7130"/>
      <c r="U1803" s="6310"/>
      <c r="V1803" s="162" t="s">
        <v>1649</v>
      </c>
      <c r="W1803" s="547"/>
      <c r="X1803" s="547"/>
      <c r="Y1803" s="162"/>
      <c r="Z1803" s="620"/>
      <c r="AA1803" s="277"/>
      <c r="AB1803" s="982"/>
    </row>
    <row r="1804" spans="1:28" ht="20.100000000000001" customHeight="1">
      <c r="A1804" s="11"/>
      <c r="B1804" s="5590"/>
      <c r="C1804" s="6639"/>
      <c r="D1804" s="5762" t="s">
        <v>1650</v>
      </c>
      <c r="E1804" s="5763"/>
      <c r="F1804" s="5766" t="s">
        <v>1476</v>
      </c>
      <c r="G1804" s="5770"/>
      <c r="H1804" s="7101"/>
      <c r="I1804" s="5770" t="s">
        <v>1651</v>
      </c>
      <c r="J1804" s="5770"/>
      <c r="K1804" s="5766" t="s">
        <v>559</v>
      </c>
      <c r="L1804" s="7111" t="str">
        <f>IF(COUNTBLANK(L1805:L1810)&gt;0,"미취합법인有",SUM(L1805:L1810))</f>
        <v>미취합법인有</v>
      </c>
      <c r="M1804" s="7279"/>
      <c r="N1804" s="7115" t="str">
        <f>IF(COUNTBLANK(N1805:N1810)&gt;0,"미취합법인有",SUM(N1805:N1810))</f>
        <v>미취합법인有</v>
      </c>
      <c r="O1804" s="7385"/>
      <c r="P1804" s="7121" t="str">
        <f>IF(COUNTBLANK(P1805:P1810)&gt;0,"미취합법인有",SUM(P1805:P1810))</f>
        <v>미취합법인有</v>
      </c>
      <c r="Q1804" s="7492"/>
      <c r="R1804" s="7066" t="s">
        <v>31</v>
      </c>
      <c r="S1804" s="7067"/>
      <c r="T1804" s="7008" t="s">
        <v>1652</v>
      </c>
      <c r="U1804" s="276" t="s">
        <v>1653</v>
      </c>
      <c r="V1804" s="162" t="s">
        <v>1649</v>
      </c>
      <c r="W1804" s="547"/>
      <c r="X1804" s="547"/>
      <c r="Y1804" s="162"/>
      <c r="Z1804" s="277" t="s">
        <v>1654</v>
      </c>
      <c r="AA1804" s="277" t="s">
        <v>1655</v>
      </c>
      <c r="AB1804" s="982"/>
    </row>
    <row r="1805" spans="1:28" ht="20.100000000000001" customHeight="1">
      <c r="A1805" s="11"/>
      <c r="B1805" s="1360"/>
      <c r="C1805" s="742"/>
      <c r="D1805" s="9598" t="s">
        <v>134</v>
      </c>
      <c r="E1805" s="9600"/>
      <c r="F1805" s="285" t="s">
        <v>1476</v>
      </c>
      <c r="G1805" s="358"/>
      <c r="H1805" s="6276"/>
      <c r="I1805" s="9579" t="s">
        <v>135</v>
      </c>
      <c r="J1805" s="9581"/>
      <c r="K1805" s="285" t="s">
        <v>559</v>
      </c>
      <c r="L1805" s="7113">
        <v>0</v>
      </c>
      <c r="M1805" s="7295"/>
      <c r="N1805" s="7117">
        <v>0</v>
      </c>
      <c r="O1805" s="7414"/>
      <c r="P1805" s="7177">
        <v>0</v>
      </c>
      <c r="Q1805" s="7375"/>
      <c r="R1805" s="6664" t="s">
        <v>31</v>
      </c>
      <c r="S1805" s="6577"/>
      <c r="T1805" s="2468"/>
      <c r="U1805" s="276"/>
      <c r="V1805" s="162"/>
      <c r="W1805" s="547"/>
      <c r="X1805" s="547"/>
      <c r="Y1805" s="162"/>
      <c r="Z1805" s="277"/>
      <c r="AA1805" s="277"/>
      <c r="AB1805" s="982"/>
    </row>
    <row r="1806" spans="1:28" ht="20.100000000000001" customHeight="1">
      <c r="A1806" s="11"/>
      <c r="B1806" s="1360"/>
      <c r="C1806" s="6639"/>
      <c r="D1806" s="9598" t="s">
        <v>137</v>
      </c>
      <c r="E1806" s="9600"/>
      <c r="F1806" s="285" t="s">
        <v>1476</v>
      </c>
      <c r="G1806" s="358"/>
      <c r="H1806" s="6275"/>
      <c r="I1806" s="9579" t="s">
        <v>138</v>
      </c>
      <c r="J1806" s="9581"/>
      <c r="K1806" s="285" t="s">
        <v>559</v>
      </c>
      <c r="L1806" s="7113">
        <v>0</v>
      </c>
      <c r="M1806" s="7295"/>
      <c r="N1806" s="7117">
        <v>0</v>
      </c>
      <c r="O1806" s="7414"/>
      <c r="P1806" s="7177">
        <v>0</v>
      </c>
      <c r="Q1806" s="7375"/>
      <c r="R1806" s="6664" t="s">
        <v>31</v>
      </c>
      <c r="S1806" s="6577"/>
      <c r="T1806" s="2468"/>
      <c r="U1806" s="276"/>
      <c r="V1806" s="162"/>
      <c r="W1806" s="547"/>
      <c r="X1806" s="547"/>
      <c r="Y1806" s="162"/>
      <c r="Z1806" s="277"/>
      <c r="AA1806" s="277"/>
      <c r="AB1806" s="982"/>
    </row>
    <row r="1807" spans="1:28" ht="20.100000000000001" customHeight="1">
      <c r="A1807" s="11"/>
      <c r="B1807" s="1360"/>
      <c r="C1807" s="742"/>
      <c r="D1807" s="9598" t="s">
        <v>140</v>
      </c>
      <c r="E1807" s="9600"/>
      <c r="F1807" s="285" t="s">
        <v>1476</v>
      </c>
      <c r="G1807" s="358"/>
      <c r="H1807" s="6276"/>
      <c r="I1807" s="9582" t="s">
        <v>141</v>
      </c>
      <c r="J1807" s="9583"/>
      <c r="K1807" s="285" t="s">
        <v>559</v>
      </c>
      <c r="L1807" s="7113">
        <v>0</v>
      </c>
      <c r="M1807" s="7295"/>
      <c r="N1807" s="7117">
        <v>0</v>
      </c>
      <c r="O1807" s="7414"/>
      <c r="P1807" s="7177">
        <v>0</v>
      </c>
      <c r="Q1807" s="7375"/>
      <c r="R1807" s="6664" t="s">
        <v>31</v>
      </c>
      <c r="S1807" s="6577"/>
      <c r="T1807" s="2468"/>
      <c r="U1807" s="276"/>
      <c r="V1807" s="162"/>
      <c r="W1807" s="547"/>
      <c r="X1807" s="547"/>
      <c r="Y1807" s="162"/>
      <c r="Z1807" s="277"/>
      <c r="AA1807" s="277"/>
      <c r="AB1807" s="982"/>
    </row>
    <row r="1808" spans="1:28" ht="20.100000000000001" customHeight="1">
      <c r="A1808" s="11"/>
      <c r="B1808" s="1360"/>
      <c r="C1808" s="6639"/>
      <c r="D1808" s="9598" t="s">
        <v>143</v>
      </c>
      <c r="E1808" s="9600"/>
      <c r="F1808" s="285" t="s">
        <v>1476</v>
      </c>
      <c r="G1808" s="358"/>
      <c r="H1808" s="6275"/>
      <c r="I1808" s="9582" t="s">
        <v>144</v>
      </c>
      <c r="J1808" s="9583"/>
      <c r="K1808" s="285" t="s">
        <v>559</v>
      </c>
      <c r="L1808" s="7172"/>
      <c r="M1808" s="7295"/>
      <c r="N1808" s="7178"/>
      <c r="O1808" s="7414"/>
      <c r="P1808" s="7199"/>
      <c r="Q1808" s="7375"/>
      <c r="R1808" s="6664" t="s">
        <v>1995</v>
      </c>
      <c r="S1808" s="6577"/>
      <c r="T1808" s="498"/>
      <c r="U1808" s="367"/>
      <c r="V1808" s="162"/>
      <c r="W1808" s="547"/>
      <c r="X1808" s="547"/>
      <c r="Y1808" s="162"/>
      <c r="Z1808" s="277"/>
      <c r="AA1808" s="277"/>
      <c r="AB1808" s="982"/>
    </row>
    <row r="1809" spans="1:28" ht="20.100000000000001" customHeight="1">
      <c r="A1809" s="11"/>
      <c r="B1809" s="1360"/>
      <c r="C1809" s="742"/>
      <c r="D1809" s="9598" t="s">
        <v>146</v>
      </c>
      <c r="E1809" s="9600"/>
      <c r="F1809" s="285" t="s">
        <v>1476</v>
      </c>
      <c r="G1809" s="358"/>
      <c r="H1809" s="6276"/>
      <c r="I1809" s="9582" t="s">
        <v>147</v>
      </c>
      <c r="J1809" s="9583"/>
      <c r="K1809" s="285" t="s">
        <v>559</v>
      </c>
      <c r="L1809" s="7172"/>
      <c r="M1809" s="7295"/>
      <c r="N1809" s="7178"/>
      <c r="O1809" s="7414"/>
      <c r="P1809" s="7199"/>
      <c r="Q1809" s="7375"/>
      <c r="R1809" s="6664" t="s">
        <v>1995</v>
      </c>
      <c r="S1809" s="6577"/>
      <c r="T1809" s="498"/>
      <c r="U1809" s="367"/>
      <c r="V1809" s="162"/>
      <c r="W1809" s="547"/>
      <c r="X1809" s="547"/>
      <c r="Y1809" s="162"/>
      <c r="Z1809" s="277"/>
      <c r="AA1809" s="277"/>
      <c r="AB1809" s="982"/>
    </row>
    <row r="1810" spans="1:28" ht="20.100000000000001" customHeight="1">
      <c r="A1810" s="11"/>
      <c r="B1810" s="1360"/>
      <c r="C1810" s="6639"/>
      <c r="D1810" s="9598" t="s">
        <v>149</v>
      </c>
      <c r="E1810" s="9600"/>
      <c r="F1810" s="285" t="s">
        <v>1476</v>
      </c>
      <c r="G1810" s="358"/>
      <c r="H1810" s="6275"/>
      <c r="I1810" s="9582" t="s">
        <v>150</v>
      </c>
      <c r="J1810" s="9583"/>
      <c r="K1810" s="285" t="s">
        <v>559</v>
      </c>
      <c r="L1810" s="7172"/>
      <c r="M1810" s="7295"/>
      <c r="N1810" s="7178"/>
      <c r="O1810" s="7414"/>
      <c r="P1810" s="7199"/>
      <c r="Q1810" s="7375"/>
      <c r="R1810" s="6664" t="s">
        <v>1995</v>
      </c>
      <c r="S1810" s="6577"/>
      <c r="T1810" s="498"/>
      <c r="U1810" s="367"/>
      <c r="V1810" s="162"/>
      <c r="W1810" s="547"/>
      <c r="X1810" s="547"/>
      <c r="Y1810" s="162"/>
      <c r="Z1810" s="277"/>
      <c r="AA1810" s="277"/>
      <c r="AB1810" s="982"/>
    </row>
    <row r="1811" spans="1:28" ht="20.100000000000001" customHeight="1">
      <c r="A1811" s="11"/>
      <c r="B1811" s="1360"/>
      <c r="C1811" s="6639"/>
      <c r="D1811" s="5762" t="s">
        <v>1656</v>
      </c>
      <c r="E1811" s="5763"/>
      <c r="F1811" s="5766" t="s">
        <v>1476</v>
      </c>
      <c r="G1811" s="5770"/>
      <c r="H1811" s="7101"/>
      <c r="I1811" s="5770" t="s">
        <v>1657</v>
      </c>
      <c r="J1811" s="5770"/>
      <c r="K1811" s="5766" t="s">
        <v>559</v>
      </c>
      <c r="L1811" s="7111" t="str">
        <f>IF(COUNTBLANK(L1812:L1817)&gt;0,"미취합법인有",SUM(L1812:L1817))</f>
        <v>미취합법인有</v>
      </c>
      <c r="M1811" s="7279"/>
      <c r="N1811" s="7115" t="str">
        <f>IF(COUNTBLANK(N1812:N1817)&gt;0,"미취합법인有",SUM(N1812:N1817))</f>
        <v>미취합법인有</v>
      </c>
      <c r="O1811" s="7385"/>
      <c r="P1811" s="7121" t="str">
        <f>IF(COUNTBLANK(P1812:P1817)&gt;0,"미취합법인有",SUM(P1812:P1817))</f>
        <v>미취합법인有</v>
      </c>
      <c r="Q1811" s="7492"/>
      <c r="R1811" s="7093" t="s">
        <v>31</v>
      </c>
      <c r="S1811" s="7067"/>
      <c r="T1811" s="7008" t="s">
        <v>1658</v>
      </c>
      <c r="U1811" s="367" t="s">
        <v>1659</v>
      </c>
      <c r="V1811" s="162" t="s">
        <v>1649</v>
      </c>
      <c r="W1811" s="547"/>
      <c r="X1811" s="547"/>
      <c r="Y1811" s="162"/>
      <c r="Z1811" s="277" t="s">
        <v>1660</v>
      </c>
      <c r="AA1811" s="265"/>
      <c r="AB1811" s="982"/>
    </row>
    <row r="1812" spans="1:28" ht="20.100000000000001" customHeight="1">
      <c r="A1812" s="11"/>
      <c r="B1812" s="1360"/>
      <c r="C1812" s="742"/>
      <c r="D1812" s="9598" t="s">
        <v>134</v>
      </c>
      <c r="E1812" s="9600"/>
      <c r="F1812" s="285" t="s">
        <v>1476</v>
      </c>
      <c r="G1812" s="358"/>
      <c r="H1812" s="6276"/>
      <c r="I1812" s="9579" t="s">
        <v>135</v>
      </c>
      <c r="J1812" s="9581"/>
      <c r="K1812" s="285" t="s">
        <v>559</v>
      </c>
      <c r="L1812" s="7113">
        <v>0</v>
      </c>
      <c r="M1812" s="7295"/>
      <c r="N1812" s="7117">
        <v>0</v>
      </c>
      <c r="O1812" s="7414"/>
      <c r="P1812" s="7177">
        <v>0</v>
      </c>
      <c r="Q1812" s="7375"/>
      <c r="R1812" s="6664" t="s">
        <v>31</v>
      </c>
      <c r="S1812" s="6577"/>
      <c r="T1812" s="498"/>
      <c r="U1812" s="367"/>
      <c r="V1812" s="162"/>
      <c r="W1812" s="547"/>
      <c r="X1812" s="547"/>
      <c r="Y1812" s="162"/>
      <c r="Z1812" s="277"/>
      <c r="AA1812" s="265"/>
      <c r="AB1812" s="982"/>
    </row>
    <row r="1813" spans="1:28" ht="20.100000000000001" customHeight="1">
      <c r="A1813" s="11"/>
      <c r="B1813" s="1360"/>
      <c r="C1813" s="6639"/>
      <c r="D1813" s="9598" t="s">
        <v>137</v>
      </c>
      <c r="E1813" s="9600"/>
      <c r="F1813" s="285" t="s">
        <v>1476</v>
      </c>
      <c r="G1813" s="358"/>
      <c r="H1813" s="6275"/>
      <c r="I1813" s="9579" t="s">
        <v>138</v>
      </c>
      <c r="J1813" s="9581"/>
      <c r="K1813" s="285" t="s">
        <v>559</v>
      </c>
      <c r="L1813" s="7113">
        <v>0</v>
      </c>
      <c r="M1813" s="7295"/>
      <c r="N1813" s="7117">
        <v>0</v>
      </c>
      <c r="O1813" s="7414"/>
      <c r="P1813" s="7177">
        <v>0</v>
      </c>
      <c r="Q1813" s="7375"/>
      <c r="R1813" s="6664" t="s">
        <v>31</v>
      </c>
      <c r="S1813" s="6577"/>
      <c r="T1813" s="498"/>
      <c r="U1813" s="367"/>
      <c r="V1813" s="162"/>
      <c r="W1813" s="547"/>
      <c r="X1813" s="547"/>
      <c r="Y1813" s="162"/>
      <c r="Z1813" s="277"/>
      <c r="AA1813" s="265"/>
      <c r="AB1813" s="982"/>
    </row>
    <row r="1814" spans="1:28" ht="20.100000000000001" customHeight="1">
      <c r="A1814" s="11"/>
      <c r="B1814" s="1360"/>
      <c r="C1814" s="742"/>
      <c r="D1814" s="9598" t="s">
        <v>140</v>
      </c>
      <c r="E1814" s="9600"/>
      <c r="F1814" s="285" t="s">
        <v>1476</v>
      </c>
      <c r="G1814" s="358"/>
      <c r="H1814" s="6276"/>
      <c r="I1814" s="9582" t="s">
        <v>141</v>
      </c>
      <c r="J1814" s="9583"/>
      <c r="K1814" s="285" t="s">
        <v>559</v>
      </c>
      <c r="L1814" s="7113">
        <v>0</v>
      </c>
      <c r="M1814" s="7295"/>
      <c r="N1814" s="7117">
        <v>0</v>
      </c>
      <c r="O1814" s="7414"/>
      <c r="P1814" s="7177">
        <v>0</v>
      </c>
      <c r="Q1814" s="7375"/>
      <c r="R1814" s="6664" t="s">
        <v>31</v>
      </c>
      <c r="S1814" s="6577"/>
      <c r="T1814" s="498"/>
      <c r="U1814" s="367"/>
      <c r="V1814" s="162"/>
      <c r="W1814" s="547"/>
      <c r="X1814" s="547"/>
      <c r="Y1814" s="162"/>
      <c r="Z1814" s="277"/>
      <c r="AA1814" s="265"/>
      <c r="AB1814" s="982"/>
    </row>
    <row r="1815" spans="1:28" ht="20.100000000000001" customHeight="1">
      <c r="A1815" s="11"/>
      <c r="B1815" s="1360"/>
      <c r="C1815" s="6639"/>
      <c r="D1815" s="9598" t="s">
        <v>143</v>
      </c>
      <c r="E1815" s="9600"/>
      <c r="F1815" s="285" t="s">
        <v>1476</v>
      </c>
      <c r="G1815" s="358"/>
      <c r="H1815" s="6275"/>
      <c r="I1815" s="9582" t="s">
        <v>144</v>
      </c>
      <c r="J1815" s="9583"/>
      <c r="K1815" s="285" t="s">
        <v>559</v>
      </c>
      <c r="L1815" s="7172"/>
      <c r="M1815" s="7295"/>
      <c r="N1815" s="7178"/>
      <c r="O1815" s="7414"/>
      <c r="P1815" s="7199"/>
      <c r="Q1815" s="7375"/>
      <c r="R1815" s="6664" t="s">
        <v>1995</v>
      </c>
      <c r="S1815" s="6577"/>
      <c r="T1815" s="498"/>
      <c r="U1815" s="367"/>
      <c r="V1815" s="162"/>
      <c r="W1815" s="547"/>
      <c r="X1815" s="547"/>
      <c r="Y1815" s="162"/>
      <c r="Z1815" s="277"/>
      <c r="AA1815" s="265"/>
      <c r="AB1815" s="982"/>
    </row>
    <row r="1816" spans="1:28" ht="20.100000000000001" customHeight="1">
      <c r="A1816" s="11"/>
      <c r="B1816" s="1360"/>
      <c r="C1816" s="742"/>
      <c r="D1816" s="9598" t="s">
        <v>146</v>
      </c>
      <c r="E1816" s="9600"/>
      <c r="F1816" s="285" t="s">
        <v>1476</v>
      </c>
      <c r="G1816" s="358"/>
      <c r="H1816" s="6276"/>
      <c r="I1816" s="9582" t="s">
        <v>147</v>
      </c>
      <c r="J1816" s="9583"/>
      <c r="K1816" s="285" t="s">
        <v>559</v>
      </c>
      <c r="L1816" s="7172"/>
      <c r="M1816" s="7295"/>
      <c r="N1816" s="7178"/>
      <c r="O1816" s="7414"/>
      <c r="P1816" s="7199"/>
      <c r="Q1816" s="7375"/>
      <c r="R1816" s="6664" t="s">
        <v>1995</v>
      </c>
      <c r="S1816" s="6577"/>
      <c r="T1816" s="498"/>
      <c r="U1816" s="367"/>
      <c r="V1816" s="162"/>
      <c r="W1816" s="547"/>
      <c r="X1816" s="547"/>
      <c r="Y1816" s="162"/>
      <c r="Z1816" s="277"/>
      <c r="AA1816" s="265"/>
      <c r="AB1816" s="982"/>
    </row>
    <row r="1817" spans="1:28" ht="20.100000000000001" customHeight="1">
      <c r="A1817" s="11"/>
      <c r="B1817" s="1360"/>
      <c r="C1817" s="6639"/>
      <c r="D1817" s="9598" t="s">
        <v>149</v>
      </c>
      <c r="E1817" s="9600"/>
      <c r="F1817" s="285" t="s">
        <v>1476</v>
      </c>
      <c r="G1817" s="358"/>
      <c r="H1817" s="6275"/>
      <c r="I1817" s="9582" t="s">
        <v>150</v>
      </c>
      <c r="J1817" s="9583"/>
      <c r="K1817" s="285" t="s">
        <v>559</v>
      </c>
      <c r="L1817" s="7172"/>
      <c r="M1817" s="7295"/>
      <c r="N1817" s="7178"/>
      <c r="O1817" s="7414"/>
      <c r="P1817" s="7199"/>
      <c r="Q1817" s="7375"/>
      <c r="R1817" s="6664" t="s">
        <v>1995</v>
      </c>
      <c r="S1817" s="6577"/>
      <c r="T1817" s="498"/>
      <c r="U1817" s="367"/>
      <c r="V1817" s="162"/>
      <c r="W1817" s="547"/>
      <c r="X1817" s="547"/>
      <c r="Y1817" s="162"/>
      <c r="Z1817" s="277"/>
      <c r="AA1817" s="265"/>
      <c r="AB1817" s="982"/>
    </row>
    <row r="1818" spans="1:28" ht="20.100000000000001" customHeight="1">
      <c r="A1818" s="11"/>
      <c r="B1818" s="1360"/>
      <c r="C1818" s="6639"/>
      <c r="D1818" s="5762" t="s">
        <v>1661</v>
      </c>
      <c r="E1818" s="5763"/>
      <c r="F1818" s="5766" t="s">
        <v>1476</v>
      </c>
      <c r="G1818" s="5770"/>
      <c r="H1818" s="7101"/>
      <c r="I1818" s="5770" t="s">
        <v>1662</v>
      </c>
      <c r="J1818" s="5770"/>
      <c r="K1818" s="5766" t="s">
        <v>559</v>
      </c>
      <c r="L1818" s="7111" t="str">
        <f>IF(COUNTBLANK(L1819:L1824)&gt;0,"미취합법인有",SUM(L1819:L1824))</f>
        <v>미취합법인有</v>
      </c>
      <c r="M1818" s="7279"/>
      <c r="N1818" s="7115" t="str">
        <f>IF(COUNTBLANK(N1819:N1824)&gt;0,"미취합법인有",SUM(N1819:N1824))</f>
        <v>미취합법인有</v>
      </c>
      <c r="O1818" s="7385"/>
      <c r="P1818" s="7121" t="str">
        <f>IF(COUNTBLANK(P1819:P1824)&gt;0,"미취합법인有",SUM(P1819:P1824))</f>
        <v>미취합법인有</v>
      </c>
      <c r="Q1818" s="7492"/>
      <c r="R1818" s="7093" t="s">
        <v>31</v>
      </c>
      <c r="S1818" s="7067"/>
      <c r="T1818" s="7008" t="s">
        <v>1994</v>
      </c>
      <c r="U1818" s="367" t="s">
        <v>1664</v>
      </c>
      <c r="V1818" s="162" t="s">
        <v>1649</v>
      </c>
      <c r="W1818" s="547"/>
      <c r="X1818" s="547"/>
      <c r="Y1818" s="162"/>
      <c r="Z1818" s="277" t="s">
        <v>1665</v>
      </c>
      <c r="AA1818" s="346" t="s">
        <v>1666</v>
      </c>
      <c r="AB1818" s="982" t="s">
        <v>1667</v>
      </c>
    </row>
    <row r="1819" spans="1:28" ht="20.100000000000001" customHeight="1">
      <c r="A1819" s="11"/>
      <c r="B1819" s="1360"/>
      <c r="C1819" s="742"/>
      <c r="D1819" s="9598" t="s">
        <v>134</v>
      </c>
      <c r="E1819" s="9600"/>
      <c r="F1819" s="285" t="s">
        <v>1476</v>
      </c>
      <c r="G1819" s="358"/>
      <c r="H1819" s="6276"/>
      <c r="I1819" s="9579" t="s">
        <v>135</v>
      </c>
      <c r="J1819" s="9581"/>
      <c r="K1819" s="285" t="s">
        <v>559</v>
      </c>
      <c r="L1819" s="7113">
        <v>0</v>
      </c>
      <c r="M1819" s="7295"/>
      <c r="N1819" s="7117">
        <v>0</v>
      </c>
      <c r="O1819" s="7414"/>
      <c r="P1819" s="7177">
        <v>0</v>
      </c>
      <c r="Q1819" s="7375"/>
      <c r="R1819" s="6664" t="s">
        <v>31</v>
      </c>
      <c r="S1819" s="6577"/>
      <c r="T1819" s="498"/>
      <c r="U1819" s="367"/>
      <c r="V1819" s="162"/>
      <c r="W1819" s="547"/>
      <c r="X1819" s="547"/>
      <c r="Y1819" s="162"/>
      <c r="Z1819" s="277"/>
      <c r="AA1819" s="346"/>
      <c r="AB1819" s="982"/>
    </row>
    <row r="1820" spans="1:28" ht="20.100000000000001" customHeight="1">
      <c r="A1820" s="11"/>
      <c r="B1820" s="1360"/>
      <c r="C1820" s="6639"/>
      <c r="D1820" s="9598" t="s">
        <v>137</v>
      </c>
      <c r="E1820" s="9600"/>
      <c r="F1820" s="285" t="s">
        <v>1476</v>
      </c>
      <c r="G1820" s="358"/>
      <c r="H1820" s="6275"/>
      <c r="I1820" s="9579" t="s">
        <v>138</v>
      </c>
      <c r="J1820" s="9581"/>
      <c r="K1820" s="285" t="s">
        <v>559</v>
      </c>
      <c r="L1820" s="7113">
        <v>0</v>
      </c>
      <c r="M1820" s="7295"/>
      <c r="N1820" s="7117">
        <v>0</v>
      </c>
      <c r="O1820" s="7414"/>
      <c r="P1820" s="7177">
        <v>0</v>
      </c>
      <c r="Q1820" s="7375"/>
      <c r="R1820" s="6664" t="s">
        <v>31</v>
      </c>
      <c r="S1820" s="6577"/>
      <c r="T1820" s="498"/>
      <c r="U1820" s="367"/>
      <c r="V1820" s="162"/>
      <c r="W1820" s="547"/>
      <c r="X1820" s="547"/>
      <c r="Y1820" s="162"/>
      <c r="Z1820" s="277"/>
      <c r="AA1820" s="346"/>
      <c r="AB1820" s="982"/>
    </row>
    <row r="1821" spans="1:28" ht="20.100000000000001" customHeight="1">
      <c r="A1821" s="11"/>
      <c r="B1821" s="1360"/>
      <c r="C1821" s="742"/>
      <c r="D1821" s="9598" t="s">
        <v>140</v>
      </c>
      <c r="E1821" s="9600"/>
      <c r="F1821" s="285" t="s">
        <v>1476</v>
      </c>
      <c r="G1821" s="358"/>
      <c r="H1821" s="6276"/>
      <c r="I1821" s="9582" t="s">
        <v>141</v>
      </c>
      <c r="J1821" s="9583"/>
      <c r="K1821" s="285" t="s">
        <v>559</v>
      </c>
      <c r="L1821" s="7113">
        <v>0</v>
      </c>
      <c r="M1821" s="7295"/>
      <c r="N1821" s="7117">
        <v>0</v>
      </c>
      <c r="O1821" s="7414"/>
      <c r="P1821" s="7177">
        <v>0</v>
      </c>
      <c r="Q1821" s="7375"/>
      <c r="R1821" s="6664" t="s">
        <v>31</v>
      </c>
      <c r="S1821" s="6577"/>
      <c r="T1821" s="498"/>
      <c r="U1821" s="367"/>
      <c r="V1821" s="162"/>
      <c r="W1821" s="547"/>
      <c r="X1821" s="547"/>
      <c r="Y1821" s="162"/>
      <c r="Z1821" s="277"/>
      <c r="AA1821" s="346"/>
      <c r="AB1821" s="982"/>
    </row>
    <row r="1822" spans="1:28" ht="20.100000000000001" customHeight="1">
      <c r="A1822" s="11"/>
      <c r="B1822" s="1360"/>
      <c r="C1822" s="6639"/>
      <c r="D1822" s="9598" t="s">
        <v>143</v>
      </c>
      <c r="E1822" s="9600"/>
      <c r="F1822" s="285" t="s">
        <v>1476</v>
      </c>
      <c r="G1822" s="358"/>
      <c r="H1822" s="6275"/>
      <c r="I1822" s="9582" t="s">
        <v>144</v>
      </c>
      <c r="J1822" s="9583"/>
      <c r="K1822" s="285" t="s">
        <v>559</v>
      </c>
      <c r="L1822" s="7172"/>
      <c r="M1822" s="7295"/>
      <c r="N1822" s="7178"/>
      <c r="O1822" s="7414"/>
      <c r="P1822" s="7199"/>
      <c r="Q1822" s="7375"/>
      <c r="R1822" s="6664" t="s">
        <v>1995</v>
      </c>
      <c r="S1822" s="6577"/>
      <c r="T1822" s="498"/>
      <c r="U1822" s="367"/>
      <c r="V1822" s="162"/>
      <c r="W1822" s="547"/>
      <c r="X1822" s="547"/>
      <c r="Y1822" s="162"/>
      <c r="Z1822" s="277"/>
      <c r="AA1822" s="346"/>
      <c r="AB1822" s="982"/>
    </row>
    <row r="1823" spans="1:28" ht="20.100000000000001" customHeight="1">
      <c r="A1823" s="11"/>
      <c r="B1823" s="1360"/>
      <c r="C1823" s="742"/>
      <c r="D1823" s="9598" t="s">
        <v>146</v>
      </c>
      <c r="E1823" s="9600"/>
      <c r="F1823" s="285" t="s">
        <v>1476</v>
      </c>
      <c r="G1823" s="358"/>
      <c r="H1823" s="6276"/>
      <c r="I1823" s="9582" t="s">
        <v>147</v>
      </c>
      <c r="J1823" s="9583"/>
      <c r="K1823" s="285" t="s">
        <v>559</v>
      </c>
      <c r="L1823" s="7172"/>
      <c r="M1823" s="7295"/>
      <c r="N1823" s="7178"/>
      <c r="O1823" s="7414"/>
      <c r="P1823" s="7199"/>
      <c r="Q1823" s="7375"/>
      <c r="R1823" s="6664" t="s">
        <v>1995</v>
      </c>
      <c r="S1823" s="6577"/>
      <c r="T1823" s="498"/>
      <c r="U1823" s="367"/>
      <c r="V1823" s="162"/>
      <c r="W1823" s="547"/>
      <c r="X1823" s="547"/>
      <c r="Y1823" s="162"/>
      <c r="Z1823" s="277"/>
      <c r="AA1823" s="346"/>
      <c r="AB1823" s="982"/>
    </row>
    <row r="1824" spans="1:28" ht="20.100000000000001" customHeight="1">
      <c r="A1824" s="11"/>
      <c r="B1824" s="1360"/>
      <c r="C1824" s="6639"/>
      <c r="D1824" s="9598" t="s">
        <v>149</v>
      </c>
      <c r="E1824" s="9600"/>
      <c r="F1824" s="285" t="s">
        <v>1476</v>
      </c>
      <c r="G1824" s="358"/>
      <c r="H1824" s="6275"/>
      <c r="I1824" s="9582" t="s">
        <v>150</v>
      </c>
      <c r="J1824" s="9583"/>
      <c r="K1824" s="285" t="s">
        <v>559</v>
      </c>
      <c r="L1824" s="7172"/>
      <c r="M1824" s="7295"/>
      <c r="N1824" s="7178"/>
      <c r="O1824" s="7414"/>
      <c r="P1824" s="7199"/>
      <c r="Q1824" s="7375"/>
      <c r="R1824" s="6664" t="s">
        <v>1995</v>
      </c>
      <c r="S1824" s="6577"/>
      <c r="T1824" s="498"/>
      <c r="U1824" s="367"/>
      <c r="V1824" s="162"/>
      <c r="W1824" s="547"/>
      <c r="X1824" s="547"/>
      <c r="Y1824" s="162"/>
      <c r="Z1824" s="277"/>
      <c r="AA1824" s="346"/>
      <c r="AB1824" s="982"/>
    </row>
    <row r="1825" spans="1:28" ht="20.100000000000001" customHeight="1">
      <c r="A1825" s="11"/>
      <c r="B1825" s="1360"/>
      <c r="C1825" s="6639"/>
      <c r="D1825" s="5762" t="s">
        <v>1668</v>
      </c>
      <c r="E1825" s="5763"/>
      <c r="F1825" s="5766" t="s">
        <v>1476</v>
      </c>
      <c r="G1825" s="5770"/>
      <c r="H1825" s="7101"/>
      <c r="I1825" s="5770" t="s">
        <v>1669</v>
      </c>
      <c r="J1825" s="5770"/>
      <c r="K1825" s="5766" t="s">
        <v>559</v>
      </c>
      <c r="L1825" s="7111" t="str">
        <f>IF(COUNTBLANK(L1826:L1831)&gt;0,"미취합법인有",SUM(L1826:L1831))</f>
        <v>미취합법인有</v>
      </c>
      <c r="M1825" s="7279"/>
      <c r="N1825" s="7115" t="str">
        <f>IF(COUNTBLANK(N1826:N1831)&gt;0,"미취합법인有",SUM(N1826:N1831))</f>
        <v>미취합법인有</v>
      </c>
      <c r="O1825" s="7385"/>
      <c r="P1825" s="7121" t="str">
        <f>IF(COUNTBLANK(P1826:P1831)&gt;0,"미취합법인有",SUM(P1826:P1831))</f>
        <v>미취합법인有</v>
      </c>
      <c r="Q1825" s="7492"/>
      <c r="R1825" s="7093" t="s">
        <v>155</v>
      </c>
      <c r="S1825" s="7067"/>
      <c r="T1825" s="7008" t="s">
        <v>1670</v>
      </c>
      <c r="U1825" s="367" t="s">
        <v>1671</v>
      </c>
      <c r="V1825" s="162" t="s">
        <v>1649</v>
      </c>
      <c r="W1825" s="547"/>
      <c r="X1825" s="547"/>
      <c r="Y1825" s="162"/>
      <c r="Z1825" s="277"/>
      <c r="AA1825" s="265" t="s">
        <v>1672</v>
      </c>
      <c r="AB1825" s="982"/>
    </row>
    <row r="1826" spans="1:28" ht="18.75" customHeight="1">
      <c r="A1826" s="11"/>
      <c r="B1826" s="1360"/>
      <c r="C1826" s="742"/>
      <c r="D1826" s="9598" t="s">
        <v>134</v>
      </c>
      <c r="E1826" s="9600"/>
      <c r="F1826" s="285" t="s">
        <v>1476</v>
      </c>
      <c r="G1826" s="358"/>
      <c r="H1826" s="6276"/>
      <c r="I1826" s="9579" t="s">
        <v>135</v>
      </c>
      <c r="J1826" s="9581"/>
      <c r="K1826" s="285" t="s">
        <v>559</v>
      </c>
      <c r="L1826" s="7113">
        <v>0</v>
      </c>
      <c r="M1826" s="7295"/>
      <c r="N1826" s="7117">
        <v>0</v>
      </c>
      <c r="O1826" s="7414"/>
      <c r="P1826" s="7177">
        <v>0</v>
      </c>
      <c r="Q1826" s="7375"/>
      <c r="R1826" s="6664" t="s">
        <v>155</v>
      </c>
      <c r="S1826" s="6577"/>
      <c r="T1826" s="498"/>
      <c r="U1826" s="367"/>
      <c r="V1826" s="162"/>
      <c r="W1826" s="547"/>
      <c r="X1826" s="547"/>
      <c r="Y1826" s="162"/>
      <c r="Z1826" s="277"/>
      <c r="AA1826" s="265"/>
      <c r="AB1826" s="982"/>
    </row>
    <row r="1827" spans="1:28" ht="20.100000000000001" customHeight="1">
      <c r="A1827" s="11"/>
      <c r="B1827" s="1360"/>
      <c r="C1827" s="6639"/>
      <c r="D1827" s="9598" t="s">
        <v>137</v>
      </c>
      <c r="E1827" s="9600"/>
      <c r="F1827" s="285" t="s">
        <v>1476</v>
      </c>
      <c r="G1827" s="358"/>
      <c r="H1827" s="6275"/>
      <c r="I1827" s="9579" t="s">
        <v>138</v>
      </c>
      <c r="J1827" s="9581"/>
      <c r="K1827" s="285" t="s">
        <v>559</v>
      </c>
      <c r="L1827" s="7113"/>
      <c r="M1827" s="7295"/>
      <c r="N1827" s="7117"/>
      <c r="O1827" s="7414"/>
      <c r="P1827" s="7177"/>
      <c r="Q1827" s="7375"/>
      <c r="R1827" s="6664" t="s">
        <v>155</v>
      </c>
      <c r="S1827" s="6577"/>
      <c r="T1827" s="498"/>
      <c r="U1827" s="367"/>
      <c r="V1827" s="162"/>
      <c r="W1827" s="547"/>
      <c r="X1827" s="547"/>
      <c r="Y1827" s="162"/>
      <c r="Z1827" s="277"/>
      <c r="AA1827" s="265"/>
      <c r="AB1827" s="982"/>
    </row>
    <row r="1828" spans="1:28" ht="20.100000000000001" customHeight="1">
      <c r="A1828" s="11"/>
      <c r="B1828" s="1360"/>
      <c r="C1828" s="742"/>
      <c r="D1828" s="9598" t="s">
        <v>140</v>
      </c>
      <c r="E1828" s="9600"/>
      <c r="F1828" s="285" t="s">
        <v>1476</v>
      </c>
      <c r="G1828" s="358"/>
      <c r="H1828" s="6276"/>
      <c r="I1828" s="9582" t="s">
        <v>141</v>
      </c>
      <c r="J1828" s="9583"/>
      <c r="K1828" s="285" t="s">
        <v>559</v>
      </c>
      <c r="L1828" s="7113">
        <v>0</v>
      </c>
      <c r="M1828" s="7295"/>
      <c r="N1828" s="7117">
        <v>0</v>
      </c>
      <c r="O1828" s="7414"/>
      <c r="P1828" s="7177">
        <v>0</v>
      </c>
      <c r="Q1828" s="7375"/>
      <c r="R1828" s="6664" t="s">
        <v>155</v>
      </c>
      <c r="S1828" s="6577"/>
      <c r="T1828" s="498"/>
      <c r="U1828" s="367"/>
      <c r="V1828" s="162"/>
      <c r="W1828" s="547"/>
      <c r="X1828" s="547"/>
      <c r="Y1828" s="162"/>
      <c r="Z1828" s="277"/>
      <c r="AA1828" s="265"/>
      <c r="AB1828" s="982"/>
    </row>
    <row r="1829" spans="1:28" ht="20.100000000000001" customHeight="1">
      <c r="A1829" s="11"/>
      <c r="B1829" s="1360"/>
      <c r="C1829" s="6639"/>
      <c r="D1829" s="9598" t="s">
        <v>143</v>
      </c>
      <c r="E1829" s="9600"/>
      <c r="F1829" s="285" t="s">
        <v>1476</v>
      </c>
      <c r="G1829" s="358"/>
      <c r="H1829" s="6275"/>
      <c r="I1829" s="9582" t="s">
        <v>144</v>
      </c>
      <c r="J1829" s="9583"/>
      <c r="K1829" s="285" t="s">
        <v>559</v>
      </c>
      <c r="L1829" s="7172"/>
      <c r="M1829" s="7295"/>
      <c r="N1829" s="7178"/>
      <c r="O1829" s="7414"/>
      <c r="P1829" s="7199"/>
      <c r="Q1829" s="7375"/>
      <c r="R1829" s="6664" t="s">
        <v>155</v>
      </c>
      <c r="S1829" s="6577"/>
      <c r="T1829" s="498"/>
      <c r="U1829" s="367"/>
      <c r="V1829" s="162"/>
      <c r="W1829" s="547"/>
      <c r="X1829" s="547"/>
      <c r="Y1829" s="162"/>
      <c r="Z1829" s="277"/>
      <c r="AA1829" s="265"/>
      <c r="AB1829" s="982"/>
    </row>
    <row r="1830" spans="1:28" ht="20.100000000000001" customHeight="1">
      <c r="A1830" s="11"/>
      <c r="B1830" s="1360"/>
      <c r="C1830" s="742"/>
      <c r="D1830" s="9598" t="s">
        <v>146</v>
      </c>
      <c r="E1830" s="9600"/>
      <c r="F1830" s="285" t="s">
        <v>1476</v>
      </c>
      <c r="G1830" s="358"/>
      <c r="H1830" s="6276"/>
      <c r="I1830" s="9582" t="s">
        <v>147</v>
      </c>
      <c r="J1830" s="9583"/>
      <c r="K1830" s="285" t="s">
        <v>559</v>
      </c>
      <c r="L1830" s="7172"/>
      <c r="M1830" s="7295"/>
      <c r="N1830" s="7178"/>
      <c r="O1830" s="7414"/>
      <c r="P1830" s="7199"/>
      <c r="Q1830" s="7375"/>
      <c r="R1830" s="6664" t="s">
        <v>155</v>
      </c>
      <c r="S1830" s="6577"/>
      <c r="T1830" s="498"/>
      <c r="U1830" s="367"/>
      <c r="V1830" s="162"/>
      <c r="W1830" s="547"/>
      <c r="X1830" s="547"/>
      <c r="Y1830" s="162"/>
      <c r="Z1830" s="277"/>
      <c r="AA1830" s="265"/>
      <c r="AB1830" s="982"/>
    </row>
    <row r="1831" spans="1:28" ht="20.100000000000001" customHeight="1">
      <c r="A1831" s="11"/>
      <c r="B1831" s="1360"/>
      <c r="C1831" s="6639"/>
      <c r="D1831" s="9598" t="s">
        <v>149</v>
      </c>
      <c r="E1831" s="9600"/>
      <c r="F1831" s="285" t="s">
        <v>1476</v>
      </c>
      <c r="G1831" s="358"/>
      <c r="H1831" s="6275"/>
      <c r="I1831" s="9582" t="s">
        <v>150</v>
      </c>
      <c r="J1831" s="9583"/>
      <c r="K1831" s="285" t="s">
        <v>559</v>
      </c>
      <c r="L1831" s="7172"/>
      <c r="M1831" s="7295"/>
      <c r="N1831" s="7178"/>
      <c r="O1831" s="7414"/>
      <c r="P1831" s="7199"/>
      <c r="Q1831" s="7375"/>
      <c r="R1831" s="6664" t="s">
        <v>155</v>
      </c>
      <c r="S1831" s="6577"/>
      <c r="T1831" s="498"/>
      <c r="U1831" s="367"/>
      <c r="V1831" s="162"/>
      <c r="W1831" s="547"/>
      <c r="X1831" s="547"/>
      <c r="Y1831" s="162"/>
      <c r="Z1831" s="277"/>
      <c r="AA1831" s="265"/>
      <c r="AB1831" s="982"/>
    </row>
    <row r="1832" spans="1:28" ht="20.100000000000001" customHeight="1">
      <c r="A1832" s="11"/>
      <c r="B1832" s="1360"/>
      <c r="C1832" s="6639"/>
      <c r="D1832" s="5762" t="s">
        <v>1679</v>
      </c>
      <c r="E1832" s="5763"/>
      <c r="F1832" s="5766" t="s">
        <v>233</v>
      </c>
      <c r="G1832" s="5770"/>
      <c r="H1832" s="7101"/>
      <c r="I1832" s="5770" t="s">
        <v>1353</v>
      </c>
      <c r="J1832" s="5770"/>
      <c r="K1832" s="5766" t="s">
        <v>295</v>
      </c>
      <c r="L1832" s="6970" t="str">
        <f>IF(COUNTBLANK(L1833:L1838)&gt;0,"미취합법인有",SUM(L1833:L1838))</f>
        <v>미취합법인有</v>
      </c>
      <c r="M1832" s="7026"/>
      <c r="N1832" s="7001" t="str">
        <f>IF(COUNTBLANK(N1833:N1838)&gt;0,"미취합법인有",SUM(N1833:N1838))</f>
        <v>미취합법인有</v>
      </c>
      <c r="O1832" s="7384"/>
      <c r="P1832" s="7002" t="str">
        <f>IF(COUNTBLANK(P1833:P1838)&gt;0,"미취합법인有",SUM(P1833:P1838))</f>
        <v>미취합법인有</v>
      </c>
      <c r="Q1832" s="7492"/>
      <c r="R1832" s="7093" t="s">
        <v>31</v>
      </c>
      <c r="S1832" s="7067"/>
      <c r="T1832" s="7008" t="s">
        <v>1680</v>
      </c>
      <c r="U1832" s="367" t="s">
        <v>1681</v>
      </c>
      <c r="V1832" s="162" t="s">
        <v>1649</v>
      </c>
      <c r="W1832" s="547"/>
      <c r="X1832" s="547"/>
      <c r="Y1832" s="162"/>
      <c r="Z1832" s="277" t="s">
        <v>1677</v>
      </c>
      <c r="AA1832" s="265"/>
      <c r="AB1832" s="982"/>
    </row>
    <row r="1833" spans="1:28" ht="20.100000000000001" customHeight="1">
      <c r="A1833" s="11"/>
      <c r="B1833" s="1360"/>
      <c r="C1833" s="742"/>
      <c r="D1833" s="9598" t="s">
        <v>134</v>
      </c>
      <c r="E1833" s="9600"/>
      <c r="F1833" s="285" t="s">
        <v>1682</v>
      </c>
      <c r="G1833" s="358"/>
      <c r="H1833" s="6276"/>
      <c r="I1833" s="9579" t="s">
        <v>135</v>
      </c>
      <c r="J1833" s="9581"/>
      <c r="K1833" s="285" t="s">
        <v>295</v>
      </c>
      <c r="L1833" s="6753">
        <v>0</v>
      </c>
      <c r="M1833" s="7249"/>
      <c r="N1833" s="6842">
        <v>0</v>
      </c>
      <c r="O1833" s="7428"/>
      <c r="P1833" s="6957">
        <v>0</v>
      </c>
      <c r="Q1833" s="7375"/>
      <c r="R1833" s="6664" t="s">
        <v>31</v>
      </c>
      <c r="S1833" s="6577"/>
      <c r="T1833" s="498"/>
      <c r="U1833" s="367"/>
      <c r="V1833" s="162"/>
      <c r="W1833" s="547"/>
      <c r="X1833" s="547"/>
      <c r="Y1833" s="162"/>
      <c r="Z1833" s="277"/>
      <c r="AA1833" s="265"/>
      <c r="AB1833" s="982"/>
    </row>
    <row r="1834" spans="1:28" ht="20.100000000000001" customHeight="1">
      <c r="A1834" s="11"/>
      <c r="B1834" s="1360"/>
      <c r="C1834" s="6639"/>
      <c r="D1834" s="9598" t="s">
        <v>137</v>
      </c>
      <c r="E1834" s="9600"/>
      <c r="F1834" s="285" t="s">
        <v>1682</v>
      </c>
      <c r="G1834" s="358"/>
      <c r="H1834" s="6275"/>
      <c r="I1834" s="9579" t="s">
        <v>138</v>
      </c>
      <c r="J1834" s="9581"/>
      <c r="K1834" s="285" t="s">
        <v>295</v>
      </c>
      <c r="L1834" s="6753">
        <v>0</v>
      </c>
      <c r="M1834" s="7249"/>
      <c r="N1834" s="6842">
        <v>0</v>
      </c>
      <c r="O1834" s="7428"/>
      <c r="P1834" s="6957">
        <v>0</v>
      </c>
      <c r="Q1834" s="7375"/>
      <c r="R1834" s="6664" t="s">
        <v>31</v>
      </c>
      <c r="S1834" s="6577"/>
      <c r="T1834" s="498"/>
      <c r="U1834" s="367"/>
      <c r="V1834" s="162"/>
      <c r="W1834" s="547"/>
      <c r="X1834" s="547"/>
      <c r="Y1834" s="162"/>
      <c r="Z1834" s="277"/>
      <c r="AA1834" s="265"/>
      <c r="AB1834" s="982"/>
    </row>
    <row r="1835" spans="1:28" ht="20.100000000000001" customHeight="1">
      <c r="A1835" s="11"/>
      <c r="B1835" s="1360"/>
      <c r="C1835" s="742"/>
      <c r="D1835" s="9598" t="s">
        <v>140</v>
      </c>
      <c r="E1835" s="9600"/>
      <c r="F1835" s="285" t="s">
        <v>1682</v>
      </c>
      <c r="G1835" s="358"/>
      <c r="H1835" s="6276"/>
      <c r="I1835" s="9582" t="s">
        <v>141</v>
      </c>
      <c r="J1835" s="9583"/>
      <c r="K1835" s="285" t="s">
        <v>295</v>
      </c>
      <c r="L1835" s="6753">
        <v>0</v>
      </c>
      <c r="M1835" s="7249"/>
      <c r="N1835" s="6842">
        <v>0</v>
      </c>
      <c r="O1835" s="7428"/>
      <c r="P1835" s="6957">
        <v>0</v>
      </c>
      <c r="Q1835" s="7375"/>
      <c r="R1835" s="6664" t="s">
        <v>31</v>
      </c>
      <c r="S1835" s="6577"/>
      <c r="T1835" s="498"/>
      <c r="U1835" s="367"/>
      <c r="V1835" s="162"/>
      <c r="W1835" s="547"/>
      <c r="X1835" s="547"/>
      <c r="Y1835" s="162"/>
      <c r="Z1835" s="277"/>
      <c r="AA1835" s="265"/>
      <c r="AB1835" s="982"/>
    </row>
    <row r="1836" spans="1:28" ht="20.100000000000001" customHeight="1">
      <c r="A1836" s="11"/>
      <c r="B1836" s="1360"/>
      <c r="C1836" s="6639"/>
      <c r="D1836" s="9598" t="s">
        <v>143</v>
      </c>
      <c r="E1836" s="9600"/>
      <c r="F1836" s="285" t="s">
        <v>1682</v>
      </c>
      <c r="G1836" s="358"/>
      <c r="H1836" s="6275"/>
      <c r="I1836" s="9582" t="s">
        <v>144</v>
      </c>
      <c r="J1836" s="9583"/>
      <c r="K1836" s="285" t="s">
        <v>295</v>
      </c>
      <c r="L1836" s="6804"/>
      <c r="M1836" s="7249"/>
      <c r="N1836" s="6894"/>
      <c r="O1836" s="7428"/>
      <c r="P1836" s="6967"/>
      <c r="Q1836" s="7375"/>
      <c r="R1836" s="6664" t="s">
        <v>1995</v>
      </c>
      <c r="S1836" s="6577"/>
      <c r="T1836" s="498"/>
      <c r="U1836" s="367"/>
      <c r="V1836" s="162"/>
      <c r="W1836" s="547"/>
      <c r="X1836" s="547"/>
      <c r="Y1836" s="162"/>
      <c r="Z1836" s="277"/>
      <c r="AA1836" s="265"/>
      <c r="AB1836" s="982"/>
    </row>
    <row r="1837" spans="1:28" ht="20.100000000000001" customHeight="1">
      <c r="A1837" s="11"/>
      <c r="B1837" s="1360"/>
      <c r="C1837" s="742"/>
      <c r="D1837" s="9598" t="s">
        <v>146</v>
      </c>
      <c r="E1837" s="9600"/>
      <c r="F1837" s="285" t="s">
        <v>1682</v>
      </c>
      <c r="G1837" s="735"/>
      <c r="H1837" s="6276"/>
      <c r="I1837" s="9582" t="s">
        <v>147</v>
      </c>
      <c r="J1837" s="9583"/>
      <c r="K1837" s="285" t="s">
        <v>295</v>
      </c>
      <c r="L1837" s="6804"/>
      <c r="M1837" s="7249"/>
      <c r="N1837" s="6894"/>
      <c r="O1837" s="7428"/>
      <c r="P1837" s="6967"/>
      <c r="Q1837" s="7375"/>
      <c r="R1837" s="6664" t="s">
        <v>1995</v>
      </c>
      <c r="S1837" s="6577"/>
      <c r="T1837" s="498"/>
      <c r="U1837" s="367"/>
      <c r="V1837" s="162"/>
      <c r="W1837" s="547"/>
      <c r="X1837" s="547"/>
      <c r="Y1837" s="162"/>
      <c r="Z1837" s="277"/>
      <c r="AA1837" s="265"/>
      <c r="AB1837" s="982"/>
    </row>
    <row r="1838" spans="1:28" ht="20.100000000000001" customHeight="1">
      <c r="A1838" s="11"/>
      <c r="B1838" s="1360"/>
      <c r="C1838" s="6639"/>
      <c r="D1838" s="9598" t="s">
        <v>149</v>
      </c>
      <c r="E1838" s="9600"/>
      <c r="F1838" s="285" t="s">
        <v>1682</v>
      </c>
      <c r="G1838" s="735"/>
      <c r="H1838" s="6275"/>
      <c r="I1838" s="9582" t="s">
        <v>150</v>
      </c>
      <c r="J1838" s="9583"/>
      <c r="K1838" s="285" t="s">
        <v>295</v>
      </c>
      <c r="L1838" s="6804"/>
      <c r="M1838" s="7249"/>
      <c r="N1838" s="6894"/>
      <c r="O1838" s="7428"/>
      <c r="P1838" s="6967"/>
      <c r="Q1838" s="7375"/>
      <c r="R1838" s="6664" t="s">
        <v>1995</v>
      </c>
      <c r="S1838" s="6577"/>
      <c r="T1838" s="498"/>
      <c r="U1838" s="367"/>
      <c r="V1838" s="162"/>
      <c r="W1838" s="547"/>
      <c r="X1838" s="547"/>
      <c r="Y1838" s="162"/>
      <c r="Z1838" s="277"/>
      <c r="AA1838" s="265"/>
      <c r="AB1838" s="982"/>
    </row>
    <row r="1839" spans="1:28" ht="20.100000000000001" customHeight="1">
      <c r="A1839" s="11"/>
      <c r="B1839" s="1360"/>
      <c r="C1839" s="6639"/>
      <c r="D1839" s="5762" t="s">
        <v>1683</v>
      </c>
      <c r="E1839" s="5763"/>
      <c r="F1839" s="5766" t="s">
        <v>156</v>
      </c>
      <c r="G1839" s="5770"/>
      <c r="H1839" s="7101"/>
      <c r="I1839" s="5770" t="s">
        <v>1684</v>
      </c>
      <c r="J1839" s="5770"/>
      <c r="K1839" s="5766" t="s">
        <v>156</v>
      </c>
      <c r="L1839" s="7016" t="str">
        <f>IF(COUNTBLANK(L1840:L1845)&gt;0,"미취합법인有",AVERAGE(L1840:L1845))</f>
        <v>미취합법인有</v>
      </c>
      <c r="M1839" s="7026"/>
      <c r="N1839" s="7001" t="str">
        <f>IF(COUNTBLANK(N1840:N1845)&gt;0,"미취합법인有",AVERAGE(N1840:N1845))</f>
        <v>미취합법인有</v>
      </c>
      <c r="O1839" s="7384"/>
      <c r="P1839" s="7002" t="str">
        <f>IF(COUNTBLANK(P1840:P1845)&gt;0,"미취합법인有",AVERAGE(P1840:P1845))</f>
        <v>미취합법인有</v>
      </c>
      <c r="Q1839" s="7029"/>
      <c r="R1839" s="7093" t="s">
        <v>31</v>
      </c>
      <c r="S1839" s="7007"/>
      <c r="T1839" s="7008" t="s">
        <v>1685</v>
      </c>
      <c r="U1839" s="367" t="s">
        <v>1686</v>
      </c>
      <c r="V1839" s="162" t="s">
        <v>206</v>
      </c>
      <c r="W1839" s="547"/>
      <c r="X1839" s="547"/>
      <c r="Y1839" s="162"/>
      <c r="Z1839" s="277"/>
      <c r="AA1839" s="265" t="s">
        <v>1687</v>
      </c>
      <c r="AB1839" s="982"/>
    </row>
    <row r="1840" spans="1:28" ht="20.100000000000001" customHeight="1">
      <c r="A1840" s="11"/>
      <c r="B1840" s="1360"/>
      <c r="C1840" s="742"/>
      <c r="D1840" s="9598" t="s">
        <v>134</v>
      </c>
      <c r="E1840" s="9600"/>
      <c r="F1840" s="285" t="s">
        <v>154</v>
      </c>
      <c r="G1840" s="735"/>
      <c r="H1840" s="6276"/>
      <c r="I1840" s="9579" t="s">
        <v>135</v>
      </c>
      <c r="J1840" s="9581"/>
      <c r="K1840" s="285" t="s">
        <v>154</v>
      </c>
      <c r="L1840" s="6753"/>
      <c r="M1840" s="7249"/>
      <c r="N1840" s="6842"/>
      <c r="O1840" s="7428"/>
      <c r="P1840" s="6957"/>
      <c r="Q1840" s="7375"/>
      <c r="R1840" s="6664" t="s">
        <v>31</v>
      </c>
      <c r="S1840" s="6577"/>
      <c r="T1840" s="498"/>
      <c r="U1840" s="367"/>
      <c r="V1840" s="162"/>
      <c r="W1840" s="547"/>
      <c r="X1840" s="547"/>
      <c r="Y1840" s="162"/>
      <c r="Z1840" s="277"/>
      <c r="AA1840" s="265"/>
      <c r="AB1840" s="982"/>
    </row>
    <row r="1841" spans="1:28" ht="20.100000000000001" customHeight="1">
      <c r="A1841" s="11"/>
      <c r="B1841" s="1360"/>
      <c r="C1841" s="6639"/>
      <c r="D1841" s="9598" t="s">
        <v>137</v>
      </c>
      <c r="E1841" s="9600"/>
      <c r="F1841" s="285" t="s">
        <v>154</v>
      </c>
      <c r="G1841" s="735"/>
      <c r="H1841" s="6275"/>
      <c r="I1841" s="9579" t="s">
        <v>138</v>
      </c>
      <c r="J1841" s="9581"/>
      <c r="K1841" s="285" t="s">
        <v>154</v>
      </c>
      <c r="L1841" s="6753"/>
      <c r="M1841" s="7249"/>
      <c r="N1841" s="6842"/>
      <c r="O1841" s="7428"/>
      <c r="P1841" s="6957"/>
      <c r="Q1841" s="7375"/>
      <c r="R1841" s="6664" t="s">
        <v>31</v>
      </c>
      <c r="S1841" s="6577"/>
      <c r="T1841" s="498"/>
      <c r="U1841" s="367"/>
      <c r="V1841" s="162"/>
      <c r="W1841" s="547"/>
      <c r="X1841" s="547"/>
      <c r="Y1841" s="162"/>
      <c r="Z1841" s="277"/>
      <c r="AA1841" s="265"/>
      <c r="AB1841" s="982"/>
    </row>
    <row r="1842" spans="1:28" ht="20.100000000000001" customHeight="1">
      <c r="A1842" s="11"/>
      <c r="B1842" s="1360"/>
      <c r="C1842" s="742"/>
      <c r="D1842" s="9598" t="s">
        <v>140</v>
      </c>
      <c r="E1842" s="9600"/>
      <c r="F1842" s="285" t="s">
        <v>154</v>
      </c>
      <c r="G1842" s="735"/>
      <c r="H1842" s="6276"/>
      <c r="I1842" s="9582" t="s">
        <v>141</v>
      </c>
      <c r="J1842" s="9583"/>
      <c r="K1842" s="285" t="s">
        <v>154</v>
      </c>
      <c r="L1842" s="6753">
        <v>100</v>
      </c>
      <c r="M1842" s="7249"/>
      <c r="N1842" s="6873">
        <v>100</v>
      </c>
      <c r="O1842" s="7428"/>
      <c r="P1842" s="6968">
        <v>100</v>
      </c>
      <c r="Q1842" s="7375"/>
      <c r="R1842" s="6664" t="s">
        <v>31</v>
      </c>
      <c r="S1842" s="6577"/>
      <c r="T1842" s="498"/>
      <c r="U1842" s="367"/>
      <c r="V1842" s="162"/>
      <c r="W1842" s="547"/>
      <c r="X1842" s="547"/>
      <c r="Y1842" s="162"/>
      <c r="Z1842" s="277"/>
      <c r="AA1842" s="265"/>
      <c r="AB1842" s="982"/>
    </row>
    <row r="1843" spans="1:28" ht="20.100000000000001" customHeight="1">
      <c r="A1843" s="11"/>
      <c r="B1843" s="1360"/>
      <c r="C1843" s="6639"/>
      <c r="D1843" s="9598" t="s">
        <v>143</v>
      </c>
      <c r="E1843" s="9600"/>
      <c r="F1843" s="285" t="s">
        <v>154</v>
      </c>
      <c r="G1843" s="735"/>
      <c r="H1843" s="6275"/>
      <c r="I1843" s="9582" t="s">
        <v>144</v>
      </c>
      <c r="J1843" s="9583"/>
      <c r="K1843" s="285" t="s">
        <v>154</v>
      </c>
      <c r="L1843" s="6804"/>
      <c r="M1843" s="7249"/>
      <c r="N1843" s="6894"/>
      <c r="O1843" s="7428"/>
      <c r="P1843" s="6967"/>
      <c r="Q1843" s="7375"/>
      <c r="R1843" s="6664" t="s">
        <v>1995</v>
      </c>
      <c r="S1843" s="6577"/>
      <c r="T1843" s="498"/>
      <c r="U1843" s="367"/>
      <c r="V1843" s="162"/>
      <c r="W1843" s="547"/>
      <c r="X1843" s="547"/>
      <c r="Y1843" s="162"/>
      <c r="Z1843" s="277"/>
      <c r="AA1843" s="265"/>
      <c r="AB1843" s="982"/>
    </row>
    <row r="1844" spans="1:28" ht="20.100000000000001" customHeight="1">
      <c r="A1844" s="11"/>
      <c r="B1844" s="1360"/>
      <c r="C1844" s="742"/>
      <c r="D1844" s="9598" t="s">
        <v>146</v>
      </c>
      <c r="E1844" s="9600"/>
      <c r="F1844" s="285" t="s">
        <v>154</v>
      </c>
      <c r="G1844" s="735"/>
      <c r="H1844" s="6276"/>
      <c r="I1844" s="9582" t="s">
        <v>147</v>
      </c>
      <c r="J1844" s="9583"/>
      <c r="K1844" s="285" t="s">
        <v>154</v>
      </c>
      <c r="L1844" s="6804"/>
      <c r="M1844" s="7249"/>
      <c r="N1844" s="6894"/>
      <c r="O1844" s="7428"/>
      <c r="P1844" s="6967"/>
      <c r="Q1844" s="7375"/>
      <c r="R1844" s="6664" t="s">
        <v>1995</v>
      </c>
      <c r="S1844" s="6577"/>
      <c r="T1844" s="498"/>
      <c r="U1844" s="367"/>
      <c r="V1844" s="162"/>
      <c r="W1844" s="547"/>
      <c r="X1844" s="547"/>
      <c r="Y1844" s="162"/>
      <c r="Z1844" s="277"/>
      <c r="AA1844" s="265"/>
      <c r="AB1844" s="982"/>
    </row>
    <row r="1845" spans="1:28" ht="20.100000000000001" customHeight="1">
      <c r="A1845" s="11"/>
      <c r="B1845" s="1360"/>
      <c r="C1845" s="6639"/>
      <c r="D1845" s="9598" t="s">
        <v>149</v>
      </c>
      <c r="E1845" s="9600"/>
      <c r="F1845" s="285" t="s">
        <v>154</v>
      </c>
      <c r="G1845" s="735"/>
      <c r="H1845" s="6275"/>
      <c r="I1845" s="9582" t="s">
        <v>150</v>
      </c>
      <c r="J1845" s="9583"/>
      <c r="K1845" s="285" t="s">
        <v>154</v>
      </c>
      <c r="L1845" s="6804"/>
      <c r="M1845" s="7249"/>
      <c r="N1845" s="6894"/>
      <c r="O1845" s="7428"/>
      <c r="P1845" s="6967"/>
      <c r="Q1845" s="7375"/>
      <c r="R1845" s="6664" t="s">
        <v>1995</v>
      </c>
      <c r="S1845" s="6577"/>
      <c r="T1845" s="498"/>
      <c r="U1845" s="367"/>
      <c r="V1845" s="162"/>
      <c r="W1845" s="547"/>
      <c r="X1845" s="547"/>
      <c r="Y1845" s="162"/>
      <c r="Z1845" s="277"/>
      <c r="AA1845" s="265"/>
      <c r="AB1845" s="982"/>
    </row>
    <row r="1846" spans="1:28" ht="20.100000000000001" customHeight="1">
      <c r="A1846" s="11"/>
      <c r="B1846" s="1360"/>
      <c r="C1846" s="6639"/>
      <c r="D1846" s="5762" t="s">
        <v>1688</v>
      </c>
      <c r="E1846" s="5763"/>
      <c r="F1846" s="5766" t="s">
        <v>557</v>
      </c>
      <c r="G1846" s="5770"/>
      <c r="H1846" s="7101"/>
      <c r="I1846" s="5770" t="s">
        <v>1689</v>
      </c>
      <c r="J1846" s="5770"/>
      <c r="K1846" s="5766" t="s">
        <v>559</v>
      </c>
      <c r="L1846" s="7111" t="str">
        <f>IF(COUNTBLANK(L1847:L1852)&gt;0,"미취합법인有",SUM(L1847:L1852))</f>
        <v>미취합법인有</v>
      </c>
      <c r="M1846" s="7279"/>
      <c r="N1846" s="7115" t="str">
        <f>IF(COUNTBLANK(N1847:N1852)&gt;0,"미취합법인有",SUM(N1847:N1852))</f>
        <v>미취합법인有</v>
      </c>
      <c r="O1846" s="7385"/>
      <c r="P1846" s="7121" t="str">
        <f>IF(COUNTBLANK(P1847:P1852)&gt;0,"미취합법인有",SUM(P1847:P1852))</f>
        <v>미취합법인有</v>
      </c>
      <c r="Q1846" s="7492"/>
      <c r="R1846" s="7093" t="s">
        <v>31</v>
      </c>
      <c r="S1846" s="7067"/>
      <c r="T1846" s="7008" t="s">
        <v>1690</v>
      </c>
      <c r="U1846" s="367" t="s">
        <v>1691</v>
      </c>
      <c r="V1846" s="162" t="s">
        <v>1649</v>
      </c>
      <c r="W1846" s="547"/>
      <c r="X1846" s="547"/>
      <c r="Y1846" s="162"/>
      <c r="Z1846" s="265"/>
      <c r="AA1846" s="265" t="s">
        <v>1692</v>
      </c>
      <c r="AB1846" s="982"/>
    </row>
    <row r="1847" spans="1:28" ht="20.100000000000001" customHeight="1">
      <c r="A1847" s="11"/>
      <c r="B1847" s="1360"/>
      <c r="C1847" s="742"/>
      <c r="D1847" s="9598" t="s">
        <v>134</v>
      </c>
      <c r="E1847" s="9600"/>
      <c r="F1847" s="285" t="s">
        <v>1476</v>
      </c>
      <c r="G1847" s="735"/>
      <c r="H1847" s="6276"/>
      <c r="I1847" s="9579" t="s">
        <v>135</v>
      </c>
      <c r="J1847" s="9581"/>
      <c r="K1847" s="285" t="s">
        <v>559</v>
      </c>
      <c r="L1847" s="7113">
        <v>0</v>
      </c>
      <c r="M1847" s="7295"/>
      <c r="N1847" s="7117">
        <v>0</v>
      </c>
      <c r="O1847" s="7414"/>
      <c r="P1847" s="7177">
        <v>0</v>
      </c>
      <c r="Q1847" s="7375"/>
      <c r="R1847" s="6664" t="s">
        <v>31</v>
      </c>
      <c r="S1847" s="6577"/>
      <c r="T1847" s="498"/>
      <c r="U1847" s="367"/>
      <c r="V1847" s="162"/>
      <c r="W1847" s="547"/>
      <c r="X1847" s="547"/>
      <c r="Y1847" s="162"/>
      <c r="Z1847" s="265"/>
      <c r="AA1847" s="265"/>
      <c r="AB1847" s="982"/>
    </row>
    <row r="1848" spans="1:28" ht="20.100000000000001" customHeight="1">
      <c r="A1848" s="11"/>
      <c r="B1848" s="1360"/>
      <c r="C1848" s="6639"/>
      <c r="D1848" s="9598" t="s">
        <v>137</v>
      </c>
      <c r="E1848" s="9600"/>
      <c r="F1848" s="285" t="s">
        <v>1476</v>
      </c>
      <c r="G1848" s="735"/>
      <c r="H1848" s="6275"/>
      <c r="I1848" s="9579" t="s">
        <v>138</v>
      </c>
      <c r="J1848" s="9581"/>
      <c r="K1848" s="285" t="s">
        <v>559</v>
      </c>
      <c r="L1848" s="7113"/>
      <c r="M1848" s="7295"/>
      <c r="N1848" s="7117"/>
      <c r="O1848" s="7414"/>
      <c r="P1848" s="7177"/>
      <c r="Q1848" s="7375"/>
      <c r="R1848" s="6664" t="s">
        <v>31</v>
      </c>
      <c r="S1848" s="6577"/>
      <c r="T1848" s="498"/>
      <c r="U1848" s="367"/>
      <c r="V1848" s="162"/>
      <c r="W1848" s="547"/>
      <c r="X1848" s="547"/>
      <c r="Y1848" s="162"/>
      <c r="Z1848" s="265"/>
      <c r="AA1848" s="265"/>
      <c r="AB1848" s="982"/>
    </row>
    <row r="1849" spans="1:28" ht="20.100000000000001" customHeight="1">
      <c r="A1849" s="11"/>
      <c r="B1849" s="1360"/>
      <c r="C1849" s="742"/>
      <c r="D1849" s="9598" t="s">
        <v>140</v>
      </c>
      <c r="E1849" s="9600"/>
      <c r="F1849" s="285" t="s">
        <v>1476</v>
      </c>
      <c r="G1849" s="735"/>
      <c r="H1849" s="6276"/>
      <c r="I1849" s="9582" t="s">
        <v>141</v>
      </c>
      <c r="J1849" s="9583"/>
      <c r="K1849" s="285" t="s">
        <v>559</v>
      </c>
      <c r="L1849" s="7113">
        <v>0</v>
      </c>
      <c r="M1849" s="7295"/>
      <c r="N1849" s="7117">
        <v>0</v>
      </c>
      <c r="O1849" s="7414"/>
      <c r="P1849" s="7177">
        <v>0</v>
      </c>
      <c r="Q1849" s="7375"/>
      <c r="R1849" s="6664" t="s">
        <v>31</v>
      </c>
      <c r="S1849" s="6577"/>
      <c r="T1849" s="498"/>
      <c r="U1849" s="367"/>
      <c r="V1849" s="162"/>
      <c r="W1849" s="547"/>
      <c r="X1849" s="547"/>
      <c r="Y1849" s="162"/>
      <c r="Z1849" s="265"/>
      <c r="AA1849" s="265"/>
      <c r="AB1849" s="982"/>
    </row>
    <row r="1850" spans="1:28" ht="20.100000000000001" customHeight="1">
      <c r="A1850" s="11"/>
      <c r="B1850" s="1360"/>
      <c r="C1850" s="6639"/>
      <c r="D1850" s="9598" t="s">
        <v>143</v>
      </c>
      <c r="E1850" s="9600"/>
      <c r="F1850" s="285" t="s">
        <v>1476</v>
      </c>
      <c r="G1850" s="735"/>
      <c r="H1850" s="6275"/>
      <c r="I1850" s="9582" t="s">
        <v>144</v>
      </c>
      <c r="J1850" s="9583"/>
      <c r="K1850" s="285" t="s">
        <v>559</v>
      </c>
      <c r="L1850" s="7172"/>
      <c r="M1850" s="7295"/>
      <c r="N1850" s="7178"/>
      <c r="O1850" s="7414"/>
      <c r="P1850" s="7199"/>
      <c r="Q1850" s="7375"/>
      <c r="R1850" s="6664" t="s">
        <v>1995</v>
      </c>
      <c r="S1850" s="6577"/>
      <c r="T1850" s="2468"/>
      <c r="U1850" s="276"/>
      <c r="V1850" s="162"/>
      <c r="W1850" s="547"/>
      <c r="X1850" s="547"/>
      <c r="Y1850" s="162"/>
      <c r="Z1850" s="265"/>
      <c r="AA1850" s="265"/>
      <c r="AB1850" s="982"/>
    </row>
    <row r="1851" spans="1:28" ht="20.100000000000001" customHeight="1">
      <c r="A1851" s="11"/>
      <c r="B1851" s="1360"/>
      <c r="C1851" s="742"/>
      <c r="D1851" s="9598" t="s">
        <v>146</v>
      </c>
      <c r="E1851" s="9600"/>
      <c r="F1851" s="285" t="s">
        <v>1476</v>
      </c>
      <c r="G1851" s="735"/>
      <c r="H1851" s="6276"/>
      <c r="I1851" s="9582" t="s">
        <v>147</v>
      </c>
      <c r="J1851" s="9583"/>
      <c r="K1851" s="285" t="s">
        <v>559</v>
      </c>
      <c r="L1851" s="7172"/>
      <c r="M1851" s="7295"/>
      <c r="N1851" s="7178"/>
      <c r="O1851" s="7414"/>
      <c r="P1851" s="7199"/>
      <c r="Q1851" s="7375"/>
      <c r="R1851" s="6664" t="s">
        <v>1995</v>
      </c>
      <c r="S1851" s="6577"/>
      <c r="T1851" s="2468"/>
      <c r="U1851" s="276"/>
      <c r="V1851" s="162"/>
      <c r="W1851" s="547"/>
      <c r="X1851" s="547"/>
      <c r="Y1851" s="162"/>
      <c r="Z1851" s="265"/>
      <c r="AA1851" s="265"/>
      <c r="AB1851" s="982"/>
    </row>
    <row r="1852" spans="1:28" ht="20.100000000000001" customHeight="1">
      <c r="A1852" s="11"/>
      <c r="B1852" s="1360"/>
      <c r="C1852" s="1373"/>
      <c r="D1852" s="9598" t="s">
        <v>149</v>
      </c>
      <c r="E1852" s="9600"/>
      <c r="F1852" s="285" t="s">
        <v>1476</v>
      </c>
      <c r="G1852" s="735"/>
      <c r="H1852" s="6277"/>
      <c r="I1852" s="9582" t="s">
        <v>150</v>
      </c>
      <c r="J1852" s="9583"/>
      <c r="K1852" s="285" t="s">
        <v>559</v>
      </c>
      <c r="L1852" s="7172"/>
      <c r="M1852" s="7295"/>
      <c r="N1852" s="7178"/>
      <c r="O1852" s="7414"/>
      <c r="P1852" s="7199"/>
      <c r="Q1852" s="7375"/>
      <c r="R1852" s="6664" t="s">
        <v>1995</v>
      </c>
      <c r="S1852" s="6577"/>
      <c r="T1852" s="2468"/>
      <c r="U1852" s="276"/>
      <c r="V1852" s="162"/>
      <c r="W1852" s="547"/>
      <c r="X1852" s="547"/>
      <c r="Y1852" s="162"/>
      <c r="Z1852" s="265"/>
      <c r="AA1852" s="265"/>
      <c r="AB1852" s="982"/>
    </row>
    <row r="1853" spans="1:28" ht="20.100000000000001" customHeight="1">
      <c r="A1853" s="11"/>
      <c r="B1853" s="1360"/>
      <c r="C1853" s="1373"/>
      <c r="D1853" s="5762" t="s">
        <v>1693</v>
      </c>
      <c r="E1853" s="5763"/>
      <c r="F1853" s="5766" t="s">
        <v>1476</v>
      </c>
      <c r="G1853" s="5770"/>
      <c r="H1853" s="7102"/>
      <c r="I1853" s="5770" t="s">
        <v>1694</v>
      </c>
      <c r="J1853" s="5770"/>
      <c r="K1853" s="5766" t="s">
        <v>559</v>
      </c>
      <c r="L1853" s="7111" t="str">
        <f>IF(COUNTBLANK(L1854:L1859)&gt;0,"미취합법인有",SUM(L1854:L1859))</f>
        <v>미취합법인有</v>
      </c>
      <c r="M1853" s="7279"/>
      <c r="N1853" s="7115" t="str">
        <f>IF(COUNTBLANK(N1854:N1859)&gt;0,"미취합법인有",SUM(N1854:N1859))</f>
        <v>미취합법인有</v>
      </c>
      <c r="O1853" s="7385"/>
      <c r="P1853" s="7121" t="str">
        <f>IF(COUNTBLANK(P1854:P1859)&gt;0,"미취합법인有",SUM(P1854:P1859))</f>
        <v>미취합법인有</v>
      </c>
      <c r="Q1853" s="7492"/>
      <c r="R1853" s="7093" t="s">
        <v>31</v>
      </c>
      <c r="S1853" s="7067"/>
      <c r="T1853" s="7008" t="s">
        <v>1695</v>
      </c>
      <c r="U1853" s="276" t="s">
        <v>1696</v>
      </c>
      <c r="V1853" s="162" t="s">
        <v>1649</v>
      </c>
      <c r="W1853" s="547"/>
      <c r="X1853" s="547"/>
      <c r="Y1853" s="162"/>
      <c r="Z1853" s="265"/>
      <c r="AA1853" s="265" t="s">
        <v>1697</v>
      </c>
      <c r="AB1853" s="982"/>
    </row>
    <row r="1854" spans="1:28" ht="19.5" customHeight="1">
      <c r="A1854" s="11"/>
      <c r="B1854" s="1360"/>
      <c r="C1854" s="1373"/>
      <c r="D1854" s="9598" t="s">
        <v>134</v>
      </c>
      <c r="E1854" s="9600"/>
      <c r="F1854" s="5623" t="s">
        <v>1476</v>
      </c>
      <c r="G1854" s="735"/>
      <c r="H1854" s="6277"/>
      <c r="I1854" s="9579" t="s">
        <v>135</v>
      </c>
      <c r="J1854" s="9581"/>
      <c r="K1854" s="285" t="s">
        <v>559</v>
      </c>
      <c r="L1854" s="7113">
        <v>0</v>
      </c>
      <c r="M1854" s="7295"/>
      <c r="N1854" s="7117">
        <v>0</v>
      </c>
      <c r="O1854" s="7414"/>
      <c r="P1854" s="7177">
        <v>0</v>
      </c>
      <c r="Q1854" s="7375"/>
      <c r="R1854" s="6664" t="s">
        <v>31</v>
      </c>
      <c r="S1854" s="6577"/>
      <c r="T1854" s="2468"/>
      <c r="U1854" s="276"/>
      <c r="V1854" s="162"/>
      <c r="W1854" s="547"/>
      <c r="X1854" s="547"/>
      <c r="Y1854" s="162"/>
      <c r="Z1854" s="265"/>
      <c r="AA1854" s="265"/>
      <c r="AB1854" s="982"/>
    </row>
    <row r="1855" spans="1:28" ht="20.100000000000001" customHeight="1">
      <c r="A1855" s="11"/>
      <c r="B1855" s="1360"/>
      <c r="C1855" s="1373"/>
      <c r="D1855" s="9598" t="s">
        <v>137</v>
      </c>
      <c r="E1855" s="9600"/>
      <c r="F1855" s="5623" t="s">
        <v>1476</v>
      </c>
      <c r="G1855" s="735"/>
      <c r="H1855" s="6277"/>
      <c r="I1855" s="9579" t="s">
        <v>138</v>
      </c>
      <c r="J1855" s="9581"/>
      <c r="K1855" s="285" t="s">
        <v>559</v>
      </c>
      <c r="L1855" s="7113"/>
      <c r="M1855" s="7295"/>
      <c r="N1855" s="7117"/>
      <c r="O1855" s="7414"/>
      <c r="P1855" s="7177"/>
      <c r="Q1855" s="7375"/>
      <c r="R1855" s="6664" t="s">
        <v>31</v>
      </c>
      <c r="S1855" s="6577"/>
      <c r="T1855" s="2468"/>
      <c r="U1855" s="276"/>
      <c r="V1855" s="162"/>
      <c r="W1855" s="547"/>
      <c r="X1855" s="547"/>
      <c r="Y1855" s="162"/>
      <c r="Z1855" s="265"/>
      <c r="AA1855" s="265"/>
      <c r="AB1855" s="982"/>
    </row>
    <row r="1856" spans="1:28" ht="20.100000000000001" customHeight="1">
      <c r="A1856" s="11"/>
      <c r="B1856" s="1360"/>
      <c r="C1856" s="1373"/>
      <c r="D1856" s="9598" t="s">
        <v>140</v>
      </c>
      <c r="E1856" s="9600"/>
      <c r="F1856" s="5623" t="s">
        <v>1476</v>
      </c>
      <c r="G1856" s="735"/>
      <c r="H1856" s="6277"/>
      <c r="I1856" s="9582" t="s">
        <v>141</v>
      </c>
      <c r="J1856" s="9583"/>
      <c r="K1856" s="285" t="s">
        <v>559</v>
      </c>
      <c r="L1856" s="7113">
        <v>0</v>
      </c>
      <c r="M1856" s="7295"/>
      <c r="N1856" s="7117">
        <v>0</v>
      </c>
      <c r="O1856" s="7414"/>
      <c r="P1856" s="7177">
        <v>0</v>
      </c>
      <c r="Q1856" s="7375"/>
      <c r="R1856" s="6664" t="s">
        <v>31</v>
      </c>
      <c r="S1856" s="6577"/>
      <c r="T1856" s="2468"/>
      <c r="U1856" s="276"/>
      <c r="V1856" s="162"/>
      <c r="W1856" s="547"/>
      <c r="X1856" s="547"/>
      <c r="Y1856" s="162"/>
      <c r="Z1856" s="265"/>
      <c r="AA1856" s="265"/>
      <c r="AB1856" s="982"/>
    </row>
    <row r="1857" spans="1:29" ht="20.100000000000001" customHeight="1">
      <c r="A1857" s="11"/>
      <c r="B1857" s="1360"/>
      <c r="C1857" s="1373"/>
      <c r="D1857" s="9598" t="s">
        <v>143</v>
      </c>
      <c r="E1857" s="9600"/>
      <c r="F1857" s="5623" t="s">
        <v>1476</v>
      </c>
      <c r="G1857" s="735"/>
      <c r="H1857" s="6277"/>
      <c r="I1857" s="9582" t="s">
        <v>144</v>
      </c>
      <c r="J1857" s="9583"/>
      <c r="K1857" s="285" t="s">
        <v>559</v>
      </c>
      <c r="L1857" s="7172"/>
      <c r="M1857" s="7295"/>
      <c r="N1857" s="7178"/>
      <c r="O1857" s="7414"/>
      <c r="P1857" s="7199"/>
      <c r="Q1857" s="7375"/>
      <c r="R1857" s="6664" t="s">
        <v>1995</v>
      </c>
      <c r="S1857" s="6577"/>
      <c r="T1857" s="2468"/>
      <c r="U1857" s="276"/>
      <c r="V1857" s="162"/>
      <c r="W1857" s="547"/>
      <c r="X1857" s="547"/>
      <c r="Y1857" s="162"/>
      <c r="Z1857" s="265"/>
      <c r="AA1857" s="265"/>
      <c r="AB1857" s="982"/>
    </row>
    <row r="1858" spans="1:29" ht="20.100000000000001" customHeight="1">
      <c r="A1858" s="11"/>
      <c r="B1858" s="1360"/>
      <c r="C1858" s="1373"/>
      <c r="D1858" s="9598" t="s">
        <v>146</v>
      </c>
      <c r="E1858" s="9600"/>
      <c r="F1858" s="5623" t="s">
        <v>1476</v>
      </c>
      <c r="G1858" s="358"/>
      <c r="H1858" s="6277"/>
      <c r="I1858" s="9582" t="s">
        <v>147</v>
      </c>
      <c r="J1858" s="9583"/>
      <c r="K1858" s="285" t="s">
        <v>559</v>
      </c>
      <c r="L1858" s="7172"/>
      <c r="M1858" s="7295"/>
      <c r="N1858" s="7178"/>
      <c r="O1858" s="7414"/>
      <c r="P1858" s="7199"/>
      <c r="Q1858" s="7375"/>
      <c r="R1858" s="6664" t="s">
        <v>1995</v>
      </c>
      <c r="S1858" s="6577"/>
      <c r="T1858" s="2468"/>
      <c r="U1858" s="276"/>
      <c r="V1858" s="162"/>
      <c r="W1858" s="547"/>
      <c r="X1858" s="547"/>
      <c r="Y1858" s="162"/>
      <c r="Z1858" s="265"/>
      <c r="AA1858" s="265"/>
      <c r="AB1858" s="982"/>
    </row>
    <row r="1859" spans="1:29" ht="20.100000000000001" customHeight="1">
      <c r="A1859" s="11"/>
      <c r="B1859" s="1360"/>
      <c r="C1859" s="1373"/>
      <c r="D1859" s="9598" t="s">
        <v>149</v>
      </c>
      <c r="E1859" s="9600"/>
      <c r="F1859" s="5623" t="s">
        <v>1476</v>
      </c>
      <c r="G1859" s="358"/>
      <c r="H1859" s="6277"/>
      <c r="I1859" s="9582" t="s">
        <v>150</v>
      </c>
      <c r="J1859" s="9583"/>
      <c r="K1859" s="285" t="s">
        <v>559</v>
      </c>
      <c r="L1859" s="7172"/>
      <c r="M1859" s="7295"/>
      <c r="N1859" s="7178"/>
      <c r="O1859" s="7414"/>
      <c r="P1859" s="7199"/>
      <c r="Q1859" s="7375"/>
      <c r="R1859" s="6664" t="s">
        <v>1995</v>
      </c>
      <c r="S1859" s="6577"/>
      <c r="T1859" s="2468"/>
      <c r="U1859" s="276"/>
      <c r="V1859" s="162"/>
      <c r="W1859" s="547"/>
      <c r="X1859" s="547"/>
      <c r="Y1859" s="162"/>
      <c r="Z1859" s="265"/>
      <c r="AA1859" s="265"/>
      <c r="AB1859" s="982"/>
    </row>
    <row r="1860" spans="1:29" s="139" customFormat="1" ht="19.149999999999999" customHeight="1">
      <c r="A1860" s="11"/>
      <c r="B1860" s="1360"/>
      <c r="C1860" s="9745" t="s">
        <v>2029</v>
      </c>
      <c r="D1860" s="9746"/>
      <c r="E1860" s="9746"/>
      <c r="F1860" s="1560"/>
      <c r="G1860" s="739"/>
      <c r="H1860" s="9742" t="s">
        <v>1699</v>
      </c>
      <c r="I1860" s="9743"/>
      <c r="J1860" s="9744"/>
      <c r="K1860" s="2371"/>
      <c r="L1860" s="7191"/>
      <c r="M1860" s="7331"/>
      <c r="N1860" s="7192"/>
      <c r="O1860" s="7426"/>
      <c r="P1860" s="7193"/>
      <c r="Q1860" s="7427"/>
      <c r="R1860" s="6664" t="s">
        <v>31</v>
      </c>
      <c r="S1860" s="7867"/>
      <c r="T1860" s="276"/>
      <c r="U1860" s="276"/>
      <c r="V1860" s="162" t="s">
        <v>1415</v>
      </c>
      <c r="W1860" s="547"/>
      <c r="X1860" s="547"/>
      <c r="Y1860" s="162"/>
      <c r="Z1860" s="265"/>
      <c r="AA1860" s="265"/>
      <c r="AB1860" s="982"/>
      <c r="AC1860" s="6301"/>
    </row>
    <row r="1861" spans="1:29" ht="20.100000000000001" customHeight="1">
      <c r="A1861" s="11"/>
      <c r="B1861" s="1360"/>
      <c r="C1861" s="1388"/>
      <c r="D1861" s="5762" t="s">
        <v>2032</v>
      </c>
      <c r="E1861" s="5763"/>
      <c r="F1861" s="5766" t="s">
        <v>1476</v>
      </c>
      <c r="G1861" s="5770"/>
      <c r="H1861" s="7101"/>
      <c r="I1861" s="5770" t="s">
        <v>1701</v>
      </c>
      <c r="J1861" s="5770"/>
      <c r="K1861" s="5766" t="s">
        <v>559</v>
      </c>
      <c r="L1861" s="7111" t="str">
        <f>IF(COUNTBLANK(L1862:L1867)&gt;0,"미취합법인有",SUM(L1862:L1867))</f>
        <v>미취합법인有</v>
      </c>
      <c r="M1861" s="7279"/>
      <c r="N1861" s="7115" t="str">
        <f>IF(COUNTBLANK(N1862:N1867)&gt;0,"미취합법인有",SUM(N1862:N1867))</f>
        <v>미취합법인有</v>
      </c>
      <c r="O1861" s="7385"/>
      <c r="P1861" s="7121" t="str">
        <f>IF(COUNTBLANK(P1862:P1867)&gt;0,"미취합법인有",SUM(P1862:P1867))</f>
        <v>미취합법인有</v>
      </c>
      <c r="Q1861" s="7492"/>
      <c r="R1861" s="7093" t="s">
        <v>31</v>
      </c>
      <c r="S1861" s="7067"/>
      <c r="T1861" s="7008" t="s">
        <v>1702</v>
      </c>
      <c r="U1861" s="276" t="s">
        <v>1703</v>
      </c>
      <c r="V1861" s="162" t="s">
        <v>1415</v>
      </c>
      <c r="W1861" s="547"/>
      <c r="X1861" s="547"/>
      <c r="Y1861" s="162"/>
      <c r="Z1861" s="265" t="s">
        <v>1704</v>
      </c>
      <c r="AA1861" s="265"/>
      <c r="AB1861" s="982"/>
    </row>
    <row r="1862" spans="1:29" ht="20.100000000000001" customHeight="1">
      <c r="A1862" s="11"/>
      <c r="B1862" s="1360"/>
      <c r="C1862" s="1210"/>
      <c r="D1862" s="9598" t="s">
        <v>134</v>
      </c>
      <c r="E1862" s="9600"/>
      <c r="F1862" s="285" t="s">
        <v>1476</v>
      </c>
      <c r="G1862" s="358"/>
      <c r="H1862" s="6276"/>
      <c r="I1862" s="9579" t="s">
        <v>135</v>
      </c>
      <c r="J1862" s="9581"/>
      <c r="K1862" s="285" t="s">
        <v>559</v>
      </c>
      <c r="L1862" s="7113">
        <v>17</v>
      </c>
      <c r="M1862" s="7295"/>
      <c r="N1862" s="7117">
        <v>20</v>
      </c>
      <c r="O1862" s="7414"/>
      <c r="P1862" s="7117">
        <v>21</v>
      </c>
      <c r="Q1862" s="7375"/>
      <c r="R1862" s="6664" t="s">
        <v>31</v>
      </c>
      <c r="S1862" s="6577"/>
      <c r="T1862" s="2468"/>
      <c r="U1862" s="276"/>
      <c r="V1862" s="162"/>
      <c r="W1862" s="547"/>
      <c r="X1862" s="547"/>
      <c r="Y1862" s="162"/>
      <c r="Z1862" s="265"/>
      <c r="AA1862" s="265"/>
      <c r="AB1862" s="982"/>
    </row>
    <row r="1863" spans="1:29" ht="20.100000000000001" customHeight="1">
      <c r="A1863" s="11"/>
      <c r="B1863" s="1360"/>
      <c r="C1863" s="1388"/>
      <c r="D1863" s="9598" t="s">
        <v>137</v>
      </c>
      <c r="E1863" s="9600"/>
      <c r="F1863" s="285" t="s">
        <v>1476</v>
      </c>
      <c r="G1863" s="358"/>
      <c r="H1863" s="6275"/>
      <c r="I1863" s="9579" t="s">
        <v>138</v>
      </c>
      <c r="J1863" s="9581"/>
      <c r="K1863" s="285" t="s">
        <v>559</v>
      </c>
      <c r="L1863" s="7113">
        <v>0</v>
      </c>
      <c r="M1863" s="7295"/>
      <c r="N1863" s="7117">
        <v>0</v>
      </c>
      <c r="O1863" s="7414"/>
      <c r="P1863" s="7177">
        <v>0</v>
      </c>
      <c r="Q1863" s="7375"/>
      <c r="R1863" s="6664" t="s">
        <v>31</v>
      </c>
      <c r="S1863" s="6577"/>
      <c r="T1863" s="2468"/>
      <c r="U1863" s="276"/>
      <c r="V1863" s="162"/>
      <c r="W1863" s="547"/>
      <c r="X1863" s="547"/>
      <c r="Y1863" s="162"/>
      <c r="Z1863" s="265"/>
      <c r="AA1863" s="265"/>
      <c r="AB1863" s="982"/>
    </row>
    <row r="1864" spans="1:29" ht="20.100000000000001" customHeight="1">
      <c r="A1864" s="11"/>
      <c r="B1864" s="1360"/>
      <c r="C1864" s="1210"/>
      <c r="D1864" s="9598" t="s">
        <v>140</v>
      </c>
      <c r="E1864" s="9600"/>
      <c r="F1864" s="285" t="s">
        <v>1476</v>
      </c>
      <c r="G1864" s="358"/>
      <c r="H1864" s="6276"/>
      <c r="I1864" s="9582" t="s">
        <v>141</v>
      </c>
      <c r="J1864" s="9583"/>
      <c r="K1864" s="285" t="s">
        <v>559</v>
      </c>
      <c r="L1864" s="7172"/>
      <c r="M1864" s="7295"/>
      <c r="N1864" s="7178"/>
      <c r="O1864" s="7414"/>
      <c r="P1864" s="7179"/>
      <c r="Q1864" s="7245"/>
      <c r="R1864" s="6664" t="s">
        <v>1995</v>
      </c>
      <c r="S1864" s="6577"/>
      <c r="T1864" s="498"/>
      <c r="U1864" s="367"/>
      <c r="V1864" s="162"/>
      <c r="W1864" s="547"/>
      <c r="X1864" s="547"/>
      <c r="Y1864" s="162"/>
      <c r="Z1864" s="265"/>
      <c r="AA1864" s="265"/>
      <c r="AB1864" s="982"/>
    </row>
    <row r="1865" spans="1:29" ht="20.100000000000001" customHeight="1">
      <c r="A1865" s="11"/>
      <c r="B1865" s="1360"/>
      <c r="C1865" s="1388"/>
      <c r="D1865" s="9598" t="s">
        <v>143</v>
      </c>
      <c r="E1865" s="9600"/>
      <c r="F1865" s="285" t="s">
        <v>1476</v>
      </c>
      <c r="G1865" s="358"/>
      <c r="H1865" s="6275"/>
      <c r="I1865" s="9582" t="s">
        <v>144</v>
      </c>
      <c r="J1865" s="9583"/>
      <c r="K1865" s="285" t="s">
        <v>559</v>
      </c>
      <c r="L1865" s="7172"/>
      <c r="M1865" s="7295"/>
      <c r="N1865" s="7178"/>
      <c r="O1865" s="7414"/>
      <c r="P1865" s="7179"/>
      <c r="Q1865" s="7375"/>
      <c r="R1865" s="6664" t="s">
        <v>1995</v>
      </c>
      <c r="S1865" s="6577"/>
      <c r="T1865" s="498"/>
      <c r="U1865" s="367"/>
      <c r="V1865" s="162"/>
      <c r="W1865" s="547"/>
      <c r="X1865" s="547"/>
      <c r="Y1865" s="162"/>
      <c r="Z1865" s="265"/>
      <c r="AA1865" s="265"/>
      <c r="AB1865" s="982"/>
    </row>
    <row r="1866" spans="1:29" ht="20.100000000000001" customHeight="1">
      <c r="A1866" s="11"/>
      <c r="B1866" s="1360"/>
      <c r="C1866" s="1210"/>
      <c r="D1866" s="9598" t="s">
        <v>146</v>
      </c>
      <c r="E1866" s="9600"/>
      <c r="F1866" s="285" t="s">
        <v>1476</v>
      </c>
      <c r="G1866" s="735"/>
      <c r="H1866" s="6276"/>
      <c r="I1866" s="9582" t="s">
        <v>147</v>
      </c>
      <c r="J1866" s="9583"/>
      <c r="K1866" s="285" t="s">
        <v>559</v>
      </c>
      <c r="L1866" s="7172"/>
      <c r="M1866" s="7295"/>
      <c r="N1866" s="7178"/>
      <c r="O1866" s="7414"/>
      <c r="P1866" s="7179"/>
      <c r="Q1866" s="7375"/>
      <c r="R1866" s="6664" t="s">
        <v>1995</v>
      </c>
      <c r="S1866" s="6577"/>
      <c r="T1866" s="498"/>
      <c r="U1866" s="367"/>
      <c r="V1866" s="162"/>
      <c r="W1866" s="547"/>
      <c r="X1866" s="547"/>
      <c r="Y1866" s="162"/>
      <c r="Z1866" s="265"/>
      <c r="AA1866" s="265"/>
      <c r="AB1866" s="982"/>
    </row>
    <row r="1867" spans="1:29" ht="20.100000000000001" customHeight="1">
      <c r="A1867" s="11"/>
      <c r="B1867" s="1360"/>
      <c r="C1867" s="1388"/>
      <c r="D1867" s="9598" t="s">
        <v>149</v>
      </c>
      <c r="E1867" s="9600"/>
      <c r="F1867" s="285" t="s">
        <v>1476</v>
      </c>
      <c r="G1867" s="735"/>
      <c r="H1867" s="6275"/>
      <c r="I1867" s="9582" t="s">
        <v>150</v>
      </c>
      <c r="J1867" s="9583"/>
      <c r="K1867" s="285" t="s">
        <v>559</v>
      </c>
      <c r="L1867" s="7172"/>
      <c r="M1867" s="7295"/>
      <c r="N1867" s="7178"/>
      <c r="O1867" s="7414"/>
      <c r="P1867" s="7179"/>
      <c r="Q1867" s="7375"/>
      <c r="R1867" s="6664" t="s">
        <v>1995</v>
      </c>
      <c r="S1867" s="6577"/>
      <c r="T1867" s="498"/>
      <c r="U1867" s="367"/>
      <c r="V1867" s="162"/>
      <c r="W1867" s="547"/>
      <c r="X1867" s="547"/>
      <c r="Y1867" s="162"/>
      <c r="Z1867" s="265"/>
      <c r="AA1867" s="265"/>
      <c r="AB1867" s="982"/>
    </row>
    <row r="1868" spans="1:29" ht="20.100000000000001" customHeight="1">
      <c r="A1868" s="11"/>
      <c r="B1868" s="1360"/>
      <c r="C1868" s="1210"/>
      <c r="D1868" s="5762" t="s">
        <v>2031</v>
      </c>
      <c r="E1868" s="5763"/>
      <c r="F1868" s="5766" t="s">
        <v>1476</v>
      </c>
      <c r="G1868" s="5770"/>
      <c r="H1868" s="7103"/>
      <c r="I1868" s="5770" t="s">
        <v>1707</v>
      </c>
      <c r="J1868" s="5770"/>
      <c r="K1868" s="5766" t="s">
        <v>559</v>
      </c>
      <c r="L1868" s="7111" t="str">
        <f>IF(COUNTBLANK(L1869:L1874)&gt;0,"미취합법인有",SUM(L1869:L1874))</f>
        <v>미취합법인有</v>
      </c>
      <c r="M1868" s="7279"/>
      <c r="N1868" s="7115" t="str">
        <f>IF(COUNTBLANK(N1869:N1874)&gt;0,"미취합법인有",SUM(N1869:N1874))</f>
        <v>미취합법인有</v>
      </c>
      <c r="O1868" s="7385"/>
      <c r="P1868" s="7121" t="str">
        <f>IF(COUNTBLANK(P1869:P1874)&gt;0,"미취합법인有",SUM(P1869:P1874))</f>
        <v>미취합법인有</v>
      </c>
      <c r="Q1868" s="7492"/>
      <c r="R1868" s="7093" t="s">
        <v>31</v>
      </c>
      <c r="S1868" s="7067"/>
      <c r="T1868" s="7008" t="s">
        <v>1708</v>
      </c>
      <c r="U1868" s="367" t="s">
        <v>1709</v>
      </c>
      <c r="V1868" s="162" t="s">
        <v>1415</v>
      </c>
      <c r="W1868" s="547"/>
      <c r="X1868" s="547"/>
      <c r="Y1868" s="162"/>
      <c r="Z1868" s="265" t="s">
        <v>1710</v>
      </c>
      <c r="AA1868" s="265" t="s">
        <v>1711</v>
      </c>
      <c r="AB1868" s="982"/>
    </row>
    <row r="1869" spans="1:29" ht="20.100000000000001" customHeight="1">
      <c r="A1869" s="11"/>
      <c r="B1869" s="1360"/>
      <c r="C1869" s="1384"/>
      <c r="D1869" s="9598" t="s">
        <v>134</v>
      </c>
      <c r="E1869" s="9600"/>
      <c r="F1869" s="285" t="s">
        <v>1476</v>
      </c>
      <c r="G1869" s="735"/>
      <c r="H1869" s="6277"/>
      <c r="I1869" s="9579" t="s">
        <v>135</v>
      </c>
      <c r="J1869" s="9581"/>
      <c r="K1869" s="285" t="s">
        <v>559</v>
      </c>
      <c r="L1869" s="7113">
        <v>13</v>
      </c>
      <c r="M1869" s="7295"/>
      <c r="N1869" s="7117">
        <v>13</v>
      </c>
      <c r="O1869" s="7414"/>
      <c r="P1869" s="7117">
        <v>10</v>
      </c>
      <c r="Q1869" s="7375"/>
      <c r="R1869" s="6664" t="s">
        <v>31</v>
      </c>
      <c r="S1869" s="6577"/>
      <c r="T1869" s="498"/>
      <c r="U1869" s="367"/>
      <c r="V1869" s="162"/>
      <c r="W1869" s="547"/>
      <c r="X1869" s="547"/>
      <c r="Y1869" s="162"/>
      <c r="Z1869" s="265"/>
      <c r="AA1869" s="265"/>
      <c r="AB1869" s="982"/>
    </row>
    <row r="1870" spans="1:29" ht="20.100000000000001" customHeight="1">
      <c r="A1870" s="11"/>
      <c r="B1870" s="1360"/>
      <c r="C1870" s="1384"/>
      <c r="D1870" s="9598" t="s">
        <v>137</v>
      </c>
      <c r="E1870" s="9600"/>
      <c r="F1870" s="285" t="s">
        <v>1476</v>
      </c>
      <c r="G1870" s="735"/>
      <c r="H1870" s="6277"/>
      <c r="I1870" s="9579" t="s">
        <v>138</v>
      </c>
      <c r="J1870" s="9581"/>
      <c r="K1870" s="285" t="s">
        <v>559</v>
      </c>
      <c r="L1870" s="7113">
        <v>0</v>
      </c>
      <c r="M1870" s="7295"/>
      <c r="N1870" s="7117">
        <v>0</v>
      </c>
      <c r="O1870" s="7414"/>
      <c r="P1870" s="7177">
        <v>0</v>
      </c>
      <c r="Q1870" s="7375"/>
      <c r="R1870" s="6664" t="s">
        <v>31</v>
      </c>
      <c r="S1870" s="6577"/>
      <c r="T1870" s="498"/>
      <c r="U1870" s="367"/>
      <c r="V1870" s="162"/>
      <c r="W1870" s="547"/>
      <c r="X1870" s="547"/>
      <c r="Y1870" s="162"/>
      <c r="Z1870" s="265"/>
      <c r="AA1870" s="265"/>
      <c r="AB1870" s="982"/>
    </row>
    <row r="1871" spans="1:29" ht="20.100000000000001" customHeight="1">
      <c r="A1871" s="11"/>
      <c r="B1871" s="1360"/>
      <c r="C1871" s="1384"/>
      <c r="D1871" s="9598" t="s">
        <v>140</v>
      </c>
      <c r="E1871" s="9600"/>
      <c r="F1871" s="285" t="s">
        <v>1476</v>
      </c>
      <c r="G1871" s="735"/>
      <c r="H1871" s="6277"/>
      <c r="I1871" s="9582" t="s">
        <v>141</v>
      </c>
      <c r="J1871" s="9583"/>
      <c r="K1871" s="285" t="s">
        <v>559</v>
      </c>
      <c r="L1871" s="7172"/>
      <c r="M1871" s="7295"/>
      <c r="N1871" s="7178"/>
      <c r="O1871" s="7414"/>
      <c r="P1871" s="7179"/>
      <c r="Q1871" s="7375"/>
      <c r="R1871" s="6664" t="s">
        <v>1995</v>
      </c>
      <c r="S1871" s="6577"/>
      <c r="T1871" s="498"/>
      <c r="U1871" s="367"/>
      <c r="V1871" s="162"/>
      <c r="W1871" s="547"/>
      <c r="X1871" s="547"/>
      <c r="Y1871" s="162"/>
      <c r="Z1871" s="265"/>
      <c r="AA1871" s="265"/>
      <c r="AB1871" s="982"/>
    </row>
    <row r="1872" spans="1:29" ht="20.100000000000001" customHeight="1">
      <c r="A1872" s="11"/>
      <c r="B1872" s="1360"/>
      <c r="C1872" s="1384"/>
      <c r="D1872" s="9598" t="s">
        <v>143</v>
      </c>
      <c r="E1872" s="9600"/>
      <c r="F1872" s="285" t="s">
        <v>1476</v>
      </c>
      <c r="G1872" s="735"/>
      <c r="H1872" s="6277"/>
      <c r="I1872" s="9582" t="s">
        <v>144</v>
      </c>
      <c r="J1872" s="9583"/>
      <c r="K1872" s="285" t="s">
        <v>559</v>
      </c>
      <c r="L1872" s="7172"/>
      <c r="M1872" s="7295"/>
      <c r="N1872" s="7178"/>
      <c r="O1872" s="7414"/>
      <c r="P1872" s="7179"/>
      <c r="Q1872" s="7375"/>
      <c r="R1872" s="6664" t="s">
        <v>1995</v>
      </c>
      <c r="S1872" s="6577"/>
      <c r="T1872" s="498"/>
      <c r="U1872" s="367"/>
      <c r="V1872" s="162"/>
      <c r="W1872" s="547"/>
      <c r="X1872" s="547"/>
      <c r="Y1872" s="162"/>
      <c r="Z1872" s="265"/>
      <c r="AA1872" s="265"/>
      <c r="AB1872" s="982"/>
    </row>
    <row r="1873" spans="1:62" ht="20.100000000000001" customHeight="1">
      <c r="A1873" s="11"/>
      <c r="B1873" s="1360"/>
      <c r="C1873" s="1384"/>
      <c r="D1873" s="9598" t="s">
        <v>146</v>
      </c>
      <c r="E1873" s="9600"/>
      <c r="F1873" s="285" t="s">
        <v>1476</v>
      </c>
      <c r="G1873" s="735"/>
      <c r="H1873" s="6277"/>
      <c r="I1873" s="9582" t="s">
        <v>147</v>
      </c>
      <c r="J1873" s="9583"/>
      <c r="K1873" s="285" t="s">
        <v>559</v>
      </c>
      <c r="L1873" s="7172"/>
      <c r="M1873" s="7295"/>
      <c r="N1873" s="7178"/>
      <c r="O1873" s="7414"/>
      <c r="P1873" s="7179"/>
      <c r="Q1873" s="7375"/>
      <c r="R1873" s="6664" t="s">
        <v>1995</v>
      </c>
      <c r="S1873" s="6577"/>
      <c r="T1873" s="498"/>
      <c r="U1873" s="367"/>
      <c r="V1873" s="162"/>
      <c r="W1873" s="547"/>
      <c r="X1873" s="547"/>
      <c r="Y1873" s="162"/>
      <c r="Z1873" s="265"/>
      <c r="AA1873" s="265"/>
      <c r="AB1873" s="982"/>
    </row>
    <row r="1874" spans="1:62" ht="20.100000000000001" customHeight="1">
      <c r="A1874" s="11"/>
      <c r="B1874" s="1360"/>
      <c r="C1874" s="1384"/>
      <c r="D1874" s="9598" t="s">
        <v>149</v>
      </c>
      <c r="E1874" s="9600"/>
      <c r="F1874" s="285" t="s">
        <v>1476</v>
      </c>
      <c r="G1874" s="735"/>
      <c r="H1874" s="6277"/>
      <c r="I1874" s="9582" t="s">
        <v>150</v>
      </c>
      <c r="J1874" s="9583"/>
      <c r="K1874" s="285" t="s">
        <v>559</v>
      </c>
      <c r="L1874" s="7172"/>
      <c r="M1874" s="7295"/>
      <c r="N1874" s="7178"/>
      <c r="O1874" s="7414"/>
      <c r="P1874" s="7179"/>
      <c r="Q1874" s="7375"/>
      <c r="R1874" s="6664" t="s">
        <v>1995</v>
      </c>
      <c r="S1874" s="6577"/>
      <c r="T1874" s="498"/>
      <c r="U1874" s="367"/>
      <c r="V1874" s="162"/>
      <c r="W1874" s="547"/>
      <c r="X1874" s="547"/>
      <c r="Y1874" s="162"/>
      <c r="Z1874" s="265"/>
      <c r="AA1874" s="265"/>
      <c r="AB1874" s="982"/>
    </row>
    <row r="1875" spans="1:62" ht="20.100000000000001" customHeight="1">
      <c r="A1875" s="11"/>
      <c r="B1875" s="1360"/>
      <c r="C1875" s="5762" t="s">
        <v>2033</v>
      </c>
      <c r="D1875" s="5762"/>
      <c r="E1875" s="5763"/>
      <c r="F1875" s="5766" t="s">
        <v>1476</v>
      </c>
      <c r="G1875" s="5770"/>
      <c r="H1875" s="5769" t="s">
        <v>1713</v>
      </c>
      <c r="I1875" s="5770"/>
      <c r="J1875" s="5770"/>
      <c r="K1875" s="5766" t="s">
        <v>559</v>
      </c>
      <c r="L1875" s="7111" t="str">
        <f>IF(COUNTBLANK(L1876:L1881)&gt;0,"미취합법인有",SUM(L1876:L1881))</f>
        <v>미취합법인有</v>
      </c>
      <c r="M1875" s="7279"/>
      <c r="N1875" s="7115" t="str">
        <f>IF(COUNTBLANK(N1876:N1881)&gt;0,"미취합법인有",SUM(N1876:N1881))</f>
        <v>미취합법인有</v>
      </c>
      <c r="O1875" s="7385"/>
      <c r="P1875" s="7121" t="str">
        <f>IF(COUNTBLANK(P1876:P1881)&gt;0,"미취합법인有",SUM(P1876:P1881))</f>
        <v>미취합법인有</v>
      </c>
      <c r="Q1875" s="7492"/>
      <c r="R1875" s="7066"/>
      <c r="S1875" s="7067"/>
      <c r="T1875" s="7008" t="s">
        <v>1714</v>
      </c>
      <c r="U1875" s="276" t="s">
        <v>1715</v>
      </c>
      <c r="V1875" s="162" t="s">
        <v>1415</v>
      </c>
      <c r="W1875" s="547"/>
      <c r="X1875" s="547"/>
      <c r="Y1875" s="162"/>
      <c r="Z1875" s="265"/>
      <c r="AA1875" s="265" t="s">
        <v>1711</v>
      </c>
      <c r="AB1875" s="982"/>
    </row>
    <row r="1876" spans="1:62" ht="20.100000000000001" customHeight="1">
      <c r="A1876" s="11"/>
      <c r="B1876" s="1360"/>
      <c r="C1876" s="359" t="s">
        <v>1716</v>
      </c>
      <c r="D1876" s="497"/>
      <c r="E1876" s="360"/>
      <c r="F1876" s="285" t="s">
        <v>1476</v>
      </c>
      <c r="G1876" s="735"/>
      <c r="H1876" s="6133" t="s">
        <v>135</v>
      </c>
      <c r="I1876" s="6135"/>
      <c r="J1876" s="6134"/>
      <c r="K1876" s="105" t="s">
        <v>559</v>
      </c>
      <c r="L1876" s="7172"/>
      <c r="M1876" s="7295"/>
      <c r="N1876" s="7194">
        <v>4</v>
      </c>
      <c r="O1876" s="7414"/>
      <c r="P1876" s="7131">
        <v>1</v>
      </c>
      <c r="Q1876" s="7375"/>
      <c r="R1876" s="6664" t="s">
        <v>2061</v>
      </c>
      <c r="S1876" s="6577" t="s">
        <v>2034</v>
      </c>
      <c r="T1876" s="2468"/>
      <c r="U1876" s="276"/>
      <c r="V1876" s="162"/>
      <c r="W1876" s="547"/>
      <c r="X1876" s="547"/>
      <c r="Y1876" s="162"/>
      <c r="Z1876" s="265"/>
      <c r="AA1876" s="265"/>
      <c r="AB1876" s="982"/>
    </row>
    <row r="1877" spans="1:62" ht="20.100000000000001" customHeight="1">
      <c r="A1877" s="11"/>
      <c r="B1877" s="1360"/>
      <c r="C1877" s="359" t="s">
        <v>1717</v>
      </c>
      <c r="D1877" s="497"/>
      <c r="E1877" s="360"/>
      <c r="F1877" s="285" t="s">
        <v>1476</v>
      </c>
      <c r="G1877" s="735"/>
      <c r="H1877" s="6133" t="s">
        <v>138</v>
      </c>
      <c r="I1877" s="6135"/>
      <c r="J1877" s="6134"/>
      <c r="K1877" s="105" t="s">
        <v>559</v>
      </c>
      <c r="L1877" s="7172"/>
      <c r="M1877" s="7295"/>
      <c r="N1877" s="7200"/>
      <c r="O1877" s="7414"/>
      <c r="P1877" s="7199"/>
      <c r="Q1877" s="7375"/>
      <c r="R1877" s="6664" t="s">
        <v>1995</v>
      </c>
      <c r="S1877" s="6577"/>
      <c r="T1877" s="2468"/>
      <c r="U1877" s="276"/>
      <c r="V1877" s="162"/>
      <c r="W1877" s="547"/>
      <c r="X1877" s="547"/>
      <c r="Y1877" s="162"/>
      <c r="Z1877" s="265"/>
      <c r="AA1877" s="265"/>
      <c r="AB1877" s="982"/>
    </row>
    <row r="1878" spans="1:62" ht="20.100000000000001" customHeight="1">
      <c r="A1878" s="11"/>
      <c r="B1878" s="1360"/>
      <c r="C1878" s="359" t="s">
        <v>1718</v>
      </c>
      <c r="D1878" s="497"/>
      <c r="E1878" s="360"/>
      <c r="F1878" s="285" t="s">
        <v>1476</v>
      </c>
      <c r="G1878" s="735"/>
      <c r="H1878" s="267" t="s">
        <v>141</v>
      </c>
      <c r="I1878" s="6280"/>
      <c r="J1878" s="268"/>
      <c r="K1878" s="105" t="s">
        <v>559</v>
      </c>
      <c r="L1878" s="7172"/>
      <c r="M1878" s="7295"/>
      <c r="N1878" s="7178"/>
      <c r="O1878" s="7414"/>
      <c r="P1878" s="7179"/>
      <c r="Q1878" s="7375"/>
      <c r="R1878" s="6664" t="s">
        <v>1995</v>
      </c>
      <c r="S1878" s="6577"/>
      <c r="T1878" s="2468"/>
      <c r="U1878" s="276"/>
      <c r="V1878" s="162"/>
      <c r="W1878" s="547"/>
      <c r="X1878" s="547"/>
      <c r="Y1878" s="162"/>
      <c r="Z1878" s="265"/>
      <c r="AA1878" s="265"/>
      <c r="AB1878" s="982"/>
    </row>
    <row r="1879" spans="1:62" ht="20.100000000000001" customHeight="1">
      <c r="A1879" s="11"/>
      <c r="B1879" s="1360"/>
      <c r="C1879" s="359" t="s">
        <v>1719</v>
      </c>
      <c r="D1879" s="497"/>
      <c r="E1879" s="360"/>
      <c r="F1879" s="285" t="s">
        <v>1476</v>
      </c>
      <c r="G1879" s="735"/>
      <c r="H1879" s="267" t="s">
        <v>144</v>
      </c>
      <c r="I1879" s="6280"/>
      <c r="J1879" s="268"/>
      <c r="K1879" s="105" t="s">
        <v>559</v>
      </c>
      <c r="L1879" s="7172"/>
      <c r="M1879" s="7295"/>
      <c r="N1879" s="7178"/>
      <c r="O1879" s="7414"/>
      <c r="P1879" s="7179"/>
      <c r="Q1879" s="7375"/>
      <c r="R1879" s="6664" t="s">
        <v>1995</v>
      </c>
      <c r="S1879" s="6577"/>
      <c r="T1879" s="2468"/>
      <c r="U1879" s="276"/>
      <c r="V1879" s="162"/>
      <c r="W1879" s="547"/>
      <c r="X1879" s="547"/>
      <c r="Y1879" s="162"/>
      <c r="Z1879" s="265"/>
      <c r="AA1879" s="265"/>
      <c r="AB1879" s="982"/>
    </row>
    <row r="1880" spans="1:62" ht="20.100000000000001" customHeight="1">
      <c r="A1880" s="11"/>
      <c r="B1880" s="1360"/>
      <c r="C1880" s="359" t="s">
        <v>146</v>
      </c>
      <c r="D1880" s="497"/>
      <c r="E1880" s="360"/>
      <c r="F1880" s="285" t="s">
        <v>1476</v>
      </c>
      <c r="G1880" s="735"/>
      <c r="H1880" s="267" t="s">
        <v>147</v>
      </c>
      <c r="I1880" s="6280"/>
      <c r="J1880" s="268"/>
      <c r="K1880" s="105" t="s">
        <v>559</v>
      </c>
      <c r="L1880" s="7172"/>
      <c r="M1880" s="7295"/>
      <c r="N1880" s="7178"/>
      <c r="O1880" s="7414"/>
      <c r="P1880" s="7179"/>
      <c r="Q1880" s="7375"/>
      <c r="R1880" s="6664" t="s">
        <v>1995</v>
      </c>
      <c r="S1880" s="6577"/>
      <c r="T1880" s="2468"/>
      <c r="U1880" s="276"/>
      <c r="V1880" s="162"/>
      <c r="W1880" s="547"/>
      <c r="X1880" s="547"/>
      <c r="Y1880" s="162"/>
      <c r="Z1880" s="265"/>
      <c r="AA1880" s="265"/>
      <c r="AB1880" s="982"/>
    </row>
    <row r="1881" spans="1:62" ht="20.100000000000001" customHeight="1" thickBot="1">
      <c r="A1881" s="11"/>
      <c r="B1881" s="7725"/>
      <c r="C1881" s="1050" t="s">
        <v>149</v>
      </c>
      <c r="D1881" s="1051"/>
      <c r="E1881" s="7726"/>
      <c r="F1881" s="7727" t="s">
        <v>1476</v>
      </c>
      <c r="G1881" s="7728"/>
      <c r="H1881" s="7729" t="s">
        <v>150</v>
      </c>
      <c r="I1881" s="7730"/>
      <c r="J1881" s="7731"/>
      <c r="K1881" s="7732" t="s">
        <v>559</v>
      </c>
      <c r="L1881" s="7733"/>
      <c r="M1881" s="7734"/>
      <c r="N1881" s="7735"/>
      <c r="O1881" s="7736"/>
      <c r="P1881" s="7737"/>
      <c r="Q1881" s="7738"/>
      <c r="R1881" s="7739" t="s">
        <v>1995</v>
      </c>
      <c r="S1881" s="7740"/>
      <c r="T1881" s="7741"/>
      <c r="U1881" s="7742"/>
      <c r="V1881" s="7743"/>
      <c r="W1881" s="7744"/>
      <c r="X1881" s="7744"/>
      <c r="Y1881" s="7743"/>
      <c r="Z1881" s="7745"/>
      <c r="AA1881" s="7745"/>
      <c r="AB1881" s="7746"/>
    </row>
    <row r="1882" spans="1:62" ht="17.25" thickTop="1">
      <c r="C1882" s="6404"/>
      <c r="D1882" s="6404"/>
      <c r="E1882" s="6404"/>
      <c r="G1882" s="6410"/>
      <c r="H1882" s="6410"/>
      <c r="I1882" s="6410"/>
      <c r="J1882" s="6410"/>
      <c r="L1882" s="6815"/>
      <c r="N1882" s="6815"/>
      <c r="P1882" s="6815"/>
    </row>
    <row r="1883" spans="1:62">
      <c r="L1883" s="6815"/>
      <c r="N1883" s="6815"/>
      <c r="P1883" s="6815"/>
    </row>
    <row r="1884" spans="1:62" s="24" customFormat="1">
      <c r="A1884" s="139"/>
      <c r="B1884" s="139"/>
      <c r="C1884" s="139"/>
      <c r="D1884" s="139"/>
      <c r="E1884" s="139"/>
      <c r="F1884" s="139"/>
      <c r="G1884" s="6412"/>
      <c r="H1884" s="6412"/>
      <c r="I1884" s="6412"/>
      <c r="J1884" s="6412"/>
      <c r="K1884" s="139"/>
      <c r="L1884" s="6815"/>
      <c r="M1884" s="6413"/>
      <c r="N1884" s="6815"/>
      <c r="O1884" s="6413"/>
      <c r="P1884" s="6815"/>
      <c r="Q1884" s="6413"/>
      <c r="R1884" s="1857"/>
      <c r="S1884" s="6413"/>
      <c r="T1884" s="1287"/>
      <c r="U1884" s="1287"/>
      <c r="V1884" s="139"/>
      <c r="W1884" s="139"/>
      <c r="X1884" s="139"/>
      <c r="Y1884" s="139"/>
      <c r="Z1884" s="10"/>
      <c r="AA1884" s="10"/>
      <c r="AB1884" s="10"/>
      <c r="AC1884" s="6301"/>
      <c r="AD1884" s="139"/>
      <c r="AE1884" s="1287"/>
      <c r="AF1884" s="1287"/>
      <c r="AG1884" s="1287"/>
      <c r="AH1884" s="1287"/>
      <c r="AI1884" s="1287"/>
      <c r="AJ1884" s="1287"/>
      <c r="AK1884" s="1287"/>
      <c r="AL1884" s="1287"/>
      <c r="AM1884" s="1287"/>
      <c r="AN1884" s="1287"/>
      <c r="AO1884" s="1287"/>
      <c r="AP1884" s="1287"/>
      <c r="AQ1884" s="1287"/>
      <c r="AR1884" s="1287"/>
      <c r="AS1884" s="1287"/>
      <c r="AT1884" s="1287"/>
      <c r="AU1884" s="1287"/>
      <c r="AV1884" s="1287"/>
      <c r="AW1884" s="1287"/>
      <c r="AX1884" s="1287"/>
      <c r="AY1884" s="1287"/>
      <c r="AZ1884" s="1287"/>
      <c r="BA1884" s="1287"/>
      <c r="BB1884" s="1287"/>
      <c r="BC1884" s="1287"/>
      <c r="BD1884" s="1287"/>
      <c r="BE1884" s="1287"/>
      <c r="BF1884" s="1287"/>
      <c r="BG1884" s="1287"/>
      <c r="BH1884" s="1287"/>
      <c r="BI1884" s="1287"/>
      <c r="BJ1884" s="1287"/>
    </row>
    <row r="1885" spans="1:62" s="24" customFormat="1">
      <c r="A1885" s="139"/>
      <c r="B1885" s="139"/>
      <c r="C1885" s="139"/>
      <c r="D1885" s="139"/>
      <c r="E1885" s="139"/>
      <c r="F1885" s="139"/>
      <c r="G1885" s="6412"/>
      <c r="H1885" s="6412"/>
      <c r="I1885" s="6412"/>
      <c r="J1885" s="6412"/>
      <c r="K1885" s="139"/>
      <c r="L1885" s="6815"/>
      <c r="M1885" s="6413"/>
      <c r="N1885" s="6815"/>
      <c r="O1885" s="6413"/>
      <c r="P1885" s="6815"/>
      <c r="Q1885" s="6413"/>
      <c r="R1885" s="1857"/>
      <c r="S1885" s="6413"/>
      <c r="T1885" s="1287"/>
      <c r="U1885" s="1287"/>
      <c r="V1885" s="139"/>
      <c r="W1885" s="139"/>
      <c r="X1885" s="139"/>
      <c r="Y1885" s="139"/>
      <c r="Z1885" s="10"/>
      <c r="AA1885" s="10"/>
      <c r="AB1885" s="10"/>
      <c r="AC1885" s="6301"/>
      <c r="AD1885" s="139"/>
      <c r="AE1885" s="1287"/>
      <c r="AF1885" s="1287"/>
      <c r="AG1885" s="1287"/>
      <c r="AH1885" s="1287"/>
      <c r="AI1885" s="1287"/>
      <c r="AJ1885" s="1287"/>
      <c r="AK1885" s="1287"/>
      <c r="AL1885" s="1287"/>
      <c r="AM1885" s="1287"/>
      <c r="AN1885" s="1287"/>
      <c r="AO1885" s="1287"/>
      <c r="AP1885" s="1287"/>
      <c r="AQ1885" s="1287"/>
      <c r="AR1885" s="1287"/>
      <c r="AS1885" s="1287"/>
      <c r="AT1885" s="1287"/>
      <c r="AU1885" s="1287"/>
      <c r="AV1885" s="1287"/>
      <c r="AW1885" s="1287"/>
      <c r="AX1885" s="1287"/>
      <c r="AY1885" s="1287"/>
      <c r="AZ1885" s="1287"/>
      <c r="BA1885" s="1287"/>
      <c r="BB1885" s="1287"/>
      <c r="BC1885" s="1287"/>
      <c r="BD1885" s="1287"/>
      <c r="BE1885" s="1287"/>
      <c r="BF1885" s="1287"/>
      <c r="BG1885" s="1287"/>
      <c r="BH1885" s="1287"/>
      <c r="BI1885" s="1287"/>
      <c r="BJ1885" s="1287"/>
    </row>
    <row r="1886" spans="1:62" s="24" customFormat="1">
      <c r="A1886" s="139"/>
      <c r="B1886" s="139"/>
      <c r="C1886" s="139"/>
      <c r="D1886" s="139"/>
      <c r="E1886" s="139"/>
      <c r="F1886" s="139"/>
      <c r="G1886" s="6412"/>
      <c r="H1886" s="6412"/>
      <c r="I1886" s="6412"/>
      <c r="J1886" s="6412"/>
      <c r="K1886" s="139"/>
      <c r="L1886" s="6815"/>
      <c r="M1886" s="6413"/>
      <c r="N1886" s="6815"/>
      <c r="O1886" s="6413"/>
      <c r="P1886" s="6815"/>
      <c r="Q1886" s="6413"/>
      <c r="R1886" s="1857"/>
      <c r="S1886" s="6413"/>
      <c r="T1886" s="1287"/>
      <c r="U1886" s="1287"/>
      <c r="V1886" s="139"/>
      <c r="W1886" s="139"/>
      <c r="X1886" s="139"/>
      <c r="Y1886" s="139"/>
      <c r="Z1886" s="10"/>
      <c r="AA1886" s="10"/>
      <c r="AB1886" s="10"/>
      <c r="AC1886" s="6301"/>
      <c r="AD1886" s="139"/>
      <c r="AE1886" s="1287"/>
      <c r="AF1886" s="1287"/>
      <c r="AG1886" s="1287"/>
      <c r="AH1886" s="1287"/>
      <c r="AI1886" s="1287"/>
      <c r="AJ1886" s="1287"/>
      <c r="AK1886" s="1287"/>
      <c r="AL1886" s="1287"/>
      <c r="AM1886" s="1287"/>
      <c r="AN1886" s="1287"/>
      <c r="AO1886" s="1287"/>
      <c r="AP1886" s="1287"/>
      <c r="AQ1886" s="1287"/>
      <c r="AR1886" s="1287"/>
      <c r="AS1886" s="1287"/>
      <c r="AT1886" s="1287"/>
      <c r="AU1886" s="1287"/>
      <c r="AV1886" s="1287"/>
      <c r="AW1886" s="1287"/>
      <c r="AX1886" s="1287"/>
      <c r="AY1886" s="1287"/>
      <c r="AZ1886" s="1287"/>
      <c r="BA1886" s="1287"/>
      <c r="BB1886" s="1287"/>
      <c r="BC1886" s="1287"/>
      <c r="BD1886" s="1287"/>
      <c r="BE1886" s="1287"/>
      <c r="BF1886" s="1287"/>
      <c r="BG1886" s="1287"/>
      <c r="BH1886" s="1287"/>
      <c r="BI1886" s="1287"/>
      <c r="BJ1886" s="1287"/>
    </row>
    <row r="1893" spans="25:25">
      <c r="Y1893" s="35"/>
    </row>
  </sheetData>
  <autoFilter ref="B13:AC1881" xr:uid="{84B1DD60-0C92-4670-BF3F-2EF620B35AC7}"/>
  <mergeCells count="3108">
    <mergeCell ref="D1873:E1873"/>
    <mergeCell ref="I1873:J1873"/>
    <mergeCell ref="D1874:E1874"/>
    <mergeCell ref="I1874:J1874"/>
    <mergeCell ref="D1870:E1870"/>
    <mergeCell ref="I1870:J1870"/>
    <mergeCell ref="D1871:E1871"/>
    <mergeCell ref="I1871:J1871"/>
    <mergeCell ref="D1872:E1872"/>
    <mergeCell ref="I1872:J1872"/>
    <mergeCell ref="D1866:E1866"/>
    <mergeCell ref="I1866:J1866"/>
    <mergeCell ref="D1867:E1867"/>
    <mergeCell ref="I1867:J1867"/>
    <mergeCell ref="D1869:E1869"/>
    <mergeCell ref="I1869:J1869"/>
    <mergeCell ref="D1863:E1863"/>
    <mergeCell ref="I1863:J1863"/>
    <mergeCell ref="D1864:E1864"/>
    <mergeCell ref="I1864:J1864"/>
    <mergeCell ref="D1865:E1865"/>
    <mergeCell ref="I1865:J1865"/>
    <mergeCell ref="D1859:E1859"/>
    <mergeCell ref="I1859:J1859"/>
    <mergeCell ref="C1860:E1860"/>
    <mergeCell ref="H1860:J1860"/>
    <mergeCell ref="D1862:E1862"/>
    <mergeCell ref="I1862:J1862"/>
    <mergeCell ref="D1856:E1856"/>
    <mergeCell ref="I1856:J1856"/>
    <mergeCell ref="D1857:E1857"/>
    <mergeCell ref="I1857:J1857"/>
    <mergeCell ref="D1858:E1858"/>
    <mergeCell ref="I1858:J1858"/>
    <mergeCell ref="D1852:E1852"/>
    <mergeCell ref="I1852:J1852"/>
    <mergeCell ref="D1854:E1854"/>
    <mergeCell ref="I1854:J1854"/>
    <mergeCell ref="D1855:E1855"/>
    <mergeCell ref="I1855:J1855"/>
    <mergeCell ref="D1849:E1849"/>
    <mergeCell ref="I1849:J1849"/>
    <mergeCell ref="D1850:E1850"/>
    <mergeCell ref="I1850:J1850"/>
    <mergeCell ref="D1851:E1851"/>
    <mergeCell ref="I1851:J1851"/>
    <mergeCell ref="D1845:E1845"/>
    <mergeCell ref="I1845:J1845"/>
    <mergeCell ref="D1847:E1847"/>
    <mergeCell ref="I1847:J1847"/>
    <mergeCell ref="D1848:E1848"/>
    <mergeCell ref="I1848:J1848"/>
    <mergeCell ref="D1842:E1842"/>
    <mergeCell ref="I1842:J1842"/>
    <mergeCell ref="D1843:E1843"/>
    <mergeCell ref="I1843:J1843"/>
    <mergeCell ref="D1844:E1844"/>
    <mergeCell ref="I1844:J1844"/>
    <mergeCell ref="D1838:E1838"/>
    <mergeCell ref="I1838:J1838"/>
    <mergeCell ref="D1840:E1840"/>
    <mergeCell ref="I1840:J1840"/>
    <mergeCell ref="D1841:E1841"/>
    <mergeCell ref="I1841:J1841"/>
    <mergeCell ref="D1835:E1835"/>
    <mergeCell ref="I1835:J1835"/>
    <mergeCell ref="D1836:E1836"/>
    <mergeCell ref="I1836:J1836"/>
    <mergeCell ref="D1837:E1837"/>
    <mergeCell ref="I1837:J1837"/>
    <mergeCell ref="D1831:E1831"/>
    <mergeCell ref="I1831:J1831"/>
    <mergeCell ref="D1833:E1833"/>
    <mergeCell ref="I1833:J1833"/>
    <mergeCell ref="D1834:E1834"/>
    <mergeCell ref="I1834:J1834"/>
    <mergeCell ref="D1828:E1828"/>
    <mergeCell ref="I1828:J1828"/>
    <mergeCell ref="D1829:E1829"/>
    <mergeCell ref="I1829:J1829"/>
    <mergeCell ref="D1830:E1830"/>
    <mergeCell ref="I1830:J1830"/>
    <mergeCell ref="D1824:E1824"/>
    <mergeCell ref="I1824:J1824"/>
    <mergeCell ref="D1826:E1826"/>
    <mergeCell ref="I1826:J1826"/>
    <mergeCell ref="D1827:E1827"/>
    <mergeCell ref="I1827:J1827"/>
    <mergeCell ref="D1821:E1821"/>
    <mergeCell ref="I1821:J1821"/>
    <mergeCell ref="D1822:E1822"/>
    <mergeCell ref="I1822:J1822"/>
    <mergeCell ref="D1823:E1823"/>
    <mergeCell ref="I1823:J1823"/>
    <mergeCell ref="D1817:E1817"/>
    <mergeCell ref="I1817:J1817"/>
    <mergeCell ref="D1819:E1819"/>
    <mergeCell ref="I1819:J1819"/>
    <mergeCell ref="D1820:E1820"/>
    <mergeCell ref="I1820:J1820"/>
    <mergeCell ref="D1814:E1814"/>
    <mergeCell ref="I1814:J1814"/>
    <mergeCell ref="D1815:E1815"/>
    <mergeCell ref="I1815:J1815"/>
    <mergeCell ref="D1816:E1816"/>
    <mergeCell ref="I1816:J1816"/>
    <mergeCell ref="D1810:E1810"/>
    <mergeCell ref="I1810:J1810"/>
    <mergeCell ref="D1812:E1812"/>
    <mergeCell ref="I1812:J1812"/>
    <mergeCell ref="D1813:E1813"/>
    <mergeCell ref="I1813:J1813"/>
    <mergeCell ref="D1807:E1807"/>
    <mergeCell ref="I1807:J1807"/>
    <mergeCell ref="D1808:E1808"/>
    <mergeCell ref="I1808:J1808"/>
    <mergeCell ref="D1809:E1809"/>
    <mergeCell ref="I1809:J1809"/>
    <mergeCell ref="D1802:E1802"/>
    <mergeCell ref="I1802:J1802"/>
    <mergeCell ref="D1805:E1805"/>
    <mergeCell ref="I1805:J1805"/>
    <mergeCell ref="D1806:E1806"/>
    <mergeCell ref="I1806:J1806"/>
    <mergeCell ref="D1799:E1799"/>
    <mergeCell ref="I1799:J1799"/>
    <mergeCell ref="D1800:E1800"/>
    <mergeCell ref="I1800:J1800"/>
    <mergeCell ref="D1801:E1801"/>
    <mergeCell ref="I1801:J1801"/>
    <mergeCell ref="D1795:E1795"/>
    <mergeCell ref="I1795:J1795"/>
    <mergeCell ref="D1797:E1797"/>
    <mergeCell ref="I1797:J1797"/>
    <mergeCell ref="D1798:E1798"/>
    <mergeCell ref="I1798:J1798"/>
    <mergeCell ref="D1792:E1792"/>
    <mergeCell ref="I1792:J1792"/>
    <mergeCell ref="D1793:E1793"/>
    <mergeCell ref="I1793:J1793"/>
    <mergeCell ref="D1794:E1794"/>
    <mergeCell ref="I1794:J1794"/>
    <mergeCell ref="C1784:E1784"/>
    <mergeCell ref="H1784:J1784"/>
    <mergeCell ref="C1788:F1788"/>
    <mergeCell ref="D1790:E1790"/>
    <mergeCell ref="I1790:J1790"/>
    <mergeCell ref="D1791:E1791"/>
    <mergeCell ref="I1791:J1791"/>
    <mergeCell ref="C1772:E1772"/>
    <mergeCell ref="C1773:E1773"/>
    <mergeCell ref="H1773:J1773"/>
    <mergeCell ref="C1778:E1778"/>
    <mergeCell ref="H1778:J1778"/>
    <mergeCell ref="C1781:E1781"/>
    <mergeCell ref="H1781:J1781"/>
    <mergeCell ref="C1763:E1763"/>
    <mergeCell ref="H1763:J1763"/>
    <mergeCell ref="C1766:E1766"/>
    <mergeCell ref="H1766:J1766"/>
    <mergeCell ref="C1769:E1769"/>
    <mergeCell ref="H1769:J1769"/>
    <mergeCell ref="C1752:E1752"/>
    <mergeCell ref="H1752:J1752"/>
    <mergeCell ref="C1756:F1756"/>
    <mergeCell ref="H1756:K1756"/>
    <mergeCell ref="C1759:E1759"/>
    <mergeCell ref="H1759:J1759"/>
    <mergeCell ref="C1726:E1726"/>
    <mergeCell ref="I1726:J1726"/>
    <mergeCell ref="C1727:E1727"/>
    <mergeCell ref="I1727:J1727"/>
    <mergeCell ref="C1730:Q1730"/>
    <mergeCell ref="C1734:Q1734"/>
    <mergeCell ref="C1723:E1723"/>
    <mergeCell ref="I1723:J1723"/>
    <mergeCell ref="C1724:E1724"/>
    <mergeCell ref="I1724:J1724"/>
    <mergeCell ref="C1725:E1725"/>
    <mergeCell ref="I1725:J1725"/>
    <mergeCell ref="C1720:E1720"/>
    <mergeCell ref="I1720:J1720"/>
    <mergeCell ref="C1721:E1721"/>
    <mergeCell ref="I1721:J1721"/>
    <mergeCell ref="C1722:E1722"/>
    <mergeCell ref="I1722:J1722"/>
    <mergeCell ref="C1717:E1717"/>
    <mergeCell ref="I1717:J1717"/>
    <mergeCell ref="C1718:E1718"/>
    <mergeCell ref="I1718:J1718"/>
    <mergeCell ref="C1719:E1719"/>
    <mergeCell ref="I1719:J1719"/>
    <mergeCell ref="C1713:E1713"/>
    <mergeCell ref="H1713:J1713"/>
    <mergeCell ref="C1714:E1714"/>
    <mergeCell ref="C1715:E1715"/>
    <mergeCell ref="I1715:J1715"/>
    <mergeCell ref="C1716:E1716"/>
    <mergeCell ref="I1716:J1716"/>
    <mergeCell ref="C1710:E1710"/>
    <mergeCell ref="H1710:J1710"/>
    <mergeCell ref="C1711:E1711"/>
    <mergeCell ref="H1711:J1711"/>
    <mergeCell ref="C1712:E1712"/>
    <mergeCell ref="H1712:J1712"/>
    <mergeCell ref="C1707:E1707"/>
    <mergeCell ref="H1707:J1707"/>
    <mergeCell ref="C1708:E1708"/>
    <mergeCell ref="H1708:J1708"/>
    <mergeCell ref="C1709:E1709"/>
    <mergeCell ref="H1709:J1709"/>
    <mergeCell ref="C1704:E1704"/>
    <mergeCell ref="H1704:J1704"/>
    <mergeCell ref="C1705:E1705"/>
    <mergeCell ref="H1705:J1705"/>
    <mergeCell ref="C1706:E1706"/>
    <mergeCell ref="H1706:J1706"/>
    <mergeCell ref="C1701:E1701"/>
    <mergeCell ref="H1701:J1701"/>
    <mergeCell ref="C1702:E1702"/>
    <mergeCell ref="H1702:J1702"/>
    <mergeCell ref="C1703:E1703"/>
    <mergeCell ref="H1703:J1703"/>
    <mergeCell ref="C1698:E1698"/>
    <mergeCell ref="H1698:J1698"/>
    <mergeCell ref="C1699:E1699"/>
    <mergeCell ref="H1699:J1699"/>
    <mergeCell ref="C1700:E1700"/>
    <mergeCell ref="H1700:J1700"/>
    <mergeCell ref="C1695:E1695"/>
    <mergeCell ref="H1695:J1695"/>
    <mergeCell ref="C1696:E1696"/>
    <mergeCell ref="H1696:J1696"/>
    <mergeCell ref="C1697:E1697"/>
    <mergeCell ref="H1697:J1697"/>
    <mergeCell ref="I1689:J1689"/>
    <mergeCell ref="I1690:J1690"/>
    <mergeCell ref="I1691:J1691"/>
    <mergeCell ref="C1693:E1693"/>
    <mergeCell ref="H1693:J1693"/>
    <mergeCell ref="C1694:E1694"/>
    <mergeCell ref="H1694:J1694"/>
    <mergeCell ref="I1683:J1683"/>
    <mergeCell ref="I1684:J1684"/>
    <mergeCell ref="D1685:E1685"/>
    <mergeCell ref="I1686:J1686"/>
    <mergeCell ref="I1687:J1687"/>
    <mergeCell ref="I1688:J1688"/>
    <mergeCell ref="I1662:J1662"/>
    <mergeCell ref="I1663:J1663"/>
    <mergeCell ref="I1679:J1679"/>
    <mergeCell ref="I1680:J1680"/>
    <mergeCell ref="I1681:J1681"/>
    <mergeCell ref="I1682:J1682"/>
    <mergeCell ref="D1655:E1655"/>
    <mergeCell ref="I1655:J1655"/>
    <mergeCell ref="I1658:J1658"/>
    <mergeCell ref="I1659:J1659"/>
    <mergeCell ref="I1660:J1660"/>
    <mergeCell ref="I1661:J1661"/>
    <mergeCell ref="D1652:E1652"/>
    <mergeCell ref="I1652:J1652"/>
    <mergeCell ref="D1653:E1653"/>
    <mergeCell ref="I1653:J1653"/>
    <mergeCell ref="D1654:E1654"/>
    <mergeCell ref="I1654:J1654"/>
    <mergeCell ref="D1649:E1649"/>
    <mergeCell ref="I1649:J1649"/>
    <mergeCell ref="D1650:E1650"/>
    <mergeCell ref="I1650:J1650"/>
    <mergeCell ref="D1651:E1651"/>
    <mergeCell ref="I1651:J1651"/>
    <mergeCell ref="D1646:E1646"/>
    <mergeCell ref="I1646:J1646"/>
    <mergeCell ref="D1647:E1647"/>
    <mergeCell ref="I1647:J1647"/>
    <mergeCell ref="D1648:E1648"/>
    <mergeCell ref="I1648:J1648"/>
    <mergeCell ref="D1643:E1643"/>
    <mergeCell ref="I1643:J1643"/>
    <mergeCell ref="D1644:E1644"/>
    <mergeCell ref="I1644:J1644"/>
    <mergeCell ref="D1645:E1645"/>
    <mergeCell ref="I1645:J1645"/>
    <mergeCell ref="C1640:E1640"/>
    <mergeCell ref="H1640:J1640"/>
    <mergeCell ref="C1641:E1641"/>
    <mergeCell ref="H1641:J1641"/>
    <mergeCell ref="D1642:E1642"/>
    <mergeCell ref="I1642:J1642"/>
    <mergeCell ref="C1637:E1637"/>
    <mergeCell ref="H1637:J1637"/>
    <mergeCell ref="C1638:E1638"/>
    <mergeCell ref="H1638:J1638"/>
    <mergeCell ref="C1639:E1639"/>
    <mergeCell ref="H1639:J1639"/>
    <mergeCell ref="C1634:E1634"/>
    <mergeCell ref="H1634:J1634"/>
    <mergeCell ref="C1635:E1635"/>
    <mergeCell ref="H1635:J1635"/>
    <mergeCell ref="C1636:E1636"/>
    <mergeCell ref="H1636:J1636"/>
    <mergeCell ref="C1631:E1631"/>
    <mergeCell ref="H1631:J1631"/>
    <mergeCell ref="C1632:E1632"/>
    <mergeCell ref="H1632:J1632"/>
    <mergeCell ref="C1633:E1633"/>
    <mergeCell ref="H1633:J1633"/>
    <mergeCell ref="D1628:E1628"/>
    <mergeCell ref="I1628:J1628"/>
    <mergeCell ref="C1629:E1629"/>
    <mergeCell ref="H1629:J1629"/>
    <mergeCell ref="C1630:E1630"/>
    <mergeCell ref="H1630:J1630"/>
    <mergeCell ref="D1625:E1625"/>
    <mergeCell ref="I1625:J1625"/>
    <mergeCell ref="D1626:E1626"/>
    <mergeCell ref="I1626:J1626"/>
    <mergeCell ref="D1627:E1627"/>
    <mergeCell ref="I1627:J1627"/>
    <mergeCell ref="D1622:E1622"/>
    <mergeCell ref="I1622:J1622"/>
    <mergeCell ref="D1623:E1623"/>
    <mergeCell ref="I1623:J1623"/>
    <mergeCell ref="D1624:E1624"/>
    <mergeCell ref="I1624:J1624"/>
    <mergeCell ref="C1619:E1619"/>
    <mergeCell ref="H1619:J1619"/>
    <mergeCell ref="C1620:E1620"/>
    <mergeCell ref="H1620:J1620"/>
    <mergeCell ref="C1621:E1621"/>
    <mergeCell ref="H1621:J1621"/>
    <mergeCell ref="C1616:E1616"/>
    <mergeCell ref="H1616:J1616"/>
    <mergeCell ref="C1617:E1617"/>
    <mergeCell ref="H1617:J1617"/>
    <mergeCell ref="C1618:E1618"/>
    <mergeCell ref="H1618:J1618"/>
    <mergeCell ref="C1613:E1613"/>
    <mergeCell ref="I1613:J1613"/>
    <mergeCell ref="C1614:E1614"/>
    <mergeCell ref="I1614:J1614"/>
    <mergeCell ref="C1615:E1615"/>
    <mergeCell ref="H1615:J1615"/>
    <mergeCell ref="C1610:E1610"/>
    <mergeCell ref="I1610:J1610"/>
    <mergeCell ref="C1611:E1611"/>
    <mergeCell ref="I1611:J1611"/>
    <mergeCell ref="C1612:E1612"/>
    <mergeCell ref="I1612:J1612"/>
    <mergeCell ref="C1607:E1607"/>
    <mergeCell ref="I1607:J1607"/>
    <mergeCell ref="C1608:E1608"/>
    <mergeCell ref="I1608:J1608"/>
    <mergeCell ref="C1609:E1609"/>
    <mergeCell ref="I1609:J1609"/>
    <mergeCell ref="C1604:E1604"/>
    <mergeCell ref="I1604:J1604"/>
    <mergeCell ref="C1605:E1605"/>
    <mergeCell ref="I1605:J1605"/>
    <mergeCell ref="C1606:E1606"/>
    <mergeCell ref="I1606:J1606"/>
    <mergeCell ref="C1601:E1601"/>
    <mergeCell ref="I1601:J1601"/>
    <mergeCell ref="C1602:E1602"/>
    <mergeCell ref="I1602:J1602"/>
    <mergeCell ref="C1603:E1603"/>
    <mergeCell ref="I1603:J1603"/>
    <mergeCell ref="C1598:E1598"/>
    <mergeCell ref="H1598:J1598"/>
    <mergeCell ref="C1599:E1599"/>
    <mergeCell ref="H1599:J1599"/>
    <mergeCell ref="C1600:E1600"/>
    <mergeCell ref="H1600:J1600"/>
    <mergeCell ref="C1595:E1595"/>
    <mergeCell ref="H1595:J1595"/>
    <mergeCell ref="C1596:E1596"/>
    <mergeCell ref="H1596:J1596"/>
    <mergeCell ref="C1597:E1597"/>
    <mergeCell ref="H1597:J1597"/>
    <mergeCell ref="C1592:E1592"/>
    <mergeCell ref="H1592:J1592"/>
    <mergeCell ref="C1593:E1593"/>
    <mergeCell ref="H1593:J1593"/>
    <mergeCell ref="C1594:E1594"/>
    <mergeCell ref="H1594:J1594"/>
    <mergeCell ref="C1589:E1589"/>
    <mergeCell ref="H1589:J1589"/>
    <mergeCell ref="C1590:E1590"/>
    <mergeCell ref="H1590:J1590"/>
    <mergeCell ref="C1591:E1591"/>
    <mergeCell ref="H1591:J1591"/>
    <mergeCell ref="C1586:E1586"/>
    <mergeCell ref="H1586:J1586"/>
    <mergeCell ref="C1587:E1587"/>
    <mergeCell ref="H1587:J1587"/>
    <mergeCell ref="C1588:E1588"/>
    <mergeCell ref="H1588:J1588"/>
    <mergeCell ref="C1583:E1583"/>
    <mergeCell ref="H1583:J1583"/>
    <mergeCell ref="C1584:E1584"/>
    <mergeCell ref="H1584:J1584"/>
    <mergeCell ref="C1585:E1585"/>
    <mergeCell ref="H1585:J1585"/>
    <mergeCell ref="C1580:E1580"/>
    <mergeCell ref="H1580:J1580"/>
    <mergeCell ref="C1581:E1581"/>
    <mergeCell ref="H1581:J1581"/>
    <mergeCell ref="C1582:E1582"/>
    <mergeCell ref="H1582:J1582"/>
    <mergeCell ref="C1576:E1576"/>
    <mergeCell ref="H1576:J1576"/>
    <mergeCell ref="C1577:E1577"/>
    <mergeCell ref="H1577:J1577"/>
    <mergeCell ref="C1578:E1578"/>
    <mergeCell ref="H1578:J1578"/>
    <mergeCell ref="C1573:E1573"/>
    <mergeCell ref="H1573:J1573"/>
    <mergeCell ref="C1574:E1574"/>
    <mergeCell ref="H1574:J1574"/>
    <mergeCell ref="C1575:E1575"/>
    <mergeCell ref="H1575:J1575"/>
    <mergeCell ref="C1570:E1570"/>
    <mergeCell ref="H1570:J1570"/>
    <mergeCell ref="C1571:E1571"/>
    <mergeCell ref="H1571:J1571"/>
    <mergeCell ref="C1572:E1572"/>
    <mergeCell ref="H1572:J1572"/>
    <mergeCell ref="C1567:E1567"/>
    <mergeCell ref="H1567:J1567"/>
    <mergeCell ref="C1568:E1568"/>
    <mergeCell ref="H1568:J1568"/>
    <mergeCell ref="C1569:E1569"/>
    <mergeCell ref="H1569:J1569"/>
    <mergeCell ref="C1564:E1564"/>
    <mergeCell ref="H1564:J1564"/>
    <mergeCell ref="C1565:E1565"/>
    <mergeCell ref="H1565:J1565"/>
    <mergeCell ref="C1566:E1566"/>
    <mergeCell ref="H1566:J1566"/>
    <mergeCell ref="C1561:E1561"/>
    <mergeCell ref="H1561:J1561"/>
    <mergeCell ref="C1562:E1562"/>
    <mergeCell ref="H1562:J1562"/>
    <mergeCell ref="C1563:E1563"/>
    <mergeCell ref="H1563:J1563"/>
    <mergeCell ref="C1558:E1558"/>
    <mergeCell ref="H1558:J1558"/>
    <mergeCell ref="C1559:E1559"/>
    <mergeCell ref="H1559:J1559"/>
    <mergeCell ref="C1560:E1560"/>
    <mergeCell ref="H1560:J1560"/>
    <mergeCell ref="D1555:E1555"/>
    <mergeCell ref="I1555:J1555"/>
    <mergeCell ref="D1556:E1556"/>
    <mergeCell ref="I1556:J1556"/>
    <mergeCell ref="D1557:E1557"/>
    <mergeCell ref="I1557:J1557"/>
    <mergeCell ref="D1552:E1552"/>
    <mergeCell ref="I1552:J1552"/>
    <mergeCell ref="D1553:E1553"/>
    <mergeCell ref="I1553:J1553"/>
    <mergeCell ref="D1554:E1554"/>
    <mergeCell ref="I1554:J1554"/>
    <mergeCell ref="D1549:E1549"/>
    <mergeCell ref="I1549:J1549"/>
    <mergeCell ref="D1550:E1550"/>
    <mergeCell ref="I1550:J1550"/>
    <mergeCell ref="D1551:E1551"/>
    <mergeCell ref="I1551:J1551"/>
    <mergeCell ref="D1546:E1546"/>
    <mergeCell ref="I1546:J1546"/>
    <mergeCell ref="D1547:E1547"/>
    <mergeCell ref="I1547:J1547"/>
    <mergeCell ref="D1548:E1548"/>
    <mergeCell ref="I1548:J1548"/>
    <mergeCell ref="C1543:E1543"/>
    <mergeCell ref="H1543:J1543"/>
    <mergeCell ref="D1544:E1544"/>
    <mergeCell ref="I1544:J1544"/>
    <mergeCell ref="D1545:E1545"/>
    <mergeCell ref="I1545:J1545"/>
    <mergeCell ref="C1540:E1540"/>
    <mergeCell ref="H1540:J1540"/>
    <mergeCell ref="C1541:E1541"/>
    <mergeCell ref="H1541:J1541"/>
    <mergeCell ref="C1542:E1542"/>
    <mergeCell ref="H1542:J1542"/>
    <mergeCell ref="C1537:E1537"/>
    <mergeCell ref="H1537:J1537"/>
    <mergeCell ref="C1538:E1538"/>
    <mergeCell ref="H1538:J1538"/>
    <mergeCell ref="C1539:E1539"/>
    <mergeCell ref="H1539:J1539"/>
    <mergeCell ref="D1534:E1534"/>
    <mergeCell ref="I1534:J1534"/>
    <mergeCell ref="D1535:E1535"/>
    <mergeCell ref="I1535:J1535"/>
    <mergeCell ref="D1536:E1536"/>
    <mergeCell ref="I1536:J1536"/>
    <mergeCell ref="D1531:E1531"/>
    <mergeCell ref="I1531:J1531"/>
    <mergeCell ref="D1532:E1532"/>
    <mergeCell ref="I1532:J1532"/>
    <mergeCell ref="D1533:E1533"/>
    <mergeCell ref="I1533:J1533"/>
    <mergeCell ref="D1528:E1528"/>
    <mergeCell ref="I1528:J1528"/>
    <mergeCell ref="D1529:E1529"/>
    <mergeCell ref="I1529:J1529"/>
    <mergeCell ref="D1530:E1530"/>
    <mergeCell ref="I1530:J1530"/>
    <mergeCell ref="D1525:E1525"/>
    <mergeCell ref="I1525:J1525"/>
    <mergeCell ref="D1526:E1526"/>
    <mergeCell ref="I1526:J1526"/>
    <mergeCell ref="D1527:E1527"/>
    <mergeCell ref="I1527:J1527"/>
    <mergeCell ref="C1522:E1522"/>
    <mergeCell ref="H1522:J1522"/>
    <mergeCell ref="D1523:E1523"/>
    <mergeCell ref="I1523:J1523"/>
    <mergeCell ref="D1524:E1524"/>
    <mergeCell ref="I1524:J1524"/>
    <mergeCell ref="C1519:E1519"/>
    <mergeCell ref="H1519:J1519"/>
    <mergeCell ref="C1520:E1520"/>
    <mergeCell ref="H1520:J1520"/>
    <mergeCell ref="C1521:E1521"/>
    <mergeCell ref="H1521:J1521"/>
    <mergeCell ref="C1516:E1516"/>
    <mergeCell ref="H1516:J1516"/>
    <mergeCell ref="C1517:E1517"/>
    <mergeCell ref="H1517:J1517"/>
    <mergeCell ref="C1518:E1518"/>
    <mergeCell ref="H1518:J1518"/>
    <mergeCell ref="C1513:E1513"/>
    <mergeCell ref="H1513:J1513"/>
    <mergeCell ref="C1514:E1514"/>
    <mergeCell ref="H1514:J1514"/>
    <mergeCell ref="C1515:E1515"/>
    <mergeCell ref="H1515:J1515"/>
    <mergeCell ref="C1510:E1510"/>
    <mergeCell ref="H1510:J1510"/>
    <mergeCell ref="C1511:E1511"/>
    <mergeCell ref="H1511:J1511"/>
    <mergeCell ref="C1512:E1512"/>
    <mergeCell ref="H1512:J1512"/>
    <mergeCell ref="C1507:E1507"/>
    <mergeCell ref="H1507:J1507"/>
    <mergeCell ref="C1508:E1508"/>
    <mergeCell ref="H1508:J1508"/>
    <mergeCell ref="C1509:E1509"/>
    <mergeCell ref="H1509:J1509"/>
    <mergeCell ref="C1504:E1504"/>
    <mergeCell ref="H1504:J1504"/>
    <mergeCell ref="C1505:E1505"/>
    <mergeCell ref="H1505:J1505"/>
    <mergeCell ref="C1506:E1506"/>
    <mergeCell ref="H1506:J1506"/>
    <mergeCell ref="C1501:E1501"/>
    <mergeCell ref="H1501:J1501"/>
    <mergeCell ref="C1502:E1502"/>
    <mergeCell ref="H1502:J1502"/>
    <mergeCell ref="C1503:E1503"/>
    <mergeCell ref="H1503:J1503"/>
    <mergeCell ref="C1498:E1498"/>
    <mergeCell ref="H1498:J1498"/>
    <mergeCell ref="C1499:E1499"/>
    <mergeCell ref="H1499:J1499"/>
    <mergeCell ref="C1500:E1500"/>
    <mergeCell ref="H1500:J1500"/>
    <mergeCell ref="C1495:E1495"/>
    <mergeCell ref="H1495:J1495"/>
    <mergeCell ref="C1496:E1496"/>
    <mergeCell ref="H1496:J1496"/>
    <mergeCell ref="C1497:E1497"/>
    <mergeCell ref="H1497:J1497"/>
    <mergeCell ref="C1491:E1491"/>
    <mergeCell ref="H1491:J1491"/>
    <mergeCell ref="C1492:E1492"/>
    <mergeCell ref="H1492:J1492"/>
    <mergeCell ref="C1493:E1493"/>
    <mergeCell ref="H1493:J1493"/>
    <mergeCell ref="C1488:E1488"/>
    <mergeCell ref="H1488:J1488"/>
    <mergeCell ref="C1489:E1489"/>
    <mergeCell ref="H1489:J1489"/>
    <mergeCell ref="C1490:E1490"/>
    <mergeCell ref="H1490:J1490"/>
    <mergeCell ref="H1484:J1484"/>
    <mergeCell ref="C1485:E1485"/>
    <mergeCell ref="H1485:J1485"/>
    <mergeCell ref="C1486:E1486"/>
    <mergeCell ref="H1486:J1486"/>
    <mergeCell ref="C1487:E1487"/>
    <mergeCell ref="H1487:J1487"/>
    <mergeCell ref="C1480:E1480"/>
    <mergeCell ref="H1480:J1480"/>
    <mergeCell ref="C1481:E1481"/>
    <mergeCell ref="H1481:J1481"/>
    <mergeCell ref="S1481:S1486"/>
    <mergeCell ref="C1482:E1482"/>
    <mergeCell ref="H1482:J1482"/>
    <mergeCell ref="C1483:E1483"/>
    <mergeCell ref="H1483:J1483"/>
    <mergeCell ref="C1484:E1484"/>
    <mergeCell ref="D1477:E1477"/>
    <mergeCell ref="I1477:J1477"/>
    <mergeCell ref="D1478:E1478"/>
    <mergeCell ref="I1478:J1478"/>
    <mergeCell ref="D1479:E1479"/>
    <mergeCell ref="I1479:J1479"/>
    <mergeCell ref="D1474:E1474"/>
    <mergeCell ref="I1474:J1474"/>
    <mergeCell ref="D1475:E1475"/>
    <mergeCell ref="I1475:J1475"/>
    <mergeCell ref="D1476:E1476"/>
    <mergeCell ref="I1476:J1476"/>
    <mergeCell ref="D1471:E1471"/>
    <mergeCell ref="I1471:J1471"/>
    <mergeCell ref="D1472:E1472"/>
    <mergeCell ref="I1472:J1472"/>
    <mergeCell ref="D1473:E1473"/>
    <mergeCell ref="I1473:J1473"/>
    <mergeCell ref="D1468:E1468"/>
    <mergeCell ref="I1468:J1468"/>
    <mergeCell ref="D1469:E1469"/>
    <mergeCell ref="I1469:J1469"/>
    <mergeCell ref="D1470:E1470"/>
    <mergeCell ref="I1470:J1470"/>
    <mergeCell ref="C1465:E1465"/>
    <mergeCell ref="H1465:J1465"/>
    <mergeCell ref="D1466:E1466"/>
    <mergeCell ref="I1466:J1466"/>
    <mergeCell ref="D1467:E1467"/>
    <mergeCell ref="I1467:J1467"/>
    <mergeCell ref="C1462:E1462"/>
    <mergeCell ref="H1462:J1462"/>
    <mergeCell ref="C1463:E1463"/>
    <mergeCell ref="H1463:J1463"/>
    <mergeCell ref="C1464:E1464"/>
    <mergeCell ref="H1464:J1464"/>
    <mergeCell ref="C1459:E1459"/>
    <mergeCell ref="H1459:J1459"/>
    <mergeCell ref="C1460:E1460"/>
    <mergeCell ref="H1460:J1460"/>
    <mergeCell ref="C1461:E1461"/>
    <mergeCell ref="H1461:J1461"/>
    <mergeCell ref="D1456:E1456"/>
    <mergeCell ref="I1456:J1456"/>
    <mergeCell ref="D1457:E1457"/>
    <mergeCell ref="I1457:J1457"/>
    <mergeCell ref="D1458:E1458"/>
    <mergeCell ref="I1458:J1458"/>
    <mergeCell ref="D1453:E1453"/>
    <mergeCell ref="I1453:J1453"/>
    <mergeCell ref="D1454:E1454"/>
    <mergeCell ref="I1454:J1454"/>
    <mergeCell ref="D1455:E1455"/>
    <mergeCell ref="I1455:J1455"/>
    <mergeCell ref="D1450:E1450"/>
    <mergeCell ref="I1450:J1450"/>
    <mergeCell ref="D1451:E1451"/>
    <mergeCell ref="I1451:J1451"/>
    <mergeCell ref="D1452:E1452"/>
    <mergeCell ref="I1452:J1452"/>
    <mergeCell ref="D1447:E1447"/>
    <mergeCell ref="I1447:J1447"/>
    <mergeCell ref="D1448:E1448"/>
    <mergeCell ref="I1448:J1448"/>
    <mergeCell ref="D1449:E1449"/>
    <mergeCell ref="I1449:J1449"/>
    <mergeCell ref="D1444:E1444"/>
    <mergeCell ref="I1444:J1444"/>
    <mergeCell ref="D1445:E1445"/>
    <mergeCell ref="I1445:J1445"/>
    <mergeCell ref="D1446:E1446"/>
    <mergeCell ref="I1446:J1446"/>
    <mergeCell ref="D1441:E1441"/>
    <mergeCell ref="I1441:J1441"/>
    <mergeCell ref="D1442:E1442"/>
    <mergeCell ref="I1442:J1442"/>
    <mergeCell ref="D1443:E1443"/>
    <mergeCell ref="I1443:J1443"/>
    <mergeCell ref="D1438:E1438"/>
    <mergeCell ref="I1438:J1438"/>
    <mergeCell ref="D1439:E1439"/>
    <mergeCell ref="I1439:J1439"/>
    <mergeCell ref="D1440:E1440"/>
    <mergeCell ref="I1440:J1440"/>
    <mergeCell ref="D1434:E1434"/>
    <mergeCell ref="I1434:J1434"/>
    <mergeCell ref="D1435:E1435"/>
    <mergeCell ref="I1435:J1435"/>
    <mergeCell ref="D1436:E1436"/>
    <mergeCell ref="I1436:J1436"/>
    <mergeCell ref="D1431:E1431"/>
    <mergeCell ref="I1431:J1431"/>
    <mergeCell ref="D1432:E1432"/>
    <mergeCell ref="I1432:J1432"/>
    <mergeCell ref="D1433:E1433"/>
    <mergeCell ref="I1433:J1433"/>
    <mergeCell ref="D1428:E1428"/>
    <mergeCell ref="I1428:J1428"/>
    <mergeCell ref="D1429:E1429"/>
    <mergeCell ref="I1429:J1429"/>
    <mergeCell ref="D1430:E1430"/>
    <mergeCell ref="I1430:J1430"/>
    <mergeCell ref="D1425:E1425"/>
    <mergeCell ref="I1425:J1425"/>
    <mergeCell ref="D1426:E1426"/>
    <mergeCell ref="I1426:J1426"/>
    <mergeCell ref="D1427:E1427"/>
    <mergeCell ref="I1427:J1427"/>
    <mergeCell ref="D1421:E1421"/>
    <mergeCell ref="I1421:J1421"/>
    <mergeCell ref="H1422:J1422"/>
    <mergeCell ref="D1423:E1423"/>
    <mergeCell ref="I1423:J1423"/>
    <mergeCell ref="D1424:E1424"/>
    <mergeCell ref="I1424:J1424"/>
    <mergeCell ref="D1418:E1418"/>
    <mergeCell ref="I1418:J1418"/>
    <mergeCell ref="D1419:E1419"/>
    <mergeCell ref="I1419:J1419"/>
    <mergeCell ref="D1420:E1420"/>
    <mergeCell ref="I1420:J1420"/>
    <mergeCell ref="D1415:E1415"/>
    <mergeCell ref="I1415:J1415"/>
    <mergeCell ref="D1416:E1416"/>
    <mergeCell ref="I1416:J1416"/>
    <mergeCell ref="D1417:E1417"/>
    <mergeCell ref="I1417:J1417"/>
    <mergeCell ref="D1412:E1412"/>
    <mergeCell ref="I1412:J1412"/>
    <mergeCell ref="D1413:E1413"/>
    <mergeCell ref="I1413:J1413"/>
    <mergeCell ref="D1414:E1414"/>
    <mergeCell ref="I1414:J1414"/>
    <mergeCell ref="D1409:E1409"/>
    <mergeCell ref="I1409:J1409"/>
    <mergeCell ref="D1410:E1410"/>
    <mergeCell ref="I1410:J1410"/>
    <mergeCell ref="D1411:E1411"/>
    <mergeCell ref="I1411:J1411"/>
    <mergeCell ref="D1406:E1406"/>
    <mergeCell ref="I1406:J1406"/>
    <mergeCell ref="D1407:E1407"/>
    <mergeCell ref="I1407:J1407"/>
    <mergeCell ref="D1408:E1408"/>
    <mergeCell ref="I1408:J1408"/>
    <mergeCell ref="D1403:E1403"/>
    <mergeCell ref="I1403:J1403"/>
    <mergeCell ref="D1404:E1404"/>
    <mergeCell ref="I1404:J1404"/>
    <mergeCell ref="D1405:E1405"/>
    <mergeCell ref="I1405:J1405"/>
    <mergeCell ref="H1398:J1398"/>
    <mergeCell ref="H1399:J1399"/>
    <mergeCell ref="H1400:J1400"/>
    <mergeCell ref="D1401:E1401"/>
    <mergeCell ref="I1401:J1401"/>
    <mergeCell ref="D1402:E1402"/>
    <mergeCell ref="I1402:J1402"/>
    <mergeCell ref="D1393:E1393"/>
    <mergeCell ref="I1393:J1393"/>
    <mergeCell ref="H1394:J1394"/>
    <mergeCell ref="H1395:J1395"/>
    <mergeCell ref="H1396:J1396"/>
    <mergeCell ref="H1397:J1397"/>
    <mergeCell ref="D1390:E1390"/>
    <mergeCell ref="I1390:J1390"/>
    <mergeCell ref="D1391:E1391"/>
    <mergeCell ref="I1391:J1391"/>
    <mergeCell ref="D1392:E1392"/>
    <mergeCell ref="I1392:J1392"/>
    <mergeCell ref="D1387:E1387"/>
    <mergeCell ref="I1387:J1387"/>
    <mergeCell ref="D1388:E1388"/>
    <mergeCell ref="I1388:J1388"/>
    <mergeCell ref="D1389:E1389"/>
    <mergeCell ref="I1389:J1389"/>
    <mergeCell ref="D1382:E1382"/>
    <mergeCell ref="I1382:J1382"/>
    <mergeCell ref="D1383:E1383"/>
    <mergeCell ref="I1383:J1383"/>
    <mergeCell ref="D1384:E1384"/>
    <mergeCell ref="I1384:J1384"/>
    <mergeCell ref="D1379:E1379"/>
    <mergeCell ref="I1379:J1379"/>
    <mergeCell ref="D1380:E1380"/>
    <mergeCell ref="I1380:J1380"/>
    <mergeCell ref="D1381:E1381"/>
    <mergeCell ref="I1381:J1381"/>
    <mergeCell ref="C1376:E1376"/>
    <mergeCell ref="H1376:J1376"/>
    <mergeCell ref="C1377:E1377"/>
    <mergeCell ref="H1377:J1377"/>
    <mergeCell ref="C1378:E1378"/>
    <mergeCell ref="H1378:J1378"/>
    <mergeCell ref="D1373:E1373"/>
    <mergeCell ref="I1373:J1373"/>
    <mergeCell ref="D1374:E1374"/>
    <mergeCell ref="I1374:J1374"/>
    <mergeCell ref="D1375:E1375"/>
    <mergeCell ref="I1375:J1375"/>
    <mergeCell ref="D1370:E1370"/>
    <mergeCell ref="I1370:J1370"/>
    <mergeCell ref="D1371:E1371"/>
    <mergeCell ref="I1371:J1371"/>
    <mergeCell ref="D1372:E1372"/>
    <mergeCell ref="I1372:J1372"/>
    <mergeCell ref="C1367:E1367"/>
    <mergeCell ref="H1367:J1367"/>
    <mergeCell ref="C1368:E1368"/>
    <mergeCell ref="H1368:J1368"/>
    <mergeCell ref="D1369:E1369"/>
    <mergeCell ref="I1369:J1369"/>
    <mergeCell ref="C1364:E1364"/>
    <mergeCell ref="H1364:J1364"/>
    <mergeCell ref="C1365:E1365"/>
    <mergeCell ref="H1365:J1365"/>
    <mergeCell ref="C1366:E1366"/>
    <mergeCell ref="H1366:J1366"/>
    <mergeCell ref="D1361:E1361"/>
    <mergeCell ref="I1361:J1361"/>
    <mergeCell ref="C1362:E1362"/>
    <mergeCell ref="H1362:J1362"/>
    <mergeCell ref="C1363:E1363"/>
    <mergeCell ref="H1363:J1363"/>
    <mergeCell ref="D1358:E1358"/>
    <mergeCell ref="I1358:J1358"/>
    <mergeCell ref="D1359:E1359"/>
    <mergeCell ref="I1359:J1359"/>
    <mergeCell ref="D1360:E1360"/>
    <mergeCell ref="I1360:J1360"/>
    <mergeCell ref="D1355:E1355"/>
    <mergeCell ref="I1355:J1355"/>
    <mergeCell ref="D1356:E1356"/>
    <mergeCell ref="I1356:J1356"/>
    <mergeCell ref="D1357:E1357"/>
    <mergeCell ref="I1357:J1357"/>
    <mergeCell ref="D1352:E1352"/>
    <mergeCell ref="I1352:J1352"/>
    <mergeCell ref="D1353:E1353"/>
    <mergeCell ref="I1353:J1353"/>
    <mergeCell ref="D1354:E1354"/>
    <mergeCell ref="I1354:J1354"/>
    <mergeCell ref="D1349:E1349"/>
    <mergeCell ref="I1349:J1349"/>
    <mergeCell ref="D1350:E1350"/>
    <mergeCell ref="I1350:J1350"/>
    <mergeCell ref="D1351:E1351"/>
    <mergeCell ref="I1351:J1351"/>
    <mergeCell ref="C1346:E1346"/>
    <mergeCell ref="H1346:J1346"/>
    <mergeCell ref="C1347:E1347"/>
    <mergeCell ref="H1347:J1347"/>
    <mergeCell ref="D1348:E1348"/>
    <mergeCell ref="I1348:J1348"/>
    <mergeCell ref="C1343:E1343"/>
    <mergeCell ref="H1343:J1343"/>
    <mergeCell ref="C1344:E1344"/>
    <mergeCell ref="H1344:J1344"/>
    <mergeCell ref="C1345:E1345"/>
    <mergeCell ref="H1345:J1345"/>
    <mergeCell ref="D1339:E1339"/>
    <mergeCell ref="I1339:J1339"/>
    <mergeCell ref="C1341:E1341"/>
    <mergeCell ref="H1341:J1341"/>
    <mergeCell ref="C1342:E1342"/>
    <mergeCell ref="H1342:J1342"/>
    <mergeCell ref="D1336:E1336"/>
    <mergeCell ref="I1336:J1336"/>
    <mergeCell ref="D1337:E1337"/>
    <mergeCell ref="I1337:J1337"/>
    <mergeCell ref="D1338:E1338"/>
    <mergeCell ref="I1338:J1338"/>
    <mergeCell ref="D1333:E1333"/>
    <mergeCell ref="I1333:J1333"/>
    <mergeCell ref="D1334:E1334"/>
    <mergeCell ref="I1334:J1334"/>
    <mergeCell ref="D1335:E1335"/>
    <mergeCell ref="I1335:J1335"/>
    <mergeCell ref="D1330:E1330"/>
    <mergeCell ref="I1330:J1330"/>
    <mergeCell ref="D1331:E1331"/>
    <mergeCell ref="I1331:J1331"/>
    <mergeCell ref="D1332:E1332"/>
    <mergeCell ref="I1332:J1332"/>
    <mergeCell ref="D1327:E1327"/>
    <mergeCell ref="I1327:J1327"/>
    <mergeCell ref="D1328:E1328"/>
    <mergeCell ref="I1328:J1328"/>
    <mergeCell ref="D1329:E1329"/>
    <mergeCell ref="I1329:J1329"/>
    <mergeCell ref="D1323:E1323"/>
    <mergeCell ref="I1323:J1323"/>
    <mergeCell ref="D1324:E1324"/>
    <mergeCell ref="I1324:J1324"/>
    <mergeCell ref="D1326:E1326"/>
    <mergeCell ref="I1326:J1326"/>
    <mergeCell ref="D1320:E1320"/>
    <mergeCell ref="I1320:J1320"/>
    <mergeCell ref="D1321:E1321"/>
    <mergeCell ref="I1321:J1321"/>
    <mergeCell ref="D1322:E1322"/>
    <mergeCell ref="I1322:J1322"/>
    <mergeCell ref="D1317:E1317"/>
    <mergeCell ref="I1317:J1317"/>
    <mergeCell ref="D1318:E1318"/>
    <mergeCell ref="I1318:J1318"/>
    <mergeCell ref="D1319:E1319"/>
    <mergeCell ref="I1319:J1319"/>
    <mergeCell ref="D1298:E1298"/>
    <mergeCell ref="I1298:J1298"/>
    <mergeCell ref="D1299:E1299"/>
    <mergeCell ref="I1299:J1299"/>
    <mergeCell ref="H1301:J1301"/>
    <mergeCell ref="D1316:E1316"/>
    <mergeCell ref="I1316:J1316"/>
    <mergeCell ref="D1295:E1295"/>
    <mergeCell ref="I1295:J1295"/>
    <mergeCell ref="D1296:E1296"/>
    <mergeCell ref="I1296:J1296"/>
    <mergeCell ref="D1297:E1297"/>
    <mergeCell ref="I1297:J1297"/>
    <mergeCell ref="D1292:E1292"/>
    <mergeCell ref="I1292:J1292"/>
    <mergeCell ref="D1293:E1293"/>
    <mergeCell ref="I1293:J1293"/>
    <mergeCell ref="D1294:E1294"/>
    <mergeCell ref="I1294:J1294"/>
    <mergeCell ref="D1289:E1289"/>
    <mergeCell ref="I1289:J1289"/>
    <mergeCell ref="D1290:E1290"/>
    <mergeCell ref="I1290:J1290"/>
    <mergeCell ref="D1291:E1291"/>
    <mergeCell ref="I1291:J1291"/>
    <mergeCell ref="C1285:Q1285"/>
    <mergeCell ref="D1286:E1286"/>
    <mergeCell ref="I1286:J1286"/>
    <mergeCell ref="D1287:E1287"/>
    <mergeCell ref="I1287:J1287"/>
    <mergeCell ref="D1288:E1288"/>
    <mergeCell ref="I1288:J1288"/>
    <mergeCell ref="D1282:E1282"/>
    <mergeCell ref="I1282:J1282"/>
    <mergeCell ref="D1283:E1283"/>
    <mergeCell ref="I1283:J1283"/>
    <mergeCell ref="D1284:E1284"/>
    <mergeCell ref="I1284:J1284"/>
    <mergeCell ref="D1279:E1279"/>
    <mergeCell ref="I1279:J1279"/>
    <mergeCell ref="D1280:E1280"/>
    <mergeCell ref="I1280:J1280"/>
    <mergeCell ref="D1281:E1281"/>
    <mergeCell ref="I1281:J1281"/>
    <mergeCell ref="D1276:E1276"/>
    <mergeCell ref="I1276:J1276"/>
    <mergeCell ref="D1277:E1277"/>
    <mergeCell ref="I1277:J1277"/>
    <mergeCell ref="D1278:E1278"/>
    <mergeCell ref="I1278:J1278"/>
    <mergeCell ref="D1273:E1273"/>
    <mergeCell ref="I1273:J1273"/>
    <mergeCell ref="D1274:E1274"/>
    <mergeCell ref="I1274:J1274"/>
    <mergeCell ref="D1275:E1275"/>
    <mergeCell ref="I1275:J1275"/>
    <mergeCell ref="D1270:E1270"/>
    <mergeCell ref="I1270:J1270"/>
    <mergeCell ref="D1271:E1271"/>
    <mergeCell ref="I1271:J1271"/>
    <mergeCell ref="D1272:E1272"/>
    <mergeCell ref="I1272:J1272"/>
    <mergeCell ref="D1267:E1267"/>
    <mergeCell ref="I1267:J1267"/>
    <mergeCell ref="D1268:E1268"/>
    <mergeCell ref="I1268:J1268"/>
    <mergeCell ref="D1269:E1269"/>
    <mergeCell ref="I1269:J1269"/>
    <mergeCell ref="C1263:Q1263"/>
    <mergeCell ref="D1264:E1264"/>
    <mergeCell ref="I1264:J1264"/>
    <mergeCell ref="D1265:E1265"/>
    <mergeCell ref="I1265:J1265"/>
    <mergeCell ref="D1266:E1266"/>
    <mergeCell ref="I1266:J1266"/>
    <mergeCell ref="D1260:E1260"/>
    <mergeCell ref="I1260:J1260"/>
    <mergeCell ref="D1261:E1261"/>
    <mergeCell ref="I1261:J1261"/>
    <mergeCell ref="D1262:E1262"/>
    <mergeCell ref="I1262:J1262"/>
    <mergeCell ref="D1257:E1257"/>
    <mergeCell ref="I1257:J1257"/>
    <mergeCell ref="D1258:E1258"/>
    <mergeCell ref="I1258:J1258"/>
    <mergeCell ref="D1259:E1259"/>
    <mergeCell ref="I1259:J1259"/>
    <mergeCell ref="D1254:E1254"/>
    <mergeCell ref="I1254:J1254"/>
    <mergeCell ref="D1255:E1255"/>
    <mergeCell ref="I1255:J1255"/>
    <mergeCell ref="D1256:E1256"/>
    <mergeCell ref="I1256:J1256"/>
    <mergeCell ref="D1251:E1251"/>
    <mergeCell ref="I1251:J1251"/>
    <mergeCell ref="D1252:E1252"/>
    <mergeCell ref="I1252:J1252"/>
    <mergeCell ref="D1253:E1253"/>
    <mergeCell ref="I1253:J1253"/>
    <mergeCell ref="D1247:E1247"/>
    <mergeCell ref="I1247:J1247"/>
    <mergeCell ref="C1248:Q1248"/>
    <mergeCell ref="D1249:E1249"/>
    <mergeCell ref="I1249:J1249"/>
    <mergeCell ref="D1250:E1250"/>
    <mergeCell ref="I1250:J1250"/>
    <mergeCell ref="D1244:E1244"/>
    <mergeCell ref="I1244:J1244"/>
    <mergeCell ref="D1245:E1245"/>
    <mergeCell ref="I1245:J1245"/>
    <mergeCell ref="D1246:E1246"/>
    <mergeCell ref="I1246:J1246"/>
    <mergeCell ref="D1241:E1241"/>
    <mergeCell ref="I1241:J1241"/>
    <mergeCell ref="D1242:E1242"/>
    <mergeCell ref="I1242:J1242"/>
    <mergeCell ref="D1243:E1243"/>
    <mergeCell ref="I1243:J1243"/>
    <mergeCell ref="D1238:E1238"/>
    <mergeCell ref="I1238:J1238"/>
    <mergeCell ref="D1239:E1239"/>
    <mergeCell ref="I1239:J1239"/>
    <mergeCell ref="D1240:E1240"/>
    <mergeCell ref="I1240:J1240"/>
    <mergeCell ref="D1235:E1235"/>
    <mergeCell ref="I1235:J1235"/>
    <mergeCell ref="D1236:E1236"/>
    <mergeCell ref="I1236:J1236"/>
    <mergeCell ref="D1237:E1237"/>
    <mergeCell ref="I1237:J1237"/>
    <mergeCell ref="D1232:E1232"/>
    <mergeCell ref="I1232:J1232"/>
    <mergeCell ref="D1233:E1233"/>
    <mergeCell ref="I1233:J1233"/>
    <mergeCell ref="D1234:E1234"/>
    <mergeCell ref="I1234:J1234"/>
    <mergeCell ref="D1229:E1229"/>
    <mergeCell ref="I1229:J1229"/>
    <mergeCell ref="D1230:E1230"/>
    <mergeCell ref="I1230:J1230"/>
    <mergeCell ref="D1231:E1231"/>
    <mergeCell ref="I1231:J1231"/>
    <mergeCell ref="D1225:E1225"/>
    <mergeCell ref="I1225:J1225"/>
    <mergeCell ref="C1226:Q1226"/>
    <mergeCell ref="D1227:E1227"/>
    <mergeCell ref="I1227:J1227"/>
    <mergeCell ref="D1228:E1228"/>
    <mergeCell ref="I1228:J1228"/>
    <mergeCell ref="D1222:E1222"/>
    <mergeCell ref="I1222:J1222"/>
    <mergeCell ref="D1223:E1223"/>
    <mergeCell ref="I1223:J1223"/>
    <mergeCell ref="D1224:E1224"/>
    <mergeCell ref="I1224:J1224"/>
    <mergeCell ref="D1219:E1219"/>
    <mergeCell ref="I1219:J1219"/>
    <mergeCell ref="D1220:E1220"/>
    <mergeCell ref="I1220:J1220"/>
    <mergeCell ref="D1221:E1221"/>
    <mergeCell ref="I1221:J1221"/>
    <mergeCell ref="D1216:E1216"/>
    <mergeCell ref="I1216:J1216"/>
    <mergeCell ref="D1217:E1217"/>
    <mergeCell ref="I1217:J1217"/>
    <mergeCell ref="D1218:E1218"/>
    <mergeCell ref="I1218:J1218"/>
    <mergeCell ref="D1213:E1213"/>
    <mergeCell ref="I1213:J1213"/>
    <mergeCell ref="D1214:E1214"/>
    <mergeCell ref="I1214:J1214"/>
    <mergeCell ref="D1215:E1215"/>
    <mergeCell ref="I1215:J1215"/>
    <mergeCell ref="D1209:E1209"/>
    <mergeCell ref="I1209:J1209"/>
    <mergeCell ref="D1210:E1210"/>
    <mergeCell ref="I1210:J1210"/>
    <mergeCell ref="C1211:Q1211"/>
    <mergeCell ref="D1212:E1212"/>
    <mergeCell ref="I1212:J1212"/>
    <mergeCell ref="D1206:E1206"/>
    <mergeCell ref="I1206:J1206"/>
    <mergeCell ref="D1207:E1207"/>
    <mergeCell ref="I1207:J1207"/>
    <mergeCell ref="D1208:E1208"/>
    <mergeCell ref="I1208:J1208"/>
    <mergeCell ref="D1203:E1203"/>
    <mergeCell ref="I1203:J1203"/>
    <mergeCell ref="D1204:E1204"/>
    <mergeCell ref="I1204:J1204"/>
    <mergeCell ref="D1205:E1205"/>
    <mergeCell ref="I1205:J1205"/>
    <mergeCell ref="D1200:E1200"/>
    <mergeCell ref="I1200:J1200"/>
    <mergeCell ref="D1201:E1201"/>
    <mergeCell ref="I1201:J1201"/>
    <mergeCell ref="D1202:E1202"/>
    <mergeCell ref="I1202:J1202"/>
    <mergeCell ref="D1197:E1197"/>
    <mergeCell ref="I1197:J1197"/>
    <mergeCell ref="D1198:E1198"/>
    <mergeCell ref="I1198:J1198"/>
    <mergeCell ref="D1199:E1199"/>
    <mergeCell ref="I1199:J1199"/>
    <mergeCell ref="D1194:E1194"/>
    <mergeCell ref="I1194:J1194"/>
    <mergeCell ref="D1195:E1195"/>
    <mergeCell ref="I1195:J1195"/>
    <mergeCell ref="D1196:E1196"/>
    <mergeCell ref="I1196:J1196"/>
    <mergeCell ref="D1191:E1191"/>
    <mergeCell ref="I1191:J1191"/>
    <mergeCell ref="D1192:E1192"/>
    <mergeCell ref="I1192:J1192"/>
    <mergeCell ref="D1193:E1193"/>
    <mergeCell ref="I1193:J1193"/>
    <mergeCell ref="H1067:J1067"/>
    <mergeCell ref="H1068:J1068"/>
    <mergeCell ref="H1069:J1069"/>
    <mergeCell ref="H1070:J1070"/>
    <mergeCell ref="C1189:Q1189"/>
    <mergeCell ref="D1190:E1190"/>
    <mergeCell ref="I1190:J1190"/>
    <mergeCell ref="H1062:J1062"/>
    <mergeCell ref="H1063:J1063"/>
    <mergeCell ref="D1064:E1064"/>
    <mergeCell ref="H1064:J1064"/>
    <mergeCell ref="H1065:J1065"/>
    <mergeCell ref="H1066:J1066"/>
    <mergeCell ref="D1057:E1057"/>
    <mergeCell ref="H1057:J1057"/>
    <mergeCell ref="H1058:J1058"/>
    <mergeCell ref="H1059:J1059"/>
    <mergeCell ref="H1060:J1060"/>
    <mergeCell ref="H1061:J1061"/>
    <mergeCell ref="H1051:J1051"/>
    <mergeCell ref="H1052:J1052"/>
    <mergeCell ref="H1053:J1053"/>
    <mergeCell ref="H1054:J1054"/>
    <mergeCell ref="H1055:J1055"/>
    <mergeCell ref="H1056:J1056"/>
    <mergeCell ref="H1046:J1046"/>
    <mergeCell ref="H1047:J1047"/>
    <mergeCell ref="H1048:J1048"/>
    <mergeCell ref="H1049:J1049"/>
    <mergeCell ref="D1050:E1050"/>
    <mergeCell ref="H1050:J1050"/>
    <mergeCell ref="H1041:J1041"/>
    <mergeCell ref="H1042:J1042"/>
    <mergeCell ref="D1043:E1043"/>
    <mergeCell ref="H1043:J1043"/>
    <mergeCell ref="H1044:J1044"/>
    <mergeCell ref="H1045:J1045"/>
    <mergeCell ref="D1036:E1036"/>
    <mergeCell ref="H1036:J1036"/>
    <mergeCell ref="H1037:J1037"/>
    <mergeCell ref="H1038:J1038"/>
    <mergeCell ref="H1039:J1039"/>
    <mergeCell ref="H1040:J1040"/>
    <mergeCell ref="H1030:J1030"/>
    <mergeCell ref="H1031:J1031"/>
    <mergeCell ref="H1032:J1032"/>
    <mergeCell ref="H1033:J1033"/>
    <mergeCell ref="H1034:J1034"/>
    <mergeCell ref="H1035:J1035"/>
    <mergeCell ref="H1025:J1025"/>
    <mergeCell ref="H1026:J1026"/>
    <mergeCell ref="H1027:J1027"/>
    <mergeCell ref="H1028:J1028"/>
    <mergeCell ref="D1029:E1029"/>
    <mergeCell ref="H1029:J1029"/>
    <mergeCell ref="C1021:E1021"/>
    <mergeCell ref="H1021:J1021"/>
    <mergeCell ref="D1022:E1022"/>
    <mergeCell ref="H1022:J1022"/>
    <mergeCell ref="H1023:J1023"/>
    <mergeCell ref="H1024:J1024"/>
    <mergeCell ref="D1018:E1018"/>
    <mergeCell ref="I1018:J1018"/>
    <mergeCell ref="D1019:E1019"/>
    <mergeCell ref="I1019:J1019"/>
    <mergeCell ref="D1020:E1020"/>
    <mergeCell ref="I1020:J1020"/>
    <mergeCell ref="D1015:E1015"/>
    <mergeCell ref="I1015:J1015"/>
    <mergeCell ref="D1016:E1016"/>
    <mergeCell ref="I1016:J1016"/>
    <mergeCell ref="D1017:E1017"/>
    <mergeCell ref="I1017:J1017"/>
    <mergeCell ref="D1012:E1012"/>
    <mergeCell ref="I1012:J1012"/>
    <mergeCell ref="D1013:E1013"/>
    <mergeCell ref="I1013:J1013"/>
    <mergeCell ref="D1014:E1014"/>
    <mergeCell ref="I1014:J1014"/>
    <mergeCell ref="D1009:E1009"/>
    <mergeCell ref="I1009:J1009"/>
    <mergeCell ref="D1010:E1010"/>
    <mergeCell ref="I1010:J1010"/>
    <mergeCell ref="D1011:E1011"/>
    <mergeCell ref="I1011:J1011"/>
    <mergeCell ref="D1005:E1005"/>
    <mergeCell ref="I1005:J1005"/>
    <mergeCell ref="D1007:E1007"/>
    <mergeCell ref="I1007:J1007"/>
    <mergeCell ref="D1008:E1008"/>
    <mergeCell ref="I1008:J1008"/>
    <mergeCell ref="D1002:E1002"/>
    <mergeCell ref="I1002:J1002"/>
    <mergeCell ref="D1003:E1003"/>
    <mergeCell ref="I1003:J1003"/>
    <mergeCell ref="D1004:E1004"/>
    <mergeCell ref="I1004:J1004"/>
    <mergeCell ref="D999:E999"/>
    <mergeCell ref="I999:J999"/>
    <mergeCell ref="D1000:E1000"/>
    <mergeCell ref="I1000:J1000"/>
    <mergeCell ref="D1001:E1001"/>
    <mergeCell ref="I1001:J1001"/>
    <mergeCell ref="D996:E996"/>
    <mergeCell ref="I996:J996"/>
    <mergeCell ref="D997:E997"/>
    <mergeCell ref="I997:J997"/>
    <mergeCell ref="D998:E998"/>
    <mergeCell ref="I998:J998"/>
    <mergeCell ref="D993:E993"/>
    <mergeCell ref="I993:J993"/>
    <mergeCell ref="D994:E994"/>
    <mergeCell ref="I994:J994"/>
    <mergeCell ref="D995:E995"/>
    <mergeCell ref="I995:J995"/>
    <mergeCell ref="D990:E990"/>
    <mergeCell ref="I990:J990"/>
    <mergeCell ref="D991:E991"/>
    <mergeCell ref="I991:J991"/>
    <mergeCell ref="D992:E992"/>
    <mergeCell ref="I992:J992"/>
    <mergeCell ref="D987:E987"/>
    <mergeCell ref="I987:J987"/>
    <mergeCell ref="D988:E988"/>
    <mergeCell ref="I988:J988"/>
    <mergeCell ref="D989:E989"/>
    <mergeCell ref="I989:J989"/>
    <mergeCell ref="D983:E983"/>
    <mergeCell ref="I983:J983"/>
    <mergeCell ref="D985:E985"/>
    <mergeCell ref="I985:J985"/>
    <mergeCell ref="D986:E986"/>
    <mergeCell ref="I986:J986"/>
    <mergeCell ref="D980:E980"/>
    <mergeCell ref="I980:J980"/>
    <mergeCell ref="D981:E981"/>
    <mergeCell ref="I981:J981"/>
    <mergeCell ref="D982:E982"/>
    <mergeCell ref="I982:J982"/>
    <mergeCell ref="D977:E977"/>
    <mergeCell ref="I977:J977"/>
    <mergeCell ref="D978:E978"/>
    <mergeCell ref="I978:J978"/>
    <mergeCell ref="D979:E979"/>
    <mergeCell ref="I979:J979"/>
    <mergeCell ref="D974:E974"/>
    <mergeCell ref="I974:J974"/>
    <mergeCell ref="D975:E975"/>
    <mergeCell ref="I975:J975"/>
    <mergeCell ref="D976:E976"/>
    <mergeCell ref="I976:J976"/>
    <mergeCell ref="D971:E971"/>
    <mergeCell ref="I971:J971"/>
    <mergeCell ref="D972:E972"/>
    <mergeCell ref="I972:J972"/>
    <mergeCell ref="D973:E973"/>
    <mergeCell ref="I973:J973"/>
    <mergeCell ref="D968:E968"/>
    <mergeCell ref="I968:J968"/>
    <mergeCell ref="D969:E969"/>
    <mergeCell ref="I969:J969"/>
    <mergeCell ref="D970:E970"/>
    <mergeCell ref="I970:J970"/>
    <mergeCell ref="D965:E965"/>
    <mergeCell ref="I965:J965"/>
    <mergeCell ref="D966:E966"/>
    <mergeCell ref="I966:J966"/>
    <mergeCell ref="D967:E967"/>
    <mergeCell ref="I967:J967"/>
    <mergeCell ref="C962:F962"/>
    <mergeCell ref="H962:K962"/>
    <mergeCell ref="D963:E963"/>
    <mergeCell ref="I963:J963"/>
    <mergeCell ref="D964:E964"/>
    <mergeCell ref="I964:J964"/>
    <mergeCell ref="C959:E959"/>
    <mergeCell ref="H959:J959"/>
    <mergeCell ref="C960:E960"/>
    <mergeCell ref="H960:J960"/>
    <mergeCell ref="C961:E961"/>
    <mergeCell ref="H961:J961"/>
    <mergeCell ref="C956:E956"/>
    <mergeCell ref="H956:J956"/>
    <mergeCell ref="C957:E957"/>
    <mergeCell ref="H957:J957"/>
    <mergeCell ref="C958:E958"/>
    <mergeCell ref="H958:J958"/>
    <mergeCell ref="D953:E953"/>
    <mergeCell ref="I953:J953"/>
    <mergeCell ref="D954:E954"/>
    <mergeCell ref="I954:J954"/>
    <mergeCell ref="C955:E955"/>
    <mergeCell ref="H955:J955"/>
    <mergeCell ref="D950:E950"/>
    <mergeCell ref="I950:J950"/>
    <mergeCell ref="D951:E951"/>
    <mergeCell ref="I951:J951"/>
    <mergeCell ref="D952:E952"/>
    <mergeCell ref="I952:J952"/>
    <mergeCell ref="D947:E947"/>
    <mergeCell ref="I947:J947"/>
    <mergeCell ref="D948:E948"/>
    <mergeCell ref="I948:J948"/>
    <mergeCell ref="D949:E949"/>
    <mergeCell ref="I949:J949"/>
    <mergeCell ref="D944:E944"/>
    <mergeCell ref="I944:J944"/>
    <mergeCell ref="D945:E945"/>
    <mergeCell ref="I945:J945"/>
    <mergeCell ref="D946:E946"/>
    <mergeCell ref="I946:J946"/>
    <mergeCell ref="D941:E941"/>
    <mergeCell ref="I941:J941"/>
    <mergeCell ref="D942:E942"/>
    <mergeCell ref="I942:J942"/>
    <mergeCell ref="D943:E943"/>
    <mergeCell ref="I943:J943"/>
    <mergeCell ref="D937:E937"/>
    <mergeCell ref="I937:J937"/>
    <mergeCell ref="D938:E938"/>
    <mergeCell ref="I938:J938"/>
    <mergeCell ref="D939:E939"/>
    <mergeCell ref="I939:J939"/>
    <mergeCell ref="D934:E934"/>
    <mergeCell ref="I934:J934"/>
    <mergeCell ref="D935:E935"/>
    <mergeCell ref="I935:J935"/>
    <mergeCell ref="D936:E936"/>
    <mergeCell ref="I936:J936"/>
    <mergeCell ref="D931:E931"/>
    <mergeCell ref="I931:J931"/>
    <mergeCell ref="D932:E932"/>
    <mergeCell ref="I932:J932"/>
    <mergeCell ref="D933:E933"/>
    <mergeCell ref="I933:J933"/>
    <mergeCell ref="D928:E928"/>
    <mergeCell ref="I928:J928"/>
    <mergeCell ref="D929:E929"/>
    <mergeCell ref="I929:J929"/>
    <mergeCell ref="D930:E930"/>
    <mergeCell ref="I930:J930"/>
    <mergeCell ref="D924:E924"/>
    <mergeCell ref="I924:J924"/>
    <mergeCell ref="D926:E926"/>
    <mergeCell ref="I926:J926"/>
    <mergeCell ref="D927:E927"/>
    <mergeCell ref="I927:J927"/>
    <mergeCell ref="D921:E921"/>
    <mergeCell ref="I921:J921"/>
    <mergeCell ref="D922:E922"/>
    <mergeCell ref="I922:J922"/>
    <mergeCell ref="D923:E923"/>
    <mergeCell ref="I923:J923"/>
    <mergeCell ref="D918:E918"/>
    <mergeCell ref="I918:J918"/>
    <mergeCell ref="D919:E919"/>
    <mergeCell ref="I919:J919"/>
    <mergeCell ref="D920:E920"/>
    <mergeCell ref="I920:J920"/>
    <mergeCell ref="D915:E915"/>
    <mergeCell ref="I915:J915"/>
    <mergeCell ref="D916:E916"/>
    <mergeCell ref="I916:J916"/>
    <mergeCell ref="D917:E917"/>
    <mergeCell ref="I917:J917"/>
    <mergeCell ref="D912:E912"/>
    <mergeCell ref="I912:J912"/>
    <mergeCell ref="D913:E913"/>
    <mergeCell ref="I913:J913"/>
    <mergeCell ref="D914:E914"/>
    <mergeCell ref="I914:J914"/>
    <mergeCell ref="D909:E909"/>
    <mergeCell ref="I909:J909"/>
    <mergeCell ref="C910:E910"/>
    <mergeCell ref="H910:J910"/>
    <mergeCell ref="D911:E911"/>
    <mergeCell ref="I911:J911"/>
    <mergeCell ref="D906:E906"/>
    <mergeCell ref="I906:J906"/>
    <mergeCell ref="D907:E907"/>
    <mergeCell ref="I907:J907"/>
    <mergeCell ref="D908:E908"/>
    <mergeCell ref="I908:J908"/>
    <mergeCell ref="D903:E903"/>
    <mergeCell ref="I903:J903"/>
    <mergeCell ref="D904:E904"/>
    <mergeCell ref="I904:J904"/>
    <mergeCell ref="D905:E905"/>
    <mergeCell ref="I905:J905"/>
    <mergeCell ref="D900:E900"/>
    <mergeCell ref="I900:J900"/>
    <mergeCell ref="D901:E901"/>
    <mergeCell ref="I901:J901"/>
    <mergeCell ref="D902:E902"/>
    <mergeCell ref="I902:J902"/>
    <mergeCell ref="D897:E897"/>
    <mergeCell ref="I897:J897"/>
    <mergeCell ref="D898:E898"/>
    <mergeCell ref="I898:J898"/>
    <mergeCell ref="D899:E899"/>
    <mergeCell ref="I899:J899"/>
    <mergeCell ref="D894:E894"/>
    <mergeCell ref="I894:J894"/>
    <mergeCell ref="D895:E895"/>
    <mergeCell ref="I895:J895"/>
    <mergeCell ref="D896:E896"/>
    <mergeCell ref="I896:J896"/>
    <mergeCell ref="D891:E891"/>
    <mergeCell ref="I891:J891"/>
    <mergeCell ref="D892:E892"/>
    <mergeCell ref="I892:J892"/>
    <mergeCell ref="D893:E893"/>
    <mergeCell ref="I893:J893"/>
    <mergeCell ref="C888:E888"/>
    <mergeCell ref="H888:J888"/>
    <mergeCell ref="D889:E889"/>
    <mergeCell ref="I889:J889"/>
    <mergeCell ref="D890:E890"/>
    <mergeCell ref="I890:J890"/>
    <mergeCell ref="C885:E885"/>
    <mergeCell ref="H885:J885"/>
    <mergeCell ref="C886:E886"/>
    <mergeCell ref="H886:J886"/>
    <mergeCell ref="C887:E887"/>
    <mergeCell ref="H887:J887"/>
    <mergeCell ref="C882:E882"/>
    <mergeCell ref="H882:J882"/>
    <mergeCell ref="C883:E883"/>
    <mergeCell ref="H883:J883"/>
    <mergeCell ref="C884:E884"/>
    <mergeCell ref="H884:J884"/>
    <mergeCell ref="D877:E877"/>
    <mergeCell ref="I877:J877"/>
    <mergeCell ref="D878:E878"/>
    <mergeCell ref="I878:J878"/>
    <mergeCell ref="D879:E879"/>
    <mergeCell ref="I879:J879"/>
    <mergeCell ref="I873:J873"/>
    <mergeCell ref="D874:E874"/>
    <mergeCell ref="I874:J874"/>
    <mergeCell ref="D875:E875"/>
    <mergeCell ref="I875:J875"/>
    <mergeCell ref="D876:E876"/>
    <mergeCell ref="I876:J876"/>
    <mergeCell ref="D870:E870"/>
    <mergeCell ref="I870:J870"/>
    <mergeCell ref="D871:E871"/>
    <mergeCell ref="I871:J871"/>
    <mergeCell ref="D872:E872"/>
    <mergeCell ref="I872:J872"/>
    <mergeCell ref="I866:J866"/>
    <mergeCell ref="D867:E867"/>
    <mergeCell ref="I867:J867"/>
    <mergeCell ref="D868:E868"/>
    <mergeCell ref="I868:J868"/>
    <mergeCell ref="D869:E869"/>
    <mergeCell ref="I869:J869"/>
    <mergeCell ref="D863:E863"/>
    <mergeCell ref="I863:J863"/>
    <mergeCell ref="D864:E864"/>
    <mergeCell ref="I864:J864"/>
    <mergeCell ref="D865:E865"/>
    <mergeCell ref="I865:J865"/>
    <mergeCell ref="I859:J859"/>
    <mergeCell ref="D860:E860"/>
    <mergeCell ref="I860:J860"/>
    <mergeCell ref="D861:E861"/>
    <mergeCell ref="I861:J861"/>
    <mergeCell ref="D862:E862"/>
    <mergeCell ref="I862:J862"/>
    <mergeCell ref="D856:E856"/>
    <mergeCell ref="I856:J856"/>
    <mergeCell ref="D857:E857"/>
    <mergeCell ref="I857:J857"/>
    <mergeCell ref="D858:E858"/>
    <mergeCell ref="I858:J858"/>
    <mergeCell ref="I852:J852"/>
    <mergeCell ref="D853:E853"/>
    <mergeCell ref="I853:J853"/>
    <mergeCell ref="D854:E854"/>
    <mergeCell ref="I854:J854"/>
    <mergeCell ref="D855:E855"/>
    <mergeCell ref="I855:J855"/>
    <mergeCell ref="C849:E849"/>
    <mergeCell ref="H849:J849"/>
    <mergeCell ref="C850:E850"/>
    <mergeCell ref="H850:J850"/>
    <mergeCell ref="C851:E851"/>
    <mergeCell ref="H851:J851"/>
    <mergeCell ref="H845:J845"/>
    <mergeCell ref="C846:E846"/>
    <mergeCell ref="H846:J846"/>
    <mergeCell ref="C847:E847"/>
    <mergeCell ref="H847:J847"/>
    <mergeCell ref="C848:E848"/>
    <mergeCell ref="H848:J848"/>
    <mergeCell ref="D842:E842"/>
    <mergeCell ref="I842:J842"/>
    <mergeCell ref="D843:E843"/>
    <mergeCell ref="I843:J843"/>
    <mergeCell ref="D844:E844"/>
    <mergeCell ref="I844:J844"/>
    <mergeCell ref="I838:J838"/>
    <mergeCell ref="D839:E839"/>
    <mergeCell ref="I839:J839"/>
    <mergeCell ref="D840:E840"/>
    <mergeCell ref="I840:J840"/>
    <mergeCell ref="D841:E841"/>
    <mergeCell ref="I841:J841"/>
    <mergeCell ref="D835:E835"/>
    <mergeCell ref="I835:J835"/>
    <mergeCell ref="D836:E836"/>
    <mergeCell ref="I836:J836"/>
    <mergeCell ref="D837:E837"/>
    <mergeCell ref="I837:J837"/>
    <mergeCell ref="I831:J831"/>
    <mergeCell ref="D832:E832"/>
    <mergeCell ref="I832:J832"/>
    <mergeCell ref="D833:E833"/>
    <mergeCell ref="I833:J833"/>
    <mergeCell ref="D834:E834"/>
    <mergeCell ref="I834:J834"/>
    <mergeCell ref="D828:E828"/>
    <mergeCell ref="I828:J828"/>
    <mergeCell ref="D829:E829"/>
    <mergeCell ref="I829:J829"/>
    <mergeCell ref="D830:E830"/>
    <mergeCell ref="I830:J830"/>
    <mergeCell ref="I824:J824"/>
    <mergeCell ref="D825:E825"/>
    <mergeCell ref="I825:J825"/>
    <mergeCell ref="D826:E826"/>
    <mergeCell ref="I826:J826"/>
    <mergeCell ref="D827:E827"/>
    <mergeCell ref="I827:J827"/>
    <mergeCell ref="D821:E821"/>
    <mergeCell ref="I821:J821"/>
    <mergeCell ref="D822:E822"/>
    <mergeCell ref="I822:J822"/>
    <mergeCell ref="D823:E823"/>
    <mergeCell ref="I823:J823"/>
    <mergeCell ref="I817:J817"/>
    <mergeCell ref="D818:E818"/>
    <mergeCell ref="I818:J818"/>
    <mergeCell ref="D819:E819"/>
    <mergeCell ref="I819:J819"/>
    <mergeCell ref="D820:E820"/>
    <mergeCell ref="I820:J820"/>
    <mergeCell ref="D814:E814"/>
    <mergeCell ref="I814:J814"/>
    <mergeCell ref="D815:E815"/>
    <mergeCell ref="I815:J815"/>
    <mergeCell ref="D816:E816"/>
    <mergeCell ref="I816:J816"/>
    <mergeCell ref="I810:J810"/>
    <mergeCell ref="D811:E811"/>
    <mergeCell ref="I811:J811"/>
    <mergeCell ref="D812:E812"/>
    <mergeCell ref="I812:J812"/>
    <mergeCell ref="D813:E813"/>
    <mergeCell ref="I813:J813"/>
    <mergeCell ref="C807:E807"/>
    <mergeCell ref="H807:J807"/>
    <mergeCell ref="C808:E808"/>
    <mergeCell ref="H808:J808"/>
    <mergeCell ref="C809:E809"/>
    <mergeCell ref="H809:J809"/>
    <mergeCell ref="C804:E804"/>
    <mergeCell ref="H804:J804"/>
    <mergeCell ref="C805:E805"/>
    <mergeCell ref="H805:J805"/>
    <mergeCell ref="C806:E806"/>
    <mergeCell ref="H806:J806"/>
    <mergeCell ref="D801:E801"/>
    <mergeCell ref="I801:J801"/>
    <mergeCell ref="D802:E802"/>
    <mergeCell ref="I802:J802"/>
    <mergeCell ref="C803:E803"/>
    <mergeCell ref="H803:J803"/>
    <mergeCell ref="D798:E798"/>
    <mergeCell ref="I798:J798"/>
    <mergeCell ref="D799:E799"/>
    <mergeCell ref="I799:J799"/>
    <mergeCell ref="D800:E800"/>
    <mergeCell ref="I800:J800"/>
    <mergeCell ref="D795:E795"/>
    <mergeCell ref="I795:J795"/>
    <mergeCell ref="D796:E796"/>
    <mergeCell ref="I796:J796"/>
    <mergeCell ref="D797:E797"/>
    <mergeCell ref="I797:J797"/>
    <mergeCell ref="D792:E792"/>
    <mergeCell ref="I792:J792"/>
    <mergeCell ref="D793:E793"/>
    <mergeCell ref="I793:J793"/>
    <mergeCell ref="D794:E794"/>
    <mergeCell ref="I794:J794"/>
    <mergeCell ref="D789:E789"/>
    <mergeCell ref="I789:J789"/>
    <mergeCell ref="D790:E790"/>
    <mergeCell ref="I790:J790"/>
    <mergeCell ref="D791:E791"/>
    <mergeCell ref="I791:J791"/>
    <mergeCell ref="C786:E786"/>
    <mergeCell ref="H786:J786"/>
    <mergeCell ref="C787:E787"/>
    <mergeCell ref="H787:J787"/>
    <mergeCell ref="C788:E788"/>
    <mergeCell ref="H788:J788"/>
    <mergeCell ref="C783:E783"/>
    <mergeCell ref="H783:J783"/>
    <mergeCell ref="C784:E784"/>
    <mergeCell ref="H784:J784"/>
    <mergeCell ref="C785:E785"/>
    <mergeCell ref="H785:J785"/>
    <mergeCell ref="D780:E780"/>
    <mergeCell ref="I780:J780"/>
    <mergeCell ref="D781:E781"/>
    <mergeCell ref="I781:J781"/>
    <mergeCell ref="C782:E782"/>
    <mergeCell ref="H782:I782"/>
    <mergeCell ref="D777:E777"/>
    <mergeCell ref="I777:J777"/>
    <mergeCell ref="D778:E778"/>
    <mergeCell ref="I778:J778"/>
    <mergeCell ref="D779:E779"/>
    <mergeCell ref="I779:J779"/>
    <mergeCell ref="D774:E774"/>
    <mergeCell ref="I774:J774"/>
    <mergeCell ref="D775:E775"/>
    <mergeCell ref="I775:J775"/>
    <mergeCell ref="D776:E776"/>
    <mergeCell ref="I776:J776"/>
    <mergeCell ref="D771:E771"/>
    <mergeCell ref="I771:J771"/>
    <mergeCell ref="D772:E772"/>
    <mergeCell ref="I772:J772"/>
    <mergeCell ref="D773:E773"/>
    <mergeCell ref="I773:J773"/>
    <mergeCell ref="D768:E768"/>
    <mergeCell ref="I768:J768"/>
    <mergeCell ref="D769:E769"/>
    <mergeCell ref="I769:J769"/>
    <mergeCell ref="D770:E770"/>
    <mergeCell ref="I770:J770"/>
    <mergeCell ref="D765:E765"/>
    <mergeCell ref="I765:J765"/>
    <mergeCell ref="D766:E766"/>
    <mergeCell ref="I766:J766"/>
    <mergeCell ref="D767:E767"/>
    <mergeCell ref="I767:J767"/>
    <mergeCell ref="D762:E762"/>
    <mergeCell ref="I762:J762"/>
    <mergeCell ref="D763:E763"/>
    <mergeCell ref="I763:J763"/>
    <mergeCell ref="D764:E764"/>
    <mergeCell ref="I764:J764"/>
    <mergeCell ref="D759:E759"/>
    <mergeCell ref="I759:J759"/>
    <mergeCell ref="D760:E760"/>
    <mergeCell ref="I760:J760"/>
    <mergeCell ref="D761:E761"/>
    <mergeCell ref="I761:J761"/>
    <mergeCell ref="D756:E756"/>
    <mergeCell ref="I756:J756"/>
    <mergeCell ref="D757:E757"/>
    <mergeCell ref="I757:J757"/>
    <mergeCell ref="D758:E758"/>
    <mergeCell ref="I758:J758"/>
    <mergeCell ref="D753:E753"/>
    <mergeCell ref="I753:J753"/>
    <mergeCell ref="D754:E754"/>
    <mergeCell ref="I754:J754"/>
    <mergeCell ref="D755:E755"/>
    <mergeCell ref="I755:J755"/>
    <mergeCell ref="D750:E750"/>
    <mergeCell ref="I750:J750"/>
    <mergeCell ref="D751:E751"/>
    <mergeCell ref="I751:J751"/>
    <mergeCell ref="D752:E752"/>
    <mergeCell ref="I752:J752"/>
    <mergeCell ref="D747:E747"/>
    <mergeCell ref="I747:J747"/>
    <mergeCell ref="D748:E748"/>
    <mergeCell ref="I748:J748"/>
    <mergeCell ref="D749:E749"/>
    <mergeCell ref="I749:J749"/>
    <mergeCell ref="C744:E744"/>
    <mergeCell ref="H744:J744"/>
    <mergeCell ref="C745:E745"/>
    <mergeCell ref="H745:J745"/>
    <mergeCell ref="C746:E746"/>
    <mergeCell ref="H746:J746"/>
    <mergeCell ref="C741:E741"/>
    <mergeCell ref="H741:J741"/>
    <mergeCell ref="C742:E742"/>
    <mergeCell ref="H742:J742"/>
    <mergeCell ref="C743:E743"/>
    <mergeCell ref="H743:J743"/>
    <mergeCell ref="C738:E738"/>
    <mergeCell ref="H738:J738"/>
    <mergeCell ref="C739:E739"/>
    <mergeCell ref="H739:J739"/>
    <mergeCell ref="C740:E740"/>
    <mergeCell ref="H740:J740"/>
    <mergeCell ref="C735:E735"/>
    <mergeCell ref="H735:J735"/>
    <mergeCell ref="C736:E736"/>
    <mergeCell ref="H736:J736"/>
    <mergeCell ref="C737:E737"/>
    <mergeCell ref="H737:J737"/>
    <mergeCell ref="C732:E732"/>
    <mergeCell ref="H732:J732"/>
    <mergeCell ref="C733:E733"/>
    <mergeCell ref="H733:J733"/>
    <mergeCell ref="C734:E734"/>
    <mergeCell ref="H734:J734"/>
    <mergeCell ref="C729:E729"/>
    <mergeCell ref="H729:J729"/>
    <mergeCell ref="C730:E730"/>
    <mergeCell ref="H730:J730"/>
    <mergeCell ref="C731:E731"/>
    <mergeCell ref="H731:J731"/>
    <mergeCell ref="C726:E726"/>
    <mergeCell ref="H726:J726"/>
    <mergeCell ref="C727:E727"/>
    <mergeCell ref="H727:J727"/>
    <mergeCell ref="C728:E728"/>
    <mergeCell ref="H728:J728"/>
    <mergeCell ref="C723:E723"/>
    <mergeCell ref="H723:J723"/>
    <mergeCell ref="C724:E724"/>
    <mergeCell ref="H724:J724"/>
    <mergeCell ref="C725:E725"/>
    <mergeCell ref="H725:J725"/>
    <mergeCell ref="C720:E720"/>
    <mergeCell ref="H720:J720"/>
    <mergeCell ref="C721:E721"/>
    <mergeCell ref="H721:J721"/>
    <mergeCell ref="C722:E722"/>
    <mergeCell ref="H722:J722"/>
    <mergeCell ref="C717:E717"/>
    <mergeCell ref="H717:J717"/>
    <mergeCell ref="C718:E718"/>
    <mergeCell ref="H718:J718"/>
    <mergeCell ref="C719:E719"/>
    <mergeCell ref="H719:J719"/>
    <mergeCell ref="C714:E714"/>
    <mergeCell ref="H714:J714"/>
    <mergeCell ref="C715:E715"/>
    <mergeCell ref="H715:J715"/>
    <mergeCell ref="C716:E716"/>
    <mergeCell ref="H716:J716"/>
    <mergeCell ref="C711:E711"/>
    <mergeCell ref="H711:J711"/>
    <mergeCell ref="C712:E712"/>
    <mergeCell ref="H712:J712"/>
    <mergeCell ref="C713:E713"/>
    <mergeCell ref="H713:J713"/>
    <mergeCell ref="C708:E708"/>
    <mergeCell ref="H708:J708"/>
    <mergeCell ref="C709:E709"/>
    <mergeCell ref="H709:J709"/>
    <mergeCell ref="C710:E710"/>
    <mergeCell ref="H710:J710"/>
    <mergeCell ref="C705:E705"/>
    <mergeCell ref="H705:J705"/>
    <mergeCell ref="C706:E706"/>
    <mergeCell ref="H706:J706"/>
    <mergeCell ref="C707:E707"/>
    <mergeCell ref="H707:J707"/>
    <mergeCell ref="D701:E701"/>
    <mergeCell ref="I701:J701"/>
    <mergeCell ref="D702:E702"/>
    <mergeCell ref="I702:J702"/>
    <mergeCell ref="D703:E703"/>
    <mergeCell ref="I703:J703"/>
    <mergeCell ref="D698:E698"/>
    <mergeCell ref="I698:J698"/>
    <mergeCell ref="D699:E699"/>
    <mergeCell ref="I699:J699"/>
    <mergeCell ref="D700:E700"/>
    <mergeCell ref="I700:J700"/>
    <mergeCell ref="D695:E695"/>
    <mergeCell ref="I695:J695"/>
    <mergeCell ref="D696:E696"/>
    <mergeCell ref="I696:J696"/>
    <mergeCell ref="D697:E697"/>
    <mergeCell ref="I697:J697"/>
    <mergeCell ref="D692:E692"/>
    <mergeCell ref="I692:J692"/>
    <mergeCell ref="D693:E693"/>
    <mergeCell ref="I693:J693"/>
    <mergeCell ref="D694:E694"/>
    <mergeCell ref="I694:J694"/>
    <mergeCell ref="D689:E689"/>
    <mergeCell ref="I689:J689"/>
    <mergeCell ref="D690:E690"/>
    <mergeCell ref="I690:J690"/>
    <mergeCell ref="D691:E691"/>
    <mergeCell ref="I691:J691"/>
    <mergeCell ref="D686:E686"/>
    <mergeCell ref="I686:J686"/>
    <mergeCell ref="D687:E687"/>
    <mergeCell ref="I687:J687"/>
    <mergeCell ref="D688:E688"/>
    <mergeCell ref="I688:J688"/>
    <mergeCell ref="D683:E683"/>
    <mergeCell ref="I683:J683"/>
    <mergeCell ref="D684:E684"/>
    <mergeCell ref="I684:J684"/>
    <mergeCell ref="D685:E685"/>
    <mergeCell ref="I685:J685"/>
    <mergeCell ref="D680:E680"/>
    <mergeCell ref="I680:J680"/>
    <mergeCell ref="D681:E681"/>
    <mergeCell ref="I681:J681"/>
    <mergeCell ref="D682:E682"/>
    <mergeCell ref="I682:J682"/>
    <mergeCell ref="D677:E677"/>
    <mergeCell ref="I677:J677"/>
    <mergeCell ref="D678:E678"/>
    <mergeCell ref="I678:J678"/>
    <mergeCell ref="D679:E679"/>
    <mergeCell ref="I679:J679"/>
    <mergeCell ref="D674:E674"/>
    <mergeCell ref="I674:J674"/>
    <mergeCell ref="D675:E675"/>
    <mergeCell ref="I675:J675"/>
    <mergeCell ref="D676:E676"/>
    <mergeCell ref="I676:J676"/>
    <mergeCell ref="D671:E671"/>
    <mergeCell ref="I671:J671"/>
    <mergeCell ref="D672:E672"/>
    <mergeCell ref="I672:J672"/>
    <mergeCell ref="D673:E673"/>
    <mergeCell ref="I673:J673"/>
    <mergeCell ref="D668:E668"/>
    <mergeCell ref="I668:J668"/>
    <mergeCell ref="D669:E669"/>
    <mergeCell ref="I669:J669"/>
    <mergeCell ref="D670:E670"/>
    <mergeCell ref="I670:J670"/>
    <mergeCell ref="D665:E665"/>
    <mergeCell ref="I665:J665"/>
    <mergeCell ref="D666:E666"/>
    <mergeCell ref="I666:J666"/>
    <mergeCell ref="D667:E667"/>
    <mergeCell ref="I667:J667"/>
    <mergeCell ref="D662:E662"/>
    <mergeCell ref="I662:J662"/>
    <mergeCell ref="D663:E663"/>
    <mergeCell ref="I663:J663"/>
    <mergeCell ref="D664:E664"/>
    <mergeCell ref="I664:J664"/>
    <mergeCell ref="D659:E659"/>
    <mergeCell ref="I659:J659"/>
    <mergeCell ref="D660:E660"/>
    <mergeCell ref="I660:J660"/>
    <mergeCell ref="D661:E661"/>
    <mergeCell ref="I661:J661"/>
    <mergeCell ref="D656:E656"/>
    <mergeCell ref="I656:J656"/>
    <mergeCell ref="D657:E657"/>
    <mergeCell ref="I657:J657"/>
    <mergeCell ref="D658:E658"/>
    <mergeCell ref="I658:J658"/>
    <mergeCell ref="D653:E653"/>
    <mergeCell ref="I653:J653"/>
    <mergeCell ref="D654:E654"/>
    <mergeCell ref="I654:J654"/>
    <mergeCell ref="D655:E655"/>
    <mergeCell ref="I655:J655"/>
    <mergeCell ref="D650:E650"/>
    <mergeCell ref="I650:J650"/>
    <mergeCell ref="D651:E651"/>
    <mergeCell ref="I651:J651"/>
    <mergeCell ref="D652:E652"/>
    <mergeCell ref="I652:J652"/>
    <mergeCell ref="C647:E647"/>
    <mergeCell ref="H647:J647"/>
    <mergeCell ref="D648:E648"/>
    <mergeCell ref="I648:J648"/>
    <mergeCell ref="D649:E649"/>
    <mergeCell ref="I649:J649"/>
    <mergeCell ref="C644:E644"/>
    <mergeCell ref="H644:J644"/>
    <mergeCell ref="C645:E645"/>
    <mergeCell ref="H645:J645"/>
    <mergeCell ref="C646:E646"/>
    <mergeCell ref="H646:J646"/>
    <mergeCell ref="C641:E641"/>
    <mergeCell ref="H641:J641"/>
    <mergeCell ref="C642:E642"/>
    <mergeCell ref="H642:J642"/>
    <mergeCell ref="C643:E643"/>
    <mergeCell ref="H643:J643"/>
    <mergeCell ref="C637:E637"/>
    <mergeCell ref="H637:J637"/>
    <mergeCell ref="C638:E638"/>
    <mergeCell ref="H638:J638"/>
    <mergeCell ref="C639:E639"/>
    <mergeCell ref="H639:J639"/>
    <mergeCell ref="C634:E634"/>
    <mergeCell ref="H634:J634"/>
    <mergeCell ref="C635:E635"/>
    <mergeCell ref="H635:J635"/>
    <mergeCell ref="C636:E636"/>
    <mergeCell ref="H636:J636"/>
    <mergeCell ref="D631:E631"/>
    <mergeCell ref="I631:J631"/>
    <mergeCell ref="D632:E632"/>
    <mergeCell ref="I632:J632"/>
    <mergeCell ref="C633:E633"/>
    <mergeCell ref="H633:J633"/>
    <mergeCell ref="D628:E628"/>
    <mergeCell ref="I628:J628"/>
    <mergeCell ref="D629:E629"/>
    <mergeCell ref="I629:J629"/>
    <mergeCell ref="D630:E630"/>
    <mergeCell ref="I630:J630"/>
    <mergeCell ref="D625:E625"/>
    <mergeCell ref="I625:J625"/>
    <mergeCell ref="D626:E626"/>
    <mergeCell ref="I626:J626"/>
    <mergeCell ref="D627:E627"/>
    <mergeCell ref="I627:J627"/>
    <mergeCell ref="D622:E622"/>
    <mergeCell ref="I622:J622"/>
    <mergeCell ref="D623:E623"/>
    <mergeCell ref="I623:J623"/>
    <mergeCell ref="D624:E624"/>
    <mergeCell ref="I624:J624"/>
    <mergeCell ref="D619:E619"/>
    <mergeCell ref="I619:J619"/>
    <mergeCell ref="D620:E620"/>
    <mergeCell ref="I620:J620"/>
    <mergeCell ref="D621:E621"/>
    <mergeCell ref="I621:J621"/>
    <mergeCell ref="C616:E616"/>
    <mergeCell ref="H616:J616"/>
    <mergeCell ref="C617:E617"/>
    <mergeCell ref="H617:J617"/>
    <mergeCell ref="C618:E618"/>
    <mergeCell ref="H618:J618"/>
    <mergeCell ref="C613:E613"/>
    <mergeCell ref="H613:J613"/>
    <mergeCell ref="C614:E614"/>
    <mergeCell ref="H614:J614"/>
    <mergeCell ref="C615:E615"/>
    <mergeCell ref="H615:J615"/>
    <mergeCell ref="D610:E610"/>
    <mergeCell ref="I610:J610"/>
    <mergeCell ref="D611:E611"/>
    <mergeCell ref="I611:J611"/>
    <mergeCell ref="C612:E612"/>
    <mergeCell ref="H612:J612"/>
    <mergeCell ref="D607:E607"/>
    <mergeCell ref="I607:J607"/>
    <mergeCell ref="D608:E608"/>
    <mergeCell ref="I608:J608"/>
    <mergeCell ref="D609:E609"/>
    <mergeCell ref="I609:J609"/>
    <mergeCell ref="D604:E604"/>
    <mergeCell ref="I604:J604"/>
    <mergeCell ref="D605:E605"/>
    <mergeCell ref="I605:J605"/>
    <mergeCell ref="D606:E606"/>
    <mergeCell ref="I606:J606"/>
    <mergeCell ref="D601:E601"/>
    <mergeCell ref="I601:J601"/>
    <mergeCell ref="D602:E602"/>
    <mergeCell ref="I602:J602"/>
    <mergeCell ref="D603:E603"/>
    <mergeCell ref="I603:J603"/>
    <mergeCell ref="D598:E598"/>
    <mergeCell ref="I598:J598"/>
    <mergeCell ref="D599:E599"/>
    <mergeCell ref="I599:J599"/>
    <mergeCell ref="D600:E600"/>
    <mergeCell ref="I600:J600"/>
    <mergeCell ref="C595:E595"/>
    <mergeCell ref="H595:J595"/>
    <mergeCell ref="C596:E596"/>
    <mergeCell ref="H596:J596"/>
    <mergeCell ref="C597:E597"/>
    <mergeCell ref="H597:J597"/>
    <mergeCell ref="C592:E592"/>
    <mergeCell ref="H592:J592"/>
    <mergeCell ref="C593:E593"/>
    <mergeCell ref="H593:J593"/>
    <mergeCell ref="C594:E594"/>
    <mergeCell ref="H594:J594"/>
    <mergeCell ref="D589:E589"/>
    <mergeCell ref="I589:J589"/>
    <mergeCell ref="D590:E590"/>
    <mergeCell ref="I590:J590"/>
    <mergeCell ref="C591:E591"/>
    <mergeCell ref="H591:J591"/>
    <mergeCell ref="D586:E586"/>
    <mergeCell ref="I586:J586"/>
    <mergeCell ref="D587:E587"/>
    <mergeCell ref="I587:J587"/>
    <mergeCell ref="D588:E588"/>
    <mergeCell ref="I588:J588"/>
    <mergeCell ref="D583:E583"/>
    <mergeCell ref="I583:J583"/>
    <mergeCell ref="D584:E584"/>
    <mergeCell ref="I584:J584"/>
    <mergeCell ref="D585:E585"/>
    <mergeCell ref="I585:J585"/>
    <mergeCell ref="D580:E580"/>
    <mergeCell ref="I580:J580"/>
    <mergeCell ref="D581:E581"/>
    <mergeCell ref="I581:J581"/>
    <mergeCell ref="D582:E582"/>
    <mergeCell ref="I582:J582"/>
    <mergeCell ref="D577:E577"/>
    <mergeCell ref="I577:J577"/>
    <mergeCell ref="D578:E578"/>
    <mergeCell ref="I578:J578"/>
    <mergeCell ref="D579:E579"/>
    <mergeCell ref="I579:J579"/>
    <mergeCell ref="C574:E574"/>
    <mergeCell ref="H574:J574"/>
    <mergeCell ref="C575:E575"/>
    <mergeCell ref="H575:J575"/>
    <mergeCell ref="C576:E576"/>
    <mergeCell ref="H576:J576"/>
    <mergeCell ref="C571:E571"/>
    <mergeCell ref="H571:J571"/>
    <mergeCell ref="C572:E572"/>
    <mergeCell ref="H572:J572"/>
    <mergeCell ref="C573:E573"/>
    <mergeCell ref="H573:J573"/>
    <mergeCell ref="D568:E568"/>
    <mergeCell ref="I568:J568"/>
    <mergeCell ref="D569:E569"/>
    <mergeCell ref="I569:J569"/>
    <mergeCell ref="C570:E570"/>
    <mergeCell ref="H570:J570"/>
    <mergeCell ref="D565:E565"/>
    <mergeCell ref="I565:J565"/>
    <mergeCell ref="D566:E566"/>
    <mergeCell ref="I566:J566"/>
    <mergeCell ref="D567:E567"/>
    <mergeCell ref="I567:J567"/>
    <mergeCell ref="D562:E562"/>
    <mergeCell ref="I562:J562"/>
    <mergeCell ref="D563:E563"/>
    <mergeCell ref="I563:J563"/>
    <mergeCell ref="D564:E564"/>
    <mergeCell ref="I564:J564"/>
    <mergeCell ref="D559:E559"/>
    <mergeCell ref="I559:J559"/>
    <mergeCell ref="D560:E560"/>
    <mergeCell ref="I560:J560"/>
    <mergeCell ref="D561:E561"/>
    <mergeCell ref="I561:J561"/>
    <mergeCell ref="D556:E556"/>
    <mergeCell ref="I556:J556"/>
    <mergeCell ref="D557:E557"/>
    <mergeCell ref="I557:J557"/>
    <mergeCell ref="D558:E558"/>
    <mergeCell ref="I558:J558"/>
    <mergeCell ref="C553:E553"/>
    <mergeCell ref="H553:J553"/>
    <mergeCell ref="C554:E554"/>
    <mergeCell ref="H554:J554"/>
    <mergeCell ref="C555:E555"/>
    <mergeCell ref="H555:J555"/>
    <mergeCell ref="C550:E550"/>
    <mergeCell ref="H550:J550"/>
    <mergeCell ref="C551:E551"/>
    <mergeCell ref="H551:J551"/>
    <mergeCell ref="C552:E552"/>
    <mergeCell ref="H552:J552"/>
    <mergeCell ref="D533:E533"/>
    <mergeCell ref="I533:J533"/>
    <mergeCell ref="D534:E534"/>
    <mergeCell ref="I534:J534"/>
    <mergeCell ref="C549:E549"/>
    <mergeCell ref="H549:J549"/>
    <mergeCell ref="D530:E530"/>
    <mergeCell ref="I530:J530"/>
    <mergeCell ref="D531:E531"/>
    <mergeCell ref="I531:J531"/>
    <mergeCell ref="D532:E532"/>
    <mergeCell ref="I532:J532"/>
    <mergeCell ref="D513:E513"/>
    <mergeCell ref="I513:J513"/>
    <mergeCell ref="D528:E528"/>
    <mergeCell ref="I528:J528"/>
    <mergeCell ref="D529:E529"/>
    <mergeCell ref="I529:J529"/>
    <mergeCell ref="D510:E510"/>
    <mergeCell ref="I510:J510"/>
    <mergeCell ref="D511:E511"/>
    <mergeCell ref="I511:J511"/>
    <mergeCell ref="D512:E512"/>
    <mergeCell ref="I512:J512"/>
    <mergeCell ref="D507:E507"/>
    <mergeCell ref="I507:J507"/>
    <mergeCell ref="D508:E508"/>
    <mergeCell ref="I508:J508"/>
    <mergeCell ref="D509:E509"/>
    <mergeCell ref="I509:J509"/>
    <mergeCell ref="C504:E504"/>
    <mergeCell ref="H504:J504"/>
    <mergeCell ref="C505:E505"/>
    <mergeCell ref="H505:J505"/>
    <mergeCell ref="C506:E506"/>
    <mergeCell ref="H506:J506"/>
    <mergeCell ref="C501:E501"/>
    <mergeCell ref="H501:J501"/>
    <mergeCell ref="C502:E502"/>
    <mergeCell ref="H502:J502"/>
    <mergeCell ref="C503:E503"/>
    <mergeCell ref="H503:J503"/>
    <mergeCell ref="D497:E497"/>
    <mergeCell ref="I497:J497"/>
    <mergeCell ref="D498:E498"/>
    <mergeCell ref="I498:J498"/>
    <mergeCell ref="C500:E500"/>
    <mergeCell ref="H500:J500"/>
    <mergeCell ref="D494:E494"/>
    <mergeCell ref="I494:J494"/>
    <mergeCell ref="D495:E495"/>
    <mergeCell ref="I495:J495"/>
    <mergeCell ref="D496:E496"/>
    <mergeCell ref="I496:J496"/>
    <mergeCell ref="D491:E491"/>
    <mergeCell ref="I491:J491"/>
    <mergeCell ref="D492:E492"/>
    <mergeCell ref="I492:J492"/>
    <mergeCell ref="D493:E493"/>
    <mergeCell ref="I493:J493"/>
    <mergeCell ref="D488:E488"/>
    <mergeCell ref="I488:J488"/>
    <mergeCell ref="D489:E489"/>
    <mergeCell ref="I489:J489"/>
    <mergeCell ref="D490:E490"/>
    <mergeCell ref="I490:J490"/>
    <mergeCell ref="D485:E485"/>
    <mergeCell ref="I485:J485"/>
    <mergeCell ref="D486:E486"/>
    <mergeCell ref="I486:J486"/>
    <mergeCell ref="D487:E487"/>
    <mergeCell ref="I487:J487"/>
    <mergeCell ref="D482:E482"/>
    <mergeCell ref="I482:J482"/>
    <mergeCell ref="D483:E483"/>
    <mergeCell ref="I483:J483"/>
    <mergeCell ref="D484:E484"/>
    <mergeCell ref="I484:J484"/>
    <mergeCell ref="D479:E479"/>
    <mergeCell ref="I479:J479"/>
    <mergeCell ref="D480:E480"/>
    <mergeCell ref="I480:J480"/>
    <mergeCell ref="D481:E481"/>
    <mergeCell ref="I481:J481"/>
    <mergeCell ref="D476:E476"/>
    <mergeCell ref="I476:J476"/>
    <mergeCell ref="D477:E477"/>
    <mergeCell ref="I477:J477"/>
    <mergeCell ref="D478:E478"/>
    <mergeCell ref="I478:J478"/>
    <mergeCell ref="D473:E473"/>
    <mergeCell ref="I473:J473"/>
    <mergeCell ref="D474:E474"/>
    <mergeCell ref="I474:J474"/>
    <mergeCell ref="D475:E475"/>
    <mergeCell ref="I475:J475"/>
    <mergeCell ref="D470:E470"/>
    <mergeCell ref="I470:J470"/>
    <mergeCell ref="D471:E471"/>
    <mergeCell ref="I471:J471"/>
    <mergeCell ref="D472:E472"/>
    <mergeCell ref="I472:J472"/>
    <mergeCell ref="D467:E467"/>
    <mergeCell ref="I467:J467"/>
    <mergeCell ref="D468:E468"/>
    <mergeCell ref="I468:J468"/>
    <mergeCell ref="D469:E469"/>
    <mergeCell ref="I469:J469"/>
    <mergeCell ref="D464:E464"/>
    <mergeCell ref="I464:J464"/>
    <mergeCell ref="D465:E465"/>
    <mergeCell ref="I465:J465"/>
    <mergeCell ref="D466:E466"/>
    <mergeCell ref="I466:J466"/>
    <mergeCell ref="D461:E461"/>
    <mergeCell ref="I461:J461"/>
    <mergeCell ref="D462:E462"/>
    <mergeCell ref="I462:J462"/>
    <mergeCell ref="D463:E463"/>
    <mergeCell ref="I463:J463"/>
    <mergeCell ref="D458:E458"/>
    <mergeCell ref="I458:J458"/>
    <mergeCell ref="D459:E459"/>
    <mergeCell ref="I459:J459"/>
    <mergeCell ref="D460:E460"/>
    <mergeCell ref="I460:J460"/>
    <mergeCell ref="C455:E455"/>
    <mergeCell ref="H455:J455"/>
    <mergeCell ref="C456:E456"/>
    <mergeCell ref="H456:J456"/>
    <mergeCell ref="D457:E457"/>
    <mergeCell ref="I457:J457"/>
    <mergeCell ref="C452:E452"/>
    <mergeCell ref="H452:J452"/>
    <mergeCell ref="C453:E453"/>
    <mergeCell ref="H453:J453"/>
    <mergeCell ref="C454:E454"/>
    <mergeCell ref="H454:J454"/>
    <mergeCell ref="D449:E449"/>
    <mergeCell ref="I449:J449"/>
    <mergeCell ref="C450:E450"/>
    <mergeCell ref="H450:J450"/>
    <mergeCell ref="C451:E451"/>
    <mergeCell ref="H451:J451"/>
    <mergeCell ref="D446:E446"/>
    <mergeCell ref="I446:J446"/>
    <mergeCell ref="D447:E447"/>
    <mergeCell ref="I447:J447"/>
    <mergeCell ref="D448:E448"/>
    <mergeCell ref="I448:J448"/>
    <mergeCell ref="D443:E443"/>
    <mergeCell ref="I443:J443"/>
    <mergeCell ref="D444:E444"/>
    <mergeCell ref="I444:J444"/>
    <mergeCell ref="D445:E445"/>
    <mergeCell ref="I445:J445"/>
    <mergeCell ref="D440:E440"/>
    <mergeCell ref="I440:J440"/>
    <mergeCell ref="D441:E441"/>
    <mergeCell ref="I441:J441"/>
    <mergeCell ref="D442:E442"/>
    <mergeCell ref="I442:J442"/>
    <mergeCell ref="D437:E437"/>
    <mergeCell ref="I437:J437"/>
    <mergeCell ref="D438:E438"/>
    <mergeCell ref="I438:J438"/>
    <mergeCell ref="D439:E439"/>
    <mergeCell ref="I439:J439"/>
    <mergeCell ref="C434:E434"/>
    <mergeCell ref="H434:J434"/>
    <mergeCell ref="C435:E435"/>
    <mergeCell ref="H435:J435"/>
    <mergeCell ref="D436:E436"/>
    <mergeCell ref="I436:J436"/>
    <mergeCell ref="C431:E431"/>
    <mergeCell ref="H431:J431"/>
    <mergeCell ref="C432:E432"/>
    <mergeCell ref="H432:J432"/>
    <mergeCell ref="C433:E433"/>
    <mergeCell ref="H433:J433"/>
    <mergeCell ref="D428:E428"/>
    <mergeCell ref="I428:J428"/>
    <mergeCell ref="C429:E429"/>
    <mergeCell ref="H429:J429"/>
    <mergeCell ref="C430:E430"/>
    <mergeCell ref="H430:J430"/>
    <mergeCell ref="D425:E425"/>
    <mergeCell ref="I425:J425"/>
    <mergeCell ref="D426:E426"/>
    <mergeCell ref="I426:J426"/>
    <mergeCell ref="D427:E427"/>
    <mergeCell ref="I427:J427"/>
    <mergeCell ref="D422:E422"/>
    <mergeCell ref="I422:J422"/>
    <mergeCell ref="D423:E423"/>
    <mergeCell ref="I423:J423"/>
    <mergeCell ref="D424:E424"/>
    <mergeCell ref="I424:J424"/>
    <mergeCell ref="D419:E419"/>
    <mergeCell ref="I419:J419"/>
    <mergeCell ref="D420:E420"/>
    <mergeCell ref="I420:J420"/>
    <mergeCell ref="D421:E421"/>
    <mergeCell ref="I421:J421"/>
    <mergeCell ref="D416:E416"/>
    <mergeCell ref="I416:J416"/>
    <mergeCell ref="D417:E417"/>
    <mergeCell ref="I417:J417"/>
    <mergeCell ref="D418:E418"/>
    <mergeCell ref="I418:J418"/>
    <mergeCell ref="C413:E413"/>
    <mergeCell ref="H413:J413"/>
    <mergeCell ref="C414:E414"/>
    <mergeCell ref="H414:J414"/>
    <mergeCell ref="D415:E415"/>
    <mergeCell ref="I415:J415"/>
    <mergeCell ref="C410:E410"/>
    <mergeCell ref="H410:J410"/>
    <mergeCell ref="C411:E411"/>
    <mergeCell ref="H411:J411"/>
    <mergeCell ref="C412:E412"/>
    <mergeCell ref="H412:J412"/>
    <mergeCell ref="C407:E407"/>
    <mergeCell ref="H407:J407"/>
    <mergeCell ref="C408:E408"/>
    <mergeCell ref="H408:J408"/>
    <mergeCell ref="C409:E409"/>
    <mergeCell ref="H409:J409"/>
    <mergeCell ref="C404:E404"/>
    <mergeCell ref="H404:J404"/>
    <mergeCell ref="C405:E405"/>
    <mergeCell ref="H405:J405"/>
    <mergeCell ref="C406:E406"/>
    <mergeCell ref="H406:J406"/>
    <mergeCell ref="C401:E401"/>
    <mergeCell ref="H401:J401"/>
    <mergeCell ref="C402:E402"/>
    <mergeCell ref="H402:J402"/>
    <mergeCell ref="C403:E403"/>
    <mergeCell ref="H403:J403"/>
    <mergeCell ref="C398:E398"/>
    <mergeCell ref="H398:J398"/>
    <mergeCell ref="C399:E399"/>
    <mergeCell ref="H399:J399"/>
    <mergeCell ref="C400:E400"/>
    <mergeCell ref="H400:J400"/>
    <mergeCell ref="C395:E395"/>
    <mergeCell ref="H395:J395"/>
    <mergeCell ref="C396:E396"/>
    <mergeCell ref="H396:J396"/>
    <mergeCell ref="C397:E397"/>
    <mergeCell ref="H397:J397"/>
    <mergeCell ref="D392:E392"/>
    <mergeCell ref="I392:J392"/>
    <mergeCell ref="D393:E393"/>
    <mergeCell ref="I393:J393"/>
    <mergeCell ref="C394:E394"/>
    <mergeCell ref="H394:J394"/>
    <mergeCell ref="D389:E389"/>
    <mergeCell ref="I389:J389"/>
    <mergeCell ref="D390:E390"/>
    <mergeCell ref="I390:J390"/>
    <mergeCell ref="D391:E391"/>
    <mergeCell ref="I391:J391"/>
    <mergeCell ref="D386:E386"/>
    <mergeCell ref="I386:J386"/>
    <mergeCell ref="D387:E387"/>
    <mergeCell ref="I387:J387"/>
    <mergeCell ref="D388:E388"/>
    <mergeCell ref="I388:J388"/>
    <mergeCell ref="D383:E383"/>
    <mergeCell ref="I383:J383"/>
    <mergeCell ref="D384:E384"/>
    <mergeCell ref="I384:J384"/>
    <mergeCell ref="D385:E385"/>
    <mergeCell ref="I385:J385"/>
    <mergeCell ref="D380:E380"/>
    <mergeCell ref="I380:J380"/>
    <mergeCell ref="D381:E381"/>
    <mergeCell ref="I381:J381"/>
    <mergeCell ref="D382:E382"/>
    <mergeCell ref="I382:J382"/>
    <mergeCell ref="C377:E377"/>
    <mergeCell ref="H377:J377"/>
    <mergeCell ref="C378:E378"/>
    <mergeCell ref="H378:J378"/>
    <mergeCell ref="C379:E379"/>
    <mergeCell ref="H379:J379"/>
    <mergeCell ref="C374:E374"/>
    <mergeCell ref="H374:J374"/>
    <mergeCell ref="C375:E375"/>
    <mergeCell ref="H375:J375"/>
    <mergeCell ref="C376:E376"/>
    <mergeCell ref="H376:J376"/>
    <mergeCell ref="D371:E371"/>
    <mergeCell ref="I371:J371"/>
    <mergeCell ref="D372:E372"/>
    <mergeCell ref="I372:J372"/>
    <mergeCell ref="C373:E373"/>
    <mergeCell ref="H373:J373"/>
    <mergeCell ref="D368:E368"/>
    <mergeCell ref="I368:J368"/>
    <mergeCell ref="D369:E369"/>
    <mergeCell ref="I369:J369"/>
    <mergeCell ref="D370:E370"/>
    <mergeCell ref="I370:J370"/>
    <mergeCell ref="D365:E365"/>
    <mergeCell ref="I365:J365"/>
    <mergeCell ref="D366:E366"/>
    <mergeCell ref="I366:J366"/>
    <mergeCell ref="D367:E367"/>
    <mergeCell ref="I367:J367"/>
    <mergeCell ref="D362:E362"/>
    <mergeCell ref="I362:J362"/>
    <mergeCell ref="D363:E363"/>
    <mergeCell ref="I363:J363"/>
    <mergeCell ref="D364:E364"/>
    <mergeCell ref="I364:J364"/>
    <mergeCell ref="D359:E359"/>
    <mergeCell ref="I359:J359"/>
    <mergeCell ref="D360:E360"/>
    <mergeCell ref="I360:J360"/>
    <mergeCell ref="D361:E361"/>
    <mergeCell ref="I361:J361"/>
    <mergeCell ref="D356:E356"/>
    <mergeCell ref="I356:J356"/>
    <mergeCell ref="D357:E357"/>
    <mergeCell ref="I357:J357"/>
    <mergeCell ref="D358:E358"/>
    <mergeCell ref="I358:J358"/>
    <mergeCell ref="D353:E353"/>
    <mergeCell ref="I353:J353"/>
    <mergeCell ref="D354:E354"/>
    <mergeCell ref="I354:J354"/>
    <mergeCell ref="D355:E355"/>
    <mergeCell ref="I355:J355"/>
    <mergeCell ref="D350:E350"/>
    <mergeCell ref="I350:J350"/>
    <mergeCell ref="D351:E351"/>
    <mergeCell ref="I351:J351"/>
    <mergeCell ref="D352:E352"/>
    <mergeCell ref="I352:J352"/>
    <mergeCell ref="D347:E347"/>
    <mergeCell ref="I347:J347"/>
    <mergeCell ref="D348:E348"/>
    <mergeCell ref="I348:J348"/>
    <mergeCell ref="D349:E349"/>
    <mergeCell ref="I349:J349"/>
    <mergeCell ref="C344:E344"/>
    <mergeCell ref="H344:J344"/>
    <mergeCell ref="D345:E345"/>
    <mergeCell ref="I345:J345"/>
    <mergeCell ref="D346:E346"/>
    <mergeCell ref="I346:J346"/>
    <mergeCell ref="C341:E341"/>
    <mergeCell ref="H341:J341"/>
    <mergeCell ref="C342:E342"/>
    <mergeCell ref="H342:J342"/>
    <mergeCell ref="C343:E343"/>
    <mergeCell ref="H343:J343"/>
    <mergeCell ref="C338:E338"/>
    <mergeCell ref="H338:J338"/>
    <mergeCell ref="C339:E339"/>
    <mergeCell ref="H339:J339"/>
    <mergeCell ref="C340:E340"/>
    <mergeCell ref="H340:J340"/>
    <mergeCell ref="D334:E334"/>
    <mergeCell ref="I334:J334"/>
    <mergeCell ref="D335:E335"/>
    <mergeCell ref="I335:J335"/>
    <mergeCell ref="D336:E336"/>
    <mergeCell ref="I336:J336"/>
    <mergeCell ref="D331:E331"/>
    <mergeCell ref="I331:J331"/>
    <mergeCell ref="D332:E332"/>
    <mergeCell ref="I332:J332"/>
    <mergeCell ref="D333:E333"/>
    <mergeCell ref="I333:J333"/>
    <mergeCell ref="D328:E328"/>
    <mergeCell ref="I328:J328"/>
    <mergeCell ref="D329:E329"/>
    <mergeCell ref="I329:J329"/>
    <mergeCell ref="D330:E330"/>
    <mergeCell ref="I330:J330"/>
    <mergeCell ref="D325:E325"/>
    <mergeCell ref="I325:J325"/>
    <mergeCell ref="D326:E326"/>
    <mergeCell ref="I326:J326"/>
    <mergeCell ref="D327:E327"/>
    <mergeCell ref="I327:J327"/>
    <mergeCell ref="D322:E322"/>
    <mergeCell ref="I322:J322"/>
    <mergeCell ref="D323:E323"/>
    <mergeCell ref="I323:J323"/>
    <mergeCell ref="D324:E324"/>
    <mergeCell ref="I324:J324"/>
    <mergeCell ref="D319:E319"/>
    <mergeCell ref="I319:J319"/>
    <mergeCell ref="D320:E320"/>
    <mergeCell ref="I320:J320"/>
    <mergeCell ref="D321:E321"/>
    <mergeCell ref="I321:J321"/>
    <mergeCell ref="D316:E316"/>
    <mergeCell ref="I316:J316"/>
    <mergeCell ref="D317:E317"/>
    <mergeCell ref="I317:J317"/>
    <mergeCell ref="D318:E318"/>
    <mergeCell ref="I318:J318"/>
    <mergeCell ref="D313:E313"/>
    <mergeCell ref="I313:J313"/>
    <mergeCell ref="D314:E314"/>
    <mergeCell ref="I314:J314"/>
    <mergeCell ref="C315:E315"/>
    <mergeCell ref="H315:J315"/>
    <mergeCell ref="D310:E310"/>
    <mergeCell ref="I310:J310"/>
    <mergeCell ref="D311:E311"/>
    <mergeCell ref="I311:J311"/>
    <mergeCell ref="D312:E312"/>
    <mergeCell ref="I312:J312"/>
    <mergeCell ref="D307:E307"/>
    <mergeCell ref="I307:J307"/>
    <mergeCell ref="D308:E308"/>
    <mergeCell ref="I308:J308"/>
    <mergeCell ref="D309:E309"/>
    <mergeCell ref="I309:J309"/>
    <mergeCell ref="D304:E304"/>
    <mergeCell ref="I304:J304"/>
    <mergeCell ref="D305:E305"/>
    <mergeCell ref="I305:J305"/>
    <mergeCell ref="D306:E306"/>
    <mergeCell ref="I306:J306"/>
    <mergeCell ref="D301:E301"/>
    <mergeCell ref="I301:J301"/>
    <mergeCell ref="D302:E302"/>
    <mergeCell ref="I302:J302"/>
    <mergeCell ref="D303:E303"/>
    <mergeCell ref="I303:J303"/>
    <mergeCell ref="C298:E298"/>
    <mergeCell ref="H298:J298"/>
    <mergeCell ref="C299:E299"/>
    <mergeCell ref="H299:J299"/>
    <mergeCell ref="C300:E300"/>
    <mergeCell ref="H300:J300"/>
    <mergeCell ref="C295:E295"/>
    <mergeCell ref="H295:J295"/>
    <mergeCell ref="C296:E296"/>
    <mergeCell ref="H296:J296"/>
    <mergeCell ref="C297:E297"/>
    <mergeCell ref="H297:J297"/>
    <mergeCell ref="D292:E292"/>
    <mergeCell ref="I292:J292"/>
    <mergeCell ref="D293:E293"/>
    <mergeCell ref="I293:J293"/>
    <mergeCell ref="C294:E294"/>
    <mergeCell ref="H294:J294"/>
    <mergeCell ref="D289:E289"/>
    <mergeCell ref="I289:J289"/>
    <mergeCell ref="D290:E290"/>
    <mergeCell ref="I290:J290"/>
    <mergeCell ref="D291:E291"/>
    <mergeCell ref="I291:J291"/>
    <mergeCell ref="D286:E286"/>
    <mergeCell ref="I286:J286"/>
    <mergeCell ref="D287:E287"/>
    <mergeCell ref="I287:J287"/>
    <mergeCell ref="D288:E288"/>
    <mergeCell ref="I288:J288"/>
    <mergeCell ref="D283:E283"/>
    <mergeCell ref="I283:J283"/>
    <mergeCell ref="D284:E284"/>
    <mergeCell ref="I284:J284"/>
    <mergeCell ref="D285:E285"/>
    <mergeCell ref="I285:J285"/>
    <mergeCell ref="D280:E280"/>
    <mergeCell ref="I280:J280"/>
    <mergeCell ref="D281:E281"/>
    <mergeCell ref="I281:J281"/>
    <mergeCell ref="D282:E282"/>
    <mergeCell ref="I282:J282"/>
    <mergeCell ref="C277:E277"/>
    <mergeCell ref="H277:J277"/>
    <mergeCell ref="C278:E278"/>
    <mergeCell ref="H278:J278"/>
    <mergeCell ref="C279:E279"/>
    <mergeCell ref="H279:J279"/>
    <mergeCell ref="C274:E274"/>
    <mergeCell ref="H274:J274"/>
    <mergeCell ref="C275:E275"/>
    <mergeCell ref="H275:J275"/>
    <mergeCell ref="C276:E276"/>
    <mergeCell ref="H276:J276"/>
    <mergeCell ref="C271:E271"/>
    <mergeCell ref="H271:J271"/>
    <mergeCell ref="C272:E272"/>
    <mergeCell ref="H272:J272"/>
    <mergeCell ref="C273:E273"/>
    <mergeCell ref="H273:J273"/>
    <mergeCell ref="C268:E268"/>
    <mergeCell ref="H268:J268"/>
    <mergeCell ref="C269:E269"/>
    <mergeCell ref="H269:J269"/>
    <mergeCell ref="C270:E270"/>
    <mergeCell ref="H270:J270"/>
    <mergeCell ref="C265:E265"/>
    <mergeCell ref="H265:J265"/>
    <mergeCell ref="C266:E266"/>
    <mergeCell ref="H266:J266"/>
    <mergeCell ref="C267:E267"/>
    <mergeCell ref="H267:J267"/>
    <mergeCell ref="C262:E262"/>
    <mergeCell ref="H262:J262"/>
    <mergeCell ref="C263:E263"/>
    <mergeCell ref="H263:J263"/>
    <mergeCell ref="C264:E264"/>
    <mergeCell ref="H264:J264"/>
    <mergeCell ref="C259:E259"/>
    <mergeCell ref="H259:J259"/>
    <mergeCell ref="C260:E260"/>
    <mergeCell ref="H260:J260"/>
    <mergeCell ref="C261:E261"/>
    <mergeCell ref="H261:J261"/>
    <mergeCell ref="D256:E256"/>
    <mergeCell ref="I256:J256"/>
    <mergeCell ref="D257:E257"/>
    <mergeCell ref="I257:J257"/>
    <mergeCell ref="D258:E258"/>
    <mergeCell ref="I258:J258"/>
    <mergeCell ref="D253:E253"/>
    <mergeCell ref="I253:J253"/>
    <mergeCell ref="D254:E254"/>
    <mergeCell ref="I254:J254"/>
    <mergeCell ref="D255:E255"/>
    <mergeCell ref="I255:J255"/>
    <mergeCell ref="D250:E250"/>
    <mergeCell ref="I250:J250"/>
    <mergeCell ref="D251:E251"/>
    <mergeCell ref="I251:J251"/>
    <mergeCell ref="D252:E252"/>
    <mergeCell ref="I252:J252"/>
    <mergeCell ref="D247:E247"/>
    <mergeCell ref="I247:J247"/>
    <mergeCell ref="D248:E248"/>
    <mergeCell ref="I248:J248"/>
    <mergeCell ref="D249:E249"/>
    <mergeCell ref="I249:J249"/>
    <mergeCell ref="C244:E244"/>
    <mergeCell ref="H244:J244"/>
    <mergeCell ref="D245:E245"/>
    <mergeCell ref="I245:J245"/>
    <mergeCell ref="D246:E246"/>
    <mergeCell ref="I246:J246"/>
    <mergeCell ref="C241:E241"/>
    <mergeCell ref="H241:J241"/>
    <mergeCell ref="C242:E242"/>
    <mergeCell ref="H242:J242"/>
    <mergeCell ref="C243:E243"/>
    <mergeCell ref="H243:J243"/>
    <mergeCell ref="C238:E238"/>
    <mergeCell ref="H238:J238"/>
    <mergeCell ref="C239:E239"/>
    <mergeCell ref="H239:J239"/>
    <mergeCell ref="C240:E240"/>
    <mergeCell ref="H240:J240"/>
    <mergeCell ref="D235:E235"/>
    <mergeCell ref="I235:J235"/>
    <mergeCell ref="D236:E236"/>
    <mergeCell ref="I236:J236"/>
    <mergeCell ref="D237:E237"/>
    <mergeCell ref="I237:J237"/>
    <mergeCell ref="D232:E232"/>
    <mergeCell ref="I232:J232"/>
    <mergeCell ref="D233:E233"/>
    <mergeCell ref="I233:J233"/>
    <mergeCell ref="D234:E234"/>
    <mergeCell ref="I234:J234"/>
    <mergeCell ref="D229:E229"/>
    <mergeCell ref="I229:J229"/>
    <mergeCell ref="D230:E230"/>
    <mergeCell ref="I230:J230"/>
    <mergeCell ref="D231:E231"/>
    <mergeCell ref="I231:J231"/>
    <mergeCell ref="D226:E226"/>
    <mergeCell ref="I226:J226"/>
    <mergeCell ref="D227:E227"/>
    <mergeCell ref="I227:J227"/>
    <mergeCell ref="D228:E228"/>
    <mergeCell ref="I228:J228"/>
    <mergeCell ref="D223:E223"/>
    <mergeCell ref="I223:J223"/>
    <mergeCell ref="D224:E224"/>
    <mergeCell ref="I224:J224"/>
    <mergeCell ref="D225:E225"/>
    <mergeCell ref="I225:J225"/>
    <mergeCell ref="D220:E220"/>
    <mergeCell ref="I220:J220"/>
    <mergeCell ref="D221:E221"/>
    <mergeCell ref="I221:J221"/>
    <mergeCell ref="D222:E222"/>
    <mergeCell ref="I222:J222"/>
    <mergeCell ref="D217:E217"/>
    <mergeCell ref="I217:J217"/>
    <mergeCell ref="D218:E218"/>
    <mergeCell ref="I218:J218"/>
    <mergeCell ref="D219:E219"/>
    <mergeCell ref="I219:J219"/>
    <mergeCell ref="C214:E214"/>
    <mergeCell ref="H214:J214"/>
    <mergeCell ref="C215:E215"/>
    <mergeCell ref="H215:J215"/>
    <mergeCell ref="C216:E216"/>
    <mergeCell ref="H216:J216"/>
    <mergeCell ref="C211:E211"/>
    <mergeCell ref="H211:J211"/>
    <mergeCell ref="C212:E212"/>
    <mergeCell ref="H212:J212"/>
    <mergeCell ref="C213:E213"/>
    <mergeCell ref="H213:J213"/>
    <mergeCell ref="D208:E208"/>
    <mergeCell ref="I208:J208"/>
    <mergeCell ref="D209:E209"/>
    <mergeCell ref="I209:J209"/>
    <mergeCell ref="C210:E210"/>
    <mergeCell ref="H210:J210"/>
    <mergeCell ref="D205:E205"/>
    <mergeCell ref="I205:J205"/>
    <mergeCell ref="D206:E206"/>
    <mergeCell ref="I206:J206"/>
    <mergeCell ref="D207:E207"/>
    <mergeCell ref="I207:J207"/>
    <mergeCell ref="D202:E202"/>
    <mergeCell ref="I202:J202"/>
    <mergeCell ref="D203:E203"/>
    <mergeCell ref="I203:J203"/>
    <mergeCell ref="D204:E204"/>
    <mergeCell ref="I204:J204"/>
    <mergeCell ref="D199:E199"/>
    <mergeCell ref="I199:J199"/>
    <mergeCell ref="D200:E200"/>
    <mergeCell ref="I200:J200"/>
    <mergeCell ref="D201:E201"/>
    <mergeCell ref="I201:J201"/>
    <mergeCell ref="D196:E196"/>
    <mergeCell ref="I196:J196"/>
    <mergeCell ref="D197:E197"/>
    <mergeCell ref="I197:J197"/>
    <mergeCell ref="D198:E198"/>
    <mergeCell ref="I198:J198"/>
    <mergeCell ref="C193:E193"/>
    <mergeCell ref="H193:J193"/>
    <mergeCell ref="C194:E194"/>
    <mergeCell ref="H194:J194"/>
    <mergeCell ref="C195:E195"/>
    <mergeCell ref="H195:J195"/>
    <mergeCell ref="H189:J189"/>
    <mergeCell ref="C190:E190"/>
    <mergeCell ref="H190:J190"/>
    <mergeCell ref="C191:E191"/>
    <mergeCell ref="H191:J191"/>
    <mergeCell ref="C192:E192"/>
    <mergeCell ref="H192:J192"/>
    <mergeCell ref="D186:E186"/>
    <mergeCell ref="I186:J186"/>
    <mergeCell ref="D187:E187"/>
    <mergeCell ref="I187:J187"/>
    <mergeCell ref="D188:E188"/>
    <mergeCell ref="I188:J188"/>
    <mergeCell ref="D183:E183"/>
    <mergeCell ref="I183:J183"/>
    <mergeCell ref="D184:E184"/>
    <mergeCell ref="I184:J184"/>
    <mergeCell ref="D185:E185"/>
    <mergeCell ref="I185:J185"/>
    <mergeCell ref="D180:E180"/>
    <mergeCell ref="I180:J180"/>
    <mergeCell ref="D181:E181"/>
    <mergeCell ref="I181:J181"/>
    <mergeCell ref="D182:E182"/>
    <mergeCell ref="I182:J182"/>
    <mergeCell ref="D177:E177"/>
    <mergeCell ref="I177:J177"/>
    <mergeCell ref="D178:E178"/>
    <mergeCell ref="I178:J178"/>
    <mergeCell ref="D179:E179"/>
    <mergeCell ref="I179:J179"/>
    <mergeCell ref="C174:E174"/>
    <mergeCell ref="H174:J174"/>
    <mergeCell ref="D175:E175"/>
    <mergeCell ref="I175:J175"/>
    <mergeCell ref="D176:E176"/>
    <mergeCell ref="I176:J176"/>
    <mergeCell ref="C171:E171"/>
    <mergeCell ref="H171:J171"/>
    <mergeCell ref="C172:E172"/>
    <mergeCell ref="H172:J172"/>
    <mergeCell ref="C173:E173"/>
    <mergeCell ref="H173:J173"/>
    <mergeCell ref="C168:E168"/>
    <mergeCell ref="H168:J168"/>
    <mergeCell ref="C169:E169"/>
    <mergeCell ref="H169:J169"/>
    <mergeCell ref="C170:E170"/>
    <mergeCell ref="H170:J170"/>
    <mergeCell ref="D165:E165"/>
    <mergeCell ref="I165:J165"/>
    <mergeCell ref="D166:E166"/>
    <mergeCell ref="I166:J166"/>
    <mergeCell ref="D167:E167"/>
    <mergeCell ref="I167:J167"/>
    <mergeCell ref="D162:E162"/>
    <mergeCell ref="I162:J162"/>
    <mergeCell ref="D163:E163"/>
    <mergeCell ref="I163:J163"/>
    <mergeCell ref="D164:E164"/>
    <mergeCell ref="I164:J164"/>
    <mergeCell ref="D159:E159"/>
    <mergeCell ref="I159:J159"/>
    <mergeCell ref="D160:E160"/>
    <mergeCell ref="I160:J160"/>
    <mergeCell ref="D161:E161"/>
    <mergeCell ref="I161:J161"/>
    <mergeCell ref="D156:E156"/>
    <mergeCell ref="I156:J156"/>
    <mergeCell ref="D157:E157"/>
    <mergeCell ref="I157:J157"/>
    <mergeCell ref="D158:E158"/>
    <mergeCell ref="I158:J158"/>
    <mergeCell ref="C153:E153"/>
    <mergeCell ref="H153:J153"/>
    <mergeCell ref="D154:E154"/>
    <mergeCell ref="I154:J154"/>
    <mergeCell ref="D155:E155"/>
    <mergeCell ref="I155:J155"/>
    <mergeCell ref="C150:E150"/>
    <mergeCell ref="H150:J150"/>
    <mergeCell ref="C151:E151"/>
    <mergeCell ref="H151:J151"/>
    <mergeCell ref="C152:E152"/>
    <mergeCell ref="H152:J152"/>
    <mergeCell ref="C147:E147"/>
    <mergeCell ref="H147:J147"/>
    <mergeCell ref="C148:E148"/>
    <mergeCell ref="H148:J148"/>
    <mergeCell ref="C149:E149"/>
    <mergeCell ref="H149:J149"/>
    <mergeCell ref="D143:E143"/>
    <mergeCell ref="I143:J143"/>
    <mergeCell ref="D144:E144"/>
    <mergeCell ref="I144:J144"/>
    <mergeCell ref="D145:E145"/>
    <mergeCell ref="I145:J145"/>
    <mergeCell ref="D140:E140"/>
    <mergeCell ref="I140:J140"/>
    <mergeCell ref="D141:E141"/>
    <mergeCell ref="I141:J141"/>
    <mergeCell ref="D142:E142"/>
    <mergeCell ref="I142:J142"/>
    <mergeCell ref="D137:E137"/>
    <mergeCell ref="I137:J137"/>
    <mergeCell ref="D138:E138"/>
    <mergeCell ref="I138:J138"/>
    <mergeCell ref="D139:E139"/>
    <mergeCell ref="I139:J139"/>
    <mergeCell ref="D134:E134"/>
    <mergeCell ref="I134:J134"/>
    <mergeCell ref="D135:E135"/>
    <mergeCell ref="I135:J135"/>
    <mergeCell ref="D136:E136"/>
    <mergeCell ref="I136:J136"/>
    <mergeCell ref="I130:J130"/>
    <mergeCell ref="I131:J131"/>
    <mergeCell ref="D132:E132"/>
    <mergeCell ref="I132:J132"/>
    <mergeCell ref="D133:E133"/>
    <mergeCell ref="I133:J133"/>
    <mergeCell ref="C125:E125"/>
    <mergeCell ref="I125:J125"/>
    <mergeCell ref="I126:J126"/>
    <mergeCell ref="I127:J127"/>
    <mergeCell ref="I128:J128"/>
    <mergeCell ref="I129:J129"/>
    <mergeCell ref="C122:E122"/>
    <mergeCell ref="H122:J122"/>
    <mergeCell ref="C123:E123"/>
    <mergeCell ref="H123:J123"/>
    <mergeCell ref="C124:E124"/>
    <mergeCell ref="H124:J124"/>
    <mergeCell ref="C119:E119"/>
    <mergeCell ref="H119:J119"/>
    <mergeCell ref="C120:E120"/>
    <mergeCell ref="H120:J120"/>
    <mergeCell ref="C121:E121"/>
    <mergeCell ref="H121:J121"/>
    <mergeCell ref="D116:E116"/>
    <mergeCell ref="I116:J116"/>
    <mergeCell ref="D117:E117"/>
    <mergeCell ref="I117:J117"/>
    <mergeCell ref="C118:E118"/>
    <mergeCell ref="H118:J118"/>
    <mergeCell ref="D112:E112"/>
    <mergeCell ref="D113:E113"/>
    <mergeCell ref="I113:J113"/>
    <mergeCell ref="D114:E114"/>
    <mergeCell ref="I114:J114"/>
    <mergeCell ref="D115:E115"/>
    <mergeCell ref="I115:J115"/>
    <mergeCell ref="D109:E109"/>
    <mergeCell ref="I109:J109"/>
    <mergeCell ref="D110:E110"/>
    <mergeCell ref="I110:J110"/>
    <mergeCell ref="D111:E111"/>
    <mergeCell ref="I111:J111"/>
    <mergeCell ref="D106:E106"/>
    <mergeCell ref="I106:J106"/>
    <mergeCell ref="D107:E107"/>
    <mergeCell ref="I107:J107"/>
    <mergeCell ref="D108:E108"/>
    <mergeCell ref="I108:J108"/>
    <mergeCell ref="C103:E103"/>
    <mergeCell ref="H103:J103"/>
    <mergeCell ref="D104:E104"/>
    <mergeCell ref="I104:J104"/>
    <mergeCell ref="D105:E105"/>
    <mergeCell ref="I105:J105"/>
    <mergeCell ref="C100:E100"/>
    <mergeCell ref="H100:J100"/>
    <mergeCell ref="C101:E101"/>
    <mergeCell ref="H101:J101"/>
    <mergeCell ref="C102:E102"/>
    <mergeCell ref="H102:J102"/>
    <mergeCell ref="C97:E97"/>
    <mergeCell ref="H97:J97"/>
    <mergeCell ref="C98:E98"/>
    <mergeCell ref="H98:J98"/>
    <mergeCell ref="C99:E99"/>
    <mergeCell ref="H99:J99"/>
    <mergeCell ref="D94:E94"/>
    <mergeCell ref="I94:J94"/>
    <mergeCell ref="D95:E95"/>
    <mergeCell ref="I95:J95"/>
    <mergeCell ref="D96:E96"/>
    <mergeCell ref="I96:J96"/>
    <mergeCell ref="D90:E90"/>
    <mergeCell ref="D91:E91"/>
    <mergeCell ref="I91:J91"/>
    <mergeCell ref="D92:E92"/>
    <mergeCell ref="I92:J92"/>
    <mergeCell ref="D93:E93"/>
    <mergeCell ref="I93:J93"/>
    <mergeCell ref="D87:E87"/>
    <mergeCell ref="I87:J87"/>
    <mergeCell ref="D88:E88"/>
    <mergeCell ref="I88:J88"/>
    <mergeCell ref="D89:E89"/>
    <mergeCell ref="I89:J89"/>
    <mergeCell ref="D84:E84"/>
    <mergeCell ref="I84:J84"/>
    <mergeCell ref="D85:E85"/>
    <mergeCell ref="I85:J85"/>
    <mergeCell ref="D86:E86"/>
    <mergeCell ref="I86:J86"/>
    <mergeCell ref="C81:E81"/>
    <mergeCell ref="H81:J81"/>
    <mergeCell ref="C82:E82"/>
    <mergeCell ref="H82:J82"/>
    <mergeCell ref="D83:E83"/>
    <mergeCell ref="I83:J83"/>
    <mergeCell ref="C78:E78"/>
    <mergeCell ref="H78:J78"/>
    <mergeCell ref="C79:E79"/>
    <mergeCell ref="H79:J79"/>
    <mergeCell ref="C80:E80"/>
    <mergeCell ref="H80:J80"/>
    <mergeCell ref="D73:E73"/>
    <mergeCell ref="I73:J73"/>
    <mergeCell ref="C76:E76"/>
    <mergeCell ref="H76:J76"/>
    <mergeCell ref="C77:E77"/>
    <mergeCell ref="H77:J77"/>
    <mergeCell ref="D70:E70"/>
    <mergeCell ref="I70:J70"/>
    <mergeCell ref="D71:E71"/>
    <mergeCell ref="I71:J71"/>
    <mergeCell ref="D72:E72"/>
    <mergeCell ref="I72:J72"/>
    <mergeCell ref="D67:E67"/>
    <mergeCell ref="I67:J67"/>
    <mergeCell ref="D68:E68"/>
    <mergeCell ref="I68:J68"/>
    <mergeCell ref="D69:E69"/>
    <mergeCell ref="I69:J69"/>
    <mergeCell ref="D64:E64"/>
    <mergeCell ref="I64:J64"/>
    <mergeCell ref="D65:E65"/>
    <mergeCell ref="I65:J65"/>
    <mergeCell ref="D66:E66"/>
    <mergeCell ref="I66:J66"/>
    <mergeCell ref="D61:E61"/>
    <mergeCell ref="I61:J61"/>
    <mergeCell ref="D62:E62"/>
    <mergeCell ref="I62:J62"/>
    <mergeCell ref="D63:E63"/>
    <mergeCell ref="I63:J63"/>
    <mergeCell ref="D57:E57"/>
    <mergeCell ref="I57:J57"/>
    <mergeCell ref="D58:E58"/>
    <mergeCell ref="I58:J58"/>
    <mergeCell ref="D60:E60"/>
    <mergeCell ref="I60:J60"/>
    <mergeCell ref="D54:E54"/>
    <mergeCell ref="I54:J54"/>
    <mergeCell ref="D55:E55"/>
    <mergeCell ref="I55:J55"/>
    <mergeCell ref="D56:E56"/>
    <mergeCell ref="I56:J56"/>
    <mergeCell ref="D51:E51"/>
    <mergeCell ref="I51:J51"/>
    <mergeCell ref="D52:E52"/>
    <mergeCell ref="I52:J52"/>
    <mergeCell ref="D53:E53"/>
    <mergeCell ref="I53:J53"/>
    <mergeCell ref="D48:E48"/>
    <mergeCell ref="I48:J48"/>
    <mergeCell ref="D49:E49"/>
    <mergeCell ref="I49:J49"/>
    <mergeCell ref="D50:E50"/>
    <mergeCell ref="I50:J50"/>
    <mergeCell ref="D45:E45"/>
    <mergeCell ref="I45:J45"/>
    <mergeCell ref="D46:E46"/>
    <mergeCell ref="I46:J46"/>
    <mergeCell ref="D47:E47"/>
    <mergeCell ref="I47:J47"/>
    <mergeCell ref="D42:E42"/>
    <mergeCell ref="I42:J42"/>
    <mergeCell ref="D43:E43"/>
    <mergeCell ref="I43:J43"/>
    <mergeCell ref="D44:E44"/>
    <mergeCell ref="I44:J44"/>
    <mergeCell ref="D39:E39"/>
    <mergeCell ref="I39:J39"/>
    <mergeCell ref="D40:E40"/>
    <mergeCell ref="I40:J40"/>
    <mergeCell ref="D41:E41"/>
    <mergeCell ref="I41:J41"/>
    <mergeCell ref="D36:E36"/>
    <mergeCell ref="I36:J36"/>
    <mergeCell ref="C37:F37"/>
    <mergeCell ref="H37:J37"/>
    <mergeCell ref="D38:E38"/>
    <mergeCell ref="I38:J38"/>
    <mergeCell ref="D33:E33"/>
    <mergeCell ref="I33:J33"/>
    <mergeCell ref="D34:E34"/>
    <mergeCell ref="I34:J34"/>
    <mergeCell ref="D35:E35"/>
    <mergeCell ref="I35:J35"/>
    <mergeCell ref="D30:E30"/>
    <mergeCell ref="I30:J30"/>
    <mergeCell ref="D31:E31"/>
    <mergeCell ref="I31:J31"/>
    <mergeCell ref="D32:E32"/>
    <mergeCell ref="I32:J32"/>
    <mergeCell ref="D27:E27"/>
    <mergeCell ref="I27:J27"/>
    <mergeCell ref="D28:E28"/>
    <mergeCell ref="I28:J28"/>
    <mergeCell ref="D29:E29"/>
    <mergeCell ref="I29:J29"/>
    <mergeCell ref="D24:E24"/>
    <mergeCell ref="I24:J24"/>
    <mergeCell ref="D25:E25"/>
    <mergeCell ref="I25:J25"/>
    <mergeCell ref="D26:E26"/>
    <mergeCell ref="I26:J26"/>
    <mergeCell ref="D21:E21"/>
    <mergeCell ref="I21:J21"/>
    <mergeCell ref="D22:E22"/>
    <mergeCell ref="I22:J22"/>
    <mergeCell ref="D23:E23"/>
    <mergeCell ref="I23:J23"/>
    <mergeCell ref="D18:E18"/>
    <mergeCell ref="I18:J18"/>
    <mergeCell ref="D19:E19"/>
    <mergeCell ref="I19:J19"/>
    <mergeCell ref="D20:E20"/>
    <mergeCell ref="I20:J20"/>
    <mergeCell ref="W12:W13"/>
    <mergeCell ref="X12:X13"/>
    <mergeCell ref="Z12:AB12"/>
    <mergeCell ref="D16:E16"/>
    <mergeCell ref="I16:J16"/>
    <mergeCell ref="D17:E17"/>
    <mergeCell ref="I17:J17"/>
    <mergeCell ref="B12:F12"/>
    <mergeCell ref="G12:J12"/>
    <mergeCell ref="L12:P12"/>
    <mergeCell ref="T12:T13"/>
    <mergeCell ref="U12:U13"/>
    <mergeCell ref="V12:V13"/>
  </mergeCells>
  <phoneticPr fontId="3" type="noConversion"/>
  <conditionalFormatting sqref="L16 N16 P16">
    <cfRule type="cellIs" dxfId="89" priority="10" operator="equal">
      <formula>"미취합법인有"</formula>
    </cfRule>
  </conditionalFormatting>
  <conditionalFormatting sqref="L23 N23 P23">
    <cfRule type="cellIs" dxfId="88" priority="75" operator="equal">
      <formula>"미취합법인有"</formula>
    </cfRule>
  </conditionalFormatting>
  <conditionalFormatting sqref="L30">
    <cfRule type="cellIs" dxfId="87" priority="8" operator="equal">
      <formula>"미취합법인有"</formula>
    </cfRule>
  </conditionalFormatting>
  <conditionalFormatting sqref="L38">
    <cfRule type="cellIs" dxfId="86" priority="15" operator="equal">
      <formula>"미취합법인有"</formula>
    </cfRule>
  </conditionalFormatting>
  <conditionalFormatting sqref="L45">
    <cfRule type="cellIs" dxfId="85" priority="13" operator="equal">
      <formula>"미취합법인有"</formula>
    </cfRule>
  </conditionalFormatting>
  <conditionalFormatting sqref="L52">
    <cfRule type="cellIs" dxfId="84" priority="11" operator="equal">
      <formula>"미취합법인有"</formula>
    </cfRule>
  </conditionalFormatting>
  <conditionalFormatting sqref="L60 N60 P60">
    <cfRule type="cellIs" dxfId="83" priority="23" operator="equal">
      <formula>"미취합법인有"</formula>
    </cfRule>
  </conditionalFormatting>
  <conditionalFormatting sqref="L67 N67 P67">
    <cfRule type="cellIs" dxfId="82" priority="22" operator="equal">
      <formula>"미취합법인有"</formula>
    </cfRule>
  </conditionalFormatting>
  <conditionalFormatting sqref="L76 N76 P76">
    <cfRule type="cellIs" dxfId="81" priority="69" operator="equal">
      <formula>"미취합법인有"</formula>
    </cfRule>
  </conditionalFormatting>
  <conditionalFormatting sqref="L83 N83 P83">
    <cfRule type="cellIs" dxfId="80" priority="68" operator="equal">
      <formula>"미취합법인有"</formula>
    </cfRule>
  </conditionalFormatting>
  <conditionalFormatting sqref="L90 N90 P90 L97 N97 P97 L104 N104 P104 L111 N111 P111 L118 N118 P118">
    <cfRule type="cellIs" dxfId="79" priority="67" operator="equal">
      <formula>"미취합법인有"</formula>
    </cfRule>
  </conditionalFormatting>
  <conditionalFormatting sqref="L125 N125 P125 L132 N132 P132 L139 N139 P139 L147 N147 P147 L154 N154 P154 L161 N161 P161 L168 N168 P168 L175 N175 P175 L182 N182 P182 L189 N189 P189 L196 N196 P196 L203 N203 P203 L210 N210 P210 L217 N217 P217 L224 N224 P224 L231 N231 P231 L238 N238 P238">
    <cfRule type="cellIs" dxfId="78" priority="66" operator="equal">
      <formula>"미취합법인有"</formula>
    </cfRule>
  </conditionalFormatting>
  <conditionalFormatting sqref="L245 N245 P245">
    <cfRule type="cellIs" dxfId="77" priority="73" operator="equal">
      <formula>"미취합법인有"</formula>
    </cfRule>
  </conditionalFormatting>
  <conditionalFormatting sqref="L252 N252 P252">
    <cfRule type="cellIs" dxfId="76" priority="72" operator="equal">
      <formula>"미취합법인有"</formula>
    </cfRule>
  </conditionalFormatting>
  <conditionalFormatting sqref="L259 N259 P259">
    <cfRule type="cellIs" dxfId="75" priority="71" operator="equal">
      <formula>"미취합법인有"</formula>
    </cfRule>
  </conditionalFormatting>
  <conditionalFormatting sqref="L266 N266 P266">
    <cfRule type="cellIs" dxfId="74" priority="70" operator="equal">
      <formula>"미취합법인有"</formula>
    </cfRule>
  </conditionalFormatting>
  <conditionalFormatting sqref="L273 N273 P273 L280 N280 P280 L287 N287 P287 L294 N294 P294 L301 N301 P301 L308 N308 P308 L316 N316 P316 L323 N323 P323 L330 N330 P330">
    <cfRule type="cellIs" dxfId="73" priority="65" operator="equal">
      <formula>"미취합법인有"</formula>
    </cfRule>
  </conditionalFormatting>
  <conditionalFormatting sqref="L338 N338 P338">
    <cfRule type="cellIs" dxfId="72" priority="17" operator="equal">
      <formula>"미취합법인有"</formula>
    </cfRule>
  </conditionalFormatting>
  <conditionalFormatting sqref="L345 N345 P345">
    <cfRule type="cellIs" dxfId="71" priority="18" operator="equal">
      <formula>"미취합법인有"</formula>
    </cfRule>
  </conditionalFormatting>
  <conditionalFormatting sqref="L352 N352 P352 L359 N359 P359 L366 N366 P366 L373 N373 P373 L380 N380 P380 L387 N387 P387 L394 N394 P394 L401 N401 P401 L408 N408 P408 L415 N415 P415 L422 N422 P422 L429 N429 P429 L436 N436 P436 L443 N443 P443 L450 N450 P450 L457 N457 P457 L464 N464 P464 L471 N471 P471 L478 N478 P478 L485 N485 P485 L492 N492 P492">
    <cfRule type="cellIs" dxfId="70" priority="64" operator="equal">
      <formula>"미취합법인有"</formula>
    </cfRule>
  </conditionalFormatting>
  <conditionalFormatting sqref="L500 N500 P500 L507 N507 P507 L514 N514 P514 L521 N521 P521 L528 N528 P528 L535 N535 P535 L542 N542 P542 L549 N549 P549 L556 N556 P556 L563 N563 P563 L570 N570 P570 L577 N577 P577 L584 N584 P584 L591 N591 P591 L598 N598 P598 L605 N605 P605 L612 N612 P612 L619 N619 P619 L626 N626 P626 L633 N633 P633 L641 N641 P641">
    <cfRule type="cellIs" dxfId="69" priority="63" operator="equal">
      <formula>"미취합법인有"</formula>
    </cfRule>
  </conditionalFormatting>
  <conditionalFormatting sqref="L648 N648 P648 L655 N655 P655 L662 N662 P662 L669 N669 P669 L676 N676 P676 L683 N683 P683 L690 N690 P690 L697 N697 P697 L705 N705 P705 L712 N712 P712 L719 N719 P719 L726 N726 P726 L733 N733 P733 L740 N740 P740 L747 N747 P747 L754 N754 P754 L761 N761 P761 L768 N768 P768 L775 N775 P775 L782 N782 P782 L789 N789 P789 L796 N796 P796 L803 N803 P803 L810 N810 P810 L817 N817 P817 L824 N824 P824 L831 N831 P831 L838 N838 P838 L845 N845 P845 L852 N852 P852 L859 N859 P859">
    <cfRule type="cellIs" dxfId="68" priority="62" operator="equal">
      <formula>"미취합법인有"</formula>
    </cfRule>
  </conditionalFormatting>
  <conditionalFormatting sqref="L866 N866 P866 L873 N873 P873 L882 N882 P882 L889 N889 P889 L896 N896 P896 L903 N903 P903 N911 P911 L918 N918 P918 L926 N926 P926 L1007 N1007 P1007 L1014 N1014 P1014">
    <cfRule type="cellIs" dxfId="67" priority="61" operator="equal">
      <formula>"미취합법인有"</formula>
    </cfRule>
  </conditionalFormatting>
  <conditionalFormatting sqref="L933 N933 P933">
    <cfRule type="cellIs" dxfId="66" priority="56" operator="equal">
      <formula>"미취합법인有"</formula>
    </cfRule>
  </conditionalFormatting>
  <conditionalFormatting sqref="L941 N941 P941">
    <cfRule type="cellIs" dxfId="65" priority="55" operator="equal">
      <formula>"미취합법인有"</formula>
    </cfRule>
  </conditionalFormatting>
  <conditionalFormatting sqref="L948 N948 P948">
    <cfRule type="cellIs" dxfId="64" priority="54" operator="equal">
      <formula>"미취합법인有"</formula>
    </cfRule>
  </conditionalFormatting>
  <conditionalFormatting sqref="L955 N955 P955">
    <cfRule type="cellIs" dxfId="63" priority="52" operator="equal">
      <formula>"미취합법인有"</formula>
    </cfRule>
  </conditionalFormatting>
  <conditionalFormatting sqref="L963 N963 P963 L970 N970 P970 L977 N977 P977 L985 N985 P985 L992 N992 P992 L999 N999 P999 L1021 N1021 P1021 L1078 N1078 P1078 L1085 N1085 P1085 L1092 N1092 P1092 L1106 N1106 P1106 L1113 N1113 P1113 L1120 N1120 P1120 L1134 N1134 P1134 L1141 N1141 P1141 L1154 N1154 P1154 L1162 N1162 P1162 L1169 N1169 P1169 L1176 N1176 P1176 L1394 N1394 P1394 L1495 N1495 P1495 L1502 N1502 P1502 L1509 N1509 P1509 L1523 N1523 P1523 L1530 N1530 P1530 L1544 N1544 P1544 L1551 N1551 P1551">
    <cfRule type="cellIs" dxfId="62" priority="60" operator="equal">
      <formula>"미취합법인有"</formula>
    </cfRule>
  </conditionalFormatting>
  <conditionalFormatting sqref="L1190 N1190 P1190">
    <cfRule type="cellIs" dxfId="61" priority="49" operator="equal">
      <formula>"미취합법인有"</formula>
    </cfRule>
  </conditionalFormatting>
  <conditionalFormatting sqref="L1197 N1197 P1197">
    <cfRule type="cellIs" dxfId="60" priority="48" operator="equal">
      <formula>"미취합법인有"</formula>
    </cfRule>
  </conditionalFormatting>
  <conditionalFormatting sqref="L1204 N1204 P1204">
    <cfRule type="cellIs" dxfId="59" priority="47" operator="equal">
      <formula>"미취합법인有"</formula>
    </cfRule>
  </conditionalFormatting>
  <conditionalFormatting sqref="L1212 N1212 P1212">
    <cfRule type="cellIs" dxfId="58" priority="51" operator="equal">
      <formula>"미취합법인有"</formula>
    </cfRule>
  </conditionalFormatting>
  <conditionalFormatting sqref="L1219 N1219 P1219">
    <cfRule type="cellIs" dxfId="57" priority="50" operator="equal">
      <formula>"미취합법인有"</formula>
    </cfRule>
  </conditionalFormatting>
  <conditionalFormatting sqref="L1227 N1227 P1227">
    <cfRule type="cellIs" dxfId="56" priority="44" operator="equal">
      <formula>"미취합법인有"</formula>
    </cfRule>
  </conditionalFormatting>
  <conditionalFormatting sqref="L1234 N1234 P1234">
    <cfRule type="cellIs" dxfId="55" priority="43" operator="equal">
      <formula>"미취합법인有"</formula>
    </cfRule>
  </conditionalFormatting>
  <conditionalFormatting sqref="L1241 N1241 P1241">
    <cfRule type="cellIs" dxfId="54" priority="42" operator="equal">
      <formula>"미취합법인有"</formula>
    </cfRule>
  </conditionalFormatting>
  <conditionalFormatting sqref="L1249 N1249 P1249">
    <cfRule type="cellIs" dxfId="53" priority="46" operator="equal">
      <formula>"미취합법인有"</formula>
    </cfRule>
  </conditionalFormatting>
  <conditionalFormatting sqref="L1256 N1256 P1256">
    <cfRule type="cellIs" dxfId="52" priority="45" operator="equal">
      <formula>"미취합법인有"</formula>
    </cfRule>
  </conditionalFormatting>
  <conditionalFormatting sqref="L1264 N1264 P1264">
    <cfRule type="cellIs" dxfId="51" priority="5" operator="equal">
      <formula>"미취합법인有"</formula>
    </cfRule>
  </conditionalFormatting>
  <conditionalFormatting sqref="L1271 N1271 P1271">
    <cfRule type="cellIs" dxfId="50" priority="4" operator="equal">
      <formula>"미취합법인有"</formula>
    </cfRule>
  </conditionalFormatting>
  <conditionalFormatting sqref="L1278 N1278 P1278">
    <cfRule type="cellIs" dxfId="49" priority="3" operator="equal">
      <formula>"미취합법인有"</formula>
    </cfRule>
  </conditionalFormatting>
  <conditionalFormatting sqref="L1286 N1286 P1286">
    <cfRule type="cellIs" dxfId="48" priority="7" operator="equal">
      <formula>"미취합법인有"</formula>
    </cfRule>
  </conditionalFormatting>
  <conditionalFormatting sqref="L1293 N1293 P1293">
    <cfRule type="cellIs" dxfId="47" priority="6" operator="equal">
      <formula>"미취합법인有"</formula>
    </cfRule>
  </conditionalFormatting>
  <conditionalFormatting sqref="L1302 N1302 P1302 L1305 N1305 P1305 L1309 N1309 P1309 L1312 N1312 P1312 L1341 N1341 P1341 L1348 N1348 P1348 L1355 N1355 P1355 L1362 N1362 P1362 L1369 N1369 P1369 L1376 N1376 P1376 L1379 N1379 P1379 L1382 N1382 P1382 L1565 N1565 P1565 L1572 N1572 P1572">
    <cfRule type="cellIs" dxfId="46" priority="59" operator="equal">
      <formula>"미취합법인有"</formula>
    </cfRule>
  </conditionalFormatting>
  <conditionalFormatting sqref="L1316 N1316 P1316">
    <cfRule type="cellIs" dxfId="45" priority="1" operator="equal">
      <formula>"미취합법인有"</formula>
    </cfRule>
  </conditionalFormatting>
  <conditionalFormatting sqref="L1319 N1319 P1319">
    <cfRule type="cellIs" dxfId="44" priority="2" operator="equal">
      <formula>"미취합법인有"</formula>
    </cfRule>
  </conditionalFormatting>
  <conditionalFormatting sqref="L1322 N1322 P1322">
    <cfRule type="cellIs" dxfId="43" priority="34" operator="equal">
      <formula>"미취합법인有"</formula>
    </cfRule>
  </conditionalFormatting>
  <conditionalFormatting sqref="L1326 N1326 P1326 L1333 N1333 P1333 L1423 N1423 P1423 L1430 N1430 P1430 L1466 P1466 L1473 N1473 P1473">
    <cfRule type="cellIs" dxfId="42" priority="58" operator="equal">
      <formula>"미취합법인有"</formula>
    </cfRule>
  </conditionalFormatting>
  <conditionalFormatting sqref="L1387 N1387 P1387">
    <cfRule type="cellIs" dxfId="41" priority="37" operator="equal">
      <formula>"미취합법인有"</formula>
    </cfRule>
  </conditionalFormatting>
  <conditionalFormatting sqref="L1401 N1401 P1401">
    <cfRule type="cellIs" dxfId="40" priority="38" operator="equal">
      <formula>"미취합법인有"</formula>
    </cfRule>
  </conditionalFormatting>
  <conditionalFormatting sqref="L1408 N1408 P1408">
    <cfRule type="cellIs" dxfId="39" priority="36" operator="equal">
      <formula>"미취합법인有"</formula>
    </cfRule>
  </conditionalFormatting>
  <conditionalFormatting sqref="L1415 N1415 P1415">
    <cfRule type="cellIs" dxfId="38" priority="35" operator="equal">
      <formula>"미취합법인有"</formula>
    </cfRule>
  </conditionalFormatting>
  <conditionalFormatting sqref="L1438 N1438 P1438">
    <cfRule type="cellIs" dxfId="37" priority="33" operator="equal">
      <formula>"미취합법인有"</formula>
    </cfRule>
  </conditionalFormatting>
  <conditionalFormatting sqref="L1445 N1445 P1445">
    <cfRule type="cellIs" dxfId="36" priority="32" operator="equal">
      <formula>"미취합법인有"</formula>
    </cfRule>
  </conditionalFormatting>
  <conditionalFormatting sqref="L1452 N1452 P1452">
    <cfRule type="cellIs" dxfId="35" priority="31" operator="equal">
      <formula>"미취합법인有"</formula>
    </cfRule>
  </conditionalFormatting>
  <conditionalFormatting sqref="L1459 N1459 P1459">
    <cfRule type="cellIs" dxfId="34" priority="30" operator="equal">
      <formula>"미취합법인有"</formula>
    </cfRule>
  </conditionalFormatting>
  <conditionalFormatting sqref="L1480 N1480 P1480">
    <cfRule type="cellIs" dxfId="33" priority="29" operator="equal">
      <formula>"미취합법인有"</formula>
    </cfRule>
  </conditionalFormatting>
  <conditionalFormatting sqref="L1487 N1487 P1487">
    <cfRule type="cellIs" dxfId="32" priority="53" operator="equal">
      <formula>"미취합법인有"</formula>
    </cfRule>
  </conditionalFormatting>
  <conditionalFormatting sqref="L1516 N1516 P1516">
    <cfRule type="cellIs" dxfId="31" priority="41" operator="equal">
      <formula>"미취합법인有"</formula>
    </cfRule>
  </conditionalFormatting>
  <conditionalFormatting sqref="L1537 N1537 P1537">
    <cfRule type="cellIs" dxfId="30" priority="40" operator="equal">
      <formula>"미취합법인有"</formula>
    </cfRule>
  </conditionalFormatting>
  <conditionalFormatting sqref="L1558 N1558 P1558">
    <cfRule type="cellIs" dxfId="29" priority="39" operator="equal">
      <formula>"미취합법인有"</formula>
    </cfRule>
  </conditionalFormatting>
  <conditionalFormatting sqref="L1580 N1580 P1580">
    <cfRule type="cellIs" dxfId="28" priority="9" operator="equal">
      <formula>"미취합법인有"</formula>
    </cfRule>
  </conditionalFormatting>
  <conditionalFormatting sqref="L1587 N1587 P1587 L1594 N1594 P1594 L1615 N1615 P1615 L1622 N1622 P1622 L1629 N1629 P1629 L1632 N1632 P1632 L1642 N1642 P1642 L1649 N1649 P1649 L1693 N1693 P1693 L1700 N1700:P1700 L1707 N1707:P1707 L1714 N1714 P1714 L1721 N1721 P1721">
    <cfRule type="cellIs" dxfId="27" priority="57" operator="equal">
      <formula>"미취합법인有"</formula>
    </cfRule>
  </conditionalFormatting>
  <conditionalFormatting sqref="L1601 N1601 P1601">
    <cfRule type="cellIs" dxfId="26" priority="28" operator="equal">
      <formula>"미취합법인有"</formula>
    </cfRule>
  </conditionalFormatting>
  <conditionalFormatting sqref="L1608 N1608 P1608">
    <cfRule type="cellIs" dxfId="25" priority="27" operator="equal">
      <formula>"미취합법인有"</formula>
    </cfRule>
  </conditionalFormatting>
  <conditionalFormatting sqref="L1635 N1635 P1635">
    <cfRule type="cellIs" dxfId="24" priority="26" operator="equal">
      <formula>"미취합법인有"</formula>
    </cfRule>
  </conditionalFormatting>
  <conditionalFormatting sqref="L1657 N1657 P1657">
    <cfRule type="cellIs" dxfId="23" priority="84" operator="equal">
      <formula>"미취합법인有"</formula>
    </cfRule>
  </conditionalFormatting>
  <conditionalFormatting sqref="L1664 N1664 P1664">
    <cfRule type="cellIs" dxfId="22" priority="77" operator="equal">
      <formula>"미취합법인有"</formula>
    </cfRule>
  </conditionalFormatting>
  <conditionalFormatting sqref="L1671 N1671 P1671">
    <cfRule type="cellIs" dxfId="21" priority="24" operator="equal">
      <formula>"미취합법인有"</formula>
    </cfRule>
  </conditionalFormatting>
  <conditionalFormatting sqref="L1678 N1678 P1678">
    <cfRule type="cellIs" dxfId="20" priority="76" operator="equal">
      <formula>"미취합법인有"</formula>
    </cfRule>
  </conditionalFormatting>
  <conditionalFormatting sqref="L1685">
    <cfRule type="cellIs" dxfId="19" priority="21" operator="equal">
      <formula>"미취합법인有"</formula>
    </cfRule>
  </conditionalFormatting>
  <conditionalFormatting sqref="L1789 N1789 P1789">
    <cfRule type="cellIs" dxfId="18" priority="90" operator="equal">
      <formula>"미취합법인有"</formula>
    </cfRule>
  </conditionalFormatting>
  <conditionalFormatting sqref="L1796 N1796 P1796">
    <cfRule type="cellIs" dxfId="17" priority="89" operator="equal">
      <formula>"미취합법인有"</formula>
    </cfRule>
  </conditionalFormatting>
  <conditionalFormatting sqref="L1804 N1804 P1804">
    <cfRule type="cellIs" dxfId="16" priority="88" operator="equal">
      <formula>"미취합법인有"</formula>
    </cfRule>
  </conditionalFormatting>
  <conditionalFormatting sqref="L1811 N1811 P1811">
    <cfRule type="cellIs" dxfId="15" priority="87" operator="equal">
      <formula>"미취합법인有"</formula>
    </cfRule>
  </conditionalFormatting>
  <conditionalFormatting sqref="L1818 N1818 P1818">
    <cfRule type="cellIs" dxfId="14" priority="86" operator="equal">
      <formula>"미취합법인有"</formula>
    </cfRule>
  </conditionalFormatting>
  <conditionalFormatting sqref="L1825 N1825 P1825">
    <cfRule type="cellIs" dxfId="13" priority="85" operator="equal">
      <formula>"미취합법인有"</formula>
    </cfRule>
  </conditionalFormatting>
  <conditionalFormatting sqref="L1832 N1832 P1832">
    <cfRule type="cellIs" dxfId="12" priority="83" operator="equal">
      <formula>"미취합법인有"</formula>
    </cfRule>
  </conditionalFormatting>
  <conditionalFormatting sqref="L1839 N1839 P1839">
    <cfRule type="cellIs" dxfId="11" priority="25" operator="equal">
      <formula>"미취합법인有"</formula>
    </cfRule>
  </conditionalFormatting>
  <conditionalFormatting sqref="L1846 N1846 P1846">
    <cfRule type="cellIs" dxfId="10" priority="82" operator="equal">
      <formula>"미취합법인有"</formula>
    </cfRule>
  </conditionalFormatting>
  <conditionalFormatting sqref="L1853 N1853 P1853">
    <cfRule type="cellIs" dxfId="9" priority="81" operator="equal">
      <formula>"미취합법인有"</formula>
    </cfRule>
  </conditionalFormatting>
  <conditionalFormatting sqref="L1861 N1861 P1861">
    <cfRule type="cellIs" dxfId="8" priority="80" operator="equal">
      <formula>"미취합법인有"</formula>
    </cfRule>
  </conditionalFormatting>
  <conditionalFormatting sqref="L1868 N1868 P1868">
    <cfRule type="cellIs" dxfId="7" priority="79" operator="equal">
      <formula>"미취합법인有"</formula>
    </cfRule>
  </conditionalFormatting>
  <conditionalFormatting sqref="L1875 N1875 P1875">
    <cfRule type="cellIs" dxfId="6" priority="78" operator="equal">
      <formula>"미취합법인有"</formula>
    </cfRule>
  </conditionalFormatting>
  <conditionalFormatting sqref="N30 P30">
    <cfRule type="cellIs" dxfId="5" priority="74" operator="equal">
      <formula>"미취합법인有"</formula>
    </cfRule>
  </conditionalFormatting>
  <conditionalFormatting sqref="N38 P38">
    <cfRule type="cellIs" dxfId="4" priority="16" operator="equal">
      <formula>"미취합법인有"</formula>
    </cfRule>
  </conditionalFormatting>
  <conditionalFormatting sqref="N45 P45">
    <cfRule type="cellIs" dxfId="3" priority="14" operator="equal">
      <formula>"미취합법인有"</formula>
    </cfRule>
  </conditionalFormatting>
  <conditionalFormatting sqref="N52 P52">
    <cfRule type="cellIs" dxfId="2" priority="12" operator="equal">
      <formula>"미취합법인有"</formula>
    </cfRule>
  </conditionalFormatting>
  <conditionalFormatting sqref="N1685">
    <cfRule type="cellIs" dxfId="1" priority="20" operator="equal">
      <formula>"미취합법인有"</formula>
    </cfRule>
  </conditionalFormatting>
  <conditionalFormatting sqref="P1685">
    <cfRule type="cellIs" dxfId="0" priority="19" operator="equal">
      <formula>"미취합법인有"</formula>
    </cfRule>
  </conditionalFormatting>
  <pageMargins left="0.25" right="0.25" top="0.75" bottom="0.75" header="0" footer="0"/>
  <pageSetup paperSize="8" scale="1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166BA-F78C-4AB8-A6DB-D911C3F6E9DC}">
  <sheetPr>
    <tabColor theme="0" tint="-0.499984740745262"/>
    <pageSetUpPr fitToPage="1"/>
  </sheetPr>
  <dimension ref="A1:AH462"/>
  <sheetViews>
    <sheetView workbookViewId="0"/>
  </sheetViews>
  <sheetFormatPr defaultColWidth="13" defaultRowHeight="16.5" outlineLevelCol="1"/>
  <cols>
    <col min="1" max="1" width="7.625" style="11" customWidth="1"/>
    <col min="2" max="2" width="11.625" style="11" customWidth="1"/>
    <col min="3" max="3" width="36" style="11" customWidth="1"/>
    <col min="4" max="4" width="12.75" style="11" customWidth="1"/>
    <col min="5" max="5" width="23.625" style="11" customWidth="1"/>
    <col min="6" max="6" width="14.75" style="11" customWidth="1"/>
    <col min="7" max="7" width="6.125" style="22" hidden="1" customWidth="1"/>
    <col min="8" max="8" width="24.75" style="22" hidden="1" customWidth="1"/>
    <col min="9" max="9" width="25.5" style="22" hidden="1" customWidth="1"/>
    <col min="10" max="10" width="20.875" style="22" hidden="1" customWidth="1"/>
    <col min="11" max="11" width="16.5" style="11" hidden="1" customWidth="1"/>
    <col min="12" max="17" width="15.625" style="37" hidden="1" customWidth="1" outlineLevel="1"/>
    <col min="18" max="18" width="15.625" style="1516" customWidth="1" collapsed="1"/>
    <col min="19" max="19" width="15.625" style="1460" customWidth="1"/>
    <col min="20" max="20" width="15.625" style="1516" customWidth="1"/>
    <col min="21" max="21" width="15.625" style="1460" customWidth="1"/>
    <col min="22" max="22" width="15.625" style="1516" customWidth="1"/>
    <col min="23" max="23" width="15.625" style="37" customWidth="1"/>
    <col min="24" max="24" width="50.625" style="24" customWidth="1"/>
    <col min="25" max="25" width="50.625" style="24" hidden="1" customWidth="1"/>
    <col min="26" max="26" width="20.625" style="11" customWidth="1"/>
    <col min="27" max="27" width="17.125" style="11" customWidth="1"/>
    <col min="28" max="28" width="20" style="11" customWidth="1"/>
    <col min="29" max="29" width="20.625" style="11" customWidth="1"/>
    <col min="30" max="30" width="12.25" style="11" customWidth="1"/>
    <col min="31" max="31" width="11.75" style="11" customWidth="1"/>
    <col min="32" max="32" width="13.875" style="11" customWidth="1"/>
    <col min="33" max="33" width="35.125" style="10" customWidth="1"/>
    <col min="34" max="34" width="32.125" style="11" customWidth="1"/>
    <col min="35" max="35" width="13" style="11" customWidth="1"/>
    <col min="36" max="16384" width="13" style="11"/>
  </cols>
  <sheetData>
    <row r="1" spans="1:34" ht="10.9" customHeight="1">
      <c r="A1" s="1"/>
      <c r="B1" s="2"/>
      <c r="C1" s="2"/>
      <c r="D1" s="2"/>
      <c r="E1" s="2"/>
      <c r="F1" s="3"/>
      <c r="G1" s="4"/>
      <c r="H1" s="5"/>
      <c r="I1" s="5"/>
      <c r="J1" s="5"/>
      <c r="K1" s="3"/>
      <c r="L1" s="6"/>
      <c r="M1" s="6"/>
      <c r="N1" s="6"/>
      <c r="O1" s="6"/>
      <c r="P1" s="6"/>
      <c r="Q1" s="6"/>
      <c r="R1" s="1478"/>
      <c r="S1" s="1404"/>
      <c r="T1" s="1478"/>
      <c r="U1" s="1404"/>
      <c r="V1" s="1478"/>
      <c r="W1" s="6"/>
      <c r="X1" s="8"/>
      <c r="Y1" s="8"/>
      <c r="Z1" s="7"/>
      <c r="AA1" s="7"/>
      <c r="AB1" s="3"/>
      <c r="AC1" s="7"/>
      <c r="AD1" s="9"/>
      <c r="AE1" s="9"/>
      <c r="AF1" s="9"/>
    </row>
    <row r="2" spans="1:34" s="19" customFormat="1" ht="33.75">
      <c r="A2" s="12"/>
      <c r="B2" s="13" t="s">
        <v>626</v>
      </c>
      <c r="C2" s="14"/>
      <c r="D2" s="2"/>
      <c r="E2" s="2"/>
      <c r="F2" s="3"/>
      <c r="G2" s="4"/>
      <c r="H2" s="15"/>
      <c r="I2" s="5"/>
      <c r="J2" s="3"/>
      <c r="K2" s="3"/>
      <c r="L2" s="6"/>
      <c r="M2" s="6"/>
      <c r="N2" s="6"/>
      <c r="O2" s="6"/>
      <c r="P2" s="6"/>
      <c r="Q2" s="6"/>
      <c r="R2" s="1478"/>
      <c r="S2" s="1404"/>
      <c r="T2" s="1478"/>
      <c r="U2" s="1404"/>
      <c r="V2" s="1478"/>
      <c r="W2" s="6"/>
      <c r="X2" s="8"/>
      <c r="Y2" s="8"/>
      <c r="Z2" s="16"/>
      <c r="AA2" s="16"/>
      <c r="AB2" s="15"/>
      <c r="AC2" s="16"/>
      <c r="AD2" s="17"/>
      <c r="AE2" s="17"/>
      <c r="AF2" s="17"/>
      <c r="AG2" s="18"/>
    </row>
    <row r="3" spans="1:34" ht="11.45" customHeight="1">
      <c r="B3" s="20"/>
      <c r="C3" s="20"/>
      <c r="D3" s="20"/>
      <c r="E3" s="20"/>
      <c r="F3" s="3"/>
      <c r="G3" s="4"/>
      <c r="H3" s="5"/>
      <c r="I3" s="5"/>
      <c r="J3" s="5"/>
      <c r="K3" s="3"/>
      <c r="L3" s="6"/>
      <c r="M3" s="6"/>
      <c r="N3" s="6"/>
      <c r="O3" s="6"/>
      <c r="P3" s="6"/>
      <c r="Q3" s="6"/>
      <c r="R3" s="1478"/>
      <c r="S3" s="1404"/>
      <c r="T3" s="1478"/>
      <c r="U3" s="1404"/>
      <c r="V3" s="1478"/>
      <c r="W3" s="6"/>
      <c r="X3" s="8"/>
      <c r="Y3" s="8"/>
      <c r="Z3" s="7"/>
      <c r="AA3" s="7"/>
      <c r="AB3" s="3"/>
      <c r="AC3" s="7"/>
      <c r="AD3" s="20"/>
      <c r="AE3" s="20"/>
      <c r="AF3" s="20"/>
      <c r="AG3" s="18"/>
    </row>
    <row r="4" spans="1:34" ht="10.15" customHeight="1">
      <c r="F4" s="21"/>
      <c r="K4" s="21"/>
      <c r="L4" s="23"/>
      <c r="M4" s="23"/>
      <c r="N4" s="23"/>
      <c r="O4" s="23"/>
      <c r="P4" s="23"/>
      <c r="Q4" s="23"/>
      <c r="R4" s="1479"/>
      <c r="S4" s="1405"/>
      <c r="T4" s="1479"/>
      <c r="U4" s="1405"/>
      <c r="V4" s="1479"/>
      <c r="W4" s="23"/>
      <c r="AG4" s="18"/>
    </row>
    <row r="5" spans="1:34" ht="20.65" customHeight="1">
      <c r="B5" s="1700" t="s">
        <v>111</v>
      </c>
      <c r="C5" s="25"/>
      <c r="D5" s="25"/>
      <c r="E5" s="25"/>
      <c r="F5" s="26"/>
      <c r="G5" s="26"/>
      <c r="I5" s="27"/>
      <c r="J5" s="27"/>
      <c r="K5" s="28"/>
      <c r="L5" s="29"/>
      <c r="M5" s="29"/>
      <c r="N5" s="29"/>
      <c r="O5" s="29"/>
      <c r="P5" s="29"/>
      <c r="Q5" s="29"/>
      <c r="R5" s="1480"/>
      <c r="S5" s="1406"/>
      <c r="T5" s="1480"/>
      <c r="U5" s="1406"/>
      <c r="V5" s="1480"/>
      <c r="W5" s="29"/>
      <c r="X5" s="33"/>
      <c r="Y5" s="33"/>
      <c r="Z5" s="32"/>
      <c r="AA5" s="32"/>
      <c r="AB5" s="32"/>
      <c r="AC5" s="32"/>
      <c r="AD5" s="32"/>
      <c r="AE5" s="32"/>
      <c r="AF5" s="32"/>
      <c r="AG5" s="18"/>
      <c r="AH5" s="24"/>
    </row>
    <row r="6" spans="1:34" ht="20.65" customHeight="1">
      <c r="B6" s="1701" t="s">
        <v>112</v>
      </c>
      <c r="E6" s="27"/>
      <c r="F6" s="34"/>
      <c r="G6" s="34"/>
      <c r="H6" s="27"/>
      <c r="I6" s="27"/>
      <c r="J6" s="27"/>
      <c r="K6" s="28"/>
      <c r="L6" s="29"/>
      <c r="M6" s="29"/>
      <c r="N6" s="35"/>
      <c r="O6" s="29"/>
      <c r="P6" s="29"/>
      <c r="Q6" s="29"/>
      <c r="R6" s="1480"/>
      <c r="S6" s="1406"/>
      <c r="T6" s="1480"/>
      <c r="U6" s="1406"/>
      <c r="V6" s="1480"/>
      <c r="W6" s="29"/>
      <c r="X6" s="33"/>
      <c r="Y6" s="33"/>
      <c r="Z6" s="32"/>
      <c r="AA6" s="32"/>
      <c r="AB6" s="32"/>
      <c r="AC6" s="32"/>
      <c r="AD6" s="32"/>
      <c r="AE6" s="32"/>
      <c r="AF6" s="32"/>
      <c r="AG6" s="18"/>
      <c r="AH6" s="24"/>
    </row>
    <row r="7" spans="1:34" ht="20.65" customHeight="1">
      <c r="B7" s="1701" t="s">
        <v>113</v>
      </c>
      <c r="E7" s="27"/>
      <c r="F7" s="34"/>
      <c r="G7" s="34"/>
      <c r="H7" s="27"/>
      <c r="I7" s="27"/>
      <c r="J7" s="27"/>
      <c r="K7" s="36"/>
      <c r="L7" s="29"/>
      <c r="M7" s="35"/>
      <c r="N7" s="31"/>
      <c r="O7" s="30"/>
      <c r="P7" s="29"/>
      <c r="Q7" s="29"/>
      <c r="R7" s="1480"/>
      <c r="S7" s="1406"/>
      <c r="T7" s="1480"/>
      <c r="U7" s="1406"/>
      <c r="V7" s="1480"/>
      <c r="W7" s="29"/>
      <c r="X7" s="33"/>
      <c r="Y7" s="33"/>
      <c r="Z7" s="32"/>
      <c r="AA7" s="32"/>
      <c r="AB7" s="32"/>
      <c r="AC7" s="32"/>
      <c r="AD7" s="32"/>
      <c r="AE7" s="32"/>
      <c r="AF7" s="32"/>
      <c r="AG7" s="18"/>
      <c r="AH7" s="24"/>
    </row>
    <row r="8" spans="1:34" ht="20.65" customHeight="1">
      <c r="B8" s="1701" t="s">
        <v>114</v>
      </c>
      <c r="E8" s="27"/>
      <c r="F8" s="34"/>
      <c r="G8" s="34"/>
      <c r="H8" s="29"/>
      <c r="I8" s="35"/>
      <c r="J8" s="31"/>
      <c r="K8" s="30"/>
      <c r="P8" s="29"/>
      <c r="Q8" s="29"/>
      <c r="R8" s="1480"/>
      <c r="S8" s="1406"/>
      <c r="T8" s="1480"/>
      <c r="U8" s="1406"/>
      <c r="V8" s="1480"/>
      <c r="W8" s="29"/>
      <c r="X8" s="33"/>
      <c r="Y8" s="33"/>
      <c r="Z8" s="32"/>
      <c r="AA8" s="32"/>
      <c r="AB8" s="32"/>
      <c r="AC8" s="32"/>
      <c r="AD8" s="32"/>
      <c r="AE8" s="32"/>
      <c r="AF8" s="32"/>
      <c r="AG8" s="18"/>
      <c r="AH8" s="24"/>
    </row>
    <row r="9" spans="1:34" ht="20.65" customHeight="1">
      <c r="B9" s="1701" t="s">
        <v>115</v>
      </c>
      <c r="E9" s="27"/>
      <c r="F9" s="34"/>
      <c r="G9" s="34"/>
      <c r="H9" s="38"/>
      <c r="I9" s="35" t="s">
        <v>116</v>
      </c>
      <c r="J9" s="31"/>
      <c r="K9" s="30"/>
      <c r="P9" s="29"/>
      <c r="Q9" s="29"/>
      <c r="R9" s="1481"/>
      <c r="S9" s="1407" t="s">
        <v>116</v>
      </c>
      <c r="T9" s="1480"/>
      <c r="U9" s="1406"/>
      <c r="V9" s="1480"/>
      <c r="W9" s="29"/>
      <c r="X9" s="33"/>
      <c r="Y9" s="33"/>
      <c r="Z9" s="32"/>
      <c r="AA9" s="32"/>
      <c r="AB9" s="32"/>
      <c r="AC9" s="32"/>
      <c r="AD9" s="32"/>
      <c r="AE9" s="32"/>
      <c r="AF9" s="32"/>
      <c r="AG9" s="18"/>
      <c r="AH9" s="24"/>
    </row>
    <row r="10" spans="1:34" ht="20.65" customHeight="1">
      <c r="B10" s="1702" t="s">
        <v>117</v>
      </c>
      <c r="C10" s="39"/>
      <c r="D10" s="39"/>
      <c r="E10" s="40"/>
      <c r="F10" s="41"/>
      <c r="G10" s="41"/>
      <c r="H10" s="42"/>
      <c r="I10" s="35" t="s">
        <v>118</v>
      </c>
      <c r="J10" s="31"/>
      <c r="K10" s="30"/>
      <c r="P10" s="29"/>
      <c r="Q10" s="29"/>
      <c r="R10" s="1482"/>
      <c r="S10" s="1407" t="s">
        <v>118</v>
      </c>
      <c r="T10" s="1480"/>
      <c r="U10" s="1406"/>
      <c r="V10" s="1480"/>
      <c r="W10" s="29"/>
      <c r="X10" s="33"/>
      <c r="Y10" s="33"/>
      <c r="Z10" s="32"/>
      <c r="AA10" s="32"/>
      <c r="AB10" s="32"/>
      <c r="AC10" s="32"/>
      <c r="AD10" s="32"/>
      <c r="AE10" s="32"/>
      <c r="AF10" s="32"/>
      <c r="AG10" s="18"/>
      <c r="AH10" s="24"/>
    </row>
    <row r="11" spans="1:34" ht="10.9" customHeight="1" thickBot="1">
      <c r="C11" s="43"/>
      <c r="D11" s="43"/>
      <c r="E11" s="43"/>
      <c r="F11" s="44"/>
      <c r="G11" s="45"/>
      <c r="H11" s="46"/>
      <c r="I11" s="46"/>
      <c r="J11" s="46"/>
      <c r="K11" s="44"/>
      <c r="L11" s="47"/>
      <c r="M11" s="47"/>
      <c r="N11" s="47"/>
      <c r="O11" s="47"/>
      <c r="P11" s="47"/>
      <c r="Q11" s="47"/>
      <c r="R11" s="1479"/>
      <c r="S11" s="1405"/>
      <c r="T11" s="1479"/>
      <c r="U11" s="1405"/>
      <c r="V11" s="1518"/>
      <c r="W11" s="47"/>
      <c r="X11" s="49"/>
      <c r="Y11" s="49"/>
      <c r="Z11" s="24"/>
      <c r="AA11" s="24"/>
      <c r="AB11" s="24"/>
      <c r="AC11" s="24"/>
      <c r="AD11" s="43"/>
      <c r="AE11" s="43"/>
      <c r="AF11" s="43"/>
      <c r="AG11" s="18"/>
      <c r="AH11" s="24"/>
    </row>
    <row r="12" spans="1:34" ht="26.65" customHeight="1" thickTop="1">
      <c r="A12" s="50"/>
      <c r="B12" s="9668" t="s">
        <v>1</v>
      </c>
      <c r="C12" s="9750"/>
      <c r="D12" s="9750"/>
      <c r="E12" s="9750"/>
      <c r="F12" s="9751"/>
      <c r="G12" s="9669" t="s">
        <v>2</v>
      </c>
      <c r="H12" s="9750"/>
      <c r="I12" s="9750"/>
      <c r="J12" s="9751"/>
      <c r="K12" s="51"/>
      <c r="L12" s="9752" t="s">
        <v>1743</v>
      </c>
      <c r="M12" s="9753"/>
      <c r="N12" s="9753"/>
      <c r="O12" s="9753"/>
      <c r="P12" s="9753"/>
      <c r="Q12" s="9754"/>
      <c r="R12" s="9761" t="s">
        <v>134</v>
      </c>
      <c r="S12" s="9762"/>
      <c r="T12" s="9762"/>
      <c r="U12" s="9762"/>
      <c r="V12" s="9763"/>
      <c r="W12" s="9762"/>
      <c r="X12" s="52"/>
      <c r="Y12" s="52"/>
      <c r="Z12" s="1694"/>
      <c r="AA12" s="1695"/>
      <c r="AB12" s="1696"/>
      <c r="AC12" s="53"/>
      <c r="AD12" s="9667" t="s">
        <v>11</v>
      </c>
      <c r="AE12" s="9759"/>
      <c r="AF12" s="9760"/>
      <c r="AG12" s="18"/>
      <c r="AH12" s="54"/>
    </row>
    <row r="13" spans="1:34" ht="69.75" thickBot="1">
      <c r="A13" s="5460"/>
      <c r="B13" s="1350" t="s">
        <v>1744</v>
      </c>
      <c r="C13" s="55" t="s">
        <v>12</v>
      </c>
      <c r="D13" s="55" t="s">
        <v>13</v>
      </c>
      <c r="E13" s="55" t="s">
        <v>14</v>
      </c>
      <c r="F13" s="55" t="s">
        <v>15</v>
      </c>
      <c r="G13" s="55" t="s">
        <v>16</v>
      </c>
      <c r="H13" s="55" t="s">
        <v>12</v>
      </c>
      <c r="I13" s="55" t="s">
        <v>13</v>
      </c>
      <c r="J13" s="55" t="s">
        <v>14</v>
      </c>
      <c r="K13" s="56" t="s">
        <v>17</v>
      </c>
      <c r="L13" s="57">
        <v>2021</v>
      </c>
      <c r="M13" s="58" t="s">
        <v>1745</v>
      </c>
      <c r="N13" s="57">
        <v>2022</v>
      </c>
      <c r="O13" s="58" t="s">
        <v>1745</v>
      </c>
      <c r="P13" s="57">
        <v>2023</v>
      </c>
      <c r="Q13" s="58" t="s">
        <v>1745</v>
      </c>
      <c r="R13" s="1544" t="s">
        <v>18</v>
      </c>
      <c r="S13" s="1408" t="s">
        <v>19</v>
      </c>
      <c r="T13" s="1544" t="s">
        <v>20</v>
      </c>
      <c r="U13" s="1408" t="s">
        <v>19</v>
      </c>
      <c r="V13" s="1544" t="s">
        <v>21</v>
      </c>
      <c r="W13" s="2051" t="s">
        <v>19</v>
      </c>
      <c r="X13" s="60" t="s">
        <v>6</v>
      </c>
      <c r="Y13" s="60" t="s">
        <v>7</v>
      </c>
      <c r="Z13" s="1697" t="s">
        <v>8</v>
      </c>
      <c r="AA13" s="1698" t="s">
        <v>9</v>
      </c>
      <c r="AB13" s="1699" t="s">
        <v>10</v>
      </c>
      <c r="AC13" s="61" t="s">
        <v>22</v>
      </c>
      <c r="AD13" s="62" t="s">
        <v>23</v>
      </c>
      <c r="AE13" s="63" t="s">
        <v>24</v>
      </c>
      <c r="AF13" s="64" t="s">
        <v>25</v>
      </c>
      <c r="AG13" s="18"/>
      <c r="AH13" s="54"/>
    </row>
    <row r="14" spans="1:34" ht="27" thickBot="1">
      <c r="A14" s="50"/>
      <c r="B14" s="65" t="s">
        <v>26</v>
      </c>
      <c r="C14" s="66"/>
      <c r="D14" s="66"/>
      <c r="E14" s="66"/>
      <c r="F14" s="67"/>
      <c r="G14" s="68" t="s">
        <v>27</v>
      </c>
      <c r="H14" s="69"/>
      <c r="I14" s="69"/>
      <c r="J14" s="69"/>
      <c r="K14" s="67"/>
      <c r="L14" s="70"/>
      <c r="M14" s="70"/>
      <c r="N14" s="70"/>
      <c r="O14" s="70"/>
      <c r="P14" s="70"/>
      <c r="Q14" s="70"/>
      <c r="R14" s="1483"/>
      <c r="S14" s="1409"/>
      <c r="T14" s="1483"/>
      <c r="U14" s="1409"/>
      <c r="V14" s="1483"/>
      <c r="W14" s="70"/>
      <c r="X14" s="72"/>
      <c r="Y14" s="72"/>
      <c r="Z14" s="73"/>
      <c r="AA14" s="73"/>
      <c r="AB14" s="73"/>
      <c r="AC14" s="73" t="s">
        <v>28</v>
      </c>
      <c r="AD14" s="74"/>
      <c r="AE14" s="74"/>
      <c r="AF14" s="75"/>
      <c r="AG14" s="18"/>
      <c r="AH14" s="54"/>
    </row>
    <row r="15" spans="1:34" ht="27" thickBot="1">
      <c r="B15" s="76" t="s">
        <v>29</v>
      </c>
      <c r="C15" s="77"/>
      <c r="D15" s="77"/>
      <c r="E15" s="77"/>
      <c r="F15" s="78"/>
      <c r="G15" s="79" t="s">
        <v>30</v>
      </c>
      <c r="H15" s="80"/>
      <c r="I15" s="80"/>
      <c r="J15" s="80"/>
      <c r="K15" s="78"/>
      <c r="L15" s="81"/>
      <c r="M15" s="81"/>
      <c r="N15" s="81"/>
      <c r="O15" s="81"/>
      <c r="P15" s="81"/>
      <c r="Q15" s="81"/>
      <c r="R15" s="1484"/>
      <c r="S15" s="1411"/>
      <c r="T15" s="1484"/>
      <c r="U15" s="1411"/>
      <c r="V15" s="1484"/>
      <c r="W15" s="81"/>
      <c r="X15" s="77"/>
      <c r="Y15" s="77"/>
      <c r="Z15" s="82"/>
      <c r="AA15" s="82"/>
      <c r="AB15" s="82"/>
      <c r="AC15" s="82"/>
      <c r="AD15" s="82"/>
      <c r="AE15" s="82"/>
      <c r="AF15" s="83"/>
      <c r="AG15" s="18"/>
    </row>
    <row r="16" spans="1:34" ht="20.100000000000001" customHeight="1">
      <c r="A16" s="50"/>
      <c r="B16" s="84" t="b">
        <f t="shared" ref="B16:B24" si="0">OR(ISBLANK(R16),ISBLANK(T16),ISBLANK(V16))</f>
        <v>0</v>
      </c>
      <c r="C16" s="85" t="s">
        <v>32</v>
      </c>
      <c r="D16" s="86"/>
      <c r="E16" s="86"/>
      <c r="F16" s="87" t="s">
        <v>33</v>
      </c>
      <c r="G16" s="88"/>
      <c r="H16" s="89" t="s">
        <v>34</v>
      </c>
      <c r="I16" s="89"/>
      <c r="J16" s="90"/>
      <c r="K16" s="91" t="s">
        <v>35</v>
      </c>
      <c r="L16" s="92">
        <v>620645.63070700003</v>
      </c>
      <c r="M16" s="92"/>
      <c r="N16" s="92">
        <v>682681.904094</v>
      </c>
      <c r="O16" s="93"/>
      <c r="P16" s="1461">
        <v>474595</v>
      </c>
      <c r="Q16" s="95"/>
      <c r="R16" s="1461">
        <v>620645</v>
      </c>
      <c r="S16" s="1538"/>
      <c r="T16" s="1461">
        <v>682682</v>
      </c>
      <c r="U16" s="1538"/>
      <c r="V16" s="1461">
        <v>474595</v>
      </c>
      <c r="W16" s="2052"/>
      <c r="X16" s="2465"/>
      <c r="Y16" s="98"/>
      <c r="Z16" s="99" t="s">
        <v>37</v>
      </c>
      <c r="AA16" s="100"/>
      <c r="AB16" s="100"/>
      <c r="AC16" s="99"/>
      <c r="AD16" s="101"/>
      <c r="AE16" s="101"/>
      <c r="AF16" s="102"/>
      <c r="AG16" s="18"/>
      <c r="AH16" s="54"/>
    </row>
    <row r="17" spans="2:33" ht="20.100000000000001" customHeight="1">
      <c r="B17" s="84" t="b">
        <f t="shared" si="0"/>
        <v>0</v>
      </c>
      <c r="C17" s="103" t="s">
        <v>38</v>
      </c>
      <c r="D17" s="104"/>
      <c r="E17" s="104"/>
      <c r="F17" s="105" t="s">
        <v>33</v>
      </c>
      <c r="G17" s="106"/>
      <c r="H17" s="107" t="s">
        <v>39</v>
      </c>
      <c r="I17" s="107"/>
      <c r="J17" s="108"/>
      <c r="K17" s="109" t="s">
        <v>35</v>
      </c>
      <c r="L17" s="92">
        <v>3164846.7449019998</v>
      </c>
      <c r="M17" s="92"/>
      <c r="N17" s="92">
        <v>2918786.482394</v>
      </c>
      <c r="O17" s="93"/>
      <c r="P17" s="1461">
        <v>2719620</v>
      </c>
      <c r="Q17" s="95"/>
      <c r="R17" s="1461">
        <v>3164847</v>
      </c>
      <c r="S17" s="1538"/>
      <c r="T17" s="1461">
        <v>2918786</v>
      </c>
      <c r="U17" s="1538"/>
      <c r="V17" s="1461">
        <v>2719620</v>
      </c>
      <c r="W17" s="2052"/>
      <c r="X17" s="2465"/>
      <c r="Y17" s="98"/>
      <c r="Z17" s="99" t="s">
        <v>37</v>
      </c>
      <c r="AA17" s="100"/>
      <c r="AB17" s="100"/>
      <c r="AC17" s="99"/>
      <c r="AD17" s="110"/>
      <c r="AE17" s="111"/>
      <c r="AF17" s="112"/>
      <c r="AG17" s="18"/>
    </row>
    <row r="18" spans="2:33" ht="20.100000000000001" customHeight="1">
      <c r="B18" s="113" t="b">
        <f t="shared" si="0"/>
        <v>0</v>
      </c>
      <c r="C18" s="103" t="s">
        <v>40</v>
      </c>
      <c r="D18" s="104"/>
      <c r="E18" s="104"/>
      <c r="F18" s="105" t="s">
        <v>33</v>
      </c>
      <c r="G18" s="106"/>
      <c r="H18" s="107" t="s">
        <v>41</v>
      </c>
      <c r="I18" s="107"/>
      <c r="J18" s="108"/>
      <c r="K18" s="109" t="s">
        <v>35</v>
      </c>
      <c r="L18" s="92">
        <v>3785492.3756090002</v>
      </c>
      <c r="M18" s="92"/>
      <c r="N18" s="92">
        <v>3601468.3864879999</v>
      </c>
      <c r="O18" s="93"/>
      <c r="P18" s="1461">
        <v>3194215</v>
      </c>
      <c r="Q18" s="95"/>
      <c r="R18" s="1461">
        <v>3785492</v>
      </c>
      <c r="S18" s="1538"/>
      <c r="T18" s="1461">
        <v>3601468</v>
      </c>
      <c r="U18" s="1538"/>
      <c r="V18" s="1461">
        <v>3194215</v>
      </c>
      <c r="W18" s="2052"/>
      <c r="X18" s="2465"/>
      <c r="Y18" s="98"/>
      <c r="Z18" s="99" t="s">
        <v>37</v>
      </c>
      <c r="AA18" s="100"/>
      <c r="AB18" s="100"/>
      <c r="AC18" s="99"/>
      <c r="AD18" s="110"/>
      <c r="AE18" s="114" t="s">
        <v>42</v>
      </c>
      <c r="AF18" s="112"/>
      <c r="AG18" s="18"/>
    </row>
    <row r="19" spans="2:33" ht="20.100000000000001" customHeight="1">
      <c r="B19" s="84" t="b">
        <f t="shared" si="0"/>
        <v>0</v>
      </c>
      <c r="C19" s="103" t="s">
        <v>43</v>
      </c>
      <c r="D19" s="104"/>
      <c r="E19" s="104"/>
      <c r="F19" s="105" t="s">
        <v>33</v>
      </c>
      <c r="G19" s="106"/>
      <c r="H19" s="107" t="s">
        <v>44</v>
      </c>
      <c r="I19" s="107"/>
      <c r="J19" s="108"/>
      <c r="K19" s="109" t="s">
        <v>35</v>
      </c>
      <c r="L19" s="92">
        <v>975423.22236100002</v>
      </c>
      <c r="M19" s="92"/>
      <c r="N19" s="92">
        <v>1238638.1151690001</v>
      </c>
      <c r="O19" s="93"/>
      <c r="P19" s="1461">
        <v>1032489</v>
      </c>
      <c r="Q19" s="95"/>
      <c r="R19" s="1461">
        <v>975423</v>
      </c>
      <c r="S19" s="1538"/>
      <c r="T19" s="1461">
        <v>1238638</v>
      </c>
      <c r="U19" s="1538"/>
      <c r="V19" s="1461">
        <v>1032489</v>
      </c>
      <c r="W19" s="2052"/>
      <c r="X19" s="2465"/>
      <c r="Y19" s="98"/>
      <c r="Z19" s="99" t="s">
        <v>37</v>
      </c>
      <c r="AA19" s="100"/>
      <c r="AB19" s="100"/>
      <c r="AC19" s="99"/>
      <c r="AD19" s="110"/>
      <c r="AE19" s="111"/>
      <c r="AF19" s="112"/>
      <c r="AG19" s="18"/>
    </row>
    <row r="20" spans="2:33" ht="20.100000000000001" customHeight="1">
      <c r="B20" s="84" t="b">
        <f t="shared" si="0"/>
        <v>0</v>
      </c>
      <c r="C20" s="103" t="s">
        <v>45</v>
      </c>
      <c r="D20" s="104"/>
      <c r="E20" s="104"/>
      <c r="F20" s="105" t="s">
        <v>33</v>
      </c>
      <c r="G20" s="106"/>
      <c r="H20" s="107" t="s">
        <v>46</v>
      </c>
      <c r="I20" s="107"/>
      <c r="J20" s="108"/>
      <c r="K20" s="109" t="s">
        <v>35</v>
      </c>
      <c r="L20" s="92">
        <v>2508783.7857059999</v>
      </c>
      <c r="M20" s="92"/>
      <c r="N20" s="92">
        <v>1969740.930624</v>
      </c>
      <c r="O20" s="93"/>
      <c r="P20" s="1461">
        <v>1900485</v>
      </c>
      <c r="Q20" s="95"/>
      <c r="R20" s="1461">
        <v>2508784</v>
      </c>
      <c r="S20" s="1538"/>
      <c r="T20" s="1461">
        <v>1969741</v>
      </c>
      <c r="U20" s="1538"/>
      <c r="V20" s="1461">
        <v>1900485</v>
      </c>
      <c r="W20" s="2052"/>
      <c r="X20" s="2465"/>
      <c r="Y20" s="98"/>
      <c r="Z20" s="99" t="s">
        <v>37</v>
      </c>
      <c r="AA20" s="100"/>
      <c r="AB20" s="100"/>
      <c r="AC20" s="99"/>
      <c r="AD20" s="110"/>
      <c r="AE20" s="111"/>
      <c r="AF20" s="112"/>
      <c r="AG20" s="18"/>
    </row>
    <row r="21" spans="2:33" ht="20.100000000000001" customHeight="1">
      <c r="B21" s="113" t="b">
        <f t="shared" si="0"/>
        <v>0</v>
      </c>
      <c r="C21" s="103" t="s">
        <v>47</v>
      </c>
      <c r="D21" s="104"/>
      <c r="E21" s="104"/>
      <c r="F21" s="105" t="s">
        <v>33</v>
      </c>
      <c r="G21" s="106"/>
      <c r="H21" s="107" t="s">
        <v>48</v>
      </c>
      <c r="I21" s="107"/>
      <c r="J21" s="108"/>
      <c r="K21" s="109" t="s">
        <v>35</v>
      </c>
      <c r="L21" s="92">
        <v>3484207.0080670002</v>
      </c>
      <c r="M21" s="92"/>
      <c r="N21" s="92">
        <v>3208379.0457930001</v>
      </c>
      <c r="O21" s="93"/>
      <c r="P21" s="1461">
        <v>2932974</v>
      </c>
      <c r="Q21" s="95"/>
      <c r="R21" s="1461">
        <v>3484207</v>
      </c>
      <c r="S21" s="1538"/>
      <c r="T21" s="1461">
        <v>3208379</v>
      </c>
      <c r="U21" s="1538"/>
      <c r="V21" s="1461">
        <v>2932974</v>
      </c>
      <c r="W21" s="2052"/>
      <c r="X21" s="2465"/>
      <c r="Y21" s="98"/>
      <c r="Z21" s="99" t="s">
        <v>37</v>
      </c>
      <c r="AA21" s="100"/>
      <c r="AB21" s="100"/>
      <c r="AC21" s="99"/>
      <c r="AD21" s="110"/>
      <c r="AE21" s="114" t="s">
        <v>42</v>
      </c>
      <c r="AF21" s="112"/>
      <c r="AG21" s="18"/>
    </row>
    <row r="22" spans="2:33" ht="20.100000000000001" customHeight="1">
      <c r="B22" s="84" t="b">
        <f t="shared" si="0"/>
        <v>0</v>
      </c>
      <c r="C22" s="103" t="s">
        <v>49</v>
      </c>
      <c r="D22" s="104"/>
      <c r="E22" s="104"/>
      <c r="F22" s="105" t="s">
        <v>33</v>
      </c>
      <c r="G22" s="106"/>
      <c r="H22" s="115" t="s">
        <v>50</v>
      </c>
      <c r="I22" s="107"/>
      <c r="J22" s="108"/>
      <c r="K22" s="109" t="s">
        <v>35</v>
      </c>
      <c r="L22" s="92">
        <v>225247.92629500001</v>
      </c>
      <c r="M22" s="92"/>
      <c r="N22" s="92">
        <v>376320.42445200001</v>
      </c>
      <c r="O22" s="93"/>
      <c r="P22" s="1461">
        <v>421276</v>
      </c>
      <c r="Q22" s="95"/>
      <c r="R22" s="1461">
        <v>225248</v>
      </c>
      <c r="S22" s="1538"/>
      <c r="T22" s="1461">
        <v>376320</v>
      </c>
      <c r="U22" s="1538"/>
      <c r="V22" s="1461">
        <v>421276</v>
      </c>
      <c r="W22" s="2052"/>
      <c r="X22" s="2465"/>
      <c r="Y22" s="98"/>
      <c r="Z22" s="99" t="s">
        <v>37</v>
      </c>
      <c r="AA22" s="100"/>
      <c r="AB22" s="100"/>
      <c r="AC22" s="99"/>
      <c r="AD22" s="110"/>
      <c r="AE22" s="111"/>
      <c r="AF22" s="112"/>
      <c r="AG22" s="18"/>
    </row>
    <row r="23" spans="2:33" ht="20.100000000000001" customHeight="1">
      <c r="B23" s="113" t="b">
        <f t="shared" si="0"/>
        <v>0</v>
      </c>
      <c r="C23" s="103" t="s">
        <v>51</v>
      </c>
      <c r="D23" s="104"/>
      <c r="E23" s="104"/>
      <c r="F23" s="105" t="s">
        <v>33</v>
      </c>
      <c r="G23" s="106"/>
      <c r="H23" s="116" t="s">
        <v>52</v>
      </c>
      <c r="I23" s="107"/>
      <c r="J23" s="108"/>
      <c r="K23" s="109" t="s">
        <v>35</v>
      </c>
      <c r="L23" s="92">
        <v>301285.36754200002</v>
      </c>
      <c r="M23" s="92"/>
      <c r="N23" s="92">
        <v>393089.34069500002</v>
      </c>
      <c r="O23" s="93"/>
      <c r="P23" s="1461">
        <v>261241</v>
      </c>
      <c r="Q23" s="95"/>
      <c r="R23" s="1461">
        <v>301285</v>
      </c>
      <c r="S23" s="1538"/>
      <c r="T23" s="1461">
        <v>393089</v>
      </c>
      <c r="U23" s="1538"/>
      <c r="V23" s="1461">
        <v>261241</v>
      </c>
      <c r="W23" s="2052"/>
      <c r="X23" s="2465"/>
      <c r="Y23" s="98"/>
      <c r="Z23" s="99" t="s">
        <v>37</v>
      </c>
      <c r="AA23" s="100"/>
      <c r="AB23" s="100"/>
      <c r="AC23" s="99"/>
      <c r="AD23" s="110"/>
      <c r="AE23" s="114" t="s">
        <v>42</v>
      </c>
      <c r="AF23" s="112"/>
      <c r="AG23" s="18"/>
    </row>
    <row r="24" spans="2:33" ht="20.100000000000001" customHeight="1" thickBot="1">
      <c r="B24" s="84" t="b">
        <f t="shared" si="0"/>
        <v>0</v>
      </c>
      <c r="C24" s="117" t="s">
        <v>53</v>
      </c>
      <c r="D24" s="118"/>
      <c r="E24" s="118"/>
      <c r="F24" s="119" t="s">
        <v>33</v>
      </c>
      <c r="G24" s="106"/>
      <c r="H24" s="120" t="s">
        <v>54</v>
      </c>
      <c r="I24" s="120"/>
      <c r="J24" s="121"/>
      <c r="K24" s="122" t="s">
        <v>35</v>
      </c>
      <c r="L24" s="92">
        <v>3785492.3756090002</v>
      </c>
      <c r="M24" s="92"/>
      <c r="N24" s="92">
        <v>3601468.3864879999</v>
      </c>
      <c r="O24" s="93"/>
      <c r="P24" s="1461">
        <v>3194215</v>
      </c>
      <c r="Q24" s="95"/>
      <c r="R24" s="1461">
        <v>3785492</v>
      </c>
      <c r="S24" s="1538"/>
      <c r="T24" s="1461">
        <v>3601468</v>
      </c>
      <c r="U24" s="1538"/>
      <c r="V24" s="1461">
        <v>3194215</v>
      </c>
      <c r="W24" s="2052"/>
      <c r="X24" s="2465"/>
      <c r="Y24" s="98"/>
      <c r="Z24" s="99" t="s">
        <v>37</v>
      </c>
      <c r="AA24" s="100"/>
      <c r="AB24" s="100"/>
      <c r="AC24" s="99"/>
      <c r="AD24" s="110"/>
      <c r="AE24" s="111"/>
      <c r="AF24" s="112"/>
      <c r="AG24" s="18"/>
    </row>
    <row r="25" spans="2:33" ht="27" thickBot="1">
      <c r="B25" s="123" t="s">
        <v>55</v>
      </c>
      <c r="C25" s="124"/>
      <c r="D25" s="124"/>
      <c r="E25" s="124"/>
      <c r="F25" s="78"/>
      <c r="G25" s="125" t="s">
        <v>56</v>
      </c>
      <c r="H25" s="126"/>
      <c r="I25" s="126"/>
      <c r="J25" s="126"/>
      <c r="K25" s="78"/>
      <c r="L25" s="127"/>
      <c r="M25" s="127"/>
      <c r="N25" s="127"/>
      <c r="O25" s="127"/>
      <c r="P25" s="127"/>
      <c r="Q25" s="127"/>
      <c r="R25" s="1703"/>
      <c r="S25" s="1704"/>
      <c r="T25" s="1703"/>
      <c r="U25" s="1704"/>
      <c r="V25" s="1703"/>
      <c r="W25" s="127"/>
      <c r="X25" s="80"/>
      <c r="Y25" s="80"/>
      <c r="Z25" s="129"/>
      <c r="AA25" s="129"/>
      <c r="AB25" s="129"/>
      <c r="AC25" s="129"/>
      <c r="AD25" s="130"/>
      <c r="AE25" s="130"/>
      <c r="AF25" s="131"/>
      <c r="AG25" s="18"/>
    </row>
    <row r="26" spans="2:33" s="139" customFormat="1" ht="20.100000000000001" customHeight="1">
      <c r="B26" s="113" t="b">
        <f t="shared" ref="B26:B39" si="1">OR(ISBLANK(R26),ISBLANK(T26),ISBLANK(V26))</f>
        <v>0</v>
      </c>
      <c r="C26" s="85" t="s">
        <v>1747</v>
      </c>
      <c r="D26" s="86"/>
      <c r="E26" s="86"/>
      <c r="F26" s="132" t="s">
        <v>33</v>
      </c>
      <c r="G26" s="133"/>
      <c r="H26" s="134" t="s">
        <v>58</v>
      </c>
      <c r="I26" s="134"/>
      <c r="J26" s="135"/>
      <c r="K26" s="136" t="s">
        <v>35</v>
      </c>
      <c r="L26" s="92">
        <v>736315</v>
      </c>
      <c r="M26" s="95"/>
      <c r="N26" s="92">
        <v>1281306</v>
      </c>
      <c r="O26" s="93"/>
      <c r="P26" s="1461">
        <v>1545839</v>
      </c>
      <c r="Q26" s="95"/>
      <c r="R26" s="1461">
        <v>733257</v>
      </c>
      <c r="S26" s="1538"/>
      <c r="T26" s="1461">
        <v>1273192</v>
      </c>
      <c r="U26" s="1538"/>
      <c r="V26" s="1461">
        <v>1545839</v>
      </c>
      <c r="W26" s="2052"/>
      <c r="X26" s="2465"/>
      <c r="Y26" s="98"/>
      <c r="Z26" s="99" t="s">
        <v>37</v>
      </c>
      <c r="AA26" s="138"/>
      <c r="AB26" s="138"/>
      <c r="AC26" s="99"/>
      <c r="AD26" s="110"/>
      <c r="AE26" s="114" t="s">
        <v>42</v>
      </c>
      <c r="AF26" s="112"/>
      <c r="AG26" s="10"/>
    </row>
    <row r="27" spans="2:33" ht="20.100000000000001" customHeight="1">
      <c r="B27" s="84" t="b">
        <f t="shared" si="1"/>
        <v>1</v>
      </c>
      <c r="C27" s="103" t="s">
        <v>1748</v>
      </c>
      <c r="D27" s="104"/>
      <c r="E27" s="104"/>
      <c r="F27" s="105" t="s">
        <v>33</v>
      </c>
      <c r="G27" s="142"/>
      <c r="H27" s="140" t="s">
        <v>60</v>
      </c>
      <c r="I27" s="140"/>
      <c r="J27" s="141"/>
      <c r="K27" s="109" t="s">
        <v>35</v>
      </c>
      <c r="L27" s="92">
        <v>546924</v>
      </c>
      <c r="M27" s="95"/>
      <c r="N27" s="92">
        <v>836913</v>
      </c>
      <c r="O27" s="93"/>
      <c r="P27" s="1461"/>
      <c r="Q27" s="95"/>
      <c r="R27" s="5792"/>
      <c r="S27" s="1538"/>
      <c r="T27" s="5792"/>
      <c r="U27" s="1538"/>
      <c r="V27" s="5792"/>
      <c r="W27" s="2052"/>
      <c r="X27" s="2465"/>
      <c r="Y27" s="98"/>
      <c r="Z27" s="99" t="s">
        <v>37</v>
      </c>
      <c r="AA27" s="138"/>
      <c r="AB27" s="138"/>
      <c r="AC27" s="99"/>
      <c r="AD27" s="110"/>
      <c r="AE27" s="111"/>
      <c r="AF27" s="112"/>
      <c r="AG27" s="18"/>
    </row>
    <row r="28" spans="2:33" ht="20.100000000000001" customHeight="1">
      <c r="B28" s="84" t="b">
        <f t="shared" si="1"/>
        <v>1</v>
      </c>
      <c r="C28" s="103" t="s">
        <v>1749</v>
      </c>
      <c r="D28" s="104"/>
      <c r="E28" s="104"/>
      <c r="F28" s="105" t="s">
        <v>33</v>
      </c>
      <c r="G28" s="142"/>
      <c r="H28" s="140" t="s">
        <v>1750</v>
      </c>
      <c r="I28" s="140"/>
      <c r="J28" s="141"/>
      <c r="K28" s="109" t="s">
        <v>35</v>
      </c>
      <c r="L28" s="92">
        <v>189391</v>
      </c>
      <c r="M28" s="95"/>
      <c r="N28" s="92">
        <v>444392</v>
      </c>
      <c r="O28" s="93"/>
      <c r="P28" s="1461"/>
      <c r="Q28" s="95"/>
      <c r="R28" s="5792"/>
      <c r="S28" s="1538"/>
      <c r="T28" s="5792"/>
      <c r="U28" s="1538"/>
      <c r="V28" s="5792"/>
      <c r="W28" s="2052"/>
      <c r="X28" s="2465"/>
      <c r="Y28" s="98"/>
      <c r="Z28" s="99" t="s">
        <v>37</v>
      </c>
      <c r="AA28" s="138"/>
      <c r="AB28" s="138"/>
      <c r="AC28" s="99"/>
      <c r="AD28" s="110"/>
      <c r="AE28" s="111"/>
      <c r="AF28" s="112"/>
      <c r="AG28" s="18"/>
    </row>
    <row r="29" spans="2:33" ht="20.100000000000001" customHeight="1">
      <c r="B29" s="113" t="b">
        <f t="shared" si="1"/>
        <v>1</v>
      </c>
      <c r="C29" s="103" t="s">
        <v>1751</v>
      </c>
      <c r="D29" s="104"/>
      <c r="E29" s="104"/>
      <c r="F29" s="105" t="s">
        <v>33</v>
      </c>
      <c r="G29" s="142"/>
      <c r="H29" s="140" t="s">
        <v>1752</v>
      </c>
      <c r="I29" s="140"/>
      <c r="J29" s="141"/>
      <c r="K29" s="109" t="s">
        <v>35</v>
      </c>
      <c r="L29" s="92">
        <v>430837</v>
      </c>
      <c r="M29" s="95"/>
      <c r="N29" s="92">
        <v>521158</v>
      </c>
      <c r="O29" s="93"/>
      <c r="P29" s="1461"/>
      <c r="Q29" s="95"/>
      <c r="R29" s="5792"/>
      <c r="S29" s="1538"/>
      <c r="T29" s="5792"/>
      <c r="U29" s="1538"/>
      <c r="V29" s="5792"/>
      <c r="W29" s="2052"/>
      <c r="X29" s="2465"/>
      <c r="Y29" s="98"/>
      <c r="Z29" s="99" t="s">
        <v>37</v>
      </c>
      <c r="AA29" s="138"/>
      <c r="AB29" s="138"/>
      <c r="AC29" s="99"/>
      <c r="AD29" s="110"/>
      <c r="AE29" s="114" t="s">
        <v>42</v>
      </c>
      <c r="AF29" s="112"/>
      <c r="AG29" s="18"/>
    </row>
    <row r="30" spans="2:33" s="139" customFormat="1" ht="20.100000000000001" customHeight="1">
      <c r="B30" s="113" t="b">
        <f t="shared" si="1"/>
        <v>0</v>
      </c>
      <c r="C30" s="103" t="s">
        <v>61</v>
      </c>
      <c r="D30" s="104"/>
      <c r="E30" s="104"/>
      <c r="F30" s="105" t="s">
        <v>33</v>
      </c>
      <c r="G30" s="133"/>
      <c r="H30" s="140" t="s">
        <v>62</v>
      </c>
      <c r="I30" s="140"/>
      <c r="J30" s="141"/>
      <c r="K30" s="109" t="s">
        <v>35</v>
      </c>
      <c r="L30" s="92">
        <v>-241446</v>
      </c>
      <c r="M30" s="95"/>
      <c r="N30" s="92">
        <v>-76766</v>
      </c>
      <c r="O30" s="93"/>
      <c r="P30" s="1461">
        <v>49065</v>
      </c>
      <c r="Q30" s="95"/>
      <c r="R30" s="1461">
        <v>-235798</v>
      </c>
      <c r="S30" s="1538"/>
      <c r="T30" s="1461">
        <v>-70236</v>
      </c>
      <c r="U30" s="1538"/>
      <c r="V30" s="1461">
        <v>49065</v>
      </c>
      <c r="W30" s="2052"/>
      <c r="X30" s="2465"/>
      <c r="Y30" s="98"/>
      <c r="Z30" s="99" t="s">
        <v>37</v>
      </c>
      <c r="AA30" s="138"/>
      <c r="AB30" s="138"/>
      <c r="AC30" s="99"/>
      <c r="AD30" s="110"/>
      <c r="AE30" s="114" t="s">
        <v>42</v>
      </c>
      <c r="AF30" s="112"/>
      <c r="AG30" s="10"/>
    </row>
    <row r="31" spans="2:33" ht="20.100000000000001" customHeight="1">
      <c r="B31" s="113" t="b">
        <f t="shared" si="1"/>
        <v>0</v>
      </c>
      <c r="C31" s="103" t="s">
        <v>63</v>
      </c>
      <c r="D31" s="104"/>
      <c r="E31" s="104"/>
      <c r="F31" s="105" t="s">
        <v>33</v>
      </c>
      <c r="G31" s="142"/>
      <c r="H31" s="140" t="s">
        <v>64</v>
      </c>
      <c r="I31" s="140"/>
      <c r="J31" s="141"/>
      <c r="K31" s="109" t="s">
        <v>35</v>
      </c>
      <c r="L31" s="92">
        <v>67643</v>
      </c>
      <c r="M31" s="95"/>
      <c r="N31" s="92">
        <v>99661</v>
      </c>
      <c r="O31" s="93"/>
      <c r="P31" s="1461">
        <v>54024</v>
      </c>
      <c r="Q31" s="95"/>
      <c r="R31" s="1461">
        <v>67643</v>
      </c>
      <c r="S31" s="1538"/>
      <c r="T31" s="1461">
        <v>99955</v>
      </c>
      <c r="U31" s="1538"/>
      <c r="V31" s="1461">
        <v>54024</v>
      </c>
      <c r="W31" s="2052"/>
      <c r="X31" s="2465"/>
      <c r="Y31" s="98"/>
      <c r="Z31" s="99" t="s">
        <v>37</v>
      </c>
      <c r="AA31" s="138"/>
      <c r="AB31" s="138"/>
      <c r="AC31" s="99"/>
      <c r="AD31" s="110"/>
      <c r="AE31" s="111"/>
      <c r="AF31" s="112"/>
      <c r="AG31" s="18"/>
    </row>
    <row r="32" spans="2:33" ht="20.100000000000001" customHeight="1">
      <c r="B32" s="84" t="b">
        <f t="shared" si="1"/>
        <v>0</v>
      </c>
      <c r="C32" s="103" t="s">
        <v>65</v>
      </c>
      <c r="D32" s="104"/>
      <c r="E32" s="104"/>
      <c r="F32" s="105" t="s">
        <v>33</v>
      </c>
      <c r="G32" s="142"/>
      <c r="H32" s="140" t="s">
        <v>66</v>
      </c>
      <c r="I32" s="140"/>
      <c r="J32" s="141"/>
      <c r="K32" s="109" t="s">
        <v>35</v>
      </c>
      <c r="L32" s="92">
        <v>-193588</v>
      </c>
      <c r="M32" s="95"/>
      <c r="N32" s="92">
        <v>-232593</v>
      </c>
      <c r="O32" s="93"/>
      <c r="P32" s="1461">
        <v>-228193</v>
      </c>
      <c r="Q32" s="95"/>
      <c r="R32" s="1461">
        <v>-191348</v>
      </c>
      <c r="S32" s="1538"/>
      <c r="T32" s="1461">
        <v>-229457</v>
      </c>
      <c r="U32" s="1538"/>
      <c r="V32" s="1461">
        <v>-228193</v>
      </c>
      <c r="W32" s="2052"/>
      <c r="X32" s="2465"/>
      <c r="Y32" s="98"/>
      <c r="Z32" s="99" t="s">
        <v>37</v>
      </c>
      <c r="AA32" s="138"/>
      <c r="AB32" s="138"/>
      <c r="AC32" s="99"/>
      <c r="AD32" s="110"/>
      <c r="AE32" s="110"/>
      <c r="AF32" s="112"/>
      <c r="AG32" s="18"/>
    </row>
    <row r="33" spans="2:33" ht="20.100000000000001" customHeight="1">
      <c r="B33" s="84" t="b">
        <f t="shared" si="1"/>
        <v>0</v>
      </c>
      <c r="C33" s="103" t="s">
        <v>67</v>
      </c>
      <c r="D33" s="104"/>
      <c r="E33" s="104"/>
      <c r="F33" s="105" t="s">
        <v>33</v>
      </c>
      <c r="G33" s="142"/>
      <c r="H33" s="140" t="s">
        <v>68</v>
      </c>
      <c r="I33" s="140"/>
      <c r="J33" s="141"/>
      <c r="K33" s="109" t="s">
        <v>35</v>
      </c>
      <c r="L33" s="92">
        <v>-3052</v>
      </c>
      <c r="M33" s="95"/>
      <c r="N33" s="92">
        <v>-16104</v>
      </c>
      <c r="O33" s="93"/>
      <c r="P33" s="1461">
        <f>65441-83008</f>
        <v>-17567</v>
      </c>
      <c r="Q33" s="95"/>
      <c r="R33" s="1461">
        <f>94458-91244</f>
        <v>3214</v>
      </c>
      <c r="S33" s="1538"/>
      <c r="T33" s="1461">
        <f>72178-46861</f>
        <v>25317</v>
      </c>
      <c r="U33" s="1538"/>
      <c r="V33" s="1461">
        <f>65441-83008</f>
        <v>-17567</v>
      </c>
      <c r="W33" s="2052"/>
      <c r="X33" s="2465"/>
      <c r="Y33" s="98"/>
      <c r="Z33" s="99" t="s">
        <v>37</v>
      </c>
      <c r="AA33" s="138"/>
      <c r="AB33" s="138"/>
      <c r="AC33" s="99"/>
      <c r="AD33" s="110"/>
      <c r="AE33" s="111"/>
      <c r="AF33" s="112"/>
      <c r="AG33" s="18"/>
    </row>
    <row r="34" spans="2:33" ht="20.100000000000001" customHeight="1">
      <c r="B34" s="84" t="b">
        <f t="shared" si="1"/>
        <v>0</v>
      </c>
      <c r="C34" s="103" t="s">
        <v>69</v>
      </c>
      <c r="D34" s="104"/>
      <c r="E34" s="104"/>
      <c r="F34" s="105" t="s">
        <v>33</v>
      </c>
      <c r="G34" s="142"/>
      <c r="H34" s="143" t="s">
        <v>70</v>
      </c>
      <c r="I34" s="143"/>
      <c r="J34" s="144"/>
      <c r="K34" s="109" t="s">
        <v>35</v>
      </c>
      <c r="L34" s="92">
        <v>-2865</v>
      </c>
      <c r="M34" s="95"/>
      <c r="N34" s="92">
        <v>-11841</v>
      </c>
      <c r="O34" s="93"/>
      <c r="P34" s="1461">
        <f>899-2501+26771</f>
        <v>25169</v>
      </c>
      <c r="Q34" s="95"/>
      <c r="R34" s="1461">
        <f>403-3268</f>
        <v>-2865</v>
      </c>
      <c r="S34" s="1538"/>
      <c r="T34" s="1461">
        <f>-4133-7708</f>
        <v>-11841</v>
      </c>
      <c r="U34" s="1538"/>
      <c r="V34" s="1461">
        <f>899-2501+26771</f>
        <v>25169</v>
      </c>
      <c r="W34" s="2052"/>
      <c r="X34" s="2465"/>
      <c r="Y34" s="98"/>
      <c r="Z34" s="99" t="s">
        <v>37</v>
      </c>
      <c r="AA34" s="138"/>
      <c r="AB34" s="138"/>
      <c r="AC34" s="99"/>
      <c r="AD34" s="110"/>
      <c r="AE34" s="110"/>
      <c r="AF34" s="112"/>
      <c r="AG34" s="18"/>
    </row>
    <row r="35" spans="2:33" ht="20.100000000000001" customHeight="1">
      <c r="B35" s="84" t="b">
        <f t="shared" si="1"/>
        <v>0</v>
      </c>
      <c r="C35" s="103" t="s">
        <v>71</v>
      </c>
      <c r="D35" s="104"/>
      <c r="E35" s="104"/>
      <c r="F35" s="132" t="s">
        <v>33</v>
      </c>
      <c r="G35" s="142"/>
      <c r="H35" s="143" t="s">
        <v>72</v>
      </c>
      <c r="I35" s="143"/>
      <c r="J35" s="144"/>
      <c r="K35" s="136" t="s">
        <v>35</v>
      </c>
      <c r="L35" s="92">
        <v>-373308</v>
      </c>
      <c r="M35" s="95"/>
      <c r="N35" s="92">
        <v>-237643</v>
      </c>
      <c r="O35" s="93"/>
      <c r="P35" s="1461">
        <v>-117502</v>
      </c>
      <c r="Q35" s="95"/>
      <c r="R35" s="1461">
        <v>-359154</v>
      </c>
      <c r="S35" s="1538"/>
      <c r="T35" s="1461">
        <v>-186262</v>
      </c>
      <c r="U35" s="1538"/>
      <c r="V35" s="1461">
        <v>-117502</v>
      </c>
      <c r="W35" s="2052"/>
      <c r="X35" s="2465"/>
      <c r="Y35" s="98"/>
      <c r="Z35" s="99" t="s">
        <v>37</v>
      </c>
      <c r="AA35" s="138"/>
      <c r="AB35" s="138"/>
      <c r="AC35" s="99"/>
      <c r="AD35" s="110"/>
      <c r="AE35" s="110"/>
      <c r="AF35" s="112"/>
      <c r="AG35" s="18"/>
    </row>
    <row r="36" spans="2:33" ht="20.100000000000001" customHeight="1">
      <c r="B36" s="113" t="b">
        <f t="shared" si="1"/>
        <v>0</v>
      </c>
      <c r="C36" s="103" t="s">
        <v>73</v>
      </c>
      <c r="D36" s="104"/>
      <c r="E36" s="104"/>
      <c r="F36" s="105" t="s">
        <v>33</v>
      </c>
      <c r="G36" s="142"/>
      <c r="H36" s="143" t="s">
        <v>74</v>
      </c>
      <c r="I36" s="143"/>
      <c r="J36" s="144"/>
      <c r="K36" s="109" t="s">
        <v>35</v>
      </c>
      <c r="L36" s="92">
        <v>34520</v>
      </c>
      <c r="M36" s="95"/>
      <c r="N36" s="92">
        <v>23136</v>
      </c>
      <c r="O36" s="93"/>
      <c r="P36" s="1461">
        <v>2191</v>
      </c>
      <c r="Q36" s="95"/>
      <c r="R36" s="1461">
        <v>34521</v>
      </c>
      <c r="S36" s="1538"/>
      <c r="T36" s="1461">
        <v>23137</v>
      </c>
      <c r="U36" s="1538"/>
      <c r="V36" s="1461">
        <v>2191</v>
      </c>
      <c r="W36" s="2052"/>
      <c r="X36" s="2465"/>
      <c r="Y36" s="98"/>
      <c r="Z36" s="99" t="s">
        <v>37</v>
      </c>
      <c r="AA36" s="138"/>
      <c r="AB36" s="138"/>
      <c r="AC36" s="99"/>
      <c r="AD36" s="110"/>
      <c r="AE36" s="114" t="s">
        <v>42</v>
      </c>
      <c r="AF36" s="112"/>
      <c r="AG36" s="18"/>
    </row>
    <row r="37" spans="2:33" s="139" customFormat="1" ht="20.100000000000001" customHeight="1">
      <c r="B37" s="113" t="b">
        <f t="shared" si="1"/>
        <v>0</v>
      </c>
      <c r="C37" s="103" t="s">
        <v>75</v>
      </c>
      <c r="D37" s="104"/>
      <c r="E37" s="104"/>
      <c r="F37" s="105" t="s">
        <v>33</v>
      </c>
      <c r="G37" s="133"/>
      <c r="H37" s="140" t="s">
        <v>76</v>
      </c>
      <c r="I37" s="140"/>
      <c r="J37" s="141"/>
      <c r="K37" s="109" t="s">
        <v>35</v>
      </c>
      <c r="L37" s="92">
        <v>-338788</v>
      </c>
      <c r="M37" s="95"/>
      <c r="N37" s="92">
        <v>-214508</v>
      </c>
      <c r="O37" s="93"/>
      <c r="P37" s="1461">
        <v>-123353</v>
      </c>
      <c r="Q37" s="95"/>
      <c r="R37" s="1461">
        <v>-338788</v>
      </c>
      <c r="S37" s="1538"/>
      <c r="T37" s="1461">
        <v>-214508</v>
      </c>
      <c r="U37" s="1538"/>
      <c r="V37" s="1461">
        <v>-123353</v>
      </c>
      <c r="W37" s="2052"/>
      <c r="X37" s="2465"/>
      <c r="Y37" s="98"/>
      <c r="Z37" s="99" t="s">
        <v>37</v>
      </c>
      <c r="AA37" s="138"/>
      <c r="AB37" s="138"/>
      <c r="AC37" s="99"/>
      <c r="AD37" s="110"/>
      <c r="AE37" s="114" t="s">
        <v>42</v>
      </c>
      <c r="AF37" s="112"/>
      <c r="AG37" s="10"/>
    </row>
    <row r="38" spans="2:33" ht="20.100000000000001" customHeight="1">
      <c r="B38" s="84" t="b">
        <f t="shared" si="1"/>
        <v>0</v>
      </c>
      <c r="C38" s="103" t="s">
        <v>77</v>
      </c>
      <c r="D38" s="104"/>
      <c r="E38" s="104"/>
      <c r="F38" s="105" t="s">
        <v>33</v>
      </c>
      <c r="G38" s="142"/>
      <c r="H38" s="143" t="s">
        <v>78</v>
      </c>
      <c r="I38" s="143"/>
      <c r="J38" s="144"/>
      <c r="K38" s="109" t="s">
        <v>35</v>
      </c>
      <c r="L38" s="92">
        <v>35285</v>
      </c>
      <c r="M38" s="95"/>
      <c r="N38" s="92">
        <v>-22562</v>
      </c>
      <c r="O38" s="93"/>
      <c r="P38" s="1461">
        <v>29411</v>
      </c>
      <c r="Q38" s="95"/>
      <c r="R38" s="1461">
        <v>35285</v>
      </c>
      <c r="S38" s="1538"/>
      <c r="T38" s="1461">
        <v>-22561</v>
      </c>
      <c r="U38" s="1538"/>
      <c r="V38" s="1461">
        <v>29411</v>
      </c>
      <c r="W38" s="2052"/>
      <c r="X38" s="2465"/>
      <c r="Y38" s="98"/>
      <c r="Z38" s="99" t="s">
        <v>37</v>
      </c>
      <c r="AA38" s="138"/>
      <c r="AB38" s="138"/>
      <c r="AC38" s="99"/>
      <c r="AD38" s="110"/>
      <c r="AE38" s="110"/>
      <c r="AF38" s="112"/>
      <c r="AG38" s="18"/>
    </row>
    <row r="39" spans="2:33" ht="20.100000000000001" customHeight="1" thickBot="1">
      <c r="B39" s="84" t="b">
        <f t="shared" si="1"/>
        <v>0</v>
      </c>
      <c r="C39" s="117" t="s">
        <v>79</v>
      </c>
      <c r="D39" s="118"/>
      <c r="E39" s="118"/>
      <c r="F39" s="105" t="s">
        <v>33</v>
      </c>
      <c r="G39" s="142"/>
      <c r="H39" s="145" t="s">
        <v>80</v>
      </c>
      <c r="I39" s="145"/>
      <c r="J39" s="146"/>
      <c r="K39" s="109" t="s">
        <v>35</v>
      </c>
      <c r="L39" s="92">
        <v>-303503</v>
      </c>
      <c r="M39" s="95"/>
      <c r="N39" s="92">
        <v>-237069</v>
      </c>
      <c r="O39" s="93"/>
      <c r="P39" s="1461">
        <v>-93942</v>
      </c>
      <c r="Q39" s="95"/>
      <c r="R39" s="1461">
        <v>-303503</v>
      </c>
      <c r="S39" s="1538"/>
      <c r="T39" s="1461">
        <v>-237069</v>
      </c>
      <c r="U39" s="1538"/>
      <c r="V39" s="1461">
        <v>-93942</v>
      </c>
      <c r="W39" s="2052"/>
      <c r="X39" s="2465"/>
      <c r="Y39" s="98"/>
      <c r="Z39" s="99" t="s">
        <v>37</v>
      </c>
      <c r="AA39" s="138"/>
      <c r="AB39" s="138"/>
      <c r="AC39" s="99"/>
      <c r="AD39" s="110"/>
      <c r="AE39" s="110"/>
      <c r="AF39" s="112"/>
      <c r="AG39" s="18"/>
    </row>
    <row r="40" spans="2:33" ht="27" thickBot="1">
      <c r="B40" s="123" t="s">
        <v>81</v>
      </c>
      <c r="C40" s="124"/>
      <c r="D40" s="124"/>
      <c r="E40" s="124"/>
      <c r="F40" s="78"/>
      <c r="G40" s="125" t="s">
        <v>82</v>
      </c>
      <c r="H40" s="126"/>
      <c r="I40" s="126"/>
      <c r="J40" s="126"/>
      <c r="K40" s="78"/>
      <c r="L40" s="147"/>
      <c r="M40" s="147"/>
      <c r="N40" s="147"/>
      <c r="O40" s="147"/>
      <c r="P40" s="147"/>
      <c r="Q40" s="147"/>
      <c r="R40" s="1705"/>
      <c r="S40" s="1706"/>
      <c r="T40" s="1705"/>
      <c r="U40" s="1706"/>
      <c r="V40" s="1705"/>
      <c r="W40" s="147"/>
      <c r="X40" s="80"/>
      <c r="Y40" s="80"/>
      <c r="Z40" s="129"/>
      <c r="AA40" s="129"/>
      <c r="AB40" s="129"/>
      <c r="AC40" s="129"/>
      <c r="AD40" s="130"/>
      <c r="AE40" s="130"/>
      <c r="AF40" s="131"/>
      <c r="AG40" s="18"/>
    </row>
    <row r="41" spans="2:33" ht="20.100000000000001" customHeight="1">
      <c r="B41" s="1351" t="b">
        <f t="shared" ref="B41:B48" si="2">OR(ISBLANK(R41),ISBLANK(T41),ISBLANK(V41))</f>
        <v>0</v>
      </c>
      <c r="C41" s="85" t="s">
        <v>32</v>
      </c>
      <c r="D41" s="86"/>
      <c r="E41" s="86"/>
      <c r="F41" s="105" t="s">
        <v>33</v>
      </c>
      <c r="G41" s="142"/>
      <c r="H41" s="104" t="s">
        <v>83</v>
      </c>
      <c r="I41" s="104"/>
      <c r="J41" s="104"/>
      <c r="K41" s="109" t="s">
        <v>35</v>
      </c>
      <c r="L41" s="149"/>
      <c r="M41" s="149"/>
      <c r="N41" s="150"/>
      <c r="O41" s="150"/>
      <c r="P41" s="150"/>
      <c r="Q41" s="95"/>
      <c r="R41" s="1464">
        <v>447740</v>
      </c>
      <c r="S41" s="1526"/>
      <c r="T41" s="1464">
        <v>563407</v>
      </c>
      <c r="U41" s="1522"/>
      <c r="V41" s="1464">
        <v>403970</v>
      </c>
      <c r="W41" s="2053"/>
      <c r="X41" s="2465"/>
      <c r="Y41" s="98"/>
      <c r="Z41" s="99" t="s">
        <v>37</v>
      </c>
      <c r="AA41" s="138"/>
      <c r="AB41" s="138"/>
      <c r="AC41" s="99"/>
      <c r="AD41" s="110"/>
      <c r="AE41" s="154"/>
      <c r="AF41" s="112"/>
      <c r="AG41" s="18"/>
    </row>
    <row r="42" spans="2:33" ht="20.100000000000001" customHeight="1">
      <c r="B42" s="1351" t="b">
        <f t="shared" si="2"/>
        <v>0</v>
      </c>
      <c r="C42" s="103" t="s">
        <v>38</v>
      </c>
      <c r="D42" s="104"/>
      <c r="E42" s="104"/>
      <c r="F42" s="105" t="s">
        <v>33</v>
      </c>
      <c r="G42" s="142"/>
      <c r="H42" s="104" t="s">
        <v>84</v>
      </c>
      <c r="I42" s="104"/>
      <c r="J42" s="104"/>
      <c r="K42" s="109" t="s">
        <v>35</v>
      </c>
      <c r="L42" s="150"/>
      <c r="M42" s="150"/>
      <c r="N42" s="150"/>
      <c r="O42" s="150"/>
      <c r="P42" s="150"/>
      <c r="Q42" s="95"/>
      <c r="R42" s="1464">
        <v>1571781</v>
      </c>
      <c r="S42" s="1526"/>
      <c r="T42" s="1464">
        <v>1429245</v>
      </c>
      <c r="U42" s="1522"/>
      <c r="V42" s="1464">
        <v>1557735</v>
      </c>
      <c r="W42" s="2053"/>
      <c r="X42" s="2465"/>
      <c r="Y42" s="98"/>
      <c r="Z42" s="99" t="s">
        <v>37</v>
      </c>
      <c r="AA42" s="138"/>
      <c r="AB42" s="138"/>
      <c r="AC42" s="99"/>
      <c r="AD42" s="110"/>
      <c r="AE42" s="154"/>
      <c r="AF42" s="112"/>
      <c r="AG42" s="18"/>
    </row>
    <row r="43" spans="2:33" ht="20.100000000000001" customHeight="1">
      <c r="B43" s="1351" t="b">
        <f t="shared" si="2"/>
        <v>0</v>
      </c>
      <c r="C43" s="103" t="s">
        <v>40</v>
      </c>
      <c r="D43" s="104"/>
      <c r="E43" s="104"/>
      <c r="F43" s="105" t="s">
        <v>33</v>
      </c>
      <c r="G43" s="142"/>
      <c r="H43" s="104" t="s">
        <v>85</v>
      </c>
      <c r="I43" s="104"/>
      <c r="J43" s="104"/>
      <c r="K43" s="109" t="s">
        <v>35</v>
      </c>
      <c r="L43" s="150"/>
      <c r="M43" s="150"/>
      <c r="N43" s="150"/>
      <c r="O43" s="150"/>
      <c r="P43" s="150"/>
      <c r="Q43" s="95"/>
      <c r="R43" s="1464">
        <v>2019522</v>
      </c>
      <c r="S43" s="1526"/>
      <c r="T43" s="1464">
        <v>1992652</v>
      </c>
      <c r="U43" s="1522"/>
      <c r="V43" s="1464">
        <v>1961705</v>
      </c>
      <c r="W43" s="2053"/>
      <c r="X43" s="2465"/>
      <c r="Y43" s="98"/>
      <c r="Z43" s="99" t="s">
        <v>37</v>
      </c>
      <c r="AA43" s="138"/>
      <c r="AB43" s="138"/>
      <c r="AC43" s="99"/>
      <c r="AD43" s="110"/>
      <c r="AE43" s="154" t="s">
        <v>42</v>
      </c>
      <c r="AF43" s="112"/>
      <c r="AG43" s="18"/>
    </row>
    <row r="44" spans="2:33" ht="20.100000000000001" customHeight="1">
      <c r="B44" s="1351" t="b">
        <f t="shared" si="2"/>
        <v>0</v>
      </c>
      <c r="C44" s="103" t="s">
        <v>43</v>
      </c>
      <c r="D44" s="104"/>
      <c r="E44" s="104"/>
      <c r="F44" s="105" t="s">
        <v>33</v>
      </c>
      <c r="G44" s="142"/>
      <c r="H44" s="104" t="s">
        <v>86</v>
      </c>
      <c r="I44" s="104"/>
      <c r="J44" s="104"/>
      <c r="K44" s="109" t="s">
        <v>35</v>
      </c>
      <c r="L44" s="149"/>
      <c r="M44" s="149"/>
      <c r="N44" s="150"/>
      <c r="O44" s="150"/>
      <c r="P44" s="150"/>
      <c r="Q44" s="95"/>
      <c r="R44" s="1464">
        <v>326149</v>
      </c>
      <c r="S44" s="1526"/>
      <c r="T44" s="1464">
        <v>618778</v>
      </c>
      <c r="U44" s="1522"/>
      <c r="V44" s="1464">
        <v>420289</v>
      </c>
      <c r="W44" s="2053"/>
      <c r="X44" s="2465"/>
      <c r="Y44" s="98"/>
      <c r="Z44" s="99" t="s">
        <v>37</v>
      </c>
      <c r="AA44" s="138"/>
      <c r="AB44" s="138"/>
      <c r="AC44" s="99"/>
      <c r="AD44" s="110"/>
      <c r="AE44" s="154"/>
      <c r="AF44" s="112"/>
      <c r="AG44" s="18"/>
    </row>
    <row r="45" spans="2:33" ht="20.100000000000001" customHeight="1">
      <c r="B45" s="1351" t="b">
        <f t="shared" si="2"/>
        <v>0</v>
      </c>
      <c r="C45" s="103" t="s">
        <v>45</v>
      </c>
      <c r="D45" s="104"/>
      <c r="E45" s="104"/>
      <c r="F45" s="105" t="s">
        <v>33</v>
      </c>
      <c r="G45" s="142"/>
      <c r="H45" s="104" t="s">
        <v>87</v>
      </c>
      <c r="I45" s="104"/>
      <c r="J45" s="104"/>
      <c r="K45" s="109" t="s">
        <v>35</v>
      </c>
      <c r="L45" s="150"/>
      <c r="M45" s="150"/>
      <c r="N45" s="150"/>
      <c r="O45" s="150"/>
      <c r="P45" s="150"/>
      <c r="Q45" s="95"/>
      <c r="R45" s="1464">
        <v>1296392</v>
      </c>
      <c r="S45" s="1526"/>
      <c r="T45" s="1464">
        <v>804577</v>
      </c>
      <c r="U45" s="1522"/>
      <c r="V45" s="1464">
        <v>912958</v>
      </c>
      <c r="W45" s="2053"/>
      <c r="X45" s="2465"/>
      <c r="Y45" s="98"/>
      <c r="Z45" s="99" t="s">
        <v>37</v>
      </c>
      <c r="AA45" s="138"/>
      <c r="AB45" s="138"/>
      <c r="AC45" s="99"/>
      <c r="AD45" s="110"/>
      <c r="AE45" s="154"/>
      <c r="AF45" s="112"/>
      <c r="AG45" s="18"/>
    </row>
    <row r="46" spans="2:33" ht="20.100000000000001" customHeight="1">
      <c r="B46" s="1351" t="b">
        <f t="shared" si="2"/>
        <v>0</v>
      </c>
      <c r="C46" s="103" t="s">
        <v>47</v>
      </c>
      <c r="D46" s="104"/>
      <c r="E46" s="104"/>
      <c r="F46" s="132" t="s">
        <v>33</v>
      </c>
      <c r="G46" s="106"/>
      <c r="H46" s="104" t="s">
        <v>88</v>
      </c>
      <c r="I46" s="104"/>
      <c r="J46" s="104"/>
      <c r="K46" s="136" t="s">
        <v>35</v>
      </c>
      <c r="L46" s="150"/>
      <c r="M46" s="150"/>
      <c r="N46" s="150"/>
      <c r="O46" s="150"/>
      <c r="P46" s="150"/>
      <c r="Q46" s="95"/>
      <c r="R46" s="1464">
        <v>1622540</v>
      </c>
      <c r="S46" s="1526"/>
      <c r="T46" s="1464">
        <v>1423355</v>
      </c>
      <c r="U46" s="1522"/>
      <c r="V46" s="1464">
        <v>1333247</v>
      </c>
      <c r="W46" s="2053"/>
      <c r="X46" s="2465"/>
      <c r="Y46" s="98"/>
      <c r="Z46" s="99" t="s">
        <v>37</v>
      </c>
      <c r="AA46" s="138"/>
      <c r="AB46" s="138"/>
      <c r="AC46" s="99"/>
      <c r="AD46" s="110"/>
      <c r="AE46" s="154" t="s">
        <v>42</v>
      </c>
      <c r="AF46" s="112"/>
      <c r="AG46" s="18"/>
    </row>
    <row r="47" spans="2:33" ht="20.100000000000001" customHeight="1">
      <c r="B47" s="1351" t="b">
        <f t="shared" si="2"/>
        <v>0</v>
      </c>
      <c r="C47" s="103" t="s">
        <v>51</v>
      </c>
      <c r="D47" s="104"/>
      <c r="E47" s="104"/>
      <c r="F47" s="105" t="s">
        <v>33</v>
      </c>
      <c r="G47" s="106"/>
      <c r="H47" s="104" t="s">
        <v>89</v>
      </c>
      <c r="I47" s="104"/>
      <c r="J47" s="104"/>
      <c r="K47" s="109" t="s">
        <v>35</v>
      </c>
      <c r="L47" s="150"/>
      <c r="M47" s="150"/>
      <c r="N47" s="150"/>
      <c r="O47" s="150"/>
      <c r="P47" s="150"/>
      <c r="Q47" s="95"/>
      <c r="R47" s="1464">
        <v>396981</v>
      </c>
      <c r="S47" s="1526"/>
      <c r="T47" s="1464">
        <v>569297</v>
      </c>
      <c r="U47" s="1522"/>
      <c r="V47" s="1464">
        <v>628458</v>
      </c>
      <c r="W47" s="2053"/>
      <c r="X47" s="2465"/>
      <c r="Y47" s="98"/>
      <c r="Z47" s="99" t="s">
        <v>37</v>
      </c>
      <c r="AA47" s="138"/>
      <c r="AB47" s="138"/>
      <c r="AC47" s="99"/>
      <c r="AD47" s="110"/>
      <c r="AE47" s="154" t="s">
        <v>42</v>
      </c>
      <c r="AF47" s="112"/>
      <c r="AG47" s="18"/>
    </row>
    <row r="48" spans="2:33" ht="20.100000000000001" customHeight="1" thickBot="1">
      <c r="B48" s="1351" t="b">
        <f t="shared" si="2"/>
        <v>0</v>
      </c>
      <c r="C48" s="117" t="s">
        <v>53</v>
      </c>
      <c r="D48" s="118"/>
      <c r="E48" s="118"/>
      <c r="F48" s="105" t="s">
        <v>33</v>
      </c>
      <c r="G48" s="106"/>
      <c r="H48" s="104" t="s">
        <v>90</v>
      </c>
      <c r="I48" s="104"/>
      <c r="J48" s="104"/>
      <c r="K48" s="109" t="s">
        <v>35</v>
      </c>
      <c r="L48" s="150"/>
      <c r="M48" s="150"/>
      <c r="N48" s="150"/>
      <c r="O48" s="150"/>
      <c r="P48" s="150"/>
      <c r="Q48" s="95"/>
      <c r="R48" s="1464">
        <v>2019522</v>
      </c>
      <c r="S48" s="1526"/>
      <c r="T48" s="1464">
        <v>1992652</v>
      </c>
      <c r="U48" s="1522"/>
      <c r="V48" s="1464">
        <v>1961705</v>
      </c>
      <c r="W48" s="2053"/>
      <c r="X48" s="2465"/>
      <c r="Y48" s="98"/>
      <c r="Z48" s="99" t="s">
        <v>37</v>
      </c>
      <c r="AA48" s="138"/>
      <c r="AB48" s="138"/>
      <c r="AC48" s="99"/>
      <c r="AD48" s="110"/>
      <c r="AE48" s="154"/>
      <c r="AF48" s="112"/>
      <c r="AG48" s="18"/>
    </row>
    <row r="49" spans="2:33" ht="27" thickBot="1">
      <c r="B49" s="123" t="s">
        <v>91</v>
      </c>
      <c r="C49" s="124"/>
      <c r="D49" s="124"/>
      <c r="E49" s="124"/>
      <c r="F49" s="78"/>
      <c r="G49" s="155" t="s">
        <v>1753</v>
      </c>
      <c r="H49" s="126"/>
      <c r="I49" s="126"/>
      <c r="J49" s="126"/>
      <c r="K49" s="78"/>
      <c r="L49" s="77"/>
      <c r="M49" s="77"/>
      <c r="N49" s="77"/>
      <c r="O49" s="77"/>
      <c r="P49" s="77"/>
      <c r="Q49" s="77"/>
      <c r="R49" s="1707"/>
      <c r="S49" s="1708"/>
      <c r="T49" s="1707"/>
      <c r="U49" s="1708"/>
      <c r="V49" s="1707"/>
      <c r="W49" s="77"/>
      <c r="X49" s="80"/>
      <c r="Y49" s="80"/>
      <c r="Z49" s="129"/>
      <c r="AA49" s="129"/>
      <c r="AB49" s="129"/>
      <c r="AC49" s="129"/>
      <c r="AD49" s="130"/>
      <c r="AE49" s="130"/>
      <c r="AF49" s="131"/>
      <c r="AG49" s="18"/>
    </row>
    <row r="50" spans="2:33" ht="20.100000000000001" customHeight="1">
      <c r="B50" s="1351" t="b">
        <f t="shared" ref="B50:B62" si="3">OR(ISBLANK(R50),ISBLANK(T50),ISBLANK(V50))</f>
        <v>0</v>
      </c>
      <c r="C50" s="85" t="s">
        <v>1747</v>
      </c>
      <c r="D50" s="86"/>
      <c r="E50" s="86"/>
      <c r="F50" s="105" t="s">
        <v>33</v>
      </c>
      <c r="G50" s="106"/>
      <c r="H50" s="104" t="s">
        <v>93</v>
      </c>
      <c r="I50" s="104"/>
      <c r="J50" s="104"/>
      <c r="K50" s="109" t="s">
        <v>35</v>
      </c>
      <c r="L50" s="157"/>
      <c r="M50" s="157"/>
      <c r="N50" s="158"/>
      <c r="O50" s="158"/>
      <c r="P50" s="158"/>
      <c r="Q50" s="95"/>
      <c r="R50" s="1464">
        <v>328613</v>
      </c>
      <c r="S50" s="1526"/>
      <c r="T50" s="1464">
        <v>706613</v>
      </c>
      <c r="U50" s="1522"/>
      <c r="V50" s="1464">
        <v>773326</v>
      </c>
      <c r="W50" s="2053"/>
      <c r="X50" s="2465"/>
      <c r="Y50" s="98"/>
      <c r="Z50" s="99" t="s">
        <v>37</v>
      </c>
      <c r="AA50" s="138"/>
      <c r="AB50" s="138"/>
      <c r="AC50" s="99"/>
      <c r="AD50" s="111"/>
      <c r="AE50" s="154" t="s">
        <v>42</v>
      </c>
      <c r="AF50" s="159"/>
      <c r="AG50" s="18"/>
    </row>
    <row r="51" spans="2:33" ht="20.100000000000001" customHeight="1">
      <c r="B51" s="1351" t="b">
        <f t="shared" si="3"/>
        <v>0</v>
      </c>
      <c r="C51" s="103" t="s">
        <v>1748</v>
      </c>
      <c r="D51" s="104"/>
      <c r="E51" s="104"/>
      <c r="F51" s="105" t="s">
        <v>33</v>
      </c>
      <c r="G51" s="106"/>
      <c r="H51" s="104" t="s">
        <v>95</v>
      </c>
      <c r="I51" s="104"/>
      <c r="J51" s="104"/>
      <c r="K51" s="109" t="s">
        <v>35</v>
      </c>
      <c r="L51" s="158"/>
      <c r="M51" s="158"/>
      <c r="N51" s="158"/>
      <c r="O51" s="158"/>
      <c r="P51" s="158"/>
      <c r="Q51" s="95"/>
      <c r="R51" s="1464">
        <v>249246</v>
      </c>
      <c r="S51" s="1526"/>
      <c r="T51" s="1464">
        <v>431234</v>
      </c>
      <c r="U51" s="1522"/>
      <c r="V51" s="1464">
        <v>448119</v>
      </c>
      <c r="W51" s="2053"/>
      <c r="X51" s="2465"/>
      <c r="Y51" s="98"/>
      <c r="Z51" s="99" t="s">
        <v>37</v>
      </c>
      <c r="AA51" s="138"/>
      <c r="AB51" s="138"/>
      <c r="AC51" s="99"/>
      <c r="AD51" s="111"/>
      <c r="AE51" s="154"/>
      <c r="AF51" s="159"/>
      <c r="AG51" s="18"/>
    </row>
    <row r="52" spans="2:33" ht="20.100000000000001" customHeight="1">
      <c r="B52" s="1351" t="b">
        <f t="shared" si="3"/>
        <v>0</v>
      </c>
      <c r="C52" s="103" t="s">
        <v>1749</v>
      </c>
      <c r="D52" s="104"/>
      <c r="E52" s="104"/>
      <c r="F52" s="105" t="s">
        <v>33</v>
      </c>
      <c r="G52" s="106"/>
      <c r="H52" s="104" t="s">
        <v>1754</v>
      </c>
      <c r="I52" s="104"/>
      <c r="J52" s="104"/>
      <c r="K52" s="109" t="s">
        <v>35</v>
      </c>
      <c r="L52" s="158"/>
      <c r="M52" s="158"/>
      <c r="N52" s="158"/>
      <c r="O52" s="158"/>
      <c r="P52" s="158"/>
      <c r="Q52" s="95"/>
      <c r="R52" s="1464">
        <v>79366</v>
      </c>
      <c r="S52" s="1526"/>
      <c r="T52" s="1464">
        <v>275379</v>
      </c>
      <c r="U52" s="1522"/>
      <c r="V52" s="1464">
        <v>325207</v>
      </c>
      <c r="W52" s="2053"/>
      <c r="X52" s="2465"/>
      <c r="Y52" s="98"/>
      <c r="Z52" s="99" t="s">
        <v>37</v>
      </c>
      <c r="AA52" s="138"/>
      <c r="AB52" s="138"/>
      <c r="AC52" s="99"/>
      <c r="AD52" s="111"/>
      <c r="AE52" s="154"/>
      <c r="AF52" s="159"/>
      <c r="AG52" s="18"/>
    </row>
    <row r="53" spans="2:33" ht="20.100000000000001" customHeight="1">
      <c r="B53" s="1351" t="b">
        <f t="shared" si="3"/>
        <v>0</v>
      </c>
      <c r="C53" s="103" t="s">
        <v>1751</v>
      </c>
      <c r="D53" s="104"/>
      <c r="E53" s="104"/>
      <c r="F53" s="105" t="s">
        <v>33</v>
      </c>
      <c r="G53" s="106"/>
      <c r="H53" s="104" t="s">
        <v>1755</v>
      </c>
      <c r="I53" s="104"/>
      <c r="J53" s="104"/>
      <c r="K53" s="109" t="s">
        <v>35</v>
      </c>
      <c r="L53" s="157"/>
      <c r="M53" s="157"/>
      <c r="N53" s="158"/>
      <c r="O53" s="158"/>
      <c r="P53" s="158"/>
      <c r="Q53" s="95"/>
      <c r="R53" s="1464">
        <v>242935</v>
      </c>
      <c r="S53" s="1526"/>
      <c r="T53" s="1464">
        <v>287746</v>
      </c>
      <c r="U53" s="1522"/>
      <c r="V53" s="1464">
        <v>316640</v>
      </c>
      <c r="W53" s="2053"/>
      <c r="X53" s="2465"/>
      <c r="Y53" s="98"/>
      <c r="Z53" s="99" t="s">
        <v>37</v>
      </c>
      <c r="AA53" s="138"/>
      <c r="AB53" s="138"/>
      <c r="AC53" s="99"/>
      <c r="AD53" s="111"/>
      <c r="AE53" s="154" t="s">
        <v>42</v>
      </c>
      <c r="AF53" s="159"/>
      <c r="AG53" s="18"/>
    </row>
    <row r="54" spans="2:33" ht="20.100000000000001" customHeight="1">
      <c r="B54" s="1351" t="b">
        <f t="shared" si="3"/>
        <v>0</v>
      </c>
      <c r="C54" s="103" t="s">
        <v>96</v>
      </c>
      <c r="D54" s="104"/>
      <c r="E54" s="104"/>
      <c r="F54" s="105" t="s">
        <v>33</v>
      </c>
      <c r="G54" s="106"/>
      <c r="H54" s="104" t="s">
        <v>97</v>
      </c>
      <c r="I54" s="104"/>
      <c r="J54" s="104"/>
      <c r="K54" s="109" t="s">
        <v>35</v>
      </c>
      <c r="L54" s="158"/>
      <c r="M54" s="158"/>
      <c r="N54" s="158"/>
      <c r="O54" s="158"/>
      <c r="P54" s="158"/>
      <c r="Q54" s="95"/>
      <c r="R54" s="1464">
        <v>-163568</v>
      </c>
      <c r="S54" s="1526"/>
      <c r="T54" s="1464">
        <v>-12368</v>
      </c>
      <c r="U54" s="1522"/>
      <c r="V54" s="1464">
        <v>8567</v>
      </c>
      <c r="W54" s="2053"/>
      <c r="X54" s="2465"/>
      <c r="Y54" s="98"/>
      <c r="Z54" s="99" t="s">
        <v>37</v>
      </c>
      <c r="AA54" s="138"/>
      <c r="AB54" s="138"/>
      <c r="AC54" s="99"/>
      <c r="AD54" s="111"/>
      <c r="AE54" s="154" t="s">
        <v>42</v>
      </c>
      <c r="AF54" s="159"/>
      <c r="AG54" s="18"/>
    </row>
    <row r="55" spans="2:33" ht="20.100000000000001" customHeight="1">
      <c r="B55" s="1351" t="b">
        <f t="shared" si="3"/>
        <v>0</v>
      </c>
      <c r="C55" s="103" t="s">
        <v>67</v>
      </c>
      <c r="D55" s="104"/>
      <c r="E55" s="104"/>
      <c r="F55" s="105" t="s">
        <v>33</v>
      </c>
      <c r="G55" s="106"/>
      <c r="H55" s="104" t="s">
        <v>98</v>
      </c>
      <c r="I55" s="104"/>
      <c r="J55" s="104"/>
      <c r="K55" s="109" t="s">
        <v>35</v>
      </c>
      <c r="L55" s="157"/>
      <c r="M55" s="157"/>
      <c r="N55" s="158"/>
      <c r="O55" s="158"/>
      <c r="P55" s="158"/>
      <c r="Q55" s="95"/>
      <c r="R55" s="1464">
        <v>-86679</v>
      </c>
      <c r="S55" s="1526"/>
      <c r="T55" s="1464">
        <v>-117859</v>
      </c>
      <c r="U55" s="1522"/>
      <c r="V55" s="1464">
        <v>-33543</v>
      </c>
      <c r="W55" s="2053"/>
      <c r="X55" s="2465"/>
      <c r="Y55" s="98"/>
      <c r="Z55" s="99" t="s">
        <v>37</v>
      </c>
      <c r="AA55" s="138"/>
      <c r="AB55" s="138"/>
      <c r="AC55" s="99"/>
      <c r="AD55" s="111"/>
      <c r="AE55" s="154"/>
      <c r="AF55" s="159"/>
      <c r="AG55" s="18"/>
    </row>
    <row r="56" spans="2:33" ht="20.100000000000001" customHeight="1">
      <c r="B56" s="1351" t="b">
        <f t="shared" si="3"/>
        <v>0</v>
      </c>
      <c r="C56" s="103" t="s">
        <v>63</v>
      </c>
      <c r="D56" s="104"/>
      <c r="E56" s="104"/>
      <c r="F56" s="105" t="s">
        <v>33</v>
      </c>
      <c r="G56" s="106"/>
      <c r="H56" s="104" t="s">
        <v>99</v>
      </c>
      <c r="I56" s="104"/>
      <c r="J56" s="104"/>
      <c r="K56" s="109" t="s">
        <v>35</v>
      </c>
      <c r="L56" s="158"/>
      <c r="M56" s="158"/>
      <c r="N56" s="158"/>
      <c r="O56" s="158"/>
      <c r="P56" s="158"/>
      <c r="Q56" s="95"/>
      <c r="R56" s="1464">
        <v>48059</v>
      </c>
      <c r="S56" s="1526"/>
      <c r="T56" s="1464">
        <v>79083</v>
      </c>
      <c r="U56" s="1522"/>
      <c r="V56" s="1464">
        <v>45773</v>
      </c>
      <c r="W56" s="2053"/>
      <c r="X56" s="2465"/>
      <c r="Y56" s="98"/>
      <c r="Z56" s="99" t="s">
        <v>37</v>
      </c>
      <c r="AA56" s="138"/>
      <c r="AB56" s="138"/>
      <c r="AC56" s="99"/>
      <c r="AD56" s="111"/>
      <c r="AE56" s="154"/>
      <c r="AF56" s="159"/>
      <c r="AG56" s="18"/>
    </row>
    <row r="57" spans="2:33" ht="20.100000000000001" customHeight="1">
      <c r="B57" s="1351" t="b">
        <f t="shared" si="3"/>
        <v>0</v>
      </c>
      <c r="C57" s="103" t="s">
        <v>65</v>
      </c>
      <c r="D57" s="104"/>
      <c r="E57" s="104"/>
      <c r="F57" s="105" t="s">
        <v>33</v>
      </c>
      <c r="G57" s="106"/>
      <c r="H57" s="104" t="s">
        <v>100</v>
      </c>
      <c r="I57" s="104"/>
      <c r="J57" s="104"/>
      <c r="K57" s="109" t="s">
        <v>35</v>
      </c>
      <c r="L57" s="158"/>
      <c r="M57" s="158"/>
      <c r="N57" s="158"/>
      <c r="O57" s="158"/>
      <c r="P57" s="158"/>
      <c r="Q57" s="95"/>
      <c r="R57" s="1464">
        <v>71382</v>
      </c>
      <c r="S57" s="1526"/>
      <c r="T57" s="1464">
        <v>84869</v>
      </c>
      <c r="U57" s="1522"/>
      <c r="V57" s="1464">
        <v>168744</v>
      </c>
      <c r="W57" s="2053"/>
      <c r="X57" s="2465"/>
      <c r="Y57" s="98"/>
      <c r="Z57" s="99" t="s">
        <v>37</v>
      </c>
      <c r="AA57" s="138"/>
      <c r="AB57" s="138"/>
      <c r="AC57" s="99"/>
      <c r="AD57" s="111"/>
      <c r="AE57" s="154"/>
      <c r="AF57" s="159"/>
      <c r="AG57" s="18"/>
    </row>
    <row r="58" spans="2:33" ht="20.100000000000001" customHeight="1">
      <c r="B58" s="1351" t="b">
        <f t="shared" si="3"/>
        <v>0</v>
      </c>
      <c r="C58" s="103" t="s">
        <v>71</v>
      </c>
      <c r="D58" s="104"/>
      <c r="E58" s="104"/>
      <c r="F58" s="105" t="s">
        <v>33</v>
      </c>
      <c r="G58" s="106"/>
      <c r="H58" s="104" t="s">
        <v>101</v>
      </c>
      <c r="I58" s="104"/>
      <c r="J58" s="104"/>
      <c r="K58" s="109" t="s">
        <v>35</v>
      </c>
      <c r="L58" s="157"/>
      <c r="M58" s="157"/>
      <c r="N58" s="158"/>
      <c r="O58" s="158"/>
      <c r="P58" s="158"/>
      <c r="Q58" s="95"/>
      <c r="R58" s="1464">
        <v>-273570</v>
      </c>
      <c r="S58" s="1526"/>
      <c r="T58" s="1464">
        <v>-136013</v>
      </c>
      <c r="U58" s="1522"/>
      <c r="V58" s="1464">
        <v>-147947</v>
      </c>
      <c r="W58" s="2053"/>
      <c r="X58" s="2465"/>
      <c r="Y58" s="98"/>
      <c r="Z58" s="99" t="s">
        <v>37</v>
      </c>
      <c r="AA58" s="138"/>
      <c r="AB58" s="138"/>
      <c r="AC58" s="99"/>
      <c r="AD58" s="111"/>
      <c r="AE58" s="154"/>
      <c r="AF58" s="159"/>
      <c r="AG58" s="18"/>
    </row>
    <row r="59" spans="2:33" ht="20.100000000000001" customHeight="1">
      <c r="B59" s="1351" t="b">
        <f t="shared" si="3"/>
        <v>0</v>
      </c>
      <c r="C59" s="160" t="s">
        <v>102</v>
      </c>
      <c r="D59" s="161"/>
      <c r="E59" s="161"/>
      <c r="F59" s="105" t="s">
        <v>33</v>
      </c>
      <c r="G59" s="106"/>
      <c r="H59" s="104" t="s">
        <v>103</v>
      </c>
      <c r="I59" s="104"/>
      <c r="J59" s="104"/>
      <c r="K59" s="162" t="s">
        <v>35</v>
      </c>
      <c r="L59" s="158"/>
      <c r="M59" s="158"/>
      <c r="N59" s="158"/>
      <c r="O59" s="158"/>
      <c r="P59" s="158"/>
      <c r="Q59" s="95"/>
      <c r="R59" s="1464">
        <v>-12516</v>
      </c>
      <c r="S59" s="1526"/>
      <c r="T59" s="1464">
        <v>-15207</v>
      </c>
      <c r="U59" s="1522"/>
      <c r="V59" s="1464">
        <v>1235</v>
      </c>
      <c r="W59" s="2053"/>
      <c r="X59" s="2465"/>
      <c r="Y59" s="163"/>
      <c r="Z59" s="99" t="s">
        <v>37</v>
      </c>
      <c r="AA59" s="138"/>
      <c r="AB59" s="138"/>
      <c r="AC59" s="99"/>
      <c r="AD59" s="111"/>
      <c r="AE59" s="154" t="s">
        <v>42</v>
      </c>
      <c r="AF59" s="159"/>
      <c r="AG59" s="18"/>
    </row>
    <row r="60" spans="2:33" ht="20.100000000000001" customHeight="1">
      <c r="B60" s="1351" t="b">
        <f t="shared" si="3"/>
        <v>0</v>
      </c>
      <c r="C60" s="160" t="s">
        <v>104</v>
      </c>
      <c r="D60" s="161"/>
      <c r="E60" s="161"/>
      <c r="F60" s="105" t="s">
        <v>33</v>
      </c>
      <c r="G60" s="106"/>
      <c r="H60" s="104" t="s">
        <v>105</v>
      </c>
      <c r="I60" s="104"/>
      <c r="J60" s="104"/>
      <c r="K60" s="162" t="s">
        <v>35</v>
      </c>
      <c r="L60" s="158"/>
      <c r="M60" s="158"/>
      <c r="N60" s="158"/>
      <c r="O60" s="158"/>
      <c r="P60" s="158"/>
      <c r="Q60" s="95"/>
      <c r="R60" s="1464">
        <v>-261054</v>
      </c>
      <c r="S60" s="1526"/>
      <c r="T60" s="1464">
        <v>-120806</v>
      </c>
      <c r="U60" s="1522"/>
      <c r="V60" s="1464">
        <v>-149182</v>
      </c>
      <c r="W60" s="2053"/>
      <c r="X60" s="2465"/>
      <c r="Y60" s="163"/>
      <c r="Z60" s="99" t="s">
        <v>37</v>
      </c>
      <c r="AA60" s="138"/>
      <c r="AB60" s="138"/>
      <c r="AC60" s="99"/>
      <c r="AD60" s="111"/>
      <c r="AE60" s="154" t="s">
        <v>42</v>
      </c>
      <c r="AF60" s="159"/>
      <c r="AG60" s="18"/>
    </row>
    <row r="61" spans="2:33" ht="20.100000000000001" customHeight="1">
      <c r="B61" s="1351" t="b">
        <f t="shared" si="3"/>
        <v>0</v>
      </c>
      <c r="C61" s="160" t="s">
        <v>77</v>
      </c>
      <c r="D61" s="161"/>
      <c r="E61" s="161"/>
      <c r="F61" s="105" t="s">
        <v>33</v>
      </c>
      <c r="G61" s="106"/>
      <c r="H61" s="104" t="s">
        <v>106</v>
      </c>
      <c r="I61" s="104"/>
      <c r="J61" s="104"/>
      <c r="K61" s="164" t="s">
        <v>35</v>
      </c>
      <c r="L61" s="158"/>
      <c r="M61" s="158"/>
      <c r="N61" s="158"/>
      <c r="O61" s="158"/>
      <c r="P61" s="158"/>
      <c r="Q61" s="95"/>
      <c r="R61" s="1464">
        <v>-1271</v>
      </c>
      <c r="S61" s="1526"/>
      <c r="T61" s="1464">
        <v>1690</v>
      </c>
      <c r="U61" s="1522"/>
      <c r="V61" s="1464">
        <v>-5006</v>
      </c>
      <c r="W61" s="2053"/>
      <c r="X61" s="2465"/>
      <c r="Y61" s="163"/>
      <c r="Z61" s="99" t="s">
        <v>37</v>
      </c>
      <c r="AA61" s="138"/>
      <c r="AB61" s="138"/>
      <c r="AC61" s="99"/>
      <c r="AD61" s="111"/>
      <c r="AE61" s="154"/>
      <c r="AF61" s="159"/>
      <c r="AG61" s="18"/>
    </row>
    <row r="62" spans="2:33" ht="20.100000000000001" customHeight="1">
      <c r="B62" s="1351" t="b">
        <f t="shared" si="3"/>
        <v>0</v>
      </c>
      <c r="C62" s="160" t="s">
        <v>79</v>
      </c>
      <c r="D62" s="161"/>
      <c r="E62" s="161"/>
      <c r="F62" s="105" t="s">
        <v>33</v>
      </c>
      <c r="G62" s="106"/>
      <c r="H62" s="104" t="s">
        <v>107</v>
      </c>
      <c r="I62" s="104"/>
      <c r="J62" s="104"/>
      <c r="K62" s="165" t="s">
        <v>35</v>
      </c>
      <c r="L62" s="158"/>
      <c r="M62" s="158"/>
      <c r="N62" s="158"/>
      <c r="O62" s="158"/>
      <c r="P62" s="158"/>
      <c r="Q62" s="95"/>
      <c r="R62" s="1464">
        <v>-262325</v>
      </c>
      <c r="S62" s="1526"/>
      <c r="T62" s="1464">
        <v>-119117</v>
      </c>
      <c r="U62" s="1522"/>
      <c r="V62" s="1464">
        <v>-155918</v>
      </c>
      <c r="W62" s="2053"/>
      <c r="X62" s="2465"/>
      <c r="Y62" s="163"/>
      <c r="Z62" s="99" t="s">
        <v>37</v>
      </c>
      <c r="AA62" s="138"/>
      <c r="AB62" s="138"/>
      <c r="AC62" s="99"/>
      <c r="AD62" s="111"/>
      <c r="AE62" s="154"/>
      <c r="AF62" s="159"/>
      <c r="AG62" s="18"/>
    </row>
    <row r="63" spans="2:33" ht="20.100000000000001" customHeight="1">
      <c r="B63" s="1353" t="str">
        <f>C63</f>
        <v>확정급여연금제도 의무 및 기타 은퇴지원제도</v>
      </c>
      <c r="C63" s="166" t="s">
        <v>124</v>
      </c>
      <c r="D63" s="167"/>
      <c r="E63" s="167"/>
      <c r="F63" s="1560"/>
      <c r="G63" s="168"/>
      <c r="H63" s="167" t="s">
        <v>1756</v>
      </c>
      <c r="I63" s="167"/>
      <c r="J63" s="167"/>
      <c r="K63" s="169"/>
      <c r="L63" s="170"/>
      <c r="M63" s="170"/>
      <c r="N63" s="171"/>
      <c r="O63" s="171"/>
      <c r="P63" s="171"/>
      <c r="Q63" s="171"/>
      <c r="R63" s="1561"/>
      <c r="S63" s="1562"/>
      <c r="T63" s="1563"/>
      <c r="U63" s="1562"/>
      <c r="V63" s="1563"/>
      <c r="W63" s="2054"/>
      <c r="X63" s="1564"/>
      <c r="Y63" s="163"/>
      <c r="Z63" s="99" t="s">
        <v>125</v>
      </c>
      <c r="AA63" s="138"/>
      <c r="AB63" s="138"/>
      <c r="AC63" s="99"/>
      <c r="AD63" s="111"/>
      <c r="AE63" s="154"/>
      <c r="AF63" s="159"/>
      <c r="AG63" s="18"/>
    </row>
    <row r="64" spans="2:33" ht="20.100000000000001" customHeight="1">
      <c r="B64" s="1351" t="b">
        <f t="shared" ref="B64" si="4">OR(ISBLANK(R64),ISBLANK(T64),ISBLANK(V64))</f>
        <v>0</v>
      </c>
      <c r="C64" s="175"/>
      <c r="D64" s="9749" t="s">
        <v>126</v>
      </c>
      <c r="E64" s="9648"/>
      <c r="F64" s="105" t="s">
        <v>33</v>
      </c>
      <c r="G64" s="106"/>
      <c r="H64" s="176"/>
      <c r="I64" s="177" t="s">
        <v>127</v>
      </c>
      <c r="J64" s="178"/>
      <c r="K64" s="179" t="s">
        <v>128</v>
      </c>
      <c r="L64" s="157"/>
      <c r="M64" s="157"/>
      <c r="N64" s="158"/>
      <c r="O64" s="158"/>
      <c r="P64" s="158"/>
      <c r="Q64" s="95"/>
      <c r="R64" s="1461">
        <v>6363</v>
      </c>
      <c r="S64" s="1522" t="s">
        <v>1757</v>
      </c>
      <c r="T64" s="1461">
        <v>5944</v>
      </c>
      <c r="U64" s="1522" t="s">
        <v>1757</v>
      </c>
      <c r="V64" s="1461">
        <v>4427</v>
      </c>
      <c r="W64" s="2053" t="s">
        <v>629</v>
      </c>
      <c r="X64" s="2465" t="s">
        <v>130</v>
      </c>
      <c r="Y64" s="181" t="s">
        <v>131</v>
      </c>
      <c r="Z64" s="99" t="s">
        <v>125</v>
      </c>
      <c r="AA64" s="138"/>
      <c r="AB64" s="138"/>
      <c r="AC64" s="99"/>
      <c r="AD64" s="111"/>
      <c r="AE64" s="154" t="s">
        <v>132</v>
      </c>
      <c r="AF64" s="159"/>
      <c r="AG64" s="18"/>
    </row>
    <row r="65" spans="1:34" ht="33">
      <c r="B65" s="1351" t="b">
        <f>OR(ISBLANK(R65),ISBLANK(T65),ISBLANK(V65))</f>
        <v>1</v>
      </c>
      <c r="C65" s="182"/>
      <c r="D65" s="9749" t="s">
        <v>152</v>
      </c>
      <c r="E65" s="9648"/>
      <c r="F65" s="105" t="s">
        <v>156</v>
      </c>
      <c r="G65" s="106"/>
      <c r="H65" s="183"/>
      <c r="I65" s="184" t="s">
        <v>153</v>
      </c>
      <c r="J65" s="140"/>
      <c r="K65" s="185" t="s">
        <v>1758</v>
      </c>
      <c r="L65" s="158"/>
      <c r="M65" s="158"/>
      <c r="N65" s="158"/>
      <c r="O65" s="158"/>
      <c r="P65" s="158"/>
      <c r="Q65" s="95"/>
      <c r="R65" s="1486"/>
      <c r="S65" s="1213"/>
      <c r="T65" s="1490" t="s">
        <v>1759</v>
      </c>
      <c r="U65" s="1213"/>
      <c r="V65" s="1490" t="s">
        <v>1759</v>
      </c>
      <c r="W65" s="2053"/>
      <c r="X65" s="2465" t="s">
        <v>130</v>
      </c>
      <c r="Y65" s="181" t="s">
        <v>131</v>
      </c>
      <c r="Z65" s="99" t="s">
        <v>125</v>
      </c>
      <c r="AA65" s="138"/>
      <c r="AB65" s="138"/>
      <c r="AC65" s="99"/>
      <c r="AD65" s="186"/>
      <c r="AE65" s="154" t="s">
        <v>132</v>
      </c>
      <c r="AF65" s="187"/>
      <c r="AG65" s="18"/>
    </row>
    <row r="66" spans="1:34" ht="20.100000000000001" customHeight="1">
      <c r="B66" s="1351" t="b">
        <f t="shared" ref="B66" si="5">OR(ISBLANK(R66),ISBLANK(T66),ISBLANK(V66))</f>
        <v>1</v>
      </c>
      <c r="C66" s="188"/>
      <c r="D66" s="9749" t="s">
        <v>162</v>
      </c>
      <c r="E66" s="9648"/>
      <c r="F66" s="105" t="s">
        <v>1760</v>
      </c>
      <c r="G66" s="106"/>
      <c r="H66" s="189"/>
      <c r="I66" s="184" t="s">
        <v>163</v>
      </c>
      <c r="J66" s="140"/>
      <c r="K66" s="190" t="s">
        <v>1761</v>
      </c>
      <c r="L66" s="158"/>
      <c r="M66" s="158"/>
      <c r="N66" s="158"/>
      <c r="O66" s="158"/>
      <c r="P66" s="158"/>
      <c r="Q66" s="95"/>
      <c r="R66" s="1486"/>
      <c r="S66" s="1213"/>
      <c r="T66" s="1490" t="s">
        <v>1762</v>
      </c>
      <c r="U66" s="1213"/>
      <c r="V66" s="1490" t="s">
        <v>1762</v>
      </c>
      <c r="W66" s="2053"/>
      <c r="X66" s="2465" t="s">
        <v>165</v>
      </c>
      <c r="Y66" s="181" t="s">
        <v>131</v>
      </c>
      <c r="Z66" s="99" t="s">
        <v>125</v>
      </c>
      <c r="AA66" s="138"/>
      <c r="AB66" s="138"/>
      <c r="AC66" s="99"/>
      <c r="AD66" s="186"/>
      <c r="AE66" s="154" t="s">
        <v>132</v>
      </c>
      <c r="AF66" s="187"/>
      <c r="AG66" s="18"/>
    </row>
    <row r="67" spans="1:34" ht="20.100000000000001" customHeight="1">
      <c r="B67" s="1353" t="str">
        <f>C67</f>
        <v>정부의 재정적 지원</v>
      </c>
      <c r="C67" s="166" t="s">
        <v>171</v>
      </c>
      <c r="D67" s="167"/>
      <c r="E67" s="167"/>
      <c r="F67" s="1560"/>
      <c r="G67" s="168"/>
      <c r="H67" s="167" t="s">
        <v>1763</v>
      </c>
      <c r="I67" s="167"/>
      <c r="J67" s="167"/>
      <c r="K67" s="169" t="s">
        <v>168</v>
      </c>
      <c r="L67" s="191"/>
      <c r="M67" s="191"/>
      <c r="N67" s="191"/>
      <c r="O67" s="191"/>
      <c r="P67" s="191"/>
      <c r="Q67" s="171"/>
      <c r="R67" s="1565"/>
      <c r="S67" s="1566"/>
      <c r="T67" s="1567"/>
      <c r="U67" s="1566"/>
      <c r="V67" s="1567"/>
      <c r="W67" s="2054"/>
      <c r="X67" s="1564"/>
      <c r="Y67" s="163"/>
      <c r="Z67" s="99" t="s">
        <v>125</v>
      </c>
      <c r="AA67" s="138"/>
      <c r="AB67" s="138"/>
      <c r="AC67" s="99"/>
      <c r="AD67" s="186"/>
      <c r="AE67" s="154" t="s">
        <v>173</v>
      </c>
      <c r="AF67" s="187"/>
      <c r="AG67" s="18"/>
    </row>
    <row r="68" spans="1:34" ht="20.100000000000001" customHeight="1">
      <c r="B68" s="1351" t="b">
        <f t="shared" ref="B68:B70" si="6">OR(ISBLANK(R68),ISBLANK(T68),ISBLANK(V68))</f>
        <v>1</v>
      </c>
      <c r="C68" s="193"/>
      <c r="D68" s="194" t="s">
        <v>174</v>
      </c>
      <c r="E68" s="195"/>
      <c r="F68" s="105" t="s">
        <v>33</v>
      </c>
      <c r="G68" s="106"/>
      <c r="H68" s="11"/>
      <c r="I68" s="184" t="s">
        <v>176</v>
      </c>
      <c r="J68" s="140"/>
      <c r="K68" s="190" t="s">
        <v>35</v>
      </c>
      <c r="L68" s="157"/>
      <c r="M68" s="157"/>
      <c r="N68" s="158"/>
      <c r="O68" s="158"/>
      <c r="P68" s="158"/>
      <c r="Q68" s="95"/>
      <c r="R68" s="1486"/>
      <c r="S68" s="1213"/>
      <c r="T68" s="1486"/>
      <c r="U68" s="1213"/>
      <c r="V68" s="1486" t="s">
        <v>643</v>
      </c>
      <c r="W68" s="2053"/>
      <c r="X68" s="2465"/>
      <c r="Y68" s="163"/>
      <c r="Z68" s="99" t="s">
        <v>125</v>
      </c>
      <c r="AA68" s="138"/>
      <c r="AB68" s="138"/>
      <c r="AC68" s="99"/>
      <c r="AD68" s="186"/>
      <c r="AE68" s="154" t="s">
        <v>173</v>
      </c>
      <c r="AF68" s="187"/>
      <c r="AG68" s="18"/>
    </row>
    <row r="69" spans="1:34" ht="20.100000000000001" customHeight="1">
      <c r="B69" s="1351" t="b">
        <f t="shared" si="6"/>
        <v>1</v>
      </c>
      <c r="C69" s="182"/>
      <c r="D69" s="196" t="s">
        <v>180</v>
      </c>
      <c r="E69" s="196"/>
      <c r="F69" s="105" t="s">
        <v>33</v>
      </c>
      <c r="G69" s="106"/>
      <c r="H69" s="183"/>
      <c r="I69" s="184" t="s">
        <v>181</v>
      </c>
      <c r="J69" s="140"/>
      <c r="K69" s="190" t="s">
        <v>35</v>
      </c>
      <c r="L69" s="158"/>
      <c r="M69" s="158"/>
      <c r="N69" s="158"/>
      <c r="O69" s="158"/>
      <c r="P69" s="158"/>
      <c r="Q69" s="95"/>
      <c r="R69" s="1486"/>
      <c r="S69" s="1213"/>
      <c r="T69" s="1486"/>
      <c r="U69" s="1213"/>
      <c r="V69" s="1486" t="s">
        <v>643</v>
      </c>
      <c r="W69" s="2053"/>
      <c r="X69" s="2465"/>
      <c r="Y69" s="163"/>
      <c r="Z69" s="99" t="s">
        <v>125</v>
      </c>
      <c r="AA69" s="138"/>
      <c r="AB69" s="138"/>
      <c r="AC69" s="99"/>
      <c r="AD69" s="186"/>
      <c r="AE69" s="154" t="s">
        <v>173</v>
      </c>
      <c r="AF69" s="187"/>
      <c r="AG69" s="18"/>
    </row>
    <row r="70" spans="1:34" ht="20.100000000000001" customHeight="1">
      <c r="B70" s="1351" t="b">
        <f t="shared" si="6"/>
        <v>1</v>
      </c>
      <c r="C70" s="188"/>
      <c r="D70" s="196" t="s">
        <v>183</v>
      </c>
      <c r="E70" s="197"/>
      <c r="F70" s="105" t="s">
        <v>33</v>
      </c>
      <c r="G70" s="106"/>
      <c r="H70" s="189"/>
      <c r="I70" s="198" t="s">
        <v>184</v>
      </c>
      <c r="J70" s="178"/>
      <c r="K70" s="190" t="s">
        <v>35</v>
      </c>
      <c r="L70" s="158"/>
      <c r="M70" s="158"/>
      <c r="N70" s="158"/>
      <c r="O70" s="158"/>
      <c r="P70" s="158"/>
      <c r="Q70" s="95"/>
      <c r="R70" s="1486"/>
      <c r="S70" s="1213"/>
      <c r="T70" s="1486"/>
      <c r="U70" s="1213"/>
      <c r="V70" s="1486" t="s">
        <v>643</v>
      </c>
      <c r="W70" s="2053"/>
      <c r="X70" s="2465"/>
      <c r="Y70" s="98"/>
      <c r="Z70" s="99" t="s">
        <v>125</v>
      </c>
      <c r="AA70" s="138"/>
      <c r="AB70" s="138"/>
      <c r="AC70" s="99"/>
      <c r="AD70" s="186"/>
      <c r="AE70" s="154" t="s">
        <v>173</v>
      </c>
      <c r="AF70" s="187"/>
      <c r="AG70" s="18"/>
    </row>
    <row r="71" spans="1:34" ht="20.100000000000001" customHeight="1">
      <c r="B71" s="1353"/>
      <c r="C71" s="166" t="s">
        <v>1764</v>
      </c>
      <c r="D71" s="167"/>
      <c r="E71" s="167"/>
      <c r="F71" s="1560"/>
      <c r="G71" s="168"/>
      <c r="H71" s="167" t="s">
        <v>1765</v>
      </c>
      <c r="I71" s="167"/>
      <c r="J71" s="167"/>
      <c r="K71" s="169" t="s">
        <v>168</v>
      </c>
      <c r="L71" s="191"/>
      <c r="M71" s="191"/>
      <c r="N71" s="191"/>
      <c r="O71" s="191"/>
      <c r="P71" s="191"/>
      <c r="Q71" s="171"/>
      <c r="R71" s="1565"/>
      <c r="S71" s="1566"/>
      <c r="T71" s="1567"/>
      <c r="U71" s="1566"/>
      <c r="V71" s="1567"/>
      <c r="W71" s="2054"/>
      <c r="X71" s="1564"/>
      <c r="Y71" s="98"/>
      <c r="Z71" s="99" t="s">
        <v>1766</v>
      </c>
      <c r="AA71" s="138"/>
      <c r="AB71" s="138"/>
      <c r="AC71" s="99"/>
      <c r="AD71" s="186"/>
      <c r="AE71" s="154" t="s">
        <v>853</v>
      </c>
      <c r="AF71" s="187"/>
      <c r="AG71" s="18"/>
    </row>
    <row r="72" spans="1:34" ht="20.100000000000001" customHeight="1">
      <c r="B72" s="1351" t="b">
        <f t="shared" ref="B72:B75" si="7">OR(ISBLANK(R72),ISBLANK(T72),ISBLANK(V72))</f>
        <v>0</v>
      </c>
      <c r="C72" s="193"/>
      <c r="D72" s="199" t="s">
        <v>1767</v>
      </c>
      <c r="E72" s="200"/>
      <c r="F72" s="105" t="s">
        <v>742</v>
      </c>
      <c r="G72" s="106"/>
      <c r="H72" s="11"/>
      <c r="I72" s="201" t="s">
        <v>1768</v>
      </c>
      <c r="J72" s="202"/>
      <c r="K72" s="190" t="s">
        <v>734</v>
      </c>
      <c r="L72" s="158"/>
      <c r="M72" s="158"/>
      <c r="N72" s="158"/>
      <c r="O72" s="158"/>
      <c r="P72" s="158"/>
      <c r="Q72" s="95"/>
      <c r="R72" s="1461">
        <v>5</v>
      </c>
      <c r="S72" s="1522"/>
      <c r="T72" s="1461">
        <v>8</v>
      </c>
      <c r="U72" s="1522"/>
      <c r="V72" s="1461">
        <v>8</v>
      </c>
      <c r="W72" s="2053"/>
      <c r="X72" s="2465"/>
      <c r="Y72" s="98"/>
      <c r="Z72" s="99" t="s">
        <v>1766</v>
      </c>
      <c r="AA72" s="138"/>
      <c r="AB72" s="138"/>
      <c r="AC72" s="99"/>
      <c r="AD72" s="186"/>
      <c r="AE72" s="154" t="s">
        <v>853</v>
      </c>
      <c r="AF72" s="187"/>
      <c r="AG72" s="18"/>
    </row>
    <row r="73" spans="1:34" ht="20.100000000000001" customHeight="1">
      <c r="B73" s="1351" t="b">
        <f t="shared" si="7"/>
        <v>0</v>
      </c>
      <c r="C73" s="203"/>
      <c r="D73" s="204" t="s">
        <v>1769</v>
      </c>
      <c r="E73" s="205"/>
      <c r="F73" s="105" t="s">
        <v>742</v>
      </c>
      <c r="G73" s="106"/>
      <c r="H73" s="206"/>
      <c r="I73" s="207" t="s">
        <v>1770</v>
      </c>
      <c r="J73" s="208"/>
      <c r="K73" s="190" t="s">
        <v>734</v>
      </c>
      <c r="L73" s="158"/>
      <c r="M73" s="158"/>
      <c r="N73" s="158"/>
      <c r="O73" s="158"/>
      <c r="P73" s="158"/>
      <c r="Q73" s="95"/>
      <c r="R73" s="1461">
        <v>5</v>
      </c>
      <c r="S73" s="1522"/>
      <c r="T73" s="1461">
        <v>8</v>
      </c>
      <c r="U73" s="1522"/>
      <c r="V73" s="1461">
        <v>8</v>
      </c>
      <c r="W73" s="2053"/>
      <c r="X73" s="2465"/>
      <c r="Y73" s="98"/>
      <c r="Z73" s="99" t="s">
        <v>1766</v>
      </c>
      <c r="AA73" s="138"/>
      <c r="AB73" s="138"/>
      <c r="AC73" s="99"/>
      <c r="AD73" s="186"/>
      <c r="AE73" s="154" t="s">
        <v>853</v>
      </c>
      <c r="AF73" s="159"/>
      <c r="AG73" s="18"/>
    </row>
    <row r="74" spans="1:34" ht="20.100000000000001" customHeight="1">
      <c r="B74" s="1351" t="b">
        <f t="shared" si="7"/>
        <v>0</v>
      </c>
      <c r="C74" s="203"/>
      <c r="D74" s="204" t="s">
        <v>1771</v>
      </c>
      <c r="E74" s="205"/>
      <c r="F74" s="105" t="s">
        <v>156</v>
      </c>
      <c r="G74" s="106"/>
      <c r="H74" s="206"/>
      <c r="I74" s="210" t="s">
        <v>1772</v>
      </c>
      <c r="J74" s="211"/>
      <c r="K74" s="190" t="s">
        <v>156</v>
      </c>
      <c r="L74" s="158"/>
      <c r="M74" s="158"/>
      <c r="N74" s="158"/>
      <c r="O74" s="158"/>
      <c r="P74" s="158"/>
      <c r="Q74" s="95"/>
      <c r="R74" s="1486">
        <v>100</v>
      </c>
      <c r="S74" s="1213"/>
      <c r="T74" s="1486">
        <v>100</v>
      </c>
      <c r="U74" s="1213"/>
      <c r="V74" s="1486">
        <v>100</v>
      </c>
      <c r="W74" s="2053"/>
      <c r="X74" s="2465"/>
      <c r="Y74" s="98"/>
      <c r="Z74" s="99" t="s">
        <v>1766</v>
      </c>
      <c r="AA74" s="138"/>
      <c r="AB74" s="138"/>
      <c r="AC74" s="99"/>
      <c r="AD74" s="186"/>
      <c r="AE74" s="154" t="s">
        <v>853</v>
      </c>
      <c r="AF74" s="187"/>
      <c r="AG74" s="18"/>
    </row>
    <row r="75" spans="1:34" ht="20.100000000000001" customHeight="1">
      <c r="B75" s="1351" t="b">
        <f t="shared" si="7"/>
        <v>0</v>
      </c>
      <c r="C75" s="213"/>
      <c r="D75" s="204" t="s">
        <v>863</v>
      </c>
      <c r="E75" s="205"/>
      <c r="F75" s="105" t="s">
        <v>156</v>
      </c>
      <c r="G75" s="106"/>
      <c r="H75" s="116"/>
      <c r="I75" s="214" t="s">
        <v>1773</v>
      </c>
      <c r="J75" s="211"/>
      <c r="K75" s="99" t="s">
        <v>156</v>
      </c>
      <c r="L75" s="158"/>
      <c r="M75" s="158"/>
      <c r="N75" s="158"/>
      <c r="O75" s="158"/>
      <c r="P75" s="158"/>
      <c r="Q75" s="95"/>
      <c r="R75" s="1486">
        <f>5/1135</f>
        <v>4.4052863436123352E-3</v>
      </c>
      <c r="S75" s="1213"/>
      <c r="T75" s="1486">
        <f>8/1097</f>
        <v>7.2926162260711028E-3</v>
      </c>
      <c r="U75" s="1213"/>
      <c r="V75" s="1486">
        <f>8/1096</f>
        <v>7.2992700729927005E-3</v>
      </c>
      <c r="W75" s="2053"/>
      <c r="X75" s="2465" t="s">
        <v>1774</v>
      </c>
      <c r="Y75" s="98" t="s">
        <v>1775</v>
      </c>
      <c r="Z75" s="99" t="s">
        <v>1766</v>
      </c>
      <c r="AA75" s="138"/>
      <c r="AB75" s="138"/>
      <c r="AC75" s="99"/>
      <c r="AD75" s="111"/>
      <c r="AE75" s="154" t="s">
        <v>853</v>
      </c>
      <c r="AF75" s="187"/>
      <c r="AG75" s="18"/>
    </row>
    <row r="76" spans="1:34" ht="20.100000000000001" customHeight="1">
      <c r="B76" s="1353"/>
      <c r="C76" s="166" t="s">
        <v>187</v>
      </c>
      <c r="D76" s="167"/>
      <c r="E76" s="167"/>
      <c r="F76" s="1560"/>
      <c r="G76" s="168"/>
      <c r="H76" s="167" t="s">
        <v>1776</v>
      </c>
      <c r="I76" s="167"/>
      <c r="J76" s="167"/>
      <c r="K76" s="169" t="s">
        <v>168</v>
      </c>
      <c r="L76" s="191"/>
      <c r="M76" s="191"/>
      <c r="N76" s="191"/>
      <c r="O76" s="191"/>
      <c r="P76" s="191"/>
      <c r="Q76" s="171"/>
      <c r="R76" s="1565"/>
      <c r="S76" s="1566"/>
      <c r="T76" s="1567"/>
      <c r="U76" s="1566"/>
      <c r="V76" s="1567"/>
      <c r="W76" s="2054"/>
      <c r="X76" s="1564"/>
      <c r="Y76" s="217"/>
      <c r="Z76" s="219" t="s">
        <v>189</v>
      </c>
      <c r="AA76" s="218"/>
      <c r="AB76" s="218"/>
      <c r="AC76" s="219"/>
      <c r="AD76" s="220"/>
      <c r="AE76" s="154" t="s">
        <v>190</v>
      </c>
      <c r="AF76" s="221"/>
      <c r="AG76" s="18"/>
    </row>
    <row r="77" spans="1:34" ht="20.100000000000001" customHeight="1">
      <c r="B77" s="1351" t="b">
        <f t="shared" ref="B77:B78" si="8">OR(ISBLANK(R77),ISBLANK(T77),ISBLANK(V77))</f>
        <v>0</v>
      </c>
      <c r="C77" s="193"/>
      <c r="D77" s="222" t="s">
        <v>191</v>
      </c>
      <c r="E77" s="223"/>
      <c r="F77" s="105" t="s">
        <v>156</v>
      </c>
      <c r="G77" s="106"/>
      <c r="H77" s="224"/>
      <c r="I77" s="225" t="s">
        <v>192</v>
      </c>
      <c r="J77" s="226"/>
      <c r="K77" s="219" t="s">
        <v>156</v>
      </c>
      <c r="L77" s="158"/>
      <c r="M77" s="158"/>
      <c r="N77" s="158"/>
      <c r="O77" s="158"/>
      <c r="P77" s="158"/>
      <c r="Q77" s="95"/>
      <c r="R77" s="1486">
        <v>32</v>
      </c>
      <c r="S77" s="1289"/>
      <c r="T77" s="1486">
        <f>(51%)*100</f>
        <v>51</v>
      </c>
      <c r="U77" s="1289"/>
      <c r="V77" s="5477">
        <v>47</v>
      </c>
      <c r="W77" s="2053"/>
      <c r="X77" s="2466"/>
      <c r="Y77" s="230"/>
      <c r="Z77" s="219" t="s">
        <v>189</v>
      </c>
      <c r="AA77" s="218"/>
      <c r="AB77" s="218"/>
      <c r="AC77" s="219"/>
      <c r="AD77" s="231"/>
      <c r="AE77" s="154" t="s">
        <v>190</v>
      </c>
      <c r="AF77" s="221"/>
      <c r="AG77" s="18"/>
    </row>
    <row r="78" spans="1:34" ht="21.6" customHeight="1" thickBot="1">
      <c r="B78" s="1642" t="b">
        <f t="shared" si="8"/>
        <v>0</v>
      </c>
      <c r="C78" s="203"/>
      <c r="D78" s="1643" t="s">
        <v>194</v>
      </c>
      <c r="E78" s="1644"/>
      <c r="F78" s="1645" t="s">
        <v>156</v>
      </c>
      <c r="G78" s="232"/>
      <c r="H78" s="233"/>
      <c r="I78" s="234" t="s">
        <v>195</v>
      </c>
      <c r="J78" s="235"/>
      <c r="K78" s="236" t="s">
        <v>156</v>
      </c>
      <c r="L78" s="237"/>
      <c r="M78" s="237"/>
      <c r="N78" s="237"/>
      <c r="O78" s="237"/>
      <c r="P78" s="237"/>
      <c r="Q78" s="238"/>
      <c r="R78" s="1512">
        <v>100</v>
      </c>
      <c r="S78" s="1455"/>
      <c r="T78" s="1512">
        <v>100</v>
      </c>
      <c r="U78" s="1455"/>
      <c r="V78" s="5478">
        <v>100</v>
      </c>
      <c r="W78" s="2055"/>
      <c r="X78" s="2467"/>
      <c r="Y78" s="243"/>
      <c r="Z78" s="1647" t="s">
        <v>189</v>
      </c>
      <c r="AA78" s="1648"/>
      <c r="AB78" s="1648"/>
      <c r="AC78" s="1647"/>
      <c r="AD78" s="1649"/>
      <c r="AE78" s="1650" t="s">
        <v>190</v>
      </c>
      <c r="AF78" s="1651"/>
      <c r="AG78" s="18"/>
    </row>
    <row r="79" spans="1:34" ht="27" thickBot="1">
      <c r="A79" s="50"/>
      <c r="B79" s="1652" t="s">
        <v>197</v>
      </c>
      <c r="C79" s="1653"/>
      <c r="D79" s="1653"/>
      <c r="E79" s="1653"/>
      <c r="F79" s="1654"/>
      <c r="G79" s="246" t="s">
        <v>198</v>
      </c>
      <c r="H79" s="247"/>
      <c r="I79" s="247"/>
      <c r="J79" s="247"/>
      <c r="K79" s="247"/>
      <c r="L79" s="247"/>
      <c r="M79" s="247"/>
      <c r="N79" s="247"/>
      <c r="O79" s="247"/>
      <c r="P79" s="247"/>
      <c r="Q79" s="247"/>
      <c r="R79" s="1655"/>
      <c r="S79" s="1656"/>
      <c r="T79" s="1655"/>
      <c r="U79" s="1656"/>
      <c r="V79" s="1655"/>
      <c r="W79" s="1657"/>
      <c r="X79" s="1658"/>
      <c r="Y79" s="249"/>
      <c r="Z79" s="73"/>
      <c r="AA79" s="73"/>
      <c r="AB79" s="73"/>
      <c r="AC79" s="73"/>
      <c r="AD79" s="1659"/>
      <c r="AE79" s="1659"/>
      <c r="AF79" s="1660"/>
      <c r="AG79" s="18"/>
      <c r="AH79" s="54"/>
    </row>
    <row r="80" spans="1:34" ht="27" thickBot="1">
      <c r="B80" s="123" t="s">
        <v>199</v>
      </c>
      <c r="C80" s="124"/>
      <c r="D80" s="124"/>
      <c r="E80" s="124"/>
      <c r="F80" s="78"/>
      <c r="G80" s="125" t="s">
        <v>200</v>
      </c>
      <c r="H80" s="126"/>
      <c r="I80" s="126"/>
      <c r="J80" s="126"/>
      <c r="K80" s="78"/>
      <c r="L80" s="77"/>
      <c r="M80" s="77"/>
      <c r="N80" s="77"/>
      <c r="O80" s="77"/>
      <c r="P80" s="77"/>
      <c r="Q80" s="77"/>
      <c r="R80" s="1484"/>
      <c r="S80" s="1410"/>
      <c r="T80" s="1484"/>
      <c r="U80" s="1410"/>
      <c r="V80" s="1484"/>
      <c r="W80" s="77"/>
      <c r="X80" s="80"/>
      <c r="Y80" s="80"/>
      <c r="Z80" s="129"/>
      <c r="AA80" s="129"/>
      <c r="AB80" s="129"/>
      <c r="AC80" s="129"/>
      <c r="AD80" s="130"/>
      <c r="AE80" s="130"/>
      <c r="AF80" s="131"/>
      <c r="AG80" s="18"/>
    </row>
    <row r="81" spans="2:33" ht="19.899999999999999" customHeight="1">
      <c r="B81" s="1359" t="b">
        <f t="shared" ref="B81:B90" si="9">OR(ISBLANK(R81),ISBLANK(T81),ISBLANK(V81))</f>
        <v>0</v>
      </c>
      <c r="C81" s="9764" t="s">
        <v>648</v>
      </c>
      <c r="D81" s="9764"/>
      <c r="E81" s="9764"/>
      <c r="F81" s="252" t="s">
        <v>212</v>
      </c>
      <c r="G81" s="253"/>
      <c r="H81" s="140" t="s">
        <v>202</v>
      </c>
      <c r="I81" s="254"/>
      <c r="J81" s="254"/>
      <c r="K81" s="255" t="s">
        <v>212</v>
      </c>
      <c r="L81" s="256">
        <f>L82+L83</f>
        <v>60746.31</v>
      </c>
      <c r="M81" s="257"/>
      <c r="N81" s="256">
        <f>N82+N83</f>
        <v>71392.570000000007</v>
      </c>
      <c r="O81" s="258"/>
      <c r="P81" s="256">
        <f>P82+P83</f>
        <v>0</v>
      </c>
      <c r="Q81" s="256"/>
      <c r="R81" s="1692">
        <v>60746.3</v>
      </c>
      <c r="S81" s="979"/>
      <c r="T81" s="5489">
        <v>71420</v>
      </c>
      <c r="U81" s="1412"/>
      <c r="V81" s="5480">
        <v>69731</v>
      </c>
      <c r="W81" s="2056"/>
      <c r="X81" s="1021" t="s">
        <v>649</v>
      </c>
      <c r="Y81" s="263" t="s">
        <v>205</v>
      </c>
      <c r="Z81" s="99" t="s">
        <v>206</v>
      </c>
      <c r="AA81" s="138"/>
      <c r="AB81" s="138"/>
      <c r="AC81" s="99"/>
      <c r="AD81" s="264" t="s">
        <v>207</v>
      </c>
      <c r="AE81" s="265"/>
      <c r="AF81" s="187"/>
      <c r="AG81" s="18"/>
    </row>
    <row r="82" spans="2:33" ht="19.899999999999999" customHeight="1">
      <c r="B82" s="1360" t="b">
        <f t="shared" si="9"/>
        <v>0</v>
      </c>
      <c r="C82" s="9765"/>
      <c r="D82" s="266" t="s">
        <v>210</v>
      </c>
      <c r="E82" s="266"/>
      <c r="F82" s="132" t="s">
        <v>212</v>
      </c>
      <c r="G82" s="253"/>
      <c r="H82" s="11"/>
      <c r="I82" s="267" t="s">
        <v>211</v>
      </c>
      <c r="J82" s="268"/>
      <c r="K82" s="136" t="s">
        <v>212</v>
      </c>
      <c r="L82" s="269">
        <v>7184.4009999999998</v>
      </c>
      <c r="M82" s="269"/>
      <c r="N82" s="269">
        <v>7712.27</v>
      </c>
      <c r="O82" s="270"/>
      <c r="P82" s="271"/>
      <c r="Q82" s="272"/>
      <c r="R82" s="1488">
        <v>7184.4</v>
      </c>
      <c r="S82" s="979"/>
      <c r="T82" s="5488">
        <v>7712.3</v>
      </c>
      <c r="U82" s="5487" t="s">
        <v>1777</v>
      </c>
      <c r="V82" s="5481">
        <v>7590.4170000000004</v>
      </c>
      <c r="W82" s="5541" t="s">
        <v>1778</v>
      </c>
      <c r="X82" s="2468" t="s">
        <v>213</v>
      </c>
      <c r="Y82" s="276" t="s">
        <v>214</v>
      </c>
      <c r="Z82" s="99" t="s">
        <v>206</v>
      </c>
      <c r="AA82" s="138"/>
      <c r="AB82" s="138"/>
      <c r="AC82" s="99"/>
      <c r="AD82" s="264" t="s">
        <v>215</v>
      </c>
      <c r="AE82" s="277" t="s">
        <v>216</v>
      </c>
      <c r="AF82" s="187"/>
      <c r="AG82" s="18"/>
    </row>
    <row r="83" spans="2:33" ht="19.899999999999999" customHeight="1">
      <c r="B83" s="1360" t="b">
        <f t="shared" si="9"/>
        <v>0</v>
      </c>
      <c r="C83" s="9766"/>
      <c r="D83" s="266" t="s">
        <v>1779</v>
      </c>
      <c r="E83" s="266"/>
      <c r="F83" s="132" t="s">
        <v>203</v>
      </c>
      <c r="G83" s="253"/>
      <c r="H83" s="11"/>
      <c r="I83" s="267" t="s">
        <v>218</v>
      </c>
      <c r="J83" s="268"/>
      <c r="K83" s="136" t="s">
        <v>203</v>
      </c>
      <c r="L83" s="269">
        <v>53561.909</v>
      </c>
      <c r="M83" s="269"/>
      <c r="N83" s="269">
        <v>63680.3</v>
      </c>
      <c r="O83" s="270"/>
      <c r="P83" s="278"/>
      <c r="Q83" s="279"/>
      <c r="R83" s="1488">
        <v>53561.9</v>
      </c>
      <c r="S83" s="1418"/>
      <c r="T83" s="5488">
        <v>63708.92</v>
      </c>
      <c r="U83" s="5487" t="s">
        <v>1777</v>
      </c>
      <c r="V83" s="5481">
        <v>62207.722000000002</v>
      </c>
      <c r="W83" s="5541" t="s">
        <v>1778</v>
      </c>
      <c r="X83" s="2468" t="s">
        <v>219</v>
      </c>
      <c r="Y83" s="276" t="s">
        <v>220</v>
      </c>
      <c r="Z83" s="99" t="s">
        <v>206</v>
      </c>
      <c r="AA83" s="138"/>
      <c r="AB83" s="138"/>
      <c r="AC83" s="99"/>
      <c r="AD83" s="277" t="s">
        <v>221</v>
      </c>
      <c r="AE83" s="264" t="s">
        <v>222</v>
      </c>
      <c r="AF83" s="187"/>
      <c r="AG83" s="18"/>
    </row>
    <row r="84" spans="2:33" ht="20.100000000000001" customHeight="1">
      <c r="B84" s="1360" t="b">
        <f t="shared" si="9"/>
        <v>0</v>
      </c>
      <c r="C84" s="104" t="s">
        <v>223</v>
      </c>
      <c r="D84" s="104"/>
      <c r="E84" s="104"/>
      <c r="F84" s="280" t="s">
        <v>653</v>
      </c>
      <c r="G84" s="253"/>
      <c r="H84" s="143" t="s">
        <v>224</v>
      </c>
      <c r="I84" s="143"/>
      <c r="J84" s="144"/>
      <c r="K84" s="281" t="s">
        <v>225</v>
      </c>
      <c r="L84" s="282">
        <f>L85/L86</f>
        <v>18.485668552370111</v>
      </c>
      <c r="M84" s="283"/>
      <c r="N84" s="282">
        <f>N85/N86</f>
        <v>10.103675346730824</v>
      </c>
      <c r="O84" s="284"/>
      <c r="P84" s="282" t="str">
        <f>IFERROR(P85/P86,"-")</f>
        <v>-</v>
      </c>
      <c r="Q84" s="282"/>
      <c r="R84" s="1487">
        <f>R85/R86</f>
        <v>18.485668552370111</v>
      </c>
      <c r="S84" s="1431"/>
      <c r="T84" s="5474">
        <f>T85/T86</f>
        <v>10.107371361693033</v>
      </c>
      <c r="U84" s="1431"/>
      <c r="V84" s="5474">
        <f>IFERROR(V85/V86,"-")</f>
        <v>9.0170251614454955</v>
      </c>
      <c r="W84" s="5542"/>
      <c r="X84" s="2468" t="s">
        <v>226</v>
      </c>
      <c r="Y84" s="276" t="s">
        <v>227</v>
      </c>
      <c r="Z84" s="99" t="s">
        <v>206</v>
      </c>
      <c r="AA84" s="138"/>
      <c r="AB84" s="138"/>
      <c r="AC84" s="99"/>
      <c r="AD84" s="264" t="s">
        <v>228</v>
      </c>
      <c r="AE84" s="265"/>
      <c r="AF84" s="187"/>
      <c r="AG84" s="18"/>
    </row>
    <row r="85" spans="2:33" ht="20.100000000000001" customHeight="1">
      <c r="B85" s="1360" t="b">
        <f t="shared" si="9"/>
        <v>0</v>
      </c>
      <c r="C85" s="9767"/>
      <c r="D85" s="161" t="s">
        <v>230</v>
      </c>
      <c r="E85" s="161"/>
      <c r="F85" s="285" t="s">
        <v>212</v>
      </c>
      <c r="G85" s="286"/>
      <c r="H85" s="287"/>
      <c r="I85" s="288" t="s">
        <v>231</v>
      </c>
      <c r="J85" s="289"/>
      <c r="K85" s="109" t="s">
        <v>212</v>
      </c>
      <c r="L85" s="290">
        <v>60746.31</v>
      </c>
      <c r="M85" s="290"/>
      <c r="N85" s="290">
        <v>71392.570000000007</v>
      </c>
      <c r="O85" s="284"/>
      <c r="P85" s="291"/>
      <c r="Q85" s="292"/>
      <c r="R85" s="1488">
        <v>60746.31</v>
      </c>
      <c r="S85" s="935">
        <v>18.485668552370111</v>
      </c>
      <c r="T85" s="5488">
        <v>71420</v>
      </c>
      <c r="U85" s="5487" t="s">
        <v>1777</v>
      </c>
      <c r="V85" s="5477">
        <v>69731</v>
      </c>
      <c r="W85" s="5541" t="s">
        <v>1778</v>
      </c>
      <c r="X85" s="2468"/>
      <c r="Y85" s="276"/>
      <c r="Z85" s="99" t="s">
        <v>206</v>
      </c>
      <c r="AA85" s="138"/>
      <c r="AB85" s="138"/>
      <c r="AC85" s="99"/>
      <c r="AD85" s="264" t="s">
        <v>228</v>
      </c>
      <c r="AE85" s="265"/>
      <c r="AF85" s="187"/>
      <c r="AG85" s="18"/>
    </row>
    <row r="86" spans="2:33" ht="20.100000000000001" customHeight="1">
      <c r="B86" s="1360" t="b">
        <f t="shared" si="9"/>
        <v>0</v>
      </c>
      <c r="C86" s="9768"/>
      <c r="D86" s="104" t="s">
        <v>232</v>
      </c>
      <c r="E86" s="161"/>
      <c r="F86" s="295" t="s">
        <v>233</v>
      </c>
      <c r="G86" s="286"/>
      <c r="H86" s="296"/>
      <c r="I86" s="288" t="s">
        <v>234</v>
      </c>
      <c r="J86" s="289"/>
      <c r="K86" s="281" t="s">
        <v>235</v>
      </c>
      <c r="L86" s="290">
        <v>3286.13</v>
      </c>
      <c r="M86" s="290"/>
      <c r="N86" s="290">
        <v>7066</v>
      </c>
      <c r="O86" s="284"/>
      <c r="P86" s="291"/>
      <c r="Q86" s="292"/>
      <c r="R86" s="1488">
        <v>3286.13</v>
      </c>
      <c r="S86" s="935" t="s">
        <v>704</v>
      </c>
      <c r="T86" s="1488">
        <v>7066.13</v>
      </c>
      <c r="U86" s="1202" t="s">
        <v>704</v>
      </c>
      <c r="V86" s="1490">
        <v>7733.26</v>
      </c>
      <c r="W86" s="2059" t="s">
        <v>704</v>
      </c>
      <c r="X86" s="2468"/>
      <c r="Y86" s="276"/>
      <c r="Z86" s="99" t="s">
        <v>37</v>
      </c>
      <c r="AA86" s="138"/>
      <c r="AB86" s="138"/>
      <c r="AC86" s="99"/>
      <c r="AD86" s="264" t="s">
        <v>228</v>
      </c>
      <c r="AE86" s="265"/>
      <c r="AF86" s="187"/>
      <c r="AG86" s="18"/>
    </row>
    <row r="87" spans="2:33" ht="19.899999999999999" customHeight="1">
      <c r="B87" s="1360" t="b">
        <f t="shared" si="9"/>
        <v>0</v>
      </c>
      <c r="C87" s="161" t="s">
        <v>237</v>
      </c>
      <c r="D87" s="161"/>
      <c r="E87" s="161"/>
      <c r="F87" s="285" t="s">
        <v>212</v>
      </c>
      <c r="G87" s="286"/>
      <c r="H87" s="140" t="s">
        <v>238</v>
      </c>
      <c r="I87" s="140"/>
      <c r="J87" s="141"/>
      <c r="K87" s="109" t="s">
        <v>212</v>
      </c>
      <c r="L87" s="228"/>
      <c r="M87" s="297"/>
      <c r="N87" s="228"/>
      <c r="O87" s="95"/>
      <c r="P87" s="228"/>
      <c r="Q87" s="297"/>
      <c r="R87" s="1490" t="s">
        <v>169</v>
      </c>
      <c r="S87" s="1346" t="s">
        <v>209</v>
      </c>
      <c r="T87" s="1490" t="s">
        <v>169</v>
      </c>
      <c r="U87" s="1346" t="s">
        <v>209</v>
      </c>
      <c r="V87" s="1490" t="s">
        <v>169</v>
      </c>
      <c r="W87" s="2060" t="s">
        <v>369</v>
      </c>
      <c r="X87" s="2468" t="s">
        <v>239</v>
      </c>
      <c r="Y87" s="276" t="s">
        <v>240</v>
      </c>
      <c r="Z87" s="99" t="s">
        <v>206</v>
      </c>
      <c r="AA87" s="138"/>
      <c r="AB87" s="138"/>
      <c r="AC87" s="299" t="s">
        <v>193</v>
      </c>
      <c r="AD87" s="264" t="s">
        <v>241</v>
      </c>
      <c r="AE87" s="264" t="s">
        <v>242</v>
      </c>
      <c r="AF87" s="187"/>
      <c r="AG87" s="18"/>
    </row>
    <row r="88" spans="2:33" ht="19.899999999999999" customHeight="1">
      <c r="B88" s="1360" t="b">
        <f t="shared" si="9"/>
        <v>1</v>
      </c>
      <c r="C88" s="161" t="s">
        <v>656</v>
      </c>
      <c r="D88" s="104"/>
      <c r="E88" s="104"/>
      <c r="F88" s="105" t="s">
        <v>212</v>
      </c>
      <c r="G88" s="286"/>
      <c r="H88" s="300" t="s">
        <v>657</v>
      </c>
      <c r="I88" s="140"/>
      <c r="J88" s="141"/>
      <c r="K88" s="109" t="s">
        <v>212</v>
      </c>
      <c r="L88" s="301"/>
      <c r="M88" s="301"/>
      <c r="N88" s="301"/>
      <c r="O88" s="301"/>
      <c r="P88" s="301"/>
      <c r="Q88" s="301"/>
      <c r="R88" s="1488"/>
      <c r="S88" s="1413"/>
      <c r="T88" s="1488"/>
      <c r="U88" s="283"/>
      <c r="V88" s="1488"/>
      <c r="W88" s="2061"/>
      <c r="X88" s="498" t="s">
        <v>658</v>
      </c>
      <c r="Y88" s="305" t="s">
        <v>659</v>
      </c>
      <c r="Z88" s="99" t="s">
        <v>206</v>
      </c>
      <c r="AA88" s="138"/>
      <c r="AB88" s="138"/>
      <c r="AC88" s="299" t="s">
        <v>1435</v>
      </c>
      <c r="AD88" s="264" t="s">
        <v>250</v>
      </c>
      <c r="AE88" s="264" t="s">
        <v>242</v>
      </c>
      <c r="AF88" s="187"/>
      <c r="AG88" s="18"/>
    </row>
    <row r="89" spans="2:33" ht="20.100000000000001" customHeight="1">
      <c r="B89" s="1360" t="b">
        <f t="shared" si="9"/>
        <v>1</v>
      </c>
      <c r="C89" s="1354"/>
      <c r="D89" s="306" t="s">
        <v>660</v>
      </c>
      <c r="E89" s="161"/>
      <c r="F89" s="285" t="s">
        <v>212</v>
      </c>
      <c r="G89" s="286"/>
      <c r="H89" s="307"/>
      <c r="I89" s="288" t="s">
        <v>248</v>
      </c>
      <c r="J89" s="289"/>
      <c r="K89" s="109" t="s">
        <v>212</v>
      </c>
      <c r="L89" s="92"/>
      <c r="M89" s="92" t="s">
        <v>1780</v>
      </c>
      <c r="N89" s="92"/>
      <c r="O89" s="95" t="s">
        <v>1780</v>
      </c>
      <c r="P89" s="228"/>
      <c r="Q89" s="297"/>
      <c r="R89" s="1488"/>
      <c r="S89" s="935" t="s">
        <v>1780</v>
      </c>
      <c r="T89" s="1490"/>
      <c r="U89" s="935" t="s">
        <v>1780</v>
      </c>
      <c r="V89" s="1490"/>
      <c r="W89" s="2060"/>
      <c r="X89" s="498"/>
      <c r="Y89" s="305"/>
      <c r="Z89" s="309" t="s">
        <v>249</v>
      </c>
      <c r="AA89" s="138"/>
      <c r="AB89" s="138"/>
      <c r="AC89" s="299" t="s">
        <v>193</v>
      </c>
      <c r="AD89" s="264" t="s">
        <v>250</v>
      </c>
      <c r="AE89" s="264" t="s">
        <v>242</v>
      </c>
      <c r="AF89" s="187"/>
      <c r="AG89" s="18"/>
    </row>
    <row r="90" spans="2:33" ht="20.100000000000001" customHeight="1">
      <c r="B90" s="1360" t="b">
        <f t="shared" si="9"/>
        <v>0</v>
      </c>
      <c r="C90" s="1355"/>
      <c r="D90" s="306" t="s">
        <v>230</v>
      </c>
      <c r="E90" s="161"/>
      <c r="F90" s="285" t="s">
        <v>212</v>
      </c>
      <c r="G90" s="286"/>
      <c r="H90" s="310"/>
      <c r="I90" s="288" t="s">
        <v>231</v>
      </c>
      <c r="J90" s="289"/>
      <c r="K90" s="109" t="s">
        <v>212</v>
      </c>
      <c r="L90" s="297">
        <f>L85</f>
        <v>60746.31</v>
      </c>
      <c r="M90" s="297" t="s">
        <v>1780</v>
      </c>
      <c r="N90" s="297">
        <f>N85</f>
        <v>71392.570000000007</v>
      </c>
      <c r="O90" s="95" t="s">
        <v>1780</v>
      </c>
      <c r="P90" s="228"/>
      <c r="Q90" s="297"/>
      <c r="R90" s="1488">
        <f>R85</f>
        <v>60746.31</v>
      </c>
      <c r="S90" s="935" t="s">
        <v>1780</v>
      </c>
      <c r="T90" s="5488">
        <f>T85</f>
        <v>71420</v>
      </c>
      <c r="U90" s="935" t="s">
        <v>1780</v>
      </c>
      <c r="V90" s="5477">
        <f>V85</f>
        <v>69731</v>
      </c>
      <c r="W90" s="2060"/>
      <c r="X90" s="2469"/>
      <c r="Y90" s="305"/>
      <c r="Z90" s="99" t="s">
        <v>206</v>
      </c>
      <c r="AA90" s="138"/>
      <c r="AB90" s="138"/>
      <c r="AC90" s="299" t="s">
        <v>193</v>
      </c>
      <c r="AD90" s="264" t="s">
        <v>250</v>
      </c>
      <c r="AE90" s="265"/>
      <c r="AF90" s="187"/>
      <c r="AG90" s="18"/>
    </row>
    <row r="91" spans="2:33" ht="20.100000000000001" customHeight="1">
      <c r="B91" s="1353" t="str">
        <f>C91</f>
        <v>온실가스 배출량 감축</v>
      </c>
      <c r="C91" s="736" t="s">
        <v>661</v>
      </c>
      <c r="D91" s="736"/>
      <c r="E91" s="736"/>
      <c r="F91" s="1568"/>
      <c r="G91" s="311"/>
      <c r="H91" s="312" t="s">
        <v>244</v>
      </c>
      <c r="I91" s="313"/>
      <c r="J91" s="314"/>
      <c r="K91" s="315" t="s">
        <v>168</v>
      </c>
      <c r="L91" s="316"/>
      <c r="M91" s="316"/>
      <c r="N91" s="316"/>
      <c r="O91" s="316"/>
      <c r="P91" s="316"/>
      <c r="Q91" s="316"/>
      <c r="R91" s="1565"/>
      <c r="S91" s="1569"/>
      <c r="T91" s="1567"/>
      <c r="U91" s="1569"/>
      <c r="V91" s="1567"/>
      <c r="W91" s="2062"/>
      <c r="X91" s="1564"/>
      <c r="Y91" s="321"/>
      <c r="Z91" s="99" t="s">
        <v>206</v>
      </c>
      <c r="AA91" s="138"/>
      <c r="AB91" s="138"/>
      <c r="AC91" s="99"/>
      <c r="AD91" s="264"/>
      <c r="AE91" s="265" t="s">
        <v>662</v>
      </c>
      <c r="AF91" s="187"/>
      <c r="AG91" s="18"/>
    </row>
    <row r="92" spans="2:33" ht="20.100000000000001" customHeight="1">
      <c r="B92" s="1360" t="b">
        <f t="shared" ref="B92:B94" si="10">OR(ISBLANK(R92),ISBLANK(T92),ISBLANK(V92))</f>
        <v>1</v>
      </c>
      <c r="C92" s="1356"/>
      <c r="D92" s="306" t="s">
        <v>663</v>
      </c>
      <c r="E92" s="306"/>
      <c r="F92" s="285" t="s">
        <v>212</v>
      </c>
      <c r="G92" s="286"/>
      <c r="H92" s="287"/>
      <c r="I92" s="184" t="s">
        <v>664</v>
      </c>
      <c r="J92" s="141"/>
      <c r="K92" s="109" t="s">
        <v>212</v>
      </c>
      <c r="L92" s="228"/>
      <c r="M92" s="297"/>
      <c r="N92" s="228"/>
      <c r="O92" s="95"/>
      <c r="P92" s="228"/>
      <c r="Q92" s="297"/>
      <c r="R92" s="1488"/>
      <c r="S92" s="935"/>
      <c r="T92" s="5488">
        <v>81175</v>
      </c>
      <c r="U92" s="935"/>
      <c r="V92" s="5477">
        <v>80191</v>
      </c>
      <c r="W92" s="2060"/>
      <c r="X92" s="498"/>
      <c r="Y92" s="305"/>
      <c r="Z92" s="99" t="s">
        <v>206</v>
      </c>
      <c r="AA92" s="138"/>
      <c r="AB92" s="138"/>
      <c r="AC92" s="99"/>
      <c r="AD92" s="277"/>
      <c r="AE92" s="265" t="s">
        <v>246</v>
      </c>
      <c r="AF92" s="187"/>
      <c r="AG92" s="18"/>
    </row>
    <row r="93" spans="2:33" ht="20.100000000000001" customHeight="1">
      <c r="B93" s="1360" t="b">
        <f t="shared" si="10"/>
        <v>1</v>
      </c>
      <c r="C93" s="1357"/>
      <c r="D93" s="306" t="s">
        <v>665</v>
      </c>
      <c r="E93" s="306"/>
      <c r="F93" s="285" t="s">
        <v>212</v>
      </c>
      <c r="G93" s="286"/>
      <c r="H93" s="322"/>
      <c r="I93" s="184" t="s">
        <v>666</v>
      </c>
      <c r="J93" s="141"/>
      <c r="K93" s="109" t="s">
        <v>212</v>
      </c>
      <c r="L93" s="228"/>
      <c r="M93" s="297"/>
      <c r="N93" s="228"/>
      <c r="O93" s="95"/>
      <c r="P93" s="228"/>
      <c r="Q93" s="297"/>
      <c r="R93" s="1488"/>
      <c r="S93" s="935"/>
      <c r="T93" s="5477">
        <v>71420</v>
      </c>
      <c r="U93" s="935"/>
      <c r="V93" s="5477">
        <v>69731</v>
      </c>
      <c r="W93" s="2060"/>
      <c r="X93" s="498"/>
      <c r="Y93" s="305"/>
      <c r="Z93" s="99" t="s">
        <v>206</v>
      </c>
      <c r="AA93" s="138"/>
      <c r="AB93" s="138"/>
      <c r="AC93" s="99"/>
      <c r="AD93" s="277"/>
      <c r="AE93" s="265" t="s">
        <v>246</v>
      </c>
      <c r="AF93" s="187"/>
      <c r="AG93" s="18"/>
    </row>
    <row r="94" spans="2:33" ht="20.100000000000001" customHeight="1" thickBot="1">
      <c r="B94" s="1361" t="b">
        <f t="shared" si="10"/>
        <v>1</v>
      </c>
      <c r="C94" s="1358"/>
      <c r="D94" s="323" t="s">
        <v>312</v>
      </c>
      <c r="E94" s="324"/>
      <c r="F94" s="285" t="s">
        <v>212</v>
      </c>
      <c r="G94" s="325"/>
      <c r="H94" s="326"/>
      <c r="I94" s="327" t="s">
        <v>244</v>
      </c>
      <c r="J94" s="287"/>
      <c r="K94" s="109" t="s">
        <v>212</v>
      </c>
      <c r="L94" s="228"/>
      <c r="M94" s="297"/>
      <c r="N94" s="228"/>
      <c r="O94" s="95"/>
      <c r="P94" s="228"/>
      <c r="Q94" s="297"/>
      <c r="R94" s="1488"/>
      <c r="S94" s="935"/>
      <c r="T94" s="5477">
        <v>9755</v>
      </c>
      <c r="U94" s="935"/>
      <c r="V94" s="5477">
        <v>10460</v>
      </c>
      <c r="W94" s="2060"/>
      <c r="X94" s="498"/>
      <c r="Y94" s="305"/>
      <c r="Z94" s="99" t="s">
        <v>206</v>
      </c>
      <c r="AA94" s="138"/>
      <c r="AB94" s="138"/>
      <c r="AC94" s="99"/>
      <c r="AD94" s="277"/>
      <c r="AE94" s="265" t="s">
        <v>246</v>
      </c>
      <c r="AF94" s="187"/>
      <c r="AG94" s="18"/>
    </row>
    <row r="95" spans="2:33" ht="27" thickBot="1">
      <c r="B95" s="123" t="s">
        <v>252</v>
      </c>
      <c r="C95" s="124"/>
      <c r="D95" s="124"/>
      <c r="E95" s="124"/>
      <c r="F95" s="78"/>
      <c r="G95" s="125" t="s">
        <v>253</v>
      </c>
      <c r="H95" s="126"/>
      <c r="I95" s="126"/>
      <c r="J95" s="126"/>
      <c r="K95" s="78"/>
      <c r="L95" s="77"/>
      <c r="M95" s="77"/>
      <c r="N95" s="77"/>
      <c r="O95" s="77"/>
      <c r="P95" s="77"/>
      <c r="Q95" s="77"/>
      <c r="R95" s="1484"/>
      <c r="S95" s="1410"/>
      <c r="T95" s="1484"/>
      <c r="U95" s="1410"/>
      <c r="V95" s="1484"/>
      <c r="W95" s="77"/>
      <c r="X95" s="80"/>
      <c r="Y95" s="80"/>
      <c r="Z95" s="129"/>
      <c r="AA95" s="129"/>
      <c r="AB95" s="129"/>
      <c r="AC95" s="129"/>
      <c r="AD95" s="328"/>
      <c r="AE95" s="328"/>
      <c r="AF95" s="329"/>
      <c r="AG95" s="18"/>
    </row>
    <row r="96" spans="2:33" ht="20.100000000000001" customHeight="1">
      <c r="B96" s="1359" t="b">
        <f t="shared" ref="B96:B119" si="11">OR(ISBLANK(R96),ISBLANK(T96),ISBLANK(V96))</f>
        <v>0</v>
      </c>
      <c r="C96" s="9755" t="s">
        <v>254</v>
      </c>
      <c r="D96" s="9755"/>
      <c r="E96" s="9755"/>
      <c r="F96" s="87" t="s">
        <v>255</v>
      </c>
      <c r="G96" s="330"/>
      <c r="H96" s="9755" t="s">
        <v>256</v>
      </c>
      <c r="I96" s="9755"/>
      <c r="J96" s="9755"/>
      <c r="K96" s="91" t="s">
        <v>255</v>
      </c>
      <c r="L96" s="331">
        <f>L97+L98</f>
        <v>1268.5</v>
      </c>
      <c r="M96" s="332"/>
      <c r="N96" s="331">
        <f t="shared" ref="N96:P96" si="12">N97+N98</f>
        <v>1491.8940000000002</v>
      </c>
      <c r="O96" s="333"/>
      <c r="P96" s="334">
        <f t="shared" si="12"/>
        <v>0</v>
      </c>
      <c r="Q96" s="334"/>
      <c r="R96" s="1489">
        <f t="shared" ref="R96" si="13">R97+R98</f>
        <v>1268.5</v>
      </c>
      <c r="S96" s="1686"/>
      <c r="T96" s="5490">
        <v>1429</v>
      </c>
      <c r="U96" s="5487" t="s">
        <v>1777</v>
      </c>
      <c r="V96" s="5490">
        <v>1394</v>
      </c>
      <c r="W96" s="442"/>
      <c r="X96" s="1021" t="s">
        <v>257</v>
      </c>
      <c r="Y96" s="263" t="s">
        <v>258</v>
      </c>
      <c r="Z96" s="99" t="s">
        <v>206</v>
      </c>
      <c r="AA96" s="138"/>
      <c r="AB96" s="138"/>
      <c r="AC96" s="99"/>
      <c r="AD96" s="336" t="s">
        <v>259</v>
      </c>
      <c r="AE96" s="265" t="s">
        <v>260</v>
      </c>
      <c r="AF96" s="159" t="s">
        <v>261</v>
      </c>
      <c r="AG96" s="18"/>
    </row>
    <row r="97" spans="2:33" ht="20.100000000000001" customHeight="1">
      <c r="B97" s="1360" t="b">
        <f t="shared" si="11"/>
        <v>0</v>
      </c>
      <c r="C97" s="9765"/>
      <c r="D97" s="9749" t="s">
        <v>262</v>
      </c>
      <c r="E97" s="9648"/>
      <c r="F97" s="87" t="s">
        <v>255</v>
      </c>
      <c r="G97" s="337"/>
      <c r="H97" s="287"/>
      <c r="I97" s="184" t="s">
        <v>263</v>
      </c>
      <c r="J97" s="296"/>
      <c r="K97" s="91" t="s">
        <v>255</v>
      </c>
      <c r="L97" s="338">
        <v>1268.5</v>
      </c>
      <c r="M97" s="339"/>
      <c r="N97" s="338">
        <v>1491.8940000000002</v>
      </c>
      <c r="O97" s="338"/>
      <c r="P97" s="340"/>
      <c r="Q97" s="341"/>
      <c r="R97" s="1490">
        <v>1268.5</v>
      </c>
      <c r="S97" s="1680" t="s">
        <v>667</v>
      </c>
      <c r="T97" s="5477">
        <v>1429</v>
      </c>
      <c r="U97" s="1680" t="s">
        <v>668</v>
      </c>
      <c r="V97" s="5482">
        <v>1394</v>
      </c>
      <c r="W97" s="2063"/>
      <c r="X97" s="1033" t="s">
        <v>264</v>
      </c>
      <c r="Y97" s="263" t="s">
        <v>265</v>
      </c>
      <c r="Z97" s="99" t="s">
        <v>206</v>
      </c>
      <c r="AA97" s="138"/>
      <c r="AB97" s="138"/>
      <c r="AC97" s="99"/>
      <c r="AD97" s="336" t="s">
        <v>266</v>
      </c>
      <c r="AE97" s="154"/>
      <c r="AF97" s="159"/>
      <c r="AG97" s="18"/>
    </row>
    <row r="98" spans="2:33" ht="20.100000000000001" customHeight="1">
      <c r="B98" s="1360" t="b">
        <f t="shared" si="11"/>
        <v>0</v>
      </c>
      <c r="C98" s="9766"/>
      <c r="D98" s="9749" t="s">
        <v>273</v>
      </c>
      <c r="E98" s="9648"/>
      <c r="F98" s="87" t="s">
        <v>255</v>
      </c>
      <c r="G98" s="343"/>
      <c r="H98" s="296"/>
      <c r="I98" s="344" t="s">
        <v>274</v>
      </c>
      <c r="J98" s="296"/>
      <c r="K98" s="91" t="s">
        <v>255</v>
      </c>
      <c r="L98" s="338">
        <v>0</v>
      </c>
      <c r="M98" s="339"/>
      <c r="N98" s="338">
        <v>0</v>
      </c>
      <c r="O98" s="338"/>
      <c r="P98" s="340"/>
      <c r="Q98" s="341"/>
      <c r="R98" s="1490">
        <v>0</v>
      </c>
      <c r="S98" s="1680" t="s">
        <v>670</v>
      </c>
      <c r="T98" s="1490">
        <v>0</v>
      </c>
      <c r="U98" s="1680" t="s">
        <v>670</v>
      </c>
      <c r="V98" s="1519">
        <v>0</v>
      </c>
      <c r="X98" s="1033" t="s">
        <v>275</v>
      </c>
      <c r="Y98" s="263" t="s">
        <v>276</v>
      </c>
      <c r="Z98" s="99" t="s">
        <v>206</v>
      </c>
      <c r="AA98" s="138"/>
      <c r="AB98" s="138"/>
      <c r="AC98" s="99"/>
      <c r="AD98" s="336" t="s">
        <v>277</v>
      </c>
      <c r="AE98" s="154"/>
      <c r="AF98" s="159"/>
      <c r="AG98" s="18"/>
    </row>
    <row r="99" spans="2:33" ht="20.100000000000001" customHeight="1">
      <c r="B99" s="1360" t="b">
        <f t="shared" si="11"/>
        <v>1</v>
      </c>
      <c r="C99" s="9769" t="s">
        <v>296</v>
      </c>
      <c r="D99" s="9769"/>
      <c r="E99" s="9769"/>
      <c r="F99" s="280" t="s">
        <v>255</v>
      </c>
      <c r="G99" s="345"/>
      <c r="H99" s="143" t="s">
        <v>297</v>
      </c>
      <c r="I99" s="143"/>
      <c r="J99" s="108"/>
      <c r="K99" s="281" t="s">
        <v>255</v>
      </c>
      <c r="L99" s="228"/>
      <c r="M99" s="92" t="s">
        <v>1780</v>
      </c>
      <c r="N99" s="228"/>
      <c r="O99" s="92" t="s">
        <v>1780</v>
      </c>
      <c r="P99" s="228"/>
      <c r="Q99" s="297"/>
      <c r="R99" s="1490"/>
      <c r="S99" s="1431" t="s">
        <v>1780</v>
      </c>
      <c r="T99" s="1490"/>
      <c r="U99" s="1431" t="s">
        <v>1780</v>
      </c>
      <c r="V99" s="1490"/>
      <c r="W99" s="2060"/>
      <c r="X99" s="2468" t="s">
        <v>298</v>
      </c>
      <c r="Y99" s="276" t="s">
        <v>299</v>
      </c>
      <c r="Z99" s="99" t="s">
        <v>206</v>
      </c>
      <c r="AA99" s="138"/>
      <c r="AB99" s="138"/>
      <c r="AC99" s="99"/>
      <c r="AD99" s="346" t="s">
        <v>300</v>
      </c>
      <c r="AE99" s="265"/>
      <c r="AF99" s="187"/>
      <c r="AG99" s="18"/>
    </row>
    <row r="100" spans="2:33" ht="20.100000000000001" customHeight="1">
      <c r="B100" s="1360" t="b">
        <f t="shared" si="11"/>
        <v>1</v>
      </c>
      <c r="C100" s="9765"/>
      <c r="D100" s="9770" t="s">
        <v>303</v>
      </c>
      <c r="E100" s="9769"/>
      <c r="F100" s="280" t="s">
        <v>255</v>
      </c>
      <c r="G100" s="347"/>
      <c r="H100" s="348"/>
      <c r="I100" s="349" t="s">
        <v>304</v>
      </c>
      <c r="J100" s="108"/>
      <c r="K100" s="281" t="s">
        <v>255</v>
      </c>
      <c r="L100" s="23"/>
      <c r="M100" s="350" t="s">
        <v>1780</v>
      </c>
      <c r="N100" s="228"/>
      <c r="O100" s="350" t="s">
        <v>1780</v>
      </c>
      <c r="P100" s="351"/>
      <c r="Q100" s="352"/>
      <c r="R100" s="1491"/>
      <c r="S100" s="1687" t="s">
        <v>1780</v>
      </c>
      <c r="T100" s="1491"/>
      <c r="U100" s="1431" t="s">
        <v>1780</v>
      </c>
      <c r="V100" s="1490"/>
      <c r="W100" s="2064"/>
      <c r="X100" s="2468"/>
      <c r="Y100" s="276"/>
      <c r="Z100" s="309" t="s">
        <v>249</v>
      </c>
      <c r="AA100" s="138"/>
      <c r="AB100" s="138"/>
      <c r="AC100" s="309"/>
      <c r="AD100" s="346" t="s">
        <v>300</v>
      </c>
      <c r="AE100" s="265"/>
      <c r="AF100" s="187"/>
      <c r="AG100" s="18"/>
    </row>
    <row r="101" spans="2:33" ht="20.100000000000001" customHeight="1">
      <c r="B101" s="1360" t="b">
        <f t="shared" si="11"/>
        <v>0</v>
      </c>
      <c r="C101" s="9766"/>
      <c r="D101" s="9770" t="s">
        <v>1781</v>
      </c>
      <c r="E101" s="9769"/>
      <c r="F101" s="280" t="s">
        <v>255</v>
      </c>
      <c r="G101" s="106"/>
      <c r="H101" s="353"/>
      <c r="I101" s="349" t="s">
        <v>306</v>
      </c>
      <c r="J101" s="108"/>
      <c r="K101" s="280" t="s">
        <v>255</v>
      </c>
      <c r="L101" s="354">
        <f>L112+L113</f>
        <v>1096.472</v>
      </c>
      <c r="M101" s="355"/>
      <c r="N101" s="354">
        <f>N112+N113</f>
        <v>1304.46</v>
      </c>
      <c r="O101" s="298"/>
      <c r="P101" s="356">
        <f>P112+P113</f>
        <v>0</v>
      </c>
      <c r="Q101" s="356"/>
      <c r="R101" s="1492">
        <f>R112+R113</f>
        <v>1096.472</v>
      </c>
      <c r="S101" s="1688"/>
      <c r="T101" s="5474">
        <f>T112+T113</f>
        <v>1304.46</v>
      </c>
      <c r="U101" s="1681">
        <f>U112+U113</f>
        <v>0</v>
      </c>
      <c r="V101" s="5474">
        <f>V112+V113</f>
        <v>1274.117</v>
      </c>
      <c r="W101" s="2065"/>
      <c r="X101" s="2468"/>
      <c r="Y101" s="276"/>
      <c r="Z101" s="99" t="s">
        <v>206</v>
      </c>
      <c r="AA101" s="138"/>
      <c r="AB101" s="138"/>
      <c r="AC101" s="99"/>
      <c r="AD101" s="346" t="s">
        <v>300</v>
      </c>
      <c r="AE101" s="265"/>
      <c r="AF101" s="187"/>
      <c r="AG101" s="18"/>
    </row>
    <row r="102" spans="2:33" ht="20.100000000000001" customHeight="1">
      <c r="B102" s="1360" t="b">
        <f t="shared" si="11"/>
        <v>0</v>
      </c>
      <c r="C102" s="144" t="s">
        <v>671</v>
      </c>
      <c r="D102" s="357"/>
      <c r="E102" s="104"/>
      <c r="F102" s="132" t="s">
        <v>255</v>
      </c>
      <c r="G102" s="358"/>
      <c r="H102" s="359" t="s">
        <v>263</v>
      </c>
      <c r="I102" s="359"/>
      <c r="J102" s="360"/>
      <c r="K102" s="136" t="s">
        <v>255</v>
      </c>
      <c r="L102" s="361">
        <v>1268.5</v>
      </c>
      <c r="M102" s="362"/>
      <c r="N102" s="361">
        <v>1491.894</v>
      </c>
      <c r="O102" s="363"/>
      <c r="P102" s="364">
        <v>0</v>
      </c>
      <c r="Q102" s="364"/>
      <c r="R102" s="1493">
        <f>R103+R104</f>
        <v>1268.5</v>
      </c>
      <c r="S102" s="1689"/>
      <c r="T102" s="5483">
        <v>1429</v>
      </c>
      <c r="U102" s="283"/>
      <c r="V102" s="5483">
        <v>1394</v>
      </c>
      <c r="W102" s="2065"/>
      <c r="X102" s="498" t="s">
        <v>672</v>
      </c>
      <c r="Y102" s="263" t="s">
        <v>265</v>
      </c>
      <c r="Z102" s="99" t="s">
        <v>206</v>
      </c>
      <c r="AA102" s="138"/>
      <c r="AB102" s="138"/>
      <c r="AC102" s="99"/>
      <c r="AD102" s="336" t="s">
        <v>269</v>
      </c>
      <c r="AE102" s="265"/>
      <c r="AF102" s="187"/>
      <c r="AG102" s="18"/>
    </row>
    <row r="103" spans="2:33" ht="20.100000000000001" customHeight="1">
      <c r="B103" s="1360" t="b">
        <f t="shared" si="11"/>
        <v>0</v>
      </c>
      <c r="C103" s="9771"/>
      <c r="D103" s="9598" t="s">
        <v>267</v>
      </c>
      <c r="E103" s="9599"/>
      <c r="F103" s="132" t="s">
        <v>255</v>
      </c>
      <c r="G103" s="106"/>
      <c r="H103" s="353"/>
      <c r="I103" s="349" t="s">
        <v>268</v>
      </c>
      <c r="J103" s="108"/>
      <c r="K103" s="136" t="s">
        <v>255</v>
      </c>
      <c r="L103" s="368">
        <v>172.10000000000002</v>
      </c>
      <c r="M103" s="369" t="s">
        <v>369</v>
      </c>
      <c r="N103" s="368">
        <v>187.43400000000003</v>
      </c>
      <c r="O103" s="370" t="s">
        <v>369</v>
      </c>
      <c r="P103" s="303"/>
      <c r="Q103" s="371"/>
      <c r="R103" s="1491">
        <v>172.10000000000002</v>
      </c>
      <c r="S103" s="1682" t="s">
        <v>673</v>
      </c>
      <c r="T103" s="5478">
        <v>187.43400000000003</v>
      </c>
      <c r="U103" s="1682" t="s">
        <v>674</v>
      </c>
      <c r="V103" s="5484">
        <v>183.94</v>
      </c>
      <c r="W103" s="2066"/>
      <c r="X103" s="498"/>
      <c r="Y103" s="367"/>
      <c r="Z103" s="99" t="s">
        <v>206</v>
      </c>
      <c r="AA103" s="138"/>
      <c r="AB103" s="138"/>
      <c r="AC103" s="99"/>
      <c r="AD103" s="186" t="s">
        <v>269</v>
      </c>
      <c r="AE103" s="265"/>
      <c r="AF103" s="187"/>
      <c r="AG103" s="18"/>
    </row>
    <row r="104" spans="2:33" ht="20.100000000000001" customHeight="1">
      <c r="B104" s="1360" t="b">
        <f t="shared" si="11"/>
        <v>0</v>
      </c>
      <c r="C104" s="9772"/>
      <c r="D104" s="9773" t="s">
        <v>270</v>
      </c>
      <c r="E104" s="9774"/>
      <c r="F104" s="295" t="s">
        <v>255</v>
      </c>
      <c r="G104" s="106"/>
      <c r="H104" s="353"/>
      <c r="I104" s="349" t="s">
        <v>271</v>
      </c>
      <c r="J104" s="108"/>
      <c r="K104" s="372" t="s">
        <v>255</v>
      </c>
      <c r="L104" s="368">
        <v>1096.4000000000001</v>
      </c>
      <c r="M104" s="369"/>
      <c r="N104" s="368">
        <v>1304.46</v>
      </c>
      <c r="O104" s="373"/>
      <c r="P104" s="303"/>
      <c r="Q104" s="371"/>
      <c r="R104" s="1491">
        <v>1096.4000000000001</v>
      </c>
      <c r="S104" s="1690"/>
      <c r="T104" s="5478">
        <v>1304.46</v>
      </c>
      <c r="U104" s="1682" t="s">
        <v>668</v>
      </c>
      <c r="V104" s="5484">
        <v>1274.117</v>
      </c>
      <c r="W104" s="2066"/>
      <c r="X104" s="498"/>
      <c r="Y104" s="367"/>
      <c r="Z104" s="99" t="s">
        <v>206</v>
      </c>
      <c r="AA104" s="138"/>
      <c r="AB104" s="138"/>
      <c r="AC104" s="99"/>
      <c r="AD104" s="186" t="s">
        <v>269</v>
      </c>
      <c r="AE104" s="265"/>
      <c r="AF104" s="187"/>
      <c r="AG104" s="18"/>
    </row>
    <row r="105" spans="2:33" ht="20.100000000000001" customHeight="1">
      <c r="B105" s="1360" t="b">
        <f t="shared" si="11"/>
        <v>0</v>
      </c>
      <c r="C105" s="1362" t="s">
        <v>675</v>
      </c>
      <c r="D105" s="306"/>
      <c r="E105" s="161"/>
      <c r="F105" s="280" t="s">
        <v>255</v>
      </c>
      <c r="G105" s="345"/>
      <c r="H105" s="143" t="s">
        <v>274</v>
      </c>
      <c r="I105" s="143"/>
      <c r="J105" s="108"/>
      <c r="K105" s="281" t="s">
        <v>255</v>
      </c>
      <c r="L105" s="374">
        <f>L106+L107+L108</f>
        <v>0</v>
      </c>
      <c r="M105" s="375" t="s">
        <v>209</v>
      </c>
      <c r="N105" s="374">
        <f>N106+N107+N108</f>
        <v>0</v>
      </c>
      <c r="O105" s="376" t="s">
        <v>209</v>
      </c>
      <c r="P105" s="374">
        <f>P106+P107+P108</f>
        <v>0</v>
      </c>
      <c r="Q105" s="374"/>
      <c r="R105" s="1494">
        <f>R106+R107+R108</f>
        <v>0</v>
      </c>
      <c r="S105" s="1683" t="s">
        <v>209</v>
      </c>
      <c r="T105" s="1517">
        <f>T106+T107+T108</f>
        <v>0</v>
      </c>
      <c r="U105" s="1683" t="s">
        <v>209</v>
      </c>
      <c r="V105" s="1510">
        <f>V106+V107+V108</f>
        <v>0</v>
      </c>
      <c r="W105" s="2067" t="s">
        <v>209</v>
      </c>
      <c r="X105" s="2468" t="s">
        <v>676</v>
      </c>
      <c r="Y105" s="263" t="s">
        <v>276</v>
      </c>
      <c r="Z105" s="99" t="s">
        <v>206</v>
      </c>
      <c r="AA105" s="138"/>
      <c r="AB105" s="138"/>
      <c r="AC105" s="99"/>
      <c r="AD105" s="336" t="s">
        <v>280</v>
      </c>
      <c r="AE105" s="265"/>
      <c r="AF105" s="187"/>
      <c r="AG105" s="18"/>
    </row>
    <row r="106" spans="2:33" ht="20.100000000000001" customHeight="1">
      <c r="B106" s="1360" t="b">
        <f t="shared" si="11"/>
        <v>1</v>
      </c>
      <c r="C106" s="9654"/>
      <c r="D106" s="306" t="s">
        <v>278</v>
      </c>
      <c r="E106" s="306"/>
      <c r="F106" s="280" t="s">
        <v>255</v>
      </c>
      <c r="G106" s="347"/>
      <c r="H106" s="348"/>
      <c r="I106" s="349" t="s">
        <v>279</v>
      </c>
      <c r="J106" s="108"/>
      <c r="K106" s="281" t="s">
        <v>255</v>
      </c>
      <c r="L106" s="379">
        <v>0</v>
      </c>
      <c r="M106" s="380" t="s">
        <v>209</v>
      </c>
      <c r="N106" s="379">
        <v>0</v>
      </c>
      <c r="O106" s="376" t="s">
        <v>209</v>
      </c>
      <c r="P106" s="274"/>
      <c r="Q106" s="381"/>
      <c r="R106" s="1491"/>
      <c r="S106" s="1683" t="s">
        <v>209</v>
      </c>
      <c r="T106" s="1491"/>
      <c r="U106" s="1683" t="s">
        <v>209</v>
      </c>
      <c r="V106" s="1486"/>
      <c r="W106" s="2068" t="s">
        <v>209</v>
      </c>
      <c r="X106" s="2468"/>
      <c r="Y106" s="276"/>
      <c r="Z106" s="99" t="s">
        <v>206</v>
      </c>
      <c r="AA106" s="138"/>
      <c r="AB106" s="138"/>
      <c r="AC106" s="99"/>
      <c r="AD106" s="336" t="s">
        <v>280</v>
      </c>
      <c r="AE106" s="265"/>
      <c r="AF106" s="187"/>
      <c r="AG106" s="18"/>
    </row>
    <row r="107" spans="2:33" ht="20.100000000000001" customHeight="1">
      <c r="B107" s="1360" t="b">
        <f t="shared" si="11"/>
        <v>1</v>
      </c>
      <c r="C107" s="9775"/>
      <c r="D107" s="9773" t="s">
        <v>281</v>
      </c>
      <c r="E107" s="9774"/>
      <c r="F107" s="280" t="s">
        <v>255</v>
      </c>
      <c r="G107" s="106"/>
      <c r="H107" s="353"/>
      <c r="I107" s="184" t="s">
        <v>282</v>
      </c>
      <c r="J107" s="141"/>
      <c r="K107" s="281" t="s">
        <v>255</v>
      </c>
      <c r="L107" s="379">
        <v>0</v>
      </c>
      <c r="M107" s="380" t="s">
        <v>209</v>
      </c>
      <c r="N107" s="379">
        <v>0</v>
      </c>
      <c r="O107" s="376" t="s">
        <v>209</v>
      </c>
      <c r="P107" s="274"/>
      <c r="Q107" s="381"/>
      <c r="R107" s="1491"/>
      <c r="S107" s="1403"/>
      <c r="T107" s="1491"/>
      <c r="U107" s="1684"/>
      <c r="V107" s="1486"/>
      <c r="W107" s="2068"/>
      <c r="X107" s="2468"/>
      <c r="Y107" s="276"/>
      <c r="Z107" s="99" t="s">
        <v>206</v>
      </c>
      <c r="AA107" s="138"/>
      <c r="AB107" s="138"/>
      <c r="AC107" s="99"/>
      <c r="AD107" s="336" t="s">
        <v>280</v>
      </c>
      <c r="AE107" s="265"/>
      <c r="AF107" s="187"/>
      <c r="AG107" s="18"/>
    </row>
    <row r="108" spans="2:33" ht="20.100000000000001" customHeight="1">
      <c r="B108" s="1360" t="b">
        <f t="shared" si="11"/>
        <v>1</v>
      </c>
      <c r="C108" s="9776"/>
      <c r="D108" s="9598" t="s">
        <v>283</v>
      </c>
      <c r="E108" s="9599"/>
      <c r="F108" s="280" t="s">
        <v>255</v>
      </c>
      <c r="G108" s="384"/>
      <c r="H108" s="385"/>
      <c r="I108" s="184" t="s">
        <v>284</v>
      </c>
      <c r="J108" s="141"/>
      <c r="K108" s="281" t="s">
        <v>255</v>
      </c>
      <c r="L108" s="379">
        <v>0</v>
      </c>
      <c r="M108" s="380" t="s">
        <v>209</v>
      </c>
      <c r="N108" s="379">
        <v>0</v>
      </c>
      <c r="O108" s="376" t="s">
        <v>209</v>
      </c>
      <c r="P108" s="274"/>
      <c r="Q108" s="381"/>
      <c r="R108" s="1491"/>
      <c r="S108" s="1683" t="s">
        <v>209</v>
      </c>
      <c r="T108" s="1491"/>
      <c r="U108" s="1683" t="s">
        <v>209</v>
      </c>
      <c r="V108" s="1486"/>
      <c r="W108" s="2068" t="s">
        <v>209</v>
      </c>
      <c r="X108" s="2468"/>
      <c r="Y108" s="276"/>
      <c r="Z108" s="99" t="s">
        <v>206</v>
      </c>
      <c r="AA108" s="138"/>
      <c r="AB108" s="138"/>
      <c r="AC108" s="99"/>
      <c r="AD108" s="336" t="s">
        <v>280</v>
      </c>
      <c r="AE108" s="265"/>
      <c r="AF108" s="187"/>
      <c r="AG108" s="18"/>
    </row>
    <row r="109" spans="2:33" ht="20.100000000000001" customHeight="1">
      <c r="B109" s="1360" t="b">
        <f t="shared" si="11"/>
        <v>0</v>
      </c>
      <c r="C109" s="9769" t="s">
        <v>285</v>
      </c>
      <c r="D109" s="9769"/>
      <c r="E109" s="9769"/>
      <c r="F109" s="105" t="s">
        <v>286</v>
      </c>
      <c r="G109" s="386"/>
      <c r="H109" s="140" t="s">
        <v>287</v>
      </c>
      <c r="I109" s="140"/>
      <c r="J109" s="141"/>
      <c r="K109" s="109" t="s">
        <v>288</v>
      </c>
      <c r="L109" s="387">
        <v>0.38601637792783605</v>
      </c>
      <c r="M109" s="388"/>
      <c r="N109" s="387">
        <v>0.21113310963709983</v>
      </c>
      <c r="O109" s="389"/>
      <c r="P109" s="390" t="s">
        <v>169</v>
      </c>
      <c r="Q109" s="390"/>
      <c r="R109" s="1495">
        <v>0.38601637792783605</v>
      </c>
      <c r="S109" s="1691"/>
      <c r="T109" s="5485">
        <v>0.21113310963709983</v>
      </c>
      <c r="U109" s="1685"/>
      <c r="V109" s="5485">
        <v>0.18</v>
      </c>
      <c r="W109" s="2069"/>
      <c r="X109" s="2468" t="s">
        <v>289</v>
      </c>
      <c r="Y109" s="276" t="s">
        <v>290</v>
      </c>
      <c r="Z109" s="99" t="s">
        <v>206</v>
      </c>
      <c r="AA109" s="138"/>
      <c r="AB109" s="138"/>
      <c r="AC109" s="99"/>
      <c r="AD109" s="346" t="s">
        <v>291</v>
      </c>
      <c r="AE109" s="346" t="s">
        <v>292</v>
      </c>
      <c r="AF109" s="187"/>
      <c r="AG109" s="18"/>
    </row>
    <row r="110" spans="2:33" ht="20.100000000000001" customHeight="1">
      <c r="B110" s="1360" t="b">
        <f t="shared" si="11"/>
        <v>0</v>
      </c>
      <c r="C110" s="9765"/>
      <c r="D110" s="9770" t="s">
        <v>254</v>
      </c>
      <c r="E110" s="9769"/>
      <c r="F110" s="280" t="s">
        <v>255</v>
      </c>
      <c r="G110" s="106"/>
      <c r="H110" s="353"/>
      <c r="I110" s="184" t="s">
        <v>293</v>
      </c>
      <c r="J110" s="177"/>
      <c r="K110" s="281" t="s">
        <v>255</v>
      </c>
      <c r="L110" s="392">
        <v>1268.5</v>
      </c>
      <c r="M110" s="389"/>
      <c r="N110" s="392">
        <v>1491.8940000000002</v>
      </c>
      <c r="O110" s="389"/>
      <c r="P110" s="303"/>
      <c r="Q110" s="371"/>
      <c r="R110" s="1496">
        <v>1268.5</v>
      </c>
      <c r="S110" s="1691" t="s">
        <v>667</v>
      </c>
      <c r="T110" s="5484">
        <v>1429</v>
      </c>
      <c r="U110" s="1415" t="s">
        <v>1782</v>
      </c>
      <c r="V110" s="5484">
        <v>1394</v>
      </c>
      <c r="W110" s="2066"/>
      <c r="X110" s="2468"/>
      <c r="Y110" s="276"/>
      <c r="Z110" s="99" t="s">
        <v>206</v>
      </c>
      <c r="AA110" s="138"/>
      <c r="AB110" s="138"/>
      <c r="AC110" s="99"/>
      <c r="AD110" s="346" t="s">
        <v>294</v>
      </c>
      <c r="AE110" s="346"/>
      <c r="AF110" s="187"/>
      <c r="AG110" s="18"/>
    </row>
    <row r="111" spans="2:33" ht="20.100000000000001" customHeight="1">
      <c r="B111" s="1360" t="b">
        <f t="shared" si="11"/>
        <v>0</v>
      </c>
      <c r="C111" s="9766"/>
      <c r="D111" s="9770" t="s">
        <v>232</v>
      </c>
      <c r="E111" s="9769"/>
      <c r="F111" s="105" t="s">
        <v>233</v>
      </c>
      <c r="G111" s="106"/>
      <c r="H111" s="353"/>
      <c r="I111" s="184" t="s">
        <v>234</v>
      </c>
      <c r="J111" s="177"/>
      <c r="K111" s="109" t="s">
        <v>295</v>
      </c>
      <c r="L111" s="301"/>
      <c r="M111" s="301"/>
      <c r="N111" s="301"/>
      <c r="O111" s="301"/>
      <c r="P111" s="301"/>
      <c r="Q111" s="301"/>
      <c r="R111" s="1495">
        <f>R86</f>
        <v>3286.13</v>
      </c>
      <c r="S111" s="1413"/>
      <c r="T111" s="1495">
        <f>T86</f>
        <v>7066.13</v>
      </c>
      <c r="U111" s="1413"/>
      <c r="V111" s="1495">
        <f>V86</f>
        <v>7733.26</v>
      </c>
      <c r="W111" s="2061"/>
      <c r="X111" s="2468"/>
      <c r="Y111" s="276"/>
      <c r="Z111" s="99" t="s">
        <v>37</v>
      </c>
      <c r="AA111" s="138"/>
      <c r="AB111" s="138"/>
      <c r="AC111" s="99"/>
      <c r="AD111" s="346" t="s">
        <v>291</v>
      </c>
      <c r="AE111" s="346"/>
      <c r="AF111" s="187"/>
      <c r="AG111" s="18"/>
    </row>
    <row r="112" spans="2:33" ht="20.100000000000001" customHeight="1">
      <c r="B112" s="1360" t="b">
        <f t="shared" si="11"/>
        <v>0</v>
      </c>
      <c r="C112" s="9769" t="s">
        <v>321</v>
      </c>
      <c r="D112" s="9769"/>
      <c r="E112" s="9769"/>
      <c r="F112" s="280" t="s">
        <v>255</v>
      </c>
      <c r="G112" s="386"/>
      <c r="H112" s="140" t="s">
        <v>322</v>
      </c>
      <c r="I112" s="140"/>
      <c r="J112" s="141"/>
      <c r="K112" s="281" t="s">
        <v>255</v>
      </c>
      <c r="L112" s="393">
        <v>1096.472</v>
      </c>
      <c r="M112" s="393"/>
      <c r="N112" s="393">
        <v>1304.46</v>
      </c>
      <c r="O112" s="393"/>
      <c r="P112" s="340"/>
      <c r="Q112" s="341"/>
      <c r="R112" s="1496">
        <v>1096.472</v>
      </c>
      <c r="S112" s="1417"/>
      <c r="T112" s="5484">
        <v>1304.46</v>
      </c>
      <c r="U112" s="1415"/>
      <c r="V112" s="5484">
        <v>1274.117</v>
      </c>
      <c r="W112" s="2063"/>
      <c r="X112" s="2468" t="s">
        <v>1783</v>
      </c>
      <c r="Y112" s="276" t="s">
        <v>1784</v>
      </c>
      <c r="Z112" s="99" t="s">
        <v>206</v>
      </c>
      <c r="AA112" s="138"/>
      <c r="AB112" s="138"/>
      <c r="AC112" s="99"/>
      <c r="AD112" s="346" t="s">
        <v>323</v>
      </c>
      <c r="AE112" s="265"/>
      <c r="AF112" s="187"/>
      <c r="AG112" s="18"/>
    </row>
    <row r="113" spans="2:33" ht="20.100000000000001" customHeight="1">
      <c r="B113" s="1360" t="b">
        <f t="shared" si="11"/>
        <v>1</v>
      </c>
      <c r="C113" s="9648" t="s">
        <v>324</v>
      </c>
      <c r="D113" s="9648"/>
      <c r="E113" s="9648"/>
      <c r="F113" s="280" t="s">
        <v>156</v>
      </c>
      <c r="G113" s="386"/>
      <c r="H113" s="140" t="s">
        <v>325</v>
      </c>
      <c r="I113" s="140"/>
      <c r="J113" s="141"/>
      <c r="K113" s="281" t="s">
        <v>156</v>
      </c>
      <c r="L113" s="303"/>
      <c r="M113" s="363"/>
      <c r="N113" s="303"/>
      <c r="O113" s="368"/>
      <c r="P113" s="394"/>
      <c r="Q113" s="395"/>
      <c r="R113" s="1496"/>
      <c r="S113" s="1416"/>
      <c r="T113" s="1496"/>
      <c r="U113" s="1415"/>
      <c r="V113" s="1496"/>
      <c r="W113" s="2070"/>
      <c r="X113" s="498" t="s">
        <v>326</v>
      </c>
      <c r="Y113" s="305" t="s">
        <v>327</v>
      </c>
      <c r="Z113" s="99" t="s">
        <v>206</v>
      </c>
      <c r="AA113" s="138"/>
      <c r="AB113" s="138"/>
      <c r="AC113" s="99"/>
      <c r="AD113" s="346"/>
      <c r="AE113" s="265"/>
      <c r="AF113" s="187" t="s">
        <v>261</v>
      </c>
      <c r="AG113" s="18"/>
    </row>
    <row r="114" spans="2:33" ht="20.100000000000001" customHeight="1">
      <c r="B114" s="1360" t="b">
        <f t="shared" si="11"/>
        <v>0</v>
      </c>
      <c r="C114" s="9769" t="s">
        <v>328</v>
      </c>
      <c r="D114" s="9769"/>
      <c r="E114" s="9769"/>
      <c r="F114" s="280" t="s">
        <v>307</v>
      </c>
      <c r="G114" s="386"/>
      <c r="H114" s="140" t="s">
        <v>329</v>
      </c>
      <c r="I114" s="140"/>
      <c r="J114" s="141"/>
      <c r="K114" s="281" t="s">
        <v>307</v>
      </c>
      <c r="L114" s="396">
        <f>L115+L116</f>
        <v>0</v>
      </c>
      <c r="M114" s="397"/>
      <c r="N114" s="396">
        <f>N115+N116</f>
        <v>0</v>
      </c>
      <c r="O114" s="398"/>
      <c r="P114" s="396">
        <f t="shared" ref="P114" si="14">P115+P116</f>
        <v>0</v>
      </c>
      <c r="Q114" s="396"/>
      <c r="R114" s="1497">
        <f t="shared" ref="R114:V114" si="15">R115+R116</f>
        <v>0</v>
      </c>
      <c r="S114" s="1679"/>
      <c r="T114" s="1497">
        <f t="shared" si="15"/>
        <v>0</v>
      </c>
      <c r="U114" s="1679"/>
      <c r="V114" s="1497">
        <f t="shared" si="15"/>
        <v>0</v>
      </c>
      <c r="W114" s="2071"/>
      <c r="X114" s="2468" t="s">
        <v>330</v>
      </c>
      <c r="Y114" s="276" t="s">
        <v>331</v>
      </c>
      <c r="Z114" s="99" t="s">
        <v>206</v>
      </c>
      <c r="AA114" s="138"/>
      <c r="AB114" s="138"/>
      <c r="AC114" s="99"/>
      <c r="AD114" s="346" t="s">
        <v>332</v>
      </c>
      <c r="AE114" s="265"/>
      <c r="AF114" s="187"/>
      <c r="AG114" s="18"/>
    </row>
    <row r="115" spans="2:33" ht="20.100000000000001" customHeight="1">
      <c r="B115" s="1360" t="b">
        <f t="shared" si="11"/>
        <v>1</v>
      </c>
      <c r="C115" s="9765"/>
      <c r="D115" s="9770" t="s">
        <v>333</v>
      </c>
      <c r="E115" s="9769"/>
      <c r="F115" s="280" t="s">
        <v>307</v>
      </c>
      <c r="G115" s="106"/>
      <c r="H115" s="353"/>
      <c r="I115" s="386" t="s">
        <v>334</v>
      </c>
      <c r="J115" s="141"/>
      <c r="K115" s="281" t="s">
        <v>307</v>
      </c>
      <c r="L115" s="274"/>
      <c r="M115" s="304" t="s">
        <v>209</v>
      </c>
      <c r="N115" s="274"/>
      <c r="O115" s="304" t="s">
        <v>209</v>
      </c>
      <c r="P115" s="402"/>
      <c r="Q115" s="403"/>
      <c r="R115" s="1486"/>
      <c r="S115" s="1418"/>
      <c r="T115" s="1486"/>
      <c r="U115" s="979"/>
      <c r="V115" s="1486"/>
      <c r="W115" s="2072"/>
      <c r="X115" s="2468"/>
      <c r="Y115" s="276"/>
      <c r="Z115" s="99" t="s">
        <v>206</v>
      </c>
      <c r="AA115" s="138"/>
      <c r="AB115" s="138"/>
      <c r="AC115" s="99"/>
      <c r="AD115" s="346" t="s">
        <v>332</v>
      </c>
      <c r="AE115" s="265"/>
      <c r="AF115" s="187"/>
      <c r="AG115" s="18"/>
    </row>
    <row r="116" spans="2:33" ht="20.100000000000001" customHeight="1">
      <c r="B116" s="1360" t="b">
        <f t="shared" si="11"/>
        <v>1</v>
      </c>
      <c r="C116" s="9766"/>
      <c r="D116" s="9770" t="s">
        <v>335</v>
      </c>
      <c r="E116" s="9769"/>
      <c r="F116" s="280" t="s">
        <v>307</v>
      </c>
      <c r="G116" s="106"/>
      <c r="H116" s="353"/>
      <c r="I116" s="386" t="s">
        <v>336</v>
      </c>
      <c r="J116" s="144"/>
      <c r="K116" s="281" t="s">
        <v>307</v>
      </c>
      <c r="L116" s="274"/>
      <c r="M116" s="304" t="s">
        <v>209</v>
      </c>
      <c r="N116" s="274"/>
      <c r="O116" s="304" t="s">
        <v>209</v>
      </c>
      <c r="P116" s="402"/>
      <c r="Q116" s="403"/>
      <c r="R116" s="1486"/>
      <c r="S116" s="940"/>
      <c r="T116" s="1486"/>
      <c r="U116" s="979"/>
      <c r="V116" s="1486"/>
      <c r="W116" s="2072"/>
      <c r="X116" s="2468"/>
      <c r="Y116" s="276"/>
      <c r="Z116" s="99" t="s">
        <v>206</v>
      </c>
      <c r="AA116" s="138"/>
      <c r="AB116" s="138"/>
      <c r="AC116" s="99"/>
      <c r="AD116" s="346" t="s">
        <v>332</v>
      </c>
      <c r="AE116" s="265"/>
      <c r="AF116" s="187"/>
      <c r="AG116" s="18"/>
    </row>
    <row r="117" spans="2:33" ht="20.100000000000001" customHeight="1">
      <c r="B117" s="1360" t="b">
        <f t="shared" si="11"/>
        <v>1</v>
      </c>
      <c r="C117" s="9648" t="s">
        <v>337</v>
      </c>
      <c r="D117" s="9648"/>
      <c r="E117" s="9648"/>
      <c r="F117" s="280" t="s">
        <v>156</v>
      </c>
      <c r="G117" s="386"/>
      <c r="H117" s="140" t="s">
        <v>338</v>
      </c>
      <c r="I117" s="140"/>
      <c r="J117" s="177"/>
      <c r="K117" s="281" t="s">
        <v>156</v>
      </c>
      <c r="L117" s="274"/>
      <c r="M117" s="269"/>
      <c r="N117" s="274"/>
      <c r="O117" s="269"/>
      <c r="P117" s="402"/>
      <c r="Q117" s="403"/>
      <c r="R117" s="1486"/>
      <c r="S117" s="940"/>
      <c r="T117" s="1486"/>
      <c r="U117" s="979"/>
      <c r="V117" s="1486"/>
      <c r="W117" s="2072"/>
      <c r="X117" s="2468" t="s">
        <v>339</v>
      </c>
      <c r="Y117" s="276" t="s">
        <v>340</v>
      </c>
      <c r="Z117" s="99" t="s">
        <v>206</v>
      </c>
      <c r="AA117" s="138"/>
      <c r="AB117" s="138"/>
      <c r="AC117" s="99"/>
      <c r="AD117" s="346"/>
      <c r="AE117" s="265"/>
      <c r="AF117" s="187" t="s">
        <v>261</v>
      </c>
      <c r="AG117" s="18"/>
    </row>
    <row r="118" spans="2:33" ht="20.100000000000001" customHeight="1">
      <c r="B118" s="1360" t="b">
        <f t="shared" si="11"/>
        <v>1</v>
      </c>
      <c r="C118" s="9767"/>
      <c r="D118" s="196" t="s">
        <v>677</v>
      </c>
      <c r="E118" s="196"/>
      <c r="F118" s="295" t="s">
        <v>307</v>
      </c>
      <c r="G118" s="106"/>
      <c r="H118" s="353"/>
      <c r="I118" s="184" t="s">
        <v>274</v>
      </c>
      <c r="J118" s="177"/>
      <c r="K118" s="281" t="s">
        <v>307</v>
      </c>
      <c r="L118" s="274"/>
      <c r="M118" s="269"/>
      <c r="N118" s="274"/>
      <c r="O118" s="269"/>
      <c r="P118" s="402"/>
      <c r="Q118" s="403"/>
      <c r="R118" s="1486"/>
      <c r="S118" s="940"/>
      <c r="T118" s="1486"/>
      <c r="U118" s="979"/>
      <c r="V118" s="1486"/>
      <c r="W118" s="2072"/>
      <c r="X118" s="2468"/>
      <c r="Y118" s="276"/>
      <c r="Z118" s="99" t="s">
        <v>206</v>
      </c>
      <c r="AA118" s="138"/>
      <c r="AB118" s="138"/>
      <c r="AC118" s="99"/>
      <c r="AD118" s="405" t="s">
        <v>277</v>
      </c>
      <c r="AE118" s="265"/>
      <c r="AF118" s="187"/>
      <c r="AG118" s="18"/>
    </row>
    <row r="119" spans="2:33" ht="20.100000000000001" customHeight="1">
      <c r="B119" s="1360" t="b">
        <f t="shared" si="11"/>
        <v>1</v>
      </c>
      <c r="C119" s="9768"/>
      <c r="D119" s="196" t="s">
        <v>254</v>
      </c>
      <c r="E119" s="196"/>
      <c r="F119" s="295" t="s">
        <v>307</v>
      </c>
      <c r="G119" s="106"/>
      <c r="H119" s="353"/>
      <c r="I119" s="288" t="s">
        <v>256</v>
      </c>
      <c r="J119" s="406"/>
      <c r="K119" s="281" t="s">
        <v>307</v>
      </c>
      <c r="L119" s="274"/>
      <c r="M119" s="269"/>
      <c r="N119" s="274"/>
      <c r="O119" s="269"/>
      <c r="P119" s="402"/>
      <c r="Q119" s="403"/>
      <c r="R119" s="1486"/>
      <c r="S119" s="940"/>
      <c r="T119" s="1486"/>
      <c r="U119" s="979"/>
      <c r="V119" s="1486"/>
      <c r="W119" s="2072"/>
      <c r="X119" s="2468"/>
      <c r="Y119" s="276"/>
      <c r="Z119" s="99" t="s">
        <v>206</v>
      </c>
      <c r="AA119" s="138"/>
      <c r="AB119" s="138"/>
      <c r="AC119" s="99"/>
      <c r="AD119" s="405" t="s">
        <v>259</v>
      </c>
      <c r="AE119" s="265"/>
      <c r="AF119" s="187"/>
      <c r="AG119" s="18"/>
    </row>
    <row r="120" spans="2:33" ht="20.100000000000001" customHeight="1">
      <c r="B120" s="1353" t="str">
        <f>C120</f>
        <v>에너지 소비감축</v>
      </c>
      <c r="C120" s="736" t="s">
        <v>1785</v>
      </c>
      <c r="D120" s="407"/>
      <c r="E120" s="407"/>
      <c r="F120" s="1568"/>
      <c r="G120" s="408"/>
      <c r="H120" s="312" t="s">
        <v>310</v>
      </c>
      <c r="I120" s="409"/>
      <c r="J120" s="410"/>
      <c r="K120" s="315" t="s">
        <v>168</v>
      </c>
      <c r="L120" s="319"/>
      <c r="M120" s="411"/>
      <c r="N120" s="319"/>
      <c r="O120" s="411"/>
      <c r="P120" s="412"/>
      <c r="Q120" s="412"/>
      <c r="R120" s="1561"/>
      <c r="S120" s="1570"/>
      <c r="T120" s="1563"/>
      <c r="U120" s="1571"/>
      <c r="V120" s="1563"/>
      <c r="W120" s="2073"/>
      <c r="X120" s="1564"/>
      <c r="Y120" s="276"/>
      <c r="Z120" s="99" t="s">
        <v>206</v>
      </c>
      <c r="AA120" s="138"/>
      <c r="AB120" s="138"/>
      <c r="AC120" s="99"/>
      <c r="AD120" s="346"/>
      <c r="AE120" s="265" t="s">
        <v>301</v>
      </c>
      <c r="AF120" s="187"/>
      <c r="AG120" s="18"/>
    </row>
    <row r="121" spans="2:33" ht="20.100000000000001" customHeight="1">
      <c r="B121" s="1360" t="b">
        <f t="shared" ref="B121:B122" si="16">OR(ISBLANK(R121),ISBLANK(T121),ISBLANK(V121))</f>
        <v>1</v>
      </c>
      <c r="C121" s="1356"/>
      <c r="D121" s="197" t="s">
        <v>314</v>
      </c>
      <c r="E121" s="195"/>
      <c r="F121" s="295" t="s">
        <v>307</v>
      </c>
      <c r="G121" s="337"/>
      <c r="H121" s="287"/>
      <c r="I121" s="198" t="s">
        <v>315</v>
      </c>
      <c r="J121" s="177"/>
      <c r="K121" s="281" t="s">
        <v>307</v>
      </c>
      <c r="L121" s="274"/>
      <c r="M121" s="269"/>
      <c r="N121" s="274"/>
      <c r="O121" s="269"/>
      <c r="P121" s="402"/>
      <c r="Q121" s="403"/>
      <c r="R121" s="1486"/>
      <c r="S121" s="940"/>
      <c r="T121" s="1486">
        <v>1676</v>
      </c>
      <c r="U121" s="979"/>
      <c r="V121" s="5793" t="s">
        <v>654</v>
      </c>
      <c r="W121" s="2072"/>
      <c r="X121" s="2470" t="s">
        <v>1786</v>
      </c>
      <c r="Y121" s="414" t="s">
        <v>1787</v>
      </c>
      <c r="Z121" s="99" t="s">
        <v>206</v>
      </c>
      <c r="AA121" s="138"/>
      <c r="AB121" s="138"/>
      <c r="AC121" s="99"/>
      <c r="AD121" s="186"/>
      <c r="AE121" s="265" t="s">
        <v>301</v>
      </c>
      <c r="AF121" s="187"/>
      <c r="AG121" s="18"/>
    </row>
    <row r="122" spans="2:33" ht="20.100000000000001" customHeight="1">
      <c r="B122" s="1360" t="b">
        <f t="shared" si="16"/>
        <v>1</v>
      </c>
      <c r="C122" s="226"/>
      <c r="D122" s="205" t="s">
        <v>318</v>
      </c>
      <c r="E122" s="415"/>
      <c r="F122" s="280" t="s">
        <v>307</v>
      </c>
      <c r="G122" s="416"/>
      <c r="H122" s="417"/>
      <c r="I122" s="184" t="s">
        <v>319</v>
      </c>
      <c r="J122" s="177"/>
      <c r="K122" s="281" t="s">
        <v>307</v>
      </c>
      <c r="L122" s="274"/>
      <c r="M122" s="269"/>
      <c r="N122" s="274"/>
      <c r="O122" s="269"/>
      <c r="P122" s="402"/>
      <c r="Q122" s="403"/>
      <c r="R122" s="1486"/>
      <c r="S122" s="940"/>
      <c r="T122" s="1486">
        <v>1429</v>
      </c>
      <c r="U122" s="979"/>
      <c r="V122" s="5793">
        <v>1394</v>
      </c>
      <c r="W122" s="2072"/>
      <c r="X122" s="2470" t="s">
        <v>1786</v>
      </c>
      <c r="Y122" s="414" t="s">
        <v>1787</v>
      </c>
      <c r="Z122" s="99" t="s">
        <v>206</v>
      </c>
      <c r="AA122" s="138"/>
      <c r="AB122" s="138"/>
      <c r="AC122" s="99"/>
      <c r="AD122" s="186"/>
      <c r="AE122" s="265" t="s">
        <v>301</v>
      </c>
      <c r="AF122" s="187"/>
      <c r="AG122" s="18"/>
    </row>
    <row r="123" spans="2:33" ht="20.100000000000001" customHeight="1" thickBot="1">
      <c r="B123" s="1361" t="b">
        <f>OR(ISBLANK(R123),ISBLANK(T123),ISBLANK(V123))</f>
        <v>1</v>
      </c>
      <c r="C123" s="1366"/>
      <c r="D123" s="418" t="s">
        <v>312</v>
      </c>
      <c r="E123" s="415"/>
      <c r="F123" s="419" t="s">
        <v>307</v>
      </c>
      <c r="G123" s="420"/>
      <c r="H123" s="421"/>
      <c r="I123" s="327" t="s">
        <v>313</v>
      </c>
      <c r="J123" s="422"/>
      <c r="K123" s="423" t="s">
        <v>307</v>
      </c>
      <c r="L123" s="274"/>
      <c r="M123" s="424"/>
      <c r="N123" s="274"/>
      <c r="O123" s="424"/>
      <c r="P123" s="402"/>
      <c r="Q123" s="403"/>
      <c r="R123" s="1486"/>
      <c r="S123" s="940"/>
      <c r="T123" s="1486">
        <v>247</v>
      </c>
      <c r="U123" s="1419"/>
      <c r="V123" s="5503"/>
      <c r="W123" s="2072"/>
      <c r="X123" s="2470" t="s">
        <v>1786</v>
      </c>
      <c r="Y123" s="414" t="s">
        <v>1787</v>
      </c>
      <c r="Z123" s="99" t="s">
        <v>206</v>
      </c>
      <c r="AA123" s="218"/>
      <c r="AB123" s="218"/>
      <c r="AC123" s="219"/>
      <c r="AD123" s="231"/>
      <c r="AE123" s="427" t="s">
        <v>301</v>
      </c>
      <c r="AF123" s="221"/>
      <c r="AG123" s="18"/>
    </row>
    <row r="124" spans="2:33" ht="27" thickBot="1">
      <c r="B124" s="123" t="s">
        <v>341</v>
      </c>
      <c r="C124" s="124"/>
      <c r="D124" s="124"/>
      <c r="E124" s="124"/>
      <c r="F124" s="1637"/>
      <c r="G124" s="428" t="s">
        <v>342</v>
      </c>
      <c r="H124" s="429"/>
      <c r="I124" s="429"/>
      <c r="J124" s="429"/>
      <c r="K124" s="430"/>
      <c r="L124" s="431"/>
      <c r="M124" s="431"/>
      <c r="N124" s="431"/>
      <c r="O124" s="431"/>
      <c r="P124" s="431"/>
      <c r="Q124" s="431"/>
      <c r="R124" s="1638"/>
      <c r="S124" s="1639"/>
      <c r="T124" s="1638"/>
      <c r="U124" s="1639"/>
      <c r="V124" s="1638"/>
      <c r="W124" s="1640"/>
      <c r="X124" s="433"/>
      <c r="Y124" s="433"/>
      <c r="Z124" s="1641"/>
      <c r="AA124" s="129"/>
      <c r="AB124" s="129"/>
      <c r="AC124" s="129"/>
      <c r="AD124" s="328"/>
      <c r="AE124" s="328"/>
      <c r="AF124" s="329"/>
      <c r="AG124" s="18"/>
    </row>
    <row r="125" spans="2:33" ht="20.100000000000001" customHeight="1">
      <c r="B125" s="1359" t="b">
        <f t="shared" ref="B125:B129" si="17">OR(ISBLANK(R125),ISBLANK(T125),ISBLANK(V125))</f>
        <v>0</v>
      </c>
      <c r="C125" s="9777" t="s">
        <v>343</v>
      </c>
      <c r="D125" s="9777"/>
      <c r="E125" s="9777"/>
      <c r="F125" s="87" t="s">
        <v>344</v>
      </c>
      <c r="G125" s="434"/>
      <c r="H125" s="435" t="s">
        <v>345</v>
      </c>
      <c r="I125" s="435"/>
      <c r="J125" s="435"/>
      <c r="K125" s="436" t="s">
        <v>344</v>
      </c>
      <c r="L125" s="437">
        <v>0</v>
      </c>
      <c r="M125" s="438"/>
      <c r="N125" s="439">
        <v>0</v>
      </c>
      <c r="O125" s="438"/>
      <c r="P125" s="439">
        <v>0</v>
      </c>
      <c r="Q125" s="440"/>
      <c r="R125" s="1634">
        <v>27681</v>
      </c>
      <c r="S125" s="1678"/>
      <c r="T125" s="1635">
        <f t="shared" ref="T125" si="18">SUM(T126:T129)</f>
        <v>664460</v>
      </c>
      <c r="U125" s="1636"/>
      <c r="V125" s="5794">
        <v>699683</v>
      </c>
      <c r="W125" s="2063"/>
      <c r="X125" s="2471" t="s">
        <v>346</v>
      </c>
      <c r="Y125" s="444" t="s">
        <v>347</v>
      </c>
      <c r="Z125" s="808" t="s">
        <v>206</v>
      </c>
      <c r="AA125" s="138"/>
      <c r="AB125" s="138"/>
      <c r="AC125" s="99"/>
      <c r="AD125" s="346" t="s">
        <v>348</v>
      </c>
      <c r="AE125" s="265" t="s">
        <v>349</v>
      </c>
      <c r="AF125" s="187" t="s">
        <v>350</v>
      </c>
      <c r="AG125" s="18"/>
    </row>
    <row r="126" spans="2:33" ht="20.100000000000001" customHeight="1">
      <c r="B126" s="1360" t="b">
        <f t="shared" si="17"/>
        <v>0</v>
      </c>
      <c r="C126" s="9778"/>
      <c r="D126" s="267" t="s">
        <v>679</v>
      </c>
      <c r="E126" s="445"/>
      <c r="F126" s="132" t="s">
        <v>344</v>
      </c>
      <c r="G126" s="337"/>
      <c r="H126" s="446"/>
      <c r="I126" s="267" t="s">
        <v>353</v>
      </c>
      <c r="J126" s="445"/>
      <c r="K126" s="91" t="s">
        <v>344</v>
      </c>
      <c r="L126" s="303"/>
      <c r="M126" s="447"/>
      <c r="N126" s="303"/>
      <c r="O126" s="388"/>
      <c r="P126" s="303"/>
      <c r="Q126" s="371"/>
      <c r="R126" s="1496">
        <v>27681</v>
      </c>
      <c r="S126" s="473"/>
      <c r="T126" s="1496">
        <v>664460</v>
      </c>
      <c r="U126" s="937"/>
      <c r="V126" s="5481">
        <v>699683</v>
      </c>
      <c r="W126" s="2066"/>
      <c r="X126" s="2471"/>
      <c r="Y126" s="444"/>
      <c r="Z126" s="1715" t="s">
        <v>206</v>
      </c>
      <c r="AA126" s="138"/>
      <c r="AB126" s="138"/>
      <c r="AC126" s="99"/>
      <c r="AD126" s="346" t="s">
        <v>354</v>
      </c>
      <c r="AE126" s="265" t="s">
        <v>349</v>
      </c>
      <c r="AF126" s="187"/>
      <c r="AG126" s="18"/>
    </row>
    <row r="127" spans="2:33" ht="20.100000000000001" customHeight="1">
      <c r="B127" s="1360" t="b">
        <f t="shared" si="17"/>
        <v>1</v>
      </c>
      <c r="C127" s="9779"/>
      <c r="D127" s="267" t="s">
        <v>355</v>
      </c>
      <c r="E127" s="445"/>
      <c r="F127" s="132" t="s">
        <v>344</v>
      </c>
      <c r="G127" s="337"/>
      <c r="I127" s="267" t="s">
        <v>356</v>
      </c>
      <c r="J127" s="268"/>
      <c r="K127" s="136" t="s">
        <v>344</v>
      </c>
      <c r="L127" s="303"/>
      <c r="M127" s="447" t="s">
        <v>369</v>
      </c>
      <c r="N127" s="303"/>
      <c r="O127" s="388" t="s">
        <v>369</v>
      </c>
      <c r="P127" s="303"/>
      <c r="Q127" s="371"/>
      <c r="R127" s="1496"/>
      <c r="S127" s="1420" t="s">
        <v>369</v>
      </c>
      <c r="T127" s="1486"/>
      <c r="U127" s="937" t="s">
        <v>209</v>
      </c>
      <c r="V127" s="1486"/>
      <c r="W127" s="2066"/>
      <c r="X127" s="2471"/>
      <c r="Y127" s="444"/>
      <c r="Z127" s="1715" t="s">
        <v>206</v>
      </c>
      <c r="AA127" s="138"/>
      <c r="AB127" s="138"/>
      <c r="AC127" s="99"/>
      <c r="AD127" s="346" t="s">
        <v>354</v>
      </c>
      <c r="AE127" s="265"/>
      <c r="AF127" s="187"/>
      <c r="AG127" s="18"/>
    </row>
    <row r="128" spans="2:33" ht="20.100000000000001" customHeight="1">
      <c r="B128" s="1360" t="b">
        <f t="shared" si="17"/>
        <v>1</v>
      </c>
      <c r="C128" s="9779"/>
      <c r="D128" s="267" t="s">
        <v>357</v>
      </c>
      <c r="E128" s="445"/>
      <c r="F128" s="132" t="s">
        <v>344</v>
      </c>
      <c r="G128" s="337"/>
      <c r="I128" s="267" t="s">
        <v>358</v>
      </c>
      <c r="J128" s="268"/>
      <c r="K128" s="136" t="s">
        <v>344</v>
      </c>
      <c r="L128" s="303"/>
      <c r="M128" s="447" t="s">
        <v>369</v>
      </c>
      <c r="N128" s="303"/>
      <c r="O128" s="388" t="s">
        <v>369</v>
      </c>
      <c r="P128" s="303"/>
      <c r="Q128" s="371"/>
      <c r="R128" s="1496"/>
      <c r="S128" s="1420" t="s">
        <v>369</v>
      </c>
      <c r="T128" s="1486"/>
      <c r="U128" s="937" t="s">
        <v>209</v>
      </c>
      <c r="V128" s="1486"/>
      <c r="W128" s="2066"/>
      <c r="X128" s="2471"/>
      <c r="Y128" s="444"/>
      <c r="Z128" s="1715" t="s">
        <v>206</v>
      </c>
      <c r="AA128" s="138"/>
      <c r="AB128" s="138"/>
      <c r="AC128" s="99"/>
      <c r="AD128" s="346" t="s">
        <v>359</v>
      </c>
      <c r="AE128" s="265" t="s">
        <v>349</v>
      </c>
      <c r="AF128" s="187"/>
      <c r="AG128" s="18"/>
    </row>
    <row r="129" spans="2:33" ht="20.100000000000001" customHeight="1">
      <c r="B129" s="1360" t="b">
        <f t="shared" si="17"/>
        <v>1</v>
      </c>
      <c r="C129" s="9780"/>
      <c r="D129" s="267" t="s">
        <v>360</v>
      </c>
      <c r="E129" s="445"/>
      <c r="F129" s="132" t="s">
        <v>344</v>
      </c>
      <c r="G129" s="337"/>
      <c r="I129" s="267" t="s">
        <v>361</v>
      </c>
      <c r="J129" s="268"/>
      <c r="K129" s="136" t="s">
        <v>344</v>
      </c>
      <c r="L129" s="303"/>
      <c r="M129" s="447" t="s">
        <v>369</v>
      </c>
      <c r="N129" s="303"/>
      <c r="O129" s="388" t="s">
        <v>369</v>
      </c>
      <c r="P129" s="303"/>
      <c r="Q129" s="371"/>
      <c r="R129" s="1496"/>
      <c r="S129" s="1420" t="s">
        <v>369</v>
      </c>
      <c r="T129" s="1486"/>
      <c r="U129" s="937" t="s">
        <v>209</v>
      </c>
      <c r="V129" s="1486"/>
      <c r="W129" s="2066"/>
      <c r="X129" s="2471"/>
      <c r="Y129" s="444"/>
      <c r="Z129" s="1715" t="s">
        <v>206</v>
      </c>
      <c r="AA129" s="138"/>
      <c r="AB129" s="138"/>
      <c r="AC129" s="99"/>
      <c r="AD129" s="346" t="s">
        <v>359</v>
      </c>
      <c r="AE129" s="265" t="s">
        <v>349</v>
      </c>
      <c r="AF129" s="187"/>
      <c r="AG129" s="18"/>
    </row>
    <row r="130" spans="2:33" ht="20.100000000000001" customHeight="1">
      <c r="B130" s="1661" t="s">
        <v>370</v>
      </c>
      <c r="C130" s="9781" t="s">
        <v>370</v>
      </c>
      <c r="D130" s="9781"/>
      <c r="E130" s="9781"/>
      <c r="F130" s="450" t="s">
        <v>344</v>
      </c>
      <c r="G130" s="451"/>
      <c r="H130" s="452" t="s">
        <v>371</v>
      </c>
      <c r="I130" s="453"/>
      <c r="J130" s="454"/>
      <c r="K130" s="136" t="s">
        <v>344</v>
      </c>
      <c r="L130" s="356">
        <f>L131-L132</f>
        <v>0</v>
      </c>
      <c r="M130" s="455" t="s">
        <v>209</v>
      </c>
      <c r="N130" s="456">
        <f>N131-N132</f>
        <v>0</v>
      </c>
      <c r="O130" s="455" t="s">
        <v>209</v>
      </c>
      <c r="P130" s="456">
        <f>P131-P132</f>
        <v>0</v>
      </c>
      <c r="Q130" s="371"/>
      <c r="R130" s="1498">
        <f>R131-R132</f>
        <v>0</v>
      </c>
      <c r="S130" s="1677"/>
      <c r="T130" s="1498">
        <f>T131-T132</f>
        <v>0</v>
      </c>
      <c r="U130" s="1676"/>
      <c r="V130" s="1498">
        <f>V131-V132</f>
        <v>0</v>
      </c>
      <c r="W130" s="2066"/>
      <c r="X130" s="2472" t="s">
        <v>372</v>
      </c>
      <c r="Y130" s="457" t="s">
        <v>373</v>
      </c>
      <c r="Z130" s="99" t="s">
        <v>189</v>
      </c>
      <c r="AA130" s="138"/>
      <c r="AB130" s="138"/>
      <c r="AC130" s="299" t="s">
        <v>193</v>
      </c>
      <c r="AD130" s="265" t="s">
        <v>374</v>
      </c>
      <c r="AE130" s="265"/>
      <c r="AF130" s="187" t="s">
        <v>350</v>
      </c>
      <c r="AG130" s="18"/>
    </row>
    <row r="131" spans="2:33" ht="20.100000000000001" customHeight="1">
      <c r="B131" s="1360" t="b">
        <f t="shared" ref="B131:B194" si="19">OR(ISBLANK(R131),ISBLANK(T131),ISBLANK(V131))</f>
        <v>0</v>
      </c>
      <c r="C131" s="9767"/>
      <c r="D131" s="9773" t="s">
        <v>343</v>
      </c>
      <c r="E131" s="9774"/>
      <c r="F131" s="450" t="s">
        <v>344</v>
      </c>
      <c r="G131" s="451"/>
      <c r="H131" s="458"/>
      <c r="I131" s="459" t="s">
        <v>680</v>
      </c>
      <c r="J131" s="460"/>
      <c r="K131" s="136" t="s">
        <v>344</v>
      </c>
      <c r="L131" s="298">
        <v>27681</v>
      </c>
      <c r="M131" s="455" t="s">
        <v>209</v>
      </c>
      <c r="N131" s="298">
        <v>664460</v>
      </c>
      <c r="O131" s="455" t="s">
        <v>209</v>
      </c>
      <c r="P131" s="228"/>
      <c r="Q131" s="371"/>
      <c r="R131" s="1486">
        <v>27681</v>
      </c>
      <c r="S131" s="461" t="s">
        <v>681</v>
      </c>
      <c r="T131" s="1486">
        <v>664460</v>
      </c>
      <c r="U131" s="461" t="s">
        <v>682</v>
      </c>
      <c r="V131" s="5477">
        <v>699683</v>
      </c>
      <c r="W131" s="2060"/>
      <c r="X131" s="2472"/>
      <c r="Y131" s="457"/>
      <c r="Z131" s="99" t="s">
        <v>189</v>
      </c>
      <c r="AA131" s="138"/>
      <c r="AB131" s="138"/>
      <c r="AC131" s="299" t="s">
        <v>193</v>
      </c>
      <c r="AD131" s="265" t="s">
        <v>374</v>
      </c>
      <c r="AE131" s="265"/>
      <c r="AF131" s="187"/>
      <c r="AG131" s="18"/>
    </row>
    <row r="132" spans="2:33" ht="20.100000000000001" customHeight="1">
      <c r="B132" s="1360" t="b">
        <f t="shared" si="19"/>
        <v>0</v>
      </c>
      <c r="C132" s="9768"/>
      <c r="D132" s="9773" t="s">
        <v>362</v>
      </c>
      <c r="E132" s="9774"/>
      <c r="F132" s="450" t="s">
        <v>344</v>
      </c>
      <c r="G132" s="451"/>
      <c r="H132" s="462"/>
      <c r="I132" s="459" t="s">
        <v>363</v>
      </c>
      <c r="J132" s="460"/>
      <c r="K132" s="136" t="s">
        <v>344</v>
      </c>
      <c r="L132" s="298">
        <v>27681</v>
      </c>
      <c r="M132" s="455" t="s">
        <v>209</v>
      </c>
      <c r="N132" s="298">
        <v>664460</v>
      </c>
      <c r="O132" s="455" t="s">
        <v>209</v>
      </c>
      <c r="P132" s="228"/>
      <c r="Q132" s="297"/>
      <c r="R132" s="1486">
        <v>27681</v>
      </c>
      <c r="S132" s="461" t="s">
        <v>681</v>
      </c>
      <c r="T132" s="1486">
        <v>664460</v>
      </c>
      <c r="U132" s="461" t="s">
        <v>682</v>
      </c>
      <c r="V132" s="5477">
        <v>699683</v>
      </c>
      <c r="W132" s="2060"/>
      <c r="X132" s="2472"/>
      <c r="Y132" s="457"/>
      <c r="Z132" s="99" t="s">
        <v>189</v>
      </c>
      <c r="AA132" s="138"/>
      <c r="AB132" s="138"/>
      <c r="AC132" s="299" t="s">
        <v>193</v>
      </c>
      <c r="AD132" s="265" t="s">
        <v>374</v>
      </c>
      <c r="AE132" s="265"/>
      <c r="AF132" s="187"/>
      <c r="AG132" s="18"/>
    </row>
    <row r="133" spans="2:33" s="481" customFormat="1" ht="20.100000000000001" customHeight="1">
      <c r="B133" s="1360" t="b">
        <f t="shared" si="19"/>
        <v>0</v>
      </c>
      <c r="C133" s="9783" t="s">
        <v>362</v>
      </c>
      <c r="D133" s="9783"/>
      <c r="E133" s="9783"/>
      <c r="F133" s="132" t="s">
        <v>1788</v>
      </c>
      <c r="G133" s="337"/>
      <c r="H133" s="463" t="s">
        <v>363</v>
      </c>
      <c r="I133" s="464"/>
      <c r="J133" s="465"/>
      <c r="K133" s="466" t="s">
        <v>1788</v>
      </c>
      <c r="L133" s="467">
        <v>27681</v>
      </c>
      <c r="M133" s="468"/>
      <c r="N133" s="467">
        <v>664460</v>
      </c>
      <c r="O133" s="469"/>
      <c r="P133" s="470"/>
      <c r="Q133" s="471"/>
      <c r="R133" s="1486">
        <v>27681</v>
      </c>
      <c r="S133" s="472" t="s">
        <v>681</v>
      </c>
      <c r="T133" s="1486">
        <v>664460</v>
      </c>
      <c r="U133" s="473" t="s">
        <v>684</v>
      </c>
      <c r="V133" s="5484">
        <v>699683</v>
      </c>
      <c r="W133" s="2074"/>
      <c r="X133" s="1285" t="s">
        <v>364</v>
      </c>
      <c r="Y133" s="475" t="s">
        <v>365</v>
      </c>
      <c r="Z133" s="1716" t="s">
        <v>206</v>
      </c>
      <c r="AA133" s="477"/>
      <c r="AB133" s="477"/>
      <c r="AC133" s="299" t="s">
        <v>193</v>
      </c>
      <c r="AD133" s="478" t="s">
        <v>366</v>
      </c>
      <c r="AE133" s="478"/>
      <c r="AF133" s="479"/>
      <c r="AG133" s="480"/>
    </row>
    <row r="134" spans="2:33" ht="20.100000000000001" customHeight="1">
      <c r="B134" s="1360" t="b">
        <f t="shared" si="19"/>
        <v>1</v>
      </c>
      <c r="C134" s="9774" t="s">
        <v>376</v>
      </c>
      <c r="D134" s="9774"/>
      <c r="E134" s="9774"/>
      <c r="F134" s="132" t="s">
        <v>344</v>
      </c>
      <c r="G134" s="337"/>
      <c r="H134" s="140" t="s">
        <v>377</v>
      </c>
      <c r="I134" s="482"/>
      <c r="J134" s="289"/>
      <c r="K134" s="164" t="s">
        <v>344</v>
      </c>
      <c r="L134" s="483"/>
      <c r="M134" s="483" t="s">
        <v>209</v>
      </c>
      <c r="N134" s="483"/>
      <c r="O134" s="483" t="s">
        <v>209</v>
      </c>
      <c r="P134" s="483"/>
      <c r="Q134" s="483"/>
      <c r="R134" s="1486"/>
      <c r="S134" s="1421" t="s">
        <v>209</v>
      </c>
      <c r="T134" s="1486"/>
      <c r="U134" s="1421" t="s">
        <v>209</v>
      </c>
      <c r="V134" s="1496"/>
      <c r="W134" s="5544" t="s">
        <v>209</v>
      </c>
      <c r="X134" s="2473" t="s">
        <v>378</v>
      </c>
      <c r="Y134" s="487" t="s">
        <v>365</v>
      </c>
      <c r="Z134" s="99" t="s">
        <v>189</v>
      </c>
      <c r="AA134" s="138"/>
      <c r="AB134" s="138"/>
      <c r="AC134" s="299" t="s">
        <v>193</v>
      </c>
      <c r="AD134" s="265" t="s">
        <v>379</v>
      </c>
      <c r="AE134" s="265"/>
      <c r="AF134" s="187"/>
      <c r="AG134" s="11"/>
    </row>
    <row r="135" spans="2:33" ht="20.100000000000001" customHeight="1">
      <c r="B135" s="1360" t="b">
        <f t="shared" si="19"/>
        <v>1</v>
      </c>
      <c r="C135" s="9774" t="s">
        <v>380</v>
      </c>
      <c r="D135" s="9774"/>
      <c r="E135" s="9774"/>
      <c r="F135" s="132" t="s">
        <v>156</v>
      </c>
      <c r="G135" s="337"/>
      <c r="H135" s="140" t="s">
        <v>381</v>
      </c>
      <c r="I135" s="482"/>
      <c r="J135" s="289"/>
      <c r="K135" s="164" t="s">
        <v>156</v>
      </c>
      <c r="L135" s="483"/>
      <c r="M135" s="483" t="s">
        <v>209</v>
      </c>
      <c r="N135" s="483"/>
      <c r="O135" s="483" t="s">
        <v>209</v>
      </c>
      <c r="P135" s="483"/>
      <c r="Q135" s="483"/>
      <c r="R135" s="1486"/>
      <c r="S135" s="1421" t="s">
        <v>209</v>
      </c>
      <c r="T135" s="1486"/>
      <c r="U135" s="1421" t="s">
        <v>209</v>
      </c>
      <c r="V135" s="1496"/>
      <c r="W135" s="5544" t="s">
        <v>209</v>
      </c>
      <c r="X135" s="2474" t="s">
        <v>382</v>
      </c>
      <c r="Y135" s="489" t="s">
        <v>383</v>
      </c>
      <c r="Z135" s="99" t="s">
        <v>189</v>
      </c>
      <c r="AA135" s="138"/>
      <c r="AB135" s="138"/>
      <c r="AC135" s="299" t="s">
        <v>193</v>
      </c>
      <c r="AD135" s="265" t="s">
        <v>384</v>
      </c>
      <c r="AE135" s="265"/>
      <c r="AF135" s="187" t="s">
        <v>350</v>
      </c>
      <c r="AG135" s="11"/>
    </row>
    <row r="136" spans="2:33" ht="20.100000000000001" customHeight="1">
      <c r="B136" s="1360" t="b">
        <f t="shared" si="19"/>
        <v>1</v>
      </c>
      <c r="C136" s="9767"/>
      <c r="D136" s="490" t="s">
        <v>385</v>
      </c>
      <c r="E136" s="491"/>
      <c r="F136" s="492" t="s">
        <v>344</v>
      </c>
      <c r="G136" s="337"/>
      <c r="I136" s="493" t="s">
        <v>386</v>
      </c>
      <c r="J136" s="360"/>
      <c r="K136" s="164" t="s">
        <v>344</v>
      </c>
      <c r="L136" s="483"/>
      <c r="M136" s="483" t="s">
        <v>209</v>
      </c>
      <c r="N136" s="483"/>
      <c r="O136" s="483" t="s">
        <v>209</v>
      </c>
      <c r="P136" s="483"/>
      <c r="Q136" s="483"/>
      <c r="R136" s="1486"/>
      <c r="S136" s="1421" t="s">
        <v>209</v>
      </c>
      <c r="T136" s="1486"/>
      <c r="U136" s="1421" t="s">
        <v>209</v>
      </c>
      <c r="V136" s="1496"/>
      <c r="W136" s="5544" t="s">
        <v>209</v>
      </c>
      <c r="X136" s="782"/>
      <c r="Z136" s="99" t="s">
        <v>189</v>
      </c>
      <c r="AA136" s="138"/>
      <c r="AB136" s="138"/>
      <c r="AC136" s="299" t="s">
        <v>193</v>
      </c>
      <c r="AD136" s="265" t="s">
        <v>384</v>
      </c>
      <c r="AE136" s="265"/>
      <c r="AF136" s="187"/>
      <c r="AG136" s="11"/>
    </row>
    <row r="137" spans="2:33" ht="20.100000000000001" customHeight="1">
      <c r="B137" s="1360" t="b">
        <f t="shared" si="19"/>
        <v>1</v>
      </c>
      <c r="C137" s="9768"/>
      <c r="D137" s="490" t="s">
        <v>343</v>
      </c>
      <c r="E137" s="491"/>
      <c r="F137" s="492" t="s">
        <v>344</v>
      </c>
      <c r="G137" s="337"/>
      <c r="I137" s="493" t="s">
        <v>685</v>
      </c>
      <c r="J137" s="360"/>
      <c r="K137" s="164" t="s">
        <v>344</v>
      </c>
      <c r="L137" s="483"/>
      <c r="M137" s="483" t="s">
        <v>209</v>
      </c>
      <c r="N137" s="483"/>
      <c r="O137" s="483" t="s">
        <v>209</v>
      </c>
      <c r="P137" s="483"/>
      <c r="Q137" s="483"/>
      <c r="R137" s="1486"/>
      <c r="S137" s="1421" t="s">
        <v>209</v>
      </c>
      <c r="T137" s="1486"/>
      <c r="U137" s="1421" t="s">
        <v>209</v>
      </c>
      <c r="V137" s="1496"/>
      <c r="W137" s="5544" t="s">
        <v>209</v>
      </c>
      <c r="Y137" s="162"/>
      <c r="Z137" s="99" t="s">
        <v>189</v>
      </c>
      <c r="AA137" s="138"/>
      <c r="AB137" s="138"/>
      <c r="AC137" s="299" t="s">
        <v>193</v>
      </c>
      <c r="AD137" s="265" t="s">
        <v>384</v>
      </c>
      <c r="AE137" s="265"/>
      <c r="AF137" s="187"/>
      <c r="AG137" s="11"/>
    </row>
    <row r="138" spans="2:33" ht="20.100000000000001" customHeight="1">
      <c r="B138" s="1360" t="b">
        <f t="shared" si="19"/>
        <v>1</v>
      </c>
      <c r="C138" s="9774" t="s">
        <v>387</v>
      </c>
      <c r="D138" s="9774"/>
      <c r="E138" s="9774"/>
      <c r="F138" s="492" t="s">
        <v>156</v>
      </c>
      <c r="G138" s="337"/>
      <c r="H138" s="140" t="s">
        <v>388</v>
      </c>
      <c r="I138" s="482"/>
      <c r="J138" s="289"/>
      <c r="K138" s="164" t="s">
        <v>156</v>
      </c>
      <c r="L138" s="483"/>
      <c r="M138" s="483" t="s">
        <v>209</v>
      </c>
      <c r="N138" s="483"/>
      <c r="O138" s="483" t="s">
        <v>209</v>
      </c>
      <c r="P138" s="483"/>
      <c r="Q138" s="483"/>
      <c r="R138" s="1486"/>
      <c r="S138" s="1421" t="s">
        <v>209</v>
      </c>
      <c r="T138" s="1486"/>
      <c r="U138" s="1421" t="s">
        <v>209</v>
      </c>
      <c r="V138" s="1496"/>
      <c r="W138" s="5544" t="s">
        <v>209</v>
      </c>
      <c r="X138" s="2474" t="s">
        <v>382</v>
      </c>
      <c r="Y138" s="489" t="s">
        <v>389</v>
      </c>
      <c r="Z138" s="99" t="s">
        <v>189</v>
      </c>
      <c r="AA138" s="138"/>
      <c r="AB138" s="138"/>
      <c r="AC138" s="299" t="s">
        <v>193</v>
      </c>
      <c r="AD138" s="265" t="s">
        <v>390</v>
      </c>
      <c r="AE138" s="265"/>
      <c r="AF138" s="187"/>
      <c r="AG138" s="11"/>
    </row>
    <row r="139" spans="2:33" ht="20.100000000000001" customHeight="1">
      <c r="B139" s="1360" t="b">
        <f t="shared" si="19"/>
        <v>1</v>
      </c>
      <c r="C139" s="614"/>
      <c r="D139" s="490" t="s">
        <v>391</v>
      </c>
      <c r="E139" s="491"/>
      <c r="F139" s="492" t="s">
        <v>344</v>
      </c>
      <c r="G139" s="337"/>
      <c r="I139" s="495" t="s">
        <v>392</v>
      </c>
      <c r="J139" s="360"/>
      <c r="K139" s="164" t="s">
        <v>344</v>
      </c>
      <c r="L139" s="483"/>
      <c r="M139" s="483" t="s">
        <v>209</v>
      </c>
      <c r="N139" s="483"/>
      <c r="O139" s="483" t="s">
        <v>209</v>
      </c>
      <c r="P139" s="483"/>
      <c r="Q139" s="483"/>
      <c r="R139" s="1486"/>
      <c r="S139" s="1421" t="s">
        <v>209</v>
      </c>
      <c r="T139" s="1486"/>
      <c r="U139" s="1421" t="s">
        <v>209</v>
      </c>
      <c r="V139" s="1496"/>
      <c r="W139" s="5544" t="s">
        <v>209</v>
      </c>
      <c r="X139" s="782"/>
      <c r="Y139" s="162"/>
      <c r="Z139" s="99" t="s">
        <v>189</v>
      </c>
      <c r="AA139" s="138"/>
      <c r="AB139" s="138"/>
      <c r="AC139" s="299" t="s">
        <v>193</v>
      </c>
      <c r="AD139" s="265" t="s">
        <v>390</v>
      </c>
      <c r="AE139" s="265"/>
      <c r="AF139" s="187"/>
      <c r="AG139" s="11"/>
    </row>
    <row r="140" spans="2:33" ht="20.100000000000001" customHeight="1">
      <c r="B140" s="1360" t="b">
        <f t="shared" si="19"/>
        <v>1</v>
      </c>
      <c r="C140" s="161"/>
      <c r="D140" s="490" t="s">
        <v>370</v>
      </c>
      <c r="E140" s="491"/>
      <c r="F140" s="492" t="s">
        <v>344</v>
      </c>
      <c r="G140" s="337"/>
      <c r="I140" s="496" t="s">
        <v>686</v>
      </c>
      <c r="J140" s="360"/>
      <c r="K140" s="164" t="s">
        <v>344</v>
      </c>
      <c r="L140" s="483"/>
      <c r="M140" s="483" t="s">
        <v>209</v>
      </c>
      <c r="N140" s="483"/>
      <c r="O140" s="483" t="s">
        <v>209</v>
      </c>
      <c r="P140" s="483"/>
      <c r="Q140" s="483"/>
      <c r="R140" s="1486"/>
      <c r="S140" s="1421" t="s">
        <v>209</v>
      </c>
      <c r="T140" s="1486"/>
      <c r="U140" s="1421" t="s">
        <v>209</v>
      </c>
      <c r="V140" s="1496"/>
      <c r="W140" s="5544" t="s">
        <v>209</v>
      </c>
      <c r="X140" s="782"/>
      <c r="Y140" s="367"/>
      <c r="Z140" s="99" t="s">
        <v>189</v>
      </c>
      <c r="AA140" s="138"/>
      <c r="AB140" s="138"/>
      <c r="AC140" s="299" t="s">
        <v>1435</v>
      </c>
      <c r="AD140" s="265" t="s">
        <v>390</v>
      </c>
      <c r="AE140" s="265"/>
      <c r="AF140" s="187"/>
      <c r="AG140" s="11"/>
    </row>
    <row r="141" spans="2:33" ht="20.100000000000001" customHeight="1">
      <c r="B141" s="1360" t="b">
        <f t="shared" si="19"/>
        <v>1</v>
      </c>
      <c r="C141" s="9774" t="s">
        <v>393</v>
      </c>
      <c r="D141" s="9774"/>
      <c r="E141" s="9774"/>
      <c r="F141" s="492" t="s">
        <v>344</v>
      </c>
      <c r="G141" s="337"/>
      <c r="H141" s="359" t="s">
        <v>394</v>
      </c>
      <c r="I141" s="497"/>
      <c r="J141" s="498"/>
      <c r="K141" s="164" t="s">
        <v>344</v>
      </c>
      <c r="L141" s="499"/>
      <c r="M141" s="381" t="s">
        <v>209</v>
      </c>
      <c r="N141" s="499"/>
      <c r="O141" s="404" t="s">
        <v>209</v>
      </c>
      <c r="P141" s="500"/>
      <c r="Q141" s="501"/>
      <c r="R141" s="1486"/>
      <c r="S141" s="1422" t="s">
        <v>209</v>
      </c>
      <c r="T141" s="1486"/>
      <c r="U141" s="1403" t="s">
        <v>209</v>
      </c>
      <c r="V141" s="1512"/>
      <c r="W141" s="1323" t="s">
        <v>209</v>
      </c>
      <c r="X141" s="498" t="s">
        <v>395</v>
      </c>
      <c r="Y141" s="367" t="s">
        <v>396</v>
      </c>
      <c r="Z141" s="99" t="s">
        <v>189</v>
      </c>
      <c r="AA141" s="138"/>
      <c r="AB141" s="138"/>
      <c r="AC141" s="299" t="s">
        <v>193</v>
      </c>
      <c r="AD141" s="265" t="s">
        <v>397</v>
      </c>
      <c r="AE141" s="265"/>
      <c r="AF141" s="187"/>
      <c r="AG141" s="11"/>
    </row>
    <row r="142" spans="2:33" ht="20.100000000000001" customHeight="1">
      <c r="B142" s="1360" t="b">
        <f t="shared" si="19"/>
        <v>1</v>
      </c>
      <c r="C142" s="9767"/>
      <c r="D142" s="508" t="s">
        <v>687</v>
      </c>
      <c r="E142" s="508"/>
      <c r="F142" s="492" t="s">
        <v>344</v>
      </c>
      <c r="G142" s="337"/>
      <c r="H142" s="348"/>
      <c r="I142" s="493" t="s">
        <v>399</v>
      </c>
      <c r="J142" s="360"/>
      <c r="K142" s="164" t="s">
        <v>344</v>
      </c>
      <c r="L142" s="499"/>
      <c r="M142" s="381" t="s">
        <v>209</v>
      </c>
      <c r="N142" s="499"/>
      <c r="O142" s="404" t="s">
        <v>209</v>
      </c>
      <c r="P142" s="500"/>
      <c r="Q142" s="501"/>
      <c r="R142" s="1486"/>
      <c r="S142" s="1422" t="s">
        <v>209</v>
      </c>
      <c r="T142" s="1486"/>
      <c r="U142" s="1403" t="s">
        <v>209</v>
      </c>
      <c r="V142" s="1486"/>
      <c r="W142" s="1323" t="s">
        <v>209</v>
      </c>
      <c r="X142" s="2475"/>
      <c r="Y142" s="162"/>
      <c r="Z142" s="99" t="s">
        <v>189</v>
      </c>
      <c r="AA142" s="138"/>
      <c r="AB142" s="138"/>
      <c r="AC142" s="299" t="s">
        <v>193</v>
      </c>
      <c r="AD142" s="265" t="s">
        <v>397</v>
      </c>
      <c r="AE142" s="265"/>
      <c r="AF142" s="187"/>
      <c r="AG142" s="11"/>
    </row>
    <row r="143" spans="2:33" ht="20.100000000000001" customHeight="1">
      <c r="B143" s="1360" t="b">
        <f t="shared" si="19"/>
        <v>1</v>
      </c>
      <c r="C143" s="9784"/>
      <c r="D143" s="508" t="s">
        <v>400</v>
      </c>
      <c r="E143" s="508"/>
      <c r="F143" s="492" t="s">
        <v>344</v>
      </c>
      <c r="G143" s="337"/>
      <c r="H143" s="353"/>
      <c r="I143" s="493" t="s">
        <v>401</v>
      </c>
      <c r="J143" s="360"/>
      <c r="K143" s="164" t="s">
        <v>344</v>
      </c>
      <c r="L143" s="499"/>
      <c r="M143" s="381" t="s">
        <v>209</v>
      </c>
      <c r="N143" s="499"/>
      <c r="O143" s="404" t="s">
        <v>209</v>
      </c>
      <c r="P143" s="500"/>
      <c r="Q143" s="501"/>
      <c r="R143" s="1486"/>
      <c r="S143" s="1422" t="s">
        <v>209</v>
      </c>
      <c r="T143" s="1486"/>
      <c r="U143" s="1403" t="s">
        <v>209</v>
      </c>
      <c r="V143" s="1486"/>
      <c r="W143" s="1323" t="s">
        <v>209</v>
      </c>
      <c r="X143" s="782"/>
      <c r="Y143" s="162"/>
      <c r="Z143" s="99" t="s">
        <v>189</v>
      </c>
      <c r="AA143" s="138"/>
      <c r="AB143" s="138"/>
      <c r="AC143" s="299" t="s">
        <v>193</v>
      </c>
      <c r="AD143" s="265" t="s">
        <v>397</v>
      </c>
      <c r="AE143" s="265"/>
      <c r="AF143" s="187"/>
      <c r="AG143" s="11"/>
    </row>
    <row r="144" spans="2:33" ht="20.100000000000001" customHeight="1">
      <c r="B144" s="1360" t="b">
        <f t="shared" si="19"/>
        <v>1</v>
      </c>
      <c r="C144" s="9784"/>
      <c r="D144" s="508" t="s">
        <v>402</v>
      </c>
      <c r="E144" s="508"/>
      <c r="F144" s="492" t="s">
        <v>344</v>
      </c>
      <c r="G144" s="337"/>
      <c r="H144" s="353"/>
      <c r="I144" s="493" t="s">
        <v>403</v>
      </c>
      <c r="J144" s="360"/>
      <c r="K144" s="164" t="s">
        <v>344</v>
      </c>
      <c r="L144" s="499"/>
      <c r="M144" s="381" t="s">
        <v>209</v>
      </c>
      <c r="N144" s="499"/>
      <c r="O144" s="404" t="s">
        <v>209</v>
      </c>
      <c r="P144" s="500"/>
      <c r="Q144" s="501"/>
      <c r="R144" s="1486"/>
      <c r="S144" s="1422" t="s">
        <v>209</v>
      </c>
      <c r="T144" s="1486"/>
      <c r="U144" s="1403" t="s">
        <v>209</v>
      </c>
      <c r="V144" s="1520"/>
      <c r="W144" s="1323" t="s">
        <v>209</v>
      </c>
      <c r="Y144" s="162"/>
      <c r="Z144" s="99" t="s">
        <v>189</v>
      </c>
      <c r="AA144" s="138"/>
      <c r="AB144" s="138"/>
      <c r="AC144" s="299" t="s">
        <v>193</v>
      </c>
      <c r="AD144" s="265" t="s">
        <v>397</v>
      </c>
      <c r="AE144" s="265"/>
      <c r="AF144" s="187"/>
      <c r="AG144" s="11"/>
    </row>
    <row r="145" spans="2:33" ht="20.100000000000001" customHeight="1">
      <c r="B145" s="1360" t="b">
        <f t="shared" si="19"/>
        <v>1</v>
      </c>
      <c r="C145" s="9784"/>
      <c r="D145" s="9786" t="s">
        <v>404</v>
      </c>
      <c r="E145" s="9787"/>
      <c r="F145" s="492" t="s">
        <v>344</v>
      </c>
      <c r="G145" s="337"/>
      <c r="H145" s="353"/>
      <c r="I145" s="493" t="s">
        <v>405</v>
      </c>
      <c r="J145" s="360"/>
      <c r="K145" s="164" t="s">
        <v>344</v>
      </c>
      <c r="L145" s="499"/>
      <c r="M145" s="381" t="s">
        <v>209</v>
      </c>
      <c r="N145" s="499"/>
      <c r="O145" s="404" t="s">
        <v>209</v>
      </c>
      <c r="P145" s="500"/>
      <c r="Q145" s="501"/>
      <c r="R145" s="1486"/>
      <c r="S145" s="1422" t="s">
        <v>209</v>
      </c>
      <c r="T145" s="1486"/>
      <c r="U145" s="1403" t="s">
        <v>209</v>
      </c>
      <c r="V145" s="1512"/>
      <c r="W145" s="1323" t="s">
        <v>209</v>
      </c>
      <c r="X145" s="782"/>
      <c r="Y145" s="162"/>
      <c r="Z145" s="99" t="s">
        <v>189</v>
      </c>
      <c r="AA145" s="138"/>
      <c r="AB145" s="138"/>
      <c r="AC145" s="299" t="s">
        <v>193</v>
      </c>
      <c r="AD145" s="265" t="s">
        <v>397</v>
      </c>
      <c r="AE145" s="265"/>
      <c r="AF145" s="187"/>
      <c r="AG145" s="11"/>
    </row>
    <row r="146" spans="2:33" ht="20.100000000000001" customHeight="1">
      <c r="B146" s="1360" t="b">
        <f t="shared" si="19"/>
        <v>1</v>
      </c>
      <c r="C146" s="9784"/>
      <c r="D146" s="9786" t="s">
        <v>406</v>
      </c>
      <c r="E146" s="9787"/>
      <c r="F146" s="492" t="s">
        <v>344</v>
      </c>
      <c r="G146" s="337"/>
      <c r="H146" s="353"/>
      <c r="I146" s="493" t="s">
        <v>407</v>
      </c>
      <c r="J146" s="360"/>
      <c r="K146" s="164" t="s">
        <v>344</v>
      </c>
      <c r="L146" s="499"/>
      <c r="M146" s="381" t="s">
        <v>209</v>
      </c>
      <c r="N146" s="499"/>
      <c r="O146" s="404" t="s">
        <v>209</v>
      </c>
      <c r="P146" s="500"/>
      <c r="Q146" s="501"/>
      <c r="R146" s="1486"/>
      <c r="S146" s="1422" t="s">
        <v>209</v>
      </c>
      <c r="T146" s="1486"/>
      <c r="U146" s="1403" t="s">
        <v>209</v>
      </c>
      <c r="V146" s="1512"/>
      <c r="W146" s="1323" t="s">
        <v>209</v>
      </c>
      <c r="X146" s="782"/>
      <c r="Y146" s="162"/>
      <c r="Z146" s="99" t="s">
        <v>189</v>
      </c>
      <c r="AA146" s="138"/>
      <c r="AB146" s="138"/>
      <c r="AC146" s="299" t="s">
        <v>193</v>
      </c>
      <c r="AD146" s="265" t="s">
        <v>397</v>
      </c>
      <c r="AE146" s="265"/>
      <c r="AF146" s="187"/>
      <c r="AG146" s="11"/>
    </row>
    <row r="147" spans="2:33" ht="20.100000000000001" customHeight="1" thickBot="1">
      <c r="B147" s="1361" t="b">
        <f t="shared" si="19"/>
        <v>1</v>
      </c>
      <c r="C147" s="9785"/>
      <c r="D147" s="9788" t="s">
        <v>408</v>
      </c>
      <c r="E147" s="9789"/>
      <c r="F147" s="511" t="s">
        <v>344</v>
      </c>
      <c r="G147" s="232"/>
      <c r="H147" s="512"/>
      <c r="I147" s="513" t="s">
        <v>409</v>
      </c>
      <c r="J147" s="514"/>
      <c r="K147" s="515" t="s">
        <v>344</v>
      </c>
      <c r="L147" s="499"/>
      <c r="M147" s="381" t="s">
        <v>209</v>
      </c>
      <c r="N147" s="499"/>
      <c r="O147" s="404" t="s">
        <v>209</v>
      </c>
      <c r="P147" s="500"/>
      <c r="Q147" s="501"/>
      <c r="R147" s="1486"/>
      <c r="S147" s="1422" t="s">
        <v>209</v>
      </c>
      <c r="T147" s="1486"/>
      <c r="U147" s="1403" t="s">
        <v>209</v>
      </c>
      <c r="V147" s="1486"/>
      <c r="W147" s="1323" t="s">
        <v>209</v>
      </c>
      <c r="X147" s="782"/>
      <c r="Y147" s="162"/>
      <c r="Z147" s="99" t="s">
        <v>189</v>
      </c>
      <c r="AA147" s="138"/>
      <c r="AB147" s="138"/>
      <c r="AC147" s="299" t="s">
        <v>193</v>
      </c>
      <c r="AD147" s="265" t="s">
        <v>397</v>
      </c>
      <c r="AE147" s="265"/>
      <c r="AF147" s="187"/>
      <c r="AG147" s="11"/>
    </row>
    <row r="148" spans="2:33" ht="27" thickBot="1">
      <c r="B148" s="123" t="s">
        <v>410</v>
      </c>
      <c r="C148" s="124"/>
      <c r="D148" s="124"/>
      <c r="E148" s="124"/>
      <c r="F148" s="518"/>
      <c r="G148" s="519" t="s">
        <v>411</v>
      </c>
      <c r="H148" s="520"/>
      <c r="I148" s="521"/>
      <c r="J148" s="148"/>
      <c r="K148" s="148"/>
      <c r="L148" s="148"/>
      <c r="M148" s="148"/>
      <c r="N148" s="148"/>
      <c r="O148" s="148"/>
      <c r="P148" s="148"/>
      <c r="Q148" s="148"/>
      <c r="R148" s="1499"/>
      <c r="S148" s="1423"/>
      <c r="T148" s="1499"/>
      <c r="U148" s="1423"/>
      <c r="V148" s="1499"/>
      <c r="W148" s="148"/>
      <c r="X148" s="80"/>
      <c r="Y148" s="432"/>
      <c r="Z148" s="1641"/>
      <c r="AA148" s="1641"/>
      <c r="AB148" s="1641"/>
      <c r="AC148" s="1641"/>
      <c r="AD148" s="328"/>
      <c r="AE148" s="328"/>
      <c r="AF148" s="329"/>
      <c r="AG148" s="18"/>
    </row>
    <row r="149" spans="2:33" ht="20.100000000000001" customHeight="1">
      <c r="B149" s="1359" t="b">
        <f t="shared" si="19"/>
        <v>0</v>
      </c>
      <c r="C149" s="9790" t="s">
        <v>412</v>
      </c>
      <c r="D149" s="9790"/>
      <c r="E149" s="9790"/>
      <c r="F149" s="492" t="s">
        <v>344</v>
      </c>
      <c r="G149" s="522"/>
      <c r="H149" s="134" t="s">
        <v>414</v>
      </c>
      <c r="I149" s="89"/>
      <c r="J149" s="523"/>
      <c r="K149" s="164" t="s">
        <v>344</v>
      </c>
      <c r="L149" s="524">
        <f>L150+L153</f>
        <v>87.38000000000001</v>
      </c>
      <c r="M149" s="525"/>
      <c r="N149" s="526">
        <f>N150+N153</f>
        <v>96.2</v>
      </c>
      <c r="O149" s="527"/>
      <c r="P149" s="528"/>
      <c r="Q149" s="501"/>
      <c r="R149" s="1500">
        <f>R150+R153</f>
        <v>87.38000000000001</v>
      </c>
      <c r="S149" s="1674"/>
      <c r="T149" s="1503">
        <f>T150+T153</f>
        <v>96.2</v>
      </c>
      <c r="U149" s="1675"/>
      <c r="V149" s="5476">
        <f>V150+V153</f>
        <v>1056.499</v>
      </c>
      <c r="W149" s="2076"/>
      <c r="X149" s="2476" t="s">
        <v>415</v>
      </c>
      <c r="Y149" s="533" t="s">
        <v>416</v>
      </c>
      <c r="Z149" s="545" t="s">
        <v>417</v>
      </c>
      <c r="AA149" s="1693"/>
      <c r="AB149" s="878"/>
      <c r="AC149" s="548"/>
      <c r="AD149" s="277" t="s">
        <v>418</v>
      </c>
      <c r="AE149" s="277" t="s">
        <v>419</v>
      </c>
      <c r="AF149" s="187"/>
      <c r="AG149" s="18"/>
    </row>
    <row r="150" spans="2:33" ht="20.100000000000001" customHeight="1">
      <c r="B150" s="1360" t="b">
        <f t="shared" si="19"/>
        <v>0</v>
      </c>
      <c r="C150" s="1363"/>
      <c r="D150" s="357" t="s">
        <v>423</v>
      </c>
      <c r="E150" s="104"/>
      <c r="F150" s="492" t="s">
        <v>344</v>
      </c>
      <c r="G150" s="535"/>
      <c r="H150" s="45"/>
      <c r="I150" s="536" t="s">
        <v>424</v>
      </c>
      <c r="J150" s="537"/>
      <c r="K150" s="164" t="s">
        <v>344</v>
      </c>
      <c r="L150" s="538">
        <v>86.43</v>
      </c>
      <c r="M150" s="539"/>
      <c r="N150" s="538">
        <v>96.2</v>
      </c>
      <c r="O150" s="540"/>
      <c r="P150" s="541">
        <v>493.56</v>
      </c>
      <c r="Q150" s="540"/>
      <c r="R150" s="1490">
        <v>86.43</v>
      </c>
      <c r="S150" s="1424" t="s">
        <v>690</v>
      </c>
      <c r="T150" s="1490">
        <v>96.2</v>
      </c>
      <c r="U150" s="1424" t="s">
        <v>691</v>
      </c>
      <c r="V150" s="5477">
        <v>1056.499</v>
      </c>
      <c r="W150" s="2058" t="s">
        <v>2062</v>
      </c>
      <c r="X150" s="2468"/>
      <c r="Y150" s="544"/>
      <c r="Z150" s="545" t="s">
        <v>417</v>
      </c>
      <c r="AA150" s="546"/>
      <c r="AB150" s="547"/>
      <c r="AC150" s="548"/>
      <c r="AD150" s="277" t="s">
        <v>418</v>
      </c>
      <c r="AE150" s="277" t="s">
        <v>419</v>
      </c>
      <c r="AF150" s="187"/>
      <c r="AG150" s="18"/>
    </row>
    <row r="151" spans="2:33" ht="20.100000000000001" customHeight="1">
      <c r="B151" s="1360" t="b">
        <f t="shared" si="19"/>
        <v>0</v>
      </c>
      <c r="C151" s="1364"/>
      <c r="D151" s="549"/>
      <c r="E151" s="306" t="s">
        <v>425</v>
      </c>
      <c r="F151" s="492" t="s">
        <v>344</v>
      </c>
      <c r="G151" s="535"/>
      <c r="H151" s="45"/>
      <c r="I151" s="550"/>
      <c r="J151" s="551" t="s">
        <v>426</v>
      </c>
      <c r="K151" s="164" t="s">
        <v>344</v>
      </c>
      <c r="L151" s="538">
        <v>78.3</v>
      </c>
      <c r="M151" s="539"/>
      <c r="N151" s="538">
        <v>85</v>
      </c>
      <c r="O151" s="540"/>
      <c r="P151" s="541">
        <v>0</v>
      </c>
      <c r="Q151" s="540"/>
      <c r="R151" s="1490">
        <v>78.3</v>
      </c>
      <c r="S151" s="1424" t="s">
        <v>693</v>
      </c>
      <c r="T151" s="1490">
        <v>85</v>
      </c>
      <c r="U151" s="1424" t="s">
        <v>693</v>
      </c>
      <c r="V151" s="5477">
        <v>0</v>
      </c>
      <c r="W151" s="2077"/>
      <c r="X151" s="2468" t="s">
        <v>427</v>
      </c>
      <c r="Y151" s="544" t="s">
        <v>428</v>
      </c>
      <c r="Z151" s="545" t="s">
        <v>417</v>
      </c>
      <c r="AA151" s="547"/>
      <c r="AB151" s="547"/>
      <c r="AC151" s="545"/>
      <c r="AD151" s="277" t="s">
        <v>429</v>
      </c>
      <c r="AE151" s="265"/>
      <c r="AF151" s="187"/>
      <c r="AG151" s="18"/>
    </row>
    <row r="152" spans="2:33" ht="20.100000000000001" customHeight="1">
      <c r="B152" s="1360" t="b">
        <f t="shared" si="19"/>
        <v>0</v>
      </c>
      <c r="C152" s="1364"/>
      <c r="D152" s="553"/>
      <c r="E152" s="306" t="s">
        <v>1790</v>
      </c>
      <c r="F152" s="492" t="s">
        <v>344</v>
      </c>
      <c r="G152" s="535"/>
      <c r="H152" s="45"/>
      <c r="I152" s="550"/>
      <c r="J152" s="554" t="s">
        <v>438</v>
      </c>
      <c r="K152" s="164" t="s">
        <v>344</v>
      </c>
      <c r="L152" s="555"/>
      <c r="M152" s="539"/>
      <c r="N152" s="555"/>
      <c r="O152" s="539"/>
      <c r="P152" s="556">
        <v>493.59</v>
      </c>
      <c r="Q152" s="540"/>
      <c r="R152" s="1490">
        <v>8.1</v>
      </c>
      <c r="S152" s="1202"/>
      <c r="T152" s="1490">
        <v>11.2</v>
      </c>
      <c r="U152" s="1424"/>
      <c r="V152" s="5477">
        <v>493.59</v>
      </c>
      <c r="W152" s="2077"/>
      <c r="X152" s="993" t="s">
        <v>439</v>
      </c>
      <c r="Y152" s="276" t="s">
        <v>440</v>
      </c>
      <c r="Z152" s="545" t="s">
        <v>417</v>
      </c>
      <c r="AA152" s="547"/>
      <c r="AB152" s="547"/>
      <c r="AC152" s="545"/>
      <c r="AD152" s="277" t="s">
        <v>489</v>
      </c>
      <c r="AE152" s="277" t="s">
        <v>442</v>
      </c>
      <c r="AF152" s="187"/>
      <c r="AG152" s="18"/>
    </row>
    <row r="153" spans="2:33" ht="20.100000000000001" customHeight="1">
      <c r="B153" s="1360" t="b">
        <f t="shared" si="19"/>
        <v>0</v>
      </c>
      <c r="C153" s="1364"/>
      <c r="D153" s="306" t="s">
        <v>444</v>
      </c>
      <c r="E153" s="161"/>
      <c r="F153" s="492" t="s">
        <v>344</v>
      </c>
      <c r="G153" s="535"/>
      <c r="H153" s="45"/>
      <c r="I153" s="557" t="s">
        <v>445</v>
      </c>
      <c r="J153" s="406"/>
      <c r="K153" s="164" t="s">
        <v>344</v>
      </c>
      <c r="L153" s="539">
        <v>0.95</v>
      </c>
      <c r="M153" s="539"/>
      <c r="N153" s="539">
        <v>0</v>
      </c>
      <c r="O153" s="539"/>
      <c r="P153" s="556">
        <v>0</v>
      </c>
      <c r="Q153" s="540"/>
      <c r="R153" s="1490">
        <v>0.95</v>
      </c>
      <c r="S153" s="1202" t="s">
        <v>1791</v>
      </c>
      <c r="T153" s="1490">
        <v>0</v>
      </c>
      <c r="U153" s="1424">
        <v>0</v>
      </c>
      <c r="V153" s="5477">
        <v>0</v>
      </c>
      <c r="W153" s="2077"/>
      <c r="X153" s="2468"/>
      <c r="Y153" s="544"/>
      <c r="Z153" s="545" t="s">
        <v>417</v>
      </c>
      <c r="AA153" s="546"/>
      <c r="AB153" s="547"/>
      <c r="AC153" s="548"/>
      <c r="AD153" s="277" t="s">
        <v>418</v>
      </c>
      <c r="AE153" s="277" t="s">
        <v>419</v>
      </c>
      <c r="AF153" s="187"/>
      <c r="AG153" s="18"/>
    </row>
    <row r="154" spans="2:33" ht="20.100000000000001" customHeight="1">
      <c r="B154" s="1360" t="b">
        <f t="shared" si="19"/>
        <v>0</v>
      </c>
      <c r="D154" s="558"/>
      <c r="E154" s="357" t="s">
        <v>446</v>
      </c>
      <c r="F154" s="492" t="s">
        <v>344</v>
      </c>
      <c r="G154" s="347"/>
      <c r="H154" s="348"/>
      <c r="I154" s="550"/>
      <c r="J154" s="551" t="s">
        <v>426</v>
      </c>
      <c r="K154" s="164" t="s">
        <v>344</v>
      </c>
      <c r="L154" s="539">
        <v>0</v>
      </c>
      <c r="M154" s="539"/>
      <c r="N154" s="539">
        <v>0</v>
      </c>
      <c r="O154" s="539"/>
      <c r="P154" s="556">
        <v>0</v>
      </c>
      <c r="Q154" s="540"/>
      <c r="R154" s="1490">
        <v>0</v>
      </c>
      <c r="S154" s="1202"/>
      <c r="T154" s="1490">
        <v>0</v>
      </c>
      <c r="U154" s="1424"/>
      <c r="V154" s="5477">
        <v>0</v>
      </c>
      <c r="W154" s="2077"/>
      <c r="X154" s="2468" t="s">
        <v>427</v>
      </c>
      <c r="Y154" s="544" t="s">
        <v>447</v>
      </c>
      <c r="Z154" s="545" t="s">
        <v>417</v>
      </c>
      <c r="AA154" s="547"/>
      <c r="AB154" s="547"/>
      <c r="AC154" s="545"/>
      <c r="AD154" s="277" t="s">
        <v>429</v>
      </c>
      <c r="AE154" s="265"/>
      <c r="AF154" s="187"/>
      <c r="AG154" s="18"/>
    </row>
    <row r="155" spans="2:33" ht="20.100000000000001" customHeight="1">
      <c r="B155" s="1360" t="b">
        <f t="shared" si="19"/>
        <v>0</v>
      </c>
      <c r="C155" s="1364"/>
      <c r="D155" s="559"/>
      <c r="E155" s="357" t="s">
        <v>454</v>
      </c>
      <c r="F155" s="492" t="s">
        <v>344</v>
      </c>
      <c r="G155" s="384"/>
      <c r="H155" s="385"/>
      <c r="I155" s="560"/>
      <c r="J155" s="561" t="s">
        <v>455</v>
      </c>
      <c r="K155" s="164" t="s">
        <v>344</v>
      </c>
      <c r="L155" s="562"/>
      <c r="M155" s="92"/>
      <c r="N155" s="92"/>
      <c r="O155" s="92"/>
      <c r="P155" s="228"/>
      <c r="Q155" s="297"/>
      <c r="R155" s="1490">
        <v>0.95</v>
      </c>
      <c r="S155" s="930"/>
      <c r="T155" s="1490">
        <v>0</v>
      </c>
      <c r="U155" s="1424"/>
      <c r="V155" s="5477">
        <v>0</v>
      </c>
      <c r="W155" s="2076"/>
      <c r="X155" s="2468"/>
      <c r="Y155" s="276"/>
      <c r="Z155" s="99" t="s">
        <v>189</v>
      </c>
      <c r="AA155" s="547"/>
      <c r="AB155" s="547"/>
      <c r="AC155" s="99"/>
      <c r="AD155" s="277" t="s">
        <v>418</v>
      </c>
      <c r="AE155" s="277" t="s">
        <v>419</v>
      </c>
      <c r="AF155" s="187"/>
      <c r="AG155" s="18"/>
    </row>
    <row r="156" spans="2:33" ht="20.100000000000001" customHeight="1">
      <c r="B156" s="1360" t="b">
        <f t="shared" si="19"/>
        <v>0</v>
      </c>
      <c r="C156" s="161" t="s">
        <v>456</v>
      </c>
      <c r="D156" s="161"/>
      <c r="E156" s="161"/>
      <c r="F156" s="492" t="s">
        <v>1792</v>
      </c>
      <c r="G156" s="198"/>
      <c r="H156" s="178" t="s">
        <v>458</v>
      </c>
      <c r="I156" s="564"/>
      <c r="J156" s="406"/>
      <c r="K156" s="162" t="s">
        <v>459</v>
      </c>
      <c r="L156" s="565">
        <v>2.6590548761004588E-2</v>
      </c>
      <c r="M156" s="566"/>
      <c r="N156" s="565">
        <v>1.3614241458903248E-2</v>
      </c>
      <c r="O156" s="567"/>
      <c r="P156" s="568"/>
      <c r="Q156" s="501"/>
      <c r="R156" s="1487">
        <v>2.6590548761004588E-2</v>
      </c>
      <c r="S156" s="1673" t="s">
        <v>699</v>
      </c>
      <c r="T156" s="1487">
        <v>1.3614241458903248E-2</v>
      </c>
      <c r="U156" s="1673" t="s">
        <v>700</v>
      </c>
      <c r="V156" s="5795">
        <v>7.0000000000000007E-2</v>
      </c>
      <c r="W156" s="2076"/>
      <c r="X156" s="2468" t="s">
        <v>460</v>
      </c>
      <c r="Y156" s="276" t="s">
        <v>461</v>
      </c>
      <c r="Z156" s="99" t="s">
        <v>189</v>
      </c>
      <c r="AA156" s="547"/>
      <c r="AB156" s="547"/>
      <c r="AC156" s="99"/>
      <c r="AD156" s="277" t="s">
        <v>462</v>
      </c>
      <c r="AE156" s="265"/>
      <c r="AF156" s="187"/>
      <c r="AG156" s="18"/>
    </row>
    <row r="157" spans="2:33" ht="20.100000000000001" customHeight="1">
      <c r="B157" s="1360" t="b">
        <f t="shared" si="19"/>
        <v>1</v>
      </c>
      <c r="C157" s="161"/>
      <c r="D157" s="571" t="s">
        <v>412</v>
      </c>
      <c r="E157" s="161"/>
      <c r="F157" s="492" t="s">
        <v>344</v>
      </c>
      <c r="G157" s="198"/>
      <c r="H157" s="178"/>
      <c r="I157" s="557" t="s">
        <v>702</v>
      </c>
      <c r="J157" s="406"/>
      <c r="K157" s="162" t="s">
        <v>703</v>
      </c>
      <c r="M157" s="302"/>
      <c r="N157" s="302"/>
      <c r="O157" s="302"/>
      <c r="P157" s="302"/>
      <c r="Q157" s="501"/>
      <c r="R157" s="1490"/>
      <c r="S157" s="1425"/>
      <c r="T157" s="1490"/>
      <c r="U157" s="1425"/>
      <c r="V157" s="1490"/>
      <c r="W157" s="2076"/>
      <c r="X157" s="2468"/>
      <c r="Z157" s="99" t="s">
        <v>189</v>
      </c>
      <c r="AA157" s="547"/>
      <c r="AB157" s="547"/>
      <c r="AC157" s="99"/>
      <c r="AD157" s="277" t="s">
        <v>462</v>
      </c>
      <c r="AE157" s="277"/>
      <c r="AF157" s="187"/>
      <c r="AG157" s="18"/>
    </row>
    <row r="158" spans="2:33" ht="20.100000000000001" customHeight="1">
      <c r="B158" s="1360" t="b">
        <f t="shared" si="19"/>
        <v>1</v>
      </c>
      <c r="C158" s="161"/>
      <c r="D158" s="571" t="s">
        <v>232</v>
      </c>
      <c r="E158" s="161"/>
      <c r="F158" s="492" t="s">
        <v>233</v>
      </c>
      <c r="G158" s="198"/>
      <c r="H158" s="178"/>
      <c r="I158" s="557" t="s">
        <v>234</v>
      </c>
      <c r="J158" s="406"/>
      <c r="K158" s="162" t="s">
        <v>235</v>
      </c>
      <c r="L158" s="572"/>
      <c r="M158" s="302"/>
      <c r="N158" s="302"/>
      <c r="O158" s="302"/>
      <c r="P158" s="302"/>
      <c r="Q158" s="501"/>
      <c r="R158" s="1490"/>
      <c r="S158" s="1425"/>
      <c r="T158" s="1490"/>
      <c r="U158" s="1425"/>
      <c r="V158" s="1490"/>
      <c r="W158" s="2076"/>
      <c r="X158" s="2468"/>
      <c r="Y158" s="276"/>
      <c r="Z158" s="99" t="s">
        <v>189</v>
      </c>
      <c r="AA158" s="547"/>
      <c r="AB158" s="547"/>
      <c r="AC158" s="99"/>
      <c r="AD158" s="277" t="s">
        <v>462</v>
      </c>
      <c r="AE158" s="277"/>
      <c r="AF158" s="187"/>
      <c r="AG158" s="18"/>
    </row>
    <row r="159" spans="2:33" ht="20.100000000000001" customHeight="1">
      <c r="B159" s="1360" t="b">
        <f t="shared" si="19"/>
        <v>0</v>
      </c>
      <c r="C159" s="161" t="s">
        <v>466</v>
      </c>
      <c r="D159" s="161"/>
      <c r="E159" s="161"/>
      <c r="F159" s="492" t="s">
        <v>344</v>
      </c>
      <c r="G159" s="386"/>
      <c r="H159" s="140" t="s">
        <v>467</v>
      </c>
      <c r="I159" s="482"/>
      <c r="J159" s="406"/>
      <c r="K159" s="164" t="s">
        <v>344</v>
      </c>
      <c r="L159" s="356">
        <v>0</v>
      </c>
      <c r="M159" s="95"/>
      <c r="N159" s="356">
        <v>0</v>
      </c>
      <c r="O159" s="92"/>
      <c r="P159" s="356">
        <v>0</v>
      </c>
      <c r="Q159" s="501"/>
      <c r="R159" s="1487">
        <v>0</v>
      </c>
      <c r="S159" s="1431"/>
      <c r="T159" s="1487">
        <v>0</v>
      </c>
      <c r="U159" s="481"/>
      <c r="V159" s="1487">
        <v>0</v>
      </c>
      <c r="W159" s="2076"/>
      <c r="X159" s="2468" t="s">
        <v>468</v>
      </c>
      <c r="Y159" s="276" t="s">
        <v>469</v>
      </c>
      <c r="Z159" s="99" t="s">
        <v>189</v>
      </c>
      <c r="AA159" s="547"/>
      <c r="AB159" s="547"/>
      <c r="AC159" s="299" t="s">
        <v>193</v>
      </c>
      <c r="AD159" s="277" t="s">
        <v>470</v>
      </c>
      <c r="AE159" s="277" t="s">
        <v>442</v>
      </c>
      <c r="AF159" s="187"/>
      <c r="AG159" s="18"/>
    </row>
    <row r="160" spans="2:33" ht="20.100000000000001" customHeight="1">
      <c r="B160" s="1360" t="b">
        <f t="shared" si="19"/>
        <v>0</v>
      </c>
      <c r="C160" s="1354"/>
      <c r="D160" s="306" t="s">
        <v>471</v>
      </c>
      <c r="E160" s="161"/>
      <c r="F160" s="492" t="s">
        <v>344</v>
      </c>
      <c r="G160" s="337"/>
      <c r="H160" s="287"/>
      <c r="I160" s="557" t="s">
        <v>472</v>
      </c>
      <c r="J160" s="177"/>
      <c r="K160" s="164" t="s">
        <v>344</v>
      </c>
      <c r="L160" s="92">
        <v>0</v>
      </c>
      <c r="M160" s="92"/>
      <c r="N160" s="92">
        <v>0</v>
      </c>
      <c r="O160" s="92"/>
      <c r="P160" s="308"/>
      <c r="Q160" s="501"/>
      <c r="R160" s="1490">
        <v>0</v>
      </c>
      <c r="S160" s="935"/>
      <c r="T160" s="1490">
        <v>0</v>
      </c>
      <c r="U160" s="935"/>
      <c r="V160" s="1490">
        <v>0</v>
      </c>
      <c r="W160" s="2076"/>
      <c r="X160" s="2468"/>
      <c r="Y160" s="276"/>
      <c r="Z160" s="99" t="s">
        <v>189</v>
      </c>
      <c r="AA160" s="547"/>
      <c r="AB160" s="547"/>
      <c r="AC160" s="299" t="s">
        <v>193</v>
      </c>
      <c r="AD160" s="277" t="s">
        <v>470</v>
      </c>
      <c r="AE160" s="277" t="s">
        <v>442</v>
      </c>
      <c r="AF160" s="187"/>
      <c r="AG160" s="18"/>
    </row>
    <row r="161" spans="2:33" ht="20.100000000000001" customHeight="1">
      <c r="B161" s="1360" t="b">
        <f t="shared" si="19"/>
        <v>0</v>
      </c>
      <c r="C161" s="1355"/>
      <c r="D161" s="306" t="s">
        <v>473</v>
      </c>
      <c r="E161" s="161"/>
      <c r="F161" s="492" t="s">
        <v>344</v>
      </c>
      <c r="G161" s="343"/>
      <c r="H161" s="296"/>
      <c r="I161" s="557" t="s">
        <v>474</v>
      </c>
      <c r="J161" s="177"/>
      <c r="K161" s="164" t="s">
        <v>344</v>
      </c>
      <c r="L161" s="92">
        <v>0</v>
      </c>
      <c r="M161" s="92"/>
      <c r="N161" s="92">
        <v>0</v>
      </c>
      <c r="O161" s="92"/>
      <c r="P161" s="308"/>
      <c r="Q161" s="501"/>
      <c r="R161" s="1490">
        <v>0</v>
      </c>
      <c r="S161" s="935"/>
      <c r="T161" s="1490">
        <v>0</v>
      </c>
      <c r="U161" s="935"/>
      <c r="V161" s="1490">
        <v>0</v>
      </c>
      <c r="W161" s="2076"/>
      <c r="X161" s="2468"/>
      <c r="Y161" s="276"/>
      <c r="Z161" s="99" t="s">
        <v>189</v>
      </c>
      <c r="AA161" s="547"/>
      <c r="AB161" s="547"/>
      <c r="AC161" s="299" t="s">
        <v>193</v>
      </c>
      <c r="AD161" s="277" t="s">
        <v>475</v>
      </c>
      <c r="AE161" s="277" t="s">
        <v>442</v>
      </c>
      <c r="AF161" s="187"/>
      <c r="AG161" s="18"/>
    </row>
    <row r="162" spans="2:33" ht="20.100000000000001" customHeight="1">
      <c r="B162" s="1360" t="b">
        <f t="shared" si="19"/>
        <v>0</v>
      </c>
      <c r="C162" s="161" t="s">
        <v>476</v>
      </c>
      <c r="D162" s="161"/>
      <c r="E162" s="161"/>
      <c r="F162" s="492" t="s">
        <v>344</v>
      </c>
      <c r="G162" s="386"/>
      <c r="H162" s="140" t="s">
        <v>477</v>
      </c>
      <c r="I162" s="482"/>
      <c r="J162" s="177"/>
      <c r="K162" s="164" t="s">
        <v>344</v>
      </c>
      <c r="L162" s="356">
        <f>L163+L164</f>
        <v>0</v>
      </c>
      <c r="M162" s="95"/>
      <c r="N162" s="356">
        <f>N163+N164</f>
        <v>0</v>
      </c>
      <c r="O162" s="92"/>
      <c r="P162" s="356">
        <f>P163+P164</f>
        <v>0</v>
      </c>
      <c r="Q162" s="501"/>
      <c r="R162" s="1487">
        <f>R163+R164</f>
        <v>0</v>
      </c>
      <c r="S162" s="1431"/>
      <c r="T162" s="1487">
        <f>T163+T164</f>
        <v>0</v>
      </c>
      <c r="U162" s="1431"/>
      <c r="V162" s="1487">
        <f>V163+V164</f>
        <v>0</v>
      </c>
      <c r="W162" s="2076"/>
      <c r="X162" s="2468" t="s">
        <v>478</v>
      </c>
      <c r="Y162" s="276" t="s">
        <v>479</v>
      </c>
      <c r="Z162" s="99" t="s">
        <v>189</v>
      </c>
      <c r="AA162" s="547"/>
      <c r="AB162" s="547"/>
      <c r="AC162" s="299" t="s">
        <v>193</v>
      </c>
      <c r="AD162" s="277" t="s">
        <v>480</v>
      </c>
      <c r="AE162" s="277"/>
      <c r="AF162" s="187"/>
      <c r="AG162" s="18"/>
    </row>
    <row r="163" spans="2:33" ht="20.100000000000001" customHeight="1">
      <c r="B163" s="1360" t="b">
        <f t="shared" si="19"/>
        <v>1</v>
      </c>
      <c r="C163" s="1363"/>
      <c r="D163" s="573" t="s">
        <v>481</v>
      </c>
      <c r="E163" s="573"/>
      <c r="F163" s="492" t="s">
        <v>344</v>
      </c>
      <c r="G163" s="574"/>
      <c r="H163" s="575"/>
      <c r="I163" s="536" t="s">
        <v>482</v>
      </c>
      <c r="J163" s="576"/>
      <c r="K163" s="164" t="s">
        <v>344</v>
      </c>
      <c r="L163" s="308"/>
      <c r="M163" s="92" t="s">
        <v>369</v>
      </c>
      <c r="N163" s="562"/>
      <c r="O163" s="92" t="s">
        <v>369</v>
      </c>
      <c r="P163" s="308"/>
      <c r="Q163" s="501"/>
      <c r="R163" s="1490"/>
      <c r="S163" s="935" t="s">
        <v>369</v>
      </c>
      <c r="T163" s="1490"/>
      <c r="U163" s="935" t="s">
        <v>369</v>
      </c>
      <c r="V163" s="1490"/>
      <c r="W163" s="5543" t="s">
        <v>209</v>
      </c>
      <c r="X163" s="2468"/>
      <c r="Y163" s="276"/>
      <c r="Z163" s="99" t="s">
        <v>189</v>
      </c>
      <c r="AA163" s="547"/>
      <c r="AB163" s="547"/>
      <c r="AC163" s="299" t="s">
        <v>193</v>
      </c>
      <c r="AD163" s="277" t="s">
        <v>480</v>
      </c>
      <c r="AE163" s="277"/>
      <c r="AF163" s="187"/>
      <c r="AG163" s="18"/>
    </row>
    <row r="164" spans="2:33" ht="20.100000000000001" customHeight="1">
      <c r="B164" s="1360" t="b">
        <f t="shared" si="19"/>
        <v>1</v>
      </c>
      <c r="C164" s="1365"/>
      <c r="D164" s="573" t="s">
        <v>483</v>
      </c>
      <c r="E164" s="573"/>
      <c r="F164" s="492" t="s">
        <v>344</v>
      </c>
      <c r="G164" s="577"/>
      <c r="H164" s="578"/>
      <c r="I164" s="536" t="s">
        <v>484</v>
      </c>
      <c r="J164" s="576"/>
      <c r="K164" s="164" t="s">
        <v>344</v>
      </c>
      <c r="L164" s="308"/>
      <c r="M164" s="92" t="s">
        <v>369</v>
      </c>
      <c r="N164" s="562"/>
      <c r="O164" s="92" t="s">
        <v>369</v>
      </c>
      <c r="P164" s="308"/>
      <c r="Q164" s="501"/>
      <c r="R164" s="1490"/>
      <c r="S164" s="935" t="s">
        <v>369</v>
      </c>
      <c r="T164" s="1490"/>
      <c r="U164" s="935" t="s">
        <v>369</v>
      </c>
      <c r="V164" s="1490"/>
      <c r="W164" s="5543" t="s">
        <v>209</v>
      </c>
      <c r="X164" s="2468"/>
      <c r="Y164" s="276"/>
      <c r="Z164" s="99" t="s">
        <v>189</v>
      </c>
      <c r="AA164" s="547"/>
      <c r="AB164" s="547"/>
      <c r="AC164" s="299" t="s">
        <v>193</v>
      </c>
      <c r="AD164" s="277" t="s">
        <v>480</v>
      </c>
      <c r="AE164" s="277"/>
      <c r="AF164" s="187"/>
      <c r="AG164" s="18"/>
    </row>
    <row r="165" spans="2:33" ht="20.100000000000001" customHeight="1">
      <c r="B165" s="1360" t="b">
        <f t="shared" si="19"/>
        <v>0</v>
      </c>
      <c r="C165" s="104" t="s">
        <v>485</v>
      </c>
      <c r="D165" s="104"/>
      <c r="E165" s="104"/>
      <c r="F165" s="492" t="s">
        <v>344</v>
      </c>
      <c r="G165" s="345"/>
      <c r="H165" s="143" t="s">
        <v>486</v>
      </c>
      <c r="I165" s="107"/>
      <c r="J165" s="576"/>
      <c r="K165" s="164" t="s">
        <v>344</v>
      </c>
      <c r="L165" s="579">
        <f>L166+L167</f>
        <v>0.95</v>
      </c>
      <c r="M165" s="580"/>
      <c r="N165" s="579">
        <f>N166+N167</f>
        <v>7712.27</v>
      </c>
      <c r="O165" s="581"/>
      <c r="P165" s="579">
        <f>P166+P167</f>
        <v>0</v>
      </c>
      <c r="Q165" s="501"/>
      <c r="R165" s="1487">
        <f>R166+R167</f>
        <v>0.95</v>
      </c>
      <c r="S165" s="1672"/>
      <c r="T165" s="1487">
        <f>T166+T167</f>
        <v>0</v>
      </c>
      <c r="U165" s="1672"/>
      <c r="V165" s="1487">
        <f>V166+V167</f>
        <v>0</v>
      </c>
      <c r="W165" s="2076"/>
      <c r="X165" s="2468" t="s">
        <v>487</v>
      </c>
      <c r="Y165" s="276" t="s">
        <v>488</v>
      </c>
      <c r="Z165" s="99" t="s">
        <v>189</v>
      </c>
      <c r="AA165" s="547"/>
      <c r="AB165" s="547"/>
      <c r="AC165" s="299" t="s">
        <v>193</v>
      </c>
      <c r="AD165" s="277" t="s">
        <v>489</v>
      </c>
      <c r="AE165" s="277" t="s">
        <v>442</v>
      </c>
      <c r="AF165" s="187"/>
      <c r="AG165" s="18"/>
    </row>
    <row r="166" spans="2:33" ht="20.100000000000001" customHeight="1">
      <c r="B166" s="1360" t="b">
        <f t="shared" si="19"/>
        <v>1</v>
      </c>
      <c r="C166" s="1363"/>
      <c r="D166" s="357" t="s">
        <v>497</v>
      </c>
      <c r="E166" s="104"/>
      <c r="F166" s="492" t="s">
        <v>344</v>
      </c>
      <c r="G166" s="574"/>
      <c r="H166" s="575"/>
      <c r="I166" s="536" t="s">
        <v>498</v>
      </c>
      <c r="J166" s="576"/>
      <c r="K166" s="164" t="s">
        <v>344</v>
      </c>
      <c r="L166" s="92">
        <v>0</v>
      </c>
      <c r="M166" s="92"/>
      <c r="N166" s="92">
        <v>7712.27</v>
      </c>
      <c r="O166" s="92"/>
      <c r="P166" s="308"/>
      <c r="Q166" s="501"/>
      <c r="R166" s="1488"/>
      <c r="S166" s="935"/>
      <c r="T166" s="1490">
        <v>0</v>
      </c>
      <c r="U166" s="935"/>
      <c r="V166" s="1490">
        <v>0</v>
      </c>
      <c r="W166" s="2076"/>
      <c r="X166" s="2468"/>
      <c r="Y166" s="276"/>
      <c r="Z166" s="99" t="s">
        <v>189</v>
      </c>
      <c r="AA166" s="547"/>
      <c r="AB166" s="547"/>
      <c r="AC166" s="299" t="s">
        <v>193</v>
      </c>
      <c r="AD166" s="277" t="s">
        <v>499</v>
      </c>
      <c r="AE166" s="277" t="s">
        <v>442</v>
      </c>
      <c r="AF166" s="187"/>
      <c r="AG166" s="18"/>
    </row>
    <row r="167" spans="2:33" ht="20.100000000000001" customHeight="1">
      <c r="B167" s="1360" t="b">
        <f t="shared" si="19"/>
        <v>0</v>
      </c>
      <c r="C167" s="1365"/>
      <c r="D167" s="357" t="s">
        <v>507</v>
      </c>
      <c r="E167" s="104"/>
      <c r="F167" s="492" t="s">
        <v>344</v>
      </c>
      <c r="G167" s="577"/>
      <c r="H167" s="578"/>
      <c r="I167" s="536" t="s">
        <v>508</v>
      </c>
      <c r="J167" s="576"/>
      <c r="K167" s="164" t="s">
        <v>344</v>
      </c>
      <c r="L167" s="563">
        <v>0.95</v>
      </c>
      <c r="M167" s="563"/>
      <c r="N167" s="92">
        <v>0</v>
      </c>
      <c r="O167" s="92"/>
      <c r="P167" s="308"/>
      <c r="Q167" s="501"/>
      <c r="R167" s="1490">
        <v>0.95</v>
      </c>
      <c r="S167" s="935"/>
      <c r="T167" s="1490">
        <v>0</v>
      </c>
      <c r="U167" s="935"/>
      <c r="V167" s="1490">
        <v>0</v>
      </c>
      <c r="W167" s="2076"/>
      <c r="X167" s="2468"/>
      <c r="Y167" s="276"/>
      <c r="Z167" s="99" t="s">
        <v>189</v>
      </c>
      <c r="AA167" s="547"/>
      <c r="AB167" s="547"/>
      <c r="AC167" s="299" t="s">
        <v>193</v>
      </c>
      <c r="AD167" s="277" t="s">
        <v>499</v>
      </c>
      <c r="AE167" s="277" t="s">
        <v>442</v>
      </c>
      <c r="AF167" s="187"/>
      <c r="AG167" s="18"/>
    </row>
    <row r="168" spans="2:33" ht="20.100000000000001" customHeight="1">
      <c r="B168" s="1360" t="b">
        <f t="shared" si="19"/>
        <v>0</v>
      </c>
      <c r="C168" s="104" t="s">
        <v>516</v>
      </c>
      <c r="D168" s="104"/>
      <c r="E168" s="104"/>
      <c r="F168" s="492" t="s">
        <v>344</v>
      </c>
      <c r="G168" s="345"/>
      <c r="H168" s="143" t="s">
        <v>517</v>
      </c>
      <c r="I168" s="107"/>
      <c r="J168" s="537"/>
      <c r="K168" s="164" t="s">
        <v>344</v>
      </c>
      <c r="L168" s="562"/>
      <c r="M168" s="92"/>
      <c r="N168" s="562"/>
      <c r="O168" s="92"/>
      <c r="P168" s="308"/>
      <c r="Q168" s="297"/>
      <c r="R168" s="1490">
        <v>8.1</v>
      </c>
      <c r="S168" s="930" t="s">
        <v>691</v>
      </c>
      <c r="T168" s="1490">
        <v>11.2</v>
      </c>
      <c r="U168" s="930" t="s">
        <v>705</v>
      </c>
      <c r="V168" s="5477">
        <v>493.59</v>
      </c>
      <c r="W168" s="2076"/>
      <c r="X168" s="2468" t="s">
        <v>439</v>
      </c>
      <c r="Y168" s="276" t="s">
        <v>440</v>
      </c>
      <c r="Z168" s="99" t="s">
        <v>189</v>
      </c>
      <c r="AA168" s="547"/>
      <c r="AB168" s="547"/>
      <c r="AC168" s="582"/>
      <c r="AD168" s="277" t="s">
        <v>518</v>
      </c>
      <c r="AE168" s="265" t="s">
        <v>519</v>
      </c>
      <c r="AF168" s="187"/>
      <c r="AG168" s="18"/>
    </row>
    <row r="169" spans="2:33" ht="20.100000000000001" customHeight="1">
      <c r="B169" s="1360" t="b">
        <f t="shared" si="19"/>
        <v>1</v>
      </c>
      <c r="C169" s="161" t="s">
        <v>522</v>
      </c>
      <c r="D169" s="161"/>
      <c r="E169" s="161"/>
      <c r="F169" s="492" t="s">
        <v>344</v>
      </c>
      <c r="G169" s="386"/>
      <c r="H169" s="140" t="s">
        <v>523</v>
      </c>
      <c r="I169" s="482"/>
      <c r="J169" s="406"/>
      <c r="K169" s="164" t="s">
        <v>344</v>
      </c>
      <c r="L169" s="562"/>
      <c r="M169" s="92" t="s">
        <v>209</v>
      </c>
      <c r="N169" s="562"/>
      <c r="O169" s="92" t="s">
        <v>209</v>
      </c>
      <c r="P169" s="308"/>
      <c r="Q169" s="297"/>
      <c r="R169" s="1490"/>
      <c r="S169" s="935" t="s">
        <v>209</v>
      </c>
      <c r="T169" s="1490"/>
      <c r="U169" s="935" t="s">
        <v>209</v>
      </c>
      <c r="V169" s="1490"/>
      <c r="W169" s="935" t="s">
        <v>209</v>
      </c>
      <c r="X169" s="2468"/>
      <c r="Y169" s="544"/>
      <c r="Z169" s="99" t="s">
        <v>189</v>
      </c>
      <c r="AA169" s="547"/>
      <c r="AB169" s="547"/>
      <c r="AC169" s="299" t="s">
        <v>193</v>
      </c>
      <c r="AD169" s="277" t="s">
        <v>524</v>
      </c>
      <c r="AE169" s="265"/>
      <c r="AF169" s="187"/>
      <c r="AG169" s="11"/>
    </row>
    <row r="170" spans="2:33" ht="20.100000000000001" customHeight="1">
      <c r="B170" s="1360" t="b">
        <f t="shared" si="19"/>
        <v>1</v>
      </c>
      <c r="C170" s="1354"/>
      <c r="D170" s="490" t="s">
        <v>708</v>
      </c>
      <c r="E170" s="583"/>
      <c r="F170" s="492" t="s">
        <v>344</v>
      </c>
      <c r="G170" s="347"/>
      <c r="H170" s="348" t="s">
        <v>527</v>
      </c>
      <c r="I170" s="493" t="s">
        <v>528</v>
      </c>
      <c r="J170" s="498"/>
      <c r="K170" s="164" t="s">
        <v>344</v>
      </c>
      <c r="L170" s="562"/>
      <c r="M170" s="92" t="s">
        <v>209</v>
      </c>
      <c r="N170" s="562"/>
      <c r="O170" s="92" t="s">
        <v>209</v>
      </c>
      <c r="P170" s="308"/>
      <c r="Q170" s="297"/>
      <c r="R170" s="1490"/>
      <c r="S170" s="935" t="s">
        <v>209</v>
      </c>
      <c r="T170" s="1490"/>
      <c r="U170" s="935" t="s">
        <v>209</v>
      </c>
      <c r="V170" s="1490"/>
      <c r="W170" s="935" t="s">
        <v>209</v>
      </c>
      <c r="X170" s="2468"/>
      <c r="Y170" s="544"/>
      <c r="Z170" s="545" t="s">
        <v>189</v>
      </c>
      <c r="AA170" s="547"/>
      <c r="AB170" s="547"/>
      <c r="AC170" s="299" t="s">
        <v>193</v>
      </c>
      <c r="AD170" s="277" t="s">
        <v>524</v>
      </c>
      <c r="AE170" s="265"/>
      <c r="AF170" s="187"/>
      <c r="AG170" s="11"/>
    </row>
    <row r="171" spans="2:33" ht="20.100000000000001" customHeight="1">
      <c r="B171" s="1360" t="b">
        <f t="shared" si="19"/>
        <v>1</v>
      </c>
      <c r="C171" s="1367"/>
      <c r="D171" s="490" t="s">
        <v>709</v>
      </c>
      <c r="E171" s="583"/>
      <c r="F171" s="492" t="s">
        <v>344</v>
      </c>
      <c r="G171" s="106"/>
      <c r="H171" s="353"/>
      <c r="I171" s="493" t="s">
        <v>530</v>
      </c>
      <c r="J171" s="498"/>
      <c r="K171" s="164" t="s">
        <v>344</v>
      </c>
      <c r="L171" s="562"/>
      <c r="M171" s="92" t="s">
        <v>209</v>
      </c>
      <c r="N171" s="562"/>
      <c r="O171" s="92" t="s">
        <v>209</v>
      </c>
      <c r="P171" s="308"/>
      <c r="Q171" s="297"/>
      <c r="R171" s="1490"/>
      <c r="S171" s="935" t="s">
        <v>209</v>
      </c>
      <c r="T171" s="1490"/>
      <c r="U171" s="935" t="s">
        <v>209</v>
      </c>
      <c r="V171" s="1490"/>
      <c r="W171" s="935" t="s">
        <v>209</v>
      </c>
      <c r="X171" s="2468"/>
      <c r="Y171" s="544"/>
      <c r="Z171" s="545" t="s">
        <v>189</v>
      </c>
      <c r="AA171" s="547"/>
      <c r="AB171" s="547"/>
      <c r="AC171" s="299" t="s">
        <v>193</v>
      </c>
      <c r="AD171" s="277" t="s">
        <v>524</v>
      </c>
      <c r="AE171" s="265"/>
      <c r="AF171" s="187"/>
      <c r="AG171" s="11"/>
    </row>
    <row r="172" spans="2:33" ht="20.100000000000001" customHeight="1">
      <c r="B172" s="1360" t="b">
        <f t="shared" si="19"/>
        <v>1</v>
      </c>
      <c r="C172" s="1367"/>
      <c r="D172" s="490" t="s">
        <v>710</v>
      </c>
      <c r="E172" s="583"/>
      <c r="F172" s="492" t="s">
        <v>344</v>
      </c>
      <c r="G172" s="106"/>
      <c r="H172" s="353"/>
      <c r="I172" s="493" t="s">
        <v>532</v>
      </c>
      <c r="J172" s="498"/>
      <c r="K172" s="164" t="s">
        <v>344</v>
      </c>
      <c r="L172" s="562"/>
      <c r="M172" s="92" t="s">
        <v>209</v>
      </c>
      <c r="N172" s="562"/>
      <c r="O172" s="92" t="s">
        <v>209</v>
      </c>
      <c r="P172" s="308"/>
      <c r="Q172" s="297"/>
      <c r="R172" s="1490"/>
      <c r="S172" s="935" t="s">
        <v>209</v>
      </c>
      <c r="T172" s="1490"/>
      <c r="U172" s="935" t="s">
        <v>209</v>
      </c>
      <c r="V172" s="1490"/>
      <c r="W172" s="935" t="s">
        <v>209</v>
      </c>
      <c r="X172" s="2468"/>
      <c r="Y172" s="544"/>
      <c r="Z172" s="545" t="s">
        <v>189</v>
      </c>
      <c r="AA172" s="547"/>
      <c r="AB172" s="547"/>
      <c r="AC172" s="299" t="s">
        <v>193</v>
      </c>
      <c r="AD172" s="277" t="s">
        <v>524</v>
      </c>
      <c r="AE172" s="265"/>
      <c r="AF172" s="187"/>
      <c r="AG172" s="11"/>
    </row>
    <row r="173" spans="2:33" ht="20.100000000000001" customHeight="1">
      <c r="B173" s="1360" t="b">
        <f t="shared" si="19"/>
        <v>1</v>
      </c>
      <c r="C173" s="1367"/>
      <c r="D173" s="490" t="s">
        <v>711</v>
      </c>
      <c r="E173" s="583"/>
      <c r="F173" s="492" t="s">
        <v>344</v>
      </c>
      <c r="G173" s="106"/>
      <c r="H173" s="353"/>
      <c r="I173" s="493" t="s">
        <v>534</v>
      </c>
      <c r="J173" s="498"/>
      <c r="K173" s="164" t="s">
        <v>344</v>
      </c>
      <c r="L173" s="562"/>
      <c r="M173" s="92" t="s">
        <v>209</v>
      </c>
      <c r="N173" s="562"/>
      <c r="O173" s="92" t="s">
        <v>209</v>
      </c>
      <c r="P173" s="308"/>
      <c r="Q173" s="297"/>
      <c r="R173" s="1490"/>
      <c r="S173" s="935" t="s">
        <v>209</v>
      </c>
      <c r="T173" s="1490"/>
      <c r="U173" s="935" t="s">
        <v>209</v>
      </c>
      <c r="V173" s="1490"/>
      <c r="W173" s="935" t="s">
        <v>209</v>
      </c>
      <c r="X173" s="2468"/>
      <c r="Y173" s="544"/>
      <c r="Z173" s="545" t="s">
        <v>189</v>
      </c>
      <c r="AA173" s="547"/>
      <c r="AB173" s="547"/>
      <c r="AC173" s="299" t="s">
        <v>193</v>
      </c>
      <c r="AD173" s="277" t="s">
        <v>524</v>
      </c>
      <c r="AE173" s="265"/>
      <c r="AF173" s="187"/>
      <c r="AG173" s="11"/>
    </row>
    <row r="174" spans="2:33" ht="20.100000000000001" customHeight="1">
      <c r="B174" s="1360" t="b">
        <f t="shared" si="19"/>
        <v>1</v>
      </c>
      <c r="C174" s="1367"/>
      <c r="D174" s="490" t="s">
        <v>712</v>
      </c>
      <c r="E174" s="583"/>
      <c r="F174" s="492" t="s">
        <v>344</v>
      </c>
      <c r="G174" s="106"/>
      <c r="H174" s="353"/>
      <c r="I174" s="493" t="s">
        <v>536</v>
      </c>
      <c r="J174" s="498"/>
      <c r="K174" s="164" t="s">
        <v>344</v>
      </c>
      <c r="L174" s="562"/>
      <c r="M174" s="92" t="s">
        <v>209</v>
      </c>
      <c r="N174" s="562"/>
      <c r="O174" s="92" t="s">
        <v>209</v>
      </c>
      <c r="P174" s="308"/>
      <c r="Q174" s="297"/>
      <c r="R174" s="1490"/>
      <c r="S174" s="935" t="s">
        <v>209</v>
      </c>
      <c r="T174" s="1490"/>
      <c r="U174" s="935" t="s">
        <v>209</v>
      </c>
      <c r="V174" s="1490"/>
      <c r="W174" s="935" t="s">
        <v>209</v>
      </c>
      <c r="X174" s="2468"/>
      <c r="Y174" s="544"/>
      <c r="Z174" s="545" t="s">
        <v>189</v>
      </c>
      <c r="AA174" s="547"/>
      <c r="AB174" s="547"/>
      <c r="AC174" s="299" t="s">
        <v>193</v>
      </c>
      <c r="AD174" s="277" t="s">
        <v>524</v>
      </c>
      <c r="AE174" s="265"/>
      <c r="AF174" s="187"/>
      <c r="AG174" s="11"/>
    </row>
    <row r="175" spans="2:33" ht="20.100000000000001" customHeight="1">
      <c r="B175" s="1360" t="b">
        <f t="shared" si="19"/>
        <v>1</v>
      </c>
      <c r="C175" s="1367"/>
      <c r="D175" s="490" t="s">
        <v>713</v>
      </c>
      <c r="E175" s="583"/>
      <c r="F175" s="492" t="s">
        <v>344</v>
      </c>
      <c r="G175" s="106"/>
      <c r="H175" s="353"/>
      <c r="I175" s="493" t="s">
        <v>538</v>
      </c>
      <c r="J175" s="498"/>
      <c r="K175" s="164" t="s">
        <v>344</v>
      </c>
      <c r="L175" s="562"/>
      <c r="M175" s="92" t="s">
        <v>209</v>
      </c>
      <c r="N175" s="562"/>
      <c r="O175" s="92" t="s">
        <v>209</v>
      </c>
      <c r="P175" s="308"/>
      <c r="Q175" s="297"/>
      <c r="R175" s="1490"/>
      <c r="S175" s="935" t="s">
        <v>209</v>
      </c>
      <c r="T175" s="1490"/>
      <c r="U175" s="935" t="s">
        <v>209</v>
      </c>
      <c r="V175" s="1490"/>
      <c r="W175" s="935" t="s">
        <v>209</v>
      </c>
      <c r="X175" s="2468"/>
      <c r="Y175" s="544"/>
      <c r="Z175" s="545" t="s">
        <v>189</v>
      </c>
      <c r="AA175" s="547"/>
      <c r="AB175" s="547"/>
      <c r="AC175" s="299" t="s">
        <v>193</v>
      </c>
      <c r="AD175" s="277" t="s">
        <v>524</v>
      </c>
      <c r="AE175" s="265"/>
      <c r="AF175" s="187"/>
      <c r="AG175" s="11"/>
    </row>
    <row r="176" spans="2:33" ht="20.100000000000001" customHeight="1">
      <c r="B176" s="1360" t="b">
        <f t="shared" si="19"/>
        <v>1</v>
      </c>
      <c r="C176" s="1367"/>
      <c r="D176" s="490" t="s">
        <v>714</v>
      </c>
      <c r="E176" s="583"/>
      <c r="F176" s="492" t="s">
        <v>344</v>
      </c>
      <c r="G176" s="106"/>
      <c r="H176" s="353"/>
      <c r="I176" s="493" t="s">
        <v>540</v>
      </c>
      <c r="J176" s="498"/>
      <c r="K176" s="164" t="s">
        <v>344</v>
      </c>
      <c r="L176" s="584"/>
      <c r="M176" s="92" t="s">
        <v>209</v>
      </c>
      <c r="N176" s="562"/>
      <c r="O176" s="92" t="s">
        <v>209</v>
      </c>
      <c r="P176" s="308"/>
      <c r="Q176" s="297"/>
      <c r="R176" s="1490"/>
      <c r="S176" s="935" t="s">
        <v>209</v>
      </c>
      <c r="T176" s="1490"/>
      <c r="U176" s="935" t="s">
        <v>209</v>
      </c>
      <c r="V176" s="1490"/>
      <c r="W176" s="935" t="s">
        <v>209</v>
      </c>
      <c r="X176" s="2468"/>
      <c r="Y176" s="544"/>
      <c r="Z176" s="545" t="s">
        <v>189</v>
      </c>
      <c r="AA176" s="547"/>
      <c r="AB176" s="547"/>
      <c r="AC176" s="299" t="s">
        <v>193</v>
      </c>
      <c r="AD176" s="277" t="s">
        <v>524</v>
      </c>
      <c r="AE176" s="265"/>
      <c r="AF176" s="187"/>
      <c r="AG176" s="11"/>
    </row>
    <row r="177" spans="2:33" ht="20.100000000000001" customHeight="1" thickBot="1">
      <c r="B177" s="1361" t="b">
        <f t="shared" si="19"/>
        <v>1</v>
      </c>
      <c r="C177" s="1368"/>
      <c r="D177" s="585" t="s">
        <v>715</v>
      </c>
      <c r="E177" s="586"/>
      <c r="F177" s="511" t="s">
        <v>344</v>
      </c>
      <c r="G177" s="232"/>
      <c r="H177" s="512"/>
      <c r="I177" s="585" t="s">
        <v>542</v>
      </c>
      <c r="J177" s="586"/>
      <c r="K177" s="511" t="s">
        <v>344</v>
      </c>
      <c r="L177" s="587"/>
      <c r="M177" s="588" t="s">
        <v>209</v>
      </c>
      <c r="N177" s="587"/>
      <c r="O177" s="589" t="s">
        <v>209</v>
      </c>
      <c r="P177" s="590"/>
      <c r="Q177" s="591"/>
      <c r="R177" s="1501"/>
      <c r="S177" s="1426" t="s">
        <v>209</v>
      </c>
      <c r="T177" s="1501"/>
      <c r="U177" s="1427" t="s">
        <v>209</v>
      </c>
      <c r="V177" s="1501"/>
      <c r="W177" s="1427" t="s">
        <v>209</v>
      </c>
      <c r="X177" s="2477"/>
      <c r="Y177" s="596"/>
      <c r="Z177" s="545" t="s">
        <v>189</v>
      </c>
      <c r="AA177" s="597"/>
      <c r="AB177" s="597"/>
      <c r="AC177" s="299" t="s">
        <v>193</v>
      </c>
      <c r="AD177" s="277" t="s">
        <v>524</v>
      </c>
      <c r="AE177" s="265"/>
      <c r="AF177" s="187"/>
      <c r="AG177" s="11"/>
    </row>
    <row r="178" spans="2:33" ht="27" thickBot="1">
      <c r="B178" s="123" t="s">
        <v>543</v>
      </c>
      <c r="C178" s="124"/>
      <c r="D178" s="124"/>
      <c r="E178" s="124"/>
      <c r="F178" s="124"/>
      <c r="G178" s="598" t="s">
        <v>1793</v>
      </c>
      <c r="H178" s="124"/>
      <c r="I178" s="599"/>
      <c r="J178" s="521"/>
      <c r="K178" s="518"/>
      <c r="L178" s="600"/>
      <c r="M178" s="600"/>
      <c r="N178" s="600"/>
      <c r="O178" s="600"/>
      <c r="P178" s="600"/>
      <c r="Q178" s="600"/>
      <c r="R178" s="1502"/>
      <c r="S178" s="1428"/>
      <c r="T178" s="1502"/>
      <c r="U178" s="1428"/>
      <c r="V178" s="1502"/>
      <c r="W178" s="600"/>
      <c r="X178" s="80"/>
      <c r="Y178" s="80"/>
      <c r="Z178" s="129"/>
      <c r="AA178" s="129"/>
      <c r="AB178" s="129"/>
      <c r="AC178" s="129"/>
      <c r="AD178" s="328"/>
      <c r="AE178" s="328"/>
      <c r="AF178" s="329"/>
      <c r="AG178" s="18"/>
    </row>
    <row r="179" spans="2:33" ht="20.100000000000001" customHeight="1">
      <c r="B179" s="1359" t="b">
        <f t="shared" si="19"/>
        <v>0</v>
      </c>
      <c r="C179" s="601" t="s">
        <v>544</v>
      </c>
      <c r="D179" s="601"/>
      <c r="E179" s="601"/>
      <c r="F179" s="492" t="s">
        <v>33</v>
      </c>
      <c r="G179" s="330"/>
      <c r="H179" s="254" t="s">
        <v>545</v>
      </c>
      <c r="I179" s="602"/>
      <c r="J179" s="603"/>
      <c r="K179" s="164" t="s">
        <v>35</v>
      </c>
      <c r="L179" s="228"/>
      <c r="M179" s="92"/>
      <c r="N179" s="228"/>
      <c r="O179" s="95"/>
      <c r="P179" s="308"/>
      <c r="Q179" s="297"/>
      <c r="R179" s="1488">
        <v>0</v>
      </c>
      <c r="S179" s="1429"/>
      <c r="T179" s="1488">
        <v>0</v>
      </c>
      <c r="U179" s="1429"/>
      <c r="V179" s="1490">
        <v>0</v>
      </c>
      <c r="W179" s="2060"/>
      <c r="X179" s="2468" t="s">
        <v>546</v>
      </c>
      <c r="Y179" s="276" t="s">
        <v>545</v>
      </c>
      <c r="Z179" s="309" t="s">
        <v>2063</v>
      </c>
      <c r="AA179" s="547"/>
      <c r="AB179" s="547" t="s">
        <v>2064</v>
      </c>
      <c r="AC179" s="582"/>
      <c r="AD179" s="154" t="s">
        <v>548</v>
      </c>
      <c r="AE179" s="154"/>
      <c r="AF179" s="604" t="s">
        <v>549</v>
      </c>
      <c r="AG179" s="18"/>
    </row>
    <row r="180" spans="2:33" ht="17.45" customHeight="1">
      <c r="B180" s="1360" t="b">
        <f t="shared" si="19"/>
        <v>0</v>
      </c>
      <c r="C180" s="161" t="s">
        <v>550</v>
      </c>
      <c r="D180" s="161"/>
      <c r="E180" s="161"/>
      <c r="F180" s="492" t="s">
        <v>33</v>
      </c>
      <c r="G180" s="386"/>
      <c r="H180" s="140" t="s">
        <v>551</v>
      </c>
      <c r="I180" s="482"/>
      <c r="J180" s="289"/>
      <c r="K180" s="164" t="s">
        <v>35</v>
      </c>
      <c r="L180" s="298">
        <v>74</v>
      </c>
      <c r="M180" s="605"/>
      <c r="N180" s="298">
        <v>276</v>
      </c>
      <c r="O180" s="95"/>
      <c r="P180" s="308">
        <v>107</v>
      </c>
      <c r="Q180" s="297"/>
      <c r="R180" s="1488">
        <v>74</v>
      </c>
      <c r="S180" s="1429" t="s">
        <v>716</v>
      </c>
      <c r="T180" s="1488">
        <v>276</v>
      </c>
      <c r="U180" s="1429" t="s">
        <v>717</v>
      </c>
      <c r="V180" s="1488">
        <v>95</v>
      </c>
      <c r="W180" s="2060" t="s">
        <v>1794</v>
      </c>
      <c r="X180" s="2468" t="s">
        <v>552</v>
      </c>
      <c r="Y180" s="276" t="s">
        <v>553</v>
      </c>
      <c r="Z180" s="309" t="s">
        <v>554</v>
      </c>
      <c r="AA180" s="547"/>
      <c r="AB180" s="547"/>
      <c r="AC180" s="582"/>
      <c r="AD180" s="154" t="s">
        <v>555</v>
      </c>
      <c r="AE180" s="154"/>
      <c r="AF180" s="604"/>
      <c r="AG180" s="18"/>
    </row>
    <row r="181" spans="2:33" ht="20.100000000000001" customHeight="1">
      <c r="B181" s="1360" t="b">
        <f t="shared" si="19"/>
        <v>1</v>
      </c>
      <c r="C181" s="161" t="s">
        <v>556</v>
      </c>
      <c r="D181" s="161"/>
      <c r="E181" s="161"/>
      <c r="F181" s="492" t="s">
        <v>557</v>
      </c>
      <c r="G181" s="386"/>
      <c r="H181" s="140" t="s">
        <v>558</v>
      </c>
      <c r="I181" s="482"/>
      <c r="J181" s="406"/>
      <c r="K181" s="164" t="s">
        <v>559</v>
      </c>
      <c r="L181" s="562"/>
      <c r="M181" s="92"/>
      <c r="N181" s="562"/>
      <c r="O181" s="95"/>
      <c r="P181" s="308"/>
      <c r="Q181" s="297"/>
      <c r="R181" s="1468"/>
      <c r="S181" s="1429"/>
      <c r="T181" s="1468"/>
      <c r="U181" s="1429"/>
      <c r="V181" s="1476">
        <v>124</v>
      </c>
      <c r="W181" s="2060"/>
      <c r="X181" s="2472"/>
      <c r="Y181" s="457"/>
      <c r="Z181" s="99" t="s">
        <v>189</v>
      </c>
      <c r="AA181" s="547"/>
      <c r="AB181" s="547"/>
      <c r="AC181" s="99"/>
      <c r="AD181" s="606" t="s">
        <v>561</v>
      </c>
      <c r="AE181" s="154"/>
      <c r="AF181" s="604"/>
      <c r="AG181" s="18"/>
    </row>
    <row r="182" spans="2:33" ht="20.100000000000001" customHeight="1">
      <c r="B182" s="1360" t="b">
        <f t="shared" si="19"/>
        <v>0</v>
      </c>
      <c r="C182" s="9774" t="s">
        <v>563</v>
      </c>
      <c r="D182" s="9774"/>
      <c r="E182" s="9782"/>
      <c r="F182" s="285" t="s">
        <v>557</v>
      </c>
      <c r="G182" s="386"/>
      <c r="H182" s="140" t="s">
        <v>564</v>
      </c>
      <c r="I182" s="482"/>
      <c r="J182" s="406"/>
      <c r="K182" s="162" t="s">
        <v>559</v>
      </c>
      <c r="L182" s="562"/>
      <c r="M182" s="92"/>
      <c r="N182" s="562"/>
      <c r="O182" s="95"/>
      <c r="P182" s="308"/>
      <c r="Q182" s="297"/>
      <c r="R182" s="1463">
        <v>0</v>
      </c>
      <c r="S182" s="1523"/>
      <c r="T182" s="1463">
        <v>0</v>
      </c>
      <c r="U182" s="1524"/>
      <c r="V182" s="1464">
        <v>0</v>
      </c>
      <c r="W182" s="2060"/>
      <c r="X182" s="2468" t="s">
        <v>719</v>
      </c>
      <c r="Y182" s="276" t="s">
        <v>566</v>
      </c>
      <c r="Z182" s="99" t="s">
        <v>567</v>
      </c>
      <c r="AA182" s="547"/>
      <c r="AB182" s="547"/>
      <c r="AC182" s="99"/>
      <c r="AD182" s="154" t="s">
        <v>568</v>
      </c>
      <c r="AE182" s="154"/>
      <c r="AF182" s="604" t="s">
        <v>569</v>
      </c>
      <c r="AG182" s="18"/>
    </row>
    <row r="183" spans="2:33" ht="21" customHeight="1">
      <c r="B183" s="1360" t="b">
        <f t="shared" si="19"/>
        <v>0</v>
      </c>
      <c r="C183" s="9793" t="s">
        <v>570</v>
      </c>
      <c r="D183" s="9793"/>
      <c r="E183" s="9794"/>
      <c r="F183" s="285" t="s">
        <v>33</v>
      </c>
      <c r="G183" s="386"/>
      <c r="H183" s="140" t="s">
        <v>571</v>
      </c>
      <c r="I183" s="482"/>
      <c r="J183" s="406"/>
      <c r="K183" s="162" t="s">
        <v>35</v>
      </c>
      <c r="L183" s="608">
        <v>1.0349999999999999</v>
      </c>
      <c r="M183" s="92"/>
      <c r="N183" s="609">
        <v>1.21</v>
      </c>
      <c r="O183" s="95"/>
      <c r="P183" s="308"/>
      <c r="Q183" s="501"/>
      <c r="R183" s="1463">
        <v>1035</v>
      </c>
      <c r="S183" s="1430" t="s">
        <v>720</v>
      </c>
      <c r="T183" s="1463">
        <v>121</v>
      </c>
      <c r="U183" s="1430" t="s">
        <v>1795</v>
      </c>
      <c r="V183" s="5473">
        <v>91.5</v>
      </c>
      <c r="W183" s="2076" t="s">
        <v>1796</v>
      </c>
      <c r="X183" s="2472" t="s">
        <v>572</v>
      </c>
      <c r="Y183" s="276" t="s">
        <v>573</v>
      </c>
      <c r="Z183" s="309" t="s">
        <v>574</v>
      </c>
      <c r="AA183" s="547"/>
      <c r="AB183" s="547"/>
      <c r="AC183" s="99"/>
      <c r="AD183" s="154" t="s">
        <v>575</v>
      </c>
      <c r="AE183" s="154"/>
      <c r="AF183" s="604"/>
      <c r="AG183" s="611" t="s">
        <v>1797</v>
      </c>
    </row>
    <row r="184" spans="2:33" ht="20.100000000000001" customHeight="1">
      <c r="B184" s="1360" t="b">
        <f t="shared" si="19"/>
        <v>0</v>
      </c>
      <c r="C184" s="9774" t="s">
        <v>576</v>
      </c>
      <c r="D184" s="9774"/>
      <c r="E184" s="9782"/>
      <c r="F184" s="285" t="s">
        <v>413</v>
      </c>
      <c r="G184" s="386"/>
      <c r="H184" s="140" t="s">
        <v>577</v>
      </c>
      <c r="I184" s="482"/>
      <c r="J184" s="406"/>
      <c r="K184" s="162" t="s">
        <v>413</v>
      </c>
      <c r="L184" s="356">
        <f>SUM(L185:L189)</f>
        <v>0</v>
      </c>
      <c r="M184" s="356" t="s">
        <v>209</v>
      </c>
      <c r="N184" s="356">
        <f>SUM(N185:N189)</f>
        <v>0</v>
      </c>
      <c r="O184" s="356" t="s">
        <v>209</v>
      </c>
      <c r="P184" s="356">
        <f>SUM(P185:P189)</f>
        <v>0</v>
      </c>
      <c r="Q184" s="501"/>
      <c r="R184" s="1487">
        <f>SUM(R185:R189)</f>
        <v>0</v>
      </c>
      <c r="S184" s="1431" t="s">
        <v>209</v>
      </c>
      <c r="T184" s="1487">
        <f>SUM(T185:T189)</f>
        <v>0</v>
      </c>
      <c r="U184" s="1431" t="s">
        <v>209</v>
      </c>
      <c r="V184" s="1487" t="s">
        <v>723</v>
      </c>
      <c r="W184" s="2076"/>
      <c r="X184" s="2468" t="s">
        <v>579</v>
      </c>
      <c r="Y184" s="24" t="s">
        <v>580</v>
      </c>
      <c r="Z184" s="99" t="s">
        <v>189</v>
      </c>
      <c r="AA184" s="547"/>
      <c r="AB184" s="547"/>
      <c r="AC184" s="299" t="s">
        <v>193</v>
      </c>
      <c r="AD184" s="154" t="s">
        <v>581</v>
      </c>
      <c r="AE184" s="154"/>
      <c r="AF184" s="604"/>
      <c r="AG184" s="11"/>
    </row>
    <row r="185" spans="2:33" ht="20.100000000000001" customHeight="1">
      <c r="B185" s="1360" t="b">
        <f t="shared" si="19"/>
        <v>1</v>
      </c>
      <c r="C185" s="614"/>
      <c r="D185" s="9795" t="s">
        <v>582</v>
      </c>
      <c r="E185" s="9796"/>
      <c r="F185" s="285" t="s">
        <v>413</v>
      </c>
      <c r="G185" s="535"/>
      <c r="H185" s="45"/>
      <c r="I185" s="617" t="s">
        <v>583</v>
      </c>
      <c r="J185" s="618"/>
      <c r="K185" s="162" t="s">
        <v>413</v>
      </c>
      <c r="L185" s="562"/>
      <c r="M185" s="92" t="s">
        <v>209</v>
      </c>
      <c r="N185" s="562"/>
      <c r="O185" s="95" t="s">
        <v>209</v>
      </c>
      <c r="P185" s="228"/>
      <c r="Q185" s="501"/>
      <c r="R185" s="1488"/>
      <c r="S185" s="1430" t="s">
        <v>209</v>
      </c>
      <c r="T185" s="1488"/>
      <c r="U185" s="1431" t="s">
        <v>209</v>
      </c>
      <c r="V185" s="1490" t="s">
        <v>725</v>
      </c>
      <c r="W185" s="1431" t="s">
        <v>209</v>
      </c>
      <c r="X185" s="2472"/>
      <c r="Y185" s="276"/>
      <c r="Z185" s="99" t="s">
        <v>189</v>
      </c>
      <c r="AA185" s="547"/>
      <c r="AB185" s="547"/>
      <c r="AC185" s="299" t="s">
        <v>193</v>
      </c>
      <c r="AD185" s="154" t="s">
        <v>581</v>
      </c>
      <c r="AE185" s="154"/>
      <c r="AF185" s="604"/>
      <c r="AG185" s="11"/>
    </row>
    <row r="186" spans="2:33" ht="20.100000000000001" customHeight="1">
      <c r="B186" s="1360" t="b">
        <f t="shared" si="19"/>
        <v>1</v>
      </c>
      <c r="C186" s="614"/>
      <c r="D186" s="9797" t="s">
        <v>584</v>
      </c>
      <c r="E186" s="9798"/>
      <c r="F186" s="285" t="s">
        <v>413</v>
      </c>
      <c r="G186" s="535"/>
      <c r="H186" s="45"/>
      <c r="I186" s="617" t="s">
        <v>585</v>
      </c>
      <c r="J186" s="618"/>
      <c r="K186" s="162" t="s">
        <v>413</v>
      </c>
      <c r="L186" s="562"/>
      <c r="M186" s="92" t="s">
        <v>209</v>
      </c>
      <c r="N186" s="562"/>
      <c r="O186" s="95" t="s">
        <v>209</v>
      </c>
      <c r="P186" s="228"/>
      <c r="Q186" s="501"/>
      <c r="R186" s="1488"/>
      <c r="S186" s="1430" t="s">
        <v>209</v>
      </c>
      <c r="T186" s="1488"/>
      <c r="U186" s="1431" t="s">
        <v>209</v>
      </c>
      <c r="V186" s="1490"/>
      <c r="W186" s="1431" t="s">
        <v>209</v>
      </c>
      <c r="X186" s="2472"/>
      <c r="Y186" s="457"/>
      <c r="Z186" s="99" t="s">
        <v>189</v>
      </c>
      <c r="AA186" s="547"/>
      <c r="AB186" s="547"/>
      <c r="AC186" s="299" t="s">
        <v>193</v>
      </c>
      <c r="AD186" s="154" t="s">
        <v>581</v>
      </c>
      <c r="AE186" s="154"/>
      <c r="AF186" s="604"/>
      <c r="AG186" s="11"/>
    </row>
    <row r="187" spans="2:33" ht="20.100000000000001" customHeight="1">
      <c r="B187" s="1360" t="b">
        <f t="shared" si="19"/>
        <v>1</v>
      </c>
      <c r="C187" s="614"/>
      <c r="D187" s="9795" t="s">
        <v>586</v>
      </c>
      <c r="E187" s="9796"/>
      <c r="F187" s="285" t="s">
        <v>413</v>
      </c>
      <c r="G187" s="535"/>
      <c r="H187" s="45"/>
      <c r="I187" s="617" t="s">
        <v>587</v>
      </c>
      <c r="J187" s="618"/>
      <c r="K187" s="162" t="s">
        <v>413</v>
      </c>
      <c r="L187" s="562"/>
      <c r="M187" s="92" t="s">
        <v>209</v>
      </c>
      <c r="N187" s="562"/>
      <c r="O187" s="95" t="s">
        <v>209</v>
      </c>
      <c r="P187" s="228"/>
      <c r="Q187" s="501"/>
      <c r="R187" s="1488"/>
      <c r="S187" s="1430" t="s">
        <v>209</v>
      </c>
      <c r="T187" s="1488"/>
      <c r="U187" s="1431" t="s">
        <v>209</v>
      </c>
      <c r="V187" s="1490"/>
      <c r="W187" s="1431" t="s">
        <v>209</v>
      </c>
      <c r="X187" s="2472"/>
      <c r="Y187" s="457"/>
      <c r="Z187" s="99" t="s">
        <v>189</v>
      </c>
      <c r="AA187" s="547"/>
      <c r="AB187" s="547"/>
      <c r="AC187" s="299" t="s">
        <v>193</v>
      </c>
      <c r="AD187" s="154" t="s">
        <v>581</v>
      </c>
      <c r="AE187" s="154"/>
      <c r="AF187" s="604"/>
      <c r="AG187" s="11"/>
    </row>
    <row r="188" spans="2:33" ht="20.100000000000001" customHeight="1">
      <c r="B188" s="1360" t="b">
        <f t="shared" si="19"/>
        <v>1</v>
      </c>
      <c r="C188" s="614"/>
      <c r="D188" s="9795" t="s">
        <v>588</v>
      </c>
      <c r="E188" s="9796"/>
      <c r="F188" s="285" t="s">
        <v>413</v>
      </c>
      <c r="G188" s="535"/>
      <c r="H188" s="45"/>
      <c r="I188" s="617" t="s">
        <v>589</v>
      </c>
      <c r="J188" s="618"/>
      <c r="K188" s="162" t="s">
        <v>413</v>
      </c>
      <c r="L188" s="562"/>
      <c r="M188" s="92" t="s">
        <v>209</v>
      </c>
      <c r="N188" s="562"/>
      <c r="O188" s="95" t="s">
        <v>209</v>
      </c>
      <c r="P188" s="228"/>
      <c r="Q188" s="501"/>
      <c r="R188" s="1488"/>
      <c r="S188" s="1430" t="s">
        <v>209</v>
      </c>
      <c r="T188" s="1488"/>
      <c r="U188" s="1431" t="s">
        <v>209</v>
      </c>
      <c r="V188" s="1490"/>
      <c r="W188" s="1431" t="s">
        <v>209</v>
      </c>
      <c r="X188" s="2472"/>
      <c r="Y188" s="457"/>
      <c r="Z188" s="99" t="s">
        <v>189</v>
      </c>
      <c r="AA188" s="547"/>
      <c r="AB188" s="547"/>
      <c r="AC188" s="299" t="s">
        <v>193</v>
      </c>
      <c r="AD188" s="154" t="s">
        <v>581</v>
      </c>
      <c r="AE188" s="154"/>
      <c r="AF188" s="604"/>
      <c r="AG188" s="11"/>
    </row>
    <row r="189" spans="2:33" ht="20.100000000000001" customHeight="1">
      <c r="B189" s="1360" t="b">
        <f t="shared" si="19"/>
        <v>1</v>
      </c>
      <c r="C189" s="614"/>
      <c r="D189" s="9773" t="s">
        <v>590</v>
      </c>
      <c r="E189" s="9782"/>
      <c r="F189" s="285" t="s">
        <v>413</v>
      </c>
      <c r="G189" s="535"/>
      <c r="H189" s="45"/>
      <c r="I189" s="617" t="s">
        <v>591</v>
      </c>
      <c r="J189" s="618"/>
      <c r="K189" s="162" t="s">
        <v>413</v>
      </c>
      <c r="L189" s="562"/>
      <c r="M189" s="92" t="s">
        <v>209</v>
      </c>
      <c r="N189" s="562"/>
      <c r="O189" s="95" t="s">
        <v>209</v>
      </c>
      <c r="P189" s="228"/>
      <c r="Q189" s="501"/>
      <c r="R189" s="1488"/>
      <c r="S189" s="1430" t="s">
        <v>209</v>
      </c>
      <c r="T189" s="1488"/>
      <c r="U189" s="1431" t="s">
        <v>209</v>
      </c>
      <c r="V189" s="1490"/>
      <c r="W189" s="1431" t="s">
        <v>209</v>
      </c>
      <c r="X189" s="2468"/>
      <c r="Y189" s="276"/>
      <c r="Z189" s="99" t="s">
        <v>189</v>
      </c>
      <c r="AA189" s="547"/>
      <c r="AB189" s="547"/>
      <c r="AC189" s="299" t="s">
        <v>193</v>
      </c>
      <c r="AD189" s="620" t="s">
        <v>581</v>
      </c>
      <c r="AE189" s="154"/>
      <c r="AF189" s="604"/>
      <c r="AG189" s="11"/>
    </row>
    <row r="190" spans="2:33" ht="20.100000000000001" customHeight="1">
      <c r="B190" s="1360" t="b">
        <f t="shared" si="19"/>
        <v>0</v>
      </c>
      <c r="C190" s="9774" t="s">
        <v>592</v>
      </c>
      <c r="D190" s="9774"/>
      <c r="E190" s="9782"/>
      <c r="F190" s="285" t="s">
        <v>156</v>
      </c>
      <c r="G190" s="621"/>
      <c r="H190" s="622" t="s">
        <v>593</v>
      </c>
      <c r="I190" s="623"/>
      <c r="J190" s="618"/>
      <c r="K190" s="162" t="s">
        <v>156</v>
      </c>
      <c r="L190" s="356" t="str">
        <f>IFERROR(L191/L192,"-")</f>
        <v>-</v>
      </c>
      <c r="M190" s="92" t="s">
        <v>209</v>
      </c>
      <c r="N190" s="356" t="str">
        <f>IFERROR(N191/N192,"-")</f>
        <v>-</v>
      </c>
      <c r="O190" s="95" t="s">
        <v>209</v>
      </c>
      <c r="P190" s="356" t="str">
        <f>IFERROR(P191/P192,"-")</f>
        <v>-</v>
      </c>
      <c r="Q190" s="501"/>
      <c r="R190" s="1487" t="str">
        <f>IFERROR(R191/R192,"-")</f>
        <v>-</v>
      </c>
      <c r="S190" s="1431" t="s">
        <v>209</v>
      </c>
      <c r="T190" s="1487" t="str">
        <f>IFERROR(T191/T192,"-")</f>
        <v>-</v>
      </c>
      <c r="U190" s="1431" t="s">
        <v>209</v>
      </c>
      <c r="V190" s="1487" t="str">
        <f>IFERROR(V191/V192,"-")</f>
        <v>-</v>
      </c>
      <c r="W190" s="1431" t="s">
        <v>209</v>
      </c>
      <c r="X190" s="2468" t="s">
        <v>594</v>
      </c>
      <c r="Y190" s="276" t="s">
        <v>595</v>
      </c>
      <c r="Z190" s="99" t="s">
        <v>189</v>
      </c>
      <c r="AA190" s="547"/>
      <c r="AB190" s="547"/>
      <c r="AC190" s="299" t="s">
        <v>193</v>
      </c>
      <c r="AD190" s="620" t="s">
        <v>596</v>
      </c>
      <c r="AE190" s="154"/>
      <c r="AF190" s="604" t="s">
        <v>597</v>
      </c>
      <c r="AG190" s="11"/>
    </row>
    <row r="191" spans="2:33" ht="20.100000000000001" customHeight="1">
      <c r="B191" s="1360" t="b">
        <f t="shared" si="19"/>
        <v>1</v>
      </c>
      <c r="C191" s="614"/>
      <c r="D191" s="9773" t="s">
        <v>598</v>
      </c>
      <c r="E191" s="9782"/>
      <c r="F191" s="285" t="s">
        <v>413</v>
      </c>
      <c r="G191" s="535"/>
      <c r="H191" s="45"/>
      <c r="I191" s="617" t="s">
        <v>599</v>
      </c>
      <c r="J191" s="618"/>
      <c r="K191" s="162" t="s">
        <v>413</v>
      </c>
      <c r="L191" s="562"/>
      <c r="M191" s="92" t="s">
        <v>209</v>
      </c>
      <c r="N191" s="562"/>
      <c r="O191" s="95" t="s">
        <v>209</v>
      </c>
      <c r="P191" s="308"/>
      <c r="Q191" s="501"/>
      <c r="R191" s="1490"/>
      <c r="S191" s="1430" t="s">
        <v>209</v>
      </c>
      <c r="T191" s="1490"/>
      <c r="U191" s="1431" t="s">
        <v>209</v>
      </c>
      <c r="V191" s="1490"/>
      <c r="W191" s="1431" t="s">
        <v>209</v>
      </c>
      <c r="X191" s="2468"/>
      <c r="Y191" s="276"/>
      <c r="Z191" s="99" t="s">
        <v>189</v>
      </c>
      <c r="AA191" s="547"/>
      <c r="AB191" s="547"/>
      <c r="AC191" s="299" t="s">
        <v>193</v>
      </c>
      <c r="AD191" s="620" t="s">
        <v>600</v>
      </c>
      <c r="AE191" s="154"/>
      <c r="AF191" s="604"/>
      <c r="AG191" s="11"/>
    </row>
    <row r="192" spans="2:33" ht="20.100000000000001" customHeight="1">
      <c r="B192" s="1360" t="b">
        <f t="shared" si="19"/>
        <v>1</v>
      </c>
      <c r="C192" s="614"/>
      <c r="D192" s="9773" t="s">
        <v>601</v>
      </c>
      <c r="E192" s="9782"/>
      <c r="F192" s="285" t="s">
        <v>413</v>
      </c>
      <c r="G192" s="535"/>
      <c r="H192" s="45"/>
      <c r="I192" s="617" t="s">
        <v>602</v>
      </c>
      <c r="J192" s="618"/>
      <c r="K192" s="162" t="s">
        <v>413</v>
      </c>
      <c r="L192" s="562"/>
      <c r="M192" s="92" t="s">
        <v>209</v>
      </c>
      <c r="N192" s="562"/>
      <c r="O192" s="95" t="s">
        <v>209</v>
      </c>
      <c r="P192" s="308"/>
      <c r="Q192" s="501"/>
      <c r="R192" s="1490"/>
      <c r="S192" s="1430" t="s">
        <v>209</v>
      </c>
      <c r="T192" s="1490"/>
      <c r="U192" s="1431" t="s">
        <v>209</v>
      </c>
      <c r="V192" s="1490"/>
      <c r="W192" s="1431" t="s">
        <v>209</v>
      </c>
      <c r="X192" s="2468"/>
      <c r="Y192" s="276"/>
      <c r="Z192" s="99" t="s">
        <v>189</v>
      </c>
      <c r="AA192" s="547"/>
      <c r="AB192" s="547"/>
      <c r="AC192" s="299" t="s">
        <v>193</v>
      </c>
      <c r="AD192" s="620" t="s">
        <v>600</v>
      </c>
      <c r="AE192" s="154"/>
      <c r="AF192" s="604"/>
      <c r="AG192" s="11"/>
    </row>
    <row r="193" spans="1:34" ht="20.100000000000001" customHeight="1">
      <c r="B193" s="1360" t="b">
        <f t="shared" si="19"/>
        <v>1</v>
      </c>
      <c r="C193" s="9774" t="s">
        <v>603</v>
      </c>
      <c r="D193" s="9774"/>
      <c r="E193" s="9782"/>
      <c r="F193" s="285" t="s">
        <v>156</v>
      </c>
      <c r="G193" s="621"/>
      <c r="H193" s="622" t="s">
        <v>604</v>
      </c>
      <c r="I193" s="623"/>
      <c r="J193" s="618"/>
      <c r="K193" s="162" t="s">
        <v>156</v>
      </c>
      <c r="L193" s="562"/>
      <c r="M193" s="92" t="s">
        <v>209</v>
      </c>
      <c r="N193" s="562"/>
      <c r="O193" s="95" t="s">
        <v>209</v>
      </c>
      <c r="P193" s="308"/>
      <c r="Q193" s="501"/>
      <c r="R193" s="1490"/>
      <c r="S193" s="1430" t="s">
        <v>209</v>
      </c>
      <c r="T193" s="1490"/>
      <c r="U193" s="1431" t="s">
        <v>209</v>
      </c>
      <c r="V193" s="1490"/>
      <c r="W193" s="1431" t="s">
        <v>209</v>
      </c>
      <c r="X193" s="2468" t="s">
        <v>605</v>
      </c>
      <c r="Y193" s="276" t="s">
        <v>606</v>
      </c>
      <c r="Z193" s="99" t="s">
        <v>189</v>
      </c>
      <c r="AA193" s="547"/>
      <c r="AB193" s="547"/>
      <c r="AC193" s="299" t="s">
        <v>193</v>
      </c>
      <c r="AD193" s="620" t="s">
        <v>607</v>
      </c>
      <c r="AE193" s="154"/>
      <c r="AF193" s="604" t="s">
        <v>597</v>
      </c>
      <c r="AG193" s="11"/>
    </row>
    <row r="194" spans="1:34" ht="20.100000000000001" customHeight="1">
      <c r="B194" s="1360" t="b">
        <f t="shared" si="19"/>
        <v>1</v>
      </c>
      <c r="C194" s="614"/>
      <c r="D194" s="615" t="s">
        <v>582</v>
      </c>
      <c r="E194" s="616"/>
      <c r="F194" s="285" t="s">
        <v>413</v>
      </c>
      <c r="G194" s="535"/>
      <c r="H194" s="45"/>
      <c r="I194" s="617" t="s">
        <v>608</v>
      </c>
      <c r="J194" s="618"/>
      <c r="K194" s="162" t="s">
        <v>413</v>
      </c>
      <c r="L194" s="562"/>
      <c r="M194" s="92" t="s">
        <v>209</v>
      </c>
      <c r="N194" s="562"/>
      <c r="O194" s="95" t="s">
        <v>209</v>
      </c>
      <c r="P194" s="308"/>
      <c r="Q194" s="501"/>
      <c r="R194" s="1490"/>
      <c r="S194" s="1430" t="s">
        <v>209</v>
      </c>
      <c r="T194" s="1490"/>
      <c r="U194" s="1431" t="s">
        <v>209</v>
      </c>
      <c r="V194" s="1490"/>
      <c r="W194" s="1431" t="s">
        <v>209</v>
      </c>
      <c r="X194" s="2468"/>
      <c r="Y194" s="276"/>
      <c r="Z194" s="99" t="s">
        <v>189</v>
      </c>
      <c r="AA194" s="547"/>
      <c r="AB194" s="547"/>
      <c r="AC194" s="299" t="s">
        <v>193</v>
      </c>
      <c r="AD194" s="620" t="s">
        <v>607</v>
      </c>
      <c r="AE194" s="154"/>
      <c r="AF194" s="604"/>
      <c r="AG194" s="11"/>
    </row>
    <row r="195" spans="1:34" ht="20.100000000000001" customHeight="1">
      <c r="B195" s="1360" t="b">
        <f t="shared" ref="B195:B203" si="20">OR(ISBLANK(R195),ISBLANK(T195),ISBLANK(V195))</f>
        <v>1</v>
      </c>
      <c r="C195" s="614"/>
      <c r="D195" s="615" t="s">
        <v>584</v>
      </c>
      <c r="E195" s="616"/>
      <c r="F195" s="285" t="s">
        <v>413</v>
      </c>
      <c r="G195" s="535"/>
      <c r="H195" s="45"/>
      <c r="I195" s="617" t="s">
        <v>609</v>
      </c>
      <c r="J195" s="618"/>
      <c r="K195" s="162" t="s">
        <v>413</v>
      </c>
      <c r="L195" s="562"/>
      <c r="M195" s="92" t="s">
        <v>209</v>
      </c>
      <c r="N195" s="562"/>
      <c r="O195" s="95" t="s">
        <v>209</v>
      </c>
      <c r="P195" s="308"/>
      <c r="Q195" s="501"/>
      <c r="R195" s="1490"/>
      <c r="S195" s="1430" t="s">
        <v>209</v>
      </c>
      <c r="T195" s="1490"/>
      <c r="U195" s="1431" t="s">
        <v>209</v>
      </c>
      <c r="V195" s="1490"/>
      <c r="W195" s="1431" t="s">
        <v>209</v>
      </c>
      <c r="X195" s="2468"/>
      <c r="Y195" s="276"/>
      <c r="Z195" s="99" t="s">
        <v>189</v>
      </c>
      <c r="AA195" s="547"/>
      <c r="AB195" s="547"/>
      <c r="AC195" s="299" t="s">
        <v>193</v>
      </c>
      <c r="AD195" s="620" t="s">
        <v>607</v>
      </c>
      <c r="AE195" s="154"/>
      <c r="AF195" s="604"/>
      <c r="AG195" s="11"/>
    </row>
    <row r="196" spans="1:34" ht="20.100000000000001" customHeight="1">
      <c r="B196" s="1360" t="b">
        <f t="shared" si="20"/>
        <v>1</v>
      </c>
      <c r="C196" s="614"/>
      <c r="D196" s="615" t="s">
        <v>586</v>
      </c>
      <c r="E196" s="616"/>
      <c r="F196" s="285" t="s">
        <v>413</v>
      </c>
      <c r="G196" s="535"/>
      <c r="H196" s="45"/>
      <c r="I196" s="617" t="s">
        <v>610</v>
      </c>
      <c r="J196" s="618"/>
      <c r="K196" s="162" t="s">
        <v>413</v>
      </c>
      <c r="L196" s="562"/>
      <c r="M196" s="92" t="s">
        <v>209</v>
      </c>
      <c r="N196" s="562"/>
      <c r="O196" s="95" t="s">
        <v>209</v>
      </c>
      <c r="P196" s="308"/>
      <c r="Q196" s="297"/>
      <c r="R196" s="1490"/>
      <c r="S196" s="1430" t="s">
        <v>209</v>
      </c>
      <c r="T196" s="1490"/>
      <c r="U196" s="1431" t="s">
        <v>209</v>
      </c>
      <c r="V196" s="1490"/>
      <c r="W196" s="1431" t="s">
        <v>209</v>
      </c>
      <c r="X196" s="2468"/>
      <c r="Y196" s="276"/>
      <c r="Z196" s="99" t="s">
        <v>189</v>
      </c>
      <c r="AA196" s="547"/>
      <c r="AB196" s="547"/>
      <c r="AC196" s="299" t="s">
        <v>193</v>
      </c>
      <c r="AD196" s="620" t="s">
        <v>607</v>
      </c>
      <c r="AE196" s="154"/>
      <c r="AF196" s="604"/>
      <c r="AG196" s="11"/>
    </row>
    <row r="197" spans="1:34" ht="20.100000000000001" customHeight="1">
      <c r="B197" s="1360" t="b">
        <f t="shared" si="20"/>
        <v>1</v>
      </c>
      <c r="C197" s="614"/>
      <c r="D197" s="615" t="s">
        <v>588</v>
      </c>
      <c r="E197" s="616"/>
      <c r="F197" s="285" t="s">
        <v>413</v>
      </c>
      <c r="G197" s="535"/>
      <c r="H197" s="45"/>
      <c r="I197" s="617" t="s">
        <v>611</v>
      </c>
      <c r="J197" s="618"/>
      <c r="K197" s="162" t="s">
        <v>413</v>
      </c>
      <c r="L197" s="562"/>
      <c r="M197" s="92" t="s">
        <v>209</v>
      </c>
      <c r="N197" s="562"/>
      <c r="O197" s="95" t="s">
        <v>209</v>
      </c>
      <c r="P197" s="308"/>
      <c r="Q197" s="297"/>
      <c r="R197" s="1490"/>
      <c r="S197" s="1430" t="s">
        <v>209</v>
      </c>
      <c r="T197" s="1490"/>
      <c r="U197" s="1431" t="s">
        <v>209</v>
      </c>
      <c r="V197" s="1490"/>
      <c r="W197" s="1431" t="s">
        <v>209</v>
      </c>
      <c r="X197" s="2468"/>
      <c r="Y197" s="276"/>
      <c r="Z197" s="99" t="s">
        <v>189</v>
      </c>
      <c r="AA197" s="547"/>
      <c r="AB197" s="547"/>
      <c r="AC197" s="299" t="s">
        <v>193</v>
      </c>
      <c r="AD197" s="620" t="s">
        <v>607</v>
      </c>
      <c r="AE197" s="154"/>
      <c r="AF197" s="159"/>
      <c r="AG197" s="11"/>
    </row>
    <row r="198" spans="1:34" ht="20.100000000000001" customHeight="1">
      <c r="B198" s="1360" t="b">
        <f t="shared" si="20"/>
        <v>1</v>
      </c>
      <c r="C198" s="614"/>
      <c r="D198" s="619" t="s">
        <v>590</v>
      </c>
      <c r="E198" s="619"/>
      <c r="F198" s="285" t="s">
        <v>413</v>
      </c>
      <c r="G198" s="535"/>
      <c r="H198" s="45"/>
      <c r="I198" s="617" t="s">
        <v>612</v>
      </c>
      <c r="J198" s="618"/>
      <c r="K198" s="162" t="s">
        <v>413</v>
      </c>
      <c r="L198" s="562"/>
      <c r="M198" s="92" t="s">
        <v>209</v>
      </c>
      <c r="N198" s="562"/>
      <c r="O198" s="95" t="s">
        <v>209</v>
      </c>
      <c r="P198" s="308"/>
      <c r="Q198" s="297"/>
      <c r="R198" s="1490"/>
      <c r="S198" s="1430" t="s">
        <v>209</v>
      </c>
      <c r="T198" s="1490"/>
      <c r="U198" s="1431" t="s">
        <v>209</v>
      </c>
      <c r="V198" s="1490"/>
      <c r="W198" s="1431" t="s">
        <v>209</v>
      </c>
      <c r="X198" s="2468"/>
      <c r="Y198" s="276"/>
      <c r="Z198" s="99" t="s">
        <v>189</v>
      </c>
      <c r="AA198" s="547"/>
      <c r="AB198" s="547"/>
      <c r="AC198" s="299" t="s">
        <v>193</v>
      </c>
      <c r="AD198" s="620" t="s">
        <v>607</v>
      </c>
      <c r="AE198" s="154"/>
      <c r="AF198" s="159"/>
      <c r="AG198" s="11"/>
    </row>
    <row r="199" spans="1:34" ht="20.100000000000001" customHeight="1">
      <c r="B199" s="1360" t="b">
        <f t="shared" si="20"/>
        <v>1</v>
      </c>
      <c r="C199" s="161" t="s">
        <v>613</v>
      </c>
      <c r="D199" s="161"/>
      <c r="E199" s="161"/>
      <c r="F199" s="285" t="s">
        <v>156</v>
      </c>
      <c r="G199" s="621"/>
      <c r="H199" s="622" t="s">
        <v>614</v>
      </c>
      <c r="I199" s="623"/>
      <c r="J199" s="618"/>
      <c r="K199" s="162" t="s">
        <v>156</v>
      </c>
      <c r="L199" s="562"/>
      <c r="M199" s="92" t="s">
        <v>1780</v>
      </c>
      <c r="N199" s="562"/>
      <c r="O199" s="95" t="s">
        <v>1780</v>
      </c>
      <c r="P199" s="308"/>
      <c r="Q199" s="297"/>
      <c r="R199" s="1490"/>
      <c r="S199" s="1430" t="s">
        <v>1780</v>
      </c>
      <c r="T199" s="1490"/>
      <c r="U199" s="1431" t="s">
        <v>1780</v>
      </c>
      <c r="V199" s="1490"/>
      <c r="W199" s="1431" t="s">
        <v>1780</v>
      </c>
      <c r="X199" s="2468" t="s">
        <v>615</v>
      </c>
      <c r="Y199" s="276" t="s">
        <v>616</v>
      </c>
      <c r="Z199" s="99" t="s">
        <v>189</v>
      </c>
      <c r="AA199" s="547"/>
      <c r="AB199" s="547"/>
      <c r="AC199" s="299" t="s">
        <v>193</v>
      </c>
      <c r="AD199" s="620" t="s">
        <v>617</v>
      </c>
      <c r="AE199" s="154"/>
      <c r="AF199" s="159"/>
      <c r="AG199" s="11"/>
    </row>
    <row r="200" spans="1:34" ht="20.100000000000001" customHeight="1">
      <c r="B200" s="1360" t="b">
        <f t="shared" si="20"/>
        <v>1</v>
      </c>
      <c r="C200" s="161"/>
      <c r="D200" s="615" t="s">
        <v>618</v>
      </c>
      <c r="E200" s="616"/>
      <c r="F200" s="285" t="s">
        <v>413</v>
      </c>
      <c r="G200" s="624"/>
      <c r="H200" s="625"/>
      <c r="I200" s="626" t="s">
        <v>619</v>
      </c>
      <c r="J200" s="618"/>
      <c r="K200" s="162" t="s">
        <v>413</v>
      </c>
      <c r="L200" s="562"/>
      <c r="M200" s="92" t="s">
        <v>1780</v>
      </c>
      <c r="N200" s="562"/>
      <c r="O200" s="95" t="s">
        <v>1780</v>
      </c>
      <c r="P200" s="308"/>
      <c r="Q200" s="297"/>
      <c r="R200" s="1490"/>
      <c r="S200" s="1430" t="s">
        <v>1780</v>
      </c>
      <c r="T200" s="1490"/>
      <c r="U200" s="1431" t="s">
        <v>1780</v>
      </c>
      <c r="V200" s="1490"/>
      <c r="W200" s="1431" t="s">
        <v>1780</v>
      </c>
      <c r="X200" s="2468"/>
      <c r="Y200" s="276"/>
      <c r="Z200" s="99" t="s">
        <v>189</v>
      </c>
      <c r="AA200" s="547"/>
      <c r="AB200" s="547"/>
      <c r="AC200" s="299" t="s">
        <v>193</v>
      </c>
      <c r="AD200" s="620" t="s">
        <v>617</v>
      </c>
      <c r="AE200" s="154"/>
      <c r="AF200" s="159"/>
      <c r="AG200" s="11"/>
    </row>
    <row r="201" spans="1:34" ht="20.100000000000001" customHeight="1">
      <c r="B201" s="1360" t="b">
        <f t="shared" si="20"/>
        <v>1</v>
      </c>
      <c r="C201" s="614"/>
      <c r="D201" s="615" t="s">
        <v>620</v>
      </c>
      <c r="E201" s="616"/>
      <c r="F201" s="285" t="s">
        <v>413</v>
      </c>
      <c r="G201" s="627"/>
      <c r="H201" s="628"/>
      <c r="I201" s="626" t="s">
        <v>621</v>
      </c>
      <c r="J201" s="618"/>
      <c r="K201" s="162" t="s">
        <v>413</v>
      </c>
      <c r="L201" s="562"/>
      <c r="M201" s="92" t="s">
        <v>1780</v>
      </c>
      <c r="N201" s="562"/>
      <c r="O201" s="95" t="s">
        <v>1780</v>
      </c>
      <c r="P201" s="308"/>
      <c r="Q201" s="297"/>
      <c r="R201" s="1490"/>
      <c r="S201" s="1430" t="s">
        <v>1780</v>
      </c>
      <c r="T201" s="1490"/>
      <c r="U201" s="1431" t="s">
        <v>1780</v>
      </c>
      <c r="V201" s="1490"/>
      <c r="W201" s="1431" t="s">
        <v>1780</v>
      </c>
      <c r="X201" s="2468"/>
      <c r="Y201" s="276"/>
      <c r="Z201" s="99" t="s">
        <v>189</v>
      </c>
      <c r="AA201" s="547"/>
      <c r="AB201" s="547"/>
      <c r="AC201" s="299" t="s">
        <v>193</v>
      </c>
      <c r="AD201" s="620" t="s">
        <v>617</v>
      </c>
      <c r="AE201" s="154"/>
      <c r="AF201" s="159"/>
      <c r="AG201" s="11"/>
    </row>
    <row r="202" spans="1:34" ht="20.100000000000001" customHeight="1">
      <c r="B202" s="1360" t="b">
        <f t="shared" si="20"/>
        <v>1</v>
      </c>
      <c r="C202" s="614"/>
      <c r="D202" s="615" t="s">
        <v>622</v>
      </c>
      <c r="E202" s="616"/>
      <c r="F202" s="285" t="s">
        <v>413</v>
      </c>
      <c r="G202" s="627"/>
      <c r="H202" s="628"/>
      <c r="I202" s="626" t="s">
        <v>623</v>
      </c>
      <c r="J202" s="618"/>
      <c r="K202" s="162" t="s">
        <v>413</v>
      </c>
      <c r="L202" s="562"/>
      <c r="M202" s="92" t="s">
        <v>1780</v>
      </c>
      <c r="N202" s="562"/>
      <c r="O202" s="95" t="s">
        <v>1780</v>
      </c>
      <c r="P202" s="308"/>
      <c r="Q202" s="297"/>
      <c r="R202" s="1490"/>
      <c r="S202" s="1430" t="s">
        <v>1780</v>
      </c>
      <c r="T202" s="1490"/>
      <c r="U202" s="1431" t="s">
        <v>1780</v>
      </c>
      <c r="V202" s="1490"/>
      <c r="W202" s="1431" t="s">
        <v>1780</v>
      </c>
      <c r="X202" s="2472"/>
      <c r="Y202" s="457"/>
      <c r="Z202" s="99" t="s">
        <v>189</v>
      </c>
      <c r="AA202" s="547"/>
      <c r="AB202" s="547"/>
      <c r="AC202" s="299" t="s">
        <v>193</v>
      </c>
      <c r="AD202" s="620" t="s">
        <v>617</v>
      </c>
      <c r="AE202" s="154"/>
      <c r="AF202" s="159"/>
      <c r="AG202" s="11"/>
    </row>
    <row r="203" spans="1:34" ht="20.100000000000001" customHeight="1" thickBot="1">
      <c r="B203" s="1361" t="b">
        <f t="shared" si="20"/>
        <v>1</v>
      </c>
      <c r="C203" s="1615"/>
      <c r="D203" s="9791" t="s">
        <v>624</v>
      </c>
      <c r="E203" s="9792"/>
      <c r="F203" s="1616" t="s">
        <v>413</v>
      </c>
      <c r="G203" s="1617"/>
      <c r="H203" s="1618"/>
      <c r="I203" s="1619" t="s">
        <v>625</v>
      </c>
      <c r="J203" s="1620"/>
      <c r="K203" s="1181" t="s">
        <v>413</v>
      </c>
      <c r="L203" s="1621"/>
      <c r="M203" s="242" t="s">
        <v>1780</v>
      </c>
      <c r="N203" s="1621"/>
      <c r="O203" s="1622" t="s">
        <v>1780</v>
      </c>
      <c r="P203" s="1623"/>
      <c r="Q203" s="1624"/>
      <c r="R203" s="1625"/>
      <c r="S203" s="1626" t="s">
        <v>1780</v>
      </c>
      <c r="T203" s="1625"/>
      <c r="U203" s="1627" t="s">
        <v>1780</v>
      </c>
      <c r="V203" s="1625"/>
      <c r="W203" s="1627" t="s">
        <v>1780</v>
      </c>
      <c r="X203" s="2478"/>
      <c r="Y203" s="1628"/>
      <c r="Z203" s="1629" t="s">
        <v>189</v>
      </c>
      <c r="AA203" s="715"/>
      <c r="AB203" s="715"/>
      <c r="AC203" s="1630" t="s">
        <v>193</v>
      </c>
      <c r="AD203" s="1631" t="s">
        <v>617</v>
      </c>
      <c r="AE203" s="1632"/>
      <c r="AF203" s="1633" t="s">
        <v>597</v>
      </c>
      <c r="AG203" s="11"/>
    </row>
    <row r="204" spans="1:34" ht="27" thickBot="1">
      <c r="A204" s="50"/>
      <c r="B204" s="65" t="s">
        <v>727</v>
      </c>
      <c r="C204" s="244"/>
      <c r="D204" s="244"/>
      <c r="E204" s="244"/>
      <c r="F204" s="245"/>
      <c r="G204" s="246" t="s">
        <v>728</v>
      </c>
      <c r="H204" s="247"/>
      <c r="I204" s="247"/>
      <c r="J204" s="247"/>
      <c r="K204" s="245"/>
      <c r="L204" s="1611"/>
      <c r="M204" s="1611"/>
      <c r="N204" s="1611"/>
      <c r="O204" s="1611"/>
      <c r="P204" s="1611"/>
      <c r="Q204" s="1611"/>
      <c r="R204" s="1612"/>
      <c r="S204" s="1613"/>
      <c r="T204" s="1612"/>
      <c r="U204" s="1613"/>
      <c r="V204" s="1612"/>
      <c r="W204" s="1611"/>
      <c r="X204" s="249"/>
      <c r="Y204" s="249"/>
      <c r="Z204" s="250"/>
      <c r="AA204" s="250"/>
      <c r="AB204" s="250"/>
      <c r="AC204" s="250"/>
      <c r="AD204" s="1614"/>
      <c r="AE204" s="1614"/>
      <c r="AF204" s="251"/>
      <c r="AG204" s="18"/>
      <c r="AH204" s="54"/>
    </row>
    <row r="205" spans="1:34" ht="27" thickBot="1">
      <c r="B205" s="123" t="s">
        <v>729</v>
      </c>
      <c r="C205" s="124"/>
      <c r="D205" s="124"/>
      <c r="E205" s="124"/>
      <c r="F205" s="78"/>
      <c r="G205" s="125" t="s">
        <v>730</v>
      </c>
      <c r="H205" s="126"/>
      <c r="I205" s="126"/>
      <c r="J205" s="126"/>
      <c r="K205" s="78"/>
      <c r="L205" s="77"/>
      <c r="M205" s="77"/>
      <c r="N205" s="77"/>
      <c r="O205" s="77"/>
      <c r="P205" s="77"/>
      <c r="Q205" s="77"/>
      <c r="R205" s="1484"/>
      <c r="S205" s="1410"/>
      <c r="T205" s="1484"/>
      <c r="U205" s="1410"/>
      <c r="V205" s="1484"/>
      <c r="W205" s="77"/>
      <c r="X205" s="80"/>
      <c r="Y205" s="80"/>
      <c r="Z205" s="129"/>
      <c r="AA205" s="129"/>
      <c r="AB205" s="129"/>
      <c r="AC205" s="129"/>
      <c r="AD205" s="328"/>
      <c r="AE205" s="328"/>
      <c r="AF205" s="329"/>
      <c r="AG205" s="18"/>
    </row>
    <row r="206" spans="1:34" ht="19.899999999999999" customHeight="1">
      <c r="B206" s="1360" t="b">
        <v>1</v>
      </c>
      <c r="C206" s="9801" t="s">
        <v>731</v>
      </c>
      <c r="D206" s="9801"/>
      <c r="E206" s="9801"/>
      <c r="F206" s="636" t="s">
        <v>732</v>
      </c>
      <c r="G206" s="330"/>
      <c r="H206" s="254" t="s">
        <v>733</v>
      </c>
      <c r="I206" s="602"/>
      <c r="J206" s="637"/>
      <c r="K206" s="436" t="s">
        <v>734</v>
      </c>
      <c r="L206" s="531">
        <f>SUM(L207:L210)</f>
        <v>6507</v>
      </c>
      <c r="M206" s="638"/>
      <c r="N206" s="531">
        <f>SUM(N207:N210)</f>
        <v>8712</v>
      </c>
      <c r="O206" s="639"/>
      <c r="P206" s="640"/>
      <c r="Q206" s="501"/>
      <c r="R206" s="1469">
        <f>SUM(R207:R209)</f>
        <v>3601</v>
      </c>
      <c r="S206" s="1529"/>
      <c r="T206" s="1469">
        <f>SUM(T207:T209)</f>
        <v>4502</v>
      </c>
      <c r="U206" s="1524"/>
      <c r="V206" s="526">
        <f>SUM(V207:V209)</f>
        <v>4684</v>
      </c>
      <c r="W206" s="2076"/>
      <c r="X206" s="1021" t="s">
        <v>735</v>
      </c>
      <c r="Y206" s="367" t="s">
        <v>736</v>
      </c>
      <c r="Z206" s="642" t="s">
        <v>737</v>
      </c>
      <c r="AA206" s="547" t="s">
        <v>738</v>
      </c>
      <c r="AB206" s="534"/>
      <c r="AC206" s="642"/>
      <c r="AD206" s="620" t="s">
        <v>739</v>
      </c>
      <c r="AE206" s="620" t="s">
        <v>740</v>
      </c>
      <c r="AF206" s="159" t="s">
        <v>741</v>
      </c>
      <c r="AG206" s="18"/>
    </row>
    <row r="207" spans="1:34" ht="20.100000000000001" customHeight="1">
      <c r="B207" s="1360" t="b">
        <v>1</v>
      </c>
      <c r="C207" s="9802"/>
      <c r="D207" s="619" t="s">
        <v>743</v>
      </c>
      <c r="E207" s="619"/>
      <c r="F207" s="492" t="s">
        <v>732</v>
      </c>
      <c r="G207" s="347"/>
      <c r="H207" s="348"/>
      <c r="I207" s="495" t="s">
        <v>744</v>
      </c>
      <c r="J207" s="643"/>
      <c r="K207" s="164" t="s">
        <v>734</v>
      </c>
      <c r="L207" s="641">
        <v>3996</v>
      </c>
      <c r="M207" s="641"/>
      <c r="N207" s="641">
        <v>4650</v>
      </c>
      <c r="O207" s="639"/>
      <c r="P207" s="644"/>
      <c r="Q207" s="645"/>
      <c r="R207" s="1463">
        <v>3031</v>
      </c>
      <c r="S207" s="1429" t="s">
        <v>746</v>
      </c>
      <c r="T207" s="1463">
        <v>3629</v>
      </c>
      <c r="U207" s="5939" t="s">
        <v>1799</v>
      </c>
      <c r="V207" s="5486">
        <v>3726</v>
      </c>
      <c r="W207" s="2078" t="s">
        <v>1799</v>
      </c>
      <c r="X207" s="498" t="s">
        <v>735</v>
      </c>
      <c r="Y207" s="367" t="s">
        <v>736</v>
      </c>
      <c r="Z207" s="99" t="s">
        <v>745</v>
      </c>
      <c r="AA207" s="547" t="s">
        <v>738</v>
      </c>
      <c r="AB207" s="547"/>
      <c r="AC207" s="99"/>
      <c r="AD207" s="620" t="s">
        <v>739</v>
      </c>
      <c r="AE207" s="620" t="s">
        <v>740</v>
      </c>
      <c r="AF207" s="159"/>
      <c r="AG207" s="18"/>
    </row>
    <row r="208" spans="1:34" ht="20.100000000000001" customHeight="1">
      <c r="B208" s="1360" t="b">
        <v>1</v>
      </c>
      <c r="C208" s="9803"/>
      <c r="D208" s="9773" t="s">
        <v>752</v>
      </c>
      <c r="E208" s="9774"/>
      <c r="F208" s="492" t="s">
        <v>732</v>
      </c>
      <c r="G208" s="106"/>
      <c r="H208" s="353"/>
      <c r="I208" s="495" t="s">
        <v>753</v>
      </c>
      <c r="J208" s="643"/>
      <c r="K208" s="164" t="s">
        <v>734</v>
      </c>
      <c r="L208" s="641">
        <v>2309</v>
      </c>
      <c r="M208" s="641"/>
      <c r="N208" s="641">
        <v>3809</v>
      </c>
      <c r="O208" s="639"/>
      <c r="P208" s="644"/>
      <c r="Q208" s="645"/>
      <c r="R208" s="1463">
        <v>565</v>
      </c>
      <c r="S208" s="1429" t="s">
        <v>746</v>
      </c>
      <c r="T208" s="1463">
        <v>865</v>
      </c>
      <c r="U208" s="5939" t="s">
        <v>1799</v>
      </c>
      <c r="V208" s="5486">
        <v>950</v>
      </c>
      <c r="W208" s="2078" t="s">
        <v>1799</v>
      </c>
      <c r="X208" s="498" t="s">
        <v>735</v>
      </c>
      <c r="Y208" s="367" t="s">
        <v>754</v>
      </c>
      <c r="Z208" s="99" t="s">
        <v>745</v>
      </c>
      <c r="AA208" s="547" t="s">
        <v>738</v>
      </c>
      <c r="AB208" s="547"/>
      <c r="AC208" s="99"/>
      <c r="AD208" s="620" t="s">
        <v>739</v>
      </c>
      <c r="AE208" s="620" t="s">
        <v>740</v>
      </c>
      <c r="AF208" s="159"/>
      <c r="AG208" s="18"/>
    </row>
    <row r="209" spans="1:34" ht="20.100000000000001" customHeight="1">
      <c r="B209" s="1360" t="b">
        <v>1</v>
      </c>
      <c r="C209" s="9803"/>
      <c r="D209" s="619" t="s">
        <v>756</v>
      </c>
      <c r="E209" s="619"/>
      <c r="F209" s="295" t="s">
        <v>732</v>
      </c>
      <c r="G209" s="106"/>
      <c r="H209" s="353"/>
      <c r="I209" s="495" t="s">
        <v>757</v>
      </c>
      <c r="J209" s="643"/>
      <c r="K209" s="372" t="s">
        <v>734</v>
      </c>
      <c r="L209" s="641">
        <v>19</v>
      </c>
      <c r="M209" s="651" t="s">
        <v>1800</v>
      </c>
      <c r="N209" s="641">
        <v>22</v>
      </c>
      <c r="O209" s="651" t="s">
        <v>1800</v>
      </c>
      <c r="P209" s="644"/>
      <c r="Q209" s="652"/>
      <c r="R209" s="1464">
        <v>5</v>
      </c>
      <c r="S209" s="1429" t="s">
        <v>759</v>
      </c>
      <c r="T209" s="1464">
        <v>8</v>
      </c>
      <c r="U209" s="1525" t="s">
        <v>759</v>
      </c>
      <c r="V209" s="5486">
        <v>8</v>
      </c>
      <c r="W209" s="2079" t="s">
        <v>1801</v>
      </c>
      <c r="X209" s="498" t="s">
        <v>735</v>
      </c>
      <c r="Y209" s="367" t="s">
        <v>736</v>
      </c>
      <c r="Z209" s="99" t="s">
        <v>758</v>
      </c>
      <c r="AA209" s="547" t="s">
        <v>738</v>
      </c>
      <c r="AB209" s="547"/>
      <c r="AC209" s="99"/>
      <c r="AD209" s="620" t="s">
        <v>739</v>
      </c>
      <c r="AE209" s="620" t="s">
        <v>740</v>
      </c>
      <c r="AF209" s="159"/>
      <c r="AG209" s="18"/>
    </row>
    <row r="210" spans="1:34" ht="20.100000000000001" customHeight="1" thickBot="1">
      <c r="B210" s="1360" t="b">
        <v>1</v>
      </c>
      <c r="C210" s="9804"/>
      <c r="D210" s="9773" t="s">
        <v>764</v>
      </c>
      <c r="E210" s="9774"/>
      <c r="F210" s="295" t="s">
        <v>742</v>
      </c>
      <c r="G210" s="384"/>
      <c r="H210" s="385"/>
      <c r="I210" s="495" t="s">
        <v>765</v>
      </c>
      <c r="J210" s="643"/>
      <c r="K210" s="372" t="s">
        <v>734</v>
      </c>
      <c r="L210" s="641">
        <v>183</v>
      </c>
      <c r="M210" s="641"/>
      <c r="N210" s="641">
        <v>231</v>
      </c>
      <c r="O210" s="641"/>
      <c r="P210" s="644"/>
      <c r="Q210" s="652"/>
      <c r="R210" s="1468">
        <v>20</v>
      </c>
      <c r="S210" s="1429" t="s">
        <v>1802</v>
      </c>
      <c r="T210" s="1468">
        <v>89</v>
      </c>
      <c r="U210" s="1525" t="s">
        <v>1802</v>
      </c>
      <c r="V210" s="5486">
        <v>75</v>
      </c>
      <c r="W210" s="2079" t="s">
        <v>1803</v>
      </c>
      <c r="X210" s="498" t="s">
        <v>735</v>
      </c>
      <c r="Y210" s="367" t="s">
        <v>736</v>
      </c>
      <c r="Z210" s="99" t="s">
        <v>758</v>
      </c>
      <c r="AA210" s="547" t="s">
        <v>738</v>
      </c>
      <c r="AB210" s="547"/>
      <c r="AC210" s="99"/>
      <c r="AD210" s="620" t="s">
        <v>739</v>
      </c>
      <c r="AE210" s="620" t="s">
        <v>740</v>
      </c>
      <c r="AF210" s="159"/>
      <c r="AG210" s="18"/>
    </row>
    <row r="211" spans="1:34" ht="20.100000000000001" customHeight="1">
      <c r="B211" s="5459" t="str">
        <f>C211</f>
        <v>임직원 구성 (고용 형태별)</v>
      </c>
      <c r="C211" s="1572" t="s">
        <v>769</v>
      </c>
      <c r="D211" s="736"/>
      <c r="E211" s="736"/>
      <c r="F211" s="1573"/>
      <c r="G211" s="408"/>
      <c r="H211" s="312" t="s">
        <v>1804</v>
      </c>
      <c r="I211" s="654"/>
      <c r="J211" s="655"/>
      <c r="K211" s="656" t="s">
        <v>168</v>
      </c>
      <c r="L211" s="657"/>
      <c r="M211" s="657"/>
      <c r="N211" s="657"/>
      <c r="O211" s="657"/>
      <c r="P211" s="657"/>
      <c r="Q211" s="657"/>
      <c r="R211" s="1574"/>
      <c r="S211" s="1575"/>
      <c r="T211" s="1576"/>
      <c r="U211" s="1575"/>
      <c r="V211" s="1576"/>
      <c r="W211" s="2080"/>
      <c r="X211" s="1564"/>
      <c r="Y211" s="367"/>
      <c r="Z211" s="99" t="s">
        <v>737</v>
      </c>
      <c r="AA211" s="547"/>
      <c r="AB211" s="547"/>
      <c r="AC211" s="99"/>
      <c r="AD211" s="620" t="s">
        <v>770</v>
      </c>
      <c r="AE211" s="620" t="s">
        <v>740</v>
      </c>
      <c r="AF211" s="159"/>
      <c r="AG211" s="18"/>
    </row>
    <row r="212" spans="1:34" ht="20.100000000000001" customHeight="1">
      <c r="B212" s="1360" t="b">
        <f t="shared" ref="B212:B216" si="21">OR(ISBLANK(R212),ISBLANK(T212),ISBLANK(V212))</f>
        <v>0</v>
      </c>
      <c r="C212" s="703"/>
      <c r="D212" s="619" t="s">
        <v>771</v>
      </c>
      <c r="E212" s="619"/>
      <c r="F212" s="285" t="s">
        <v>732</v>
      </c>
      <c r="G212" s="337"/>
      <c r="H212" s="287"/>
      <c r="I212" s="184" t="s">
        <v>772</v>
      </c>
      <c r="J212" s="141"/>
      <c r="K212" s="162" t="s">
        <v>734</v>
      </c>
      <c r="L212" s="543">
        <v>3996</v>
      </c>
      <c r="M212" s="543"/>
      <c r="N212" s="543">
        <v>4650</v>
      </c>
      <c r="O212" s="543"/>
      <c r="P212" s="644"/>
      <c r="Q212" s="652"/>
      <c r="R212" s="1463">
        <v>3031</v>
      </c>
      <c r="S212" s="1523" t="s">
        <v>746</v>
      </c>
      <c r="T212" s="1463">
        <v>3629</v>
      </c>
      <c r="U212" s="5940" t="s">
        <v>746</v>
      </c>
      <c r="V212" s="5486">
        <v>3726</v>
      </c>
      <c r="W212" s="1523" t="s">
        <v>746</v>
      </c>
      <c r="X212" s="498" t="s">
        <v>773</v>
      </c>
      <c r="Y212" s="367" t="s">
        <v>774</v>
      </c>
      <c r="Z212" s="99" t="s">
        <v>745</v>
      </c>
      <c r="AA212" s="547" t="s">
        <v>738</v>
      </c>
      <c r="AB212" s="547"/>
      <c r="AC212" s="99"/>
      <c r="AD212" s="620" t="s">
        <v>770</v>
      </c>
      <c r="AE212" s="620" t="s">
        <v>740</v>
      </c>
      <c r="AF212" s="159"/>
      <c r="AG212" s="18"/>
    </row>
    <row r="213" spans="1:34" ht="20.100000000000001" customHeight="1">
      <c r="B213" s="1360" t="b">
        <f t="shared" si="21"/>
        <v>0</v>
      </c>
      <c r="C213" s="1369"/>
      <c r="D213" s="619" t="s">
        <v>777</v>
      </c>
      <c r="E213" s="306"/>
      <c r="F213" s="285" t="s">
        <v>732</v>
      </c>
      <c r="G213" s="662"/>
      <c r="H213" s="322"/>
      <c r="I213" s="184" t="s">
        <v>778</v>
      </c>
      <c r="J213" s="141"/>
      <c r="K213" s="162" t="s">
        <v>734</v>
      </c>
      <c r="L213" s="543">
        <v>2328</v>
      </c>
      <c r="M213" s="543"/>
      <c r="N213" s="543">
        <v>3831</v>
      </c>
      <c r="O213" s="543"/>
      <c r="P213" s="644"/>
      <c r="Q213" s="652"/>
      <c r="R213" s="1463">
        <v>570</v>
      </c>
      <c r="S213" s="1523" t="s">
        <v>746</v>
      </c>
      <c r="T213" s="1463">
        <v>873</v>
      </c>
      <c r="U213" s="1526" t="s">
        <v>1805</v>
      </c>
      <c r="V213" s="5486">
        <v>958</v>
      </c>
      <c r="W213" s="1523" t="s">
        <v>746</v>
      </c>
      <c r="X213" s="498" t="s">
        <v>773</v>
      </c>
      <c r="Y213" s="367" t="s">
        <v>774</v>
      </c>
      <c r="Z213" s="99" t="s">
        <v>745</v>
      </c>
      <c r="AA213" s="547" t="s">
        <v>738</v>
      </c>
      <c r="AB213" s="547"/>
      <c r="AC213" s="99"/>
      <c r="AD213" s="620" t="s">
        <v>770</v>
      </c>
      <c r="AE213" s="620" t="s">
        <v>740</v>
      </c>
      <c r="AF213" s="159"/>
      <c r="AG213" s="18"/>
    </row>
    <row r="214" spans="1:34" ht="19.899999999999999" customHeight="1">
      <c r="B214" s="1360" t="b">
        <f t="shared" si="21"/>
        <v>0</v>
      </c>
      <c r="C214" s="1369"/>
      <c r="D214" s="619" t="s">
        <v>781</v>
      </c>
      <c r="E214" s="306"/>
      <c r="F214" s="285" t="s">
        <v>732</v>
      </c>
      <c r="G214" s="662"/>
      <c r="H214" s="322"/>
      <c r="I214" s="184" t="s">
        <v>782</v>
      </c>
      <c r="J214" s="141"/>
      <c r="K214" s="162" t="s">
        <v>734</v>
      </c>
      <c r="L214" s="543">
        <v>3317</v>
      </c>
      <c r="M214" s="543"/>
      <c r="N214" s="543">
        <v>3207</v>
      </c>
      <c r="O214" s="543"/>
      <c r="P214" s="644"/>
      <c r="Q214" s="652"/>
      <c r="R214" s="1463">
        <v>1135</v>
      </c>
      <c r="S214" s="1523" t="s">
        <v>747</v>
      </c>
      <c r="T214" s="1463">
        <v>1097</v>
      </c>
      <c r="U214" s="1526" t="s">
        <v>1806</v>
      </c>
      <c r="V214" s="5486">
        <v>1210</v>
      </c>
      <c r="W214" s="1523" t="s">
        <v>747</v>
      </c>
      <c r="X214" s="498" t="s">
        <v>773</v>
      </c>
      <c r="Y214" s="367" t="s">
        <v>774</v>
      </c>
      <c r="Z214" s="99" t="s">
        <v>758</v>
      </c>
      <c r="AA214" s="547" t="s">
        <v>738</v>
      </c>
      <c r="AB214" s="547"/>
      <c r="AC214" s="99"/>
      <c r="AD214" s="620" t="s">
        <v>770</v>
      </c>
      <c r="AE214" s="620" t="s">
        <v>740</v>
      </c>
      <c r="AF214" s="159"/>
      <c r="AG214" s="18"/>
    </row>
    <row r="215" spans="1:34" ht="20.100000000000001" customHeight="1">
      <c r="B215" s="1360" t="b">
        <f t="shared" si="21"/>
        <v>0</v>
      </c>
      <c r="C215" s="1369"/>
      <c r="D215" s="619" t="s">
        <v>784</v>
      </c>
      <c r="E215" s="306"/>
      <c r="F215" s="285" t="s">
        <v>732</v>
      </c>
      <c r="G215" s="662"/>
      <c r="H215" s="322"/>
      <c r="I215" s="184" t="s">
        <v>785</v>
      </c>
      <c r="J215" s="141"/>
      <c r="K215" s="162" t="s">
        <v>734</v>
      </c>
      <c r="L215" s="543">
        <v>3007</v>
      </c>
      <c r="M215" s="543"/>
      <c r="N215" s="543">
        <v>5274</v>
      </c>
      <c r="O215" s="543"/>
      <c r="P215" s="644"/>
      <c r="Q215" s="652"/>
      <c r="R215" s="1463">
        <v>2466</v>
      </c>
      <c r="S215" s="1523" t="s">
        <v>786</v>
      </c>
      <c r="T215" s="1463">
        <v>3405</v>
      </c>
      <c r="U215" s="1526" t="s">
        <v>786</v>
      </c>
      <c r="V215" s="5486">
        <v>3474</v>
      </c>
      <c r="W215" s="1523" t="s">
        <v>786</v>
      </c>
      <c r="X215" s="498" t="s">
        <v>773</v>
      </c>
      <c r="Y215" s="367" t="s">
        <v>774</v>
      </c>
      <c r="Z215" s="99" t="s">
        <v>737</v>
      </c>
      <c r="AA215" s="547" t="s">
        <v>738</v>
      </c>
      <c r="AB215" s="547"/>
      <c r="AC215" s="99"/>
      <c r="AD215" s="620" t="s">
        <v>770</v>
      </c>
      <c r="AE215" s="620" t="s">
        <v>740</v>
      </c>
      <c r="AF215" s="159"/>
      <c r="AG215" s="18"/>
    </row>
    <row r="216" spans="1:34" ht="19.899999999999999" customHeight="1" thickBot="1">
      <c r="B216" s="1360" t="b">
        <f t="shared" si="21"/>
        <v>0</v>
      </c>
      <c r="C216" s="1023"/>
      <c r="D216" s="619" t="s">
        <v>788</v>
      </c>
      <c r="E216" s="619"/>
      <c r="F216" s="285" t="s">
        <v>732</v>
      </c>
      <c r="G216" s="343"/>
      <c r="H216" s="296"/>
      <c r="I216" s="495" t="s">
        <v>789</v>
      </c>
      <c r="J216" s="643"/>
      <c r="K216" s="162" t="s">
        <v>734</v>
      </c>
      <c r="L216" s="543">
        <v>0</v>
      </c>
      <c r="M216" s="543"/>
      <c r="N216" s="543">
        <v>0</v>
      </c>
      <c r="O216" s="543"/>
      <c r="P216" s="644"/>
      <c r="Q216" s="652"/>
      <c r="R216" s="1463">
        <v>0</v>
      </c>
      <c r="S216" s="1523"/>
      <c r="T216" s="1463">
        <v>0</v>
      </c>
      <c r="U216" s="1526"/>
      <c r="V216" s="5486">
        <v>0</v>
      </c>
      <c r="W216" s="2079"/>
      <c r="X216" s="498" t="s">
        <v>790</v>
      </c>
      <c r="Y216" s="367" t="s">
        <v>774</v>
      </c>
      <c r="Z216" s="99" t="s">
        <v>737</v>
      </c>
      <c r="AA216" s="547" t="s">
        <v>738</v>
      </c>
      <c r="AB216" s="547"/>
      <c r="AC216" s="99"/>
      <c r="AD216" s="620" t="s">
        <v>770</v>
      </c>
      <c r="AE216" s="620" t="s">
        <v>740</v>
      </c>
      <c r="AF216" s="159"/>
      <c r="AG216" s="18"/>
    </row>
    <row r="217" spans="1:34" ht="20.100000000000001" customHeight="1">
      <c r="B217" s="5459" t="str">
        <f>C217</f>
        <v>임직원 구성 (성별)</v>
      </c>
      <c r="C217" s="407" t="s">
        <v>791</v>
      </c>
      <c r="D217" s="728"/>
      <c r="E217" s="727"/>
      <c r="F217" s="1577"/>
      <c r="G217" s="408"/>
      <c r="H217" s="312" t="s">
        <v>792</v>
      </c>
      <c r="I217" s="654"/>
      <c r="J217" s="655"/>
      <c r="K217" s="656" t="s">
        <v>168</v>
      </c>
      <c r="L217" s="657"/>
      <c r="M217" s="657"/>
      <c r="N217" s="657"/>
      <c r="O217" s="657"/>
      <c r="P217" s="657"/>
      <c r="Q217" s="657"/>
      <c r="R217" s="1574"/>
      <c r="S217" s="1575"/>
      <c r="T217" s="1576"/>
      <c r="U217" s="1575"/>
      <c r="V217" s="1576"/>
      <c r="W217" s="2080"/>
      <c r="X217" s="1564"/>
      <c r="Y217" s="367"/>
      <c r="Z217" s="99" t="s">
        <v>758</v>
      </c>
      <c r="AA217" s="547"/>
      <c r="AB217" s="547"/>
      <c r="AC217" s="99"/>
      <c r="AD217" s="620" t="s">
        <v>793</v>
      </c>
      <c r="AE217" s="664" t="s">
        <v>794</v>
      </c>
      <c r="AF217" s="159" t="s">
        <v>795</v>
      </c>
      <c r="AG217" s="18"/>
    </row>
    <row r="218" spans="1:34" ht="20.100000000000001" customHeight="1">
      <c r="B218" s="1360" t="b">
        <f t="shared" ref="B218:B219" si="22">OR(ISBLANK(R218),ISBLANK(T218),ISBLANK(V218))</f>
        <v>0</v>
      </c>
      <c r="C218" s="703"/>
      <c r="D218" s="490" t="s">
        <v>796</v>
      </c>
      <c r="E218" s="491"/>
      <c r="F218" s="285" t="s">
        <v>732</v>
      </c>
      <c r="G218" s="337"/>
      <c r="H218" s="287"/>
      <c r="I218" s="198" t="s">
        <v>797</v>
      </c>
      <c r="J218" s="198"/>
      <c r="K218" s="162" t="s">
        <v>734</v>
      </c>
      <c r="L218" s="92">
        <v>3214</v>
      </c>
      <c r="M218" s="92"/>
      <c r="N218" s="92">
        <v>4206</v>
      </c>
      <c r="O218" s="92"/>
      <c r="P218" s="228"/>
      <c r="Q218" s="95"/>
      <c r="R218" s="1463">
        <v>1678</v>
      </c>
      <c r="S218" s="1523" t="s">
        <v>746</v>
      </c>
      <c r="T218" s="1463">
        <v>2124</v>
      </c>
      <c r="U218" s="5940" t="s">
        <v>746</v>
      </c>
      <c r="V218" s="5486">
        <v>2101</v>
      </c>
      <c r="W218" s="1523" t="s">
        <v>746</v>
      </c>
      <c r="X218" s="498" t="s">
        <v>798</v>
      </c>
      <c r="Y218" s="367" t="s">
        <v>799</v>
      </c>
      <c r="Z218" s="99" t="s">
        <v>758</v>
      </c>
      <c r="AA218" s="547" t="s">
        <v>800</v>
      </c>
      <c r="AB218" s="547"/>
      <c r="AC218" s="665"/>
      <c r="AD218" s="620" t="s">
        <v>793</v>
      </c>
      <c r="AE218" s="664" t="s">
        <v>794</v>
      </c>
      <c r="AF218" s="159" t="s">
        <v>795</v>
      </c>
      <c r="AG218" s="18"/>
    </row>
    <row r="219" spans="1:34" ht="19.899999999999999" customHeight="1">
      <c r="B219" s="1360" t="b">
        <f t="shared" si="22"/>
        <v>0</v>
      </c>
      <c r="C219" s="1023"/>
      <c r="D219" s="490" t="s">
        <v>802</v>
      </c>
      <c r="E219" s="491"/>
      <c r="F219" s="285" t="s">
        <v>732</v>
      </c>
      <c r="G219" s="343"/>
      <c r="H219" s="296"/>
      <c r="I219" s="666" t="s">
        <v>1807</v>
      </c>
      <c r="J219" s="666"/>
      <c r="K219" s="162" t="s">
        <v>734</v>
      </c>
      <c r="L219" s="92">
        <v>3110</v>
      </c>
      <c r="M219" s="92"/>
      <c r="N219" s="92">
        <v>4275</v>
      </c>
      <c r="O219" s="92"/>
      <c r="P219" s="228"/>
      <c r="Q219" s="95"/>
      <c r="R219" s="1463">
        <v>1923</v>
      </c>
      <c r="S219" s="1523" t="s">
        <v>746</v>
      </c>
      <c r="T219" s="1463">
        <v>2378</v>
      </c>
      <c r="U219" s="5940" t="s">
        <v>746</v>
      </c>
      <c r="V219" s="5486">
        <v>2583</v>
      </c>
      <c r="W219" s="1523" t="s">
        <v>746</v>
      </c>
      <c r="X219" s="498" t="s">
        <v>798</v>
      </c>
      <c r="Y219" s="367" t="s">
        <v>799</v>
      </c>
      <c r="Z219" s="99" t="s">
        <v>758</v>
      </c>
      <c r="AA219" s="547" t="s">
        <v>800</v>
      </c>
      <c r="AB219" s="547"/>
      <c r="AC219" s="665"/>
      <c r="AD219" s="620" t="s">
        <v>793</v>
      </c>
      <c r="AE219" s="620" t="s">
        <v>740</v>
      </c>
      <c r="AF219" s="159" t="s">
        <v>795</v>
      </c>
      <c r="AG219" s="18"/>
    </row>
    <row r="220" spans="1:34" ht="19.899999999999999" customHeight="1">
      <c r="B220" s="1353" t="str">
        <f>C220</f>
        <v>경영진 구성 (성별)</v>
      </c>
      <c r="C220" s="407" t="s">
        <v>805</v>
      </c>
      <c r="D220" s="728"/>
      <c r="E220" s="727"/>
      <c r="F220" s="1573"/>
      <c r="G220" s="667"/>
      <c r="H220" s="668" t="s">
        <v>806</v>
      </c>
      <c r="I220" s="669"/>
      <c r="J220" s="670"/>
      <c r="K220" s="656" t="s">
        <v>168</v>
      </c>
      <c r="L220" s="657"/>
      <c r="M220" s="657"/>
      <c r="N220" s="657"/>
      <c r="O220" s="657"/>
      <c r="P220" s="657"/>
      <c r="Q220" s="657"/>
      <c r="R220" s="1574"/>
      <c r="S220" s="1575"/>
      <c r="T220" s="1576"/>
      <c r="U220" s="1575"/>
      <c r="V220" s="1576"/>
      <c r="W220" s="2080"/>
      <c r="X220" s="1564"/>
      <c r="Y220" s="367"/>
      <c r="Z220" s="99" t="s">
        <v>758</v>
      </c>
      <c r="AA220" s="547"/>
      <c r="AB220" s="547"/>
      <c r="AC220" s="665"/>
      <c r="AD220" s="620"/>
      <c r="AE220" s="672" t="s">
        <v>807</v>
      </c>
      <c r="AF220" s="673" t="s">
        <v>795</v>
      </c>
      <c r="AG220" s="18"/>
    </row>
    <row r="221" spans="1:34" ht="20.100000000000001" customHeight="1">
      <c r="A221"/>
      <c r="B221" s="1360" t="b">
        <v>1</v>
      </c>
      <c r="C221" s="1370"/>
      <c r="D221" s="490" t="s">
        <v>796</v>
      </c>
      <c r="E221" s="491"/>
      <c r="F221" s="674" t="s">
        <v>156</v>
      </c>
      <c r="G221" s="675"/>
      <c r="H221" s="676"/>
      <c r="I221" s="198" t="s">
        <v>808</v>
      </c>
      <c r="J221" s="177"/>
      <c r="K221" s="509" t="s">
        <v>156</v>
      </c>
      <c r="L221" s="228"/>
      <c r="M221" s="92"/>
      <c r="N221" s="228"/>
      <c r="O221" s="92"/>
      <c r="P221" s="228"/>
      <c r="Q221" s="95"/>
      <c r="R221" s="1488">
        <v>4</v>
      </c>
      <c r="S221" s="1347"/>
      <c r="T221" s="1488">
        <v>8</v>
      </c>
      <c r="U221" s="935" t="s">
        <v>1798</v>
      </c>
      <c r="V221" s="1490">
        <v>7</v>
      </c>
      <c r="W221" s="935" t="s">
        <v>1798</v>
      </c>
      <c r="X221" s="2469" t="s">
        <v>809</v>
      </c>
      <c r="Y221" s="305" t="s">
        <v>810</v>
      </c>
      <c r="Z221" s="99" t="s">
        <v>758</v>
      </c>
      <c r="AA221" s="681" t="s">
        <v>800</v>
      </c>
      <c r="AB221" s="681"/>
      <c r="AC221" s="665"/>
      <c r="AD221" s="620"/>
      <c r="AE221" s="672" t="s">
        <v>807</v>
      </c>
      <c r="AF221" s="673" t="s">
        <v>795</v>
      </c>
      <c r="AG221" s="18"/>
      <c r="AH221"/>
    </row>
    <row r="222" spans="1:34" ht="20.100000000000001" customHeight="1">
      <c r="A222"/>
      <c r="B222" s="1360" t="b">
        <v>1</v>
      </c>
      <c r="C222" s="1371"/>
      <c r="D222" s="490" t="s">
        <v>802</v>
      </c>
      <c r="E222" s="491"/>
      <c r="F222" s="674" t="s">
        <v>156</v>
      </c>
      <c r="G222" s="682"/>
      <c r="H222" s="683"/>
      <c r="I222" s="666" t="s">
        <v>811</v>
      </c>
      <c r="J222" s="684"/>
      <c r="K222" s="509" t="s">
        <v>156</v>
      </c>
      <c r="L222" s="228"/>
      <c r="M222" s="92"/>
      <c r="N222" s="228"/>
      <c r="O222" s="92"/>
      <c r="P222" s="228"/>
      <c r="Q222" s="95"/>
      <c r="R222" s="1488">
        <v>1</v>
      </c>
      <c r="S222" s="1347"/>
      <c r="T222" s="1488">
        <v>0</v>
      </c>
      <c r="U222" s="935" t="s">
        <v>1798</v>
      </c>
      <c r="V222" s="1490">
        <v>1</v>
      </c>
      <c r="W222" s="935" t="s">
        <v>1798</v>
      </c>
      <c r="X222" s="2469" t="s">
        <v>812</v>
      </c>
      <c r="Y222" s="305" t="s">
        <v>813</v>
      </c>
      <c r="Z222" s="99" t="s">
        <v>758</v>
      </c>
      <c r="AA222" s="681" t="s">
        <v>800</v>
      </c>
      <c r="AB222" s="681"/>
      <c r="AC222" s="665"/>
      <c r="AD222" s="620"/>
      <c r="AE222" s="672" t="s">
        <v>807</v>
      </c>
      <c r="AF222" s="673" t="s">
        <v>795</v>
      </c>
      <c r="AG222" s="18"/>
      <c r="AH222"/>
    </row>
    <row r="223" spans="1:34" ht="20.100000000000001" customHeight="1">
      <c r="A223"/>
      <c r="B223" s="1353" t="str">
        <f>C223</f>
        <v>전문직 구성
(성별)</v>
      </c>
      <c r="C223" s="728" t="s">
        <v>814</v>
      </c>
      <c r="D223" s="728"/>
      <c r="E223" s="728"/>
      <c r="F223" s="1573"/>
      <c r="G223" s="685"/>
      <c r="H223" s="686" t="s">
        <v>815</v>
      </c>
      <c r="I223" s="669"/>
      <c r="J223" s="670"/>
      <c r="K223" s="656" t="s">
        <v>168</v>
      </c>
      <c r="L223" s="657"/>
      <c r="M223" s="657"/>
      <c r="N223" s="657"/>
      <c r="O223" s="657"/>
      <c r="P223" s="657"/>
      <c r="Q223" s="657"/>
      <c r="R223" s="1574"/>
      <c r="S223" s="1575"/>
      <c r="T223" s="1576"/>
      <c r="U223" s="1575"/>
      <c r="V223" s="1576"/>
      <c r="W223" s="2080"/>
      <c r="X223" s="1564"/>
      <c r="Y223" s="276"/>
      <c r="Z223" s="99" t="s">
        <v>758</v>
      </c>
      <c r="AA223" s="547"/>
      <c r="AB223" s="681"/>
      <c r="AC223" s="299" t="s">
        <v>193</v>
      </c>
      <c r="AD223" s="690"/>
      <c r="AE223" s="691"/>
      <c r="AF223" s="692"/>
      <c r="AG223" s="18"/>
      <c r="AH223"/>
    </row>
    <row r="224" spans="1:34" ht="57.6" customHeight="1">
      <c r="B224" s="1360" t="b">
        <v>1</v>
      </c>
      <c r="C224" s="1372"/>
      <c r="D224" s="490" t="s">
        <v>796</v>
      </c>
      <c r="E224" s="491"/>
      <c r="F224" s="285" t="s">
        <v>156</v>
      </c>
      <c r="G224" s="347"/>
      <c r="H224" s="348"/>
      <c r="I224" s="198" t="s">
        <v>808</v>
      </c>
      <c r="J224" s="177"/>
      <c r="K224" s="162" t="s">
        <v>156</v>
      </c>
      <c r="L224" s="228"/>
      <c r="M224" s="92"/>
      <c r="N224" s="228"/>
      <c r="O224" s="92"/>
      <c r="P224" s="228"/>
      <c r="Q224" s="95"/>
      <c r="R224" s="1711" t="s">
        <v>1808</v>
      </c>
      <c r="S224" s="1347"/>
      <c r="T224" s="1711" t="s">
        <v>1808</v>
      </c>
      <c r="U224" s="1347"/>
      <c r="V224" s="1711" t="s">
        <v>1808</v>
      </c>
      <c r="W224" s="2081" t="s">
        <v>1809</v>
      </c>
      <c r="X224" s="2479" t="s">
        <v>816</v>
      </c>
      <c r="Y224" s="305" t="s">
        <v>817</v>
      </c>
      <c r="Z224" s="99" t="s">
        <v>758</v>
      </c>
      <c r="AA224" s="547"/>
      <c r="AB224" s="547"/>
      <c r="AC224" s="299" t="s">
        <v>193</v>
      </c>
      <c r="AD224" s="620"/>
      <c r="AE224" s="694"/>
      <c r="AF224" s="159" t="s">
        <v>795</v>
      </c>
      <c r="AG224" s="18"/>
    </row>
    <row r="225" spans="2:33" ht="52.9" customHeight="1">
      <c r="B225" s="1360" t="b">
        <v>1</v>
      </c>
      <c r="C225" s="1373"/>
      <c r="D225" s="490" t="s">
        <v>802</v>
      </c>
      <c r="E225" s="491"/>
      <c r="F225" s="285" t="s">
        <v>156</v>
      </c>
      <c r="G225" s="384"/>
      <c r="H225" s="385"/>
      <c r="I225" s="666" t="s">
        <v>811</v>
      </c>
      <c r="J225" s="684"/>
      <c r="K225" s="162" t="s">
        <v>156</v>
      </c>
      <c r="L225" s="228"/>
      <c r="M225" s="92"/>
      <c r="N225" s="228"/>
      <c r="O225" s="92"/>
      <c r="P225" s="228"/>
      <c r="Q225" s="95"/>
      <c r="R225" s="1711" t="s">
        <v>1808</v>
      </c>
      <c r="S225" s="1347"/>
      <c r="T225" s="1711" t="s">
        <v>1808</v>
      </c>
      <c r="U225" s="1347"/>
      <c r="V225" s="1711" t="s">
        <v>1808</v>
      </c>
      <c r="W225" s="2053" t="s">
        <v>1809</v>
      </c>
      <c r="X225" s="2479" t="s">
        <v>816</v>
      </c>
      <c r="Y225" s="305" t="s">
        <v>819</v>
      </c>
      <c r="Z225" s="99" t="s">
        <v>758</v>
      </c>
      <c r="AA225" s="547"/>
      <c r="AB225" s="547"/>
      <c r="AC225" s="299" t="s">
        <v>193</v>
      </c>
      <c r="AD225" s="620"/>
      <c r="AE225" s="694"/>
      <c r="AF225" s="159" t="s">
        <v>795</v>
      </c>
      <c r="AG225" s="18"/>
    </row>
    <row r="226" spans="2:33" ht="20.100000000000001" customHeight="1">
      <c r="B226" s="1353" t="str">
        <f>C226</f>
        <v>임직원 구성
(연령대)</v>
      </c>
      <c r="C226" s="728" t="s">
        <v>820</v>
      </c>
      <c r="D226" s="728"/>
      <c r="E226" s="695"/>
      <c r="F226" s="1573"/>
      <c r="G226" s="685"/>
      <c r="H226" s="686" t="s">
        <v>821</v>
      </c>
      <c r="I226" s="669"/>
      <c r="J226" s="670"/>
      <c r="K226" s="656" t="s">
        <v>168</v>
      </c>
      <c r="L226" s="657"/>
      <c r="M226" s="657"/>
      <c r="N226" s="657"/>
      <c r="O226" s="657"/>
      <c r="P226" s="657"/>
      <c r="Q226" s="657"/>
      <c r="R226" s="1574"/>
      <c r="S226" s="1575"/>
      <c r="T226" s="1576"/>
      <c r="U226" s="1575"/>
      <c r="V226" s="1576"/>
      <c r="W226" s="2080"/>
      <c r="X226" s="1564"/>
      <c r="Y226" s="276"/>
      <c r="Z226" s="99" t="s">
        <v>758</v>
      </c>
      <c r="AA226" s="547"/>
      <c r="AB226" s="547"/>
      <c r="AC226" s="665"/>
      <c r="AD226" s="620" t="s">
        <v>822</v>
      </c>
      <c r="AE226" s="620" t="s">
        <v>740</v>
      </c>
      <c r="AF226" s="159"/>
      <c r="AG226" s="18"/>
    </row>
    <row r="227" spans="2:33" ht="20.100000000000001" customHeight="1">
      <c r="B227" s="1360" t="b">
        <v>1</v>
      </c>
      <c r="C227" s="1372"/>
      <c r="D227" s="490" t="s">
        <v>823</v>
      </c>
      <c r="E227" s="491"/>
      <c r="F227" s="285" t="s">
        <v>732</v>
      </c>
      <c r="G227" s="666"/>
      <c r="H227" s="684"/>
      <c r="I227" s="666" t="s">
        <v>824</v>
      </c>
      <c r="J227" s="666"/>
      <c r="K227" s="162" t="s">
        <v>734</v>
      </c>
      <c r="L227" s="92">
        <v>3665</v>
      </c>
      <c r="M227" s="92"/>
      <c r="N227" s="92">
        <v>5878</v>
      </c>
      <c r="O227" s="92"/>
      <c r="P227" s="228"/>
      <c r="Q227" s="95"/>
      <c r="R227" s="1463">
        <v>2437</v>
      </c>
      <c r="S227" s="1523" t="s">
        <v>746</v>
      </c>
      <c r="T227" s="1463">
        <v>3385</v>
      </c>
      <c r="U227" s="5940" t="s">
        <v>746</v>
      </c>
      <c r="V227" s="5486">
        <v>3115</v>
      </c>
      <c r="W227" s="1523" t="s">
        <v>746</v>
      </c>
      <c r="X227" s="498" t="s">
        <v>825</v>
      </c>
      <c r="Y227" s="276" t="s">
        <v>826</v>
      </c>
      <c r="Z227" s="99" t="s">
        <v>758</v>
      </c>
      <c r="AA227" s="696" t="s">
        <v>738</v>
      </c>
      <c r="AB227" s="547"/>
      <c r="AC227" s="665"/>
      <c r="AD227" s="620" t="s">
        <v>822</v>
      </c>
      <c r="AE227" s="620" t="s">
        <v>740</v>
      </c>
      <c r="AF227" s="159"/>
      <c r="AG227" s="18"/>
    </row>
    <row r="228" spans="2:33" ht="20.100000000000001" customHeight="1">
      <c r="B228" s="1360" t="b">
        <v>1</v>
      </c>
      <c r="C228" s="28"/>
      <c r="D228" s="490" t="s">
        <v>827</v>
      </c>
      <c r="E228" s="491"/>
      <c r="F228" s="285" t="s">
        <v>732</v>
      </c>
      <c r="G228" s="666"/>
      <c r="H228" s="684"/>
      <c r="I228" s="45" t="s">
        <v>828</v>
      </c>
      <c r="J228" s="45"/>
      <c r="K228" s="162" t="s">
        <v>734</v>
      </c>
      <c r="L228" s="92">
        <v>2502</v>
      </c>
      <c r="M228" s="92"/>
      <c r="N228" s="92">
        <v>2482</v>
      </c>
      <c r="O228" s="92"/>
      <c r="P228" s="228"/>
      <c r="Q228" s="95"/>
      <c r="R228" s="1463">
        <v>1027</v>
      </c>
      <c r="S228" s="1523" t="s">
        <v>746</v>
      </c>
      <c r="T228" s="1463">
        <v>1020</v>
      </c>
      <c r="U228" s="5940" t="s">
        <v>746</v>
      </c>
      <c r="V228" s="5486">
        <v>1491</v>
      </c>
      <c r="W228" s="1523" t="s">
        <v>746</v>
      </c>
      <c r="X228" s="498" t="s">
        <v>825</v>
      </c>
      <c r="Y228" s="276" t="s">
        <v>829</v>
      </c>
      <c r="Z228" s="99" t="s">
        <v>758</v>
      </c>
      <c r="AA228" s="547" t="s">
        <v>738</v>
      </c>
      <c r="AB228" s="547"/>
      <c r="AC228" s="665"/>
      <c r="AD228" s="620" t="s">
        <v>822</v>
      </c>
      <c r="AE228" s="620" t="s">
        <v>740</v>
      </c>
      <c r="AF228" s="159"/>
      <c r="AG228" s="18"/>
    </row>
    <row r="229" spans="2:33" ht="20.100000000000001" customHeight="1">
      <c r="B229" s="1360" t="b">
        <v>1</v>
      </c>
      <c r="C229" s="1373"/>
      <c r="D229" s="490" t="s">
        <v>830</v>
      </c>
      <c r="E229" s="491"/>
      <c r="F229" s="285" t="s">
        <v>732</v>
      </c>
      <c r="G229" s="666"/>
      <c r="H229" s="684"/>
      <c r="I229" s="666" t="s">
        <v>1811</v>
      </c>
      <c r="J229" s="666"/>
      <c r="K229" s="162" t="s">
        <v>734</v>
      </c>
      <c r="L229" s="92">
        <v>157</v>
      </c>
      <c r="M229" s="92"/>
      <c r="N229" s="92">
        <v>121</v>
      </c>
      <c r="O229" s="92"/>
      <c r="P229" s="228"/>
      <c r="Q229" s="95"/>
      <c r="R229" s="1463">
        <v>137</v>
      </c>
      <c r="S229" s="1523" t="s">
        <v>746</v>
      </c>
      <c r="T229" s="1463">
        <v>97</v>
      </c>
      <c r="U229" s="5940" t="s">
        <v>746</v>
      </c>
      <c r="V229" s="5486">
        <v>78</v>
      </c>
      <c r="W229" s="1523" t="s">
        <v>746</v>
      </c>
      <c r="X229" s="498" t="s">
        <v>825</v>
      </c>
      <c r="Y229" s="276" t="s">
        <v>832</v>
      </c>
      <c r="Z229" s="99" t="s">
        <v>758</v>
      </c>
      <c r="AA229" s="547" t="s">
        <v>738</v>
      </c>
      <c r="AB229" s="547"/>
      <c r="AC229" s="665"/>
      <c r="AD229" s="620" t="s">
        <v>822</v>
      </c>
      <c r="AE229" s="620" t="s">
        <v>740</v>
      </c>
      <c r="AF229" s="159"/>
      <c r="AG229" s="18"/>
    </row>
    <row r="230" spans="2:33" ht="20.100000000000001" customHeight="1">
      <c r="B230" s="1360" t="b">
        <v>1</v>
      </c>
      <c r="C230" s="5464" t="s">
        <v>833</v>
      </c>
      <c r="D230" s="5465"/>
      <c r="E230" s="5465"/>
      <c r="F230" s="5466" t="s">
        <v>732</v>
      </c>
      <c r="G230" s="358"/>
      <c r="H230" s="359" t="s">
        <v>834</v>
      </c>
      <c r="I230" s="359"/>
      <c r="J230" s="643"/>
      <c r="K230" s="162" t="s">
        <v>734</v>
      </c>
      <c r="L230" s="92">
        <v>183</v>
      </c>
      <c r="M230" s="92"/>
      <c r="N230" s="92">
        <v>231</v>
      </c>
      <c r="O230" s="92"/>
      <c r="P230" s="228"/>
      <c r="Q230" s="95"/>
      <c r="R230" s="1463">
        <v>1135</v>
      </c>
      <c r="S230" s="1523" t="s">
        <v>1812</v>
      </c>
      <c r="T230" s="1463">
        <v>1097</v>
      </c>
      <c r="U230" s="1526" t="s">
        <v>1812</v>
      </c>
      <c r="V230" s="5475">
        <v>1096</v>
      </c>
      <c r="W230" s="1523" t="s">
        <v>1812</v>
      </c>
      <c r="X230" s="498" t="s">
        <v>835</v>
      </c>
      <c r="Y230" s="276" t="s">
        <v>836</v>
      </c>
      <c r="Z230" s="99" t="s">
        <v>758</v>
      </c>
      <c r="AA230" s="547" t="s">
        <v>738</v>
      </c>
      <c r="AB230" s="547"/>
      <c r="AC230" s="665"/>
      <c r="AD230" s="620" t="s">
        <v>837</v>
      </c>
      <c r="AE230" s="620"/>
      <c r="AF230" s="159"/>
      <c r="AG230" s="18"/>
    </row>
    <row r="231" spans="2:33" ht="20.100000000000001" customHeight="1">
      <c r="B231" s="1353" t="str">
        <f>C231</f>
        <v>임원 구성
(연령대)</v>
      </c>
      <c r="C231" s="728" t="s">
        <v>843</v>
      </c>
      <c r="D231" s="695"/>
      <c r="E231" s="695"/>
      <c r="F231" s="1573"/>
      <c r="G231" s="685"/>
      <c r="H231" s="686" t="s">
        <v>844</v>
      </c>
      <c r="I231" s="698"/>
      <c r="J231" s="655"/>
      <c r="K231" s="656" t="s">
        <v>168</v>
      </c>
      <c r="L231" s="657"/>
      <c r="M231" s="657"/>
      <c r="N231" s="657"/>
      <c r="O231" s="657"/>
      <c r="P231" s="657"/>
      <c r="Q231" s="657"/>
      <c r="R231" s="1574"/>
      <c r="S231" s="1575"/>
      <c r="T231" s="1576"/>
      <c r="U231" s="1575"/>
      <c r="V231" s="1576"/>
      <c r="W231" s="2080"/>
      <c r="X231" s="1564"/>
      <c r="Y231" s="276"/>
      <c r="Z231" s="99" t="s">
        <v>758</v>
      </c>
      <c r="AA231" s="547" t="s">
        <v>738</v>
      </c>
      <c r="AB231" s="547"/>
      <c r="AC231" s="665"/>
      <c r="AD231" s="699"/>
      <c r="AE231" s="699"/>
      <c r="AF231" s="700"/>
      <c r="AG231" s="18"/>
    </row>
    <row r="232" spans="2:33" ht="20.100000000000001" customHeight="1">
      <c r="B232" s="1360" t="b">
        <f t="shared" ref="B232:B237" si="23">OR(ISBLANK(R232),ISBLANK(T232),ISBLANK(V232))</f>
        <v>0</v>
      </c>
      <c r="C232" s="1374"/>
      <c r="D232" s="490" t="s">
        <v>823</v>
      </c>
      <c r="E232" s="491"/>
      <c r="F232" s="285" t="s">
        <v>732</v>
      </c>
      <c r="G232" s="347"/>
      <c r="H232" s="348"/>
      <c r="I232" s="495" t="s">
        <v>824</v>
      </c>
      <c r="J232" s="643"/>
      <c r="K232" s="162" t="s">
        <v>734</v>
      </c>
      <c r="L232" s="644"/>
      <c r="M232" s="543"/>
      <c r="N232" s="644"/>
      <c r="O232" s="543"/>
      <c r="P232" s="644"/>
      <c r="Q232" s="652"/>
      <c r="R232" s="1463">
        <v>0</v>
      </c>
      <c r="S232" s="1523"/>
      <c r="T232" s="1463">
        <v>0</v>
      </c>
      <c r="U232" s="1526"/>
      <c r="V232" s="1464">
        <v>0</v>
      </c>
      <c r="W232" s="1242" t="s">
        <v>1814</v>
      </c>
      <c r="X232" s="2468"/>
      <c r="Y232" s="276"/>
      <c r="Z232" s="99" t="s">
        <v>758</v>
      </c>
      <c r="AA232" s="696" t="s">
        <v>800</v>
      </c>
      <c r="AB232" s="547"/>
      <c r="AC232" s="665"/>
      <c r="AD232" s="620"/>
      <c r="AE232" s="672" t="s">
        <v>807</v>
      </c>
      <c r="AF232" s="159"/>
      <c r="AG232" s="18"/>
    </row>
    <row r="233" spans="2:33" ht="20.100000000000001" customHeight="1">
      <c r="B233" s="1360" t="b">
        <f t="shared" si="23"/>
        <v>0</v>
      </c>
      <c r="C233" s="28"/>
      <c r="D233" s="490" t="s">
        <v>827</v>
      </c>
      <c r="E233" s="491"/>
      <c r="F233" s="285" t="s">
        <v>732</v>
      </c>
      <c r="G233" s="106"/>
      <c r="H233" s="353"/>
      <c r="I233" s="495" t="s">
        <v>828</v>
      </c>
      <c r="J233" s="643"/>
      <c r="K233" s="162" t="s">
        <v>734</v>
      </c>
      <c r="L233" s="644"/>
      <c r="M233" s="543"/>
      <c r="N233" s="644"/>
      <c r="O233" s="543"/>
      <c r="P233" s="644"/>
      <c r="Q233" s="652"/>
      <c r="R233" s="1463">
        <v>1</v>
      </c>
      <c r="S233" s="1523"/>
      <c r="T233" s="1463">
        <v>4</v>
      </c>
      <c r="U233" s="1526"/>
      <c r="V233" s="1464">
        <v>4</v>
      </c>
      <c r="W233" s="1242" t="s">
        <v>1815</v>
      </c>
      <c r="X233" s="2468"/>
      <c r="Y233" s="276"/>
      <c r="Z233" s="99" t="s">
        <v>758</v>
      </c>
      <c r="AA233" s="547" t="s">
        <v>800</v>
      </c>
      <c r="AB233" s="547"/>
      <c r="AC233" s="665"/>
      <c r="AD233" s="620"/>
      <c r="AE233" s="672" t="s">
        <v>807</v>
      </c>
      <c r="AF233" s="159"/>
      <c r="AG233" s="18"/>
    </row>
    <row r="234" spans="2:33" ht="20.100000000000001" customHeight="1">
      <c r="B234" s="1360" t="b">
        <f t="shared" si="23"/>
        <v>0</v>
      </c>
      <c r="C234" s="1373"/>
      <c r="D234" s="490" t="s">
        <v>830</v>
      </c>
      <c r="E234" s="491"/>
      <c r="F234" s="285" t="s">
        <v>732</v>
      </c>
      <c r="G234" s="384"/>
      <c r="H234" s="385"/>
      <c r="I234" s="495" t="s">
        <v>1811</v>
      </c>
      <c r="J234" s="643"/>
      <c r="K234" s="162" t="s">
        <v>734</v>
      </c>
      <c r="L234" s="644"/>
      <c r="M234" s="543"/>
      <c r="N234" s="644"/>
      <c r="O234" s="543"/>
      <c r="P234" s="644"/>
      <c r="Q234" s="652"/>
      <c r="R234" s="1463">
        <v>4</v>
      </c>
      <c r="S234" s="1523"/>
      <c r="T234" s="1463">
        <v>4</v>
      </c>
      <c r="U234" s="1526"/>
      <c r="V234" s="1464">
        <v>4</v>
      </c>
      <c r="W234" s="1242" t="s">
        <v>1816</v>
      </c>
      <c r="X234" s="2468"/>
      <c r="Y234" s="276"/>
      <c r="Z234" s="99" t="s">
        <v>758</v>
      </c>
      <c r="AA234" s="547" t="s">
        <v>800</v>
      </c>
      <c r="AB234" s="547"/>
      <c r="AC234" s="665"/>
      <c r="AD234" s="620"/>
      <c r="AE234" s="672" t="s">
        <v>807</v>
      </c>
      <c r="AF234" s="159"/>
      <c r="AG234" s="18"/>
    </row>
    <row r="235" spans="2:33" ht="20.100000000000001" customHeight="1">
      <c r="B235" s="1360" t="b">
        <f t="shared" si="23"/>
        <v>0</v>
      </c>
      <c r="C235" s="161" t="s">
        <v>849</v>
      </c>
      <c r="D235" s="701"/>
      <c r="E235" s="701"/>
      <c r="F235" s="285" t="s">
        <v>742</v>
      </c>
      <c r="G235" s="358"/>
      <c r="H235" s="359" t="s">
        <v>850</v>
      </c>
      <c r="I235" s="497"/>
      <c r="J235" s="360"/>
      <c r="K235" s="162" t="s">
        <v>734</v>
      </c>
      <c r="L235" s="644"/>
      <c r="M235" s="543"/>
      <c r="N235" s="644"/>
      <c r="O235" s="543"/>
      <c r="P235" s="644"/>
      <c r="Q235" s="652"/>
      <c r="R235" s="1463">
        <v>192</v>
      </c>
      <c r="S235" s="1523"/>
      <c r="T235" s="1463">
        <v>201</v>
      </c>
      <c r="U235" s="1526"/>
      <c r="V235" s="1464">
        <v>201</v>
      </c>
      <c r="W235" s="2079"/>
      <c r="X235" s="2480" t="s">
        <v>851</v>
      </c>
      <c r="Y235" s="276"/>
      <c r="Z235" s="99" t="s">
        <v>758</v>
      </c>
      <c r="AA235" s="547" t="s">
        <v>800</v>
      </c>
      <c r="AB235" s="547"/>
      <c r="AC235" s="665"/>
      <c r="AD235" s="620" t="s">
        <v>852</v>
      </c>
      <c r="AE235" s="154" t="s">
        <v>853</v>
      </c>
      <c r="AF235" s="159"/>
      <c r="AG235" s="18"/>
    </row>
    <row r="236" spans="2:33" ht="20.100000000000001" customHeight="1">
      <c r="B236" s="1360" t="b">
        <f t="shared" si="23"/>
        <v>0</v>
      </c>
      <c r="C236" s="161" t="s">
        <v>857</v>
      </c>
      <c r="D236" s="701"/>
      <c r="E236" s="703"/>
      <c r="F236" s="285" t="s">
        <v>156</v>
      </c>
      <c r="G236" s="358"/>
      <c r="H236" s="359" t="s">
        <v>858</v>
      </c>
      <c r="I236" s="497"/>
      <c r="J236" s="360"/>
      <c r="K236" s="162" t="s">
        <v>156</v>
      </c>
      <c r="L236" s="228"/>
      <c r="M236" s="92"/>
      <c r="N236" s="228"/>
      <c r="O236" s="92"/>
      <c r="P236" s="228"/>
      <c r="Q236" s="95"/>
      <c r="R236" s="1488">
        <f>R235/R230*100</f>
        <v>16.916299559471366</v>
      </c>
      <c r="S236" s="1430"/>
      <c r="T236" s="1488">
        <f>T235/T230*100</f>
        <v>18.322698268003645</v>
      </c>
      <c r="U236" s="935"/>
      <c r="V236" s="1488">
        <f>V235/V230*100</f>
        <v>18.339416058394161</v>
      </c>
      <c r="W236" s="2053"/>
      <c r="X236" s="2480" t="s">
        <v>859</v>
      </c>
      <c r="Y236" s="276"/>
      <c r="Z236" s="99" t="s">
        <v>758</v>
      </c>
      <c r="AA236" s="547" t="s">
        <v>800</v>
      </c>
      <c r="AB236" s="547"/>
      <c r="AC236" s="665"/>
      <c r="AD236" s="620" t="s">
        <v>852</v>
      </c>
      <c r="AE236" s="154" t="s">
        <v>853</v>
      </c>
      <c r="AF236" s="159"/>
      <c r="AG236" s="18"/>
    </row>
    <row r="237" spans="2:33" ht="20.100000000000001" customHeight="1">
      <c r="B237" s="1360" t="b">
        <f t="shared" si="23"/>
        <v>0</v>
      </c>
      <c r="C237" s="359" t="s">
        <v>863</v>
      </c>
      <c r="D237" s="497"/>
      <c r="E237" s="360"/>
      <c r="F237" s="285" t="s">
        <v>156</v>
      </c>
      <c r="G237" s="358"/>
      <c r="H237" s="359" t="s">
        <v>864</v>
      </c>
      <c r="I237" s="497"/>
      <c r="J237" s="360"/>
      <c r="K237" s="162" t="s">
        <v>156</v>
      </c>
      <c r="L237" s="228"/>
      <c r="M237" s="92"/>
      <c r="N237" s="228"/>
      <c r="O237" s="92"/>
      <c r="P237" s="228"/>
      <c r="Q237" s="95"/>
      <c r="R237" s="1488">
        <f>R209/R230*100</f>
        <v>0.44052863436123352</v>
      </c>
      <c r="S237" s="1430"/>
      <c r="T237" s="1488">
        <v>0.72926162260711025</v>
      </c>
      <c r="U237" s="935"/>
      <c r="V237" s="1488">
        <v>0.72926162260711025</v>
      </c>
      <c r="W237" s="2053"/>
      <c r="X237" s="684" t="s">
        <v>865</v>
      </c>
      <c r="Y237" s="457" t="s">
        <v>866</v>
      </c>
      <c r="Z237" s="99" t="s">
        <v>758</v>
      </c>
      <c r="AA237" s="547" t="s">
        <v>800</v>
      </c>
      <c r="AB237" s="547"/>
      <c r="AC237" s="99"/>
      <c r="AD237" s="620" t="s">
        <v>852</v>
      </c>
      <c r="AE237" s="154" t="s">
        <v>853</v>
      </c>
      <c r="AF237" s="159"/>
      <c r="AG237" s="18"/>
    </row>
    <row r="238" spans="2:33" ht="48" customHeight="1" thickBot="1">
      <c r="B238" s="1360" t="b">
        <v>1</v>
      </c>
      <c r="C238" s="359" t="s">
        <v>870</v>
      </c>
      <c r="D238" s="497"/>
      <c r="E238" s="360"/>
      <c r="F238" s="706" t="s">
        <v>156</v>
      </c>
      <c r="G238" s="707"/>
      <c r="H238" s="708" t="s">
        <v>871</v>
      </c>
      <c r="I238" s="709"/>
      <c r="J238" s="710"/>
      <c r="K238" s="711" t="s">
        <v>156</v>
      </c>
      <c r="L238" s="228"/>
      <c r="M238" s="92"/>
      <c r="N238" s="228"/>
      <c r="O238" s="92"/>
      <c r="P238" s="228"/>
      <c r="Q238" s="95"/>
      <c r="R238" s="1712" t="s">
        <v>1808</v>
      </c>
      <c r="S238" s="1347"/>
      <c r="T238" s="1712" t="s">
        <v>1808</v>
      </c>
      <c r="U238" s="1663"/>
      <c r="V238" s="1713" t="s">
        <v>1808</v>
      </c>
      <c r="W238" s="2081" t="s">
        <v>1817</v>
      </c>
      <c r="X238" s="2481" t="s">
        <v>872</v>
      </c>
      <c r="Y238" s="714" t="s">
        <v>873</v>
      </c>
      <c r="Z238" s="99" t="s">
        <v>758</v>
      </c>
      <c r="AA238" s="715" t="s">
        <v>800</v>
      </c>
      <c r="AB238" s="547" t="s">
        <v>874</v>
      </c>
      <c r="AC238" s="109"/>
      <c r="AD238" s="277"/>
      <c r="AE238" s="265" t="s">
        <v>807</v>
      </c>
      <c r="AF238" s="187" t="s">
        <v>875</v>
      </c>
      <c r="AG238" s="18"/>
    </row>
    <row r="239" spans="2:33" ht="27" thickBot="1">
      <c r="B239" s="123" t="s">
        <v>877</v>
      </c>
      <c r="C239" s="124"/>
      <c r="D239" s="124"/>
      <c r="E239" s="124"/>
      <c r="F239" s="78"/>
      <c r="G239" s="598" t="s">
        <v>878</v>
      </c>
      <c r="H239" s="126"/>
      <c r="I239" s="126"/>
      <c r="J239" s="126"/>
      <c r="K239" s="78"/>
      <c r="L239" s="716"/>
      <c r="M239" s="716"/>
      <c r="N239" s="716"/>
      <c r="O239" s="716"/>
      <c r="P239" s="716"/>
      <c r="Q239" s="716"/>
      <c r="R239" s="1484"/>
      <c r="S239" s="1433"/>
      <c r="T239" s="1484"/>
      <c r="U239" s="1433"/>
      <c r="V239" s="1484"/>
      <c r="W239" s="716"/>
      <c r="X239" s="80"/>
      <c r="Y239" s="80"/>
      <c r="Z239" s="129"/>
      <c r="AA239" s="719"/>
      <c r="AB239" s="719"/>
      <c r="AC239" s="129"/>
      <c r="AD239" s="720"/>
      <c r="AE239" s="328"/>
      <c r="AF239" s="329"/>
      <c r="AG239" s="18"/>
    </row>
    <row r="240" spans="2:33" ht="20.100000000000001" customHeight="1">
      <c r="B240" s="1360" t="b">
        <v>1</v>
      </c>
      <c r="C240" s="86" t="s">
        <v>879</v>
      </c>
      <c r="D240" s="86"/>
      <c r="E240" s="86"/>
      <c r="F240" s="636" t="s">
        <v>732</v>
      </c>
      <c r="G240" s="253"/>
      <c r="H240" s="721" t="s">
        <v>880</v>
      </c>
      <c r="I240" s="89"/>
      <c r="J240" s="90"/>
      <c r="K240" s="436" t="s">
        <v>734</v>
      </c>
      <c r="L240" s="640">
        <f>L241+L242</f>
        <v>5581</v>
      </c>
      <c r="M240" s="722"/>
      <c r="N240" s="640">
        <f>N241+N242</f>
        <v>8647</v>
      </c>
      <c r="O240" s="723"/>
      <c r="P240" s="531">
        <f>P241+P242</f>
        <v>0</v>
      </c>
      <c r="Q240" s="95"/>
      <c r="R240" s="1466">
        <f>R241+R242</f>
        <v>4117</v>
      </c>
      <c r="S240" s="1664"/>
      <c r="T240" s="1466">
        <f>T241+T242</f>
        <v>5824</v>
      </c>
      <c r="U240" s="1665"/>
      <c r="V240" s="524">
        <f>V241+V242</f>
        <v>5958</v>
      </c>
      <c r="W240" s="2053"/>
      <c r="X240" s="2482" t="s">
        <v>881</v>
      </c>
      <c r="Y240" s="457" t="s">
        <v>882</v>
      </c>
      <c r="Z240" s="642" t="s">
        <v>737</v>
      </c>
      <c r="AA240" s="547" t="s">
        <v>800</v>
      </c>
      <c r="AB240" s="534"/>
      <c r="AC240" s="642"/>
      <c r="AD240" s="620" t="s">
        <v>883</v>
      </c>
      <c r="AE240" s="620" t="s">
        <v>884</v>
      </c>
      <c r="AF240" s="159"/>
      <c r="AG240" s="18"/>
    </row>
    <row r="241" spans="2:33" ht="20.100000000000001" customHeight="1">
      <c r="B241" s="1360" t="b">
        <v>1</v>
      </c>
      <c r="C241" s="1362"/>
      <c r="D241" s="266" t="s">
        <v>885</v>
      </c>
      <c r="E241" s="266"/>
      <c r="F241" s="132" t="s">
        <v>732</v>
      </c>
      <c r="G241" s="253"/>
      <c r="H241" s="721"/>
      <c r="I241" s="267" t="s">
        <v>886</v>
      </c>
      <c r="J241" s="268"/>
      <c r="K241" s="136" t="s">
        <v>734</v>
      </c>
      <c r="L241" s="641">
        <v>3324</v>
      </c>
      <c r="M241" s="641">
        <v>5581</v>
      </c>
      <c r="N241" s="641">
        <v>5923</v>
      </c>
      <c r="O241" s="639">
        <v>8647</v>
      </c>
      <c r="P241" s="644"/>
      <c r="Q241" s="645"/>
      <c r="R241" s="1463">
        <v>1860</v>
      </c>
      <c r="S241" s="1429" t="s">
        <v>746</v>
      </c>
      <c r="T241" s="1463">
        <v>3100</v>
      </c>
      <c r="U241" s="5941" t="s">
        <v>746</v>
      </c>
      <c r="V241" s="5486">
        <v>2845</v>
      </c>
      <c r="W241" s="1429" t="s">
        <v>746</v>
      </c>
      <c r="X241" s="2472" t="s">
        <v>881</v>
      </c>
      <c r="Y241" s="457" t="s">
        <v>882</v>
      </c>
      <c r="Z241" s="99" t="s">
        <v>737</v>
      </c>
      <c r="AA241" s="547" t="s">
        <v>800</v>
      </c>
      <c r="AB241" s="547"/>
      <c r="AC241" s="99"/>
      <c r="AD241" s="620" t="s">
        <v>883</v>
      </c>
      <c r="AE241" s="620" t="s">
        <v>884</v>
      </c>
      <c r="AF241" s="159"/>
      <c r="AG241" s="18"/>
    </row>
    <row r="242" spans="2:33" ht="20.100000000000001" customHeight="1">
      <c r="B242" s="1360" t="b">
        <v>1</v>
      </c>
      <c r="C242" s="1362"/>
      <c r="D242" s="726" t="s">
        <v>889</v>
      </c>
      <c r="E242" s="721"/>
      <c r="F242" s="132" t="s">
        <v>732</v>
      </c>
      <c r="G242" s="253"/>
      <c r="H242" s="721"/>
      <c r="I242" s="267" t="s">
        <v>890</v>
      </c>
      <c r="J242" s="268"/>
      <c r="K242" s="136" t="s">
        <v>734</v>
      </c>
      <c r="L242" s="641">
        <v>2257</v>
      </c>
      <c r="M242" s="641"/>
      <c r="N242" s="641">
        <v>2724</v>
      </c>
      <c r="O242" s="639"/>
      <c r="P242" s="644"/>
      <c r="Q242" s="645"/>
      <c r="R242" s="1463">
        <v>2257</v>
      </c>
      <c r="S242" s="1429" t="s">
        <v>746</v>
      </c>
      <c r="T242" s="1463">
        <v>2724</v>
      </c>
      <c r="U242" s="5941" t="s">
        <v>746</v>
      </c>
      <c r="V242" s="5486">
        <v>3113</v>
      </c>
      <c r="W242" s="1429" t="s">
        <v>746</v>
      </c>
      <c r="X242" s="2472" t="s">
        <v>881</v>
      </c>
      <c r="Y242" s="457" t="s">
        <v>882</v>
      </c>
      <c r="Z242" s="99" t="s">
        <v>737</v>
      </c>
      <c r="AA242" s="547" t="s">
        <v>800</v>
      </c>
      <c r="AB242" s="547"/>
      <c r="AC242" s="99"/>
      <c r="AD242" s="620" t="s">
        <v>883</v>
      </c>
      <c r="AE242" s="620" t="s">
        <v>884</v>
      </c>
      <c r="AF242" s="159"/>
      <c r="AG242" s="18"/>
    </row>
    <row r="243" spans="2:33" ht="20.100000000000001" customHeight="1">
      <c r="B243" s="1353" t="str">
        <f>C243</f>
        <v>신규 채용자 구성
(성별)</v>
      </c>
      <c r="C243" s="736" t="s">
        <v>891</v>
      </c>
      <c r="D243" s="727"/>
      <c r="E243" s="727"/>
      <c r="F243" s="1573"/>
      <c r="G243" s="311"/>
      <c r="H243" s="728" t="s">
        <v>1818</v>
      </c>
      <c r="I243" s="729"/>
      <c r="J243" s="730"/>
      <c r="K243" s="731" t="s">
        <v>168</v>
      </c>
      <c r="L243" s="732"/>
      <c r="M243" s="732"/>
      <c r="N243" s="732"/>
      <c r="O243" s="732"/>
      <c r="P243" s="732"/>
      <c r="Q243" s="732"/>
      <c r="R243" s="1578"/>
      <c r="S243" s="1579"/>
      <c r="T243" s="1580"/>
      <c r="U243" s="5942"/>
      <c r="V243" s="1580"/>
      <c r="W243" s="1579"/>
      <c r="X243" s="1564"/>
      <c r="Z243" s="99" t="s">
        <v>737</v>
      </c>
      <c r="AA243" s="547" t="s">
        <v>800</v>
      </c>
      <c r="AB243" s="547"/>
      <c r="AC243" s="99"/>
      <c r="AD243" s="620" t="s">
        <v>892</v>
      </c>
      <c r="AE243" s="620" t="s">
        <v>884</v>
      </c>
      <c r="AF243" s="159"/>
      <c r="AG243" s="18"/>
    </row>
    <row r="244" spans="2:33" ht="20.100000000000001" customHeight="1">
      <c r="B244" s="1360" t="b">
        <v>1</v>
      </c>
      <c r="C244" s="703"/>
      <c r="D244" s="490" t="s">
        <v>796</v>
      </c>
      <c r="E244" s="491"/>
      <c r="F244" s="492" t="s">
        <v>732</v>
      </c>
      <c r="G244" s="286"/>
      <c r="H244" s="491"/>
      <c r="I244" s="358" t="s">
        <v>893</v>
      </c>
      <c r="J244" s="735"/>
      <c r="K244" s="136" t="s">
        <v>734</v>
      </c>
      <c r="L244" s="641">
        <v>2532</v>
      </c>
      <c r="M244" s="641"/>
      <c r="N244" s="641">
        <v>4089</v>
      </c>
      <c r="O244" s="639"/>
      <c r="P244" s="644"/>
      <c r="Q244" s="645"/>
      <c r="R244" s="1463">
        <v>1841</v>
      </c>
      <c r="S244" s="1429" t="s">
        <v>746</v>
      </c>
      <c r="T244" s="1463">
        <v>2690</v>
      </c>
      <c r="U244" s="5941" t="s">
        <v>746</v>
      </c>
      <c r="V244" s="5486">
        <v>2630</v>
      </c>
      <c r="W244" s="1429" t="s">
        <v>746</v>
      </c>
      <c r="X244" s="2472" t="s">
        <v>894</v>
      </c>
      <c r="Y244" s="457" t="s">
        <v>895</v>
      </c>
      <c r="Z244" s="99" t="s">
        <v>737</v>
      </c>
      <c r="AA244" s="547" t="s">
        <v>800</v>
      </c>
      <c r="AB244" s="547"/>
      <c r="AC244" s="99"/>
      <c r="AD244" s="620" t="s">
        <v>892</v>
      </c>
      <c r="AE244" s="620" t="s">
        <v>884</v>
      </c>
      <c r="AF244" s="159"/>
      <c r="AG244" s="18"/>
    </row>
    <row r="245" spans="2:33" ht="20.100000000000001" customHeight="1">
      <c r="B245" s="1360" t="b">
        <v>1</v>
      </c>
      <c r="C245" s="1023"/>
      <c r="D245" s="490" t="s">
        <v>802</v>
      </c>
      <c r="E245" s="491"/>
      <c r="F245" s="492" t="s">
        <v>732</v>
      </c>
      <c r="G245" s="286"/>
      <c r="H245" s="491"/>
      <c r="I245" s="358" t="s">
        <v>896</v>
      </c>
      <c r="J245" s="735"/>
      <c r="K245" s="136" t="s">
        <v>734</v>
      </c>
      <c r="L245" s="641">
        <v>3049</v>
      </c>
      <c r="M245" s="641"/>
      <c r="N245" s="641">
        <v>4558</v>
      </c>
      <c r="O245" s="639"/>
      <c r="P245" s="644"/>
      <c r="Q245" s="645"/>
      <c r="R245" s="1463">
        <v>2276</v>
      </c>
      <c r="S245" s="1429" t="s">
        <v>746</v>
      </c>
      <c r="T245" s="1463">
        <v>3134</v>
      </c>
      <c r="U245" s="5941" t="s">
        <v>746</v>
      </c>
      <c r="V245" s="5486">
        <v>3328</v>
      </c>
      <c r="W245" s="1429" t="s">
        <v>746</v>
      </c>
      <c r="X245" s="2472" t="s">
        <v>894</v>
      </c>
      <c r="Y245" s="457" t="s">
        <v>895</v>
      </c>
      <c r="Z245" s="99" t="s">
        <v>737</v>
      </c>
      <c r="AA245" s="547" t="s">
        <v>800</v>
      </c>
      <c r="AB245" s="547"/>
      <c r="AC245" s="99"/>
      <c r="AD245" s="620" t="s">
        <v>892</v>
      </c>
      <c r="AE245" s="620" t="s">
        <v>884</v>
      </c>
      <c r="AF245" s="159"/>
      <c r="AG245" s="18"/>
    </row>
    <row r="246" spans="2:33" ht="20.100000000000001" customHeight="1">
      <c r="B246" s="1353" t="str">
        <f>C246</f>
        <v>신규 채용자 구성
(연령별)</v>
      </c>
      <c r="C246" s="736" t="s">
        <v>897</v>
      </c>
      <c r="D246" s="727"/>
      <c r="E246" s="727"/>
      <c r="F246" s="1573"/>
      <c r="G246" s="311"/>
      <c r="H246" s="736" t="s">
        <v>898</v>
      </c>
      <c r="I246" s="727"/>
      <c r="J246" s="727"/>
      <c r="K246" s="731" t="s">
        <v>168</v>
      </c>
      <c r="L246" s="732"/>
      <c r="M246" s="732"/>
      <c r="N246" s="732"/>
      <c r="O246" s="732"/>
      <c r="P246" s="732"/>
      <c r="Q246" s="732"/>
      <c r="R246" s="1578"/>
      <c r="S246" s="1579"/>
      <c r="T246" s="1580"/>
      <c r="U246" s="5942"/>
      <c r="V246" s="1580"/>
      <c r="W246" s="1579"/>
      <c r="X246" s="1564"/>
      <c r="Z246" s="99" t="s">
        <v>737</v>
      </c>
      <c r="AA246" s="547" t="s">
        <v>800</v>
      </c>
      <c r="AB246" s="547"/>
      <c r="AC246" s="99"/>
      <c r="AD246" s="620" t="s">
        <v>899</v>
      </c>
      <c r="AE246" s="620" t="s">
        <v>884</v>
      </c>
      <c r="AF246" s="159"/>
      <c r="AG246" s="18"/>
    </row>
    <row r="247" spans="2:33" ht="20.100000000000001" customHeight="1">
      <c r="B247" s="1360" t="b">
        <v>1</v>
      </c>
      <c r="D247" s="490" t="s">
        <v>823</v>
      </c>
      <c r="E247" s="491"/>
      <c r="F247" s="492" t="s">
        <v>732</v>
      </c>
      <c r="G247" s="286"/>
      <c r="H247" s="491"/>
      <c r="I247" s="358" t="s">
        <v>900</v>
      </c>
      <c r="J247" s="735"/>
      <c r="K247" s="136" t="s">
        <v>734</v>
      </c>
      <c r="L247" s="641">
        <v>5275</v>
      </c>
      <c r="M247" s="641"/>
      <c r="N247" s="641">
        <v>8295</v>
      </c>
      <c r="O247" s="639"/>
      <c r="P247" s="644"/>
      <c r="Q247" s="645"/>
      <c r="R247" s="1463">
        <v>3931</v>
      </c>
      <c r="S247" s="1429" t="s">
        <v>746</v>
      </c>
      <c r="T247" s="1463">
        <v>5658</v>
      </c>
      <c r="U247" s="5941" t="s">
        <v>746</v>
      </c>
      <c r="V247" s="5486">
        <v>5796</v>
      </c>
      <c r="W247" s="1429" t="s">
        <v>746</v>
      </c>
      <c r="X247" s="2468" t="s">
        <v>901</v>
      </c>
      <c r="Y247" s="276" t="s">
        <v>902</v>
      </c>
      <c r="Z247" s="99" t="s">
        <v>737</v>
      </c>
      <c r="AA247" s="547" t="s">
        <v>800</v>
      </c>
      <c r="AB247" s="547"/>
      <c r="AC247" s="99"/>
      <c r="AD247" s="620" t="s">
        <v>899</v>
      </c>
      <c r="AE247" s="620" t="s">
        <v>884</v>
      </c>
      <c r="AF247" s="159"/>
      <c r="AG247" s="18"/>
    </row>
    <row r="248" spans="2:33" ht="20.100000000000001" customHeight="1">
      <c r="B248" s="1360" t="b">
        <v>1</v>
      </c>
      <c r="C248" s="1369"/>
      <c r="D248" s="490" t="s">
        <v>827</v>
      </c>
      <c r="E248" s="491"/>
      <c r="F248" s="492" t="s">
        <v>732</v>
      </c>
      <c r="G248" s="286"/>
      <c r="H248" s="491"/>
      <c r="I248" s="358" t="s">
        <v>903</v>
      </c>
      <c r="J248" s="735"/>
      <c r="K248" s="136" t="s">
        <v>734</v>
      </c>
      <c r="L248" s="641">
        <v>184</v>
      </c>
      <c r="M248" s="641"/>
      <c r="N248" s="641">
        <v>298</v>
      </c>
      <c r="O248" s="639"/>
      <c r="P248" s="644"/>
      <c r="Q248" s="645"/>
      <c r="R248" s="1463">
        <v>65</v>
      </c>
      <c r="S248" s="1429" t="s">
        <v>746</v>
      </c>
      <c r="T248" s="1463">
        <v>117</v>
      </c>
      <c r="U248" s="5941" t="s">
        <v>746</v>
      </c>
      <c r="V248" s="5486">
        <v>131</v>
      </c>
      <c r="W248" s="1429" t="s">
        <v>746</v>
      </c>
      <c r="X248" s="2468" t="s">
        <v>901</v>
      </c>
      <c r="Y248" s="276" t="s">
        <v>904</v>
      </c>
      <c r="Z248" s="99" t="s">
        <v>737</v>
      </c>
      <c r="AA248" s="547" t="s">
        <v>800</v>
      </c>
      <c r="AB248" s="547"/>
      <c r="AC248" s="99"/>
      <c r="AD248" s="620" t="s">
        <v>899</v>
      </c>
      <c r="AE248" s="620" t="s">
        <v>884</v>
      </c>
      <c r="AF248" s="159"/>
      <c r="AG248" s="18"/>
    </row>
    <row r="249" spans="2:33" ht="20.100000000000001" customHeight="1">
      <c r="B249" s="1360" t="b">
        <v>1</v>
      </c>
      <c r="C249" s="1023"/>
      <c r="D249" s="490" t="s">
        <v>830</v>
      </c>
      <c r="E249" s="491"/>
      <c r="F249" s="492" t="s">
        <v>732</v>
      </c>
      <c r="G249" s="286"/>
      <c r="H249" s="491"/>
      <c r="I249" s="358" t="s">
        <v>905</v>
      </c>
      <c r="J249" s="735"/>
      <c r="K249" s="136" t="s">
        <v>734</v>
      </c>
      <c r="L249" s="641">
        <v>122</v>
      </c>
      <c r="M249" s="641"/>
      <c r="N249" s="641">
        <v>54</v>
      </c>
      <c r="O249" s="639"/>
      <c r="P249" s="644"/>
      <c r="Q249" s="645"/>
      <c r="R249" s="1463">
        <v>121</v>
      </c>
      <c r="S249" s="1429" t="s">
        <v>746</v>
      </c>
      <c r="T249" s="1463">
        <v>49</v>
      </c>
      <c r="U249" s="5941" t="s">
        <v>746</v>
      </c>
      <c r="V249" s="5486">
        <v>31</v>
      </c>
      <c r="W249" s="1429" t="s">
        <v>746</v>
      </c>
      <c r="X249" s="2468" t="s">
        <v>901</v>
      </c>
      <c r="Y249" s="276" t="s">
        <v>906</v>
      </c>
      <c r="Z249" s="99" t="s">
        <v>737</v>
      </c>
      <c r="AA249" s="547" t="s">
        <v>800</v>
      </c>
      <c r="AB249" s="547"/>
      <c r="AC249" s="99"/>
      <c r="AD249" s="620" t="s">
        <v>899</v>
      </c>
      <c r="AE249" s="620" t="s">
        <v>884</v>
      </c>
      <c r="AF249" s="159"/>
      <c r="AG249" s="18"/>
    </row>
    <row r="250" spans="2:33" ht="20.100000000000001" customHeight="1">
      <c r="B250" s="1360" t="b">
        <v>1</v>
      </c>
      <c r="C250" s="5461" t="s">
        <v>907</v>
      </c>
      <c r="D250" s="5462"/>
      <c r="E250" s="5462"/>
      <c r="F250" s="5463" t="s">
        <v>742</v>
      </c>
      <c r="G250" s="286"/>
      <c r="H250" s="491" t="s">
        <v>908</v>
      </c>
      <c r="I250" s="497"/>
      <c r="J250" s="360"/>
      <c r="K250" s="164" t="s">
        <v>734</v>
      </c>
      <c r="L250" s="641">
        <v>28</v>
      </c>
      <c r="M250" s="641"/>
      <c r="N250" s="641">
        <v>92</v>
      </c>
      <c r="O250" s="639"/>
      <c r="P250" s="644"/>
      <c r="Q250" s="645"/>
      <c r="R250" s="1468">
        <v>20</v>
      </c>
      <c r="S250" s="1429" t="s">
        <v>1819</v>
      </c>
      <c r="T250" s="1468">
        <v>89</v>
      </c>
      <c r="U250" s="1429" t="s">
        <v>1819</v>
      </c>
      <c r="V250" s="1463">
        <v>75</v>
      </c>
      <c r="W250" s="1429" t="s">
        <v>1819</v>
      </c>
      <c r="X250" s="2468" t="s">
        <v>909</v>
      </c>
      <c r="Y250" s="276" t="s">
        <v>910</v>
      </c>
      <c r="Z250" s="99" t="s">
        <v>737</v>
      </c>
      <c r="AA250" s="547" t="s">
        <v>800</v>
      </c>
      <c r="AB250" s="547"/>
      <c r="AC250" s="299" t="s">
        <v>193</v>
      </c>
      <c r="AD250" s="620" t="s">
        <v>911</v>
      </c>
      <c r="AE250" s="620" t="s">
        <v>884</v>
      </c>
      <c r="AF250" s="159"/>
      <c r="AG250" s="18"/>
    </row>
    <row r="251" spans="2:33" ht="20.100000000000001" customHeight="1">
      <c r="B251" s="1360" t="b">
        <v>1</v>
      </c>
      <c r="C251" s="583" t="s">
        <v>915</v>
      </c>
      <c r="D251" s="583"/>
      <c r="E251" s="583"/>
      <c r="F251" s="285" t="s">
        <v>742</v>
      </c>
      <c r="G251" s="286"/>
      <c r="H251" s="491" t="s">
        <v>916</v>
      </c>
      <c r="I251" s="497"/>
      <c r="J251" s="268"/>
      <c r="K251" s="109" t="s">
        <v>734</v>
      </c>
      <c r="L251" s="738">
        <f>L252+L253</f>
        <v>5094</v>
      </c>
      <c r="M251" s="652"/>
      <c r="N251" s="738">
        <f>N252+N253</f>
        <v>7508</v>
      </c>
      <c r="O251" s="543"/>
      <c r="P251" s="738">
        <f>P252+P253</f>
        <v>0</v>
      </c>
      <c r="Q251" s="95"/>
      <c r="R251" s="1462">
        <f>R252+R253</f>
        <v>3241</v>
      </c>
      <c r="S251" s="1524"/>
      <c r="T251" s="1462">
        <f>T252+T253</f>
        <v>5079</v>
      </c>
      <c r="U251" s="1524" t="s">
        <v>1798</v>
      </c>
      <c r="V251" s="354">
        <f>V252+V253</f>
        <v>5855</v>
      </c>
      <c r="W251" s="2053"/>
      <c r="X251" s="2472" t="s">
        <v>917</v>
      </c>
      <c r="Y251" s="457" t="s">
        <v>918</v>
      </c>
      <c r="Z251" s="99" t="s">
        <v>737</v>
      </c>
      <c r="AA251" s="547" t="s">
        <v>800</v>
      </c>
      <c r="AB251" s="547"/>
      <c r="AC251" s="99"/>
      <c r="AD251" s="620" t="s">
        <v>919</v>
      </c>
      <c r="AE251" s="620" t="s">
        <v>884</v>
      </c>
      <c r="AF251" s="159"/>
      <c r="AG251" s="18"/>
    </row>
    <row r="252" spans="2:33" ht="20.100000000000001" customHeight="1">
      <c r="B252" s="1360" t="b">
        <v>1</v>
      </c>
      <c r="C252" s="1375"/>
      <c r="D252" s="490" t="s">
        <v>920</v>
      </c>
      <c r="E252" s="491"/>
      <c r="F252" s="285" t="s">
        <v>742</v>
      </c>
      <c r="G252" s="286"/>
      <c r="H252" s="491"/>
      <c r="I252" s="358" t="s">
        <v>921</v>
      </c>
      <c r="J252" s="735"/>
      <c r="K252" s="109" t="s">
        <v>734</v>
      </c>
      <c r="L252" s="543">
        <v>3250</v>
      </c>
      <c r="M252" s="543"/>
      <c r="N252" s="543">
        <v>5922</v>
      </c>
      <c r="O252" s="543"/>
      <c r="P252" s="644"/>
      <c r="Q252" s="645"/>
      <c r="R252" s="1463">
        <v>1683</v>
      </c>
      <c r="S252" s="1523" t="s">
        <v>746</v>
      </c>
      <c r="T252" s="1463">
        <v>3659</v>
      </c>
      <c r="U252" s="5940" t="s">
        <v>746</v>
      </c>
      <c r="V252" s="5486">
        <v>4274</v>
      </c>
      <c r="W252" s="1523" t="s">
        <v>746</v>
      </c>
      <c r="X252" s="2472"/>
      <c r="Y252" s="457"/>
      <c r="Z252" s="99" t="s">
        <v>737</v>
      </c>
      <c r="AA252" s="547" t="s">
        <v>800</v>
      </c>
      <c r="AB252" s="547"/>
      <c r="AC252" s="99"/>
      <c r="AD252" s="620" t="s">
        <v>922</v>
      </c>
      <c r="AE252" s="620" t="s">
        <v>884</v>
      </c>
      <c r="AF252" s="159"/>
      <c r="AG252" s="18"/>
    </row>
    <row r="253" spans="2:33" ht="20.100000000000001" customHeight="1">
      <c r="B253" s="1360" t="b">
        <v>1</v>
      </c>
      <c r="C253" s="1375"/>
      <c r="D253" s="490" t="s">
        <v>923</v>
      </c>
      <c r="E253" s="491"/>
      <c r="F253" s="285" t="s">
        <v>742</v>
      </c>
      <c r="G253" s="286"/>
      <c r="H253" s="491"/>
      <c r="I253" s="358" t="s">
        <v>924</v>
      </c>
      <c r="J253" s="735"/>
      <c r="K253" s="109" t="s">
        <v>734</v>
      </c>
      <c r="L253" s="543">
        <v>1844</v>
      </c>
      <c r="M253" s="543"/>
      <c r="N253" s="543">
        <v>1586</v>
      </c>
      <c r="O253" s="543"/>
      <c r="P253" s="644"/>
      <c r="Q253" s="645"/>
      <c r="R253" s="1463">
        <v>1558</v>
      </c>
      <c r="S253" s="1523" t="s">
        <v>746</v>
      </c>
      <c r="T253" s="1463">
        <v>1420</v>
      </c>
      <c r="U253" s="5940" t="s">
        <v>746</v>
      </c>
      <c r="V253" s="5486">
        <v>1581</v>
      </c>
      <c r="W253" s="1523" t="s">
        <v>746</v>
      </c>
      <c r="X253" s="2472"/>
      <c r="Y253" s="457"/>
      <c r="Z253" s="99" t="s">
        <v>737</v>
      </c>
      <c r="AA253" s="547" t="s">
        <v>800</v>
      </c>
      <c r="AB253" s="547"/>
      <c r="AC253" s="99"/>
      <c r="AD253" s="620" t="s">
        <v>919</v>
      </c>
      <c r="AE253" s="620" t="s">
        <v>884</v>
      </c>
      <c r="AF253" s="159"/>
      <c r="AG253" s="18"/>
    </row>
    <row r="254" spans="2:33" ht="20.100000000000001" customHeight="1">
      <c r="B254" s="1662" t="s">
        <v>1813</v>
      </c>
      <c r="C254" s="947" t="s">
        <v>925</v>
      </c>
      <c r="D254" s="728"/>
      <c r="E254" s="728"/>
      <c r="F254" s="1573"/>
      <c r="G254" s="311"/>
      <c r="H254" s="728" t="s">
        <v>926</v>
      </c>
      <c r="I254" s="739"/>
      <c r="J254" s="739"/>
      <c r="K254" s="731" t="s">
        <v>168</v>
      </c>
      <c r="L254" s="740"/>
      <c r="M254" s="732"/>
      <c r="N254" s="732"/>
      <c r="O254" s="732"/>
      <c r="P254" s="732"/>
      <c r="Q254" s="732"/>
      <c r="R254" s="1578"/>
      <c r="S254" s="1579"/>
      <c r="T254" s="1580"/>
      <c r="U254" s="1579"/>
      <c r="V254" s="1580"/>
      <c r="W254" s="2082"/>
      <c r="X254" s="1564"/>
      <c r="Z254" s="99" t="s">
        <v>737</v>
      </c>
      <c r="AA254" s="547" t="s">
        <v>800</v>
      </c>
      <c r="AB254" s="547"/>
      <c r="AC254" s="99"/>
      <c r="AD254" s="620" t="s">
        <v>927</v>
      </c>
      <c r="AE254" s="620" t="s">
        <v>884</v>
      </c>
      <c r="AF254" s="159"/>
      <c r="AG254" s="18"/>
    </row>
    <row r="255" spans="2:33" ht="20.100000000000001" customHeight="1">
      <c r="B255" s="1360" t="b">
        <v>1</v>
      </c>
      <c r="C255" s="1376"/>
      <c r="D255" s="490" t="s">
        <v>796</v>
      </c>
      <c r="E255" s="491"/>
      <c r="F255" s="285" t="s">
        <v>156</v>
      </c>
      <c r="G255" s="286"/>
      <c r="H255" s="491"/>
      <c r="I255" s="490" t="s">
        <v>928</v>
      </c>
      <c r="J255" s="742"/>
      <c r="K255" s="109" t="s">
        <v>156</v>
      </c>
      <c r="L255" s="644"/>
      <c r="M255" s="543"/>
      <c r="N255" s="644"/>
      <c r="O255" s="543"/>
      <c r="P255" s="644"/>
      <c r="Q255" s="645"/>
      <c r="R255" s="1488">
        <v>55</v>
      </c>
      <c r="S255" s="1432"/>
      <c r="T255" s="1488">
        <v>74</v>
      </c>
      <c r="U255" s="1431" t="s">
        <v>1820</v>
      </c>
      <c r="V255" s="1488">
        <f>32/36*100</f>
        <v>88.888888888888886</v>
      </c>
      <c r="W255" s="2078"/>
      <c r="X255" s="1069" t="s">
        <v>929</v>
      </c>
      <c r="Y255" s="741" t="s">
        <v>930</v>
      </c>
      <c r="Z255" s="99" t="s">
        <v>737</v>
      </c>
      <c r="AA255" s="547" t="s">
        <v>800</v>
      </c>
      <c r="AB255" s="547"/>
      <c r="AC255" s="99"/>
      <c r="AD255" s="620" t="s">
        <v>927</v>
      </c>
      <c r="AE255" s="620" t="s">
        <v>884</v>
      </c>
      <c r="AF255" s="159"/>
      <c r="AG255" s="18"/>
    </row>
    <row r="256" spans="2:33" ht="20.100000000000001" customHeight="1">
      <c r="B256" s="1360" t="b">
        <v>1</v>
      </c>
      <c r="C256" s="27"/>
      <c r="D256" s="490" t="s">
        <v>802</v>
      </c>
      <c r="E256" s="491"/>
      <c r="F256" s="285" t="s">
        <v>156</v>
      </c>
      <c r="G256" s="286"/>
      <c r="H256" s="491"/>
      <c r="I256" s="490" t="s">
        <v>933</v>
      </c>
      <c r="J256" s="742"/>
      <c r="K256" s="109" t="s">
        <v>156</v>
      </c>
      <c r="L256" s="644"/>
      <c r="M256" s="543"/>
      <c r="N256" s="644"/>
      <c r="O256" s="543"/>
      <c r="P256" s="644"/>
      <c r="Q256" s="645"/>
      <c r="R256" s="1488">
        <v>50</v>
      </c>
      <c r="S256" s="1432"/>
      <c r="T256" s="1488">
        <v>70</v>
      </c>
      <c r="U256" s="1431" t="s">
        <v>1821</v>
      </c>
      <c r="V256" s="1488">
        <f>34/38*100</f>
        <v>89.473684210526315</v>
      </c>
      <c r="W256" s="2078"/>
      <c r="X256" s="1069"/>
      <c r="Y256" s="741"/>
      <c r="Z256" s="99" t="s">
        <v>737</v>
      </c>
      <c r="AA256" s="547" t="s">
        <v>800</v>
      </c>
      <c r="AB256" s="547"/>
      <c r="AC256" s="99"/>
      <c r="AD256" s="620" t="s">
        <v>927</v>
      </c>
      <c r="AE256" s="620" t="s">
        <v>884</v>
      </c>
      <c r="AF256" s="159"/>
      <c r="AG256" s="18"/>
    </row>
    <row r="257" spans="2:33" ht="20.100000000000001" customHeight="1">
      <c r="B257" s="1360" t="b">
        <v>1</v>
      </c>
      <c r="C257" s="27"/>
      <c r="D257" s="490" t="s">
        <v>823</v>
      </c>
      <c r="E257" s="491"/>
      <c r="F257" s="285" t="s">
        <v>156</v>
      </c>
      <c r="G257" s="286"/>
      <c r="H257" s="491"/>
      <c r="I257" s="490" t="s">
        <v>936</v>
      </c>
      <c r="J257" s="742"/>
      <c r="K257" s="109" t="s">
        <v>156</v>
      </c>
      <c r="L257" s="644"/>
      <c r="M257" s="543"/>
      <c r="N257" s="644"/>
      <c r="O257" s="543"/>
      <c r="P257" s="644"/>
      <c r="Q257" s="645"/>
      <c r="R257" s="1488">
        <v>53</v>
      </c>
      <c r="S257" s="1432"/>
      <c r="T257" s="1488">
        <v>73</v>
      </c>
      <c r="U257" s="1431" t="s">
        <v>1822</v>
      </c>
      <c r="V257" s="1488">
        <f>14/14*100</f>
        <v>100</v>
      </c>
      <c r="W257" s="2078"/>
      <c r="X257" s="1069"/>
      <c r="Y257" s="741"/>
      <c r="Z257" s="99" t="s">
        <v>737</v>
      </c>
      <c r="AA257" s="547" t="s">
        <v>800</v>
      </c>
      <c r="AB257" s="547"/>
      <c r="AC257" s="99"/>
      <c r="AD257" s="620" t="s">
        <v>927</v>
      </c>
      <c r="AE257" s="620" t="s">
        <v>884</v>
      </c>
      <c r="AF257" s="159"/>
      <c r="AG257" s="18"/>
    </row>
    <row r="258" spans="2:33" ht="20.100000000000001" customHeight="1">
      <c r="B258" s="1360" t="b">
        <v>1</v>
      </c>
      <c r="C258" s="27"/>
      <c r="D258" s="490" t="s">
        <v>827</v>
      </c>
      <c r="E258" s="491"/>
      <c r="F258" s="285" t="s">
        <v>156</v>
      </c>
      <c r="G258" s="286"/>
      <c r="H258" s="491"/>
      <c r="I258" s="490" t="s">
        <v>938</v>
      </c>
      <c r="J258" s="742"/>
      <c r="K258" s="109" t="s">
        <v>156</v>
      </c>
      <c r="L258" s="644"/>
      <c r="M258" s="543"/>
      <c r="N258" s="644"/>
      <c r="O258" s="543"/>
      <c r="P258" s="644"/>
      <c r="Q258" s="645"/>
      <c r="R258" s="1488">
        <v>45</v>
      </c>
      <c r="S258" s="1432"/>
      <c r="T258" s="1488">
        <v>70</v>
      </c>
      <c r="U258" s="1431" t="s">
        <v>1823</v>
      </c>
      <c r="V258" s="1488">
        <f>52/58*100</f>
        <v>89.65517241379311</v>
      </c>
      <c r="W258" s="2078"/>
      <c r="X258" s="1069"/>
      <c r="Y258" s="741"/>
      <c r="Z258" s="99" t="s">
        <v>737</v>
      </c>
      <c r="AA258" s="547" t="s">
        <v>800</v>
      </c>
      <c r="AB258" s="547"/>
      <c r="AC258" s="99"/>
      <c r="AD258" s="620" t="s">
        <v>927</v>
      </c>
      <c r="AE258" s="620" t="s">
        <v>884</v>
      </c>
      <c r="AF258" s="159"/>
      <c r="AG258" s="18"/>
    </row>
    <row r="259" spans="2:33" ht="20.100000000000001" customHeight="1">
      <c r="B259" s="1360" t="b">
        <v>1</v>
      </c>
      <c r="C259" s="915"/>
      <c r="D259" s="490" t="s">
        <v>830</v>
      </c>
      <c r="E259" s="491"/>
      <c r="F259" s="285" t="s">
        <v>156</v>
      </c>
      <c r="G259" s="286"/>
      <c r="H259" s="491"/>
      <c r="I259" s="490" t="s">
        <v>940</v>
      </c>
      <c r="J259" s="742"/>
      <c r="K259" s="109" t="s">
        <v>156</v>
      </c>
      <c r="L259" s="644"/>
      <c r="M259" s="543"/>
      <c r="N259" s="644"/>
      <c r="O259" s="543"/>
      <c r="P259" s="644"/>
      <c r="Q259" s="645"/>
      <c r="R259" s="1488">
        <v>36</v>
      </c>
      <c r="S259" s="1432"/>
      <c r="T259" s="1488">
        <v>27</v>
      </c>
      <c r="U259" s="1431" t="s">
        <v>1824</v>
      </c>
      <c r="V259" s="1488">
        <v>0</v>
      </c>
      <c r="W259" s="2078"/>
      <c r="X259" s="1069"/>
      <c r="Y259" s="741"/>
      <c r="Z259" s="99" t="s">
        <v>737</v>
      </c>
      <c r="AA259" s="547" t="s">
        <v>800</v>
      </c>
      <c r="AB259" s="547"/>
      <c r="AC259" s="99"/>
      <c r="AD259" s="620" t="s">
        <v>927</v>
      </c>
      <c r="AE259" s="620" t="s">
        <v>884</v>
      </c>
      <c r="AF259" s="159"/>
      <c r="AG259" s="18"/>
    </row>
    <row r="260" spans="2:33" ht="20.100000000000001" customHeight="1">
      <c r="B260" s="1662" t="s">
        <v>1813</v>
      </c>
      <c r="C260" s="947" t="s">
        <v>943</v>
      </c>
      <c r="D260" s="728"/>
      <c r="E260" s="728"/>
      <c r="F260" s="1573"/>
      <c r="G260" s="311"/>
      <c r="H260" s="728" t="s">
        <v>944</v>
      </c>
      <c r="I260" s="744"/>
      <c r="J260" s="739"/>
      <c r="K260" s="731" t="s">
        <v>168</v>
      </c>
      <c r="L260" s="745"/>
      <c r="M260" s="745"/>
      <c r="N260" s="745"/>
      <c r="O260" s="745"/>
      <c r="P260" s="745"/>
      <c r="Q260" s="745"/>
      <c r="R260" s="1578"/>
      <c r="S260" s="1581"/>
      <c r="T260" s="1580"/>
      <c r="U260" s="1581"/>
      <c r="V260" s="1580"/>
      <c r="W260" s="2083"/>
      <c r="X260" s="1564"/>
      <c r="Z260" s="99" t="s">
        <v>737</v>
      </c>
      <c r="AA260" s="547" t="s">
        <v>800</v>
      </c>
      <c r="AB260" s="547"/>
      <c r="AC260" s="99"/>
      <c r="AD260" s="620" t="s">
        <v>919</v>
      </c>
      <c r="AE260" s="620" t="s">
        <v>884</v>
      </c>
      <c r="AF260" s="159"/>
      <c r="AG260" s="18"/>
    </row>
    <row r="261" spans="2:33" ht="20.100000000000001" customHeight="1">
      <c r="B261" s="1360" t="b">
        <v>1</v>
      </c>
      <c r="C261" s="1376"/>
      <c r="D261" s="490" t="s">
        <v>796</v>
      </c>
      <c r="E261" s="491"/>
      <c r="F261" s="285" t="s">
        <v>156</v>
      </c>
      <c r="G261" s="286"/>
      <c r="H261" s="491"/>
      <c r="I261" s="490" t="s">
        <v>928</v>
      </c>
      <c r="J261" s="742"/>
      <c r="K261" s="109" t="s">
        <v>156</v>
      </c>
      <c r="L261" s="228"/>
      <c r="M261" s="92"/>
      <c r="N261" s="228"/>
      <c r="O261" s="92"/>
      <c r="P261" s="228"/>
      <c r="Q261" s="297"/>
      <c r="R261" s="1488">
        <v>45</v>
      </c>
      <c r="S261" s="1430"/>
      <c r="T261" s="1488">
        <v>26</v>
      </c>
      <c r="U261" s="1431" t="s">
        <v>1825</v>
      </c>
      <c r="V261" s="1488">
        <f>4/36*100</f>
        <v>11.111111111111111</v>
      </c>
      <c r="W261" s="2060"/>
      <c r="X261" s="348" t="s">
        <v>945</v>
      </c>
      <c r="Y261" s="746" t="s">
        <v>946</v>
      </c>
      <c r="Z261" s="99" t="s">
        <v>737</v>
      </c>
      <c r="AA261" s="547" t="s">
        <v>800</v>
      </c>
      <c r="AB261" s="547"/>
      <c r="AC261" s="99"/>
      <c r="AD261" s="620" t="s">
        <v>919</v>
      </c>
      <c r="AE261" s="620" t="s">
        <v>884</v>
      </c>
      <c r="AF261" s="159"/>
      <c r="AG261" s="18"/>
    </row>
    <row r="262" spans="2:33" ht="20.100000000000001" customHeight="1">
      <c r="B262" s="1360" t="b">
        <v>1</v>
      </c>
      <c r="C262" s="27"/>
      <c r="D262" s="490" t="s">
        <v>802</v>
      </c>
      <c r="E262" s="491"/>
      <c r="F262" s="285" t="s">
        <v>156</v>
      </c>
      <c r="G262" s="286"/>
      <c r="H262" s="491"/>
      <c r="I262" s="490" t="s">
        <v>933</v>
      </c>
      <c r="J262" s="742"/>
      <c r="K262" s="109" t="s">
        <v>156</v>
      </c>
      <c r="L262" s="228"/>
      <c r="M262" s="92"/>
      <c r="N262" s="228"/>
      <c r="O262" s="92"/>
      <c r="P262" s="228"/>
      <c r="Q262" s="297"/>
      <c r="R262" s="1488">
        <v>50</v>
      </c>
      <c r="S262" s="1430"/>
      <c r="T262" s="1488">
        <v>30</v>
      </c>
      <c r="U262" s="1431" t="s">
        <v>1825</v>
      </c>
      <c r="V262" s="1488">
        <f>4/38*100</f>
        <v>10.526315789473683</v>
      </c>
      <c r="W262" s="2060"/>
      <c r="X262" s="348"/>
      <c r="Y262" s="746"/>
      <c r="Z262" s="99" t="s">
        <v>737</v>
      </c>
      <c r="AA262" s="547" t="s">
        <v>800</v>
      </c>
      <c r="AB262" s="547"/>
      <c r="AC262" s="99"/>
      <c r="AD262" s="620" t="s">
        <v>919</v>
      </c>
      <c r="AE262" s="620" t="s">
        <v>884</v>
      </c>
      <c r="AF262" s="159"/>
      <c r="AG262" s="18"/>
    </row>
    <row r="263" spans="2:33" ht="20.100000000000001" customHeight="1">
      <c r="B263" s="1360" t="b">
        <v>1</v>
      </c>
      <c r="C263" s="27"/>
      <c r="D263" s="490" t="s">
        <v>823</v>
      </c>
      <c r="E263" s="491"/>
      <c r="F263" s="285" t="s">
        <v>156</v>
      </c>
      <c r="G263" s="286"/>
      <c r="H263" s="491"/>
      <c r="I263" s="490" t="s">
        <v>936</v>
      </c>
      <c r="J263" s="742"/>
      <c r="K263" s="109" t="s">
        <v>156</v>
      </c>
      <c r="L263" s="228"/>
      <c r="M263" s="92"/>
      <c r="N263" s="228"/>
      <c r="O263" s="92"/>
      <c r="P263" s="228"/>
      <c r="Q263" s="297"/>
      <c r="R263" s="1488">
        <v>47</v>
      </c>
      <c r="S263" s="1430"/>
      <c r="T263" s="1488">
        <v>27</v>
      </c>
      <c r="U263" s="1431" t="s">
        <v>1824</v>
      </c>
      <c r="V263" s="1488">
        <f>0/14*100</f>
        <v>0</v>
      </c>
      <c r="W263" s="2060"/>
      <c r="X263" s="348"/>
      <c r="Y263" s="746"/>
      <c r="Z263" s="99" t="s">
        <v>737</v>
      </c>
      <c r="AA263" s="547" t="s">
        <v>800</v>
      </c>
      <c r="AB263" s="547"/>
      <c r="AC263" s="99"/>
      <c r="AD263" s="620" t="s">
        <v>919</v>
      </c>
      <c r="AE263" s="620" t="s">
        <v>884</v>
      </c>
      <c r="AF263" s="159"/>
      <c r="AG263" s="18"/>
    </row>
    <row r="264" spans="2:33" ht="20.100000000000001" customHeight="1">
      <c r="B264" s="1360" t="b">
        <v>1</v>
      </c>
      <c r="C264" s="1377"/>
      <c r="D264" s="726" t="s">
        <v>827</v>
      </c>
      <c r="E264" s="721"/>
      <c r="F264" s="105" t="s">
        <v>156</v>
      </c>
      <c r="G264" s="253"/>
      <c r="H264" s="721"/>
      <c r="I264" s="726" t="s">
        <v>938</v>
      </c>
      <c r="J264" s="742"/>
      <c r="K264" s="109" t="s">
        <v>156</v>
      </c>
      <c r="L264" s="228"/>
      <c r="M264" s="92"/>
      <c r="N264" s="228"/>
      <c r="O264" s="92"/>
      <c r="P264" s="228"/>
      <c r="Q264" s="297"/>
      <c r="R264" s="1488">
        <v>55</v>
      </c>
      <c r="S264" s="1430"/>
      <c r="T264" s="1488">
        <v>30</v>
      </c>
      <c r="U264" s="1431" t="s">
        <v>1826</v>
      </c>
      <c r="V264" s="1488">
        <f>6/58*100</f>
        <v>10.344827586206897</v>
      </c>
      <c r="W264" s="2060"/>
      <c r="X264" s="348"/>
      <c r="Y264" s="746"/>
      <c r="Z264" s="99" t="s">
        <v>737</v>
      </c>
      <c r="AA264" s="547" t="s">
        <v>800</v>
      </c>
      <c r="AB264" s="547"/>
      <c r="AC264" s="99"/>
      <c r="AD264" s="620" t="s">
        <v>919</v>
      </c>
      <c r="AE264" s="620" t="s">
        <v>884</v>
      </c>
      <c r="AF264" s="159"/>
      <c r="AG264" s="18"/>
    </row>
    <row r="265" spans="2:33" ht="20.100000000000001" customHeight="1" thickBot="1">
      <c r="B265" s="1360" t="b">
        <v>1</v>
      </c>
      <c r="C265" s="1378"/>
      <c r="D265" s="726" t="s">
        <v>830</v>
      </c>
      <c r="E265" s="721"/>
      <c r="F265" s="706" t="s">
        <v>156</v>
      </c>
      <c r="G265" s="253"/>
      <c r="H265" s="721"/>
      <c r="I265" s="747" t="s">
        <v>940</v>
      </c>
      <c r="J265" s="748"/>
      <c r="K265" s="711" t="s">
        <v>156</v>
      </c>
      <c r="L265" s="592"/>
      <c r="M265" s="749"/>
      <c r="N265" s="592"/>
      <c r="O265" s="749"/>
      <c r="P265" s="592"/>
      <c r="Q265" s="750"/>
      <c r="R265" s="1488">
        <v>64</v>
      </c>
      <c r="S265" s="1435"/>
      <c r="T265" s="1488">
        <v>73</v>
      </c>
      <c r="U265" s="1436" t="s">
        <v>1827</v>
      </c>
      <c r="V265" s="1488">
        <f>2/2*100</f>
        <v>100</v>
      </c>
      <c r="W265" s="591"/>
      <c r="X265" s="348"/>
      <c r="Y265" s="746"/>
      <c r="Z265" s="751" t="s">
        <v>737</v>
      </c>
      <c r="AA265" s="547" t="s">
        <v>800</v>
      </c>
      <c r="AB265" s="597"/>
      <c r="AC265" s="751"/>
      <c r="AD265" s="620" t="s">
        <v>919</v>
      </c>
      <c r="AE265" s="620" t="s">
        <v>884</v>
      </c>
      <c r="AF265" s="159"/>
      <c r="AG265" s="18"/>
    </row>
    <row r="266" spans="2:33" ht="27" thickBot="1">
      <c r="B266" s="123" t="s">
        <v>952</v>
      </c>
      <c r="C266" s="124"/>
      <c r="D266" s="124"/>
      <c r="E266" s="124"/>
      <c r="F266" s="78"/>
      <c r="G266" s="125" t="s">
        <v>953</v>
      </c>
      <c r="H266" s="126"/>
      <c r="I266" s="521"/>
      <c r="J266" s="521"/>
      <c r="K266" s="78"/>
      <c r="L266" s="77"/>
      <c r="M266" s="77"/>
      <c r="N266" s="77"/>
      <c r="O266" s="77"/>
      <c r="P266" s="77"/>
      <c r="Q266" s="77"/>
      <c r="R266" s="1484"/>
      <c r="S266" s="1410"/>
      <c r="T266" s="1484"/>
      <c r="U266" s="1410"/>
      <c r="V266" s="1484"/>
      <c r="W266" s="77"/>
      <c r="X266" s="80"/>
      <c r="Y266" s="80"/>
      <c r="Z266" s="129"/>
      <c r="AA266" s="80"/>
      <c r="AB266" s="80"/>
      <c r="AC266" s="129"/>
      <c r="AD266" s="752"/>
      <c r="AE266" s="328"/>
      <c r="AF266" s="329"/>
      <c r="AG266" s="18"/>
    </row>
    <row r="267" spans="2:33" ht="20.100000000000001" customHeight="1">
      <c r="B267" s="1359" t="b">
        <f t="shared" ref="B267:B269" si="24">OR(ISBLANK(R267),ISBLANK(T267),ISBLANK(V267))</f>
        <v>0</v>
      </c>
      <c r="C267" s="757" t="s">
        <v>954</v>
      </c>
      <c r="D267" s="753"/>
      <c r="E267" s="754"/>
      <c r="F267" s="755" t="s">
        <v>557</v>
      </c>
      <c r="G267" s="756"/>
      <c r="H267" s="757" t="s">
        <v>955</v>
      </c>
      <c r="I267" s="753"/>
      <c r="J267" s="754"/>
      <c r="K267" s="758" t="s">
        <v>559</v>
      </c>
      <c r="L267" s="333">
        <v>4</v>
      </c>
      <c r="M267" s="759"/>
      <c r="N267" s="333">
        <v>7</v>
      </c>
      <c r="O267" s="760"/>
      <c r="P267" s="761"/>
      <c r="Q267" s="762"/>
      <c r="R267" s="1463">
        <v>4</v>
      </c>
      <c r="S267" s="1527" t="s">
        <v>960</v>
      </c>
      <c r="T267" s="1463">
        <v>7</v>
      </c>
      <c r="U267" s="5796" t="s">
        <v>960</v>
      </c>
      <c r="V267" s="5797">
        <v>5</v>
      </c>
      <c r="W267" s="2084"/>
      <c r="X267" s="1021" t="s">
        <v>956</v>
      </c>
      <c r="Y267" s="262" t="s">
        <v>957</v>
      </c>
      <c r="Z267" s="642" t="s">
        <v>737</v>
      </c>
      <c r="AA267" s="534"/>
      <c r="AB267" s="767"/>
      <c r="AC267" s="642"/>
      <c r="AD267" s="768" t="s">
        <v>958</v>
      </c>
      <c r="AE267" s="769"/>
      <c r="AF267" s="770"/>
      <c r="AG267" s="18"/>
    </row>
    <row r="268" spans="2:33" ht="20.100000000000001" customHeight="1">
      <c r="B268" s="1360" t="b">
        <f t="shared" si="24"/>
        <v>0</v>
      </c>
      <c r="C268" s="757" t="s">
        <v>961</v>
      </c>
      <c r="D268" s="753"/>
      <c r="E268" s="754"/>
      <c r="F268" s="285" t="s">
        <v>557</v>
      </c>
      <c r="G268" s="771"/>
      <c r="H268" s="757" t="s">
        <v>962</v>
      </c>
      <c r="I268" s="753"/>
      <c r="J268" s="754"/>
      <c r="K268" s="162" t="s">
        <v>559</v>
      </c>
      <c r="L268" s="298">
        <v>4</v>
      </c>
      <c r="M268" s="605"/>
      <c r="N268" s="298">
        <v>4</v>
      </c>
      <c r="O268" s="772"/>
      <c r="P268" s="228"/>
      <c r="Q268" s="297"/>
      <c r="R268" s="1463">
        <v>4</v>
      </c>
      <c r="S268" s="1523" t="s">
        <v>960</v>
      </c>
      <c r="T268" s="1463">
        <v>4</v>
      </c>
      <c r="U268" s="1526" t="s">
        <v>960</v>
      </c>
      <c r="V268" s="5475">
        <v>4</v>
      </c>
      <c r="W268" s="2060"/>
      <c r="X268" s="498" t="s">
        <v>963</v>
      </c>
      <c r="Y268" s="367" t="s">
        <v>964</v>
      </c>
      <c r="Z268" s="99" t="s">
        <v>737</v>
      </c>
      <c r="AA268" s="547"/>
      <c r="AB268" s="773"/>
      <c r="AC268" s="99"/>
      <c r="AD268" s="774" t="s">
        <v>965</v>
      </c>
      <c r="AE268" s="775"/>
      <c r="AF268" s="776"/>
      <c r="AG268" s="18"/>
    </row>
    <row r="269" spans="2:33" ht="20.100000000000001" customHeight="1">
      <c r="B269" s="1360" t="b">
        <f t="shared" si="24"/>
        <v>1</v>
      </c>
      <c r="C269" s="757" t="s">
        <v>967</v>
      </c>
      <c r="D269" s="753"/>
      <c r="E269" s="754"/>
      <c r="F269" s="285" t="s">
        <v>168</v>
      </c>
      <c r="G269" s="777"/>
      <c r="H269" s="757" t="s">
        <v>968</v>
      </c>
      <c r="I269" s="753"/>
      <c r="J269" s="754"/>
      <c r="K269" s="778" t="s">
        <v>168</v>
      </c>
      <c r="L269" s="779"/>
      <c r="M269" s="605"/>
      <c r="N269" s="779"/>
      <c r="O269" s="772"/>
      <c r="P269" s="228"/>
      <c r="Q269" s="95"/>
      <c r="R269" s="1488"/>
      <c r="S269" s="1430"/>
      <c r="T269" s="1488"/>
      <c r="U269" s="1431"/>
      <c r="V269" s="1490"/>
      <c r="W269" s="2053"/>
      <c r="X269" s="498" t="s">
        <v>969</v>
      </c>
      <c r="Y269" s="367" t="s">
        <v>970</v>
      </c>
      <c r="Z269" s="99" t="s">
        <v>737</v>
      </c>
      <c r="AA269" s="547"/>
      <c r="AB269" s="773"/>
      <c r="AC269" s="99"/>
      <c r="AD269" s="780" t="s">
        <v>971</v>
      </c>
      <c r="AE269" s="775"/>
      <c r="AF269" s="776"/>
      <c r="AG269" s="18"/>
    </row>
    <row r="270" spans="2:33" ht="20.100000000000001" customHeight="1">
      <c r="B270" s="1662" t="s">
        <v>1828</v>
      </c>
      <c r="C270" s="781" t="s">
        <v>972</v>
      </c>
      <c r="D270" s="781"/>
      <c r="E270" s="781"/>
      <c r="F270" s="285" t="s">
        <v>156</v>
      </c>
      <c r="G270" s="777"/>
      <c r="H270" s="757" t="s">
        <v>973</v>
      </c>
      <c r="I270" s="753"/>
      <c r="J270" s="754"/>
      <c r="K270" s="782" t="s">
        <v>156</v>
      </c>
      <c r="L270" s="783">
        <f>IFERROR(L271/L272*100,"-")</f>
        <v>99.801685671789784</v>
      </c>
      <c r="M270" s="784"/>
      <c r="N270" s="783">
        <f>IFERROR(N271/N272*100,"-")</f>
        <v>61.531279178338004</v>
      </c>
      <c r="O270" s="784"/>
      <c r="P270" s="783" t="str">
        <f>IFERROR(P271/P272*100,"-")</f>
        <v>-</v>
      </c>
      <c r="Q270" s="95"/>
      <c r="R270" s="1487">
        <f>IFERROR(R271/R272*100,"-")</f>
        <v>99.788806758183739</v>
      </c>
      <c r="S270" s="1063"/>
      <c r="T270" s="1487">
        <f>IFERROR(T271/T272*100,"-")</f>
        <v>99.602780536246271</v>
      </c>
      <c r="U270" s="1437"/>
      <c r="V270" s="5798">
        <v>100</v>
      </c>
      <c r="W270" s="2053"/>
      <c r="X270" s="498" t="s">
        <v>974</v>
      </c>
      <c r="Y270" s="367" t="s">
        <v>975</v>
      </c>
      <c r="Z270" s="1714" t="s">
        <v>189</v>
      </c>
      <c r="AA270" s="547"/>
      <c r="AB270" s="773"/>
      <c r="AC270" s="99"/>
      <c r="AD270" s="786" t="s">
        <v>976</v>
      </c>
      <c r="AE270" s="775"/>
      <c r="AF270" s="776"/>
      <c r="AG270" s="18"/>
    </row>
    <row r="271" spans="2:33" ht="20.100000000000001" customHeight="1">
      <c r="B271" s="1360" t="b">
        <f t="shared" ref="B271:B272" si="25">OR(ISBLANK(R271),ISBLANK(T271),ISBLANK(V271))</f>
        <v>0</v>
      </c>
      <c r="C271" s="1379"/>
      <c r="D271" s="787" t="s">
        <v>978</v>
      </c>
      <c r="E271" s="781"/>
      <c r="F271" s="285" t="s">
        <v>742</v>
      </c>
      <c r="G271" s="771"/>
      <c r="H271" s="788"/>
      <c r="I271" s="788" t="s">
        <v>979</v>
      </c>
      <c r="J271" s="788"/>
      <c r="K271" s="782" t="s">
        <v>734</v>
      </c>
      <c r="L271" s="789">
        <v>2013</v>
      </c>
      <c r="M271" s="789"/>
      <c r="N271" s="789">
        <v>1318</v>
      </c>
      <c r="O271" s="790"/>
      <c r="P271" s="791"/>
      <c r="Q271" s="95"/>
      <c r="R271" s="1463">
        <v>945</v>
      </c>
      <c r="S271" s="1523">
        <v>0</v>
      </c>
      <c r="T271" s="1463">
        <v>1003</v>
      </c>
      <c r="U271" s="1524">
        <v>0</v>
      </c>
      <c r="V271" s="5475">
        <v>1035</v>
      </c>
      <c r="W271" s="2053"/>
      <c r="X271" s="498" t="s">
        <v>980</v>
      </c>
      <c r="Y271" s="367"/>
      <c r="Z271" s="1714" t="s">
        <v>189</v>
      </c>
      <c r="AA271" s="547"/>
      <c r="AB271" s="773"/>
      <c r="AC271" s="99"/>
      <c r="AD271" s="775" t="s">
        <v>976</v>
      </c>
      <c r="AE271" s="775"/>
      <c r="AF271" s="776"/>
      <c r="AG271" s="18"/>
    </row>
    <row r="272" spans="2:33" ht="20.100000000000001" customHeight="1">
      <c r="B272" s="1360" t="b">
        <f t="shared" si="25"/>
        <v>0</v>
      </c>
      <c r="C272" s="1379"/>
      <c r="D272" s="787" t="s">
        <v>984</v>
      </c>
      <c r="E272" s="781"/>
      <c r="F272" s="285" t="s">
        <v>742</v>
      </c>
      <c r="G272" s="771"/>
      <c r="H272" s="788"/>
      <c r="I272" s="788" t="s">
        <v>985</v>
      </c>
      <c r="J272" s="788"/>
      <c r="K272" s="782" t="s">
        <v>734</v>
      </c>
      <c r="L272" s="789">
        <v>2017</v>
      </c>
      <c r="M272" s="789"/>
      <c r="N272" s="789">
        <v>2142</v>
      </c>
      <c r="O272" s="790"/>
      <c r="P272" s="791"/>
      <c r="Q272" s="95"/>
      <c r="R272" s="1463">
        <v>947</v>
      </c>
      <c r="S272" s="1523" t="s">
        <v>986</v>
      </c>
      <c r="T272" s="1463">
        <v>1007</v>
      </c>
      <c r="U272" s="1524" t="s">
        <v>986</v>
      </c>
      <c r="V272" s="5475">
        <v>1035</v>
      </c>
      <c r="W272" s="2053"/>
      <c r="X272" s="498"/>
      <c r="Y272" s="367"/>
      <c r="Z272" s="1714" t="s">
        <v>189</v>
      </c>
      <c r="AA272" s="547"/>
      <c r="AB272" s="773"/>
      <c r="AC272" s="99"/>
      <c r="AD272" s="775" t="s">
        <v>976</v>
      </c>
      <c r="AE272" s="775"/>
      <c r="AF272" s="776"/>
      <c r="AG272" s="18"/>
    </row>
    <row r="273" spans="2:33" ht="20.100000000000001" customHeight="1">
      <c r="B273" s="1662" t="str">
        <f>C273</f>
        <v>장애인 인식 개선 교육 참여 비율</v>
      </c>
      <c r="C273" s="781" t="s">
        <v>988</v>
      </c>
      <c r="D273" s="781"/>
      <c r="E273" s="781"/>
      <c r="F273" s="285" t="s">
        <v>156</v>
      </c>
      <c r="G273" s="386"/>
      <c r="H273" s="140" t="s">
        <v>989</v>
      </c>
      <c r="I273" s="140"/>
      <c r="J273" s="177"/>
      <c r="K273" s="782" t="s">
        <v>156</v>
      </c>
      <c r="L273" s="785">
        <f>IFERROR(L274/L275*100,"-")</f>
        <v>52.656546489563574</v>
      </c>
      <c r="M273" s="772"/>
      <c r="N273" s="785">
        <f>IFERROR(N274/N275*100,"-")</f>
        <v>53.500473036896878</v>
      </c>
      <c r="O273" s="772"/>
      <c r="P273" s="785" t="str">
        <f>IFERROR(P274/P275*100,"-")</f>
        <v>-</v>
      </c>
      <c r="Q273" s="95"/>
      <c r="R273" s="1487">
        <f>IFERROR(R274/R275*100,"-")</f>
        <v>95.938104448742749</v>
      </c>
      <c r="S273" s="1431"/>
      <c r="T273" s="1487">
        <f>IFERROR(T274/T275*100,"-")</f>
        <v>99.214145383104125</v>
      </c>
      <c r="U273" s="1431"/>
      <c r="V273" s="5798">
        <v>100</v>
      </c>
      <c r="W273" s="2053"/>
      <c r="X273" s="498" t="s">
        <v>990</v>
      </c>
      <c r="Y273" s="367" t="s">
        <v>991</v>
      </c>
      <c r="Z273" s="1714" t="s">
        <v>189</v>
      </c>
      <c r="AA273" s="547"/>
      <c r="AB273" s="773"/>
      <c r="AC273" s="99"/>
      <c r="AD273" s="775" t="s">
        <v>992</v>
      </c>
      <c r="AE273" s="775"/>
      <c r="AF273" s="776"/>
      <c r="AG273" s="18"/>
    </row>
    <row r="274" spans="2:33" ht="20.100000000000001" customHeight="1">
      <c r="B274" s="1360" t="b">
        <f t="shared" ref="B274:B278" si="26">OR(ISBLANK(R274),ISBLANK(T274),ISBLANK(V274))</f>
        <v>0</v>
      </c>
      <c r="C274" s="1380"/>
      <c r="D274" s="787" t="s">
        <v>994</v>
      </c>
      <c r="E274" s="781"/>
      <c r="F274" s="285" t="s">
        <v>742</v>
      </c>
      <c r="G274" s="201"/>
      <c r="H274" s="576"/>
      <c r="I274" s="576" t="s">
        <v>995</v>
      </c>
      <c r="J274" s="576"/>
      <c r="K274" s="782" t="s">
        <v>734</v>
      </c>
      <c r="L274" s="789">
        <v>1110</v>
      </c>
      <c r="M274" s="789"/>
      <c r="N274" s="789">
        <v>1131</v>
      </c>
      <c r="O274" s="790"/>
      <c r="P274" s="791"/>
      <c r="Q274" s="95"/>
      <c r="R274" s="1463">
        <v>992</v>
      </c>
      <c r="S274" s="1523" t="s">
        <v>996</v>
      </c>
      <c r="T274" s="1463">
        <v>1010</v>
      </c>
      <c r="U274" s="1524">
        <v>0</v>
      </c>
      <c r="V274" s="5475">
        <v>1023</v>
      </c>
      <c r="W274" s="2053"/>
      <c r="X274" s="498"/>
      <c r="Y274" s="367"/>
      <c r="Z274" s="1714" t="s">
        <v>189</v>
      </c>
      <c r="AA274" s="547"/>
      <c r="AB274" s="773"/>
      <c r="AC274" s="99"/>
      <c r="AD274" s="775" t="s">
        <v>992</v>
      </c>
      <c r="AE274" s="775"/>
      <c r="AF274" s="776"/>
      <c r="AG274" s="18"/>
    </row>
    <row r="275" spans="2:33" ht="20.100000000000001" customHeight="1">
      <c r="B275" s="1360" t="b">
        <f t="shared" si="26"/>
        <v>0</v>
      </c>
      <c r="C275" s="781"/>
      <c r="D275" s="781" t="s">
        <v>999</v>
      </c>
      <c r="E275" s="793"/>
      <c r="F275" s="285" t="s">
        <v>742</v>
      </c>
      <c r="G275" s="201"/>
      <c r="H275" s="576"/>
      <c r="I275" s="576" t="s">
        <v>1830</v>
      </c>
      <c r="J275" s="576"/>
      <c r="K275" s="782" t="s">
        <v>734</v>
      </c>
      <c r="L275" s="789">
        <v>2108</v>
      </c>
      <c r="M275" s="789"/>
      <c r="N275" s="789">
        <v>2114</v>
      </c>
      <c r="O275" s="790"/>
      <c r="P275" s="791"/>
      <c r="Q275" s="794"/>
      <c r="R275" s="1463">
        <v>1034</v>
      </c>
      <c r="S275" s="1523" t="s">
        <v>986</v>
      </c>
      <c r="T275" s="1463">
        <v>1018</v>
      </c>
      <c r="U275" s="1524" t="s">
        <v>986</v>
      </c>
      <c r="V275" s="5475">
        <v>1023</v>
      </c>
      <c r="W275" s="2053"/>
      <c r="X275" s="498"/>
      <c r="Z275" s="1714" t="s">
        <v>189</v>
      </c>
      <c r="AA275" s="546"/>
      <c r="AB275" s="773"/>
      <c r="AC275" s="796"/>
      <c r="AD275" s="775" t="s">
        <v>992</v>
      </c>
      <c r="AE275" s="775"/>
      <c r="AF275" s="776"/>
      <c r="AG275" s="18"/>
    </row>
    <row r="276" spans="2:33" ht="20.100000000000001" customHeight="1">
      <c r="B276" s="1360" t="b">
        <f t="shared" si="26"/>
        <v>0</v>
      </c>
      <c r="C276" s="143" t="s">
        <v>1000</v>
      </c>
      <c r="D276" s="107"/>
      <c r="E276" s="107"/>
      <c r="F276" s="285" t="s">
        <v>156</v>
      </c>
      <c r="G276" s="201"/>
      <c r="H276" s="576" t="s">
        <v>1001</v>
      </c>
      <c r="I276" s="576"/>
      <c r="J276" s="797"/>
      <c r="K276" s="91" t="s">
        <v>156</v>
      </c>
      <c r="L276" s="798">
        <v>73.698193411264612</v>
      </c>
      <c r="M276" s="798"/>
      <c r="N276" s="798">
        <v>74.488188976377955</v>
      </c>
      <c r="O276" s="725"/>
      <c r="P276" s="799"/>
      <c r="Q276" s="800"/>
      <c r="R276" s="1488">
        <v>100</v>
      </c>
      <c r="S276" s="1438"/>
      <c r="T276" s="1488">
        <v>100</v>
      </c>
      <c r="U276" s="1438"/>
      <c r="V276" s="5799">
        <v>100</v>
      </c>
      <c r="W276" s="2085"/>
      <c r="X276" s="2483" t="s">
        <v>1002</v>
      </c>
      <c r="Y276" s="544" t="s">
        <v>1001</v>
      </c>
      <c r="Z276" s="1714" t="s">
        <v>189</v>
      </c>
      <c r="AA276" s="547"/>
      <c r="AB276" s="547"/>
      <c r="AC276" s="808"/>
      <c r="AD276" s="775" t="s">
        <v>1003</v>
      </c>
      <c r="AE276" s="620" t="s">
        <v>1004</v>
      </c>
      <c r="AF276" s="159"/>
      <c r="AG276" s="18"/>
    </row>
    <row r="277" spans="2:33" ht="20.100000000000001" customHeight="1">
      <c r="B277" s="1360" t="b">
        <f t="shared" si="26"/>
        <v>0</v>
      </c>
      <c r="C277" s="104" t="s">
        <v>1006</v>
      </c>
      <c r="D277" s="104"/>
      <c r="E277" s="104"/>
      <c r="F277" s="809" t="s">
        <v>742</v>
      </c>
      <c r="G277" s="345"/>
      <c r="H277" s="143" t="s">
        <v>1007</v>
      </c>
      <c r="I277" s="107"/>
      <c r="K277" s="810" t="s">
        <v>734</v>
      </c>
      <c r="L277" s="641">
        <v>1387</v>
      </c>
      <c r="M277" s="641"/>
      <c r="N277" s="641">
        <v>1419</v>
      </c>
      <c r="O277" s="639"/>
      <c r="P277" s="644"/>
      <c r="Q277" s="645"/>
      <c r="R277" s="1463">
        <v>1135</v>
      </c>
      <c r="S277" s="1429"/>
      <c r="T277" s="1463">
        <v>1097</v>
      </c>
      <c r="U277" s="1429"/>
      <c r="V277" s="5799">
        <v>1096</v>
      </c>
      <c r="W277" s="2078"/>
      <c r="X277" s="2472"/>
      <c r="Y277" s="457"/>
      <c r="Z277" s="1714" t="s">
        <v>189</v>
      </c>
      <c r="AA277" s="547"/>
      <c r="AB277" s="547"/>
      <c r="AC277" s="99"/>
      <c r="AD277" s="775" t="s">
        <v>1003</v>
      </c>
      <c r="AE277" s="277" t="s">
        <v>1004</v>
      </c>
      <c r="AF277" s="187"/>
      <c r="AG277" s="18"/>
    </row>
    <row r="278" spans="2:33" ht="20.100000000000001" customHeight="1" thickBot="1">
      <c r="B278" s="1361" t="b">
        <f t="shared" si="26"/>
        <v>1</v>
      </c>
      <c r="C278" s="145" t="s">
        <v>1010</v>
      </c>
      <c r="D278" s="120"/>
      <c r="E278" s="120"/>
      <c r="F278" s="811" t="s">
        <v>1011</v>
      </c>
      <c r="G278" s="812"/>
      <c r="H278" s="813" t="s">
        <v>1012</v>
      </c>
      <c r="I278" s="814"/>
      <c r="J278" s="537"/>
      <c r="K278" s="815" t="s">
        <v>1013</v>
      </c>
      <c r="L278" s="816"/>
      <c r="M278" s="817"/>
      <c r="N278" s="816"/>
      <c r="O278" s="818"/>
      <c r="P278" s="819"/>
      <c r="Q278" s="820"/>
      <c r="R278" s="1470"/>
      <c r="S278" s="1528"/>
      <c r="T278" s="1470"/>
      <c r="U278" s="1528"/>
      <c r="V278" s="5800"/>
      <c r="W278" s="2086"/>
      <c r="X278" s="2477"/>
      <c r="Y278" s="595"/>
      <c r="Z278" s="1714" t="s">
        <v>189</v>
      </c>
      <c r="AA278" s="547"/>
      <c r="AB278" s="547"/>
      <c r="AC278" s="219"/>
      <c r="AD278" s="277"/>
      <c r="AE278" s="265" t="s">
        <v>1014</v>
      </c>
      <c r="AF278" s="187"/>
      <c r="AG278" s="18"/>
    </row>
    <row r="279" spans="2:33" ht="27" thickBot="1">
      <c r="B279" s="123" t="s">
        <v>1015</v>
      </c>
      <c r="C279" s="124"/>
      <c r="D279" s="124"/>
      <c r="E279" s="124"/>
      <c r="F279" s="78"/>
      <c r="G279" s="125" t="s">
        <v>1016</v>
      </c>
      <c r="H279" s="126"/>
      <c r="I279" s="126"/>
      <c r="J279" s="126"/>
      <c r="K279" s="78"/>
      <c r="L279" s="77"/>
      <c r="M279" s="77"/>
      <c r="N279" s="77"/>
      <c r="O279" s="77"/>
      <c r="P279" s="77"/>
      <c r="Q279" s="77"/>
      <c r="R279" s="1484"/>
      <c r="S279" s="1410"/>
      <c r="T279" s="1484"/>
      <c r="U279" s="1410"/>
      <c r="V279" s="1484"/>
      <c r="W279" s="77"/>
      <c r="X279" s="80"/>
      <c r="Y279" s="80"/>
      <c r="Z279" s="129"/>
      <c r="AA279" s="129"/>
      <c r="AB279" s="129"/>
      <c r="AC279" s="129"/>
      <c r="AD279" s="328"/>
      <c r="AE279" s="328"/>
      <c r="AF279" s="329"/>
      <c r="AG279" s="18"/>
    </row>
    <row r="280" spans="2:33" ht="20.100000000000001" customHeight="1">
      <c r="B280" s="1662" t="str">
        <f>C280</f>
        <v>인당 교육시간</v>
      </c>
      <c r="C280" s="86" t="s">
        <v>1017</v>
      </c>
      <c r="D280" s="86"/>
      <c r="E280" s="86"/>
      <c r="F280" s="824" t="s">
        <v>1636</v>
      </c>
      <c r="G280" s="522"/>
      <c r="H280" s="134" t="s">
        <v>1019</v>
      </c>
      <c r="I280" s="89"/>
      <c r="J280" s="90"/>
      <c r="K280" s="825" t="s">
        <v>1831</v>
      </c>
      <c r="L280" s="640">
        <f>IFERROR(L281/L282,"-")</f>
        <v>3.141722473604827</v>
      </c>
      <c r="M280" s="722"/>
      <c r="N280" s="640">
        <f>IFERROR(N281/N282,"-")</f>
        <v>8.6399563182527288</v>
      </c>
      <c r="O280" s="723"/>
      <c r="P280" s="531" t="str">
        <f>IFERROR(P281/P282,"-")</f>
        <v>-</v>
      </c>
      <c r="Q280" s="531"/>
      <c r="R280" s="1500">
        <f>IFERROR(R281/R282,"-")</f>
        <v>4.2412422907488994</v>
      </c>
      <c r="S280" s="1666"/>
      <c r="T280" s="1500">
        <f>IFERROR(T281/T282,"-")</f>
        <v>14.481002734731085</v>
      </c>
      <c r="U280" s="1666"/>
      <c r="V280" s="5476">
        <v>24.28</v>
      </c>
      <c r="W280" s="2087"/>
      <c r="X280" s="2482" t="s">
        <v>1021</v>
      </c>
      <c r="Y280" s="443" t="s">
        <v>1022</v>
      </c>
      <c r="Z280" s="1714" t="s">
        <v>189</v>
      </c>
      <c r="AA280" s="534"/>
      <c r="AB280" s="534"/>
      <c r="AC280" s="642"/>
      <c r="AD280" s="620" t="s">
        <v>1023</v>
      </c>
      <c r="AE280" s="620" t="s">
        <v>1024</v>
      </c>
      <c r="AF280" s="159"/>
      <c r="AG280" s="18"/>
    </row>
    <row r="281" spans="2:33" ht="20.100000000000001" customHeight="1">
      <c r="B281" s="1360" t="b">
        <f t="shared" ref="B281:B282" si="27">OR(ISBLANK(R281),ISBLANK(T281),ISBLANK(V281))</f>
        <v>0</v>
      </c>
      <c r="C281" s="1362"/>
      <c r="D281" s="9598" t="s">
        <v>1025</v>
      </c>
      <c r="E281" s="9599"/>
      <c r="F281" s="809" t="s">
        <v>1018</v>
      </c>
      <c r="G281" s="345"/>
      <c r="H281" s="144"/>
      <c r="I281" s="349" t="s">
        <v>1026</v>
      </c>
      <c r="J281" s="144"/>
      <c r="K281" s="810" t="s">
        <v>1831</v>
      </c>
      <c r="L281" s="641">
        <v>10414.810000000001</v>
      </c>
      <c r="M281" s="641"/>
      <c r="N281" s="641">
        <v>27691.059999999998</v>
      </c>
      <c r="O281" s="639"/>
      <c r="P281" s="644"/>
      <c r="Q281" s="645"/>
      <c r="R281" s="1488">
        <v>4813.8100000000004</v>
      </c>
      <c r="S281" s="1434" t="s">
        <v>1027</v>
      </c>
      <c r="T281" s="1488">
        <v>15885.66</v>
      </c>
      <c r="U281" s="1434" t="s">
        <v>1027</v>
      </c>
      <c r="V281" s="5477">
        <v>26272.84</v>
      </c>
      <c r="W281" s="2078"/>
      <c r="X281" s="2472"/>
      <c r="Y281" s="457"/>
      <c r="Z281" s="1714" t="s">
        <v>189</v>
      </c>
      <c r="AA281" s="547"/>
      <c r="AB281" s="547"/>
      <c r="AC281" s="99"/>
      <c r="AD281" s="620" t="s">
        <v>1023</v>
      </c>
      <c r="AE281" s="620" t="s">
        <v>1024</v>
      </c>
      <c r="AF281" s="159"/>
      <c r="AG281" s="18"/>
    </row>
    <row r="282" spans="2:33" ht="20.100000000000001" customHeight="1">
      <c r="B282" s="1360" t="b">
        <f t="shared" si="27"/>
        <v>0</v>
      </c>
      <c r="C282" s="1362"/>
      <c r="D282" s="9598" t="s">
        <v>1031</v>
      </c>
      <c r="E282" s="9599"/>
      <c r="F282" s="809" t="s">
        <v>742</v>
      </c>
      <c r="G282" s="345"/>
      <c r="H282" s="144"/>
      <c r="I282" s="349" t="s">
        <v>1032</v>
      </c>
      <c r="J282" s="144"/>
      <c r="K282" s="810" t="s">
        <v>734</v>
      </c>
      <c r="L282" s="641">
        <v>3315</v>
      </c>
      <c r="M282" s="641"/>
      <c r="N282" s="641">
        <v>3205</v>
      </c>
      <c r="O282" s="639"/>
      <c r="P282" s="644"/>
      <c r="Q282" s="645"/>
      <c r="R282" s="1463">
        <v>1135</v>
      </c>
      <c r="S282" s="1429" t="s">
        <v>1033</v>
      </c>
      <c r="T282" s="1463">
        <v>1097</v>
      </c>
      <c r="U282" s="1429" t="s">
        <v>1033</v>
      </c>
      <c r="V282" s="5475">
        <v>1082</v>
      </c>
      <c r="W282" s="2078"/>
      <c r="X282" s="2472"/>
      <c r="Y282" s="457"/>
      <c r="Z282" s="1714" t="s">
        <v>189</v>
      </c>
      <c r="AA282" s="547"/>
      <c r="AB282" s="547"/>
      <c r="AC282" s="99"/>
      <c r="AD282" s="620" t="s">
        <v>1023</v>
      </c>
      <c r="AE282" s="620" t="s">
        <v>1024</v>
      </c>
      <c r="AF282" s="159"/>
      <c r="AG282" s="18"/>
    </row>
    <row r="283" spans="2:33" ht="20.100000000000001" customHeight="1">
      <c r="B283" s="1662" t="str">
        <f>C283</f>
        <v>인당 교육비용</v>
      </c>
      <c r="C283" s="104" t="s">
        <v>1036</v>
      </c>
      <c r="D283" s="104"/>
      <c r="E283" s="104"/>
      <c r="F283" s="105" t="s">
        <v>1042</v>
      </c>
      <c r="G283" s="345"/>
      <c r="H283" s="143" t="s">
        <v>1037</v>
      </c>
      <c r="I283" s="143"/>
      <c r="J283" s="144"/>
      <c r="K283" s="109" t="s">
        <v>1043</v>
      </c>
      <c r="L283" s="738">
        <f>IFERROR(L284/L282,"-")</f>
        <v>8663.1109733936646</v>
      </c>
      <c r="M283" s="652"/>
      <c r="N283" s="738">
        <f>IFERROR(N284/N282,"-")</f>
        <v>70793.36359201248</v>
      </c>
      <c r="O283" s="543"/>
      <c r="P283" s="738" t="str">
        <f>IFERROR(P284/P282,"-")</f>
        <v>-</v>
      </c>
      <c r="Q283" s="738"/>
      <c r="R283" s="1487">
        <f>IFERROR(R284/R282,"-")</f>
        <v>33.206007577092507</v>
      </c>
      <c r="S283" s="1063"/>
      <c r="T283" s="1487">
        <f>IFERROR(T284/T282,"-")</f>
        <v>43.617138377392891</v>
      </c>
      <c r="U283" s="1063"/>
      <c r="V283" s="5477">
        <v>34.86</v>
      </c>
      <c r="W283" s="2088"/>
      <c r="X283" s="2472" t="s">
        <v>1038</v>
      </c>
      <c r="Y283" s="457" t="s">
        <v>1039</v>
      </c>
      <c r="Z283" s="1714" t="s">
        <v>189</v>
      </c>
      <c r="AA283" s="547"/>
      <c r="AB283" s="547"/>
      <c r="AC283" s="99"/>
      <c r="AD283" s="620" t="s">
        <v>1040</v>
      </c>
      <c r="AE283" s="620"/>
      <c r="AF283" s="159"/>
      <c r="AG283" s="18"/>
    </row>
    <row r="284" spans="2:33" ht="20.100000000000001" customHeight="1">
      <c r="B284" s="1360" t="b">
        <f t="shared" ref="B284" si="28">OR(ISBLANK(R284),ISBLANK(T284),ISBLANK(V284))</f>
        <v>0</v>
      </c>
      <c r="C284" s="1362"/>
      <c r="D284" s="9598" t="s">
        <v>1045</v>
      </c>
      <c r="E284" s="9599"/>
      <c r="F284" s="105" t="s">
        <v>1048</v>
      </c>
      <c r="G284" s="106"/>
      <c r="I284" s="288" t="s">
        <v>1046</v>
      </c>
      <c r="J284" s="289"/>
      <c r="K284" s="109" t="s">
        <v>1043</v>
      </c>
      <c r="L284" s="645">
        <v>28718212.876800001</v>
      </c>
      <c r="M284" s="543"/>
      <c r="N284" s="645">
        <v>226892730.31240001</v>
      </c>
      <c r="O284" s="543"/>
      <c r="P284" s="644"/>
      <c r="Q284" s="645"/>
      <c r="R284" s="1488">
        <v>37688.818599999999</v>
      </c>
      <c r="S284" s="1432">
        <v>33.206007577092507</v>
      </c>
      <c r="T284" s="1488">
        <v>47848.000800000002</v>
      </c>
      <c r="U284" s="1062">
        <v>43.617138377392891</v>
      </c>
      <c r="V284" s="5477">
        <v>37716.19</v>
      </c>
      <c r="W284" s="2078"/>
      <c r="X284" s="2472"/>
      <c r="Z284" s="1714" t="s">
        <v>189</v>
      </c>
      <c r="AA284" s="547"/>
      <c r="AB284" s="547"/>
      <c r="AC284" s="99"/>
      <c r="AD284" s="620" t="s">
        <v>1040</v>
      </c>
      <c r="AE284" s="620"/>
      <c r="AF284" s="159"/>
      <c r="AG284" s="18"/>
    </row>
    <row r="285" spans="2:33" s="837" customFormat="1" ht="20.100000000000001" customHeight="1">
      <c r="B285" s="1662" t="str">
        <f>C285</f>
        <v>임직원 몰입도</v>
      </c>
      <c r="C285" s="161" t="s">
        <v>1050</v>
      </c>
      <c r="D285" s="161"/>
      <c r="E285" s="161"/>
      <c r="F285" s="285" t="s">
        <v>1051</v>
      </c>
      <c r="G285" s="386"/>
      <c r="H285" s="140" t="s">
        <v>1052</v>
      </c>
      <c r="I285" s="482"/>
      <c r="J285" s="289"/>
      <c r="K285" s="162" t="s">
        <v>1053</v>
      </c>
      <c r="L285" s="738" t="str">
        <f>IFERROR(L286/L287*100,"-")</f>
        <v>-</v>
      </c>
      <c r="M285" s="652"/>
      <c r="N285" s="738">
        <f>IFERROR(N286/N287*100,"-")</f>
        <v>83.155397390272839</v>
      </c>
      <c r="O285" s="652"/>
      <c r="P285" s="738" t="str">
        <f>IFERROR(P286/P287*100,"-")</f>
        <v>-</v>
      </c>
      <c r="Q285" s="738"/>
      <c r="R285" s="1462" t="str">
        <f>IFERROR(R286/R287*100,"-")</f>
        <v>-</v>
      </c>
      <c r="S285" s="1524"/>
      <c r="T285" s="1462">
        <f>IFERROR(T286/T287*100,"-")</f>
        <v>82.710926694329174</v>
      </c>
      <c r="U285" s="1524"/>
      <c r="V285" s="1462">
        <f>IFERROR(V286/V287*100,"-")</f>
        <v>92.743105950653117</v>
      </c>
      <c r="W285" s="2088"/>
      <c r="X285" s="618" t="s">
        <v>1054</v>
      </c>
      <c r="Y285" s="830" t="s">
        <v>1055</v>
      </c>
      <c r="Z285" s="99" t="s">
        <v>737</v>
      </c>
      <c r="AA285" s="832"/>
      <c r="AB285" s="832"/>
      <c r="AC285" s="831"/>
      <c r="AD285" s="833" t="s">
        <v>1056</v>
      </c>
      <c r="AE285" s="834"/>
      <c r="AF285" s="835"/>
      <c r="AG285" s="836"/>
    </row>
    <row r="286" spans="2:33" s="837" customFormat="1" ht="20.100000000000001" customHeight="1">
      <c r="B286" s="1360" t="b">
        <f t="shared" ref="B286:B287" si="29">OR(ISBLANK(R286),ISBLANK(T286),ISBLANK(V286))</f>
        <v>0</v>
      </c>
      <c r="C286" s="614"/>
      <c r="D286" s="9598" t="s">
        <v>1058</v>
      </c>
      <c r="E286" s="9599"/>
      <c r="F286" s="838" t="s">
        <v>742</v>
      </c>
      <c r="G286" s="386"/>
      <c r="H286" s="141"/>
      <c r="I286" s="141" t="s">
        <v>1059</v>
      </c>
      <c r="J286" s="141"/>
      <c r="K286" s="179" t="s">
        <v>734</v>
      </c>
      <c r="L286" s="639">
        <v>0</v>
      </c>
      <c r="M286" s="639"/>
      <c r="N286" s="639">
        <v>701</v>
      </c>
      <c r="O286" s="839" t="s">
        <v>1832</v>
      </c>
      <c r="P286" s="644"/>
      <c r="Q286" s="645"/>
      <c r="R286" s="1463">
        <v>0</v>
      </c>
      <c r="S286" s="1429">
        <v>0</v>
      </c>
      <c r="T286" s="1463">
        <v>598</v>
      </c>
      <c r="U286" s="1529" t="s">
        <v>1061</v>
      </c>
      <c r="V286" s="1464">
        <v>639</v>
      </c>
      <c r="W286" s="2078" t="s">
        <v>2065</v>
      </c>
      <c r="X286" s="2484"/>
      <c r="Y286" s="841"/>
      <c r="Z286" s="99" t="s">
        <v>737</v>
      </c>
      <c r="AA286" s="832"/>
      <c r="AB286" s="832"/>
      <c r="AC286" s="831"/>
      <c r="AD286" s="833" t="s">
        <v>1056</v>
      </c>
      <c r="AE286" s="842"/>
      <c r="AF286" s="843"/>
      <c r="AG286" s="836"/>
    </row>
    <row r="287" spans="2:33" s="837" customFormat="1" ht="20.100000000000001" customHeight="1" thickBot="1">
      <c r="B287" s="1361" t="b">
        <f t="shared" si="29"/>
        <v>0</v>
      </c>
      <c r="C287" s="1381"/>
      <c r="D287" s="844" t="s">
        <v>1069</v>
      </c>
      <c r="E287" s="323"/>
      <c r="F287" s="845" t="s">
        <v>742</v>
      </c>
      <c r="G287" s="846"/>
      <c r="H287" s="422"/>
      <c r="I287" s="847" t="s">
        <v>1070</v>
      </c>
      <c r="J287" s="848"/>
      <c r="K287" s="849" t="s">
        <v>734</v>
      </c>
      <c r="L287" s="818">
        <v>0</v>
      </c>
      <c r="M287" s="818"/>
      <c r="N287" s="818">
        <v>843</v>
      </c>
      <c r="O287" s="850" t="s">
        <v>1832</v>
      </c>
      <c r="P287" s="819"/>
      <c r="Q287" s="820"/>
      <c r="R287" s="1463">
        <v>0</v>
      </c>
      <c r="S287" s="1528" t="s">
        <v>1060</v>
      </c>
      <c r="T287" s="1463">
        <v>723</v>
      </c>
      <c r="U287" s="1530" t="s">
        <v>1071</v>
      </c>
      <c r="V287" s="1467">
        <v>689</v>
      </c>
      <c r="W287" s="2086" t="s">
        <v>2066</v>
      </c>
      <c r="X287" s="2485"/>
      <c r="Y287" s="857"/>
      <c r="Z287" s="99" t="s">
        <v>737</v>
      </c>
      <c r="AA287" s="859"/>
      <c r="AB287" s="859"/>
      <c r="AC287" s="858"/>
      <c r="AD287" s="833" t="s">
        <v>1056</v>
      </c>
      <c r="AE287" s="842"/>
      <c r="AF287" s="843"/>
      <c r="AG287" s="836"/>
    </row>
    <row r="288" spans="2:33" ht="27" thickBot="1">
      <c r="B288" s="123" t="s">
        <v>1074</v>
      </c>
      <c r="C288" s="124"/>
      <c r="D288" s="124"/>
      <c r="E288" s="124"/>
      <c r="F288" s="78"/>
      <c r="G288" s="1272" t="s">
        <v>1440</v>
      </c>
      <c r="H288" s="1132"/>
      <c r="I288" s="1132"/>
      <c r="J288" s="1273"/>
      <c r="K288" s="518"/>
      <c r="L288" s="600"/>
      <c r="M288" s="600"/>
      <c r="N288" s="600"/>
      <c r="O288" s="600"/>
      <c r="P288" s="600"/>
      <c r="Q288" s="1004"/>
      <c r="R288" s="1485"/>
      <c r="S288" s="1447"/>
      <c r="T288" s="1485"/>
      <c r="U288" s="1447"/>
      <c r="V288" s="1485"/>
      <c r="W288" s="1004"/>
      <c r="X288" s="80"/>
      <c r="Y288" s="1133"/>
      <c r="Z288" s="1274"/>
      <c r="AA288" s="129"/>
      <c r="AB288" s="129"/>
      <c r="AC288" s="1274"/>
      <c r="AD288" s="328"/>
      <c r="AE288" s="328"/>
      <c r="AF288" s="1006"/>
      <c r="AG288" s="18"/>
    </row>
    <row r="289" spans="2:33" ht="19.350000000000001" customHeight="1">
      <c r="B289" s="1353" t="str">
        <f>C289</f>
        <v>양성평등</v>
      </c>
      <c r="C289" s="736" t="s">
        <v>1075</v>
      </c>
      <c r="D289" s="736"/>
      <c r="E289" s="736"/>
      <c r="F289" s="1568"/>
      <c r="G289" s="861"/>
      <c r="H289" s="860" t="s">
        <v>1076</v>
      </c>
      <c r="I289" s="860"/>
      <c r="J289" s="860"/>
      <c r="K289" s="862" t="s">
        <v>168</v>
      </c>
      <c r="L289" s="863"/>
      <c r="M289" s="863"/>
      <c r="N289" s="863"/>
      <c r="O289" s="863"/>
      <c r="P289" s="863"/>
      <c r="Q289" s="863"/>
      <c r="R289" s="1574"/>
      <c r="S289" s="1582"/>
      <c r="T289" s="1576"/>
      <c r="U289" s="1582"/>
      <c r="V289" s="1576"/>
      <c r="W289" s="1598"/>
      <c r="X289" s="1564"/>
      <c r="Y289" s="443"/>
      <c r="Z289" s="808" t="s">
        <v>758</v>
      </c>
      <c r="AA289" s="534"/>
      <c r="AB289" s="868"/>
      <c r="AC289" s="642"/>
      <c r="AD289" s="265"/>
      <c r="AE289" s="869" t="s">
        <v>168</v>
      </c>
      <c r="AF289" s="187"/>
      <c r="AG289" s="18"/>
    </row>
    <row r="290" spans="2:33" ht="19.350000000000001" customHeight="1">
      <c r="B290" s="1360" t="b">
        <f t="shared" ref="B290:B298" si="30">OR(ISBLANK(R290),ISBLANK(T290),ISBLANK(V290))</f>
        <v>0</v>
      </c>
      <c r="C290" s="1382"/>
      <c r="D290" s="870" t="s">
        <v>1077</v>
      </c>
      <c r="E290" s="871"/>
      <c r="F290" s="285" t="s">
        <v>156</v>
      </c>
      <c r="G290" s="106"/>
      <c r="H290" s="353"/>
      <c r="I290" s="872" t="s">
        <v>1078</v>
      </c>
      <c r="J290" s="385"/>
      <c r="K290" s="873" t="s">
        <v>154</v>
      </c>
      <c r="L290" s="874">
        <v>15.789473684210526</v>
      </c>
      <c r="M290" s="874"/>
      <c r="N290" s="874">
        <v>9.0909090909090917</v>
      </c>
      <c r="O290" s="875"/>
      <c r="P290" s="876"/>
      <c r="Q290" s="874"/>
      <c r="R290" s="1488">
        <v>20</v>
      </c>
      <c r="S290" s="1439"/>
      <c r="T290" s="1488">
        <v>0</v>
      </c>
      <c r="U290" s="1440"/>
      <c r="V290" s="1521">
        <f>1/8*100</f>
        <v>12.5</v>
      </c>
      <c r="W290" s="2089"/>
      <c r="X290" s="2471"/>
      <c r="Y290" s="444"/>
      <c r="Z290" s="808" t="s">
        <v>758</v>
      </c>
      <c r="AA290" s="547" t="s">
        <v>800</v>
      </c>
      <c r="AB290" s="878"/>
      <c r="AC290" s="808"/>
      <c r="AD290" s="265"/>
      <c r="AE290" s="265" t="s">
        <v>807</v>
      </c>
      <c r="AF290" s="187"/>
      <c r="AG290" s="18"/>
    </row>
    <row r="291" spans="2:33" ht="19.350000000000001" customHeight="1">
      <c r="B291" s="1360" t="b">
        <f t="shared" si="30"/>
        <v>0</v>
      </c>
      <c r="C291" s="1382"/>
      <c r="D291" s="490" t="s">
        <v>1082</v>
      </c>
      <c r="E291" s="491"/>
      <c r="F291" s="285" t="s">
        <v>154</v>
      </c>
      <c r="G291" s="106"/>
      <c r="H291" s="353"/>
      <c r="I291" s="495" t="s">
        <v>1083</v>
      </c>
      <c r="J291" s="643"/>
      <c r="K291" s="109" t="s">
        <v>154</v>
      </c>
      <c r="L291" s="879"/>
      <c r="M291" s="297"/>
      <c r="N291" s="879"/>
      <c r="O291" s="92"/>
      <c r="P291" s="228"/>
      <c r="Q291" s="297"/>
      <c r="R291" s="1488">
        <f>4/5*100</f>
        <v>80</v>
      </c>
      <c r="S291" s="1430"/>
      <c r="T291" s="1488">
        <f>8/8*100</f>
        <v>100</v>
      </c>
      <c r="U291" s="935"/>
      <c r="V291" s="1488">
        <f>7/8*100</f>
        <v>87.5</v>
      </c>
      <c r="W291" s="2060"/>
      <c r="X291" s="2472"/>
      <c r="Y291" s="457"/>
      <c r="Z291" s="99" t="s">
        <v>758</v>
      </c>
      <c r="AA291" s="547" t="s">
        <v>800</v>
      </c>
      <c r="AB291" s="547"/>
      <c r="AC291" s="99"/>
      <c r="AD291" s="265"/>
      <c r="AE291" s="265" t="s">
        <v>807</v>
      </c>
      <c r="AF291" s="187"/>
      <c r="AG291" s="18"/>
    </row>
    <row r="292" spans="2:33" ht="19.350000000000001" customHeight="1">
      <c r="B292" s="1360"/>
      <c r="C292" s="1382"/>
      <c r="D292" s="744" t="s">
        <v>1084</v>
      </c>
      <c r="E292" s="728"/>
      <c r="F292" s="1560"/>
      <c r="G292" s="168"/>
      <c r="H292" s="880"/>
      <c r="I292" s="654" t="s">
        <v>1085</v>
      </c>
      <c r="J292" s="655"/>
      <c r="K292" s="881" t="s">
        <v>154</v>
      </c>
      <c r="L292" s="882"/>
      <c r="M292" s="883"/>
      <c r="N292" s="882"/>
      <c r="O292" s="171"/>
      <c r="P292" s="171"/>
      <c r="Q292" s="171"/>
      <c r="R292" s="1607"/>
      <c r="S292" s="1608"/>
      <c r="T292" s="1609"/>
      <c r="U292" s="1610"/>
      <c r="V292" s="1602"/>
      <c r="W292" s="2054"/>
      <c r="X292" s="1564"/>
      <c r="Y292" s="457"/>
      <c r="Z292" s="808" t="s">
        <v>758</v>
      </c>
      <c r="AA292" s="547" t="s">
        <v>800</v>
      </c>
      <c r="AB292" s="547"/>
      <c r="AC292" s="99"/>
      <c r="AD292" s="265"/>
      <c r="AE292" s="265"/>
      <c r="AF292" s="187"/>
      <c r="AG292" s="18"/>
    </row>
    <row r="293" spans="2:33" ht="19.350000000000001" customHeight="1">
      <c r="B293" s="1360" t="b">
        <f t="shared" si="30"/>
        <v>0</v>
      </c>
      <c r="C293" s="1382"/>
      <c r="E293" s="286" t="s">
        <v>1833</v>
      </c>
      <c r="F293" s="285" t="s">
        <v>154</v>
      </c>
      <c r="G293" s="106"/>
      <c r="H293" s="353"/>
      <c r="I293" s="11"/>
      <c r="J293" s="358" t="s">
        <v>1086</v>
      </c>
      <c r="K293" s="109" t="s">
        <v>154</v>
      </c>
      <c r="L293" s="879"/>
      <c r="M293" s="297"/>
      <c r="N293" s="879"/>
      <c r="O293" s="92"/>
      <c r="P293" s="228"/>
      <c r="Q293" s="297"/>
      <c r="R293" s="1488">
        <v>0</v>
      </c>
      <c r="S293" s="1430"/>
      <c r="T293" s="1488">
        <v>0</v>
      </c>
      <c r="U293" s="935"/>
      <c r="V293" s="5488">
        <v>0</v>
      </c>
      <c r="W293" s="2060"/>
      <c r="X293" s="2472"/>
      <c r="Y293" s="457"/>
      <c r="Z293" s="99" t="s">
        <v>758</v>
      </c>
      <c r="AA293" s="547" t="s">
        <v>800</v>
      </c>
      <c r="AB293" s="547"/>
      <c r="AC293" s="99"/>
      <c r="AD293" s="265"/>
      <c r="AE293" s="265" t="s">
        <v>807</v>
      </c>
      <c r="AF293" s="187"/>
      <c r="AG293" s="18"/>
    </row>
    <row r="294" spans="2:33" ht="19.350000000000001" customHeight="1">
      <c r="B294" s="1360" t="b">
        <f t="shared" si="30"/>
        <v>0</v>
      </c>
      <c r="C294" s="1382"/>
      <c r="D294" s="884"/>
      <c r="E294" s="286" t="s">
        <v>1834</v>
      </c>
      <c r="F294" s="285" t="s">
        <v>154</v>
      </c>
      <c r="G294" s="106"/>
      <c r="H294" s="353"/>
      <c r="I294" s="884"/>
      <c r="J294" s="358" t="s">
        <v>1088</v>
      </c>
      <c r="K294" s="109" t="s">
        <v>154</v>
      </c>
      <c r="L294" s="879"/>
      <c r="M294" s="297"/>
      <c r="N294" s="879"/>
      <c r="O294" s="92"/>
      <c r="P294" s="228"/>
      <c r="Q294" s="297"/>
      <c r="R294" s="1488">
        <f>1/5*100</f>
        <v>20</v>
      </c>
      <c r="S294" s="1430"/>
      <c r="T294" s="1488">
        <f>4/8*100</f>
        <v>50</v>
      </c>
      <c r="U294" s="935"/>
      <c r="V294" s="5488">
        <f>4/8*100</f>
        <v>50</v>
      </c>
      <c r="W294" s="2060"/>
      <c r="X294" s="2472"/>
      <c r="Y294" s="457"/>
      <c r="Z294" s="99" t="s">
        <v>758</v>
      </c>
      <c r="AA294" s="547" t="s">
        <v>800</v>
      </c>
      <c r="AB294" s="547"/>
      <c r="AC294" s="99"/>
      <c r="AD294" s="265"/>
      <c r="AE294" s="265" t="s">
        <v>807</v>
      </c>
      <c r="AF294" s="187"/>
      <c r="AG294" s="18"/>
    </row>
    <row r="295" spans="2:33" ht="19.350000000000001" customHeight="1">
      <c r="B295" s="1360" t="b">
        <f t="shared" si="30"/>
        <v>0</v>
      </c>
      <c r="C295" s="1382"/>
      <c r="D295" s="885"/>
      <c r="E295" s="286" t="s">
        <v>1835</v>
      </c>
      <c r="F295" s="285" t="s">
        <v>154</v>
      </c>
      <c r="G295" s="106"/>
      <c r="H295" s="353"/>
      <c r="I295" s="885"/>
      <c r="J295" s="358" t="s">
        <v>1089</v>
      </c>
      <c r="K295" s="109" t="s">
        <v>154</v>
      </c>
      <c r="L295" s="879"/>
      <c r="M295" s="297"/>
      <c r="N295" s="879"/>
      <c r="O295" s="92"/>
      <c r="P295" s="228"/>
      <c r="Q295" s="297"/>
      <c r="R295" s="1488">
        <f>4/5*100</f>
        <v>80</v>
      </c>
      <c r="S295" s="1430"/>
      <c r="T295" s="1488">
        <f>4/8*100</f>
        <v>50</v>
      </c>
      <c r="U295" s="935"/>
      <c r="V295" s="5488">
        <f>4/8*100</f>
        <v>50</v>
      </c>
      <c r="W295" s="2060"/>
      <c r="X295" s="2472"/>
      <c r="Y295" s="457"/>
      <c r="Z295" s="99" t="s">
        <v>758</v>
      </c>
      <c r="AA295" s="547" t="s">
        <v>800</v>
      </c>
      <c r="AB295" s="547"/>
      <c r="AC295" s="99"/>
      <c r="AD295" s="265"/>
      <c r="AE295" s="265" t="s">
        <v>807</v>
      </c>
      <c r="AF295" s="187"/>
      <c r="AG295" s="18"/>
    </row>
    <row r="296" spans="2:33" ht="19.350000000000001" customHeight="1">
      <c r="B296" s="1360" t="b">
        <f t="shared" si="30"/>
        <v>0</v>
      </c>
      <c r="C296" s="1382"/>
      <c r="D296" s="490" t="s">
        <v>1090</v>
      </c>
      <c r="E296" s="491"/>
      <c r="F296" s="285" t="s">
        <v>154</v>
      </c>
      <c r="G296" s="106"/>
      <c r="H296" s="353"/>
      <c r="I296" s="495" t="s">
        <v>1091</v>
      </c>
      <c r="J296" s="643"/>
      <c r="K296" s="109" t="s">
        <v>154</v>
      </c>
      <c r="L296" s="297">
        <v>24.217462932454694</v>
      </c>
      <c r="M296" s="297"/>
      <c r="N296" s="297">
        <v>26.50793650793651</v>
      </c>
      <c r="O296" s="92"/>
      <c r="P296" s="228"/>
      <c r="Q296" s="297"/>
      <c r="R296" s="1488">
        <v>38.020833333333329</v>
      </c>
      <c r="S296" s="1430"/>
      <c r="T296" s="1488">
        <v>42.288557213930353</v>
      </c>
      <c r="U296" s="935" t="s">
        <v>1836</v>
      </c>
      <c r="V296" s="5477">
        <f>85/201*100</f>
        <v>42.288557213930353</v>
      </c>
      <c r="W296" s="2060"/>
      <c r="X296" s="2468" t="s">
        <v>1092</v>
      </c>
      <c r="Y296" s="276" t="s">
        <v>1093</v>
      </c>
      <c r="Z296" s="99" t="s">
        <v>758</v>
      </c>
      <c r="AA296" s="547" t="s">
        <v>800</v>
      </c>
      <c r="AB296" s="547"/>
      <c r="AC296" s="99"/>
      <c r="AD296" s="265" t="s">
        <v>1094</v>
      </c>
      <c r="AE296" s="265"/>
      <c r="AF296" s="187"/>
      <c r="AG296" s="18"/>
    </row>
    <row r="297" spans="2:33" ht="19.149999999999999" customHeight="1">
      <c r="B297" s="1360" t="b">
        <f t="shared" si="30"/>
        <v>0</v>
      </c>
      <c r="C297" s="1382"/>
      <c r="D297" s="286" t="s">
        <v>1097</v>
      </c>
      <c r="E297" s="286"/>
      <c r="F297" s="285" t="s">
        <v>154</v>
      </c>
      <c r="G297" s="106"/>
      <c r="H297" s="353"/>
      <c r="I297" s="495" t="s">
        <v>1098</v>
      </c>
      <c r="J297" s="643"/>
      <c r="K297" s="109" t="s">
        <v>154</v>
      </c>
      <c r="L297" s="297">
        <v>5.668016194331984</v>
      </c>
      <c r="M297" s="297"/>
      <c r="N297" s="297">
        <v>9.0909090909090917</v>
      </c>
      <c r="O297" s="92"/>
      <c r="P297" s="228"/>
      <c r="Q297" s="297"/>
      <c r="R297" s="1488">
        <v>18.181818181818183</v>
      </c>
      <c r="S297" s="1430"/>
      <c r="T297" s="1488">
        <v>17.948717948717949</v>
      </c>
      <c r="U297" s="935" t="s">
        <v>1837</v>
      </c>
      <c r="V297" s="5488">
        <f>8/40*100</f>
        <v>20</v>
      </c>
      <c r="W297" s="2060"/>
      <c r="X297" s="2468" t="s">
        <v>1099</v>
      </c>
      <c r="Y297" s="276" t="s">
        <v>1100</v>
      </c>
      <c r="Z297" s="99" t="s">
        <v>758</v>
      </c>
      <c r="AA297" s="547" t="s">
        <v>800</v>
      </c>
      <c r="AB297" s="547"/>
      <c r="AC297" s="99"/>
      <c r="AD297" s="265" t="s">
        <v>1101</v>
      </c>
      <c r="AE297" s="265"/>
      <c r="AF297" s="187"/>
      <c r="AG297" s="18"/>
    </row>
    <row r="298" spans="2:33" ht="19.350000000000001" customHeight="1">
      <c r="B298" s="1360" t="b">
        <f t="shared" si="30"/>
        <v>1</v>
      </c>
      <c r="C298" s="1382"/>
      <c r="D298" s="886" t="s">
        <v>1103</v>
      </c>
      <c r="E298" s="886"/>
      <c r="F298" s="285" t="s">
        <v>154</v>
      </c>
      <c r="G298" s="106"/>
      <c r="H298" s="353"/>
      <c r="I298" s="495" t="s">
        <v>1104</v>
      </c>
      <c r="J298" s="643"/>
      <c r="K298" s="887" t="s">
        <v>154</v>
      </c>
      <c r="L298" s="297">
        <v>154.64734450004516</v>
      </c>
      <c r="M298" s="297"/>
      <c r="N298" s="297">
        <v>103.76128077908974</v>
      </c>
      <c r="O298" s="92"/>
      <c r="P298" s="228"/>
      <c r="Q298" s="297"/>
      <c r="R298" s="1488">
        <v>87.231196663517778</v>
      </c>
      <c r="S298" s="1430"/>
      <c r="T298" s="1488">
        <v>80.672398847835211</v>
      </c>
      <c r="U298" s="935"/>
      <c r="V298" s="5477"/>
      <c r="W298" s="2060"/>
      <c r="X298" s="2468" t="s">
        <v>1105</v>
      </c>
      <c r="Y298" s="888" t="s">
        <v>1106</v>
      </c>
      <c r="Z298" s="99" t="s">
        <v>737</v>
      </c>
      <c r="AA298" s="547" t="s">
        <v>800</v>
      </c>
      <c r="AB298" s="547"/>
      <c r="AC298" s="99"/>
      <c r="AD298" s="265" t="s">
        <v>1107</v>
      </c>
      <c r="AE298" s="265" t="s">
        <v>1108</v>
      </c>
      <c r="AF298" s="187"/>
      <c r="AG298" s="18"/>
    </row>
    <row r="299" spans="2:33" ht="19.350000000000001" customHeight="1">
      <c r="B299" s="1353"/>
      <c r="C299" s="736" t="s">
        <v>1112</v>
      </c>
      <c r="D299" s="736"/>
      <c r="E299" s="736"/>
      <c r="F299" s="1560"/>
      <c r="G299" s="889"/>
      <c r="H299" s="736" t="s">
        <v>1113</v>
      </c>
      <c r="I299" s="736"/>
      <c r="J299" s="736"/>
      <c r="K299" s="881" t="s">
        <v>168</v>
      </c>
      <c r="L299" s="890"/>
      <c r="M299" s="890"/>
      <c r="N299" s="890"/>
      <c r="O299" s="890"/>
      <c r="P299" s="890"/>
      <c r="Q299" s="890"/>
      <c r="R299" s="1583"/>
      <c r="S299" s="1584"/>
      <c r="T299" s="1585"/>
      <c r="U299" s="1584"/>
      <c r="V299" s="1585"/>
      <c r="W299" s="1572"/>
      <c r="X299" s="1564"/>
      <c r="Z299" s="99" t="s">
        <v>737</v>
      </c>
      <c r="AA299" s="547" t="s">
        <v>800</v>
      </c>
      <c r="AB299" s="547"/>
      <c r="AC299" s="99"/>
      <c r="AD299" s="265"/>
      <c r="AE299" s="265"/>
      <c r="AF299" s="187"/>
      <c r="AG299" s="18"/>
    </row>
    <row r="300" spans="2:33" ht="19.350000000000001" customHeight="1">
      <c r="B300" s="1360"/>
      <c r="C300" s="1382"/>
      <c r="D300" s="654" t="s">
        <v>1114</v>
      </c>
      <c r="E300" s="947"/>
      <c r="F300" s="1560"/>
      <c r="G300" s="168"/>
      <c r="H300" s="880"/>
      <c r="I300" s="685" t="s">
        <v>1838</v>
      </c>
      <c r="J300" s="655"/>
      <c r="K300" s="881" t="s">
        <v>734</v>
      </c>
      <c r="L300" s="890"/>
      <c r="M300" s="890"/>
      <c r="N300" s="890"/>
      <c r="O300" s="890"/>
      <c r="P300" s="890"/>
      <c r="Q300" s="890"/>
      <c r="R300" s="1586"/>
      <c r="S300" s="1587"/>
      <c r="T300" s="1588"/>
      <c r="U300" s="1587"/>
      <c r="V300" s="1588"/>
      <c r="W300" s="1572"/>
      <c r="X300" s="1564"/>
      <c r="Z300" s="99" t="s">
        <v>737</v>
      </c>
      <c r="AA300" s="547" t="s">
        <v>800</v>
      </c>
      <c r="AB300" s="547"/>
      <c r="AC300" s="99"/>
      <c r="AD300" s="265"/>
      <c r="AE300" s="265"/>
      <c r="AF300" s="187"/>
      <c r="AG300" s="18"/>
    </row>
    <row r="301" spans="2:33" ht="19.350000000000001" customHeight="1">
      <c r="B301" s="1360" t="b">
        <f t="shared" ref="B301:B308" si="31">OR(ISBLANK(R301),ISBLANK(T301),ISBLANK(V301))</f>
        <v>0</v>
      </c>
      <c r="C301" s="1382"/>
      <c r="D301" s="892"/>
      <c r="E301" s="893" t="s">
        <v>1116</v>
      </c>
      <c r="F301" s="285" t="s">
        <v>742</v>
      </c>
      <c r="G301" s="106"/>
      <c r="H301" s="353"/>
      <c r="I301" s="892"/>
      <c r="J301" s="777" t="s">
        <v>1117</v>
      </c>
      <c r="K301" s="109" t="s">
        <v>734</v>
      </c>
      <c r="L301" s="297">
        <v>229</v>
      </c>
      <c r="M301" s="297"/>
      <c r="N301" s="297">
        <v>203</v>
      </c>
      <c r="O301" s="92"/>
      <c r="P301" s="228"/>
      <c r="Q301" s="297"/>
      <c r="R301" s="1463">
        <v>171</v>
      </c>
      <c r="S301" s="1523"/>
      <c r="T301" s="1463">
        <v>163</v>
      </c>
      <c r="U301" s="9805" t="s">
        <v>1839</v>
      </c>
      <c r="V301" s="1464">
        <v>145</v>
      </c>
      <c r="W301" s="2060"/>
      <c r="X301" s="2468" t="s">
        <v>1118</v>
      </c>
      <c r="Y301" s="276" t="s">
        <v>1119</v>
      </c>
      <c r="Z301" s="99" t="s">
        <v>758</v>
      </c>
      <c r="AA301" s="547" t="s">
        <v>800</v>
      </c>
      <c r="AB301" s="547"/>
      <c r="AC301" s="99"/>
      <c r="AD301" s="265" t="s">
        <v>1120</v>
      </c>
      <c r="AE301" s="265" t="s">
        <v>1121</v>
      </c>
      <c r="AF301" s="187"/>
      <c r="AG301" s="18"/>
    </row>
    <row r="302" spans="2:33" ht="19.350000000000001" customHeight="1">
      <c r="B302" s="1360" t="b">
        <f t="shared" si="31"/>
        <v>0</v>
      </c>
      <c r="C302" s="1382"/>
      <c r="D302" s="894"/>
      <c r="E302" s="893" t="s">
        <v>1125</v>
      </c>
      <c r="F302" s="285" t="s">
        <v>742</v>
      </c>
      <c r="G302" s="106"/>
      <c r="H302" s="353"/>
      <c r="I302" s="894"/>
      <c r="J302" s="777" t="s">
        <v>1840</v>
      </c>
      <c r="K302" s="109" t="s">
        <v>734</v>
      </c>
      <c r="L302" s="297">
        <v>128</v>
      </c>
      <c r="M302" s="297"/>
      <c r="N302" s="297">
        <v>132</v>
      </c>
      <c r="O302" s="92"/>
      <c r="P302" s="228"/>
      <c r="Q302" s="297"/>
      <c r="R302" s="1463">
        <v>122</v>
      </c>
      <c r="S302" s="1523"/>
      <c r="T302" s="1463">
        <v>126</v>
      </c>
      <c r="U302" s="9806"/>
      <c r="V302" s="1464">
        <v>133</v>
      </c>
      <c r="W302" s="2060"/>
      <c r="X302" s="2468" t="s">
        <v>1118</v>
      </c>
      <c r="Y302" s="276" t="s">
        <v>1119</v>
      </c>
      <c r="Z302" s="99" t="s">
        <v>758</v>
      </c>
      <c r="AA302" s="547" t="s">
        <v>800</v>
      </c>
      <c r="AB302" s="547"/>
      <c r="AC302" s="99"/>
      <c r="AD302" s="265" t="s">
        <v>1120</v>
      </c>
      <c r="AE302" s="265" t="s">
        <v>1121</v>
      </c>
      <c r="AF302" s="187"/>
      <c r="AG302" s="18"/>
    </row>
    <row r="303" spans="2:33" ht="19.350000000000001" customHeight="1">
      <c r="B303" s="1360"/>
      <c r="C303" s="1382"/>
      <c r="D303" s="654" t="s">
        <v>1127</v>
      </c>
      <c r="E303" s="947"/>
      <c r="F303" s="1560"/>
      <c r="G303" s="168"/>
      <c r="H303" s="880"/>
      <c r="I303" s="685" t="s">
        <v>1128</v>
      </c>
      <c r="J303" s="895"/>
      <c r="K303" s="881" t="s">
        <v>734</v>
      </c>
      <c r="L303" s="890"/>
      <c r="M303" s="890"/>
      <c r="N303" s="890"/>
      <c r="O303" s="890"/>
      <c r="P303" s="890"/>
      <c r="Q303" s="890"/>
      <c r="R303" s="1586"/>
      <c r="S303" s="1587"/>
      <c r="T303" s="1588"/>
      <c r="U303" s="1587"/>
      <c r="V303" s="1588"/>
      <c r="W303" s="1572"/>
      <c r="X303" s="1564"/>
      <c r="Z303" s="99" t="s">
        <v>758</v>
      </c>
      <c r="AA303" s="547" t="s">
        <v>800</v>
      </c>
      <c r="AB303" s="547"/>
      <c r="AC303" s="99"/>
      <c r="AD303" s="277" t="s">
        <v>1129</v>
      </c>
      <c r="AE303" s="265" t="s">
        <v>1121</v>
      </c>
      <c r="AF303" s="187"/>
      <c r="AG303" s="18"/>
    </row>
    <row r="304" spans="2:33" ht="19.350000000000001" customHeight="1">
      <c r="B304" s="1360" t="b">
        <f t="shared" si="31"/>
        <v>0</v>
      </c>
      <c r="C304" s="1382"/>
      <c r="E304" s="286" t="s">
        <v>1841</v>
      </c>
      <c r="F304" s="285" t="s">
        <v>732</v>
      </c>
      <c r="G304" s="106"/>
      <c r="H304" s="353"/>
      <c r="I304" s="892"/>
      <c r="J304" s="777" t="s">
        <v>1131</v>
      </c>
      <c r="K304" s="109" t="s">
        <v>734</v>
      </c>
      <c r="L304" s="297">
        <v>14</v>
      </c>
      <c r="M304" s="297"/>
      <c r="N304" s="297">
        <v>20</v>
      </c>
      <c r="O304" s="92"/>
      <c r="P304" s="228"/>
      <c r="Q304" s="297"/>
      <c r="R304" s="1463">
        <v>7</v>
      </c>
      <c r="S304" s="1523"/>
      <c r="T304" s="1463">
        <v>17</v>
      </c>
      <c r="U304" s="9807" t="s">
        <v>1842</v>
      </c>
      <c r="V304" s="1464">
        <v>14</v>
      </c>
      <c r="W304" s="2060"/>
      <c r="X304" s="2468" t="s">
        <v>1132</v>
      </c>
      <c r="Y304" s="276" t="s">
        <v>1133</v>
      </c>
      <c r="Z304" s="99" t="s">
        <v>758</v>
      </c>
      <c r="AA304" s="547" t="s">
        <v>800</v>
      </c>
      <c r="AB304" s="547"/>
      <c r="AC304" s="99"/>
      <c r="AD304" s="277" t="s">
        <v>1129</v>
      </c>
      <c r="AE304" s="277" t="s">
        <v>1121</v>
      </c>
      <c r="AF304" s="187"/>
      <c r="AG304" s="18"/>
    </row>
    <row r="305" spans="2:33" ht="19.350000000000001" customHeight="1">
      <c r="B305" s="1360" t="b">
        <f t="shared" si="31"/>
        <v>0</v>
      </c>
      <c r="C305" s="1382"/>
      <c r="E305" s="286" t="s">
        <v>1843</v>
      </c>
      <c r="F305" s="285" t="s">
        <v>732</v>
      </c>
      <c r="G305" s="106"/>
      <c r="H305" s="353"/>
      <c r="I305" s="894"/>
      <c r="J305" s="777" t="s">
        <v>1137</v>
      </c>
      <c r="K305" s="109" t="s">
        <v>734</v>
      </c>
      <c r="L305" s="297">
        <v>37</v>
      </c>
      <c r="M305" s="297"/>
      <c r="N305" s="297">
        <v>42</v>
      </c>
      <c r="O305" s="92"/>
      <c r="P305" s="228"/>
      <c r="Q305" s="297"/>
      <c r="R305" s="1463">
        <v>35</v>
      </c>
      <c r="S305" s="1523"/>
      <c r="T305" s="1463">
        <v>38</v>
      </c>
      <c r="U305" s="9808"/>
      <c r="V305" s="1464">
        <v>46</v>
      </c>
      <c r="W305" s="2060"/>
      <c r="X305" s="2468" t="s">
        <v>1132</v>
      </c>
      <c r="Y305" s="276" t="s">
        <v>1133</v>
      </c>
      <c r="Z305" s="99" t="s">
        <v>758</v>
      </c>
      <c r="AA305" s="547" t="s">
        <v>800</v>
      </c>
      <c r="AB305" s="547"/>
      <c r="AC305" s="99"/>
      <c r="AD305" s="896" t="s">
        <v>1129</v>
      </c>
      <c r="AE305" s="896" t="s">
        <v>1121</v>
      </c>
      <c r="AF305" s="187"/>
      <c r="AG305" s="18"/>
    </row>
    <row r="306" spans="2:33" ht="19.350000000000001" customHeight="1">
      <c r="B306" s="1360" t="b">
        <f t="shared" si="31"/>
        <v>0</v>
      </c>
      <c r="C306" s="1382"/>
      <c r="D306" s="286" t="s">
        <v>1844</v>
      </c>
      <c r="E306" s="286"/>
      <c r="F306" s="285" t="s">
        <v>154</v>
      </c>
      <c r="G306" s="106"/>
      <c r="H306" s="353"/>
      <c r="I306" s="495" t="s">
        <v>1140</v>
      </c>
      <c r="J306" s="643"/>
      <c r="K306" s="109" t="s">
        <v>154</v>
      </c>
      <c r="L306" s="297">
        <v>85.714285714285708</v>
      </c>
      <c r="M306" s="297"/>
      <c r="N306" s="297">
        <v>85</v>
      </c>
      <c r="O306" s="92"/>
      <c r="P306" s="228"/>
      <c r="Q306" s="297"/>
      <c r="R306" s="1488">
        <v>100</v>
      </c>
      <c r="S306" s="1430"/>
      <c r="T306" s="1488">
        <v>82.35294117647058</v>
      </c>
      <c r="U306" s="9809"/>
      <c r="V306" s="1490">
        <f>10/14*100</f>
        <v>71.428571428571431</v>
      </c>
      <c r="W306" s="2060"/>
      <c r="X306" s="2480" t="s">
        <v>1141</v>
      </c>
      <c r="Y306" s="276" t="s">
        <v>1142</v>
      </c>
      <c r="Z306" s="99" t="s">
        <v>758</v>
      </c>
      <c r="AA306" s="547" t="s">
        <v>800</v>
      </c>
      <c r="AB306" s="547"/>
      <c r="AC306" s="99"/>
      <c r="AD306" s="896" t="s">
        <v>1143</v>
      </c>
      <c r="AE306" s="896" t="s">
        <v>1121</v>
      </c>
      <c r="AF306" s="187"/>
      <c r="AG306" s="18"/>
    </row>
    <row r="307" spans="2:33" ht="19.350000000000001" customHeight="1">
      <c r="B307" s="1360" t="b">
        <f t="shared" si="31"/>
        <v>0</v>
      </c>
      <c r="C307" s="1382"/>
      <c r="D307" s="286" t="s">
        <v>1845</v>
      </c>
      <c r="F307" s="285" t="s">
        <v>154</v>
      </c>
      <c r="G307" s="106"/>
      <c r="H307" s="353"/>
      <c r="I307" s="495" t="s">
        <v>1148</v>
      </c>
      <c r="J307" s="643"/>
      <c r="K307" s="109" t="s">
        <v>154</v>
      </c>
      <c r="L307" s="297">
        <v>85.714285714285708</v>
      </c>
      <c r="M307" s="297"/>
      <c r="N307" s="297">
        <v>85</v>
      </c>
      <c r="O307" s="92"/>
      <c r="P307" s="228"/>
      <c r="Q307" s="297"/>
      <c r="R307" s="1488">
        <v>100</v>
      </c>
      <c r="S307" s="1430"/>
      <c r="T307" s="1488">
        <v>82.35294117647058</v>
      </c>
      <c r="U307" s="9809"/>
      <c r="V307" s="1490">
        <f>32/44*100</f>
        <v>72.727272727272734</v>
      </c>
      <c r="W307" s="2060"/>
      <c r="X307" s="2480" t="s">
        <v>1141</v>
      </c>
      <c r="Y307" s="276" t="s">
        <v>1142</v>
      </c>
      <c r="Z307" s="99" t="s">
        <v>758</v>
      </c>
      <c r="AA307" s="547" t="s">
        <v>800</v>
      </c>
      <c r="AB307" s="547"/>
      <c r="AC307" s="99"/>
      <c r="AD307" s="896" t="s">
        <v>1143</v>
      </c>
      <c r="AE307" s="896" t="s">
        <v>1121</v>
      </c>
      <c r="AF307" s="187"/>
      <c r="AG307" s="18"/>
    </row>
    <row r="308" spans="2:33" ht="19.350000000000001" customHeight="1">
      <c r="B308" s="1360" t="b">
        <f t="shared" si="31"/>
        <v>0</v>
      </c>
      <c r="C308" s="911"/>
      <c r="D308" s="286" t="s">
        <v>1846</v>
      </c>
      <c r="E308" s="286"/>
      <c r="F308" s="285" t="s">
        <v>154</v>
      </c>
      <c r="G308" s="384"/>
      <c r="H308" s="385"/>
      <c r="I308" s="495" t="s">
        <v>1151</v>
      </c>
      <c r="J308" s="643"/>
      <c r="K308" s="109" t="s">
        <v>154</v>
      </c>
      <c r="L308" s="297">
        <v>69.642857142857139</v>
      </c>
      <c r="M308" s="297"/>
      <c r="N308" s="297">
        <v>88.095238095238088</v>
      </c>
      <c r="O308" s="92"/>
      <c r="P308" s="228"/>
      <c r="Q308" s="297"/>
      <c r="R308" s="1488">
        <v>69.230769230769226</v>
      </c>
      <c r="S308" s="1430"/>
      <c r="T308" s="1488">
        <v>84.210526315789465</v>
      </c>
      <c r="U308" s="9810"/>
      <c r="V308" s="1490">
        <f>33/43*100</f>
        <v>76.744186046511629</v>
      </c>
      <c r="W308" s="2060"/>
      <c r="X308" s="2480" t="s">
        <v>1152</v>
      </c>
      <c r="Y308" s="24" t="s">
        <v>1153</v>
      </c>
      <c r="Z308" s="99" t="s">
        <v>758</v>
      </c>
      <c r="AA308" s="547" t="s">
        <v>800</v>
      </c>
      <c r="AB308" s="547"/>
      <c r="AC308" s="99"/>
      <c r="AD308" s="277" t="s">
        <v>1154</v>
      </c>
      <c r="AE308" s="277" t="s">
        <v>1121</v>
      </c>
      <c r="AF308" s="187"/>
      <c r="AG308" s="18"/>
    </row>
    <row r="309" spans="2:33" ht="19.350000000000001" customHeight="1">
      <c r="B309" s="1360"/>
      <c r="C309" s="736" t="s">
        <v>1157</v>
      </c>
      <c r="D309" s="736"/>
      <c r="E309" s="736"/>
      <c r="F309" s="1560"/>
      <c r="G309" s="685"/>
      <c r="H309" s="686" t="s">
        <v>1158</v>
      </c>
      <c r="I309" s="654"/>
      <c r="J309" s="655"/>
      <c r="K309" s="881" t="s">
        <v>734</v>
      </c>
      <c r="L309" s="890"/>
      <c r="M309" s="890"/>
      <c r="N309" s="890"/>
      <c r="O309" s="890"/>
      <c r="P309" s="890"/>
      <c r="Q309" s="890"/>
      <c r="R309" s="1586"/>
      <c r="S309" s="1587"/>
      <c r="T309" s="1588"/>
      <c r="U309" s="1587"/>
      <c r="V309" s="1588"/>
      <c r="W309" s="1572"/>
      <c r="X309" s="1564"/>
      <c r="Z309" s="99" t="s">
        <v>758</v>
      </c>
      <c r="AA309" s="547" t="s">
        <v>800</v>
      </c>
      <c r="AB309" s="547"/>
      <c r="AC309" s="99"/>
      <c r="AD309" s="277"/>
      <c r="AE309" s="277"/>
      <c r="AF309" s="187"/>
      <c r="AG309" s="18"/>
    </row>
    <row r="310" spans="2:33" ht="19.350000000000001" customHeight="1">
      <c r="B310" s="1360" t="b">
        <f t="shared" ref="B310:B311" si="32">OR(ISBLANK(R310),ISBLANK(T310),ISBLANK(V310))</f>
        <v>0</v>
      </c>
      <c r="C310" s="1383"/>
      <c r="D310" s="286" t="s">
        <v>1847</v>
      </c>
      <c r="E310" s="286"/>
      <c r="F310" s="285" t="s">
        <v>732</v>
      </c>
      <c r="G310" s="347"/>
      <c r="H310" s="348"/>
      <c r="I310" s="358" t="s">
        <v>1160</v>
      </c>
      <c r="J310" s="358"/>
      <c r="K310" s="109" t="s">
        <v>734</v>
      </c>
      <c r="L310" s="308"/>
      <c r="M310" s="297"/>
      <c r="N310" s="308"/>
      <c r="O310" s="92"/>
      <c r="P310" s="228"/>
      <c r="Q310" s="297"/>
      <c r="R310" s="1463">
        <v>40</v>
      </c>
      <c r="S310" s="1523"/>
      <c r="T310" s="1463">
        <v>46</v>
      </c>
      <c r="U310" s="9805" t="s">
        <v>1848</v>
      </c>
      <c r="V310" s="1464">
        <v>13</v>
      </c>
      <c r="W310" s="2060"/>
      <c r="X310" s="9799" t="s">
        <v>1161</v>
      </c>
      <c r="Y310" s="714" t="s">
        <v>1162</v>
      </c>
      <c r="Z310" s="99" t="s">
        <v>758</v>
      </c>
      <c r="AA310" s="547" t="s">
        <v>800</v>
      </c>
      <c r="AB310" s="547"/>
      <c r="AC310" s="99"/>
      <c r="AD310" s="277" t="s">
        <v>1163</v>
      </c>
      <c r="AE310" s="265"/>
      <c r="AF310" s="187"/>
      <c r="AG310" s="18"/>
    </row>
    <row r="311" spans="2:33" ht="19.350000000000001" customHeight="1">
      <c r="B311" s="1360" t="b">
        <f t="shared" si="32"/>
        <v>0</v>
      </c>
      <c r="C311" s="1384"/>
      <c r="D311" s="286" t="s">
        <v>1849</v>
      </c>
      <c r="E311" s="897"/>
      <c r="F311" s="285" t="s">
        <v>732</v>
      </c>
      <c r="G311" s="384"/>
      <c r="H311" s="385"/>
      <c r="I311" s="358" t="s">
        <v>1167</v>
      </c>
      <c r="J311" s="358"/>
      <c r="K311" s="109" t="s">
        <v>734</v>
      </c>
      <c r="L311" s="308"/>
      <c r="M311" s="297"/>
      <c r="N311" s="308"/>
      <c r="O311" s="92"/>
      <c r="P311" s="228"/>
      <c r="Q311" s="297"/>
      <c r="R311" s="1463">
        <v>24</v>
      </c>
      <c r="S311" s="1523"/>
      <c r="T311" s="1463">
        <v>24</v>
      </c>
      <c r="U311" s="9806"/>
      <c r="V311" s="1464">
        <v>31</v>
      </c>
      <c r="W311" s="2060"/>
      <c r="X311" s="9800"/>
      <c r="Y311" s="544"/>
      <c r="Z311" s="99" t="s">
        <v>758</v>
      </c>
      <c r="AA311" s="547" t="s">
        <v>800</v>
      </c>
      <c r="AB311" s="547"/>
      <c r="AC311" s="99"/>
      <c r="AD311" s="277" t="s">
        <v>1163</v>
      </c>
      <c r="AE311" s="265"/>
      <c r="AF311" s="187"/>
      <c r="AG311" s="18"/>
    </row>
    <row r="312" spans="2:33" ht="19.350000000000001" customHeight="1">
      <c r="B312" s="1360"/>
      <c r="C312" s="736" t="s">
        <v>1168</v>
      </c>
      <c r="D312" s="736"/>
      <c r="E312" s="736"/>
      <c r="F312" s="1560"/>
      <c r="G312" s="889"/>
      <c r="H312" s="736" t="s">
        <v>1169</v>
      </c>
      <c r="I312" s="736"/>
      <c r="J312" s="736"/>
      <c r="K312" s="881" t="s">
        <v>168</v>
      </c>
      <c r="L312" s="890"/>
      <c r="M312" s="890"/>
      <c r="N312" s="890"/>
      <c r="O312" s="890"/>
      <c r="P312" s="890"/>
      <c r="Q312" s="890"/>
      <c r="R312" s="1586"/>
      <c r="S312" s="1587"/>
      <c r="T312" s="1588"/>
      <c r="U312" s="1587"/>
      <c r="V312" s="1588"/>
      <c r="W312" s="1572"/>
      <c r="X312" s="1564"/>
      <c r="Z312" s="99" t="s">
        <v>737</v>
      </c>
      <c r="AA312" s="547" t="s">
        <v>800</v>
      </c>
      <c r="AB312" s="547"/>
      <c r="AC312" s="99"/>
      <c r="AD312" s="277"/>
      <c r="AE312" s="265"/>
      <c r="AF312" s="187"/>
      <c r="AG312" s="18"/>
    </row>
    <row r="313" spans="2:33" ht="19.350000000000001" customHeight="1">
      <c r="B313" s="1360" t="b">
        <f t="shared" ref="B313:B314" si="33">OR(ISBLANK(R313),ISBLANK(T313),ISBLANK(V313))</f>
        <v>0</v>
      </c>
      <c r="C313" s="1376"/>
      <c r="D313" s="286" t="s">
        <v>1850</v>
      </c>
      <c r="E313" s="286"/>
      <c r="F313" s="285" t="s">
        <v>732</v>
      </c>
      <c r="G313" s="347"/>
      <c r="H313" s="348"/>
      <c r="I313" s="495" t="s">
        <v>1171</v>
      </c>
      <c r="J313" s="643"/>
      <c r="K313" s="109" t="s">
        <v>734</v>
      </c>
      <c r="L313" s="297">
        <v>42</v>
      </c>
      <c r="M313" s="297"/>
      <c r="N313" s="297">
        <v>45</v>
      </c>
      <c r="O313" s="92"/>
      <c r="P313" s="228"/>
      <c r="Q313" s="297"/>
      <c r="R313" s="1463">
        <v>39</v>
      </c>
      <c r="S313" s="1523" t="s">
        <v>1175</v>
      </c>
      <c r="T313" s="1463">
        <v>40</v>
      </c>
      <c r="U313" s="1526" t="s">
        <v>1176</v>
      </c>
      <c r="V313" s="1463">
        <v>31</v>
      </c>
      <c r="W313" s="2060" t="s">
        <v>2067</v>
      </c>
      <c r="X313" s="2468" t="s">
        <v>1172</v>
      </c>
      <c r="Y313" s="276" t="s">
        <v>1173</v>
      </c>
      <c r="Z313" s="99" t="s">
        <v>737</v>
      </c>
      <c r="AA313" s="547" t="s">
        <v>800</v>
      </c>
      <c r="AB313" s="547"/>
      <c r="AC313" s="99"/>
      <c r="AD313" s="277" t="s">
        <v>1174</v>
      </c>
      <c r="AE313" s="265"/>
      <c r="AF313" s="187"/>
      <c r="AG313" s="18"/>
    </row>
    <row r="314" spans="2:33" ht="19.350000000000001" customHeight="1">
      <c r="B314" s="1360" t="b">
        <f t="shared" si="33"/>
        <v>0</v>
      </c>
      <c r="C314" s="915"/>
      <c r="D314" s="286" t="s">
        <v>1180</v>
      </c>
      <c r="E314" s="286"/>
      <c r="F314" s="285" t="s">
        <v>742</v>
      </c>
      <c r="G314" s="384"/>
      <c r="H314" s="385"/>
      <c r="I314" s="286" t="s">
        <v>1181</v>
      </c>
      <c r="J314" s="286"/>
      <c r="K314" s="109" t="s">
        <v>734</v>
      </c>
      <c r="L314" s="352">
        <v>28</v>
      </c>
      <c r="M314" s="352"/>
      <c r="N314" s="352">
        <v>23</v>
      </c>
      <c r="O314" s="350"/>
      <c r="P314" s="351"/>
      <c r="Q314" s="352"/>
      <c r="R314" s="1463">
        <v>28</v>
      </c>
      <c r="S314" s="1531" t="s">
        <v>1183</v>
      </c>
      <c r="T314" s="1463">
        <v>23</v>
      </c>
      <c r="U314" s="1532" t="s">
        <v>1851</v>
      </c>
      <c r="V314" s="1464">
        <v>22</v>
      </c>
      <c r="W314" s="2064"/>
      <c r="X314" s="1052" t="s">
        <v>1172</v>
      </c>
      <c r="Y314" s="714" t="s">
        <v>1173</v>
      </c>
      <c r="Z314" s="99" t="s">
        <v>737</v>
      </c>
      <c r="AA314" s="547" t="s">
        <v>800</v>
      </c>
      <c r="AB314" s="547"/>
      <c r="AC314" s="99"/>
      <c r="AD314" s="277" t="s">
        <v>1174</v>
      </c>
      <c r="AE314" s="265"/>
      <c r="AF314" s="187"/>
      <c r="AG314" s="18"/>
    </row>
    <row r="315" spans="2:33" ht="19.350000000000001" customHeight="1">
      <c r="B315" s="1353"/>
      <c r="C315" s="947" t="s">
        <v>1186</v>
      </c>
      <c r="D315" s="728"/>
      <c r="E315" s="947"/>
      <c r="F315" s="1568"/>
      <c r="G315" s="889"/>
      <c r="H315" s="736" t="s">
        <v>1187</v>
      </c>
      <c r="I315" s="736"/>
      <c r="J315" s="736"/>
      <c r="K315" s="881" t="s">
        <v>168</v>
      </c>
      <c r="L315" s="890"/>
      <c r="M315" s="890"/>
      <c r="N315" s="890"/>
      <c r="O315" s="890"/>
      <c r="P315" s="890"/>
      <c r="Q315" s="890"/>
      <c r="R315" s="1583"/>
      <c r="S315" s="1584"/>
      <c r="T315" s="1585"/>
      <c r="U315" s="1584"/>
      <c r="V315" s="1585"/>
      <c r="W315" s="1572"/>
      <c r="X315" s="1564"/>
      <c r="Z315" s="99" t="s">
        <v>737</v>
      </c>
      <c r="AA315" s="547"/>
      <c r="AB315" s="547"/>
      <c r="AC315" s="99"/>
      <c r="AD315" s="277"/>
      <c r="AE315" s="277"/>
      <c r="AF315" s="187"/>
      <c r="AG315" s="18"/>
    </row>
    <row r="316" spans="2:33" ht="19.350000000000001" customHeight="1">
      <c r="B316" s="1360" t="b">
        <f t="shared" ref="B316:B325" si="34">OR(ISBLANK(R316),ISBLANK(T316),ISBLANK(V316))</f>
        <v>0</v>
      </c>
      <c r="C316" s="1376"/>
      <c r="D316" s="286" t="s">
        <v>1188</v>
      </c>
      <c r="E316" s="286"/>
      <c r="F316" s="285" t="s">
        <v>156</v>
      </c>
      <c r="G316" s="905"/>
      <c r="H316" s="906"/>
      <c r="I316" s="907" t="s">
        <v>1189</v>
      </c>
      <c r="J316" s="908"/>
      <c r="K316" s="109" t="s">
        <v>156</v>
      </c>
      <c r="L316" s="297">
        <v>90.950226244343895</v>
      </c>
      <c r="M316" s="297"/>
      <c r="N316" s="297">
        <v>92.012480499219976</v>
      </c>
      <c r="O316" s="92"/>
      <c r="P316" s="228"/>
      <c r="Q316" s="297"/>
      <c r="R316" s="1488">
        <v>88.722466960352421</v>
      </c>
      <c r="S316" s="1430"/>
      <c r="T316" s="1488">
        <v>94.895168641750232</v>
      </c>
      <c r="U316" s="935"/>
      <c r="V316" s="1490">
        <v>95.211786372007396</v>
      </c>
      <c r="W316" s="2060"/>
      <c r="X316" s="2468" t="s">
        <v>1190</v>
      </c>
      <c r="Y316" s="276" t="s">
        <v>1191</v>
      </c>
      <c r="Z316" s="99" t="s">
        <v>737</v>
      </c>
      <c r="AA316" s="547"/>
      <c r="AB316" s="547"/>
      <c r="AC316" s="99"/>
      <c r="AD316" s="277" t="s">
        <v>1192</v>
      </c>
      <c r="AE316" s="277" t="s">
        <v>1193</v>
      </c>
      <c r="AF316" s="187"/>
      <c r="AG316" s="18"/>
    </row>
    <row r="317" spans="2:33" ht="19.350000000000001" customHeight="1">
      <c r="B317" s="1360" t="b">
        <f t="shared" si="34"/>
        <v>0</v>
      </c>
      <c r="C317" s="27"/>
      <c r="D317" s="286" t="s">
        <v>1196</v>
      </c>
      <c r="E317" s="286"/>
      <c r="F317" s="285" t="s">
        <v>156</v>
      </c>
      <c r="G317" s="909"/>
      <c r="H317" s="910"/>
      <c r="I317" s="907" t="s">
        <v>1197</v>
      </c>
      <c r="J317" s="908"/>
      <c r="K317" s="109" t="s">
        <v>156</v>
      </c>
      <c r="L317" s="297">
        <v>90.950226244343895</v>
      </c>
      <c r="M317" s="297"/>
      <c r="N317" s="297">
        <v>92.043681747269886</v>
      </c>
      <c r="O317" s="92"/>
      <c r="P317" s="228"/>
      <c r="Q317" s="297"/>
      <c r="R317" s="1488">
        <v>87.224669603524234</v>
      </c>
      <c r="S317" s="1430"/>
      <c r="T317" s="1488">
        <v>93.25432999088423</v>
      </c>
      <c r="U317" s="935"/>
      <c r="V317" s="1490">
        <v>93.462246777163898</v>
      </c>
      <c r="W317" s="2060"/>
      <c r="X317" s="2468"/>
      <c r="Y317" s="276"/>
      <c r="Z317" s="99" t="s">
        <v>737</v>
      </c>
      <c r="AA317" s="547"/>
      <c r="AB317" s="547"/>
      <c r="AC317" s="99"/>
      <c r="AD317" s="277" t="s">
        <v>1192</v>
      </c>
      <c r="AE317" s="277" t="s">
        <v>1193</v>
      </c>
      <c r="AF317" s="187"/>
      <c r="AG317" s="18"/>
    </row>
    <row r="318" spans="2:33" ht="19.350000000000001" customHeight="1">
      <c r="B318" s="1360" t="b">
        <f t="shared" si="34"/>
        <v>0</v>
      </c>
      <c r="C318" s="915"/>
      <c r="D318" s="893" t="s">
        <v>1198</v>
      </c>
      <c r="E318" s="911"/>
      <c r="F318" s="285" t="s">
        <v>156</v>
      </c>
      <c r="G318" s="912"/>
      <c r="H318" s="913"/>
      <c r="I318" s="777" t="s">
        <v>1852</v>
      </c>
      <c r="J318" s="777"/>
      <c r="K318" s="109" t="s">
        <v>156</v>
      </c>
      <c r="L318" s="297">
        <v>90.497737556561091</v>
      </c>
      <c r="M318" s="297"/>
      <c r="N318" s="297">
        <v>91.513260530421221</v>
      </c>
      <c r="O318" s="92"/>
      <c r="P318" s="228"/>
      <c r="Q318" s="297"/>
      <c r="R318" s="1488">
        <v>87.224669603524234</v>
      </c>
      <c r="S318" s="1430"/>
      <c r="T318" s="1488">
        <v>93.25432999088423</v>
      </c>
      <c r="U318" s="935"/>
      <c r="V318" s="1490">
        <v>93.093922651933696</v>
      </c>
      <c r="W318" s="2060"/>
      <c r="X318" s="2468"/>
      <c r="Z318" s="99" t="s">
        <v>737</v>
      </c>
      <c r="AA318" s="546"/>
      <c r="AB318" s="547"/>
      <c r="AC318" s="796"/>
      <c r="AD318" s="277" t="s">
        <v>1192</v>
      </c>
      <c r="AE318" s="277" t="s">
        <v>1193</v>
      </c>
      <c r="AF318" s="187"/>
      <c r="AG318" s="18"/>
    </row>
    <row r="319" spans="2:33" ht="19.350000000000001" customHeight="1">
      <c r="B319" s="1360" t="b">
        <f t="shared" si="34"/>
        <v>0</v>
      </c>
      <c r="C319" s="781" t="s">
        <v>1200</v>
      </c>
      <c r="D319" s="781"/>
      <c r="E319" s="781"/>
      <c r="F319" s="285" t="s">
        <v>156</v>
      </c>
      <c r="G319" s="777"/>
      <c r="H319" s="757" t="s">
        <v>1201</v>
      </c>
      <c r="I319" s="753"/>
      <c r="J319" s="908"/>
      <c r="K319" s="109" t="s">
        <v>156</v>
      </c>
      <c r="L319" s="354">
        <f>IFERROR(L320/L321*100,"-")</f>
        <v>8.5199979057591637</v>
      </c>
      <c r="M319" s="95"/>
      <c r="N319" s="354">
        <f>IFERROR(N320/N321*100,"-")</f>
        <v>3.7333833254205868</v>
      </c>
      <c r="O319" s="92"/>
      <c r="P319" s="356" t="str">
        <f>IFERROR(P320/P321*100,"-")</f>
        <v>-</v>
      </c>
      <c r="Q319" s="356"/>
      <c r="R319" s="1487">
        <v>8.5199979057591637</v>
      </c>
      <c r="S319" s="1431"/>
      <c r="T319" s="1487">
        <v>3.7333833254205868</v>
      </c>
      <c r="U319" s="1431"/>
      <c r="V319" s="1487">
        <f>IFERROR(V320/V321*100,"-")</f>
        <v>3.5044947180263271</v>
      </c>
      <c r="W319" s="2065"/>
      <c r="X319" s="2468" t="s">
        <v>1202</v>
      </c>
      <c r="Y319" s="544" t="s">
        <v>1203</v>
      </c>
      <c r="Z319" s="873" t="s">
        <v>737</v>
      </c>
      <c r="AA319" s="547"/>
      <c r="AB319" s="547"/>
      <c r="AC319" s="873"/>
      <c r="AD319" s="277" t="s">
        <v>1204</v>
      </c>
      <c r="AE319" s="265"/>
      <c r="AF319" s="187"/>
      <c r="AG319" s="18"/>
    </row>
    <row r="320" spans="2:33" ht="19.350000000000001" customHeight="1">
      <c r="B320" s="1360" t="b">
        <f t="shared" si="34"/>
        <v>0</v>
      </c>
      <c r="C320" s="915"/>
      <c r="D320" s="914" t="s">
        <v>1205</v>
      </c>
      <c r="E320" s="915"/>
      <c r="F320" s="285" t="s">
        <v>33</v>
      </c>
      <c r="G320" s="912"/>
      <c r="H320" s="913"/>
      <c r="I320" s="913" t="s">
        <v>1206</v>
      </c>
      <c r="J320" s="913"/>
      <c r="K320" s="109" t="s">
        <v>35</v>
      </c>
      <c r="L320" s="916">
        <v>48.819588000000003</v>
      </c>
      <c r="M320" s="874"/>
      <c r="N320" s="916">
        <v>55.568705999999999</v>
      </c>
      <c r="O320" s="875"/>
      <c r="P320" s="876"/>
      <c r="Q320" s="874"/>
      <c r="R320" s="1488">
        <v>48.819588000000003</v>
      </c>
      <c r="S320" s="1439" t="s">
        <v>1209</v>
      </c>
      <c r="T320" s="1488">
        <v>55.568705999999999</v>
      </c>
      <c r="U320" s="1440" t="s">
        <v>1209</v>
      </c>
      <c r="V320" s="1521">
        <v>51.010297999999999</v>
      </c>
      <c r="W320" s="2089"/>
      <c r="X320" s="2483"/>
      <c r="Y320" s="544"/>
      <c r="Z320" s="109" t="s">
        <v>737</v>
      </c>
      <c r="AA320" s="547"/>
      <c r="AB320" s="547"/>
      <c r="AC320" s="109"/>
      <c r="AD320" s="277" t="s">
        <v>1204</v>
      </c>
      <c r="AE320" s="265"/>
      <c r="AF320" s="187" t="s">
        <v>1207</v>
      </c>
      <c r="AG320" s="18"/>
    </row>
    <row r="321" spans="1:34" ht="19.350000000000001" customHeight="1">
      <c r="B321" s="1360" t="b">
        <f t="shared" si="34"/>
        <v>0</v>
      </c>
      <c r="C321" s="921"/>
      <c r="D321" s="920" t="s">
        <v>1215</v>
      </c>
      <c r="E321" s="921"/>
      <c r="F321" s="285" t="s">
        <v>33</v>
      </c>
      <c r="G321" s="777"/>
      <c r="H321" s="922"/>
      <c r="I321" s="922" t="s">
        <v>1216</v>
      </c>
      <c r="J321" s="922"/>
      <c r="K321" s="109" t="s">
        <v>35</v>
      </c>
      <c r="L321" s="923">
        <v>573</v>
      </c>
      <c r="M321" s="297"/>
      <c r="N321" s="923">
        <v>1488.427551</v>
      </c>
      <c r="O321" s="92"/>
      <c r="P321" s="228"/>
      <c r="Q321" s="297"/>
      <c r="R321" s="1488">
        <v>573</v>
      </c>
      <c r="S321" s="1430" t="s">
        <v>1218</v>
      </c>
      <c r="T321" s="1488">
        <v>1488.427551</v>
      </c>
      <c r="U321" s="935" t="s">
        <v>1218</v>
      </c>
      <c r="V321" s="1490">
        <v>1455.5678379999999</v>
      </c>
      <c r="W321" s="2060"/>
      <c r="X321" s="2468"/>
      <c r="Y321" s="276"/>
      <c r="Z321" s="109" t="s">
        <v>737</v>
      </c>
      <c r="AA321" s="547"/>
      <c r="AB321" s="547"/>
      <c r="AC321" s="109"/>
      <c r="AD321" s="277" t="s">
        <v>1204</v>
      </c>
      <c r="AE321" s="427"/>
      <c r="AF321" s="187" t="s">
        <v>1207</v>
      </c>
      <c r="AG321" s="18"/>
    </row>
    <row r="322" spans="1:34" ht="19.350000000000001" customHeight="1">
      <c r="B322" s="1353" t="str">
        <f>C322</f>
        <v>최저(생활)임금을 받는 임직원 비율</v>
      </c>
      <c r="C322" s="924" t="s">
        <v>1221</v>
      </c>
      <c r="D322" s="924"/>
      <c r="E322" s="924"/>
      <c r="F322" s="285" t="s">
        <v>156</v>
      </c>
      <c r="G322" s="777"/>
      <c r="H322" s="925" t="s">
        <v>1222</v>
      </c>
      <c r="I322" s="926"/>
      <c r="J322" s="927"/>
      <c r="K322" s="109" t="s">
        <v>156</v>
      </c>
      <c r="L322" s="391">
        <f>IFERROR(L323/L324*100,"-")</f>
        <v>0</v>
      </c>
      <c r="M322" s="928"/>
      <c r="N322" s="391">
        <f>IFERROR(N323/N324*100,"-")</f>
        <v>0</v>
      </c>
      <c r="O322" s="929"/>
      <c r="P322" s="391" t="str">
        <f>IFERROR(P323/P324*100,"-")</f>
        <v>-</v>
      </c>
      <c r="Q322" s="391"/>
      <c r="R322" s="1487">
        <v>0</v>
      </c>
      <c r="S322" s="1667" t="s">
        <v>1780</v>
      </c>
      <c r="T322" s="1487">
        <v>0</v>
      </c>
      <c r="U322" s="1667" t="s">
        <v>1780</v>
      </c>
      <c r="V322" s="1487">
        <v>0</v>
      </c>
      <c r="W322" s="2090" t="s">
        <v>1780</v>
      </c>
      <c r="X322" s="2468" t="s">
        <v>1223</v>
      </c>
      <c r="Y322" s="276" t="s">
        <v>1224</v>
      </c>
      <c r="Z322" s="109" t="s">
        <v>737</v>
      </c>
      <c r="AA322" s="547"/>
      <c r="AB322" s="547"/>
      <c r="AC322" s="299" t="s">
        <v>193</v>
      </c>
      <c r="AD322" s="277" t="s">
        <v>1225</v>
      </c>
      <c r="AE322" s="427"/>
      <c r="AF322" s="221"/>
      <c r="AG322" s="18"/>
    </row>
    <row r="323" spans="1:34" ht="19.350000000000001" customHeight="1">
      <c r="B323" s="1360" t="b">
        <f t="shared" si="34"/>
        <v>1</v>
      </c>
      <c r="C323" s="1210"/>
      <c r="D323" s="931" t="s">
        <v>1226</v>
      </c>
      <c r="E323" s="931"/>
      <c r="F323" s="285" t="s">
        <v>33</v>
      </c>
      <c r="G323" s="777"/>
      <c r="H323" s="922"/>
      <c r="I323" s="932" t="s">
        <v>1227</v>
      </c>
      <c r="J323" s="922"/>
      <c r="K323" s="109" t="s">
        <v>35</v>
      </c>
      <c r="L323" s="933"/>
      <c r="M323" s="290"/>
      <c r="N323" s="933"/>
      <c r="O323" s="284"/>
      <c r="P323" s="228"/>
      <c r="Q323" s="297"/>
      <c r="R323" s="1488"/>
      <c r="S323" s="934" t="s">
        <v>302</v>
      </c>
      <c r="T323" s="1488"/>
      <c r="U323" s="930" t="s">
        <v>302</v>
      </c>
      <c r="V323" s="1490"/>
      <c r="W323" s="2060" t="s">
        <v>1780</v>
      </c>
      <c r="X323" s="2468"/>
      <c r="Y323" s="276"/>
      <c r="Z323" s="109" t="s">
        <v>737</v>
      </c>
      <c r="AA323" s="547"/>
      <c r="AB323" s="547"/>
      <c r="AC323" s="299" t="s">
        <v>193</v>
      </c>
      <c r="AD323" s="277" t="s">
        <v>1225</v>
      </c>
      <c r="AE323" s="265"/>
      <c r="AF323" s="187"/>
      <c r="AG323" s="18"/>
    </row>
    <row r="324" spans="1:34" ht="19.350000000000001" customHeight="1">
      <c r="B324" s="1360" t="b">
        <f t="shared" si="34"/>
        <v>0</v>
      </c>
      <c r="C324" s="1385"/>
      <c r="D324" s="936" t="s">
        <v>1031</v>
      </c>
      <c r="E324" s="924"/>
      <c r="F324" s="285" t="s">
        <v>33</v>
      </c>
      <c r="G324" s="777"/>
      <c r="H324" s="922"/>
      <c r="I324" s="932" t="s">
        <v>1032</v>
      </c>
      <c r="J324" s="922"/>
      <c r="K324" s="109" t="s">
        <v>35</v>
      </c>
      <c r="L324" s="937">
        <v>6507</v>
      </c>
      <c r="M324" s="938"/>
      <c r="N324" s="937">
        <v>8712</v>
      </c>
      <c r="O324" s="939"/>
      <c r="P324" s="937">
        <v>0</v>
      </c>
      <c r="Q324" s="937"/>
      <c r="R324" s="1488">
        <v>3601</v>
      </c>
      <c r="S324" s="934" t="s">
        <v>302</v>
      </c>
      <c r="T324" s="1488">
        <v>4502</v>
      </c>
      <c r="U324" s="930" t="s">
        <v>302</v>
      </c>
      <c r="V324" s="5488">
        <v>4684</v>
      </c>
      <c r="W324" s="2091" t="s">
        <v>1780</v>
      </c>
      <c r="X324" s="2468"/>
      <c r="Y324" s="276"/>
      <c r="Z324" s="109" t="s">
        <v>737</v>
      </c>
      <c r="AA324" s="547"/>
      <c r="AB324" s="547"/>
      <c r="AC324" s="299" t="s">
        <v>193</v>
      </c>
      <c r="AD324" s="277" t="s">
        <v>1225</v>
      </c>
      <c r="AE324" s="265"/>
      <c r="AF324" s="187"/>
      <c r="AG324" s="18"/>
    </row>
    <row r="325" spans="1:34" ht="19.350000000000001" customHeight="1" thickBot="1">
      <c r="B325" s="1361" t="b">
        <f t="shared" si="34"/>
        <v>1</v>
      </c>
      <c r="C325" s="924" t="s">
        <v>1229</v>
      </c>
      <c r="D325" s="924"/>
      <c r="E325" s="924"/>
      <c r="F325" s="942" t="s">
        <v>156</v>
      </c>
      <c r="G325" s="707"/>
      <c r="H325" s="943" t="s">
        <v>1230</v>
      </c>
      <c r="I325" s="944"/>
      <c r="J325" s="945"/>
      <c r="K325" s="873" t="s">
        <v>156</v>
      </c>
      <c r="L325" s="946"/>
      <c r="M325" s="874"/>
      <c r="N325" s="946"/>
      <c r="O325" s="875"/>
      <c r="P325" s="876"/>
      <c r="Q325" s="874"/>
      <c r="R325" s="1504"/>
      <c r="S325" s="1442"/>
      <c r="T325" s="1504"/>
      <c r="U325" s="1230"/>
      <c r="V325" s="1521"/>
      <c r="W325" s="2089"/>
      <c r="X325" s="2483"/>
      <c r="Y325" s="544"/>
      <c r="Z325" s="873" t="s">
        <v>1231</v>
      </c>
      <c r="AA325" s="547"/>
      <c r="AB325" s="547" t="s">
        <v>1232</v>
      </c>
      <c r="AC325" s="873"/>
      <c r="AD325" s="277"/>
      <c r="AE325" s="336" t="s">
        <v>1233</v>
      </c>
      <c r="AF325" s="187"/>
      <c r="AG325" s="18"/>
    </row>
    <row r="326" spans="1:34" ht="27" thickBot="1">
      <c r="B326" s="123" t="s">
        <v>1234</v>
      </c>
      <c r="C326" s="124"/>
      <c r="D326" s="124"/>
      <c r="E326" s="124"/>
      <c r="F326" s="78"/>
      <c r="G326" s="1272" t="s">
        <v>1440</v>
      </c>
      <c r="H326" s="1132"/>
      <c r="I326" s="1132"/>
      <c r="J326" s="1273"/>
      <c r="K326" s="518"/>
      <c r="L326" s="600"/>
      <c r="M326" s="600"/>
      <c r="N326" s="600"/>
      <c r="O326" s="600"/>
      <c r="P326" s="600"/>
      <c r="Q326" s="1004"/>
      <c r="R326" s="1485"/>
      <c r="S326" s="1447"/>
      <c r="T326" s="1485"/>
      <c r="U326" s="1447"/>
      <c r="V326" s="1485"/>
      <c r="W326" s="1004"/>
      <c r="X326" s="80"/>
      <c r="Y326" s="1133"/>
      <c r="Z326" s="1274"/>
      <c r="AA326" s="129"/>
      <c r="AB326" s="129"/>
      <c r="AC326" s="1274"/>
      <c r="AD326" s="328"/>
      <c r="AE326" s="328"/>
      <c r="AF326" s="1006"/>
      <c r="AG326"/>
      <c r="AH326"/>
    </row>
    <row r="327" spans="1:34" s="139" customFormat="1" ht="20.100000000000001" customHeight="1">
      <c r="A327" s="11"/>
      <c r="B327" s="1353" t="str">
        <f>C327</f>
        <v>임직원 산업재해율</v>
      </c>
      <c r="C327" s="947" t="s">
        <v>1236</v>
      </c>
      <c r="D327" s="947"/>
      <c r="E327" s="947"/>
      <c r="F327" s="1573"/>
      <c r="G327" s="948"/>
      <c r="H327" s="949" t="s">
        <v>1237</v>
      </c>
      <c r="I327" s="949"/>
      <c r="J327" s="950"/>
      <c r="K327" s="731" t="s">
        <v>168</v>
      </c>
      <c r="L327" s="951"/>
      <c r="M327" s="951"/>
      <c r="N327" s="951"/>
      <c r="O327" s="951"/>
      <c r="P327" s="951"/>
      <c r="Q327" s="951"/>
      <c r="R327" s="5801">
        <v>1.2E-2</v>
      </c>
      <c r="S327" s="5802"/>
      <c r="T327" s="5803">
        <v>1.0999999999999999E-2</v>
      </c>
      <c r="U327" s="5802"/>
      <c r="V327" s="5803">
        <v>6.0000000000000001E-3</v>
      </c>
      <c r="W327" s="2092"/>
      <c r="X327" s="2486"/>
      <c r="Y327" s="955"/>
      <c r="Z327" s="956" t="s">
        <v>206</v>
      </c>
      <c r="AA327" s="547"/>
      <c r="AB327" s="547"/>
      <c r="AC327" s="873"/>
      <c r="AD327" s="896"/>
      <c r="AE327" s="694"/>
      <c r="AF327" s="957"/>
      <c r="AG327" s="18"/>
    </row>
    <row r="328" spans="1:34" ht="20.100000000000001" customHeight="1">
      <c r="B328" s="1360" t="b">
        <f t="shared" ref="B328:B368" si="35">OR(ISBLANK(R328),ISBLANK(T328),ISBLANK(V328))</f>
        <v>0</v>
      </c>
      <c r="C328" s="1357"/>
      <c r="D328" s="893" t="s">
        <v>1238</v>
      </c>
      <c r="E328" s="893"/>
      <c r="F328" s="492" t="s">
        <v>154</v>
      </c>
      <c r="G328" s="662"/>
      <c r="H328" s="322"/>
      <c r="I328" s="344" t="s">
        <v>1239</v>
      </c>
      <c r="J328" s="296"/>
      <c r="K328" s="91" t="s">
        <v>154</v>
      </c>
      <c r="L328" s="340"/>
      <c r="M328" s="958"/>
      <c r="N328" s="340"/>
      <c r="O328" s="958"/>
      <c r="P328" s="340"/>
      <c r="Q328" s="341"/>
      <c r="R328" s="5804">
        <v>0</v>
      </c>
      <c r="S328" s="5805"/>
      <c r="T328" s="5804">
        <v>0</v>
      </c>
      <c r="U328" s="5805"/>
      <c r="V328" s="5806">
        <v>8.0000000000000002E-3</v>
      </c>
      <c r="W328" s="2063"/>
      <c r="X328" s="2483"/>
      <c r="Y328" s="544"/>
      <c r="Z328" s="873" t="s">
        <v>206</v>
      </c>
      <c r="AA328" s="547"/>
      <c r="AB328" s="547"/>
      <c r="AC328" s="873"/>
      <c r="AD328" s="896" t="s">
        <v>1240</v>
      </c>
      <c r="AE328" s="694"/>
      <c r="AF328" s="957" t="s">
        <v>1241</v>
      </c>
      <c r="AG328" s="18"/>
    </row>
    <row r="329" spans="1:34" ht="20.100000000000001" customHeight="1">
      <c r="B329" s="1360" t="b">
        <f t="shared" si="35"/>
        <v>1</v>
      </c>
      <c r="C329" s="1357"/>
      <c r="D329" s="893" t="s">
        <v>1242</v>
      </c>
      <c r="E329" s="893"/>
      <c r="F329" s="492" t="s">
        <v>154</v>
      </c>
      <c r="G329" s="662"/>
      <c r="H329" s="322"/>
      <c r="I329" s="961" t="s">
        <v>1243</v>
      </c>
      <c r="J329" s="922"/>
      <c r="K329" s="136" t="s">
        <v>154</v>
      </c>
      <c r="L329" s="303"/>
      <c r="M329" s="962"/>
      <c r="N329" s="303"/>
      <c r="O329" s="962"/>
      <c r="P329" s="303"/>
      <c r="Q329" s="371"/>
      <c r="R329" s="5807"/>
      <c r="S329" s="5808"/>
      <c r="T329" s="5807"/>
      <c r="U329" s="5808"/>
      <c r="V329" s="5807"/>
      <c r="W329" s="2066"/>
      <c r="X329" s="2468"/>
      <c r="Y329" s="276"/>
      <c r="Z329" s="109" t="s">
        <v>206</v>
      </c>
      <c r="AA329" s="547"/>
      <c r="AB329" s="547"/>
      <c r="AC329" s="109"/>
      <c r="AD329" s="896" t="s">
        <v>1244</v>
      </c>
      <c r="AE329" s="694"/>
      <c r="AF329" s="957" t="s">
        <v>1245</v>
      </c>
      <c r="AG329" s="18"/>
    </row>
    <row r="330" spans="1:34" ht="20.100000000000001" customHeight="1">
      <c r="B330" s="1360" t="b">
        <f t="shared" si="35"/>
        <v>0</v>
      </c>
      <c r="C330" s="1357"/>
      <c r="D330" s="931" t="s">
        <v>1246</v>
      </c>
      <c r="E330" s="931"/>
      <c r="F330" s="132" t="s">
        <v>154</v>
      </c>
      <c r="G330" s="662"/>
      <c r="H330" s="322"/>
      <c r="I330" s="932" t="s">
        <v>1247</v>
      </c>
      <c r="J330" s="922"/>
      <c r="K330" s="136" t="s">
        <v>154</v>
      </c>
      <c r="L330" s="303"/>
      <c r="M330" s="962"/>
      <c r="N330" s="303"/>
      <c r="O330" s="962"/>
      <c r="P330" s="303"/>
      <c r="Q330" s="371"/>
      <c r="R330" s="5807">
        <v>1.9E-2</v>
      </c>
      <c r="S330" s="5808"/>
      <c r="T330" s="5807">
        <v>1.6E-2</v>
      </c>
      <c r="U330" s="5808"/>
      <c r="V330" s="5807">
        <v>6.0000000000000001E-3</v>
      </c>
      <c r="W330" s="2066"/>
      <c r="X330" s="2468"/>
      <c r="Y330" s="276"/>
      <c r="Z330" s="109" t="s">
        <v>206</v>
      </c>
      <c r="AA330" s="547"/>
      <c r="AB330" s="547"/>
      <c r="AC330" s="109"/>
      <c r="AD330" s="896" t="s">
        <v>1240</v>
      </c>
      <c r="AE330" s="694"/>
      <c r="AF330" s="957" t="s">
        <v>1245</v>
      </c>
      <c r="AG330" s="18"/>
    </row>
    <row r="331" spans="1:34" s="139" customFormat="1" ht="20.100000000000001" customHeight="1">
      <c r="A331" s="11"/>
      <c r="B331" s="1360" t="b">
        <f t="shared" si="35"/>
        <v>1</v>
      </c>
      <c r="C331" s="1386"/>
      <c r="D331" s="931" t="s">
        <v>1248</v>
      </c>
      <c r="E331" s="931"/>
      <c r="F331" s="132" t="s">
        <v>154</v>
      </c>
      <c r="G331" s="343"/>
      <c r="H331" s="296"/>
      <c r="I331" s="932" t="s">
        <v>1249</v>
      </c>
      <c r="J331" s="922"/>
      <c r="K331" s="136" t="s">
        <v>154</v>
      </c>
      <c r="L331" s="303"/>
      <c r="M331" s="962"/>
      <c r="N331" s="303"/>
      <c r="O331" s="962"/>
      <c r="P331" s="303"/>
      <c r="Q331" s="371"/>
      <c r="R331" s="1496"/>
      <c r="S331" s="1444"/>
      <c r="T331" s="1496"/>
      <c r="U331" s="1444"/>
      <c r="V331" s="1496"/>
      <c r="W331" s="2066"/>
      <c r="X331" s="2468"/>
      <c r="Y331" s="276"/>
      <c r="Z331" s="109" t="s">
        <v>206</v>
      </c>
      <c r="AA331" s="547"/>
      <c r="AB331" s="547"/>
      <c r="AC331" s="109"/>
      <c r="AD331" s="896" t="s">
        <v>1244</v>
      </c>
      <c r="AE331" s="694"/>
      <c r="AF331" s="957" t="s">
        <v>1241</v>
      </c>
      <c r="AG331" s="18"/>
    </row>
    <row r="332" spans="1:34" ht="20.100000000000001" customHeight="1">
      <c r="B332" s="1360" t="b">
        <f t="shared" si="35"/>
        <v>0</v>
      </c>
      <c r="C332" s="781" t="s">
        <v>1250</v>
      </c>
      <c r="D332" s="781"/>
      <c r="E332" s="781"/>
      <c r="F332" s="132" t="s">
        <v>557</v>
      </c>
      <c r="G332" s="777"/>
      <c r="H332" s="757" t="s">
        <v>1251</v>
      </c>
      <c r="I332" s="753"/>
      <c r="J332" s="908"/>
      <c r="K332" s="109" t="s">
        <v>559</v>
      </c>
      <c r="L332" s="381">
        <v>7</v>
      </c>
      <c r="M332" s="381">
        <v>1.1068943706514865E-3</v>
      </c>
      <c r="N332" s="381">
        <v>7</v>
      </c>
      <c r="O332" s="304">
        <v>8.2537436623039738E-4</v>
      </c>
      <c r="P332" s="274"/>
      <c r="Q332" s="381"/>
      <c r="R332" s="1463">
        <v>4</v>
      </c>
      <c r="S332" s="1533" t="s">
        <v>1254</v>
      </c>
      <c r="T332" s="1463">
        <v>5</v>
      </c>
      <c r="U332" s="1522" t="s">
        <v>1255</v>
      </c>
      <c r="V332" s="1461">
        <v>3</v>
      </c>
      <c r="W332" s="2068"/>
      <c r="X332" s="2468" t="s">
        <v>1250</v>
      </c>
      <c r="Y332" s="276" t="s">
        <v>1252</v>
      </c>
      <c r="Z332" s="109" t="s">
        <v>206</v>
      </c>
      <c r="AA332" s="547"/>
      <c r="AB332" s="547"/>
      <c r="AC332" s="109"/>
      <c r="AD332" s="896" t="s">
        <v>1253</v>
      </c>
      <c r="AE332" s="694"/>
      <c r="AF332" s="957"/>
      <c r="AG332" s="18"/>
    </row>
    <row r="333" spans="1:34" ht="20.100000000000001" customHeight="1">
      <c r="B333" s="1360" t="b">
        <f t="shared" si="35"/>
        <v>1</v>
      </c>
      <c r="C333" s="781" t="s">
        <v>1258</v>
      </c>
      <c r="D333" s="781"/>
      <c r="E333" s="781"/>
      <c r="F333" s="132" t="s">
        <v>557</v>
      </c>
      <c r="G333" s="777"/>
      <c r="H333" s="757" t="s">
        <v>1259</v>
      </c>
      <c r="I333" s="753"/>
      <c r="J333" s="908"/>
      <c r="K333" s="109" t="s">
        <v>559</v>
      </c>
      <c r="L333" s="381">
        <v>0</v>
      </c>
      <c r="M333" s="381"/>
      <c r="N333" s="381">
        <v>0</v>
      </c>
      <c r="O333" s="304"/>
      <c r="P333" s="274"/>
      <c r="Q333" s="381"/>
      <c r="R333" s="1463">
        <v>0</v>
      </c>
      <c r="S333" s="1533">
        <v>0</v>
      </c>
      <c r="T333" s="1463">
        <v>0</v>
      </c>
      <c r="U333" s="1522">
        <v>0</v>
      </c>
      <c r="V333" s="1461"/>
      <c r="W333" s="2068"/>
      <c r="X333" s="2468" t="s">
        <v>1260</v>
      </c>
      <c r="Y333" s="276" t="s">
        <v>1259</v>
      </c>
      <c r="Z333" s="109" t="s">
        <v>206</v>
      </c>
      <c r="AA333" s="547"/>
      <c r="AB333" s="547"/>
      <c r="AC333" s="109"/>
      <c r="AD333" s="896" t="s">
        <v>1240</v>
      </c>
      <c r="AE333" s="694"/>
      <c r="AF333" s="957"/>
      <c r="AG333" s="18"/>
    </row>
    <row r="334" spans="1:34" ht="20.100000000000001" customHeight="1">
      <c r="B334" s="1360" t="b">
        <f>OR(ISBLANK(R334),ISBLANK(T334),ISBLANK(V334))</f>
        <v>0</v>
      </c>
      <c r="C334" s="781" t="s">
        <v>1261</v>
      </c>
      <c r="D334" s="781"/>
      <c r="E334" s="781"/>
      <c r="F334" s="132" t="s">
        <v>557</v>
      </c>
      <c r="G334" s="777"/>
      <c r="H334" s="757" t="s">
        <v>1262</v>
      </c>
      <c r="I334" s="753"/>
      <c r="J334" s="908"/>
      <c r="K334" s="109" t="s">
        <v>559</v>
      </c>
      <c r="L334" s="381">
        <v>0</v>
      </c>
      <c r="M334" s="381"/>
      <c r="N334" s="381">
        <v>0</v>
      </c>
      <c r="O334" s="304" t="s">
        <v>527</v>
      </c>
      <c r="P334" s="274"/>
      <c r="Q334" s="381"/>
      <c r="R334" s="1463">
        <v>0</v>
      </c>
      <c r="S334" s="1533">
        <v>0</v>
      </c>
      <c r="T334" s="1463">
        <v>0</v>
      </c>
      <c r="U334" s="1522">
        <v>0</v>
      </c>
      <c r="V334" s="1461">
        <v>0</v>
      </c>
      <c r="W334" s="2068"/>
      <c r="X334" s="2468" t="s">
        <v>1261</v>
      </c>
      <c r="Y334" s="276" t="s">
        <v>1263</v>
      </c>
      <c r="Z334" s="109" t="s">
        <v>206</v>
      </c>
      <c r="AA334" s="547"/>
      <c r="AB334" s="547"/>
      <c r="AC334" s="109"/>
      <c r="AD334" s="277" t="s">
        <v>1264</v>
      </c>
      <c r="AE334" s="265"/>
      <c r="AF334" s="187"/>
      <c r="AG334" s="18"/>
    </row>
    <row r="335" spans="1:34" ht="20.100000000000001" customHeight="1">
      <c r="B335" s="1360" t="b">
        <f t="shared" si="35"/>
        <v>1</v>
      </c>
      <c r="C335" s="1374"/>
      <c r="D335" s="787" t="s">
        <v>1266</v>
      </c>
      <c r="E335" s="781"/>
      <c r="F335" s="132" t="s">
        <v>156</v>
      </c>
      <c r="G335" s="905"/>
      <c r="H335" s="963"/>
      <c r="I335" s="932" t="s">
        <v>1267</v>
      </c>
      <c r="J335" s="922"/>
      <c r="K335" s="109" t="s">
        <v>156</v>
      </c>
      <c r="L335" s="381">
        <v>0</v>
      </c>
      <c r="M335" s="381"/>
      <c r="N335" s="274"/>
      <c r="O335" s="304"/>
      <c r="P335" s="274"/>
      <c r="Q335" s="381"/>
      <c r="R335" s="1486"/>
      <c r="S335" s="985"/>
      <c r="T335" s="1486"/>
      <c r="U335" s="979"/>
      <c r="V335" s="1486"/>
      <c r="W335" s="2068"/>
      <c r="X335" s="2468"/>
      <c r="Y335" s="276"/>
      <c r="Z335" s="1715" t="s">
        <v>206</v>
      </c>
      <c r="AA335" s="547"/>
      <c r="AB335" s="547"/>
      <c r="AC335" s="109"/>
      <c r="AD335" s="896"/>
      <c r="AE335" s="265"/>
      <c r="AF335" s="187" t="s">
        <v>1268</v>
      </c>
      <c r="AG335" s="18"/>
    </row>
    <row r="336" spans="1:34" ht="20.100000000000001" customHeight="1">
      <c r="B336" s="1360" t="b">
        <f t="shared" si="35"/>
        <v>1</v>
      </c>
      <c r="C336" s="1387"/>
      <c r="D336" s="787" t="s">
        <v>1269</v>
      </c>
      <c r="E336" s="781"/>
      <c r="F336" s="132" t="s">
        <v>156</v>
      </c>
      <c r="G336" s="912"/>
      <c r="H336" s="964"/>
      <c r="I336" s="932" t="s">
        <v>1270</v>
      </c>
      <c r="J336" s="922"/>
      <c r="K336" s="109" t="s">
        <v>156</v>
      </c>
      <c r="L336" s="274"/>
      <c r="M336" s="381"/>
      <c r="N336" s="274"/>
      <c r="O336" s="304"/>
      <c r="P336" s="274"/>
      <c r="Q336" s="381"/>
      <c r="R336" s="1486"/>
      <c r="S336" s="985"/>
      <c r="T336" s="1486"/>
      <c r="U336" s="979"/>
      <c r="V336" s="1486"/>
      <c r="W336" s="2068"/>
      <c r="X336" s="2468"/>
      <c r="Y336" s="276"/>
      <c r="Z336" s="1715" t="s">
        <v>206</v>
      </c>
      <c r="AA336" s="547"/>
      <c r="AB336" s="547"/>
      <c r="AC336" s="109"/>
      <c r="AD336" s="965"/>
      <c r="AE336" s="427"/>
      <c r="AF336" s="187" t="s">
        <v>1207</v>
      </c>
      <c r="AG336" s="18"/>
    </row>
    <row r="337" spans="2:33" ht="20.100000000000001" customHeight="1">
      <c r="B337" s="1360" t="b">
        <f t="shared" si="35"/>
        <v>0</v>
      </c>
      <c r="C337" s="924" t="s">
        <v>1271</v>
      </c>
      <c r="D337" s="924"/>
      <c r="E337" s="924"/>
      <c r="F337" s="132" t="s">
        <v>1272</v>
      </c>
      <c r="G337" s="777"/>
      <c r="H337" s="925" t="s">
        <v>1273</v>
      </c>
      <c r="I337" s="926"/>
      <c r="J337" s="927"/>
      <c r="K337" s="109" t="s">
        <v>1853</v>
      </c>
      <c r="L337" s="966">
        <v>0.88830875502718343</v>
      </c>
      <c r="M337" s="966"/>
      <c r="N337" s="966">
        <v>0.83212470785765746</v>
      </c>
      <c r="O337" s="967"/>
      <c r="P337" s="968"/>
      <c r="Q337" s="969"/>
      <c r="R337" s="5488">
        <v>0.95</v>
      </c>
      <c r="S337" s="5809"/>
      <c r="T337" s="5488">
        <v>0.96</v>
      </c>
      <c r="U337" s="5810"/>
      <c r="V337" s="5811">
        <v>0.35</v>
      </c>
      <c r="W337" s="5812"/>
      <c r="X337" s="2468" t="s">
        <v>1275</v>
      </c>
      <c r="Y337" s="276" t="s">
        <v>1276</v>
      </c>
      <c r="Z337" s="109" t="s">
        <v>206</v>
      </c>
      <c r="AA337" s="547"/>
      <c r="AB337" s="547"/>
      <c r="AC337" s="109"/>
      <c r="AD337" s="965" t="s">
        <v>1277</v>
      </c>
      <c r="AE337" s="427"/>
      <c r="AF337" s="974"/>
      <c r="AG337" s="18"/>
    </row>
    <row r="338" spans="2:33" ht="20.100000000000001" customHeight="1">
      <c r="B338" s="1360" t="b">
        <f t="shared" si="35"/>
        <v>0</v>
      </c>
      <c r="C338" s="1388"/>
      <c r="D338" s="787" t="s">
        <v>1279</v>
      </c>
      <c r="E338" s="781"/>
      <c r="F338" s="132" t="s">
        <v>557</v>
      </c>
      <c r="G338" s="905"/>
      <c r="H338" s="963"/>
      <c r="I338" s="932" t="s">
        <v>1280</v>
      </c>
      <c r="J338" s="922"/>
      <c r="K338" s="109" t="s">
        <v>559</v>
      </c>
      <c r="L338" s="975">
        <v>7</v>
      </c>
      <c r="M338" s="975"/>
      <c r="N338" s="975">
        <v>7</v>
      </c>
      <c r="O338" s="976"/>
      <c r="P338" s="303"/>
      <c r="Q338" s="371"/>
      <c r="R338" s="5813">
        <v>4</v>
      </c>
      <c r="S338" s="5814" t="s">
        <v>1282</v>
      </c>
      <c r="T338" s="5813">
        <v>5</v>
      </c>
      <c r="U338" s="5815" t="s">
        <v>1282</v>
      </c>
      <c r="V338" s="5813">
        <v>2</v>
      </c>
      <c r="W338" s="5816"/>
      <c r="X338" s="2468"/>
      <c r="Y338" s="276"/>
      <c r="Z338" s="109" t="s">
        <v>206</v>
      </c>
      <c r="AA338" s="547"/>
      <c r="AB338" s="547"/>
      <c r="AC338" s="109"/>
      <c r="AD338" s="981" t="s">
        <v>1277</v>
      </c>
      <c r="AE338" s="265"/>
      <c r="AF338" s="982"/>
      <c r="AG338" s="18"/>
    </row>
    <row r="339" spans="2:33" ht="20.100000000000001" customHeight="1">
      <c r="B339" s="1360" t="b">
        <f t="shared" si="35"/>
        <v>0</v>
      </c>
      <c r="C339" s="1389"/>
      <c r="D339" s="936" t="s">
        <v>1286</v>
      </c>
      <c r="E339" s="924"/>
      <c r="F339" s="105" t="s">
        <v>1018</v>
      </c>
      <c r="G339" s="912"/>
      <c r="H339" s="964"/>
      <c r="I339" s="932" t="s">
        <v>1287</v>
      </c>
      <c r="J339" s="922"/>
      <c r="K339" s="109" t="s">
        <v>1831</v>
      </c>
      <c r="L339" s="301"/>
      <c r="M339" s="301"/>
      <c r="N339" s="301"/>
      <c r="O339" s="301"/>
      <c r="P339" s="301"/>
      <c r="Q339" s="301"/>
      <c r="R339" s="5488">
        <v>4213425.58</v>
      </c>
      <c r="S339" s="5817" t="s">
        <v>2068</v>
      </c>
      <c r="T339" s="5488">
        <v>5186674.99</v>
      </c>
      <c r="U339" s="5818" t="s">
        <v>2069</v>
      </c>
      <c r="V339" s="5811">
        <v>5650493.25</v>
      </c>
      <c r="W339" s="5819" t="s">
        <v>2070</v>
      </c>
      <c r="X339" s="2468" t="s">
        <v>1288</v>
      </c>
      <c r="Y339" s="276" t="s">
        <v>1289</v>
      </c>
      <c r="Z339" s="109" t="s">
        <v>737</v>
      </c>
      <c r="AA339" s="547"/>
      <c r="AB339" s="547"/>
      <c r="AC339" s="109"/>
      <c r="AD339" s="981" t="s">
        <v>1277</v>
      </c>
      <c r="AE339" s="265"/>
      <c r="AF339" s="982"/>
      <c r="AG339" s="18"/>
    </row>
    <row r="340" spans="2:33" ht="20.100000000000001" customHeight="1">
      <c r="B340" s="1360" t="b">
        <f t="shared" si="35"/>
        <v>1</v>
      </c>
      <c r="C340" s="924" t="s">
        <v>1302</v>
      </c>
      <c r="D340" s="924"/>
      <c r="E340" s="924"/>
      <c r="F340" s="105" t="s">
        <v>1272</v>
      </c>
      <c r="G340" s="777"/>
      <c r="H340" s="925" t="s">
        <v>1303</v>
      </c>
      <c r="I340" s="926"/>
      <c r="J340" s="927"/>
      <c r="K340" s="162" t="s">
        <v>1853</v>
      </c>
      <c r="L340" s="274"/>
      <c r="M340" s="937"/>
      <c r="N340" s="274"/>
      <c r="O340" s="980"/>
      <c r="P340" s="274"/>
      <c r="Q340" s="381"/>
      <c r="R340" s="1486"/>
      <c r="S340" s="985" t="s">
        <v>2071</v>
      </c>
      <c r="T340" s="1486"/>
      <c r="U340" s="979" t="s">
        <v>209</v>
      </c>
      <c r="V340" s="1486"/>
      <c r="W340" s="2068"/>
      <c r="X340" s="2468" t="s">
        <v>1304</v>
      </c>
      <c r="Y340" s="276" t="s">
        <v>1305</v>
      </c>
      <c r="Z340" s="109" t="s">
        <v>206</v>
      </c>
      <c r="AA340" s="547"/>
      <c r="AB340" s="547"/>
      <c r="AC340" s="299" t="s">
        <v>193</v>
      </c>
      <c r="AD340" s="277" t="s">
        <v>1306</v>
      </c>
      <c r="AE340" s="265"/>
      <c r="AF340" s="982"/>
      <c r="AG340" s="18"/>
    </row>
    <row r="341" spans="2:33" ht="20.100000000000001" customHeight="1">
      <c r="B341" s="1360" t="b">
        <f t="shared" si="35"/>
        <v>1</v>
      </c>
      <c r="C341" s="1388"/>
      <c r="D341" s="936" t="s">
        <v>1307</v>
      </c>
      <c r="E341" s="924"/>
      <c r="F341" s="105" t="s">
        <v>557</v>
      </c>
      <c r="G341" s="905"/>
      <c r="H341" s="963"/>
      <c r="I341" s="932" t="s">
        <v>1308</v>
      </c>
      <c r="J341" s="922"/>
      <c r="K341" s="162" t="s">
        <v>559</v>
      </c>
      <c r="L341" s="274"/>
      <c r="M341" s="937"/>
      <c r="N341" s="274"/>
      <c r="O341" s="980"/>
      <c r="P341" s="274"/>
      <c r="Q341" s="381"/>
      <c r="R341" s="1461"/>
      <c r="S341" s="1533"/>
      <c r="T341" s="1461"/>
      <c r="U341" s="1522" t="s">
        <v>209</v>
      </c>
      <c r="V341" s="1461"/>
      <c r="W341" s="2068"/>
      <c r="X341" s="2468"/>
      <c r="Y341" s="276"/>
      <c r="Z341" s="109" t="s">
        <v>206</v>
      </c>
      <c r="AA341" s="547"/>
      <c r="AB341" s="547"/>
      <c r="AC341" s="299" t="s">
        <v>193</v>
      </c>
      <c r="AD341" s="277" t="s">
        <v>1306</v>
      </c>
      <c r="AE341" s="265"/>
      <c r="AF341" s="982"/>
      <c r="AG341" s="18"/>
    </row>
    <row r="342" spans="2:33" ht="20.100000000000001" customHeight="1">
      <c r="B342" s="1360" t="b">
        <f t="shared" si="35"/>
        <v>1</v>
      </c>
      <c r="C342" s="1389"/>
      <c r="D342" s="936" t="s">
        <v>1309</v>
      </c>
      <c r="E342" s="924"/>
      <c r="F342" s="105" t="s">
        <v>1018</v>
      </c>
      <c r="G342" s="912"/>
      <c r="H342" s="964"/>
      <c r="I342" s="922" t="s">
        <v>1856</v>
      </c>
      <c r="J342" s="922"/>
      <c r="K342" s="162" t="s">
        <v>1831</v>
      </c>
      <c r="L342" s="274"/>
      <c r="M342" s="937"/>
      <c r="N342" s="274"/>
      <c r="O342" s="980"/>
      <c r="P342" s="274"/>
      <c r="Q342" s="381"/>
      <c r="R342" s="1486"/>
      <c r="S342" s="985" t="s">
        <v>2072</v>
      </c>
      <c r="T342" s="1486"/>
      <c r="U342" s="979" t="s">
        <v>209</v>
      </c>
      <c r="V342" s="1486"/>
      <c r="W342" s="2068"/>
      <c r="X342" s="2468"/>
      <c r="Y342" s="276"/>
      <c r="Z342" s="109" t="s">
        <v>206</v>
      </c>
      <c r="AA342" s="547"/>
      <c r="AB342" s="547"/>
      <c r="AC342" s="299" t="s">
        <v>193</v>
      </c>
      <c r="AD342" s="277" t="s">
        <v>1306</v>
      </c>
      <c r="AE342" s="265"/>
      <c r="AF342" s="982"/>
      <c r="AG342" s="18"/>
    </row>
    <row r="343" spans="2:33" ht="20.100000000000001" customHeight="1">
      <c r="B343" s="1360" t="b">
        <f t="shared" si="35"/>
        <v>1</v>
      </c>
      <c r="C343" s="924" t="s">
        <v>1311</v>
      </c>
      <c r="D343" s="924"/>
      <c r="E343" s="924"/>
      <c r="F343" s="105" t="s">
        <v>1312</v>
      </c>
      <c r="G343" s="777"/>
      <c r="H343" s="925" t="s">
        <v>1313</v>
      </c>
      <c r="I343" s="926"/>
      <c r="J343" s="927"/>
      <c r="K343" s="162" t="s">
        <v>1857</v>
      </c>
      <c r="L343" s="303"/>
      <c r="M343" s="975"/>
      <c r="N343" s="303"/>
      <c r="O343" s="976"/>
      <c r="P343" s="303"/>
      <c r="Q343" s="371"/>
      <c r="R343" s="1496"/>
      <c r="S343" s="977" t="s">
        <v>369</v>
      </c>
      <c r="T343" s="1496"/>
      <c r="U343" s="978" t="s">
        <v>369</v>
      </c>
      <c r="V343" s="1496"/>
      <c r="W343" s="2066"/>
      <c r="X343" s="2468" t="s">
        <v>1315</v>
      </c>
      <c r="Y343" s="276" t="s">
        <v>1316</v>
      </c>
      <c r="Z343" s="109" t="s">
        <v>206</v>
      </c>
      <c r="AA343" s="547"/>
      <c r="AB343" s="547"/>
      <c r="AC343" s="299" t="s">
        <v>193</v>
      </c>
      <c r="AD343" s="277" t="s">
        <v>1317</v>
      </c>
      <c r="AE343" s="265"/>
      <c r="AF343" s="982"/>
      <c r="AG343" s="18"/>
    </row>
    <row r="344" spans="2:33" ht="20.100000000000001" customHeight="1">
      <c r="B344" s="1360" t="b">
        <f t="shared" si="35"/>
        <v>1</v>
      </c>
      <c r="C344" s="1388"/>
      <c r="D344" s="936" t="s">
        <v>1318</v>
      </c>
      <c r="E344" s="924"/>
      <c r="F344" s="105" t="s">
        <v>557</v>
      </c>
      <c r="G344" s="905"/>
      <c r="H344" s="963"/>
      <c r="I344" s="932" t="s">
        <v>1319</v>
      </c>
      <c r="J344" s="922"/>
      <c r="K344" s="162" t="s">
        <v>559</v>
      </c>
      <c r="L344" s="303"/>
      <c r="M344" s="975"/>
      <c r="N344" s="303"/>
      <c r="O344" s="976"/>
      <c r="P344" s="303"/>
      <c r="Q344" s="371"/>
      <c r="R344" s="1465"/>
      <c r="S344" s="1534" t="s">
        <v>369</v>
      </c>
      <c r="T344" s="1465"/>
      <c r="U344" s="1535" t="s">
        <v>369</v>
      </c>
      <c r="V344" s="1465"/>
      <c r="W344" s="2066"/>
      <c r="X344" s="2468"/>
      <c r="Y344" s="276"/>
      <c r="Z344" s="109" t="s">
        <v>206</v>
      </c>
      <c r="AA344" s="547"/>
      <c r="AB344" s="547"/>
      <c r="AC344" s="299" t="s">
        <v>193</v>
      </c>
      <c r="AD344" s="277" t="s">
        <v>1317</v>
      </c>
      <c r="AE344" s="265"/>
      <c r="AF344" s="982"/>
      <c r="AG344" s="18"/>
    </row>
    <row r="345" spans="2:33" ht="20.100000000000001" customHeight="1">
      <c r="B345" s="1360" t="b">
        <f t="shared" si="35"/>
        <v>0</v>
      </c>
      <c r="C345" s="1389"/>
      <c r="D345" s="936" t="s">
        <v>1286</v>
      </c>
      <c r="E345" s="924"/>
      <c r="F345" s="105" t="s">
        <v>1018</v>
      </c>
      <c r="G345" s="912"/>
      <c r="H345" s="964"/>
      <c r="I345" s="932" t="s">
        <v>1287</v>
      </c>
      <c r="J345" s="922"/>
      <c r="K345" s="162" t="s">
        <v>1831</v>
      </c>
      <c r="L345" s="975">
        <v>7880142.9800000004</v>
      </c>
      <c r="M345" s="975"/>
      <c r="N345" s="975">
        <v>8412200.6400000006</v>
      </c>
      <c r="O345" s="976"/>
      <c r="P345" s="303"/>
      <c r="Q345" s="371"/>
      <c r="R345" s="5488">
        <v>4213425.58</v>
      </c>
      <c r="S345" s="5820"/>
      <c r="T345" s="5488">
        <v>5186674.99</v>
      </c>
      <c r="U345" s="5821"/>
      <c r="V345" s="5811">
        <v>5650493.25</v>
      </c>
      <c r="W345" s="2066"/>
      <c r="X345" s="2468"/>
      <c r="Y345" s="276"/>
      <c r="Z345" s="1715" t="s">
        <v>206</v>
      </c>
      <c r="AA345" s="547"/>
      <c r="AB345" s="547"/>
      <c r="AC345" s="299" t="s">
        <v>193</v>
      </c>
      <c r="AD345" s="277" t="s">
        <v>1317</v>
      </c>
      <c r="AE345" s="265"/>
      <c r="AF345" s="982"/>
      <c r="AG345" s="18"/>
    </row>
    <row r="346" spans="2:33" ht="20.100000000000001" customHeight="1">
      <c r="B346" s="1360" t="b">
        <f t="shared" si="35"/>
        <v>1</v>
      </c>
      <c r="C346" s="924" t="s">
        <v>1320</v>
      </c>
      <c r="D346" s="924"/>
      <c r="E346" s="924"/>
      <c r="F346" s="105" t="s">
        <v>1858</v>
      </c>
      <c r="G346" s="386"/>
      <c r="H346" s="143" t="s">
        <v>1321</v>
      </c>
      <c r="I346" s="143"/>
      <c r="J346" s="144"/>
      <c r="K346" s="162" t="s">
        <v>1857</v>
      </c>
      <c r="L346" s="303"/>
      <c r="M346" s="975"/>
      <c r="N346" s="303"/>
      <c r="O346" s="976"/>
      <c r="P346" s="303"/>
      <c r="Q346" s="371"/>
      <c r="R346" s="1496"/>
      <c r="S346" s="977" t="s">
        <v>369</v>
      </c>
      <c r="T346" s="1496"/>
      <c r="U346" s="978" t="s">
        <v>369</v>
      </c>
      <c r="V346" s="1496"/>
      <c r="W346" s="2066"/>
      <c r="X346" s="2468" t="s">
        <v>1322</v>
      </c>
      <c r="Y346" s="276" t="s">
        <v>1323</v>
      </c>
      <c r="Z346" s="109" t="s">
        <v>206</v>
      </c>
      <c r="AA346" s="547"/>
      <c r="AB346" s="547"/>
      <c r="AC346" s="299" t="s">
        <v>193</v>
      </c>
      <c r="AD346" s="277" t="s">
        <v>1244</v>
      </c>
      <c r="AE346" s="265"/>
      <c r="AF346" s="982"/>
      <c r="AG346" s="18"/>
    </row>
    <row r="347" spans="2:33" ht="20.100000000000001" customHeight="1">
      <c r="B347" s="1360" t="b">
        <f t="shared" si="35"/>
        <v>1</v>
      </c>
      <c r="C347" s="1388"/>
      <c r="D347" s="936" t="s">
        <v>1318</v>
      </c>
      <c r="E347" s="924"/>
      <c r="F347" s="105" t="s">
        <v>557</v>
      </c>
      <c r="G347" s="905"/>
      <c r="H347" s="963"/>
      <c r="I347" s="932" t="s">
        <v>1324</v>
      </c>
      <c r="J347" s="922"/>
      <c r="K347" s="162" t="s">
        <v>559</v>
      </c>
      <c r="L347" s="303"/>
      <c r="M347" s="975"/>
      <c r="N347" s="303"/>
      <c r="O347" s="976"/>
      <c r="P347" s="303"/>
      <c r="Q347" s="371"/>
      <c r="R347" s="1465"/>
      <c r="S347" s="1534" t="s">
        <v>369</v>
      </c>
      <c r="T347" s="1465"/>
      <c r="U347" s="1535" t="s">
        <v>369</v>
      </c>
      <c r="V347" s="1465"/>
      <c r="W347" s="2066"/>
      <c r="X347" s="2468"/>
      <c r="Y347" s="276"/>
      <c r="Z347" s="109" t="s">
        <v>206</v>
      </c>
      <c r="AA347" s="547"/>
      <c r="AB347" s="547"/>
      <c r="AC347" s="299" t="s">
        <v>193</v>
      </c>
      <c r="AD347" s="277" t="s">
        <v>1244</v>
      </c>
      <c r="AE347" s="265"/>
      <c r="AF347" s="982"/>
      <c r="AG347" s="18"/>
    </row>
    <row r="348" spans="2:33" ht="20.100000000000001" customHeight="1">
      <c r="B348" s="1360" t="b">
        <f t="shared" si="35"/>
        <v>0</v>
      </c>
      <c r="C348" s="1389"/>
      <c r="D348" s="936" t="s">
        <v>1286</v>
      </c>
      <c r="E348" s="924"/>
      <c r="F348" s="105" t="s">
        <v>1018</v>
      </c>
      <c r="G348" s="912"/>
      <c r="H348" s="964"/>
      <c r="I348" s="932" t="s">
        <v>1287</v>
      </c>
      <c r="J348" s="922"/>
      <c r="K348" s="162" t="s">
        <v>1831</v>
      </c>
      <c r="L348" s="975">
        <v>7880142.9800000004</v>
      </c>
      <c r="M348" s="975"/>
      <c r="N348" s="975">
        <v>8412200.6400000006</v>
      </c>
      <c r="O348" s="976"/>
      <c r="P348" s="303"/>
      <c r="Q348" s="371"/>
      <c r="R348" s="5488">
        <v>4213425.58</v>
      </c>
      <c r="S348" s="5822"/>
      <c r="T348" s="5488">
        <v>5186674.99</v>
      </c>
      <c r="U348" s="5823"/>
      <c r="V348" s="5811">
        <v>5650493.25</v>
      </c>
      <c r="W348" s="2066"/>
      <c r="X348" s="2468"/>
      <c r="Y348" s="276"/>
      <c r="Z348" s="1715" t="s">
        <v>206</v>
      </c>
      <c r="AA348" s="547"/>
      <c r="AB348" s="547"/>
      <c r="AC348" s="299" t="s">
        <v>193</v>
      </c>
      <c r="AD348" s="277" t="s">
        <v>1244</v>
      </c>
      <c r="AE348" s="265"/>
      <c r="AF348" s="982"/>
      <c r="AG348" s="18"/>
    </row>
    <row r="349" spans="2:33" ht="20.100000000000001" customHeight="1">
      <c r="B349" s="1360" t="b">
        <f t="shared" si="35"/>
        <v>0</v>
      </c>
      <c r="C349" s="924" t="s">
        <v>1325</v>
      </c>
      <c r="D349" s="924"/>
      <c r="E349" s="924"/>
      <c r="F349" s="105" t="s">
        <v>557</v>
      </c>
      <c r="G349" s="777"/>
      <c r="H349" s="925" t="s">
        <v>1326</v>
      </c>
      <c r="I349" s="926"/>
      <c r="J349" s="927"/>
      <c r="K349" s="109" t="s">
        <v>559</v>
      </c>
      <c r="L349" s="381">
        <v>0</v>
      </c>
      <c r="M349" s="381"/>
      <c r="N349" s="381">
        <v>0</v>
      </c>
      <c r="O349" s="304"/>
      <c r="P349" s="274"/>
      <c r="Q349" s="381"/>
      <c r="R349" s="1463">
        <v>0</v>
      </c>
      <c r="S349" s="1533"/>
      <c r="T349" s="1463">
        <v>0</v>
      </c>
      <c r="U349" s="1522"/>
      <c r="V349" s="1461">
        <v>0</v>
      </c>
      <c r="W349" s="2068"/>
      <c r="X349" s="2468" t="s">
        <v>1327</v>
      </c>
      <c r="Y349" s="276" t="s">
        <v>1328</v>
      </c>
      <c r="Z349" s="109" t="s">
        <v>206</v>
      </c>
      <c r="AA349" s="547"/>
      <c r="AB349" s="547"/>
      <c r="AC349" s="986"/>
      <c r="AD349" s="277" t="s">
        <v>1329</v>
      </c>
      <c r="AE349" s="265"/>
      <c r="AF349" s="982"/>
      <c r="AG349" s="18"/>
    </row>
    <row r="350" spans="2:33" ht="20.100000000000001" customHeight="1">
      <c r="B350" s="1360" t="b">
        <f t="shared" si="35"/>
        <v>0</v>
      </c>
      <c r="C350" s="924" t="s">
        <v>1331</v>
      </c>
      <c r="D350" s="924"/>
      <c r="E350" s="924"/>
      <c r="F350" s="105" t="s">
        <v>557</v>
      </c>
      <c r="G350" s="777"/>
      <c r="H350" s="925" t="s">
        <v>1332</v>
      </c>
      <c r="I350" s="926"/>
      <c r="J350" s="927"/>
      <c r="K350" s="109" t="s">
        <v>559</v>
      </c>
      <c r="L350" s="274"/>
      <c r="M350" s="381"/>
      <c r="N350" s="274"/>
      <c r="O350" s="304"/>
      <c r="P350" s="274"/>
      <c r="Q350" s="381"/>
      <c r="R350" s="1461" t="s">
        <v>209</v>
      </c>
      <c r="S350" s="1533"/>
      <c r="T350" s="1461" t="s">
        <v>209</v>
      </c>
      <c r="U350" s="1522"/>
      <c r="V350" s="1461" t="s">
        <v>209</v>
      </c>
      <c r="W350" s="2068"/>
      <c r="X350" s="498"/>
      <c r="Y350" s="305"/>
      <c r="Z350" s="109" t="s">
        <v>206</v>
      </c>
      <c r="AA350" s="547"/>
      <c r="AB350" s="547"/>
      <c r="AC350" s="109"/>
      <c r="AD350" s="277" t="s">
        <v>1277</v>
      </c>
      <c r="AE350" s="265" t="s">
        <v>1333</v>
      </c>
      <c r="AF350" s="982"/>
      <c r="AG350" s="18"/>
    </row>
    <row r="351" spans="2:33" ht="20.100000000000001" customHeight="1">
      <c r="B351" s="1360" t="b">
        <f t="shared" si="35"/>
        <v>1</v>
      </c>
      <c r="C351" s="924" t="s">
        <v>1334</v>
      </c>
      <c r="D351" s="924"/>
      <c r="E351" s="924"/>
      <c r="F351" s="119" t="s">
        <v>557</v>
      </c>
      <c r="G351" s="777"/>
      <c r="H351" s="925" t="s">
        <v>1335</v>
      </c>
      <c r="I351" s="926"/>
      <c r="J351" s="987"/>
      <c r="K351" s="122" t="s">
        <v>559</v>
      </c>
      <c r="L351" s="274"/>
      <c r="M351" s="988"/>
      <c r="N351" s="274"/>
      <c r="O351" s="425"/>
      <c r="P351" s="504"/>
      <c r="Q351" s="988"/>
      <c r="R351" s="1461"/>
      <c r="S351" s="1536"/>
      <c r="T351" s="1461"/>
      <c r="U351" s="1537"/>
      <c r="V351" s="1474"/>
      <c r="W351" s="2094"/>
      <c r="X351" s="2487"/>
      <c r="Y351" s="990"/>
      <c r="Z351" s="1715" t="s">
        <v>206</v>
      </c>
      <c r="AA351" s="547"/>
      <c r="AB351" s="547"/>
      <c r="AC351" s="109"/>
      <c r="AD351" s="265"/>
      <c r="AE351" s="265" t="s">
        <v>1336</v>
      </c>
      <c r="AF351" s="982"/>
      <c r="AG351" s="18"/>
    </row>
    <row r="352" spans="2:33" ht="20.100000000000001" customHeight="1">
      <c r="B352" s="1360" t="b">
        <f t="shared" si="35"/>
        <v>1</v>
      </c>
      <c r="C352" s="104" t="s">
        <v>1337</v>
      </c>
      <c r="D352" s="104"/>
      <c r="E352" s="104"/>
      <c r="F352" s="105" t="s">
        <v>156</v>
      </c>
      <c r="G352" s="771"/>
      <c r="H352" s="991" t="s">
        <v>1338</v>
      </c>
      <c r="I352" s="992"/>
      <c r="J352" s="993"/>
      <c r="K352" s="109" t="s">
        <v>156</v>
      </c>
      <c r="L352" s="274"/>
      <c r="M352" s="381"/>
      <c r="N352" s="274"/>
      <c r="O352" s="304"/>
      <c r="P352" s="274"/>
      <c r="Q352" s="381"/>
      <c r="R352" s="1486"/>
      <c r="S352" s="1422"/>
      <c r="T352" s="1486"/>
      <c r="U352" s="1446"/>
      <c r="V352" s="1486"/>
      <c r="W352" s="2068"/>
      <c r="X352" s="2472" t="s">
        <v>1339</v>
      </c>
      <c r="Y352" s="457" t="s">
        <v>1340</v>
      </c>
      <c r="Z352" s="109" t="s">
        <v>206</v>
      </c>
      <c r="AA352" s="547"/>
      <c r="AB352" s="547"/>
      <c r="AC352" s="109"/>
      <c r="AD352" s="265" t="s">
        <v>1341</v>
      </c>
      <c r="AE352" s="265"/>
      <c r="AF352" s="982"/>
      <c r="AG352" s="18"/>
    </row>
    <row r="353" spans="2:33" ht="20.100000000000001" customHeight="1">
      <c r="B353" s="1360" t="b">
        <f t="shared" si="35"/>
        <v>0</v>
      </c>
      <c r="C353" s="1388"/>
      <c r="D353" s="936" t="s">
        <v>1342</v>
      </c>
      <c r="E353" s="924"/>
      <c r="F353" s="105" t="s">
        <v>742</v>
      </c>
      <c r="G353" s="905"/>
      <c r="H353" s="963"/>
      <c r="I353" s="932" t="s">
        <v>1343</v>
      </c>
      <c r="J353" s="922"/>
      <c r="K353" s="109" t="s">
        <v>734</v>
      </c>
      <c r="L353" s="381">
        <v>429</v>
      </c>
      <c r="M353" s="381"/>
      <c r="N353" s="381">
        <v>595</v>
      </c>
      <c r="O353" s="304"/>
      <c r="P353" s="274"/>
      <c r="Q353" s="381"/>
      <c r="R353" s="1463">
        <v>1</v>
      </c>
      <c r="S353" s="1533" t="s">
        <v>1344</v>
      </c>
      <c r="T353" s="1463">
        <v>1</v>
      </c>
      <c r="U353" s="1522" t="s">
        <v>1859</v>
      </c>
      <c r="V353" s="1461" t="s">
        <v>1860</v>
      </c>
      <c r="W353" s="2068"/>
      <c r="X353" s="2468"/>
      <c r="Y353" s="276"/>
      <c r="Z353" s="109" t="s">
        <v>206</v>
      </c>
      <c r="AA353" s="547"/>
      <c r="AB353" s="547"/>
      <c r="AC353" s="109"/>
      <c r="AD353" s="265" t="s">
        <v>1341</v>
      </c>
      <c r="AE353" s="265"/>
      <c r="AF353" s="982"/>
      <c r="AG353" s="18"/>
    </row>
    <row r="354" spans="2:33" ht="20.100000000000001" customHeight="1">
      <c r="B354" s="1360" t="b">
        <f t="shared" si="35"/>
        <v>0</v>
      </c>
      <c r="C354" s="1389"/>
      <c r="D354" s="931" t="s">
        <v>1351</v>
      </c>
      <c r="E354" s="931"/>
      <c r="F354" s="119" t="s">
        <v>742</v>
      </c>
      <c r="G354" s="912"/>
      <c r="H354" s="964"/>
      <c r="I354" s="932" t="s">
        <v>1861</v>
      </c>
      <c r="J354" s="963"/>
      <c r="K354" s="122" t="s">
        <v>734</v>
      </c>
      <c r="L354" s="988">
        <v>943</v>
      </c>
      <c r="M354" s="988"/>
      <c r="N354" s="988">
        <v>1135</v>
      </c>
      <c r="O354" s="425"/>
      <c r="P354" s="504"/>
      <c r="Q354" s="988"/>
      <c r="R354" s="1463">
        <v>0</v>
      </c>
      <c r="S354" s="1536">
        <v>0</v>
      </c>
      <c r="T354" s="1463">
        <v>0</v>
      </c>
      <c r="U354" s="1537">
        <v>0</v>
      </c>
      <c r="V354" s="1461" t="s">
        <v>1860</v>
      </c>
      <c r="W354" s="2094"/>
      <c r="X354" s="1052"/>
      <c r="Y354" s="714"/>
      <c r="Z354" s="109" t="s">
        <v>206</v>
      </c>
      <c r="AA354" s="547"/>
      <c r="AB354" s="547"/>
      <c r="AC354" s="109"/>
      <c r="AD354" s="265" t="s">
        <v>1341</v>
      </c>
      <c r="AE354" s="265"/>
      <c r="AF354" s="982"/>
      <c r="AG354" s="18"/>
    </row>
    <row r="355" spans="2:33" ht="20.100000000000001" customHeight="1">
      <c r="B355" s="1360" t="b">
        <f t="shared" si="35"/>
        <v>1</v>
      </c>
      <c r="C355" s="924" t="s">
        <v>1352</v>
      </c>
      <c r="D355" s="924"/>
      <c r="E355" s="924"/>
      <c r="F355" s="119" t="s">
        <v>156</v>
      </c>
      <c r="G355" s="777"/>
      <c r="H355" s="925" t="s">
        <v>1353</v>
      </c>
      <c r="I355" s="925"/>
      <c r="J355" s="994"/>
      <c r="K355" s="122" t="s">
        <v>156</v>
      </c>
      <c r="L355" s="502"/>
      <c r="M355" s="988"/>
      <c r="N355" s="502"/>
      <c r="O355" s="425"/>
      <c r="P355" s="504"/>
      <c r="Q355" s="988"/>
      <c r="R355" s="1486"/>
      <c r="S355" s="1441" t="s">
        <v>1780</v>
      </c>
      <c r="T355" s="1490"/>
      <c r="U355" s="1414" t="s">
        <v>1780</v>
      </c>
      <c r="V355" s="1512"/>
      <c r="W355" s="2094"/>
      <c r="X355" s="1052" t="s">
        <v>1354</v>
      </c>
      <c r="Y355" s="714" t="s">
        <v>1355</v>
      </c>
      <c r="Z355" s="109" t="s">
        <v>1356</v>
      </c>
      <c r="AA355" s="547"/>
      <c r="AB355" s="547"/>
      <c r="AC355" s="299" t="s">
        <v>193</v>
      </c>
      <c r="AD355" s="277" t="s">
        <v>1357</v>
      </c>
      <c r="AE355" s="265"/>
      <c r="AF355" s="982"/>
      <c r="AG355" s="18"/>
    </row>
    <row r="356" spans="2:33" ht="20.100000000000001" customHeight="1">
      <c r="B356" s="1360" t="b">
        <f t="shared" si="35"/>
        <v>1</v>
      </c>
      <c r="C356" s="1388"/>
      <c r="D356" s="995" t="s">
        <v>1358</v>
      </c>
      <c r="E356" s="926"/>
      <c r="F356" s="119" t="s">
        <v>1011</v>
      </c>
      <c r="G356" s="905"/>
      <c r="H356" s="963"/>
      <c r="I356" s="932" t="s">
        <v>1359</v>
      </c>
      <c r="J356" s="963"/>
      <c r="K356" s="122" t="s">
        <v>1013</v>
      </c>
      <c r="L356" s="502"/>
      <c r="M356" s="988"/>
      <c r="N356" s="502"/>
      <c r="O356" s="425"/>
      <c r="P356" s="504"/>
      <c r="Q356" s="988"/>
      <c r="R356" s="1461"/>
      <c r="S356" s="1536"/>
      <c r="T356" s="1461"/>
      <c r="U356" s="1537"/>
      <c r="V356" s="1474"/>
      <c r="W356" s="2094"/>
      <c r="X356" s="1052"/>
      <c r="Y356" s="714"/>
      <c r="Z356" s="109" t="s">
        <v>1356</v>
      </c>
      <c r="AA356" s="547"/>
      <c r="AB356" s="547"/>
      <c r="AC356" s="299" t="s">
        <v>193</v>
      </c>
      <c r="AD356" s="277" t="s">
        <v>1357</v>
      </c>
      <c r="AE356" s="265"/>
      <c r="AF356" s="982"/>
      <c r="AG356" s="18"/>
    </row>
    <row r="357" spans="2:33" ht="20.100000000000001" customHeight="1">
      <c r="B357" s="1360" t="b">
        <f t="shared" si="35"/>
        <v>1</v>
      </c>
      <c r="C357" s="1389"/>
      <c r="D357" s="936" t="s">
        <v>1360</v>
      </c>
      <c r="E357" s="924"/>
      <c r="F357" s="119" t="s">
        <v>1011</v>
      </c>
      <c r="G357" s="912"/>
      <c r="H357" s="964"/>
      <c r="I357" s="932" t="s">
        <v>1361</v>
      </c>
      <c r="J357" s="963"/>
      <c r="K357" s="122" t="s">
        <v>1013</v>
      </c>
      <c r="L357" s="502"/>
      <c r="M357" s="988"/>
      <c r="N357" s="502"/>
      <c r="O357" s="425"/>
      <c r="P357" s="504"/>
      <c r="Q357" s="988"/>
      <c r="R357" s="1461"/>
      <c r="S357" s="1536"/>
      <c r="T357" s="1461"/>
      <c r="U357" s="1537"/>
      <c r="V357" s="1474"/>
      <c r="W357" s="2094"/>
      <c r="X357" s="1052"/>
      <c r="Y357" s="714"/>
      <c r="Z357" s="109" t="s">
        <v>1356</v>
      </c>
      <c r="AA357" s="547"/>
      <c r="AB357" s="547"/>
      <c r="AC357" s="299" t="s">
        <v>193</v>
      </c>
      <c r="AD357" s="277" t="s">
        <v>1357</v>
      </c>
      <c r="AE357" s="265"/>
      <c r="AF357" s="982"/>
      <c r="AG357" s="18"/>
    </row>
    <row r="358" spans="2:33" ht="20.100000000000001" customHeight="1">
      <c r="B358" s="1360" t="b">
        <f t="shared" si="35"/>
        <v>1</v>
      </c>
      <c r="C358" s="924" t="s">
        <v>1362</v>
      </c>
      <c r="D358" s="924"/>
      <c r="E358" s="924"/>
      <c r="F358" s="119" t="s">
        <v>156</v>
      </c>
      <c r="G358" s="777"/>
      <c r="H358" s="925" t="s">
        <v>1363</v>
      </c>
      <c r="I358" s="925"/>
      <c r="J358" s="994"/>
      <c r="K358" s="122" t="s">
        <v>156</v>
      </c>
      <c r="L358" s="502"/>
      <c r="M358" s="988"/>
      <c r="N358" s="502"/>
      <c r="O358" s="425"/>
      <c r="P358" s="504"/>
      <c r="Q358" s="988"/>
      <c r="R358" s="1486"/>
      <c r="S358" s="1445"/>
      <c r="T358" s="1486"/>
      <c r="U358" s="1419"/>
      <c r="V358" s="1512"/>
      <c r="W358" s="2094"/>
      <c r="X358" s="1052" t="s">
        <v>1364</v>
      </c>
      <c r="Y358" s="714" t="s">
        <v>1365</v>
      </c>
      <c r="Z358" s="109" t="s">
        <v>1356</v>
      </c>
      <c r="AA358" s="547"/>
      <c r="AB358" s="547"/>
      <c r="AC358" s="299" t="s">
        <v>193</v>
      </c>
      <c r="AD358" s="277" t="s">
        <v>1366</v>
      </c>
      <c r="AE358" s="265"/>
      <c r="AF358" s="982"/>
      <c r="AG358" s="18"/>
    </row>
    <row r="359" spans="2:33" ht="20.100000000000001" customHeight="1">
      <c r="B359" s="1360" t="b">
        <f t="shared" si="35"/>
        <v>1</v>
      </c>
      <c r="C359" s="1388"/>
      <c r="D359" s="936" t="s">
        <v>1367</v>
      </c>
      <c r="E359" s="924"/>
      <c r="F359" s="119" t="s">
        <v>1011</v>
      </c>
      <c r="G359" s="905"/>
      <c r="H359" s="963"/>
      <c r="I359" s="349" t="s">
        <v>1368</v>
      </c>
      <c r="J359" s="996"/>
      <c r="K359" s="122" t="s">
        <v>1013</v>
      </c>
      <c r="L359" s="502"/>
      <c r="M359" s="988"/>
      <c r="N359" s="502"/>
      <c r="O359" s="425"/>
      <c r="P359" s="504"/>
      <c r="Q359" s="988"/>
      <c r="R359" s="1461"/>
      <c r="S359" s="1536"/>
      <c r="T359" s="1461"/>
      <c r="U359" s="1537"/>
      <c r="V359" s="1474"/>
      <c r="W359" s="2094"/>
      <c r="X359" s="1052"/>
      <c r="Y359" s="714"/>
      <c r="Z359" s="109" t="s">
        <v>1356</v>
      </c>
      <c r="AA359" s="547"/>
      <c r="AB359" s="547"/>
      <c r="AC359" s="299" t="s">
        <v>193</v>
      </c>
      <c r="AD359" s="277" t="s">
        <v>1366</v>
      </c>
      <c r="AE359" s="265"/>
      <c r="AF359" s="982"/>
      <c r="AG359" s="18"/>
    </row>
    <row r="360" spans="2:33" ht="20.100000000000001" customHeight="1">
      <c r="B360" s="1360" t="b">
        <f t="shared" si="35"/>
        <v>1</v>
      </c>
      <c r="C360" s="1389"/>
      <c r="D360" s="936" t="s">
        <v>1369</v>
      </c>
      <c r="E360" s="924"/>
      <c r="F360" s="119" t="s">
        <v>1011</v>
      </c>
      <c r="G360" s="912"/>
      <c r="H360" s="964"/>
      <c r="I360" s="349" t="s">
        <v>1862</v>
      </c>
      <c r="J360" s="996"/>
      <c r="K360" s="122" t="s">
        <v>1013</v>
      </c>
      <c r="L360" s="502"/>
      <c r="M360" s="988"/>
      <c r="N360" s="502"/>
      <c r="O360" s="425"/>
      <c r="P360" s="504"/>
      <c r="Q360" s="988"/>
      <c r="R360" s="1461"/>
      <c r="S360" s="1536"/>
      <c r="T360" s="1461"/>
      <c r="U360" s="1537"/>
      <c r="V360" s="1474"/>
      <c r="W360" s="2094"/>
      <c r="X360" s="1052"/>
      <c r="Y360" s="714"/>
      <c r="Z360" s="109" t="s">
        <v>1356</v>
      </c>
      <c r="AA360" s="547"/>
      <c r="AB360" s="547"/>
      <c r="AC360" s="299" t="s">
        <v>193</v>
      </c>
      <c r="AD360" s="896" t="s">
        <v>1366</v>
      </c>
      <c r="AE360" s="265"/>
      <c r="AF360" s="982"/>
      <c r="AG360" s="18"/>
    </row>
    <row r="361" spans="2:33" ht="20.100000000000001" customHeight="1">
      <c r="B361" s="1360" t="b">
        <f t="shared" si="35"/>
        <v>1</v>
      </c>
      <c r="C361" s="359" t="s">
        <v>1371</v>
      </c>
      <c r="D361" s="359"/>
      <c r="E361" s="359"/>
      <c r="F361" s="997" t="s">
        <v>156</v>
      </c>
      <c r="G361" s="358"/>
      <c r="H361" s="998" t="s">
        <v>1372</v>
      </c>
      <c r="I361" s="998"/>
      <c r="J361" s="999"/>
      <c r="K361" s="122" t="s">
        <v>156</v>
      </c>
      <c r="L361" s="502"/>
      <c r="M361" s="988"/>
      <c r="N361" s="502"/>
      <c r="O361" s="425"/>
      <c r="P361" s="504"/>
      <c r="Q361" s="988"/>
      <c r="R361" s="1486"/>
      <c r="S361" s="1445"/>
      <c r="T361" s="1486"/>
      <c r="U361" s="1419"/>
      <c r="V361" s="1512"/>
      <c r="W361" s="2094"/>
      <c r="X361" s="1052" t="s">
        <v>1373</v>
      </c>
      <c r="Y361" s="714" t="s">
        <v>1374</v>
      </c>
      <c r="Z361" s="109" t="s">
        <v>1356</v>
      </c>
      <c r="AA361" s="547"/>
      <c r="AB361" s="547"/>
      <c r="AC361" s="986"/>
      <c r="AD361" s="896" t="s">
        <v>1375</v>
      </c>
      <c r="AE361" s="265"/>
      <c r="AF361" s="982"/>
      <c r="AG361" s="18"/>
    </row>
    <row r="362" spans="2:33" ht="20.100000000000001" customHeight="1">
      <c r="B362" s="1360" t="b">
        <f t="shared" si="35"/>
        <v>1</v>
      </c>
      <c r="C362" s="1390"/>
      <c r="D362" s="787" t="s">
        <v>1863</v>
      </c>
      <c r="E362" s="781"/>
      <c r="F362" s="997" t="s">
        <v>1011</v>
      </c>
      <c r="G362" s="347"/>
      <c r="H362" s="348"/>
      <c r="I362" s="184" t="s">
        <v>1377</v>
      </c>
      <c r="J362" s="176"/>
      <c r="K362" s="122" t="s">
        <v>1013</v>
      </c>
      <c r="L362" s="502"/>
      <c r="M362" s="988"/>
      <c r="N362" s="502"/>
      <c r="O362" s="425"/>
      <c r="P362" s="504"/>
      <c r="Q362" s="988"/>
      <c r="R362" s="1461"/>
      <c r="S362" s="1536"/>
      <c r="T362" s="1461"/>
      <c r="U362" s="1537"/>
      <c r="V362" s="1474"/>
      <c r="W362" s="2094"/>
      <c r="X362" s="1052"/>
      <c r="Y362" s="714"/>
      <c r="Z362" s="109" t="s">
        <v>1356</v>
      </c>
      <c r="AA362" s="547"/>
      <c r="AB362" s="547"/>
      <c r="AC362" s="109"/>
      <c r="AD362" s="896" t="s">
        <v>1375</v>
      </c>
      <c r="AE362" s="265"/>
      <c r="AF362" s="982"/>
      <c r="AG362" s="18"/>
    </row>
    <row r="363" spans="2:33" ht="20.100000000000001" customHeight="1">
      <c r="B363" s="1360" t="b">
        <f t="shared" si="35"/>
        <v>1</v>
      </c>
      <c r="C363" s="911"/>
      <c r="D363" s="787" t="s">
        <v>1864</v>
      </c>
      <c r="E363" s="781"/>
      <c r="F363" s="997" t="s">
        <v>1011</v>
      </c>
      <c r="G363" s="384"/>
      <c r="H363" s="385"/>
      <c r="I363" s="184" t="s">
        <v>1862</v>
      </c>
      <c r="J363" s="176"/>
      <c r="K363" s="122" t="s">
        <v>1013</v>
      </c>
      <c r="L363" s="502"/>
      <c r="M363" s="988"/>
      <c r="N363" s="502"/>
      <c r="O363" s="425"/>
      <c r="P363" s="504"/>
      <c r="Q363" s="988"/>
      <c r="R363" s="1461"/>
      <c r="S363" s="1536"/>
      <c r="T363" s="1461"/>
      <c r="U363" s="1537"/>
      <c r="V363" s="1474"/>
      <c r="W363" s="2094"/>
      <c r="X363" s="1052"/>
      <c r="Y363" s="714"/>
      <c r="Z363" s="109" t="s">
        <v>1356</v>
      </c>
      <c r="AA363" s="547"/>
      <c r="AB363" s="547"/>
      <c r="AC363" s="109"/>
      <c r="AD363" s="896" t="s">
        <v>1375</v>
      </c>
      <c r="AE363" s="265"/>
      <c r="AF363" s="982"/>
      <c r="AG363" s="18"/>
    </row>
    <row r="364" spans="2:33" ht="20.100000000000001" customHeight="1">
      <c r="B364" s="1360" t="b">
        <f t="shared" si="35"/>
        <v>1</v>
      </c>
      <c r="C364" s="359" t="s">
        <v>1378</v>
      </c>
      <c r="D364" s="359"/>
      <c r="E364" s="359"/>
      <c r="F364" s="997" t="s">
        <v>156</v>
      </c>
      <c r="G364" s="358"/>
      <c r="H364" s="359" t="s">
        <v>1379</v>
      </c>
      <c r="I364" s="359"/>
      <c r="J364" s="348"/>
      <c r="K364" s="165" t="s">
        <v>156</v>
      </c>
      <c r="L364" s="502"/>
      <c r="M364" s="988"/>
      <c r="N364" s="502"/>
      <c r="O364" s="425"/>
      <c r="P364" s="504"/>
      <c r="Q364" s="988"/>
      <c r="R364" s="1486"/>
      <c r="S364" s="1445"/>
      <c r="T364" s="1486"/>
      <c r="U364" s="1419"/>
      <c r="V364" s="1512"/>
      <c r="W364" s="2094"/>
      <c r="X364" s="1052" t="s">
        <v>1380</v>
      </c>
      <c r="Y364" s="714" t="s">
        <v>1381</v>
      </c>
      <c r="Z364" s="109" t="s">
        <v>1356</v>
      </c>
      <c r="AA364" s="547"/>
      <c r="AB364" s="547"/>
      <c r="AC364" s="299" t="s">
        <v>193</v>
      </c>
      <c r="AD364" s="896" t="s">
        <v>1375</v>
      </c>
      <c r="AE364" s="265"/>
      <c r="AF364" s="982"/>
      <c r="AG364" s="18"/>
    </row>
    <row r="365" spans="2:33" ht="20.100000000000001" customHeight="1">
      <c r="B365" s="1360" t="b">
        <f t="shared" si="35"/>
        <v>1</v>
      </c>
      <c r="C365" s="1390"/>
      <c r="D365" s="787" t="s">
        <v>1382</v>
      </c>
      <c r="E365" s="781"/>
      <c r="F365" s="997" t="s">
        <v>1011</v>
      </c>
      <c r="G365" s="347"/>
      <c r="H365" s="348"/>
      <c r="I365" s="184" t="s">
        <v>1383</v>
      </c>
      <c r="J365" s="176"/>
      <c r="K365" s="122" t="s">
        <v>1013</v>
      </c>
      <c r="L365" s="502"/>
      <c r="M365" s="988"/>
      <c r="N365" s="502"/>
      <c r="O365" s="425"/>
      <c r="P365" s="504"/>
      <c r="Q365" s="988"/>
      <c r="R365" s="1461"/>
      <c r="S365" s="1536"/>
      <c r="T365" s="1461"/>
      <c r="U365" s="1537"/>
      <c r="V365" s="1474"/>
      <c r="W365" s="2094"/>
      <c r="X365" s="1052"/>
      <c r="Y365" s="714"/>
      <c r="Z365" s="109" t="s">
        <v>1356</v>
      </c>
      <c r="AA365" s="547"/>
      <c r="AB365" s="547"/>
      <c r="AC365" s="299" t="s">
        <v>193</v>
      </c>
      <c r="AD365" s="896" t="s">
        <v>1375</v>
      </c>
      <c r="AE365" s="265"/>
      <c r="AF365" s="982"/>
      <c r="AG365" s="18"/>
    </row>
    <row r="366" spans="2:33" ht="20.100000000000001" customHeight="1">
      <c r="B366" s="1360" t="b">
        <f t="shared" si="35"/>
        <v>1</v>
      </c>
      <c r="C366" s="911"/>
      <c r="D366" s="787" t="s">
        <v>1384</v>
      </c>
      <c r="F366" s="997" t="s">
        <v>1011</v>
      </c>
      <c r="G366" s="384"/>
      <c r="H366" s="385"/>
      <c r="I366" s="1000" t="s">
        <v>1865</v>
      </c>
      <c r="J366" s="643"/>
      <c r="K366" s="109" t="s">
        <v>1013</v>
      </c>
      <c r="L366" s="1001"/>
      <c r="M366" s="988"/>
      <c r="N366" s="1001"/>
      <c r="O366" s="425"/>
      <c r="P366" s="504"/>
      <c r="Q366" s="988"/>
      <c r="R366" s="1471"/>
      <c r="S366" s="1536"/>
      <c r="T366" s="1471"/>
      <c r="U366" s="1537"/>
      <c r="V366" s="1474">
        <v>0</v>
      </c>
      <c r="W366" s="2094"/>
      <c r="X366" s="2468"/>
      <c r="Z366" s="109" t="s">
        <v>1356</v>
      </c>
      <c r="AA366" s="547"/>
      <c r="AB366" s="547"/>
      <c r="AC366" s="299" t="s">
        <v>193</v>
      </c>
      <c r="AD366" s="277" t="s">
        <v>1375</v>
      </c>
      <c r="AE366" s="265"/>
      <c r="AF366" s="982"/>
      <c r="AG366" s="18"/>
    </row>
    <row r="367" spans="2:33" ht="20.100000000000001" customHeight="1">
      <c r="B367" s="1360" t="b">
        <f t="shared" si="35"/>
        <v>1</v>
      </c>
      <c r="C367" s="1376" t="s">
        <v>1386</v>
      </c>
      <c r="D367" s="781"/>
      <c r="E367" s="781"/>
      <c r="F367" s="997" t="s">
        <v>557</v>
      </c>
      <c r="G367" s="386"/>
      <c r="H367" s="140" t="s">
        <v>1866</v>
      </c>
      <c r="I367" s="482"/>
      <c r="J367" s="176"/>
      <c r="K367" s="122" t="s">
        <v>559</v>
      </c>
      <c r="L367" s="502"/>
      <c r="M367" s="988"/>
      <c r="N367" s="502"/>
      <c r="O367" s="425"/>
      <c r="P367" s="504"/>
      <c r="Q367" s="988"/>
      <c r="R367" s="1461"/>
      <c r="S367" s="1536"/>
      <c r="T367" s="1461"/>
      <c r="U367" s="1537"/>
      <c r="V367" s="1474"/>
      <c r="W367" s="2094"/>
      <c r="X367" s="1052" t="s">
        <v>1388</v>
      </c>
      <c r="Y367" s="714" t="s">
        <v>1389</v>
      </c>
      <c r="Z367" s="109" t="s">
        <v>1356</v>
      </c>
      <c r="AA367" s="547"/>
      <c r="AB367" s="547"/>
      <c r="AC367" s="299" t="s">
        <v>193</v>
      </c>
      <c r="AD367" s="694" t="s">
        <v>1390</v>
      </c>
      <c r="AE367" s="265"/>
      <c r="AF367" s="982"/>
      <c r="AG367" s="18"/>
    </row>
    <row r="368" spans="2:33" ht="20.100000000000001" customHeight="1" thickBot="1">
      <c r="B368" s="1361" t="b">
        <f t="shared" si="35"/>
        <v>1</v>
      </c>
      <c r="C368" s="781" t="s">
        <v>1391</v>
      </c>
      <c r="D368" s="781"/>
      <c r="E368" s="781"/>
      <c r="F368" s="285" t="s">
        <v>156</v>
      </c>
      <c r="G368" s="777"/>
      <c r="H368" s="757" t="s">
        <v>1392</v>
      </c>
      <c r="I368" s="753"/>
      <c r="J368" s="1002"/>
      <c r="K368" s="122" t="s">
        <v>156</v>
      </c>
      <c r="L368" s="1003"/>
      <c r="M368" s="381"/>
      <c r="N368" s="1003"/>
      <c r="O368" s="304"/>
      <c r="P368" s="274"/>
      <c r="Q368" s="381"/>
      <c r="R368" s="1505"/>
      <c r="S368" s="985"/>
      <c r="T368" s="1505"/>
      <c r="U368" s="979"/>
      <c r="V368" s="1491">
        <v>100</v>
      </c>
      <c r="W368" s="2068"/>
      <c r="X368" s="1052" t="s">
        <v>1393</v>
      </c>
      <c r="Y368" s="714" t="s">
        <v>1394</v>
      </c>
      <c r="Z368" s="109" t="s">
        <v>1356</v>
      </c>
      <c r="AA368" s="547"/>
      <c r="AB368" s="547"/>
      <c r="AC368" s="299" t="s">
        <v>193</v>
      </c>
      <c r="AD368" s="277" t="s">
        <v>1395</v>
      </c>
      <c r="AE368" s="265"/>
      <c r="AF368" s="982"/>
      <c r="AG368" s="18"/>
    </row>
    <row r="369" spans="1:34" ht="27" thickBot="1">
      <c r="B369" s="123" t="s">
        <v>1396</v>
      </c>
      <c r="C369" s="124"/>
      <c r="D369" s="124"/>
      <c r="E369" s="124"/>
      <c r="F369" s="124"/>
      <c r="G369" s="598" t="s">
        <v>1397</v>
      </c>
      <c r="H369" s="124"/>
      <c r="I369" s="126"/>
      <c r="J369" s="126"/>
      <c r="K369" s="78"/>
      <c r="L369" s="1004"/>
      <c r="M369" s="1004"/>
      <c r="N369" s="1004"/>
      <c r="O369" s="1004"/>
      <c r="P369" s="1004"/>
      <c r="Q369" s="1004"/>
      <c r="R369" s="1485"/>
      <c r="S369" s="1447"/>
      <c r="T369" s="1485"/>
      <c r="U369" s="1447"/>
      <c r="V369" s="1485"/>
      <c r="W369" s="1004"/>
      <c r="X369" s="80"/>
      <c r="Y369" s="80"/>
      <c r="Z369" s="129"/>
      <c r="AA369" s="129"/>
      <c r="AB369" s="129"/>
      <c r="AC369" s="129"/>
      <c r="AD369" s="328"/>
      <c r="AE369" s="328"/>
      <c r="AF369" s="1006"/>
      <c r="AG369" s="18"/>
    </row>
    <row r="370" spans="1:34" ht="20.100000000000001" customHeight="1">
      <c r="B370" s="1359" t="b">
        <f t="shared" ref="B370:B372" si="36">OR(ISBLANK(R370),ISBLANK(T370),ISBLANK(V370))</f>
        <v>1</v>
      </c>
      <c r="C370" s="86" t="s">
        <v>1398</v>
      </c>
      <c r="D370" s="86"/>
      <c r="E370" s="86"/>
      <c r="F370" s="1007" t="s">
        <v>233</v>
      </c>
      <c r="G370" s="1008"/>
      <c r="H370" s="1009" t="s">
        <v>1399</v>
      </c>
      <c r="I370" s="1009"/>
      <c r="J370" s="1010"/>
      <c r="K370" s="1011" t="s">
        <v>295</v>
      </c>
      <c r="L370" s="1012"/>
      <c r="M370" s="1013"/>
      <c r="N370" s="1012"/>
      <c r="O370" s="1014"/>
      <c r="P370" s="1015"/>
      <c r="Q370" s="1016"/>
      <c r="R370" s="1506"/>
      <c r="S370" s="1448"/>
      <c r="T370" s="5539">
        <v>1</v>
      </c>
      <c r="U370" s="1449"/>
      <c r="V370" s="5540">
        <v>1</v>
      </c>
      <c r="W370" s="2095"/>
      <c r="X370" s="1021" t="s">
        <v>1400</v>
      </c>
      <c r="Y370" s="1021" t="s">
        <v>1401</v>
      </c>
      <c r="Z370" s="758" t="s">
        <v>189</v>
      </c>
      <c r="AA370" s="534"/>
      <c r="AB370" s="534"/>
      <c r="AC370" s="299" t="s">
        <v>193</v>
      </c>
      <c r="AD370" s="277" t="s">
        <v>1402</v>
      </c>
      <c r="AE370" s="277"/>
      <c r="AF370" s="982"/>
      <c r="AG370" s="18"/>
    </row>
    <row r="371" spans="1:34" ht="20.100000000000001" customHeight="1">
      <c r="B371" s="1360" t="b">
        <f t="shared" si="36"/>
        <v>0</v>
      </c>
      <c r="C371" s="1355" t="s">
        <v>1403</v>
      </c>
      <c r="D371" s="1022"/>
      <c r="E371" s="1023"/>
      <c r="F371" s="1007" t="s">
        <v>1404</v>
      </c>
      <c r="G371" s="358"/>
      <c r="H371" s="359" t="s">
        <v>1405</v>
      </c>
      <c r="I371" s="359"/>
      <c r="J371" s="385"/>
      <c r="K371" s="1024" t="s">
        <v>1406</v>
      </c>
      <c r="L371" s="1025">
        <v>500000001.58999997</v>
      </c>
      <c r="M371" s="1026"/>
      <c r="N371" s="1025">
        <v>2.86</v>
      </c>
      <c r="O371" s="1027"/>
      <c r="P371" s="876"/>
      <c r="Q371" s="874"/>
      <c r="R371" s="1488">
        <v>1.59</v>
      </c>
      <c r="S371" s="1450">
        <v>0</v>
      </c>
      <c r="T371" s="1488">
        <v>2.86</v>
      </c>
      <c r="U371" s="1451">
        <v>0</v>
      </c>
      <c r="V371" s="1514">
        <v>5.07</v>
      </c>
      <c r="W371" s="2089"/>
      <c r="X371" s="1033" t="s">
        <v>1407</v>
      </c>
      <c r="Y371" s="1033" t="s">
        <v>1408</v>
      </c>
      <c r="Z371" s="1034" t="s">
        <v>189</v>
      </c>
      <c r="AA371" s="878"/>
      <c r="AB371" s="878"/>
      <c r="AC371" s="1034"/>
      <c r="AD371" s="277" t="s">
        <v>1409</v>
      </c>
      <c r="AE371" s="265"/>
      <c r="AF371" s="982"/>
      <c r="AG371" s="18"/>
    </row>
    <row r="372" spans="1:34" ht="20.100000000000001" customHeight="1">
      <c r="B372" s="1360" t="b">
        <f t="shared" si="36"/>
        <v>0</v>
      </c>
      <c r="C372" s="491" t="s">
        <v>1413</v>
      </c>
      <c r="D372" s="491"/>
      <c r="E372" s="491"/>
      <c r="F372" s="1007" t="s">
        <v>1595</v>
      </c>
      <c r="G372" s="358"/>
      <c r="H372" s="359" t="s">
        <v>1414</v>
      </c>
      <c r="I372" s="359"/>
      <c r="J372" s="643"/>
      <c r="K372" s="109" t="s">
        <v>1597</v>
      </c>
      <c r="L372" s="1035"/>
      <c r="M372" s="1036"/>
      <c r="N372" s="1035"/>
      <c r="O372" s="1037"/>
      <c r="P372" s="1035"/>
      <c r="Q372" s="1038"/>
      <c r="R372" s="1463">
        <v>0</v>
      </c>
      <c r="S372" s="1522"/>
      <c r="T372" s="1463">
        <v>0</v>
      </c>
      <c r="U372" s="1538"/>
      <c r="V372" s="5479">
        <v>0</v>
      </c>
      <c r="W372" s="2096"/>
      <c r="X372" s="2468"/>
      <c r="Y372" s="276"/>
      <c r="Z372" s="162" t="s">
        <v>1415</v>
      </c>
      <c r="AA372" s="547"/>
      <c r="AB372" s="547"/>
      <c r="AC372" s="162"/>
      <c r="AD372" s="277"/>
      <c r="AE372" s="277" t="s">
        <v>1416</v>
      </c>
      <c r="AF372" s="982"/>
      <c r="AG372" s="18"/>
    </row>
    <row r="373" spans="1:34" ht="20.100000000000001" customHeight="1">
      <c r="B373" s="1353" t="str">
        <f>C373</f>
        <v>자원봉사</v>
      </c>
      <c r="C373" s="728" t="s">
        <v>1419</v>
      </c>
      <c r="D373" s="728"/>
      <c r="E373" s="728"/>
      <c r="F373" s="1593"/>
      <c r="G373" s="1577"/>
      <c r="H373" s="728" t="s">
        <v>1420</v>
      </c>
      <c r="I373" s="663"/>
      <c r="J373" s="655"/>
      <c r="K373" s="1040" t="s">
        <v>168</v>
      </c>
      <c r="L373" s="1041"/>
      <c r="M373" s="1041"/>
      <c r="N373" s="1041"/>
      <c r="O373" s="1041"/>
      <c r="P373" s="1041"/>
      <c r="Q373" s="1041"/>
      <c r="R373" s="1567"/>
      <c r="S373" s="1569"/>
      <c r="T373" s="1567"/>
      <c r="U373" s="1569"/>
      <c r="V373" s="1567"/>
      <c r="W373" s="2062"/>
      <c r="X373" s="1564"/>
      <c r="Z373" s="162" t="s">
        <v>189</v>
      </c>
      <c r="AA373" s="547"/>
      <c r="AB373" s="547"/>
      <c r="AC373" s="162"/>
      <c r="AD373" s="1043"/>
      <c r="AE373" s="1043"/>
      <c r="AF373" s="1044"/>
      <c r="AG373" s="18"/>
    </row>
    <row r="374" spans="1:34" ht="20.100000000000001" customHeight="1">
      <c r="B374" s="1360" t="b">
        <f t="shared" ref="B374:B376" si="37">OR(ISBLANK(R374),ISBLANK(T374),ISBLANK(V374))</f>
        <v>0</v>
      </c>
      <c r="C374" s="1374"/>
      <c r="D374" s="787" t="s">
        <v>1018</v>
      </c>
      <c r="E374" s="781"/>
      <c r="F374" s="1007" t="s">
        <v>1018</v>
      </c>
      <c r="G374" s="347"/>
      <c r="H374" s="348"/>
      <c r="I374" s="495" t="s">
        <v>1421</v>
      </c>
      <c r="J374" s="684"/>
      <c r="K374" s="162" t="s">
        <v>1831</v>
      </c>
      <c r="L374" s="298">
        <v>890</v>
      </c>
      <c r="M374" s="92"/>
      <c r="N374" s="298">
        <v>404</v>
      </c>
      <c r="O374" s="95"/>
      <c r="P374" s="228"/>
      <c r="Q374" s="1045"/>
      <c r="R374" s="1488">
        <v>890</v>
      </c>
      <c r="S374" s="1202">
        <v>0</v>
      </c>
      <c r="T374" s="1488">
        <v>598</v>
      </c>
      <c r="U374" s="1347">
        <v>0</v>
      </c>
      <c r="V374" s="1490">
        <v>917</v>
      </c>
      <c r="W374" s="2097"/>
      <c r="X374" s="498" t="s">
        <v>1422</v>
      </c>
      <c r="Y374" s="498" t="s">
        <v>1423</v>
      </c>
      <c r="Z374" s="162" t="s">
        <v>189</v>
      </c>
      <c r="AA374" s="547"/>
      <c r="AB374" s="1047" t="s">
        <v>1424</v>
      </c>
      <c r="AC374" s="162"/>
      <c r="AD374" s="277" t="s">
        <v>1425</v>
      </c>
      <c r="AE374" s="265"/>
      <c r="AF374" s="982"/>
      <c r="AG374" s="18"/>
    </row>
    <row r="375" spans="1:34" ht="20.100000000000001" customHeight="1">
      <c r="B375" s="1360" t="b">
        <f t="shared" si="37"/>
        <v>0</v>
      </c>
      <c r="C375" s="871"/>
      <c r="D375" s="787" t="s">
        <v>1428</v>
      </c>
      <c r="E375" s="781"/>
      <c r="F375" s="1007" t="s">
        <v>742</v>
      </c>
      <c r="G375" s="384"/>
      <c r="H375" s="385"/>
      <c r="I375" s="495" t="s">
        <v>1429</v>
      </c>
      <c r="J375" s="684"/>
      <c r="K375" s="162" t="s">
        <v>734</v>
      </c>
      <c r="L375" s="298">
        <v>196</v>
      </c>
      <c r="M375" s="92"/>
      <c r="N375" s="298">
        <v>129</v>
      </c>
      <c r="O375" s="95"/>
      <c r="P375" s="228"/>
      <c r="Q375" s="1045"/>
      <c r="R375" s="1463">
        <v>196</v>
      </c>
      <c r="S375" s="1526">
        <v>0</v>
      </c>
      <c r="T375" s="1463">
        <v>154</v>
      </c>
      <c r="U375" s="1524">
        <v>0</v>
      </c>
      <c r="V375" s="1464">
        <v>175</v>
      </c>
      <c r="W375" s="2097"/>
      <c r="X375" s="498" t="s">
        <v>1430</v>
      </c>
      <c r="Y375" s="498" t="s">
        <v>1429</v>
      </c>
      <c r="Z375" s="162" t="s">
        <v>189</v>
      </c>
      <c r="AA375" s="547"/>
      <c r="AB375" s="1047" t="s">
        <v>1424</v>
      </c>
      <c r="AC375" s="162"/>
      <c r="AD375" s="981" t="s">
        <v>1431</v>
      </c>
      <c r="AE375" s="427"/>
      <c r="AF375" s="974"/>
      <c r="AG375" s="18"/>
    </row>
    <row r="376" spans="1:34" ht="20.100000000000001" customHeight="1" thickBot="1">
      <c r="B376" s="1361" t="b">
        <f t="shared" si="37"/>
        <v>1</v>
      </c>
      <c r="C376" s="1048" t="s">
        <v>1433</v>
      </c>
      <c r="D376" s="1048"/>
      <c r="E376" s="1048"/>
      <c r="F376" s="285" t="s">
        <v>156</v>
      </c>
      <c r="G376" s="1049"/>
      <c r="H376" s="1050" t="s">
        <v>1434</v>
      </c>
      <c r="I376" s="1051"/>
      <c r="J376" s="1052"/>
      <c r="K376" s="109" t="s">
        <v>156</v>
      </c>
      <c r="L376" s="562"/>
      <c r="M376" s="92"/>
      <c r="N376" s="562"/>
      <c r="O376" s="92"/>
      <c r="P376" s="228"/>
      <c r="Q376" s="1045"/>
      <c r="R376" s="1490"/>
      <c r="S376" s="1202"/>
      <c r="T376" s="1490"/>
      <c r="U376" s="935"/>
      <c r="V376" s="1490"/>
      <c r="W376" s="2097"/>
      <c r="X376" s="2468"/>
      <c r="Y376" s="276"/>
      <c r="Z376" s="109" t="s">
        <v>189</v>
      </c>
      <c r="AA376" s="547"/>
      <c r="AB376" s="547"/>
      <c r="AC376" s="299" t="s">
        <v>193</v>
      </c>
      <c r="AD376" s="277"/>
      <c r="AE376" s="277" t="s">
        <v>1436</v>
      </c>
      <c r="AF376" s="982"/>
      <c r="AG376" s="18"/>
    </row>
    <row r="377" spans="1:34" ht="27.75" thickTop="1" thickBot="1">
      <c r="A377" s="50"/>
      <c r="B377" s="65" t="s">
        <v>1437</v>
      </c>
      <c r="C377" s="629"/>
      <c r="D377" s="629"/>
      <c r="E377" s="629"/>
      <c r="F377" s="630"/>
      <c r="G377" s="631" t="s">
        <v>1438</v>
      </c>
      <c r="H377" s="629"/>
      <c r="I377" s="632"/>
      <c r="J377" s="632"/>
      <c r="K377" s="630"/>
      <c r="L377" s="1053"/>
      <c r="M377" s="1053"/>
      <c r="N377" s="1053"/>
      <c r="O377" s="1053"/>
      <c r="P377" s="1053"/>
      <c r="Q377" s="1053"/>
      <c r="R377" s="1507"/>
      <c r="S377" s="1452"/>
      <c r="T377" s="1507"/>
      <c r="U377" s="1452"/>
      <c r="V377" s="1507"/>
      <c r="W377" s="1053"/>
      <c r="X377" s="634"/>
      <c r="Y377" s="634"/>
      <c r="Z377" s="633"/>
      <c r="AA377" s="633"/>
      <c r="AB377" s="633"/>
      <c r="AC377" s="633"/>
      <c r="AD377" s="1055"/>
      <c r="AE377" s="1055"/>
      <c r="AF377" s="635"/>
      <c r="AG377" s="18"/>
      <c r="AH377" s="54"/>
    </row>
    <row r="378" spans="1:34" ht="27" thickBot="1">
      <c r="B378" s="123" t="s">
        <v>1439</v>
      </c>
      <c r="C378" s="124"/>
      <c r="D378" s="124"/>
      <c r="E378" s="124"/>
      <c r="F378" s="78"/>
      <c r="G378" s="1272" t="s">
        <v>1440</v>
      </c>
      <c r="H378" s="1132"/>
      <c r="I378" s="1132"/>
      <c r="J378" s="1273"/>
      <c r="K378" s="518"/>
      <c r="L378" s="600"/>
      <c r="M378" s="600"/>
      <c r="N378" s="600"/>
      <c r="O378" s="600"/>
      <c r="P378" s="600"/>
      <c r="Q378" s="1004"/>
      <c r="R378" s="1485"/>
      <c r="S378" s="1447"/>
      <c r="T378" s="1485"/>
      <c r="U378" s="1447"/>
      <c r="V378" s="1485"/>
      <c r="W378" s="1004"/>
      <c r="X378" s="80"/>
      <c r="Y378" s="1133"/>
      <c r="Z378" s="1274"/>
      <c r="AA378" s="129"/>
      <c r="AB378" s="129"/>
      <c r="AC378" s="1274"/>
      <c r="AD378" s="328"/>
      <c r="AE378" s="328"/>
      <c r="AF378" s="1006"/>
      <c r="AG378" s="18"/>
    </row>
    <row r="379" spans="1:34" ht="20.100000000000001" customHeight="1">
      <c r="B379" s="1395"/>
      <c r="C379" s="167" t="s">
        <v>1441</v>
      </c>
      <c r="D379" s="167"/>
      <c r="E379" s="167"/>
      <c r="F379" s="1568"/>
      <c r="G379" s="1056"/>
      <c r="H379" s="698" t="s">
        <v>1442</v>
      </c>
      <c r="I379" s="698"/>
      <c r="J379" s="655"/>
      <c r="K379" s="956" t="s">
        <v>734</v>
      </c>
      <c r="L379" s="1057"/>
      <c r="M379" s="1057"/>
      <c r="N379" s="1057"/>
      <c r="O379" s="1057"/>
      <c r="P379" s="1057"/>
      <c r="Q379" s="1057"/>
      <c r="R379" s="1594"/>
      <c r="S379" s="1595"/>
      <c r="T379" s="1596"/>
      <c r="U379" s="1595"/>
      <c r="V379" s="1596"/>
      <c r="W379" s="2098"/>
      <c r="X379" s="1564"/>
      <c r="Y379" s="533"/>
      <c r="Z379" s="873" t="s">
        <v>1444</v>
      </c>
      <c r="AA379" s="547"/>
      <c r="AB379" s="547"/>
      <c r="AC379" s="299" t="s">
        <v>1435</v>
      </c>
      <c r="AD379" s="1043"/>
      <c r="AE379" s="1043"/>
      <c r="AF379" s="1044"/>
      <c r="AG379" s="18"/>
    </row>
    <row r="380" spans="1:34" ht="20.100000000000001" customHeight="1">
      <c r="B380" s="1360" t="b">
        <f t="shared" ref="B380:B382" si="38">OR(ISBLANK(R380),ISBLANK(T380),ISBLANK(V380))</f>
        <v>0</v>
      </c>
      <c r="C380" s="1391"/>
      <c r="D380" s="787" t="s">
        <v>1445</v>
      </c>
      <c r="E380" s="781"/>
      <c r="F380" s="105" t="s">
        <v>732</v>
      </c>
      <c r="G380" s="106"/>
      <c r="H380" s="353"/>
      <c r="I380" s="945" t="s">
        <v>1446</v>
      </c>
      <c r="J380" s="945"/>
      <c r="K380" s="873" t="s">
        <v>734</v>
      </c>
      <c r="L380" s="1058">
        <v>5</v>
      </c>
      <c r="M380" s="1058"/>
      <c r="N380" s="1058">
        <v>7</v>
      </c>
      <c r="O380" s="1059"/>
      <c r="P380" s="799"/>
      <c r="Q380" s="1045"/>
      <c r="R380" s="1463">
        <v>5</v>
      </c>
      <c r="S380" s="1539">
        <v>0</v>
      </c>
      <c r="T380" s="1463">
        <v>7</v>
      </c>
      <c r="U380" s="1540">
        <v>0</v>
      </c>
      <c r="V380" s="1477">
        <v>7</v>
      </c>
      <c r="W380" s="2097"/>
      <c r="X380" s="2483" t="s">
        <v>1447</v>
      </c>
      <c r="Y380" s="276" t="s">
        <v>1448</v>
      </c>
      <c r="Z380" s="873" t="s">
        <v>1444</v>
      </c>
      <c r="AA380" s="547"/>
      <c r="AB380" s="547"/>
      <c r="AC380" s="299" t="s">
        <v>1435</v>
      </c>
      <c r="AD380" s="277" t="s">
        <v>1449</v>
      </c>
      <c r="AE380" s="277" t="s">
        <v>1450</v>
      </c>
      <c r="AF380" s="982"/>
      <c r="AG380" s="18"/>
    </row>
    <row r="381" spans="1:34" ht="20.100000000000001" customHeight="1">
      <c r="B381" s="1360" t="b">
        <f t="shared" si="38"/>
        <v>0</v>
      </c>
      <c r="C381" s="1392"/>
      <c r="D381" s="787" t="s">
        <v>1451</v>
      </c>
      <c r="E381" s="781"/>
      <c r="F381" s="105" t="s">
        <v>732</v>
      </c>
      <c r="G381" s="106"/>
      <c r="H381" s="353"/>
      <c r="I381" s="735" t="s">
        <v>1452</v>
      </c>
      <c r="J381" s="735"/>
      <c r="K381" s="109" t="s">
        <v>734</v>
      </c>
      <c r="L381" s="1060">
        <v>3</v>
      </c>
      <c r="M381" s="1060"/>
      <c r="N381" s="1060">
        <v>4</v>
      </c>
      <c r="O381" s="1061"/>
      <c r="P381" s="644"/>
      <c r="Q381" s="1045"/>
      <c r="R381" s="1463">
        <v>3</v>
      </c>
      <c r="S381" s="1526">
        <v>0</v>
      </c>
      <c r="T381" s="1463">
        <v>4</v>
      </c>
      <c r="U381" s="1524">
        <v>0</v>
      </c>
      <c r="V381" s="1464">
        <v>4</v>
      </c>
      <c r="W381" s="2097"/>
      <c r="X381" s="2468" t="s">
        <v>1453</v>
      </c>
      <c r="Y381" s="276" t="s">
        <v>1454</v>
      </c>
      <c r="Z381" s="109" t="s">
        <v>37</v>
      </c>
      <c r="AA381" s="547"/>
      <c r="AB381" s="547"/>
      <c r="AC381" s="299" t="s">
        <v>193</v>
      </c>
      <c r="AD381" s="277" t="s">
        <v>1455</v>
      </c>
      <c r="AE381" s="277" t="s">
        <v>1450</v>
      </c>
      <c r="AF381" s="982"/>
      <c r="AG381" s="18"/>
    </row>
    <row r="382" spans="1:34" ht="20.100000000000001" customHeight="1">
      <c r="B382" s="1360" t="b">
        <f t="shared" si="38"/>
        <v>0</v>
      </c>
      <c r="C382" s="1384"/>
      <c r="D382" s="787" t="s">
        <v>1456</v>
      </c>
      <c r="E382" s="781"/>
      <c r="F382" s="105" t="s">
        <v>732</v>
      </c>
      <c r="G382" s="384"/>
      <c r="H382" s="385"/>
      <c r="I382" s="1065" t="s">
        <v>1457</v>
      </c>
      <c r="J382" s="1066"/>
      <c r="K382" s="109" t="s">
        <v>734</v>
      </c>
      <c r="L382" s="1060">
        <v>0</v>
      </c>
      <c r="M382" s="1060"/>
      <c r="N382" s="1060">
        <v>1</v>
      </c>
      <c r="O382" s="1061"/>
      <c r="P382" s="644"/>
      <c r="Q382" s="1045"/>
      <c r="R382" s="1463">
        <v>0</v>
      </c>
      <c r="S382" s="1526">
        <v>0</v>
      </c>
      <c r="T382" s="1463">
        <v>1</v>
      </c>
      <c r="U382" s="1524">
        <v>0</v>
      </c>
      <c r="V382" s="1464">
        <v>1</v>
      </c>
      <c r="W382" s="2097"/>
      <c r="X382" s="2468" t="s">
        <v>1458</v>
      </c>
      <c r="Y382" s="276" t="s">
        <v>1459</v>
      </c>
      <c r="Z382" s="109" t="s">
        <v>37</v>
      </c>
      <c r="AA382" s="547"/>
      <c r="AB382" s="547"/>
      <c r="AC382" s="299" t="s">
        <v>193</v>
      </c>
      <c r="AD382" s="277" t="s">
        <v>1460</v>
      </c>
      <c r="AE382" s="277" t="s">
        <v>1450</v>
      </c>
      <c r="AF382" s="982"/>
      <c r="AG382" s="18"/>
    </row>
    <row r="383" spans="1:34" ht="20.100000000000001" customHeight="1">
      <c r="B383" s="1396"/>
      <c r="C383" s="1598" t="s">
        <v>1461</v>
      </c>
      <c r="D383" s="1599"/>
      <c r="E383" s="1599"/>
      <c r="F383" s="1568"/>
      <c r="G383" s="685"/>
      <c r="H383" s="686" t="s">
        <v>1462</v>
      </c>
      <c r="I383" s="739"/>
      <c r="J383" s="739"/>
      <c r="K383" s="315" t="s">
        <v>168</v>
      </c>
      <c r="L383" s="1067"/>
      <c r="M383" s="1068"/>
      <c r="N383" s="1067"/>
      <c r="O383" s="1068"/>
      <c r="P383" s="661"/>
      <c r="Q383" s="661"/>
      <c r="R383" s="1600"/>
      <c r="S383" s="1601"/>
      <c r="T383" s="1602"/>
      <c r="U383" s="1601"/>
      <c r="V383" s="1602"/>
      <c r="W383" s="2099"/>
      <c r="X383" s="1564"/>
      <c r="Y383" s="276"/>
      <c r="Z383" s="873" t="s">
        <v>1444</v>
      </c>
      <c r="AA383" s="547"/>
      <c r="AB383" s="547"/>
      <c r="AC383" s="299" t="s">
        <v>1435</v>
      </c>
      <c r="AD383" s="1043"/>
      <c r="AE383" s="1043"/>
      <c r="AF383" s="1044"/>
      <c r="AG383" s="18"/>
    </row>
    <row r="384" spans="1:34" ht="20.100000000000001" customHeight="1">
      <c r="B384" s="1360" t="b">
        <f t="shared" ref="B384:B385" si="39">OR(ISBLANK(R384),ISBLANK(T384),ISBLANK(V384))</f>
        <v>0</v>
      </c>
      <c r="C384" s="1393"/>
      <c r="D384" s="787" t="s">
        <v>1445</v>
      </c>
      <c r="E384" s="781"/>
      <c r="F384" s="105" t="s">
        <v>154</v>
      </c>
      <c r="G384" s="347"/>
      <c r="H384" s="1069"/>
      <c r="I384" s="735" t="s">
        <v>1454</v>
      </c>
      <c r="J384" s="735"/>
      <c r="K384" s="109" t="s">
        <v>154</v>
      </c>
      <c r="L384" s="1060">
        <v>60</v>
      </c>
      <c r="M384" s="1060"/>
      <c r="N384" s="1060">
        <v>57.142857142857139</v>
      </c>
      <c r="O384" s="1061"/>
      <c r="P384" s="644"/>
      <c r="Q384" s="1045"/>
      <c r="R384" s="1488">
        <v>60</v>
      </c>
      <c r="S384" s="1062"/>
      <c r="T384" s="1488">
        <v>57.142857142857139</v>
      </c>
      <c r="U384" s="1063"/>
      <c r="V384" s="1490">
        <v>57</v>
      </c>
      <c r="W384" s="2097"/>
      <c r="X384" s="2468" t="s">
        <v>1463</v>
      </c>
      <c r="Y384" s="276" t="s">
        <v>1464</v>
      </c>
      <c r="Z384" s="109" t="s">
        <v>37</v>
      </c>
      <c r="AA384" s="547"/>
      <c r="AB384" s="547"/>
      <c r="AC384" s="299" t="s">
        <v>193</v>
      </c>
      <c r="AD384" s="277" t="s">
        <v>1465</v>
      </c>
      <c r="AE384" s="277" t="s">
        <v>1450</v>
      </c>
      <c r="AF384" s="982"/>
      <c r="AG384" s="18"/>
    </row>
    <row r="385" spans="2:33" ht="20.100000000000001" customHeight="1" thickBot="1">
      <c r="B385" s="1361" t="b">
        <f t="shared" si="39"/>
        <v>0</v>
      </c>
      <c r="C385" s="1394"/>
      <c r="D385" s="787" t="s">
        <v>1466</v>
      </c>
      <c r="E385" s="781"/>
      <c r="F385" s="706" t="s">
        <v>154</v>
      </c>
      <c r="G385" s="1070"/>
      <c r="H385" s="1071"/>
      <c r="I385" s="1072" t="s">
        <v>1467</v>
      </c>
      <c r="J385" s="1072"/>
      <c r="K385" s="711" t="s">
        <v>154</v>
      </c>
      <c r="L385" s="644"/>
      <c r="M385" s="1073"/>
      <c r="N385" s="644"/>
      <c r="O385" s="1074"/>
      <c r="P385" s="819"/>
      <c r="Q385" s="1045"/>
      <c r="R385" s="1488">
        <v>100</v>
      </c>
      <c r="S385" s="1075"/>
      <c r="T385" s="1488">
        <v>100</v>
      </c>
      <c r="U385" s="1076"/>
      <c r="V385" s="1501">
        <v>100</v>
      </c>
      <c r="W385" s="2097"/>
      <c r="X385" s="2477"/>
      <c r="Y385" s="595"/>
      <c r="Z385" s="711" t="s">
        <v>37</v>
      </c>
      <c r="AA385" s="547"/>
      <c r="AB385" s="547"/>
      <c r="AC385" s="299" t="s">
        <v>193</v>
      </c>
      <c r="AD385" s="277" t="s">
        <v>1465</v>
      </c>
      <c r="AE385" s="277" t="s">
        <v>1450</v>
      </c>
      <c r="AF385" s="982"/>
      <c r="AG385" s="18"/>
    </row>
    <row r="386" spans="2:33" ht="27" thickBot="1">
      <c r="B386" s="123" t="s">
        <v>1468</v>
      </c>
      <c r="C386" s="124"/>
      <c r="D386" s="124"/>
      <c r="E386" s="124"/>
      <c r="F386" s="78"/>
      <c r="G386" s="1272" t="s">
        <v>1440</v>
      </c>
      <c r="H386" s="1132"/>
      <c r="I386" s="1132"/>
      <c r="J386" s="1273"/>
      <c r="K386" s="518"/>
      <c r="L386" s="600"/>
      <c r="M386" s="600"/>
      <c r="N386" s="600"/>
      <c r="O386" s="600"/>
      <c r="P386" s="600"/>
      <c r="Q386" s="1004"/>
      <c r="R386" s="1485"/>
      <c r="S386" s="1447"/>
      <c r="T386" s="1485"/>
      <c r="U386" s="1447"/>
      <c r="V386" s="1485"/>
      <c r="W386" s="1004"/>
      <c r="X386" s="80"/>
      <c r="Y386" s="1133"/>
      <c r="Z386" s="1274"/>
      <c r="AA386" s="129"/>
      <c r="AB386" s="129"/>
      <c r="AC386" s="1274"/>
      <c r="AD386" s="328"/>
      <c r="AE386" s="328"/>
      <c r="AF386" s="1006"/>
      <c r="AG386" s="18"/>
    </row>
    <row r="387" spans="2:33" ht="20.100000000000001" customHeight="1" thickBot="1">
      <c r="B387" s="1398"/>
      <c r="C387" s="728" t="s">
        <v>1469</v>
      </c>
      <c r="D387" s="728"/>
      <c r="E387" s="728"/>
      <c r="F387" s="1560"/>
      <c r="G387" s="739"/>
      <c r="H387" s="698" t="s">
        <v>1470</v>
      </c>
      <c r="I387" s="698"/>
      <c r="J387" s="655"/>
      <c r="K387" s="881" t="s">
        <v>168</v>
      </c>
      <c r="L387" s="1079"/>
      <c r="M387" s="1079"/>
      <c r="N387" s="1079"/>
      <c r="O387" s="1079"/>
      <c r="P387" s="1079"/>
      <c r="Q387" s="1079"/>
      <c r="R387" s="1594"/>
      <c r="S387" s="1595"/>
      <c r="T387" s="1596"/>
      <c r="U387" s="1595"/>
      <c r="V387" s="1596"/>
      <c r="W387" s="2098"/>
      <c r="X387" s="1564"/>
      <c r="Y387" s="262"/>
      <c r="Z387" s="162" t="s">
        <v>37</v>
      </c>
      <c r="AA387" s="534"/>
      <c r="AB387" s="534"/>
      <c r="AC387" s="299" t="s">
        <v>1435</v>
      </c>
      <c r="AD387" s="1043"/>
      <c r="AE387" s="1043"/>
      <c r="AF387" s="1044"/>
      <c r="AG387" s="18"/>
    </row>
    <row r="388" spans="2:33" ht="20.100000000000001" customHeight="1">
      <c r="B388" s="1360" t="b">
        <f t="shared" ref="B388:B389" si="40">OR(ISBLANK(R388),ISBLANK(T388),ISBLANK(V388))</f>
        <v>0</v>
      </c>
      <c r="C388" s="1392"/>
      <c r="D388" s="787" t="s">
        <v>1445</v>
      </c>
      <c r="E388" s="781"/>
      <c r="F388" s="105" t="s">
        <v>1471</v>
      </c>
      <c r="G388" s="106"/>
      <c r="H388" s="353"/>
      <c r="I388" s="384" t="s">
        <v>1472</v>
      </c>
      <c r="J388" s="384"/>
      <c r="K388" s="1034" t="s">
        <v>559</v>
      </c>
      <c r="L388" s="1060">
        <v>15</v>
      </c>
      <c r="M388" s="1084"/>
      <c r="N388" s="1060">
        <v>11</v>
      </c>
      <c r="O388" s="652"/>
      <c r="P388" s="644"/>
      <c r="Q388" s="1045"/>
      <c r="R388" s="1463">
        <v>15</v>
      </c>
      <c r="S388" s="1526">
        <v>0</v>
      </c>
      <c r="T388" s="1463">
        <v>11</v>
      </c>
      <c r="U388" s="1524">
        <v>0</v>
      </c>
      <c r="V388" s="1464">
        <v>12</v>
      </c>
      <c r="W388" s="2097"/>
      <c r="X388" s="1033" t="s">
        <v>1473</v>
      </c>
      <c r="Y388" s="262" t="s">
        <v>1474</v>
      </c>
      <c r="Z388" s="1034" t="s">
        <v>1444</v>
      </c>
      <c r="AA388" s="878"/>
      <c r="AB388" s="878"/>
      <c r="AC388" s="299" t="s">
        <v>1435</v>
      </c>
      <c r="AD388" s="277" t="s">
        <v>1475</v>
      </c>
      <c r="AE388" s="277" t="s">
        <v>1450</v>
      </c>
      <c r="AF388" s="982"/>
      <c r="AG388" s="18"/>
    </row>
    <row r="389" spans="2:33" ht="20.100000000000001" customHeight="1">
      <c r="B389" s="1360" t="b">
        <f t="shared" si="40"/>
        <v>0</v>
      </c>
      <c r="C389" s="915"/>
      <c r="D389" s="787" t="s">
        <v>1466</v>
      </c>
      <c r="E389" s="781"/>
      <c r="F389" s="105" t="s">
        <v>1476</v>
      </c>
      <c r="G389" s="384"/>
      <c r="H389" s="385"/>
      <c r="I389" s="358" t="s">
        <v>1477</v>
      </c>
      <c r="J389" s="358"/>
      <c r="K389" s="162" t="s">
        <v>1013</v>
      </c>
      <c r="L389" s="1060">
        <v>6</v>
      </c>
      <c r="M389" s="1084"/>
      <c r="N389" s="1060">
        <v>6</v>
      </c>
      <c r="O389" s="652"/>
      <c r="P389" s="644"/>
      <c r="Q389" s="1045"/>
      <c r="R389" s="1463">
        <v>6</v>
      </c>
      <c r="S389" s="1526">
        <v>0</v>
      </c>
      <c r="T389" s="1463">
        <v>6</v>
      </c>
      <c r="U389" s="1524">
        <v>0</v>
      </c>
      <c r="V389" s="1464">
        <v>5</v>
      </c>
      <c r="W389" s="2097"/>
      <c r="X389" s="498" t="s">
        <v>1478</v>
      </c>
      <c r="Y389" s="367" t="s">
        <v>1479</v>
      </c>
      <c r="Z389" s="162" t="s">
        <v>37</v>
      </c>
      <c r="AA389" s="547"/>
      <c r="AB389" s="547"/>
      <c r="AC389" s="299" t="s">
        <v>193</v>
      </c>
      <c r="AD389" s="277" t="s">
        <v>1480</v>
      </c>
      <c r="AE389" s="265"/>
      <c r="AF389" s="982"/>
      <c r="AG389" s="18"/>
    </row>
    <row r="390" spans="2:33" ht="20.100000000000001" customHeight="1">
      <c r="B390" s="1399"/>
      <c r="C390" s="728" t="s">
        <v>1481</v>
      </c>
      <c r="D390" s="728"/>
      <c r="E390" s="728"/>
      <c r="F390" s="1560"/>
      <c r="G390" s="739"/>
      <c r="H390" s="698" t="s">
        <v>1482</v>
      </c>
      <c r="I390" s="698"/>
      <c r="J390" s="655"/>
      <c r="K390" s="881" t="s">
        <v>168</v>
      </c>
      <c r="L390" s="1085"/>
      <c r="M390" s="1085"/>
      <c r="N390" s="1085"/>
      <c r="O390" s="1085"/>
      <c r="P390" s="1085"/>
      <c r="Q390" s="1085"/>
      <c r="R390" s="1594"/>
      <c r="S390" s="1595"/>
      <c r="T390" s="1596"/>
      <c r="U390" s="1595"/>
      <c r="V390" s="1596"/>
      <c r="W390" s="2098"/>
      <c r="X390" s="1564"/>
      <c r="Y390" s="1088"/>
      <c r="Z390" s="162" t="s">
        <v>37</v>
      </c>
      <c r="AA390" s="547"/>
      <c r="AB390" s="547"/>
      <c r="AC390" s="299" t="s">
        <v>1435</v>
      </c>
      <c r="AD390" s="1043"/>
      <c r="AE390" s="691"/>
      <c r="AF390" s="1044"/>
      <c r="AG390" s="18"/>
    </row>
    <row r="391" spans="2:33" ht="20.100000000000001" customHeight="1">
      <c r="B391" s="1360" t="b">
        <f t="shared" ref="B391:B392" si="41">OR(ISBLANK(R391),ISBLANK(T391),ISBLANK(V391))</f>
        <v>0</v>
      </c>
      <c r="C391" s="1376"/>
      <c r="D391" s="787" t="s">
        <v>1483</v>
      </c>
      <c r="E391" s="781"/>
      <c r="F391" s="105" t="s">
        <v>1476</v>
      </c>
      <c r="G391" s="347"/>
      <c r="H391" s="348"/>
      <c r="I391" s="358" t="s">
        <v>1484</v>
      </c>
      <c r="J391" s="358"/>
      <c r="K391" s="162" t="s">
        <v>559</v>
      </c>
      <c r="L391" s="1060">
        <v>34</v>
      </c>
      <c r="M391" s="1084"/>
      <c r="N391" s="1060">
        <v>24</v>
      </c>
      <c r="O391" s="652"/>
      <c r="P391" s="644"/>
      <c r="Q391" s="1045"/>
      <c r="R391" s="1463">
        <v>34</v>
      </c>
      <c r="S391" s="1526">
        <v>0</v>
      </c>
      <c r="T391" s="1463">
        <v>24</v>
      </c>
      <c r="U391" s="1524">
        <v>0</v>
      </c>
      <c r="V391" s="1464">
        <v>33</v>
      </c>
      <c r="W391" s="2097"/>
      <c r="X391" s="498" t="s">
        <v>1485</v>
      </c>
      <c r="Y391" s="1089" t="s">
        <v>1486</v>
      </c>
      <c r="Z391" s="162" t="s">
        <v>37</v>
      </c>
      <c r="AA391" s="547"/>
      <c r="AB391" s="547"/>
      <c r="AC391" s="299" t="s">
        <v>193</v>
      </c>
      <c r="AD391" s="277" t="s">
        <v>1487</v>
      </c>
      <c r="AE391" s="265"/>
      <c r="AF391" s="982"/>
      <c r="AG391" s="18"/>
    </row>
    <row r="392" spans="2:33" ht="20.100000000000001" customHeight="1">
      <c r="B392" s="1360" t="b">
        <f t="shared" si="41"/>
        <v>0</v>
      </c>
      <c r="C392" s="915"/>
      <c r="D392" s="787" t="s">
        <v>1488</v>
      </c>
      <c r="E392" s="781"/>
      <c r="F392" s="105" t="s">
        <v>1476</v>
      </c>
      <c r="G392" s="384"/>
      <c r="H392" s="385"/>
      <c r="I392" s="358" t="s">
        <v>1489</v>
      </c>
      <c r="J392" s="358"/>
      <c r="K392" s="162" t="s">
        <v>559</v>
      </c>
      <c r="L392" s="1090"/>
      <c r="M392" s="1084"/>
      <c r="N392" s="1090"/>
      <c r="O392" s="652"/>
      <c r="P392" s="644"/>
      <c r="Q392" s="1045"/>
      <c r="R392" s="1463">
        <v>0</v>
      </c>
      <c r="S392" s="1526"/>
      <c r="T392" s="1463">
        <v>0</v>
      </c>
      <c r="U392" s="1524"/>
      <c r="V392" s="1464">
        <v>0</v>
      </c>
      <c r="W392" s="2097"/>
      <c r="X392" s="498" t="s">
        <v>1490</v>
      </c>
      <c r="Y392" s="1089" t="s">
        <v>1491</v>
      </c>
      <c r="Z392" s="162" t="s">
        <v>37</v>
      </c>
      <c r="AA392" s="547"/>
      <c r="AB392" s="547"/>
      <c r="AC392" s="299" t="s">
        <v>193</v>
      </c>
      <c r="AD392" s="277" t="s">
        <v>1492</v>
      </c>
      <c r="AE392" s="265"/>
      <c r="AF392" s="982"/>
      <c r="AG392" s="18"/>
    </row>
    <row r="393" spans="2:33" ht="20.100000000000001" customHeight="1">
      <c r="B393" s="1353" t="str">
        <f>C393</f>
        <v>참석율</v>
      </c>
      <c r="C393" s="698" t="s">
        <v>1493</v>
      </c>
      <c r="D393" s="698"/>
      <c r="E393" s="698"/>
      <c r="F393" s="1560"/>
      <c r="G393" s="739"/>
      <c r="H393" s="698" t="s">
        <v>1494</v>
      </c>
      <c r="I393" s="698"/>
      <c r="J393" s="655"/>
      <c r="K393" s="881" t="s">
        <v>168</v>
      </c>
      <c r="L393" s="1085"/>
      <c r="M393" s="1085"/>
      <c r="N393" s="1085"/>
      <c r="O393" s="1085"/>
      <c r="P393" s="1085"/>
      <c r="Q393" s="1085"/>
      <c r="R393" s="1594"/>
      <c r="S393" s="1595"/>
      <c r="T393" s="1596"/>
      <c r="U393" s="1595"/>
      <c r="V393" s="1596"/>
      <c r="W393" s="2098"/>
      <c r="X393" s="1564"/>
      <c r="Y393" s="1088"/>
      <c r="Z393" s="162" t="s">
        <v>37</v>
      </c>
      <c r="AA393" s="547"/>
      <c r="AB393" s="547"/>
      <c r="AC393" s="299" t="s">
        <v>1435</v>
      </c>
      <c r="AD393" s="1043"/>
      <c r="AE393" s="691"/>
      <c r="AF393" s="1044"/>
      <c r="AG393" s="18"/>
    </row>
    <row r="394" spans="2:33" s="139" customFormat="1" ht="20.100000000000001" customHeight="1">
      <c r="B394" s="1360" t="b">
        <f t="shared" ref="B394:B403" si="42">OR(ISBLANK(R394),ISBLANK(T394),ISBLANK(V394))</f>
        <v>0</v>
      </c>
      <c r="C394" s="11"/>
      <c r="D394" s="787" t="s">
        <v>1495</v>
      </c>
      <c r="E394" s="781"/>
      <c r="F394" s="105" t="s">
        <v>154</v>
      </c>
      <c r="G394" s="347"/>
      <c r="H394" s="1069"/>
      <c r="I394" s="735" t="s">
        <v>1496</v>
      </c>
      <c r="J394" s="735"/>
      <c r="K394" s="109" t="s">
        <v>154</v>
      </c>
      <c r="L394" s="1092">
        <v>90</v>
      </c>
      <c r="M394" s="1093"/>
      <c r="N394" s="1092">
        <v>93.55</v>
      </c>
      <c r="O394" s="580"/>
      <c r="P394" s="1094"/>
      <c r="Q394" s="1045"/>
      <c r="R394" s="1488">
        <v>90</v>
      </c>
      <c r="S394" s="1202">
        <v>0</v>
      </c>
      <c r="T394" s="1488">
        <v>93.55</v>
      </c>
      <c r="U394" s="1347">
        <v>0</v>
      </c>
      <c r="V394" s="1490">
        <v>100</v>
      </c>
      <c r="W394" s="2097"/>
      <c r="X394" s="2468" t="s">
        <v>1497</v>
      </c>
      <c r="Y394" s="1089" t="s">
        <v>1498</v>
      </c>
      <c r="Z394" s="162" t="s">
        <v>37</v>
      </c>
      <c r="AA394" s="547"/>
      <c r="AB394" s="547"/>
      <c r="AC394" s="299" t="s">
        <v>193</v>
      </c>
      <c r="AD394" s="277" t="s">
        <v>1499</v>
      </c>
      <c r="AE394" s="265"/>
      <c r="AF394" s="982"/>
      <c r="AG394" s="18"/>
    </row>
    <row r="395" spans="2:33" s="139" customFormat="1" ht="20.100000000000001" customHeight="1">
      <c r="B395" s="1360" t="b">
        <f t="shared" si="42"/>
        <v>0</v>
      </c>
      <c r="C395" s="27"/>
      <c r="D395" s="787" t="s">
        <v>1500</v>
      </c>
      <c r="E395" s="781"/>
      <c r="F395" s="105" t="s">
        <v>154</v>
      </c>
      <c r="G395" s="106"/>
      <c r="H395" s="1098"/>
      <c r="I395" s="735" t="s">
        <v>1501</v>
      </c>
      <c r="J395" s="735"/>
      <c r="K395" s="109" t="s">
        <v>154</v>
      </c>
      <c r="L395" s="1092">
        <v>97.77</v>
      </c>
      <c r="M395" s="1093"/>
      <c r="N395" s="1092">
        <v>100</v>
      </c>
      <c r="O395" s="580"/>
      <c r="P395" s="1094"/>
      <c r="Q395" s="1045"/>
      <c r="R395" s="1488">
        <v>97.77</v>
      </c>
      <c r="S395" s="1202">
        <v>0</v>
      </c>
      <c r="T395" s="1488">
        <v>100</v>
      </c>
      <c r="U395" s="1347">
        <v>0</v>
      </c>
      <c r="V395" s="1490">
        <v>96</v>
      </c>
      <c r="W395" s="2097"/>
      <c r="X395" s="2468" t="s">
        <v>1502</v>
      </c>
      <c r="Y395" s="1089" t="s">
        <v>1503</v>
      </c>
      <c r="Z395" s="162" t="s">
        <v>37</v>
      </c>
      <c r="AA395" s="547"/>
      <c r="AB395" s="547"/>
      <c r="AC395" s="299" t="s">
        <v>193</v>
      </c>
      <c r="AD395" s="277" t="s">
        <v>1504</v>
      </c>
      <c r="AE395" s="265"/>
      <c r="AF395" s="982"/>
      <c r="AG395" s="18"/>
    </row>
    <row r="396" spans="2:33" s="139" customFormat="1" ht="20.100000000000001" customHeight="1">
      <c r="B396" s="1360" t="b">
        <f t="shared" si="42"/>
        <v>0</v>
      </c>
      <c r="C396" s="27"/>
      <c r="D396" s="787" t="s">
        <v>1505</v>
      </c>
      <c r="E396" s="781"/>
      <c r="F396" s="105" t="s">
        <v>154</v>
      </c>
      <c r="G396" s="106"/>
      <c r="H396" s="1098"/>
      <c r="I396" s="735" t="s">
        <v>1506</v>
      </c>
      <c r="J396" s="735"/>
      <c r="K396" s="109" t="s">
        <v>154</v>
      </c>
      <c r="L396" s="1092">
        <v>100</v>
      </c>
      <c r="M396" s="1093"/>
      <c r="N396" s="1092">
        <v>100</v>
      </c>
      <c r="O396" s="580"/>
      <c r="P396" s="1094"/>
      <c r="Q396" s="1045"/>
      <c r="R396" s="1488">
        <v>100</v>
      </c>
      <c r="S396" s="1202">
        <v>0</v>
      </c>
      <c r="T396" s="1488">
        <v>100</v>
      </c>
      <c r="U396" s="1347">
        <v>0</v>
      </c>
      <c r="V396" s="1490">
        <v>0</v>
      </c>
      <c r="W396" s="2097"/>
      <c r="X396" s="2468" t="s">
        <v>1507</v>
      </c>
      <c r="Y396" s="1089" t="s">
        <v>1508</v>
      </c>
      <c r="Z396" s="162" t="s">
        <v>37</v>
      </c>
      <c r="AA396" s="547"/>
      <c r="AB396" s="547"/>
      <c r="AC396" s="299" t="s">
        <v>193</v>
      </c>
      <c r="AD396" s="277" t="s">
        <v>1509</v>
      </c>
      <c r="AE396" s="265"/>
      <c r="AF396" s="982"/>
      <c r="AG396" s="18"/>
    </row>
    <row r="397" spans="2:33" s="139" customFormat="1" ht="20.100000000000001" customHeight="1">
      <c r="B397" s="1360" t="b">
        <f t="shared" si="42"/>
        <v>0</v>
      </c>
      <c r="C397" s="27"/>
      <c r="D397" s="787" t="s">
        <v>1510</v>
      </c>
      <c r="E397" s="781"/>
      <c r="F397" s="105" t="s">
        <v>154</v>
      </c>
      <c r="G397" s="106"/>
      <c r="H397" s="1098"/>
      <c r="I397" s="735" t="s">
        <v>1511</v>
      </c>
      <c r="J397" s="735"/>
      <c r="K397" s="109" t="s">
        <v>154</v>
      </c>
      <c r="L397" s="1092">
        <v>100</v>
      </c>
      <c r="M397" s="1093"/>
      <c r="N397" s="1092">
        <v>100</v>
      </c>
      <c r="O397" s="580"/>
      <c r="P397" s="1094"/>
      <c r="Q397" s="1045"/>
      <c r="R397" s="1488">
        <v>100</v>
      </c>
      <c r="S397" s="1202">
        <v>0</v>
      </c>
      <c r="T397" s="1488">
        <v>100</v>
      </c>
      <c r="U397" s="1347">
        <v>0</v>
      </c>
      <c r="V397" s="1490">
        <v>100</v>
      </c>
      <c r="W397" s="2097"/>
      <c r="X397" s="2468" t="s">
        <v>1512</v>
      </c>
      <c r="Y397" s="1089" t="s">
        <v>1513</v>
      </c>
      <c r="Z397" s="162" t="s">
        <v>37</v>
      </c>
      <c r="AA397" s="547"/>
      <c r="AB397" s="547"/>
      <c r="AC397" s="299" t="s">
        <v>193</v>
      </c>
      <c r="AD397" s="277" t="s">
        <v>1514</v>
      </c>
      <c r="AE397" s="265"/>
      <c r="AF397" s="982"/>
      <c r="AG397" s="18"/>
    </row>
    <row r="398" spans="2:33" s="139" customFormat="1" ht="20.100000000000001" customHeight="1">
      <c r="B398" s="1360" t="b">
        <f t="shared" si="42"/>
        <v>0</v>
      </c>
      <c r="C398" s="1397"/>
      <c r="D398" s="787" t="s">
        <v>1515</v>
      </c>
      <c r="E398" s="781"/>
      <c r="F398" s="105" t="s">
        <v>154</v>
      </c>
      <c r="G398" s="384"/>
      <c r="H398" s="1099"/>
      <c r="I398" s="735" t="s">
        <v>1516</v>
      </c>
      <c r="J398" s="735"/>
      <c r="K398" s="109" t="s">
        <v>154</v>
      </c>
      <c r="L398" s="1092">
        <v>94.44</v>
      </c>
      <c r="M398" s="1093"/>
      <c r="N398" s="1092">
        <v>100</v>
      </c>
      <c r="O398" s="580"/>
      <c r="P398" s="1094"/>
      <c r="Q398" s="1045"/>
      <c r="R398" s="1488">
        <v>94.44</v>
      </c>
      <c r="S398" s="1202">
        <v>0</v>
      </c>
      <c r="T398" s="1488">
        <v>100</v>
      </c>
      <c r="U398" s="1347">
        <v>0</v>
      </c>
      <c r="V398" s="1490">
        <v>100</v>
      </c>
      <c r="W398" s="2097"/>
      <c r="X398" s="2468" t="s">
        <v>1517</v>
      </c>
      <c r="Y398" s="1089" t="s">
        <v>1518</v>
      </c>
      <c r="Z398" s="162" t="s">
        <v>37</v>
      </c>
      <c r="AA398" s="547"/>
      <c r="AB398" s="547"/>
      <c r="AC398" s="299" t="s">
        <v>193</v>
      </c>
      <c r="AD398" s="277" t="s">
        <v>1519</v>
      </c>
      <c r="AE398" s="265"/>
      <c r="AF398" s="982"/>
      <c r="AG398" s="18"/>
    </row>
    <row r="399" spans="2:33" s="139" customFormat="1" ht="20.100000000000001" customHeight="1">
      <c r="B399" s="1360" t="b">
        <f t="shared" si="42"/>
        <v>0</v>
      </c>
      <c r="C399" s="924" t="s">
        <v>1520</v>
      </c>
      <c r="D399" s="924"/>
      <c r="E399" s="924"/>
      <c r="F399" s="105" t="s">
        <v>742</v>
      </c>
      <c r="G399" s="358"/>
      <c r="H399" s="359" t="s">
        <v>1521</v>
      </c>
      <c r="I399" s="359"/>
      <c r="J399" s="643"/>
      <c r="K399" s="109" t="s">
        <v>734</v>
      </c>
      <c r="L399" s="1060">
        <v>3</v>
      </c>
      <c r="M399" s="1084"/>
      <c r="N399" s="1060">
        <v>4</v>
      </c>
      <c r="O399" s="652"/>
      <c r="P399" s="644"/>
      <c r="Q399" s="1045"/>
      <c r="R399" s="1463">
        <v>3</v>
      </c>
      <c r="S399" s="1526">
        <v>0</v>
      </c>
      <c r="T399" s="1463">
        <v>4</v>
      </c>
      <c r="U399" s="1524">
        <v>0</v>
      </c>
      <c r="V399" s="1464">
        <v>4</v>
      </c>
      <c r="W399" s="2097"/>
      <c r="X399" s="2468" t="s">
        <v>1520</v>
      </c>
      <c r="Y399" s="1089" t="s">
        <v>1521</v>
      </c>
      <c r="Z399" s="162" t="s">
        <v>37</v>
      </c>
      <c r="AA399" s="547"/>
      <c r="AB399" s="547"/>
      <c r="AC399" s="299" t="s">
        <v>193</v>
      </c>
      <c r="AD399" s="981" t="s">
        <v>1522</v>
      </c>
      <c r="AE399" s="427"/>
      <c r="AF399" s="974"/>
      <c r="AG399" s="18"/>
    </row>
    <row r="400" spans="2:33" s="139" customFormat="1" ht="20.100000000000001" customHeight="1">
      <c r="B400" s="1360" t="b">
        <f t="shared" si="42"/>
        <v>0</v>
      </c>
      <c r="C400" s="924" t="s">
        <v>1523</v>
      </c>
      <c r="D400" s="924"/>
      <c r="E400" s="924"/>
      <c r="F400" s="105" t="s">
        <v>742</v>
      </c>
      <c r="G400" s="358"/>
      <c r="H400" s="359" t="s">
        <v>1524</v>
      </c>
      <c r="I400" s="359"/>
      <c r="J400" s="643"/>
      <c r="K400" s="109" t="s">
        <v>734</v>
      </c>
      <c r="L400" s="1060">
        <v>3</v>
      </c>
      <c r="M400" s="1084"/>
      <c r="N400" s="1060">
        <v>4</v>
      </c>
      <c r="O400" s="652"/>
      <c r="P400" s="644"/>
      <c r="Q400" s="1045"/>
      <c r="R400" s="1463">
        <v>3</v>
      </c>
      <c r="S400" s="1526">
        <v>0</v>
      </c>
      <c r="T400" s="1463">
        <v>4</v>
      </c>
      <c r="U400" s="1524">
        <v>0</v>
      </c>
      <c r="V400" s="1464">
        <v>4</v>
      </c>
      <c r="W400" s="2097"/>
      <c r="X400" s="2468" t="s">
        <v>1523</v>
      </c>
      <c r="Y400" s="1100" t="s">
        <v>1524</v>
      </c>
      <c r="Z400" s="165" t="s">
        <v>37</v>
      </c>
      <c r="AA400" s="1101"/>
      <c r="AB400" s="1102"/>
      <c r="AC400" s="299" t="s">
        <v>193</v>
      </c>
      <c r="AD400" s="1103" t="s">
        <v>1525</v>
      </c>
      <c r="AE400" s="427"/>
      <c r="AF400" s="974"/>
      <c r="AG400" s="18"/>
    </row>
    <row r="401" spans="2:33" s="139" customFormat="1" ht="20.100000000000001" customHeight="1">
      <c r="B401" s="1360" t="b">
        <f t="shared" si="42"/>
        <v>1</v>
      </c>
      <c r="C401" s="924" t="s">
        <v>1526</v>
      </c>
      <c r="D401" s="924"/>
      <c r="E401" s="924"/>
      <c r="F401" s="105" t="s">
        <v>156</v>
      </c>
      <c r="G401" s="358"/>
      <c r="H401" s="359" t="s">
        <v>1527</v>
      </c>
      <c r="I401" s="359"/>
      <c r="J401" s="348"/>
      <c r="K401" s="122" t="s">
        <v>156</v>
      </c>
      <c r="L401" s="1104"/>
      <c r="M401" s="1105"/>
      <c r="N401" s="1104"/>
      <c r="O401" s="1106"/>
      <c r="P401" s="1107"/>
      <c r="Q401" s="1045"/>
      <c r="R401" s="5491"/>
      <c r="S401" s="5502" t="s">
        <v>1780</v>
      </c>
      <c r="T401" s="5491"/>
      <c r="U401" s="5502" t="s">
        <v>1780</v>
      </c>
      <c r="V401" s="5503" t="s">
        <v>1780</v>
      </c>
      <c r="W401" s="2097"/>
      <c r="X401" s="2488" t="s">
        <v>1528</v>
      </c>
      <c r="Y401" s="1113"/>
      <c r="Z401" s="1114" t="s">
        <v>37</v>
      </c>
      <c r="AA401" s="1115"/>
      <c r="AB401" s="773"/>
      <c r="AC401" s="299" t="s">
        <v>193</v>
      </c>
      <c r="AD401" s="1116" t="s">
        <v>1529</v>
      </c>
      <c r="AE401" s="427"/>
      <c r="AF401" s="974"/>
      <c r="AG401" s="18"/>
    </row>
    <row r="402" spans="2:33" s="139" customFormat="1" ht="20.100000000000001" customHeight="1">
      <c r="B402" s="1360" t="b">
        <f t="shared" si="42"/>
        <v>1</v>
      </c>
      <c r="C402" s="1385"/>
      <c r="D402" s="936" t="s">
        <v>1530</v>
      </c>
      <c r="E402" s="924"/>
      <c r="F402" s="105" t="s">
        <v>742</v>
      </c>
      <c r="G402" s="905"/>
      <c r="H402" s="963"/>
      <c r="I402" s="932" t="s">
        <v>1531</v>
      </c>
      <c r="J402" s="993"/>
      <c r="K402" s="109" t="s">
        <v>734</v>
      </c>
      <c r="L402" s="1090"/>
      <c r="M402" s="1084"/>
      <c r="N402" s="1090"/>
      <c r="O402" s="652"/>
      <c r="P402" s="644"/>
      <c r="Q402" s="1045"/>
      <c r="R402" s="5513"/>
      <c r="S402" s="5514" t="s">
        <v>1780</v>
      </c>
      <c r="T402" s="5513"/>
      <c r="U402" s="5514" t="s">
        <v>1780</v>
      </c>
      <c r="V402" s="5458" t="s">
        <v>1780</v>
      </c>
      <c r="W402" s="2097"/>
      <c r="X402" s="2489"/>
      <c r="Y402" s="1118"/>
      <c r="Z402" s="1119" t="s">
        <v>37</v>
      </c>
      <c r="AA402" s="1115"/>
      <c r="AB402" s="773"/>
      <c r="AC402" s="299" t="s">
        <v>193</v>
      </c>
      <c r="AD402" s="1120" t="s">
        <v>1529</v>
      </c>
      <c r="AE402" s="265"/>
      <c r="AF402" s="982"/>
      <c r="AG402" s="18"/>
    </row>
    <row r="403" spans="2:33" s="139" customFormat="1" ht="20.100000000000001" customHeight="1" thickBot="1">
      <c r="B403" s="1546" t="b">
        <f t="shared" si="42"/>
        <v>0</v>
      </c>
      <c r="C403" s="1547"/>
      <c r="D403" s="1548" t="s">
        <v>1532</v>
      </c>
      <c r="E403" s="1549"/>
      <c r="F403" s="119" t="s">
        <v>742</v>
      </c>
      <c r="G403" s="1121"/>
      <c r="H403" s="1122"/>
      <c r="I403" s="1123" t="s">
        <v>1533</v>
      </c>
      <c r="J403" s="1124"/>
      <c r="K403" s="711" t="s">
        <v>734</v>
      </c>
      <c r="L403" s="1125">
        <f>L399</f>
        <v>3</v>
      </c>
      <c r="M403" s="1126"/>
      <c r="N403" s="1125">
        <f>N399</f>
        <v>4</v>
      </c>
      <c r="O403" s="1127"/>
      <c r="P403" s="819"/>
      <c r="Q403" s="1045"/>
      <c r="R403" s="5528">
        <f>R399</f>
        <v>3</v>
      </c>
      <c r="S403" s="5514" t="s">
        <v>1780</v>
      </c>
      <c r="T403" s="5528">
        <f>T399</f>
        <v>4</v>
      </c>
      <c r="U403" s="5514" t="s">
        <v>1780</v>
      </c>
      <c r="V403" s="5528">
        <f>V399</f>
        <v>4</v>
      </c>
      <c r="W403" s="2100"/>
      <c r="X403" s="2488"/>
      <c r="Y403" s="1128"/>
      <c r="Z403" s="1119" t="s">
        <v>37</v>
      </c>
      <c r="AA403" s="1550"/>
      <c r="AB403" s="1102"/>
      <c r="AC403" s="1551" t="s">
        <v>193</v>
      </c>
      <c r="AD403" s="1552" t="s">
        <v>1529</v>
      </c>
      <c r="AE403" s="427"/>
      <c r="AF403" s="974"/>
      <c r="AG403" s="18"/>
    </row>
    <row r="404" spans="2:33" ht="27" thickBot="1">
      <c r="B404" s="123" t="s">
        <v>1534</v>
      </c>
      <c r="C404" s="124"/>
      <c r="D404" s="124"/>
      <c r="E404" s="124"/>
      <c r="F404" s="78"/>
      <c r="G404" s="1272" t="s">
        <v>1440</v>
      </c>
      <c r="H404" s="1132"/>
      <c r="I404" s="1132"/>
      <c r="J404" s="1273"/>
      <c r="K404" s="518"/>
      <c r="L404" s="600"/>
      <c r="M404" s="600"/>
      <c r="N404" s="600"/>
      <c r="O404" s="600"/>
      <c r="P404" s="600"/>
      <c r="Q404" s="1004"/>
      <c r="R404" s="1485"/>
      <c r="S404" s="1447"/>
      <c r="T404" s="1485"/>
      <c r="U404" s="1447"/>
      <c r="V404" s="1485"/>
      <c r="W404" s="1004"/>
      <c r="X404" s="80"/>
      <c r="Y404" s="1133"/>
      <c r="Z404" s="1274"/>
      <c r="AA404" s="129"/>
      <c r="AB404" s="129"/>
      <c r="AC404" s="1274"/>
      <c r="AD404" s="328"/>
      <c r="AE404" s="328"/>
      <c r="AF404" s="1006"/>
      <c r="AG404" s="18"/>
    </row>
    <row r="405" spans="2:33" ht="20.100000000000001" customHeight="1" thickBot="1">
      <c r="B405" s="1553"/>
      <c r="C405" s="1603" t="s">
        <v>1468</v>
      </c>
      <c r="D405" s="1603"/>
      <c r="E405" s="1603"/>
      <c r="F405" s="1560"/>
      <c r="G405" s="1056"/>
      <c r="H405" s="1138" t="s">
        <v>1867</v>
      </c>
      <c r="I405" s="1138"/>
      <c r="J405" s="1138"/>
      <c r="K405" s="1139" t="s">
        <v>168</v>
      </c>
      <c r="L405" s="1140"/>
      <c r="M405" s="1140"/>
      <c r="N405" s="1140"/>
      <c r="O405" s="1140"/>
      <c r="P405" s="1140"/>
      <c r="Q405" s="1045"/>
      <c r="R405" s="1594"/>
      <c r="S405" s="1595"/>
      <c r="T405" s="1596"/>
      <c r="U405" s="1595"/>
      <c r="V405" s="1596"/>
      <c r="W405" s="2054"/>
      <c r="X405" s="1564"/>
      <c r="Y405" s="1141"/>
      <c r="Z405" s="1034" t="s">
        <v>37</v>
      </c>
      <c r="AA405" s="1554"/>
      <c r="AB405" s="1555"/>
      <c r="AC405" s="1556"/>
      <c r="AD405" s="1557"/>
      <c r="AE405" s="1558"/>
      <c r="AF405" s="1559"/>
      <c r="AG405" s="18"/>
    </row>
    <row r="406" spans="2:33" ht="20.100000000000001" customHeight="1">
      <c r="B406" s="1360" t="b">
        <f t="shared" ref="B406:B425" si="43">OR(ISBLANK(R406),ISBLANK(T406),ISBLANK(V406))</f>
        <v>0</v>
      </c>
      <c r="C406" s="1392"/>
      <c r="D406" s="1142" t="s">
        <v>1536</v>
      </c>
      <c r="E406" s="915"/>
      <c r="F406" s="1143" t="s">
        <v>33</v>
      </c>
      <c r="G406" s="106"/>
      <c r="H406" s="353"/>
      <c r="I406" s="384" t="s">
        <v>1537</v>
      </c>
      <c r="J406" s="384"/>
      <c r="K406" s="1034" t="s">
        <v>35</v>
      </c>
      <c r="L406" s="1144">
        <v>975</v>
      </c>
      <c r="M406" s="1145"/>
      <c r="N406" s="1144">
        <v>2044</v>
      </c>
      <c r="O406" s="1146"/>
      <c r="P406" s="1147"/>
      <c r="Q406" s="1045"/>
      <c r="R406" s="1488">
        <v>975</v>
      </c>
      <c r="S406" s="1453">
        <v>0</v>
      </c>
      <c r="T406" s="1488">
        <v>2044</v>
      </c>
      <c r="U406" s="1454">
        <v>0</v>
      </c>
      <c r="V406" s="1521">
        <v>1303</v>
      </c>
      <c r="W406" s="2097"/>
      <c r="X406" s="1033" t="s">
        <v>1538</v>
      </c>
      <c r="Y406" s="1152" t="s">
        <v>1539</v>
      </c>
      <c r="Z406" s="1153" t="s">
        <v>37</v>
      </c>
      <c r="AA406" s="1154"/>
      <c r="AB406" s="1155"/>
      <c r="AC406" s="299" t="s">
        <v>193</v>
      </c>
      <c r="AD406" s="981" t="s">
        <v>1540</v>
      </c>
      <c r="AE406" s="427"/>
      <c r="AF406" s="974"/>
      <c r="AG406" s="18"/>
    </row>
    <row r="407" spans="2:33" ht="20.100000000000001" customHeight="1">
      <c r="B407" s="1360" t="b">
        <f t="shared" si="43"/>
        <v>0</v>
      </c>
      <c r="C407" s="1384"/>
      <c r="D407" s="787" t="s">
        <v>1451</v>
      </c>
      <c r="E407" s="781"/>
      <c r="F407" s="285" t="s">
        <v>33</v>
      </c>
      <c r="G407" s="384"/>
      <c r="H407" s="385"/>
      <c r="I407" s="347" t="s">
        <v>1541</v>
      </c>
      <c r="J407" s="347"/>
      <c r="K407" s="165" t="s">
        <v>35</v>
      </c>
      <c r="L407" s="1156">
        <v>181</v>
      </c>
      <c r="M407" s="1157"/>
      <c r="N407" s="1156">
        <v>227</v>
      </c>
      <c r="O407" s="1158"/>
      <c r="P407" s="1159"/>
      <c r="Q407" s="1045"/>
      <c r="R407" s="1488">
        <v>181</v>
      </c>
      <c r="S407" s="1455">
        <v>0</v>
      </c>
      <c r="T407" s="1488">
        <v>227</v>
      </c>
      <c r="U407" s="1456">
        <v>0</v>
      </c>
      <c r="V407" s="1491">
        <v>240</v>
      </c>
      <c r="W407" s="2097"/>
      <c r="X407" s="2487" t="s">
        <v>1542</v>
      </c>
      <c r="Y407" s="1164" t="s">
        <v>1543</v>
      </c>
      <c r="Z407" s="165" t="s">
        <v>37</v>
      </c>
      <c r="AA407" s="1102"/>
      <c r="AB407" s="1101"/>
      <c r="AC407" s="299" t="s">
        <v>193</v>
      </c>
      <c r="AD407" s="277" t="s">
        <v>1544</v>
      </c>
      <c r="AE407" s="265"/>
      <c r="AF407" s="982"/>
      <c r="AG407" s="18"/>
    </row>
    <row r="408" spans="2:33" ht="20.100000000000001" customHeight="1">
      <c r="B408" s="1360" t="b">
        <f t="shared" si="43"/>
        <v>0</v>
      </c>
      <c r="C408" s="753" t="s">
        <v>1545</v>
      </c>
      <c r="D408" s="753"/>
      <c r="E408" s="753"/>
      <c r="F408" s="105" t="s">
        <v>156</v>
      </c>
      <c r="G408" s="358"/>
      <c r="H408" s="359" t="s">
        <v>1546</v>
      </c>
      <c r="I408" s="359"/>
      <c r="J408" s="643"/>
      <c r="K408" s="162" t="s">
        <v>154</v>
      </c>
      <c r="L408" s="1165">
        <v>0</v>
      </c>
      <c r="M408" s="1166"/>
      <c r="N408" s="1165">
        <v>0</v>
      </c>
      <c r="O408" s="1167"/>
      <c r="P408" s="274"/>
      <c r="Q408" s="1045"/>
      <c r="R408" s="1488">
        <v>0</v>
      </c>
      <c r="S408" s="979"/>
      <c r="T408" s="1488">
        <v>0</v>
      </c>
      <c r="U408" s="1418"/>
      <c r="V408" s="1488">
        <v>0</v>
      </c>
      <c r="W408" s="2097"/>
      <c r="X408" s="498" t="s">
        <v>1547</v>
      </c>
      <c r="Y408" s="367" t="s">
        <v>1548</v>
      </c>
      <c r="Z408" s="162" t="s">
        <v>37</v>
      </c>
      <c r="AA408" s="773"/>
      <c r="AB408" s="547"/>
      <c r="AC408" s="299" t="s">
        <v>193</v>
      </c>
      <c r="AD408" s="277" t="s">
        <v>1549</v>
      </c>
      <c r="AE408" s="265"/>
      <c r="AF408" s="982"/>
      <c r="AG408" s="18"/>
    </row>
    <row r="409" spans="2:33" ht="20.100000000000001" customHeight="1">
      <c r="B409" s="1360" t="b">
        <f t="shared" si="43"/>
        <v>0</v>
      </c>
      <c r="C409" s="1383"/>
      <c r="D409" s="936" t="s">
        <v>1550</v>
      </c>
      <c r="E409" s="924"/>
      <c r="F409" s="105" t="s">
        <v>33</v>
      </c>
      <c r="G409" s="347"/>
      <c r="H409" s="348"/>
      <c r="I409" s="358" t="s">
        <v>1551</v>
      </c>
      <c r="J409" s="358"/>
      <c r="K409" s="162" t="s">
        <v>35</v>
      </c>
      <c r="L409" s="1165">
        <v>0</v>
      </c>
      <c r="M409" s="1166"/>
      <c r="N409" s="1165">
        <v>0</v>
      </c>
      <c r="O409" s="1167"/>
      <c r="P409" s="274"/>
      <c r="Q409" s="1045"/>
      <c r="R409" s="1488">
        <v>0</v>
      </c>
      <c r="S409" s="979">
        <v>0</v>
      </c>
      <c r="T409" s="1488">
        <v>0</v>
      </c>
      <c r="U409" s="1418">
        <v>0</v>
      </c>
      <c r="V409" s="1488">
        <v>0</v>
      </c>
      <c r="W409" s="2097"/>
      <c r="X409" s="498"/>
      <c r="Y409" s="1164"/>
      <c r="Z409" s="165" t="s">
        <v>37</v>
      </c>
      <c r="AA409" s="773"/>
      <c r="AB409" s="1101"/>
      <c r="AC409" s="299" t="s">
        <v>193</v>
      </c>
      <c r="AD409" s="427" t="s">
        <v>1549</v>
      </c>
      <c r="AE409" s="427"/>
      <c r="AF409" s="982"/>
      <c r="AG409" s="18"/>
    </row>
    <row r="410" spans="2:33" ht="20.100000000000001" customHeight="1" thickBot="1">
      <c r="B410" s="1361" t="b">
        <f t="shared" si="43"/>
        <v>0</v>
      </c>
      <c r="C410" s="1394"/>
      <c r="D410" s="1168" t="s">
        <v>1552</v>
      </c>
      <c r="E410" s="1169"/>
      <c r="F410" s="1170" t="s">
        <v>33</v>
      </c>
      <c r="G410" s="1070"/>
      <c r="H410" s="1171"/>
      <c r="I410" s="707" t="s">
        <v>1553</v>
      </c>
      <c r="J410" s="707"/>
      <c r="K410" s="1172" t="s">
        <v>35</v>
      </c>
      <c r="L410" s="1173">
        <v>650</v>
      </c>
      <c r="M410" s="1174"/>
      <c r="N410" s="1173">
        <v>690</v>
      </c>
      <c r="O410" s="1175"/>
      <c r="P410" s="1176"/>
      <c r="Q410" s="1045"/>
      <c r="R410" s="1508">
        <v>650</v>
      </c>
      <c r="S410" s="1457" t="s">
        <v>1554</v>
      </c>
      <c r="T410" s="1508">
        <v>690</v>
      </c>
      <c r="U410" s="1458" t="s">
        <v>1554</v>
      </c>
      <c r="V410" s="1508">
        <v>720</v>
      </c>
      <c r="W410" s="2097"/>
      <c r="X410" s="2490"/>
      <c r="Y410" s="1180"/>
      <c r="Z410" s="1181" t="s">
        <v>37</v>
      </c>
      <c r="AA410" s="1182"/>
      <c r="AB410" s="597"/>
      <c r="AC410" s="1130" t="s">
        <v>193</v>
      </c>
      <c r="AD410" s="1183" t="s">
        <v>1549</v>
      </c>
      <c r="AE410" s="1131"/>
      <c r="AF410" s="1184"/>
      <c r="AG410" s="18"/>
    </row>
    <row r="411" spans="2:33" ht="27" thickBot="1">
      <c r="B411" s="123" t="s">
        <v>1555</v>
      </c>
      <c r="C411" s="1132"/>
      <c r="D411" s="1132"/>
      <c r="E411" s="1132"/>
      <c r="F411" s="1132"/>
      <c r="G411" s="519" t="s">
        <v>1556</v>
      </c>
      <c r="H411" s="521"/>
      <c r="I411" s="521"/>
      <c r="J411" s="521"/>
      <c r="K411" s="518"/>
      <c r="L411" s="600"/>
      <c r="M411" s="600"/>
      <c r="N411" s="600"/>
      <c r="O411" s="600"/>
      <c r="P411" s="600"/>
      <c r="Q411" s="1004"/>
      <c r="R411" s="1502"/>
      <c r="S411" s="1428"/>
      <c r="T411" s="1502"/>
      <c r="U411" s="1428"/>
      <c r="V411" s="1502"/>
      <c r="W411" s="1004"/>
      <c r="X411" s="1133"/>
      <c r="Y411" s="1185"/>
      <c r="Z411" s="1185"/>
      <c r="AA411" s="1135"/>
      <c r="AB411" s="1135"/>
      <c r="AC411" s="1185"/>
      <c r="AD411" s="1136"/>
      <c r="AE411" s="1136"/>
      <c r="AF411" s="1137"/>
      <c r="AG411" s="18"/>
    </row>
    <row r="412" spans="2:33" s="139" customFormat="1" ht="20.100000000000001" customHeight="1">
      <c r="B412" s="1359" t="b">
        <f t="shared" si="43"/>
        <v>0</v>
      </c>
      <c r="C412" s="1186" t="s">
        <v>1557</v>
      </c>
      <c r="D412" s="1186"/>
      <c r="E412" s="1186"/>
      <c r="F412" s="755" t="s">
        <v>156</v>
      </c>
      <c r="G412" s="1008"/>
      <c r="H412" s="1009" t="s">
        <v>1558</v>
      </c>
      <c r="I412" s="1009"/>
      <c r="J412" s="1187"/>
      <c r="K412" s="758" t="s">
        <v>156</v>
      </c>
      <c r="L412" s="1188">
        <f>IFERROR(L413/L414*100,"-")</f>
        <v>40.019095388033222</v>
      </c>
      <c r="M412" s="1189"/>
      <c r="N412" s="1188">
        <f>IFERROR(N413/N414*100,"-")</f>
        <v>48.507536747687816</v>
      </c>
      <c r="O412" s="1189"/>
      <c r="P412" s="1190" t="str">
        <f>IFERROR(P413/P414*100,"-")</f>
        <v>-</v>
      </c>
      <c r="Q412" s="1045"/>
      <c r="R412" s="1509">
        <f>IFERROR(R413/R414*100,"-")</f>
        <v>40.019095388033222</v>
      </c>
      <c r="S412" s="1449"/>
      <c r="T412" s="1509">
        <f>IFERROR(T413/T414*100,"-")</f>
        <v>48.507536747687816</v>
      </c>
      <c r="U412" s="1449"/>
      <c r="V412" s="1509">
        <v>33.621514197458332</v>
      </c>
      <c r="W412" s="2097"/>
      <c r="X412" s="2491" t="s">
        <v>1559</v>
      </c>
      <c r="Y412" s="1194" t="s">
        <v>1560</v>
      </c>
      <c r="Z412" s="758" t="s">
        <v>37</v>
      </c>
      <c r="AA412" s="534"/>
      <c r="AB412" s="534"/>
      <c r="AC412" s="299" t="s">
        <v>193</v>
      </c>
      <c r="AD412" s="277" t="s">
        <v>1561</v>
      </c>
      <c r="AE412" s="154"/>
      <c r="AF412" s="1195"/>
      <c r="AG412" s="10"/>
    </row>
    <row r="413" spans="2:33" s="139" customFormat="1" ht="20.100000000000001" customHeight="1">
      <c r="B413" s="1360" t="b">
        <f t="shared" si="43"/>
        <v>0</v>
      </c>
      <c r="C413" s="1388"/>
      <c r="D413" s="1196" t="s">
        <v>1562</v>
      </c>
      <c r="E413" s="1197"/>
      <c r="F413" s="105" t="s">
        <v>1563</v>
      </c>
      <c r="G413" s="743"/>
      <c r="H413" s="1069"/>
      <c r="I413" s="457" t="s">
        <v>1564</v>
      </c>
      <c r="J413" s="457"/>
      <c r="K413" s="109" t="s">
        <v>1868</v>
      </c>
      <c r="L413" s="1198">
        <v>16330477</v>
      </c>
      <c r="M413" s="1199"/>
      <c r="N413" s="1198">
        <v>23148659</v>
      </c>
      <c r="O413" s="1200"/>
      <c r="P413" s="94"/>
      <c r="Q413" s="1045"/>
      <c r="R413" s="1461">
        <v>16330477</v>
      </c>
      <c r="S413" s="1522">
        <v>0.40019095388033221</v>
      </c>
      <c r="T413" s="1461">
        <v>23148659</v>
      </c>
      <c r="U413" s="1538">
        <v>0.48507536747687818</v>
      </c>
      <c r="V413" s="1461">
        <v>41163345</v>
      </c>
      <c r="W413" s="2097"/>
      <c r="X413" s="2492"/>
      <c r="Y413" s="1202"/>
      <c r="Z413" s="162" t="s">
        <v>37</v>
      </c>
      <c r="AA413" s="547"/>
      <c r="AB413" s="547"/>
      <c r="AC413" s="299" t="s">
        <v>193</v>
      </c>
      <c r="AD413" s="277" t="s">
        <v>1561</v>
      </c>
      <c r="AE413" s="154"/>
      <c r="AF413" s="1195"/>
      <c r="AG413" s="10"/>
    </row>
    <row r="414" spans="2:33" s="139" customFormat="1" ht="20.100000000000001" customHeight="1">
      <c r="B414" s="1360" t="b">
        <f t="shared" si="43"/>
        <v>0</v>
      </c>
      <c r="C414" s="1389"/>
      <c r="D414" s="1196" t="s">
        <v>1567</v>
      </c>
      <c r="E414" s="1203"/>
      <c r="F414" s="105" t="s">
        <v>1563</v>
      </c>
      <c r="G414" s="945"/>
      <c r="H414" s="1099"/>
      <c r="I414" s="457" t="s">
        <v>1568</v>
      </c>
      <c r="J414" s="457"/>
      <c r="K414" s="109" t="s">
        <v>1868</v>
      </c>
      <c r="L414" s="1198">
        <v>40806712</v>
      </c>
      <c r="M414" s="1199"/>
      <c r="N414" s="1198">
        <v>47721778</v>
      </c>
      <c r="O414" s="1204"/>
      <c r="P414" s="94"/>
      <c r="Q414" s="1045"/>
      <c r="R414" s="1461">
        <v>40806712</v>
      </c>
      <c r="S414" s="1522">
        <v>0</v>
      </c>
      <c r="T414" s="1461">
        <v>47721778</v>
      </c>
      <c r="U414" s="1538">
        <v>0</v>
      </c>
      <c r="V414" s="1461">
        <v>122431562</v>
      </c>
      <c r="W414" s="2097"/>
      <c r="X414" s="2468"/>
      <c r="Y414" s="276"/>
      <c r="Z414" s="162" t="s">
        <v>37</v>
      </c>
      <c r="AA414" s="547"/>
      <c r="AB414" s="547"/>
      <c r="AC414" s="299" t="s">
        <v>193</v>
      </c>
      <c r="AD414" s="277" t="s">
        <v>1561</v>
      </c>
      <c r="AE414" s="154"/>
      <c r="AF414" s="1195"/>
      <c r="AG414" s="10"/>
    </row>
    <row r="415" spans="2:33" s="139" customFormat="1" ht="20.100000000000001" customHeight="1">
      <c r="B415" s="1360" t="b">
        <f t="shared" si="43"/>
        <v>0</v>
      </c>
      <c r="C415" s="924" t="s">
        <v>1569</v>
      </c>
      <c r="D415" s="924"/>
      <c r="E415" s="924"/>
      <c r="F415" s="105" t="s">
        <v>156</v>
      </c>
      <c r="G415" s="358"/>
      <c r="H415" s="359" t="s">
        <v>1570</v>
      </c>
      <c r="I415" s="359"/>
      <c r="J415" s="684"/>
      <c r="K415" s="109" t="s">
        <v>156</v>
      </c>
      <c r="L415" s="1205">
        <f>IFERROR(L416/L417*100,"-")</f>
        <v>0</v>
      </c>
      <c r="M415" s="1206"/>
      <c r="N415" s="1205">
        <f>IFERROR(N416/N417*100,"-")</f>
        <v>0</v>
      </c>
      <c r="O415" s="1204"/>
      <c r="P415" s="1205" t="str">
        <f>IFERROR(P416/P417*100,"-")</f>
        <v>-</v>
      </c>
      <c r="Q415" s="1045"/>
      <c r="R415" s="1510">
        <f>IFERROR(R416/R417*100,"-")</f>
        <v>0</v>
      </c>
      <c r="S415" s="1668"/>
      <c r="T415" s="1510">
        <f>IFERROR(T416/T417*100,"-")</f>
        <v>0</v>
      </c>
      <c r="U415" s="1668"/>
      <c r="V415" s="1510">
        <v>0</v>
      </c>
      <c r="W415" s="2097"/>
      <c r="X415" s="2492" t="s">
        <v>1571</v>
      </c>
      <c r="Y415" s="1202" t="s">
        <v>1572</v>
      </c>
      <c r="Z415" s="162" t="s">
        <v>37</v>
      </c>
      <c r="AA415" s="547"/>
      <c r="AB415" s="547"/>
      <c r="AC415" s="299" t="s">
        <v>193</v>
      </c>
      <c r="AD415" s="277" t="s">
        <v>1573</v>
      </c>
      <c r="AE415" s="154"/>
      <c r="AF415" s="1195"/>
      <c r="AG415" s="10"/>
    </row>
    <row r="416" spans="2:33" s="139" customFormat="1" ht="20.100000000000001" customHeight="1">
      <c r="B416" s="1360" t="b">
        <f t="shared" si="43"/>
        <v>0</v>
      </c>
      <c r="C416" s="1210"/>
      <c r="D416" s="936" t="s">
        <v>1574</v>
      </c>
      <c r="E416" s="924"/>
      <c r="F416" s="105" t="s">
        <v>1563</v>
      </c>
      <c r="G416" s="1211"/>
      <c r="H416" s="963"/>
      <c r="I416" s="932" t="s">
        <v>1575</v>
      </c>
      <c r="J416" s="993"/>
      <c r="K416" s="109" t="s">
        <v>1868</v>
      </c>
      <c r="L416" s="1204">
        <v>0</v>
      </c>
      <c r="M416" s="1204"/>
      <c r="N416" s="1204">
        <v>0</v>
      </c>
      <c r="O416" s="1204"/>
      <c r="P416" s="1212"/>
      <c r="Q416" s="1045"/>
      <c r="R416" s="1461">
        <v>0</v>
      </c>
      <c r="S416" s="1522">
        <v>0</v>
      </c>
      <c r="T416" s="1461">
        <v>0</v>
      </c>
      <c r="U416" s="1538">
        <v>0</v>
      </c>
      <c r="V416" s="1461">
        <v>0</v>
      </c>
      <c r="W416" s="2097"/>
      <c r="X416" s="2492"/>
      <c r="Y416" s="1202"/>
      <c r="Z416" s="162" t="s">
        <v>37</v>
      </c>
      <c r="AA416" s="547"/>
      <c r="AB416" s="547"/>
      <c r="AC416" s="299" t="s">
        <v>193</v>
      </c>
      <c r="AD416" s="277" t="s">
        <v>1573</v>
      </c>
      <c r="AE416" s="154"/>
      <c r="AF416" s="1195"/>
      <c r="AG416" s="10"/>
    </row>
    <row r="417" spans="2:33" s="139" customFormat="1" ht="20.100000000000001" customHeight="1">
      <c r="B417" s="1360" t="b">
        <f t="shared" si="43"/>
        <v>0</v>
      </c>
      <c r="C417" s="1210"/>
      <c r="D417" s="1216" t="s">
        <v>1567</v>
      </c>
      <c r="E417" s="1217"/>
      <c r="F417" s="105" t="s">
        <v>1563</v>
      </c>
      <c r="G417" s="1218"/>
      <c r="H417" s="964"/>
      <c r="I417" s="1219" t="s">
        <v>1576</v>
      </c>
      <c r="J417" s="1220"/>
      <c r="K417" s="109" t="s">
        <v>1868</v>
      </c>
      <c r="L417" s="1198">
        <v>40806712</v>
      </c>
      <c r="M417" s="1204"/>
      <c r="N417" s="1198">
        <v>47721778</v>
      </c>
      <c r="O417" s="1204"/>
      <c r="P417" s="94"/>
      <c r="Q417" s="1045"/>
      <c r="R417" s="1461">
        <v>40806712</v>
      </c>
      <c r="S417" s="1522">
        <v>0</v>
      </c>
      <c r="T417" s="1461">
        <v>47721778</v>
      </c>
      <c r="U417" s="1538">
        <v>0</v>
      </c>
      <c r="V417" s="1461">
        <v>122431562</v>
      </c>
      <c r="W417" s="2097"/>
      <c r="X417" s="2468"/>
      <c r="Y417" s="276"/>
      <c r="Z417" s="162" t="s">
        <v>37</v>
      </c>
      <c r="AA417" s="547"/>
      <c r="AB417" s="547"/>
      <c r="AC417" s="299" t="s">
        <v>193</v>
      </c>
      <c r="AD417" s="277" t="s">
        <v>1573</v>
      </c>
      <c r="AE417" s="154"/>
      <c r="AF417" s="1195"/>
      <c r="AG417" s="10"/>
    </row>
    <row r="418" spans="2:33" s="139" customFormat="1" ht="20.100000000000001" customHeight="1">
      <c r="B418" s="1360" t="b">
        <f t="shared" si="43"/>
        <v>0</v>
      </c>
      <c r="C418" s="924" t="s">
        <v>1577</v>
      </c>
      <c r="D418" s="924"/>
      <c r="E418" s="924"/>
      <c r="F418" s="1222" t="s">
        <v>156</v>
      </c>
      <c r="G418" s="1223"/>
      <c r="H418" s="925" t="s">
        <v>1578</v>
      </c>
      <c r="I418" s="926"/>
      <c r="J418" s="1224"/>
      <c r="K418" s="873" t="s">
        <v>156</v>
      </c>
      <c r="L418" s="1225">
        <f>IFERROR(L419/L420*100,"-")</f>
        <v>0</v>
      </c>
      <c r="M418" s="1204"/>
      <c r="N418" s="1225">
        <f>IFERROR(N419/N420*100,"-")</f>
        <v>0</v>
      </c>
      <c r="O418" s="1204"/>
      <c r="P418" s="1225" t="str">
        <f>IFERROR(P419/P420*100,"-")</f>
        <v>-</v>
      </c>
      <c r="Q418" s="1045"/>
      <c r="R418" s="1511">
        <f>IFERROR(R419/R420*100,"-")</f>
        <v>0</v>
      </c>
      <c r="S418" s="1669"/>
      <c r="T418" s="1511">
        <f>IFERROR(T419/T420*100,"-")</f>
        <v>0</v>
      </c>
      <c r="U418" s="1669"/>
      <c r="V418" s="1511" t="s">
        <v>169</v>
      </c>
      <c r="W418" s="2097"/>
      <c r="X418" s="2493" t="s">
        <v>1579</v>
      </c>
      <c r="Y418" s="1230" t="s">
        <v>1580</v>
      </c>
      <c r="Z418" s="1034" t="s">
        <v>37</v>
      </c>
      <c r="AA418" s="878"/>
      <c r="AB418" s="878"/>
      <c r="AC418" s="299" t="s">
        <v>193</v>
      </c>
      <c r="AD418" s="277" t="s">
        <v>1581</v>
      </c>
      <c r="AE418" s="154"/>
      <c r="AF418" s="1195"/>
      <c r="AG418" s="10"/>
    </row>
    <row r="419" spans="2:33" s="139" customFormat="1" ht="20.100000000000001" customHeight="1">
      <c r="B419" s="1360" t="b">
        <f t="shared" si="43"/>
        <v>0</v>
      </c>
      <c r="C419" s="1210"/>
      <c r="D419" s="936" t="s">
        <v>1582</v>
      </c>
      <c r="E419" s="924"/>
      <c r="F419" s="105" t="s">
        <v>1563</v>
      </c>
      <c r="G419" s="1211"/>
      <c r="H419" s="963"/>
      <c r="I419" s="932" t="s">
        <v>1583</v>
      </c>
      <c r="J419" s="993"/>
      <c r="K419" s="109" t="s">
        <v>1868</v>
      </c>
      <c r="L419" s="1204">
        <v>0</v>
      </c>
      <c r="M419" s="1204"/>
      <c r="N419" s="1204">
        <v>0</v>
      </c>
      <c r="O419" s="1204"/>
      <c r="P419" s="1212"/>
      <c r="Q419" s="1045"/>
      <c r="R419" s="1461">
        <v>0</v>
      </c>
      <c r="S419" s="1522"/>
      <c r="T419" s="1461">
        <v>0</v>
      </c>
      <c r="U419" s="1538"/>
      <c r="V419" s="1461">
        <v>0</v>
      </c>
      <c r="W419" s="2097"/>
      <c r="X419" s="2492"/>
      <c r="Y419" s="1202"/>
      <c r="Z419" s="162" t="s">
        <v>37</v>
      </c>
      <c r="AA419" s="547"/>
      <c r="AB419" s="547"/>
      <c r="AC419" s="299" t="s">
        <v>193</v>
      </c>
      <c r="AD419" s="277" t="s">
        <v>1581</v>
      </c>
      <c r="AE419" s="154"/>
      <c r="AF419" s="1195"/>
      <c r="AG419" s="10"/>
    </row>
    <row r="420" spans="2:33" s="139" customFormat="1" ht="20.100000000000001" customHeight="1">
      <c r="B420" s="1360" t="b">
        <f t="shared" si="43"/>
        <v>0</v>
      </c>
      <c r="C420" s="1210"/>
      <c r="D420" s="1216" t="s">
        <v>1584</v>
      </c>
      <c r="E420" s="1217"/>
      <c r="F420" s="105" t="s">
        <v>1563</v>
      </c>
      <c r="G420" s="1218"/>
      <c r="H420" s="964"/>
      <c r="I420" s="1219" t="s">
        <v>1585</v>
      </c>
      <c r="J420" s="1220"/>
      <c r="K420" s="109" t="s">
        <v>1868</v>
      </c>
      <c r="L420" s="1198">
        <v>29176998</v>
      </c>
      <c r="M420" s="1204"/>
      <c r="N420" s="1198">
        <v>29176998</v>
      </c>
      <c r="O420" s="1204"/>
      <c r="P420" s="94"/>
      <c r="Q420" s="1045"/>
      <c r="R420" s="1474">
        <v>29176998</v>
      </c>
      <c r="S420" s="1537"/>
      <c r="T420" s="1474">
        <v>29176998</v>
      </c>
      <c r="U420" s="1541"/>
      <c r="V420" s="1474">
        <v>41134270</v>
      </c>
      <c r="W420" s="2097"/>
      <c r="X420" s="1052"/>
      <c r="Y420" s="714"/>
      <c r="Z420" s="165" t="s">
        <v>37</v>
      </c>
      <c r="AA420" s="1101"/>
      <c r="AB420" s="1101"/>
      <c r="AC420" s="299" t="s">
        <v>193</v>
      </c>
      <c r="AD420" s="277" t="s">
        <v>1581</v>
      </c>
      <c r="AE420" s="1231"/>
      <c r="AF420" s="1232"/>
      <c r="AG420" s="10"/>
    </row>
    <row r="421" spans="2:33" s="139" customFormat="1" ht="20.100000000000001" customHeight="1">
      <c r="B421" s="1360" t="b">
        <f t="shared" si="43"/>
        <v>0</v>
      </c>
      <c r="C421" s="924" t="s">
        <v>1586</v>
      </c>
      <c r="D421" s="1233"/>
      <c r="E421" s="1233"/>
      <c r="F421" s="1234" t="s">
        <v>156</v>
      </c>
      <c r="G421" s="1223"/>
      <c r="H421" s="925" t="s">
        <v>1587</v>
      </c>
      <c r="I421" s="926"/>
      <c r="J421" s="992"/>
      <c r="K421" s="109" t="s">
        <v>156</v>
      </c>
      <c r="L421" s="1235" t="s">
        <v>169</v>
      </c>
      <c r="M421" s="1204"/>
      <c r="N421" s="1235" t="s">
        <v>169</v>
      </c>
      <c r="O421" s="1204"/>
      <c r="P421" s="1236"/>
      <c r="Q421" s="1045"/>
      <c r="R421" s="1513" t="s">
        <v>169</v>
      </c>
      <c r="S421" s="1213" t="s">
        <v>1869</v>
      </c>
      <c r="T421" s="1513" t="s">
        <v>169</v>
      </c>
      <c r="U421" s="1214" t="s">
        <v>1869</v>
      </c>
      <c r="V421" s="1513" t="s">
        <v>169</v>
      </c>
      <c r="W421" s="2097"/>
      <c r="X421" s="2468"/>
      <c r="Y421" s="1242"/>
      <c r="Z421" s="285" t="s">
        <v>37</v>
      </c>
      <c r="AA421" s="547"/>
      <c r="AB421" s="546"/>
      <c r="AC421" s="299" t="s">
        <v>193</v>
      </c>
      <c r="AD421" s="1243" t="s">
        <v>1588</v>
      </c>
      <c r="AE421" s="265"/>
      <c r="AF421" s="1244"/>
      <c r="AG421" s="10"/>
    </row>
    <row r="422" spans="2:33" s="139" customFormat="1" ht="20.100000000000001" customHeight="1">
      <c r="B422" s="1360" t="b">
        <f t="shared" si="43"/>
        <v>0</v>
      </c>
      <c r="C422" s="924" t="s">
        <v>1589</v>
      </c>
      <c r="D422" s="924"/>
      <c r="E422" s="924"/>
      <c r="F422" s="105" t="s">
        <v>156</v>
      </c>
      <c r="G422" s="1211"/>
      <c r="H422" s="1245" t="s">
        <v>1590</v>
      </c>
      <c r="I422" s="1246"/>
      <c r="J422" s="1247"/>
      <c r="K422" s="109" t="s">
        <v>156</v>
      </c>
      <c r="L422" s="1248">
        <f>IFERROR(((L423-L424+L425)/L423)*100,"-")</f>
        <v>0.59523809523809523</v>
      </c>
      <c r="M422" s="1204"/>
      <c r="N422" s="1248">
        <f>IFERROR(((N423-N424+N425)/N423)*100,"-")</f>
        <v>32.335329341317362</v>
      </c>
      <c r="O422" s="1204"/>
      <c r="P422" s="1205" t="str">
        <f>IFERROR(((P423-P424+P425)/P423)*100,"-")</f>
        <v>-</v>
      </c>
      <c r="Q422" s="1045"/>
      <c r="R422" s="1510">
        <f>IFERROR(((R423-R424+R425)/R423)*100,"-")</f>
        <v>0.59523809523809523</v>
      </c>
      <c r="S422" s="1669"/>
      <c r="T422" s="1511">
        <f>IFERROR(((T423-T424+T425)/T423)*100,"-")</f>
        <v>32.335329341317362</v>
      </c>
      <c r="U422" s="1669"/>
      <c r="V422" s="1511">
        <v>-333.39100346020763</v>
      </c>
      <c r="W422" s="2097"/>
      <c r="X422" s="2493" t="s">
        <v>1591</v>
      </c>
      <c r="Y422" s="1230" t="s">
        <v>1592</v>
      </c>
      <c r="Z422" s="1034" t="s">
        <v>37</v>
      </c>
      <c r="AA422" s="878"/>
      <c r="AB422" s="878"/>
      <c r="AC422" s="299" t="s">
        <v>193</v>
      </c>
      <c r="AD422" s="277" t="s">
        <v>1593</v>
      </c>
      <c r="AE422" s="154"/>
      <c r="AF422" s="982"/>
      <c r="AG422" s="10"/>
    </row>
    <row r="423" spans="2:33" s="139" customFormat="1" ht="20.100000000000001" customHeight="1">
      <c r="B423" s="1360" t="b">
        <f t="shared" si="43"/>
        <v>0</v>
      </c>
      <c r="C423" s="1400"/>
      <c r="D423" s="932" t="s">
        <v>1594</v>
      </c>
      <c r="E423" s="926"/>
      <c r="F423" s="105" t="s">
        <v>1595</v>
      </c>
      <c r="G423" s="1249"/>
      <c r="H423" s="1250"/>
      <c r="I423" s="932" t="s">
        <v>1596</v>
      </c>
      <c r="J423" s="993"/>
      <c r="K423" s="109" t="s">
        <v>1597</v>
      </c>
      <c r="L423" s="1198">
        <v>25200</v>
      </c>
      <c r="M423" s="1204"/>
      <c r="N423" s="1198">
        <v>25050</v>
      </c>
      <c r="O423" s="1204"/>
      <c r="P423" s="1212"/>
      <c r="Q423" s="1045"/>
      <c r="R423" s="1464">
        <v>25200</v>
      </c>
      <c r="S423" s="1522"/>
      <c r="T423" s="1464">
        <v>25050</v>
      </c>
      <c r="U423" s="1538"/>
      <c r="V423" s="1464">
        <v>5780</v>
      </c>
      <c r="W423" s="2097"/>
      <c r="X423" s="2492"/>
      <c r="Y423" s="1202"/>
      <c r="Z423" s="162" t="s">
        <v>37</v>
      </c>
      <c r="AA423" s="547"/>
      <c r="AB423" s="547"/>
      <c r="AC423" s="299" t="s">
        <v>193</v>
      </c>
      <c r="AD423" s="277" t="s">
        <v>1598</v>
      </c>
      <c r="AE423" s="154"/>
      <c r="AF423" s="1195"/>
      <c r="AG423" s="10"/>
    </row>
    <row r="424" spans="2:33" s="139" customFormat="1" ht="20.100000000000001" customHeight="1">
      <c r="B424" s="1360" t="b">
        <f t="shared" si="43"/>
        <v>0</v>
      </c>
      <c r="C424" s="1401"/>
      <c r="D424" s="1219" t="s">
        <v>1600</v>
      </c>
      <c r="E424" s="1251"/>
      <c r="F424" s="105" t="s">
        <v>1595</v>
      </c>
      <c r="G424" s="1252"/>
      <c r="H424" s="1253"/>
      <c r="I424" s="1254" t="s">
        <v>1601</v>
      </c>
      <c r="J424" s="1255"/>
      <c r="K424" s="109" t="s">
        <v>1597</v>
      </c>
      <c r="L424" s="1198">
        <v>25050</v>
      </c>
      <c r="M424" s="1199"/>
      <c r="N424" s="1198">
        <v>16950</v>
      </c>
      <c r="O424" s="1200"/>
      <c r="P424" s="94"/>
      <c r="Q424" s="1045"/>
      <c r="R424" s="1464">
        <v>25050</v>
      </c>
      <c r="S424" s="1522"/>
      <c r="T424" s="1464">
        <v>16950</v>
      </c>
      <c r="U424" s="1538"/>
      <c r="V424" s="1464">
        <v>25050</v>
      </c>
      <c r="W424" s="2097"/>
      <c r="X424" s="2468"/>
      <c r="Y424" s="276"/>
      <c r="Z424" s="162" t="s">
        <v>37</v>
      </c>
      <c r="AA424" s="547"/>
      <c r="AB424" s="547"/>
      <c r="AC424" s="299" t="s">
        <v>193</v>
      </c>
      <c r="AD424" s="277" t="s">
        <v>1598</v>
      </c>
      <c r="AE424" s="154"/>
      <c r="AF424" s="1195"/>
      <c r="AG424" s="10"/>
    </row>
    <row r="425" spans="2:33" s="139" customFormat="1" ht="20.100000000000001" customHeight="1" thickBot="1">
      <c r="B425" s="1361" t="b">
        <f t="shared" si="43"/>
        <v>0</v>
      </c>
      <c r="C425" s="1402"/>
      <c r="D425" s="1256" t="s">
        <v>1602</v>
      </c>
      <c r="E425" s="1257"/>
      <c r="F425" s="1258" t="s">
        <v>1595</v>
      </c>
      <c r="G425" s="1259"/>
      <c r="H425" s="1260"/>
      <c r="I425" s="1256" t="s">
        <v>1603</v>
      </c>
      <c r="J425" s="1257"/>
      <c r="K425" s="1261" t="s">
        <v>1597</v>
      </c>
      <c r="L425" s="1262">
        <v>0</v>
      </c>
      <c r="M425" s="1263"/>
      <c r="N425" s="1262">
        <v>0</v>
      </c>
      <c r="O425" s="1264"/>
      <c r="P425" s="1265"/>
      <c r="Q425" s="1161"/>
      <c r="R425" s="1467">
        <v>0</v>
      </c>
      <c r="S425" s="1542"/>
      <c r="T425" s="1467">
        <v>0</v>
      </c>
      <c r="U425" s="1543"/>
      <c r="V425" s="1467">
        <v>0</v>
      </c>
      <c r="W425" s="2100"/>
      <c r="X425" s="2477"/>
      <c r="Y425" s="1271"/>
      <c r="Z425" s="165" t="s">
        <v>37</v>
      </c>
      <c r="AA425" s="1101"/>
      <c r="AB425" s="1101"/>
      <c r="AC425" s="299" t="s">
        <v>193</v>
      </c>
      <c r="AD425" s="981" t="s">
        <v>1598</v>
      </c>
      <c r="AE425" s="1231"/>
      <c r="AF425" s="1232"/>
      <c r="AG425" s="10"/>
    </row>
    <row r="426" spans="2:33" ht="27" thickBot="1">
      <c r="B426" s="123" t="s">
        <v>1604</v>
      </c>
      <c r="C426" s="124"/>
      <c r="D426" s="124"/>
      <c r="E426" s="124"/>
      <c r="F426" s="78"/>
      <c r="G426" s="1272" t="s">
        <v>1440</v>
      </c>
      <c r="H426" s="1132"/>
      <c r="I426" s="1132"/>
      <c r="J426" s="1273"/>
      <c r="K426" s="518"/>
      <c r="L426" s="600"/>
      <c r="M426" s="600"/>
      <c r="N426" s="600"/>
      <c r="O426" s="600"/>
      <c r="P426" s="600"/>
      <c r="Q426" s="1004"/>
      <c r="R426" s="1485"/>
      <c r="S426" s="1447"/>
      <c r="T426" s="1485"/>
      <c r="U426" s="1447"/>
      <c r="V426" s="1485"/>
      <c r="W426" s="1004"/>
      <c r="X426" s="80"/>
      <c r="Y426" s="1133"/>
      <c r="Z426" s="1274"/>
      <c r="AA426" s="129"/>
      <c r="AB426" s="129"/>
      <c r="AC426" s="1274"/>
      <c r="AD426" s="328"/>
      <c r="AE426" s="328"/>
      <c r="AF426" s="1006"/>
      <c r="AG426" s="18"/>
    </row>
    <row r="427" spans="2:33" s="139" customFormat="1" ht="20.100000000000001" customHeight="1">
      <c r="B427" s="1662"/>
      <c r="C427" s="1186" t="s">
        <v>1605</v>
      </c>
      <c r="D427" s="1186"/>
      <c r="E427" s="1186"/>
      <c r="F427" s="755" t="s">
        <v>156</v>
      </c>
      <c r="G427" s="1275"/>
      <c r="H427" s="1276" t="s">
        <v>1606</v>
      </c>
      <c r="I427" s="1277"/>
      <c r="J427" s="1278"/>
      <c r="K427" s="758" t="s">
        <v>156</v>
      </c>
      <c r="L427" s="1279">
        <f>IFERROR(L428/L429*100,"-")</f>
        <v>0</v>
      </c>
      <c r="M427" s="1280"/>
      <c r="N427" s="1279">
        <f>IFERROR(N428/N429*100,"-")</f>
        <v>0</v>
      </c>
      <c r="O427" s="1280"/>
      <c r="P427" s="1279" t="str">
        <f>IFERROR(P428/P429*100,"-")</f>
        <v>-</v>
      </c>
      <c r="Q427" s="1045"/>
      <c r="R427" s="1509">
        <f>IFERROR(R428/R429*100,"-")</f>
        <v>0</v>
      </c>
      <c r="S427" s="1670"/>
      <c r="T427" s="1509">
        <f>IFERROR(T428/T429*100,"-")</f>
        <v>0</v>
      </c>
      <c r="U427" s="1670"/>
      <c r="V427" s="1509">
        <f>IFERROR(V428/V429*100,"-")</f>
        <v>0</v>
      </c>
      <c r="W427" s="2097"/>
      <c r="X427" s="2491" t="s">
        <v>1607</v>
      </c>
      <c r="Y427" s="1284" t="s">
        <v>1608</v>
      </c>
      <c r="Z427" s="162" t="s">
        <v>37</v>
      </c>
      <c r="AA427" s="534"/>
      <c r="AB427" s="534"/>
      <c r="AC427" s="299" t="s">
        <v>193</v>
      </c>
      <c r="AD427" s="277" t="s">
        <v>1609</v>
      </c>
      <c r="AE427" s="154"/>
      <c r="AF427" s="1195"/>
      <c r="AG427" s="10"/>
    </row>
    <row r="428" spans="2:33" s="139" customFormat="1" ht="20.100000000000001" customHeight="1">
      <c r="B428" s="1360" t="b">
        <f t="shared" ref="B428:B429" si="44">OR(ISBLANK(R428),ISBLANK(T428),ISBLANK(V428))</f>
        <v>0</v>
      </c>
      <c r="C428" s="1388"/>
      <c r="D428" s="1216" t="s">
        <v>1610</v>
      </c>
      <c r="E428" s="1217"/>
      <c r="F428" s="105" t="s">
        <v>33</v>
      </c>
      <c r="G428" s="475"/>
      <c r="H428" s="1285"/>
      <c r="I428" s="1219" t="s">
        <v>1611</v>
      </c>
      <c r="J428" s="1285"/>
      <c r="K428" s="109" t="s">
        <v>35</v>
      </c>
      <c r="L428" s="93">
        <v>0</v>
      </c>
      <c r="M428" s="1199"/>
      <c r="N428" s="93">
        <v>0</v>
      </c>
      <c r="O428" s="1200"/>
      <c r="P428" s="94"/>
      <c r="Q428" s="1045"/>
      <c r="R428" s="1461">
        <v>0</v>
      </c>
      <c r="S428" s="1538"/>
      <c r="T428" s="1461">
        <v>0</v>
      </c>
      <c r="U428" s="1538"/>
      <c r="V428" s="1461">
        <v>0</v>
      </c>
      <c r="W428" s="2097"/>
      <c r="X428" s="2492"/>
      <c r="Y428" s="1202"/>
      <c r="Z428" s="162" t="s">
        <v>37</v>
      </c>
      <c r="AA428" s="547"/>
      <c r="AB428" s="547"/>
      <c r="AC428" s="299" t="s">
        <v>193</v>
      </c>
      <c r="AD428" s="277" t="s">
        <v>1609</v>
      </c>
      <c r="AE428" s="154"/>
      <c r="AF428" s="1195"/>
      <c r="AG428" s="10"/>
    </row>
    <row r="429" spans="2:33" s="139" customFormat="1" ht="20.100000000000001" customHeight="1">
      <c r="B429" s="1360" t="b">
        <f t="shared" si="44"/>
        <v>0</v>
      </c>
      <c r="C429" s="1389"/>
      <c r="D429" s="1216" t="s">
        <v>1612</v>
      </c>
      <c r="E429" s="1217"/>
      <c r="F429" s="105" t="s">
        <v>33</v>
      </c>
      <c r="G429" s="475"/>
      <c r="H429" s="1285"/>
      <c r="I429" s="1219" t="s">
        <v>1613</v>
      </c>
      <c r="J429" s="1285"/>
      <c r="K429" s="109" t="s">
        <v>35</v>
      </c>
      <c r="L429" s="1198">
        <v>396981</v>
      </c>
      <c r="M429" s="1199"/>
      <c r="N429" s="1198">
        <v>569297</v>
      </c>
      <c r="O429" s="1200"/>
      <c r="P429" s="94"/>
      <c r="Q429" s="1045"/>
      <c r="R429" s="1461">
        <v>396981</v>
      </c>
      <c r="S429" s="1538"/>
      <c r="T429" s="1461">
        <v>569297</v>
      </c>
      <c r="U429" s="1538"/>
      <c r="V429" s="1461">
        <v>628458</v>
      </c>
      <c r="W429" s="2097"/>
      <c r="X429" s="2468"/>
      <c r="Y429" s="276"/>
      <c r="Z429" s="162" t="s">
        <v>37</v>
      </c>
      <c r="AA429" s="547"/>
      <c r="AB429" s="547"/>
      <c r="AC429" s="299" t="s">
        <v>193</v>
      </c>
      <c r="AD429" s="154" t="s">
        <v>1609</v>
      </c>
      <c r="AE429" s="154"/>
      <c r="AF429" s="1195"/>
      <c r="AG429" s="10"/>
    </row>
    <row r="430" spans="2:33" s="139" customFormat="1" ht="20.100000000000001" customHeight="1">
      <c r="B430" s="1662"/>
      <c r="C430" s="924" t="s">
        <v>1614</v>
      </c>
      <c r="D430" s="924"/>
      <c r="E430" s="924"/>
      <c r="F430" s="285" t="s">
        <v>156</v>
      </c>
      <c r="G430" s="1286"/>
      <c r="H430" s="991" t="s">
        <v>1615</v>
      </c>
      <c r="I430" s="992"/>
      <c r="J430" s="1287"/>
      <c r="K430" s="162" t="s">
        <v>156</v>
      </c>
      <c r="L430" s="1288">
        <f>IFERROR(L431/L432*100,"-")</f>
        <v>7.2726885424496288</v>
      </c>
      <c r="M430" s="1289"/>
      <c r="N430" s="1288">
        <f>IFERROR(N431/N432*100,"-")</f>
        <v>3.880341856150396</v>
      </c>
      <c r="O430" s="1289"/>
      <c r="P430" s="1290" t="str">
        <f>IFERROR(P431/P432*100,"-")</f>
        <v>-</v>
      </c>
      <c r="Q430" s="1045"/>
      <c r="R430" s="1510">
        <f>IFERROR(R431/R432*100,"-")</f>
        <v>7.2726885424496288</v>
      </c>
      <c r="S430" s="1671"/>
      <c r="T430" s="1510">
        <f>IFERROR(T431/T432*100,"-")</f>
        <v>3.880341856150396</v>
      </c>
      <c r="U430" s="1671"/>
      <c r="V430" s="1510">
        <f>IFERROR(V431/V432*100,"-")</f>
        <v>4.6157765289153607</v>
      </c>
      <c r="W430" s="2097"/>
      <c r="X430" s="2492" t="s">
        <v>1616</v>
      </c>
      <c r="Y430" s="1230" t="s">
        <v>1617</v>
      </c>
      <c r="Z430" s="1034" t="s">
        <v>37</v>
      </c>
      <c r="AA430" s="547"/>
      <c r="AB430" s="547"/>
      <c r="AC430" s="299" t="s">
        <v>193</v>
      </c>
      <c r="AD430" s="154" t="s">
        <v>1618</v>
      </c>
      <c r="AE430" s="154"/>
      <c r="AF430" s="1195"/>
      <c r="AG430" s="10"/>
    </row>
    <row r="431" spans="2:33" s="139" customFormat="1" ht="20.100000000000001" customHeight="1">
      <c r="B431" s="1360" t="b">
        <f t="shared" ref="B431:B432" si="45">OR(ISBLANK(R431),ISBLANK(T431),ISBLANK(V431))</f>
        <v>0</v>
      </c>
      <c r="C431" s="1210"/>
      <c r="D431" s="936" t="s">
        <v>1619</v>
      </c>
      <c r="E431" s="924"/>
      <c r="F431" s="105" t="s">
        <v>33</v>
      </c>
      <c r="G431" s="1286"/>
      <c r="H431" s="1292"/>
      <c r="I431" s="995" t="s">
        <v>1620</v>
      </c>
      <c r="J431" s="993"/>
      <c r="K431" s="109" t="s">
        <v>35</v>
      </c>
      <c r="L431" s="1198">
        <v>23899</v>
      </c>
      <c r="M431" s="1204"/>
      <c r="N431" s="1198">
        <v>27419</v>
      </c>
      <c r="O431" s="1289"/>
      <c r="P431" s="1212"/>
      <c r="Q431" s="1045"/>
      <c r="R431" s="1461">
        <v>23899</v>
      </c>
      <c r="S431" s="1538"/>
      <c r="T431" s="1461">
        <v>27419</v>
      </c>
      <c r="U431" s="1538"/>
      <c r="V431" s="1461">
        <v>35695</v>
      </c>
      <c r="W431" s="2097"/>
      <c r="X431" s="2492"/>
      <c r="Y431" s="1230"/>
      <c r="Z431" s="1034" t="s">
        <v>37</v>
      </c>
      <c r="AA431" s="547"/>
      <c r="AB431" s="547"/>
      <c r="AC431" s="299" t="s">
        <v>193</v>
      </c>
      <c r="AD431" s="154" t="s">
        <v>1618</v>
      </c>
      <c r="AE431" s="154"/>
      <c r="AF431" s="1195"/>
      <c r="AG431" s="10"/>
    </row>
    <row r="432" spans="2:33" s="139" customFormat="1" ht="20.100000000000001" customHeight="1">
      <c r="B432" s="1360" t="b">
        <f t="shared" si="45"/>
        <v>0</v>
      </c>
      <c r="C432" s="1210"/>
      <c r="D432" s="1216" t="s">
        <v>1621</v>
      </c>
      <c r="E432" s="1217"/>
      <c r="F432" s="105" t="s">
        <v>33</v>
      </c>
      <c r="G432" s="475"/>
      <c r="H432" s="1285"/>
      <c r="I432" s="726" t="s">
        <v>1622</v>
      </c>
      <c r="J432" s="1293"/>
      <c r="K432" s="109" t="s">
        <v>35</v>
      </c>
      <c r="L432" s="1198">
        <v>328613</v>
      </c>
      <c r="M432" s="1199"/>
      <c r="N432" s="1198">
        <v>706613</v>
      </c>
      <c r="O432" s="1200"/>
      <c r="P432" s="94"/>
      <c r="Q432" s="1045"/>
      <c r="R432" s="1461">
        <v>328613</v>
      </c>
      <c r="S432" s="1538"/>
      <c r="T432" s="1461">
        <v>706613</v>
      </c>
      <c r="U432" s="1538"/>
      <c r="V432" s="1461">
        <v>773326</v>
      </c>
      <c r="W432" s="2097"/>
      <c r="X432" s="2468"/>
      <c r="Y432" s="544"/>
      <c r="Z432" s="1034" t="s">
        <v>37</v>
      </c>
      <c r="AA432" s="547"/>
      <c r="AB432" s="547"/>
      <c r="AC432" s="299" t="s">
        <v>193</v>
      </c>
      <c r="AD432" s="154" t="s">
        <v>1618</v>
      </c>
      <c r="AE432" s="154"/>
      <c r="AF432" s="1195"/>
      <c r="AG432" s="10"/>
    </row>
    <row r="433" spans="2:33" s="139" customFormat="1" ht="20.100000000000001" customHeight="1">
      <c r="B433" s="1662"/>
      <c r="C433" s="924" t="s">
        <v>1623</v>
      </c>
      <c r="D433" s="924"/>
      <c r="E433" s="924"/>
      <c r="F433" s="285" t="s">
        <v>156</v>
      </c>
      <c r="G433" s="1223"/>
      <c r="H433" s="925" t="s">
        <v>1624</v>
      </c>
      <c r="I433" s="926"/>
      <c r="J433" s="993"/>
      <c r="K433" s="162" t="s">
        <v>156</v>
      </c>
      <c r="L433" s="1288">
        <f>IFERROR(L434/L435*100,"-")</f>
        <v>10.767786647595091</v>
      </c>
      <c r="M433" s="1289"/>
      <c r="N433" s="1288">
        <f>IFERROR(N434/N435*100,"-")</f>
        <v>14.159225569556872</v>
      </c>
      <c r="O433" s="1289"/>
      <c r="P433" s="1290" t="str">
        <f>IFERROR(P434/P435*100,"-")</f>
        <v>-</v>
      </c>
      <c r="Q433" s="1045"/>
      <c r="R433" s="1510">
        <f>IFERROR(R434/R435*100,"-")</f>
        <v>10.767786647595091</v>
      </c>
      <c r="S433" s="1671"/>
      <c r="T433" s="1510">
        <f>IFERROR(T434/T435*100,"-")</f>
        <v>14.159225569556872</v>
      </c>
      <c r="U433" s="1671"/>
      <c r="V433" s="1510">
        <f>IFERROR(V434/V435*100,"-")</f>
        <v>13.541782443881015</v>
      </c>
      <c r="W433" s="2097"/>
      <c r="X433" s="2492" t="s">
        <v>1625</v>
      </c>
      <c r="Y433" s="1230" t="s">
        <v>1626</v>
      </c>
      <c r="Z433" s="1034" t="s">
        <v>37</v>
      </c>
      <c r="AA433" s="547"/>
      <c r="AB433" s="547"/>
      <c r="AC433" s="299" t="s">
        <v>193</v>
      </c>
      <c r="AD433" s="154" t="s">
        <v>1627</v>
      </c>
      <c r="AE433" s="154"/>
      <c r="AF433" s="1195"/>
      <c r="AG433" s="10"/>
    </row>
    <row r="434" spans="2:33" s="139" customFormat="1" ht="20.100000000000001" customHeight="1">
      <c r="B434" s="1360" t="b">
        <f t="shared" ref="B434:B435" si="46">OR(ISBLANK(R434),ISBLANK(T434),ISBLANK(V434))</f>
        <v>0</v>
      </c>
      <c r="C434" s="1210"/>
      <c r="D434" s="936" t="s">
        <v>1628</v>
      </c>
      <c r="E434" s="924"/>
      <c r="F434" s="105" t="s">
        <v>33</v>
      </c>
      <c r="G434" s="1286"/>
      <c r="H434" s="1292"/>
      <c r="I434" s="995" t="s">
        <v>1629</v>
      </c>
      <c r="J434" s="993"/>
      <c r="K434" s="109" t="s">
        <v>35</v>
      </c>
      <c r="L434" s="1198">
        <v>52997</v>
      </c>
      <c r="M434" s="1204"/>
      <c r="N434" s="1198">
        <v>101802</v>
      </c>
      <c r="O434" s="1289"/>
      <c r="P434" s="1212"/>
      <c r="Q434" s="1045"/>
      <c r="R434" s="1461">
        <v>52997</v>
      </c>
      <c r="S434" s="1538"/>
      <c r="T434" s="1461">
        <v>101802</v>
      </c>
      <c r="U434" s="1538"/>
      <c r="V434" s="1486">
        <v>103562</v>
      </c>
      <c r="W434" s="2097"/>
      <c r="X434" s="2492"/>
      <c r="Y434" s="1230"/>
      <c r="Z434" s="1034" t="s">
        <v>37</v>
      </c>
      <c r="AA434" s="547"/>
      <c r="AB434" s="547"/>
      <c r="AC434" s="299" t="s">
        <v>193</v>
      </c>
      <c r="AD434" s="277" t="s">
        <v>1627</v>
      </c>
      <c r="AE434" s="154"/>
      <c r="AF434" s="1195"/>
      <c r="AG434" s="10"/>
    </row>
    <row r="435" spans="2:33" s="139" customFormat="1" ht="20.100000000000001" customHeight="1" thickBot="1">
      <c r="B435" s="1361" t="b">
        <f t="shared" si="46"/>
        <v>0</v>
      </c>
      <c r="C435" s="1388"/>
      <c r="D435" s="1295" t="s">
        <v>1630</v>
      </c>
      <c r="E435" s="1296"/>
      <c r="F435" s="105" t="s">
        <v>33</v>
      </c>
      <c r="G435" s="1297"/>
      <c r="H435" s="1298"/>
      <c r="I435" s="1299" t="s">
        <v>1631</v>
      </c>
      <c r="J435" s="1255"/>
      <c r="K435" s="109" t="s">
        <v>35</v>
      </c>
      <c r="L435" s="1156">
        <v>492181</v>
      </c>
      <c r="M435" s="1157"/>
      <c r="N435" s="1156">
        <v>718980</v>
      </c>
      <c r="O435" s="1158"/>
      <c r="P435" s="1159"/>
      <c r="Q435" s="1045"/>
      <c r="R435" s="1474">
        <v>492181</v>
      </c>
      <c r="S435" s="1541"/>
      <c r="T435" s="1474">
        <v>718980</v>
      </c>
      <c r="U435" s="1541"/>
      <c r="V435" s="1512">
        <v>764759</v>
      </c>
      <c r="W435" s="2097"/>
      <c r="X435" s="1052"/>
      <c r="Y435" s="596"/>
      <c r="Z435" s="1153" t="s">
        <v>37</v>
      </c>
      <c r="AA435" s="1101"/>
      <c r="AB435" s="1101"/>
      <c r="AC435" s="1551" t="s">
        <v>193</v>
      </c>
      <c r="AD435" s="981" t="s">
        <v>1627</v>
      </c>
      <c r="AE435" s="1231"/>
      <c r="AF435" s="1232"/>
      <c r="AG435" s="10"/>
    </row>
    <row r="436" spans="2:33" ht="27" thickBot="1">
      <c r="B436" s="123" t="s">
        <v>1632</v>
      </c>
      <c r="C436" s="124"/>
      <c r="D436" s="124"/>
      <c r="E436" s="124"/>
      <c r="F436" s="78"/>
      <c r="G436" s="1272" t="s">
        <v>1440</v>
      </c>
      <c r="H436" s="1132"/>
      <c r="I436" s="1132"/>
      <c r="J436" s="1273"/>
      <c r="K436" s="518"/>
      <c r="L436" s="600"/>
      <c r="M436" s="600"/>
      <c r="N436" s="600"/>
      <c r="O436" s="600"/>
      <c r="P436" s="600"/>
      <c r="Q436" s="1004"/>
      <c r="R436" s="1485"/>
      <c r="S436" s="1447"/>
      <c r="T436" s="1485"/>
      <c r="U436" s="1447"/>
      <c r="V436" s="1485"/>
      <c r="W436" s="1004"/>
      <c r="X436" s="2507"/>
      <c r="Y436" s="2507"/>
      <c r="Z436" s="2508"/>
      <c r="AA436" s="2509"/>
      <c r="AB436" s="2509"/>
      <c r="AC436" s="2508"/>
      <c r="AD436" s="2510"/>
      <c r="AE436" s="2510"/>
      <c r="AF436" s="2511"/>
      <c r="AG436" s="18"/>
    </row>
    <row r="437" spans="2:33" ht="20.100000000000001" customHeight="1">
      <c r="B437" s="1353" t="str">
        <f>C437</f>
        <v>윤리경영 교육</v>
      </c>
      <c r="C437" s="947" t="s">
        <v>1633</v>
      </c>
      <c r="D437" s="947"/>
      <c r="E437" s="947"/>
      <c r="F437" s="1560"/>
      <c r="G437" s="168"/>
      <c r="H437" s="949" t="s">
        <v>1634</v>
      </c>
      <c r="I437" s="949"/>
      <c r="J437" s="949"/>
      <c r="K437" s="1139"/>
      <c r="L437" s="1140"/>
      <c r="M437" s="1140"/>
      <c r="N437" s="1140"/>
      <c r="O437" s="1140"/>
      <c r="P437" s="1140"/>
      <c r="Q437" s="1140"/>
      <c r="R437" s="1594"/>
      <c r="S437" s="1595"/>
      <c r="T437" s="1596"/>
      <c r="U437" s="1595"/>
      <c r="V437" s="1596"/>
      <c r="W437" s="2098"/>
      <c r="X437" s="2505"/>
      <c r="Z437" s="1034" t="s">
        <v>1635</v>
      </c>
      <c r="AA437" s="878"/>
      <c r="AB437" s="878"/>
      <c r="AC437" s="1034"/>
      <c r="AD437" s="690"/>
      <c r="AE437" s="690"/>
      <c r="AF437" s="1306"/>
      <c r="AG437" s="18"/>
    </row>
    <row r="438" spans="2:33" ht="20.100000000000001" customHeight="1">
      <c r="B438" s="1360" t="b">
        <f t="shared" ref="B438:B439" si="47">OR(ISBLANK(R438),ISBLANK(T438),ISBLANK(V438))</f>
        <v>0</v>
      </c>
      <c r="C438" s="1392"/>
      <c r="D438" s="787" t="s">
        <v>1018</v>
      </c>
      <c r="E438" s="781"/>
      <c r="F438" s="285" t="s">
        <v>1636</v>
      </c>
      <c r="G438" s="106"/>
      <c r="H438" s="353"/>
      <c r="I438" s="384" t="s">
        <v>1637</v>
      </c>
      <c r="J438" s="384"/>
      <c r="K438" s="1034" t="s">
        <v>1831</v>
      </c>
      <c r="L438" s="1148">
        <v>4945.55</v>
      </c>
      <c r="M438" s="1148"/>
      <c r="N438" s="1148">
        <v>5592</v>
      </c>
      <c r="O438" s="1151"/>
      <c r="P438" s="1147"/>
      <c r="Q438" s="1045"/>
      <c r="R438" s="1514">
        <v>2892.3</v>
      </c>
      <c r="S438" s="1454" t="s">
        <v>2073</v>
      </c>
      <c r="T438" s="1514">
        <v>4113</v>
      </c>
      <c r="U438" s="1454" t="s">
        <v>2074</v>
      </c>
      <c r="V438" s="5824">
        <v>2030</v>
      </c>
      <c r="W438" s="2097"/>
      <c r="X438" s="1033" t="s">
        <v>1638</v>
      </c>
      <c r="Y438" s="367" t="s">
        <v>1639</v>
      </c>
      <c r="Z438" s="1034" t="s">
        <v>1635</v>
      </c>
      <c r="AA438" s="878"/>
      <c r="AB438" s="878"/>
      <c r="AC438" s="1034"/>
      <c r="AD438" s="620" t="s">
        <v>1640</v>
      </c>
      <c r="AE438" s="277" t="s">
        <v>1024</v>
      </c>
      <c r="AF438" s="1195"/>
      <c r="AG438" s="18"/>
    </row>
    <row r="439" spans="2:33" ht="20.100000000000001" customHeight="1">
      <c r="B439" s="1360" t="b">
        <f t="shared" si="47"/>
        <v>0</v>
      </c>
      <c r="C439" s="1384"/>
      <c r="D439" s="787" t="s">
        <v>1428</v>
      </c>
      <c r="E439" s="781"/>
      <c r="F439" s="285" t="s">
        <v>732</v>
      </c>
      <c r="G439" s="384"/>
      <c r="H439" s="385"/>
      <c r="I439" s="358" t="s">
        <v>1643</v>
      </c>
      <c r="J439" s="358"/>
      <c r="K439" s="162" t="s">
        <v>734</v>
      </c>
      <c r="L439" s="93">
        <v>1627</v>
      </c>
      <c r="M439" s="93"/>
      <c r="N439" s="93">
        <v>1875</v>
      </c>
      <c r="O439" s="227"/>
      <c r="P439" s="94"/>
      <c r="Q439" s="1045"/>
      <c r="R439" s="1461">
        <v>1031</v>
      </c>
      <c r="S439" s="1538" t="s">
        <v>1646</v>
      </c>
      <c r="T439" s="1461">
        <v>1186</v>
      </c>
      <c r="U439" s="1538" t="s">
        <v>1646</v>
      </c>
      <c r="V439" s="5479">
        <v>1016</v>
      </c>
      <c r="W439" s="2097" t="s">
        <v>2075</v>
      </c>
      <c r="X439" s="498" t="s">
        <v>1644</v>
      </c>
      <c r="Y439" s="367" t="s">
        <v>1643</v>
      </c>
      <c r="Z439" s="162" t="s">
        <v>758</v>
      </c>
      <c r="AA439" s="547"/>
      <c r="AB439" s="547"/>
      <c r="AC439" s="162"/>
      <c r="AD439" s="620" t="s">
        <v>1645</v>
      </c>
      <c r="AE439" s="277" t="s">
        <v>1024</v>
      </c>
      <c r="AF439" s="982"/>
      <c r="AG439" s="18"/>
    </row>
    <row r="440" spans="2:33" ht="20.100000000000001" customHeight="1">
      <c r="B440" s="1353" t="str">
        <f>C440</f>
        <v>법규 위반 등</v>
      </c>
      <c r="C440" s="695" t="s">
        <v>1647</v>
      </c>
      <c r="D440" s="1599"/>
      <c r="E440" s="1599"/>
      <c r="F440" s="1560"/>
      <c r="G440" s="685"/>
      <c r="H440" s="686" t="s">
        <v>1648</v>
      </c>
      <c r="I440" s="654"/>
      <c r="J440" s="655"/>
      <c r="K440" s="881"/>
      <c r="L440" s="1085"/>
      <c r="M440" s="1085"/>
      <c r="N440" s="1085"/>
      <c r="O440" s="1085"/>
      <c r="P440" s="1085"/>
      <c r="Q440" s="1085"/>
      <c r="R440" s="1604"/>
      <c r="S440" s="1605"/>
      <c r="T440" s="1606"/>
      <c r="U440" s="1605"/>
      <c r="V440" s="1606"/>
      <c r="W440" s="2098"/>
      <c r="X440" s="1564"/>
      <c r="Y440" s="1310"/>
      <c r="Z440" s="162" t="s">
        <v>1649</v>
      </c>
      <c r="AA440" s="547"/>
      <c r="AB440" s="547"/>
      <c r="AC440" s="162"/>
      <c r="AD440" s="690"/>
      <c r="AE440" s="1043"/>
      <c r="AF440" s="1044"/>
      <c r="AG440" s="18"/>
    </row>
    <row r="441" spans="2:33" ht="20.100000000000001" customHeight="1">
      <c r="B441" s="1360" t="b">
        <f t="shared" ref="B441:B449" si="48">OR(ISBLANK(R441),ISBLANK(T441),ISBLANK(V441))</f>
        <v>0</v>
      </c>
      <c r="C441" s="1372"/>
      <c r="D441" s="787" t="s">
        <v>1650</v>
      </c>
      <c r="E441" s="781"/>
      <c r="F441" s="285" t="s">
        <v>1476</v>
      </c>
      <c r="G441" s="347"/>
      <c r="H441" s="348"/>
      <c r="I441" s="495" t="s">
        <v>1651</v>
      </c>
      <c r="J441" s="360"/>
      <c r="K441" s="162" t="s">
        <v>559</v>
      </c>
      <c r="L441" s="304">
        <v>0</v>
      </c>
      <c r="M441" s="304"/>
      <c r="N441" s="304">
        <v>0</v>
      </c>
      <c r="O441" s="404"/>
      <c r="P441" s="274"/>
      <c r="Q441" s="1045"/>
      <c r="R441" s="1475">
        <v>0</v>
      </c>
      <c r="S441" s="1524">
        <v>0</v>
      </c>
      <c r="T441" s="1475">
        <v>0</v>
      </c>
      <c r="U441" s="1524">
        <v>0</v>
      </c>
      <c r="V441" s="1464">
        <v>0</v>
      </c>
      <c r="W441" s="2097"/>
      <c r="X441" s="498" t="s">
        <v>1652</v>
      </c>
      <c r="Y441" s="367" t="s">
        <v>1653</v>
      </c>
      <c r="Z441" s="162" t="s">
        <v>1649</v>
      </c>
      <c r="AA441" s="547"/>
      <c r="AB441" s="547"/>
      <c r="AC441" s="162"/>
      <c r="AD441" s="277" t="s">
        <v>1654</v>
      </c>
      <c r="AE441" s="277" t="s">
        <v>1655</v>
      </c>
      <c r="AF441" s="982"/>
      <c r="AG441" s="18"/>
    </row>
    <row r="442" spans="2:33" ht="20.100000000000001" customHeight="1">
      <c r="B442" s="1360" t="b">
        <f t="shared" si="48"/>
        <v>0</v>
      </c>
      <c r="C442" s="28"/>
      <c r="D442" s="787" t="s">
        <v>1656</v>
      </c>
      <c r="E442" s="781"/>
      <c r="F442" s="285" t="s">
        <v>1476</v>
      </c>
      <c r="G442" s="106"/>
      <c r="H442" s="353"/>
      <c r="I442" s="495" t="s">
        <v>1657</v>
      </c>
      <c r="J442" s="360"/>
      <c r="K442" s="162" t="s">
        <v>559</v>
      </c>
      <c r="L442" s="304">
        <v>0</v>
      </c>
      <c r="M442" s="304"/>
      <c r="N442" s="304">
        <v>0</v>
      </c>
      <c r="O442" s="404"/>
      <c r="P442" s="274"/>
      <c r="Q442" s="1045"/>
      <c r="R442" s="1461">
        <v>0</v>
      </c>
      <c r="S442" s="1524">
        <v>0</v>
      </c>
      <c r="T442" s="1461">
        <v>0</v>
      </c>
      <c r="U442" s="1524">
        <v>0</v>
      </c>
      <c r="V442" s="1464">
        <v>0</v>
      </c>
      <c r="W442" s="2097"/>
      <c r="X442" s="498" t="s">
        <v>1658</v>
      </c>
      <c r="Y442" s="367" t="s">
        <v>1659</v>
      </c>
      <c r="Z442" s="162" t="s">
        <v>1649</v>
      </c>
      <c r="AA442" s="547"/>
      <c r="AB442" s="547"/>
      <c r="AC442" s="162"/>
      <c r="AD442" s="277" t="s">
        <v>1660</v>
      </c>
      <c r="AE442" s="265"/>
      <c r="AF442" s="982"/>
      <c r="AG442" s="18"/>
    </row>
    <row r="443" spans="2:33" ht="20.100000000000001" customHeight="1">
      <c r="B443" s="1360" t="b">
        <f t="shared" si="48"/>
        <v>0</v>
      </c>
      <c r="C443" s="28"/>
      <c r="D443" s="787" t="s">
        <v>1661</v>
      </c>
      <c r="E443" s="781"/>
      <c r="F443" s="285" t="s">
        <v>1476</v>
      </c>
      <c r="G443" s="106"/>
      <c r="H443" s="353"/>
      <c r="I443" s="495" t="s">
        <v>1662</v>
      </c>
      <c r="J443" s="360"/>
      <c r="K443" s="162" t="s">
        <v>559</v>
      </c>
      <c r="L443" s="304">
        <v>0</v>
      </c>
      <c r="M443" s="304"/>
      <c r="N443" s="304">
        <v>0</v>
      </c>
      <c r="O443" s="404"/>
      <c r="P443" s="274"/>
      <c r="Q443" s="1045"/>
      <c r="R443" s="1475">
        <v>0</v>
      </c>
      <c r="S443" s="1524">
        <v>0</v>
      </c>
      <c r="T443" s="1475">
        <v>0</v>
      </c>
      <c r="U443" s="1524">
        <v>0</v>
      </c>
      <c r="V443" s="1464">
        <v>0</v>
      </c>
      <c r="W443" s="2097"/>
      <c r="X443" s="498" t="s">
        <v>1663</v>
      </c>
      <c r="Y443" s="367" t="s">
        <v>1664</v>
      </c>
      <c r="Z443" s="162" t="s">
        <v>1649</v>
      </c>
      <c r="AA443" s="547"/>
      <c r="AB443" s="547"/>
      <c r="AC443" s="162"/>
      <c r="AD443" s="277" t="s">
        <v>1665</v>
      </c>
      <c r="AE443" s="346" t="s">
        <v>1666</v>
      </c>
      <c r="AF443" s="982" t="s">
        <v>1667</v>
      </c>
      <c r="AG443" s="18"/>
    </row>
    <row r="444" spans="2:33" ht="20.100000000000001" customHeight="1">
      <c r="B444" s="1360" t="b">
        <f t="shared" si="48"/>
        <v>0</v>
      </c>
      <c r="C444" s="28"/>
      <c r="D444" s="787" t="s">
        <v>1668</v>
      </c>
      <c r="E444" s="781"/>
      <c r="F444" s="285" t="s">
        <v>557</v>
      </c>
      <c r="G444" s="106"/>
      <c r="H444" s="353"/>
      <c r="I444" s="495" t="s">
        <v>1669</v>
      </c>
      <c r="J444" s="360"/>
      <c r="K444" s="162" t="s">
        <v>559</v>
      </c>
      <c r="L444" s="1003"/>
      <c r="M444" s="304"/>
      <c r="N444" s="1003"/>
      <c r="O444" s="404"/>
      <c r="P444" s="274"/>
      <c r="Q444" s="1045"/>
      <c r="R444" s="1461">
        <v>0</v>
      </c>
      <c r="S444" s="1524"/>
      <c r="T444" s="1461">
        <v>0</v>
      </c>
      <c r="U444" s="1524"/>
      <c r="V444" s="1464">
        <v>0</v>
      </c>
      <c r="W444" s="2097"/>
      <c r="X444" s="498" t="s">
        <v>1670</v>
      </c>
      <c r="Y444" s="367" t="s">
        <v>1671</v>
      </c>
      <c r="Z444" s="162" t="s">
        <v>1649</v>
      </c>
      <c r="AA444" s="547"/>
      <c r="AB444" s="547"/>
      <c r="AC444" s="162"/>
      <c r="AD444" s="277"/>
      <c r="AE444" s="265" t="s">
        <v>1672</v>
      </c>
      <c r="AF444" s="982"/>
      <c r="AG444" s="18"/>
    </row>
    <row r="445" spans="2:33" ht="20.100000000000001" customHeight="1">
      <c r="B445" s="1360" t="b">
        <f t="shared" si="48"/>
        <v>0</v>
      </c>
      <c r="C445" s="28"/>
      <c r="D445" s="936" t="s">
        <v>1673</v>
      </c>
      <c r="E445" s="924"/>
      <c r="F445" s="285" t="s">
        <v>557</v>
      </c>
      <c r="G445" s="106"/>
      <c r="H445" s="353"/>
      <c r="I445" s="495" t="s">
        <v>1674</v>
      </c>
      <c r="J445" s="360"/>
      <c r="K445" s="162" t="s">
        <v>559</v>
      </c>
      <c r="L445" s="403">
        <v>0</v>
      </c>
      <c r="M445" s="379"/>
      <c r="N445" s="403">
        <v>0</v>
      </c>
      <c r="O445" s="1311"/>
      <c r="P445" s="274"/>
      <c r="Q445" s="1045"/>
      <c r="R445" s="1475">
        <v>0</v>
      </c>
      <c r="S445" s="1524">
        <v>0</v>
      </c>
      <c r="T445" s="1475">
        <v>0</v>
      </c>
      <c r="U445" s="1524">
        <v>0</v>
      </c>
      <c r="V445" s="1464">
        <v>0</v>
      </c>
      <c r="W445" s="2097"/>
      <c r="X445" s="498" t="s">
        <v>1663</v>
      </c>
      <c r="Y445" s="367" t="s">
        <v>1675</v>
      </c>
      <c r="Z445" s="508" t="s">
        <v>1676</v>
      </c>
      <c r="AA445" s="547"/>
      <c r="AB445" s="547"/>
      <c r="AC445" s="162"/>
      <c r="AD445" s="277" t="s">
        <v>1677</v>
      </c>
      <c r="AE445" s="265" t="s">
        <v>1678</v>
      </c>
      <c r="AF445" s="982"/>
      <c r="AG445" s="18"/>
    </row>
    <row r="446" spans="2:33" ht="20.100000000000001" customHeight="1">
      <c r="B446" s="1360" t="b">
        <f t="shared" si="48"/>
        <v>0</v>
      </c>
      <c r="C446" s="28"/>
      <c r="D446" s="936" t="s">
        <v>1679</v>
      </c>
      <c r="E446" s="924"/>
      <c r="F446" s="285" t="s">
        <v>233</v>
      </c>
      <c r="G446" s="106"/>
      <c r="H446" s="353"/>
      <c r="I446" s="495" t="s">
        <v>1353</v>
      </c>
      <c r="J446" s="360"/>
      <c r="K446" s="162" t="s">
        <v>295</v>
      </c>
      <c r="L446" s="304">
        <v>0</v>
      </c>
      <c r="M446" s="304"/>
      <c r="N446" s="304">
        <v>0</v>
      </c>
      <c r="O446" s="404"/>
      <c r="P446" s="274"/>
      <c r="Q446" s="1045"/>
      <c r="R446" s="1486">
        <v>0</v>
      </c>
      <c r="S446" s="1347">
        <v>0</v>
      </c>
      <c r="T446" s="1486">
        <v>0</v>
      </c>
      <c r="U446" s="1347">
        <v>0</v>
      </c>
      <c r="V446" s="1490">
        <v>0</v>
      </c>
      <c r="W446" s="2097"/>
      <c r="X446" s="498" t="s">
        <v>1680</v>
      </c>
      <c r="Y446" s="367" t="s">
        <v>1681</v>
      </c>
      <c r="Z446" s="162" t="s">
        <v>1649</v>
      </c>
      <c r="AA446" s="547"/>
      <c r="AB446" s="547"/>
      <c r="AC446" s="162"/>
      <c r="AD446" s="277" t="s">
        <v>1357</v>
      </c>
      <c r="AE446" s="265"/>
      <c r="AF446" s="982"/>
      <c r="AG446" s="18"/>
    </row>
    <row r="447" spans="2:33" ht="20.100000000000001" customHeight="1">
      <c r="B447" s="1360" t="b">
        <f t="shared" si="48"/>
        <v>1</v>
      </c>
      <c r="C447" s="28"/>
      <c r="D447" s="936" t="s">
        <v>1683</v>
      </c>
      <c r="E447" s="924"/>
      <c r="F447" s="285" t="s">
        <v>156</v>
      </c>
      <c r="G447" s="106"/>
      <c r="H447" s="353"/>
      <c r="I447" s="495" t="s">
        <v>1684</v>
      </c>
      <c r="J447" s="360"/>
      <c r="K447" s="162" t="s">
        <v>156</v>
      </c>
      <c r="L447" s="274"/>
      <c r="M447" s="304"/>
      <c r="N447" s="274"/>
      <c r="O447" s="404"/>
      <c r="P447" s="274"/>
      <c r="Q447" s="1045"/>
      <c r="R447" s="1486"/>
      <c r="S447" s="1403"/>
      <c r="T447" s="1486"/>
      <c r="U447" s="1403"/>
      <c r="V447" s="1486"/>
      <c r="W447" s="2097"/>
      <c r="X447" s="498" t="s">
        <v>1685</v>
      </c>
      <c r="Y447" s="367" t="s">
        <v>1686</v>
      </c>
      <c r="Z447" s="162" t="s">
        <v>206</v>
      </c>
      <c r="AA447" s="547"/>
      <c r="AB447" s="547"/>
      <c r="AC447" s="162"/>
      <c r="AD447" s="277"/>
      <c r="AE447" s="265" t="s">
        <v>1687</v>
      </c>
      <c r="AF447" s="982"/>
      <c r="AG447" s="18"/>
    </row>
    <row r="448" spans="2:33" ht="20.100000000000001" customHeight="1">
      <c r="B448" s="1360" t="b">
        <f t="shared" si="48"/>
        <v>0</v>
      </c>
      <c r="C448" s="28"/>
      <c r="D448" s="936" t="s">
        <v>1688</v>
      </c>
      <c r="E448" s="924"/>
      <c r="F448" s="285" t="s">
        <v>557</v>
      </c>
      <c r="G448" s="106"/>
      <c r="H448" s="353"/>
      <c r="I448" s="495" t="s">
        <v>1689</v>
      </c>
      <c r="J448" s="360"/>
      <c r="K448" s="162" t="s">
        <v>559</v>
      </c>
      <c r="L448" s="1003"/>
      <c r="M448" s="304"/>
      <c r="N448" s="1003"/>
      <c r="O448" s="404"/>
      <c r="P448" s="274"/>
      <c r="Q448" s="1045"/>
      <c r="R448" s="1472">
        <v>0</v>
      </c>
      <c r="S448" s="1538"/>
      <c r="T448" s="1472">
        <v>0</v>
      </c>
      <c r="U448" s="1538"/>
      <c r="V448" s="1461">
        <v>0</v>
      </c>
      <c r="W448" s="2097"/>
      <c r="X448" s="498" t="s">
        <v>1690</v>
      </c>
      <c r="Y448" s="367" t="s">
        <v>1691</v>
      </c>
      <c r="Z448" s="162" t="s">
        <v>1649</v>
      </c>
      <c r="AA448" s="547"/>
      <c r="AB448" s="547"/>
      <c r="AC448" s="162"/>
      <c r="AD448" s="265"/>
      <c r="AE448" s="265" t="s">
        <v>1692</v>
      </c>
      <c r="AF448" s="982"/>
      <c r="AG448" s="18"/>
    </row>
    <row r="449" spans="1:33" ht="20.100000000000001" customHeight="1">
      <c r="B449" s="1360" t="b">
        <f t="shared" si="48"/>
        <v>0</v>
      </c>
      <c r="C449" s="1373"/>
      <c r="D449" s="936" t="s">
        <v>1693</v>
      </c>
      <c r="E449" s="924"/>
      <c r="F449" s="285" t="s">
        <v>557</v>
      </c>
      <c r="G449" s="384"/>
      <c r="H449" s="385"/>
      <c r="I449" s="495" t="s">
        <v>1694</v>
      </c>
      <c r="J449" s="360"/>
      <c r="K449" s="162" t="s">
        <v>559</v>
      </c>
      <c r="L449" s="1003"/>
      <c r="M449" s="304"/>
      <c r="N449" s="1003"/>
      <c r="O449" s="404"/>
      <c r="P449" s="274"/>
      <c r="Q449" s="1045"/>
      <c r="R449" s="1472">
        <v>0</v>
      </c>
      <c r="S449" s="1538"/>
      <c r="T449" s="1472">
        <v>0</v>
      </c>
      <c r="U449" s="1538"/>
      <c r="V449" s="1461">
        <v>0</v>
      </c>
      <c r="W449" s="2097"/>
      <c r="X449" s="498" t="s">
        <v>1695</v>
      </c>
      <c r="Y449" s="367" t="s">
        <v>1696</v>
      </c>
      <c r="Z449" s="162" t="s">
        <v>1649</v>
      </c>
      <c r="AA449" s="547"/>
      <c r="AB449" s="547"/>
      <c r="AC449" s="162"/>
      <c r="AD449" s="265"/>
      <c r="AE449" s="265" t="s">
        <v>1697</v>
      </c>
      <c r="AF449" s="982"/>
      <c r="AG449" s="18"/>
    </row>
    <row r="450" spans="1:33" s="139" customFormat="1" ht="19.149999999999999" customHeight="1">
      <c r="A450" s="11"/>
      <c r="B450" s="1353" t="str">
        <f>C450</f>
        <v>윤리경영 관련 제보</v>
      </c>
      <c r="C450" s="947" t="s">
        <v>1698</v>
      </c>
      <c r="D450" s="695"/>
      <c r="E450" s="695"/>
      <c r="F450" s="1560"/>
      <c r="G450" s="685"/>
      <c r="H450" s="686" t="s">
        <v>1699</v>
      </c>
      <c r="I450" s="729"/>
      <c r="J450" s="730"/>
      <c r="K450" s="881"/>
      <c r="L450" s="1085"/>
      <c r="M450" s="1085"/>
      <c r="N450" s="1085"/>
      <c r="O450" s="1085"/>
      <c r="P450" s="1085"/>
      <c r="Q450" s="1085"/>
      <c r="R450" s="1594"/>
      <c r="S450" s="1595"/>
      <c r="T450" s="1596"/>
      <c r="U450" s="1595"/>
      <c r="V450" s="1596"/>
      <c r="W450" s="2098"/>
      <c r="X450" s="2486"/>
      <c r="Y450" s="1309"/>
      <c r="Z450" s="162" t="s">
        <v>1415</v>
      </c>
      <c r="AA450" s="547"/>
      <c r="AB450" s="547"/>
      <c r="AC450" s="162"/>
      <c r="AD450" s="691"/>
      <c r="AE450" s="691"/>
      <c r="AF450" s="1044"/>
      <c r="AG450" s="18"/>
    </row>
    <row r="451" spans="1:33" ht="20.100000000000001" customHeight="1">
      <c r="B451" s="1360" t="b">
        <f t="shared" ref="B451:B456" si="49">OR(ISBLANK(R451),ISBLANK(T451),ISBLANK(V451))</f>
        <v>0</v>
      </c>
      <c r="C451" s="1383"/>
      <c r="D451" s="936" t="s">
        <v>1700</v>
      </c>
      <c r="E451" s="924"/>
      <c r="F451" s="285" t="s">
        <v>1476</v>
      </c>
      <c r="G451" s="347"/>
      <c r="H451" s="348"/>
      <c r="I451" s="358" t="s">
        <v>1701</v>
      </c>
      <c r="J451" s="358"/>
      <c r="K451" s="162" t="s">
        <v>559</v>
      </c>
      <c r="L451" s="304">
        <v>19</v>
      </c>
      <c r="M451" s="304"/>
      <c r="N451" s="304">
        <v>20</v>
      </c>
      <c r="O451" s="404"/>
      <c r="P451" s="274"/>
      <c r="Q451" s="1045"/>
      <c r="R451" s="5479">
        <v>17</v>
      </c>
      <c r="S451" s="1538"/>
      <c r="T451" s="5479">
        <v>20</v>
      </c>
      <c r="U451" s="1538" t="s">
        <v>1871</v>
      </c>
      <c r="V451" s="5479">
        <v>21</v>
      </c>
      <c r="W451" s="2097"/>
      <c r="X451" s="498" t="s">
        <v>1702</v>
      </c>
      <c r="Y451" s="367" t="s">
        <v>1703</v>
      </c>
      <c r="Z451" s="162" t="s">
        <v>1415</v>
      </c>
      <c r="AA451" s="547"/>
      <c r="AB451" s="547"/>
      <c r="AC451" s="162"/>
      <c r="AD451" s="265" t="s">
        <v>1704</v>
      </c>
      <c r="AE451" s="265"/>
      <c r="AF451" s="982"/>
      <c r="AG451" s="18"/>
    </row>
    <row r="452" spans="1:33" ht="20.100000000000001" customHeight="1">
      <c r="B452" s="1360" t="b">
        <f t="shared" si="49"/>
        <v>0</v>
      </c>
      <c r="C452" s="1384"/>
      <c r="D452" s="936" t="s">
        <v>1706</v>
      </c>
      <c r="E452" s="924"/>
      <c r="F452" s="285" t="s">
        <v>1476</v>
      </c>
      <c r="G452" s="384"/>
      <c r="H452" s="385"/>
      <c r="I452" s="358" t="s">
        <v>1707</v>
      </c>
      <c r="J452" s="358"/>
      <c r="K452" s="162" t="s">
        <v>559</v>
      </c>
      <c r="L452" s="304">
        <v>15</v>
      </c>
      <c r="M452" s="304"/>
      <c r="N452" s="304">
        <v>13</v>
      </c>
      <c r="O452" s="227"/>
      <c r="P452" s="274"/>
      <c r="Q452" s="1045"/>
      <c r="R452" s="5479">
        <v>13</v>
      </c>
      <c r="S452" s="1538"/>
      <c r="T452" s="5479">
        <v>13</v>
      </c>
      <c r="U452" s="1538" t="s">
        <v>1872</v>
      </c>
      <c r="V452" s="5479">
        <v>10</v>
      </c>
      <c r="W452" s="2097"/>
      <c r="X452" s="498" t="s">
        <v>1708</v>
      </c>
      <c r="Y452" s="367" t="s">
        <v>1709</v>
      </c>
      <c r="Z452" s="162" t="s">
        <v>1415</v>
      </c>
      <c r="AA452" s="547"/>
      <c r="AB452" s="547"/>
      <c r="AC452" s="162"/>
      <c r="AD452" s="265" t="s">
        <v>1710</v>
      </c>
      <c r="AE452" s="265" t="s">
        <v>1711</v>
      </c>
      <c r="AF452" s="982"/>
      <c r="AG452" s="18"/>
    </row>
    <row r="453" spans="1:33" ht="20.100000000000001" customHeight="1">
      <c r="B453" s="1360" t="b">
        <f t="shared" si="49"/>
        <v>1</v>
      </c>
      <c r="C453" s="359" t="s">
        <v>1712</v>
      </c>
      <c r="D453" s="497"/>
      <c r="E453" s="360"/>
      <c r="F453" s="285" t="s">
        <v>557</v>
      </c>
      <c r="G453" s="358"/>
      <c r="H453" s="359" t="s">
        <v>1713</v>
      </c>
      <c r="I453" s="497"/>
      <c r="J453" s="360"/>
      <c r="K453" s="109" t="s">
        <v>559</v>
      </c>
      <c r="L453" s="94"/>
      <c r="M453" s="93"/>
      <c r="N453" s="94"/>
      <c r="O453" s="227"/>
      <c r="P453" s="94"/>
      <c r="Q453" s="1045"/>
      <c r="R453" s="1461"/>
      <c r="S453" s="1538"/>
      <c r="T453" s="1461"/>
      <c r="U453" s="1538"/>
      <c r="V453" s="1461"/>
      <c r="W453" s="2097"/>
      <c r="X453" s="2468" t="s">
        <v>1714</v>
      </c>
      <c r="Y453" s="276" t="s">
        <v>1715</v>
      </c>
      <c r="Z453" s="162" t="s">
        <v>1415</v>
      </c>
      <c r="AA453" s="547"/>
      <c r="AB453" s="547"/>
      <c r="AC453" s="162"/>
      <c r="AD453" s="265"/>
      <c r="AE453" s="265" t="s">
        <v>1711</v>
      </c>
      <c r="AF453" s="982"/>
      <c r="AG453" s="18"/>
    </row>
    <row r="454" spans="1:33" ht="20.100000000000001" customHeight="1">
      <c r="B454" s="1360" t="b">
        <f t="shared" si="49"/>
        <v>0</v>
      </c>
      <c r="C454" s="491" t="s">
        <v>1722</v>
      </c>
      <c r="D454" s="497"/>
      <c r="E454" s="360"/>
      <c r="F454" s="285" t="s">
        <v>557</v>
      </c>
      <c r="G454" s="358"/>
      <c r="H454" s="359" t="s">
        <v>1723</v>
      </c>
      <c r="I454" s="497"/>
      <c r="J454" s="360"/>
      <c r="K454" s="109" t="s">
        <v>559</v>
      </c>
      <c r="L454" s="94"/>
      <c r="M454" s="93"/>
      <c r="N454" s="94"/>
      <c r="O454" s="227"/>
      <c r="P454" s="94"/>
      <c r="Q454" s="1312"/>
      <c r="R454" s="1461">
        <v>0</v>
      </c>
      <c r="S454" s="1538"/>
      <c r="T454" s="1461">
        <v>0</v>
      </c>
      <c r="U454" s="1538"/>
      <c r="V454" s="1461">
        <v>0</v>
      </c>
      <c r="W454" s="2101"/>
      <c r="X454" s="2468" t="s">
        <v>1724</v>
      </c>
      <c r="Y454" s="276" t="s">
        <v>1725</v>
      </c>
      <c r="Z454" s="162" t="s">
        <v>1726</v>
      </c>
      <c r="AA454" s="547"/>
      <c r="AB454" s="547"/>
      <c r="AC454" s="162"/>
      <c r="AD454" s="265"/>
      <c r="AE454" s="265" t="s">
        <v>1678</v>
      </c>
      <c r="AF454" s="982"/>
      <c r="AG454" s="18"/>
    </row>
    <row r="455" spans="1:33" s="139" customFormat="1" ht="20.100000000000001" customHeight="1">
      <c r="B455" s="1360" t="b">
        <f t="shared" si="49"/>
        <v>0</v>
      </c>
      <c r="C455" s="924" t="s">
        <v>1727</v>
      </c>
      <c r="D455" s="1313"/>
      <c r="E455" s="1313"/>
      <c r="F455" s="285" t="s">
        <v>156</v>
      </c>
      <c r="G455" s="1223"/>
      <c r="H455" s="925" t="s">
        <v>1728</v>
      </c>
      <c r="I455" s="926"/>
      <c r="J455" s="927"/>
      <c r="K455" s="109" t="s">
        <v>156</v>
      </c>
      <c r="L455" s="1314">
        <f>IFERROR(L456/L457*100,"-")</f>
        <v>58.624031007751945</v>
      </c>
      <c r="M455" s="1289"/>
      <c r="N455" s="1314">
        <f>IFERROR(N456/N457*100,"-")</f>
        <v>61.320316132031614</v>
      </c>
      <c r="O455" s="227" t="str">
        <f t="shared" ref="O455:P455" si="50">IFERROR(O456/O457*100,"-")</f>
        <v>-</v>
      </c>
      <c r="P455" s="1314" t="str">
        <f t="shared" si="50"/>
        <v>-</v>
      </c>
      <c r="Q455" s="1315"/>
      <c r="R455" s="1510">
        <f>IFERROR(R456/R457*100,"-")</f>
        <v>99.899193548387103</v>
      </c>
      <c r="S455" s="1214"/>
      <c r="T455" s="1510">
        <f>IFERROR(T456/T457*100,"-")</f>
        <v>100</v>
      </c>
      <c r="U455" s="1459"/>
      <c r="V455" s="1510">
        <f>IFERROR(V456/V457*100,"-")</f>
        <v>100</v>
      </c>
      <c r="W455" s="2102"/>
      <c r="X455" s="2492" t="s">
        <v>1729</v>
      </c>
      <c r="Y455" s="1202" t="s">
        <v>1730</v>
      </c>
      <c r="Z455" s="508" t="s">
        <v>1731</v>
      </c>
      <c r="AA455" s="547"/>
      <c r="AB455" s="547"/>
      <c r="AC455" s="162"/>
      <c r="AD455" s="265" t="s">
        <v>1732</v>
      </c>
      <c r="AE455" s="265"/>
      <c r="AF455" s="982"/>
      <c r="AG455" s="10"/>
    </row>
    <row r="456" spans="1:33" s="139" customFormat="1" ht="20.100000000000001" customHeight="1">
      <c r="B456" s="1360" t="b">
        <f t="shared" si="49"/>
        <v>0</v>
      </c>
      <c r="C456" s="1352"/>
      <c r="D456" s="1317" t="s">
        <v>1733</v>
      </c>
      <c r="E456" s="1318"/>
      <c r="F456" s="285" t="s">
        <v>742</v>
      </c>
      <c r="G456" s="1319"/>
      <c r="H456" s="1320"/>
      <c r="I456" s="1321" t="s">
        <v>1734</v>
      </c>
      <c r="J456" s="1322"/>
      <c r="K456" s="109" t="s">
        <v>734</v>
      </c>
      <c r="L456" s="1204">
        <v>1210</v>
      </c>
      <c r="M456" s="1204"/>
      <c r="N456" s="1204">
        <v>1319</v>
      </c>
      <c r="O456" s="227"/>
      <c r="P456" s="1212"/>
      <c r="Q456" s="1045"/>
      <c r="R456" s="1461">
        <v>991</v>
      </c>
      <c r="S456" s="1538" t="s">
        <v>1873</v>
      </c>
      <c r="T456" s="1461">
        <v>1023</v>
      </c>
      <c r="U456" s="1538" t="s">
        <v>1874</v>
      </c>
      <c r="V456" s="1461">
        <v>1035</v>
      </c>
      <c r="W456" s="2097"/>
      <c r="X456" s="2492" t="s">
        <v>1735</v>
      </c>
      <c r="Y456" s="367" t="s">
        <v>1736</v>
      </c>
      <c r="Z456" s="508" t="s">
        <v>1731</v>
      </c>
      <c r="AA456" s="547"/>
      <c r="AB456" s="547"/>
      <c r="AC456" s="162"/>
      <c r="AD456" s="265" t="s">
        <v>1732</v>
      </c>
      <c r="AE456" s="265" t="s">
        <v>527</v>
      </c>
      <c r="AF456" s="1325"/>
      <c r="AG456" s="10"/>
    </row>
    <row r="457" spans="1:33" s="139" customFormat="1" ht="22.9" customHeight="1" thickBot="1">
      <c r="B457" s="1361" t="b">
        <f t="shared" ref="B457" si="51">OR(ISBLANK(R457),ISBLANK(T457),ISBLANK(V457))</f>
        <v>0</v>
      </c>
      <c r="C457" s="1326"/>
      <c r="D457" s="1327" t="s">
        <v>1737</v>
      </c>
      <c r="E457" s="1328"/>
      <c r="F457" s="706" t="s">
        <v>742</v>
      </c>
      <c r="G457" s="1329"/>
      <c r="H457" s="1330"/>
      <c r="I457" s="1327" t="s">
        <v>1738</v>
      </c>
      <c r="J457" s="1331"/>
      <c r="K457" s="711" t="s">
        <v>734</v>
      </c>
      <c r="L457" s="1332">
        <v>2064</v>
      </c>
      <c r="M457" s="1332"/>
      <c r="N457" s="1332">
        <v>2151</v>
      </c>
      <c r="O457" s="1333"/>
      <c r="P457" s="1334"/>
      <c r="Q457" s="1267"/>
      <c r="R457" s="1473">
        <v>992</v>
      </c>
      <c r="S457" s="1543" t="s">
        <v>1875</v>
      </c>
      <c r="T457" s="1473">
        <v>1023</v>
      </c>
      <c r="U457" s="1543" t="s">
        <v>1875</v>
      </c>
      <c r="V457" s="1473">
        <v>1035</v>
      </c>
      <c r="W457" s="2103"/>
      <c r="X457" s="2477" t="s">
        <v>1739</v>
      </c>
      <c r="Y457" s="1180" t="s">
        <v>1740</v>
      </c>
      <c r="Z457" s="1337" t="s">
        <v>1731</v>
      </c>
      <c r="AA457" s="597"/>
      <c r="AB457" s="1129"/>
      <c r="AC457" s="1338"/>
      <c r="AD457" s="1339" t="s">
        <v>1732</v>
      </c>
      <c r="AE457" s="1340"/>
      <c r="AF457" s="1341"/>
      <c r="AG457" s="10"/>
    </row>
    <row r="458" spans="1:33">
      <c r="C458" s="481"/>
      <c r="D458" s="481"/>
      <c r="E458" s="481"/>
      <c r="G458" s="1342"/>
      <c r="H458" s="1342"/>
      <c r="I458" s="1342"/>
      <c r="J458" s="1342"/>
      <c r="L458" s="1343"/>
      <c r="M458" s="1343"/>
      <c r="N458" s="1343"/>
      <c r="O458" s="1343"/>
      <c r="P458" s="1343"/>
      <c r="Q458" s="1343"/>
      <c r="R458" s="1515"/>
      <c r="S458" s="1459"/>
      <c r="T458" s="1515"/>
      <c r="U458" s="1459"/>
      <c r="V458" s="1515"/>
      <c r="W458" s="1343"/>
    </row>
    <row r="459" spans="1:33">
      <c r="L459" s="1343"/>
      <c r="M459" s="1343"/>
      <c r="N459" s="1343"/>
      <c r="O459" s="1343"/>
      <c r="P459" s="1343"/>
      <c r="Q459" s="1343"/>
      <c r="R459" s="1515"/>
      <c r="S459" s="1459"/>
      <c r="T459" s="1515"/>
      <c r="U459" s="1459"/>
      <c r="V459" s="1515"/>
      <c r="W459" s="1343"/>
    </row>
    <row r="460" spans="1:33">
      <c r="L460" s="1343"/>
      <c r="M460" s="1343"/>
      <c r="N460" s="1343"/>
      <c r="O460" s="1343"/>
      <c r="P460" s="1343"/>
      <c r="Q460" s="1343"/>
      <c r="R460" s="1515"/>
      <c r="S460" s="1459"/>
      <c r="T460" s="1515"/>
      <c r="U460" s="1459"/>
      <c r="V460" s="1515"/>
      <c r="W460" s="1343"/>
    </row>
    <row r="461" spans="1:33">
      <c r="L461" s="1343"/>
      <c r="M461" s="1343"/>
      <c r="N461" s="1343"/>
      <c r="O461" s="1343"/>
      <c r="P461" s="1343"/>
      <c r="Q461" s="1343"/>
      <c r="R461" s="1515"/>
      <c r="S461" s="1459"/>
      <c r="T461" s="1515"/>
      <c r="U461" s="1459"/>
      <c r="V461" s="1515"/>
      <c r="W461" s="1343"/>
    </row>
    <row r="462" spans="1:33">
      <c r="L462" s="1343"/>
      <c r="M462" s="1343"/>
      <c r="N462" s="1343"/>
      <c r="O462" s="1343"/>
      <c r="P462" s="1343"/>
      <c r="Q462" s="1343"/>
      <c r="R462" s="1515"/>
      <c r="S462" s="1459"/>
      <c r="T462" s="1515"/>
      <c r="U462" s="1459"/>
      <c r="V462" s="1515"/>
      <c r="W462" s="1343"/>
    </row>
  </sheetData>
  <autoFilter ref="B13:AF457" xr:uid="{FDB2BDD2-2031-47AA-A13F-87F135309858}"/>
  <mergeCells count="80">
    <mergeCell ref="X310:X311"/>
    <mergeCell ref="D282:E282"/>
    <mergeCell ref="D284:E284"/>
    <mergeCell ref="D286:E286"/>
    <mergeCell ref="U301:U302"/>
    <mergeCell ref="U304:U308"/>
    <mergeCell ref="U310:U311"/>
    <mergeCell ref="C206:E206"/>
    <mergeCell ref="C207:C210"/>
    <mergeCell ref="D208:E208"/>
    <mergeCell ref="D210:E210"/>
    <mergeCell ref="D281:E281"/>
    <mergeCell ref="C190:E190"/>
    <mergeCell ref="C141:E141"/>
    <mergeCell ref="D203:E203"/>
    <mergeCell ref="D186:E186"/>
    <mergeCell ref="D185:E185"/>
    <mergeCell ref="D187:E187"/>
    <mergeCell ref="D188:E188"/>
    <mergeCell ref="D189:E189"/>
    <mergeCell ref="D191:E191"/>
    <mergeCell ref="D192:E192"/>
    <mergeCell ref="C193:E193"/>
    <mergeCell ref="C142:C147"/>
    <mergeCell ref="D145:E145"/>
    <mergeCell ref="D146:E146"/>
    <mergeCell ref="D147:E147"/>
    <mergeCell ref="C149:E149"/>
    <mergeCell ref="C126:C129"/>
    <mergeCell ref="C130:E130"/>
    <mergeCell ref="C184:E184"/>
    <mergeCell ref="C183:E183"/>
    <mergeCell ref="C182:E182"/>
    <mergeCell ref="C135:E135"/>
    <mergeCell ref="C136:C137"/>
    <mergeCell ref="C138:E138"/>
    <mergeCell ref="C131:C132"/>
    <mergeCell ref="D131:E131"/>
    <mergeCell ref="D132:E132"/>
    <mergeCell ref="C133:E133"/>
    <mergeCell ref="C134:E134"/>
    <mergeCell ref="C117:E117"/>
    <mergeCell ref="C118:C119"/>
    <mergeCell ref="C125:E125"/>
    <mergeCell ref="C109:E109"/>
    <mergeCell ref="C110:C111"/>
    <mergeCell ref="D110:E110"/>
    <mergeCell ref="D111:E111"/>
    <mergeCell ref="C112:E112"/>
    <mergeCell ref="C113:E113"/>
    <mergeCell ref="C114:E114"/>
    <mergeCell ref="C115:C116"/>
    <mergeCell ref="D115:E115"/>
    <mergeCell ref="D116:E116"/>
    <mergeCell ref="C103:C104"/>
    <mergeCell ref="D103:E103"/>
    <mergeCell ref="D104:E104"/>
    <mergeCell ref="C106:C108"/>
    <mergeCell ref="D107:E107"/>
    <mergeCell ref="D108:E108"/>
    <mergeCell ref="AD12:AF12"/>
    <mergeCell ref="D64:E64"/>
    <mergeCell ref="D65:E65"/>
    <mergeCell ref="D66:E66"/>
    <mergeCell ref="B12:F12"/>
    <mergeCell ref="G12:J12"/>
    <mergeCell ref="L12:Q12"/>
    <mergeCell ref="R12:W12"/>
    <mergeCell ref="C81:E81"/>
    <mergeCell ref="C82:C83"/>
    <mergeCell ref="C85:C86"/>
    <mergeCell ref="C96:E96"/>
    <mergeCell ref="H96:J96"/>
    <mergeCell ref="C97:C98"/>
    <mergeCell ref="D97:E97"/>
    <mergeCell ref="D98:E98"/>
    <mergeCell ref="C99:E99"/>
    <mergeCell ref="C100:C101"/>
    <mergeCell ref="D100:E100"/>
    <mergeCell ref="D101:E101"/>
  </mergeCells>
  <phoneticPr fontId="3" type="noConversion"/>
  <pageMargins left="0.25" right="0.25" top="0.75" bottom="0.75" header="0" footer="0"/>
  <pageSetup paperSize="8" scale="19" fitToHeight="0"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3A2F4-8256-4E95-ADF4-EBE441DF47EC}">
  <sheetPr>
    <tabColor rgb="FFFFC000"/>
    <pageSetUpPr fitToPage="1"/>
  </sheetPr>
  <dimension ref="A1:AW417"/>
  <sheetViews>
    <sheetView topLeftCell="D78" zoomScale="90" zoomScaleNormal="90" workbookViewId="0">
      <selection activeCell="AG106" sqref="AG106"/>
    </sheetView>
  </sheetViews>
  <sheetFormatPr defaultColWidth="13" defaultRowHeight="16.5" outlineLevelRow="1"/>
  <cols>
    <col min="1" max="1" width="1.625" style="11" customWidth="1"/>
    <col min="2" max="2" width="1.5" style="11" customWidth="1"/>
    <col min="3" max="3" width="16.125" style="11" customWidth="1"/>
    <col min="4" max="4" width="7.5" style="11" customWidth="1"/>
    <col min="5" max="5" width="8.5" style="11" customWidth="1"/>
    <col min="6" max="6" width="35.625" style="11" customWidth="1"/>
    <col min="7" max="7" width="16.5" style="11" customWidth="1"/>
    <col min="8" max="12" width="15.625" style="23" hidden="1" customWidth="1"/>
    <col min="13" max="13" width="15.625" style="11" hidden="1" customWidth="1"/>
    <col min="14" max="14" width="15.625" style="1718" hidden="1" customWidth="1"/>
    <col min="15" max="15" width="15.625" style="11" hidden="1" customWidth="1"/>
    <col min="16" max="16" width="15.625" style="1718" hidden="1" customWidth="1"/>
    <col min="17" max="22" width="15.625" style="11" hidden="1" customWidth="1"/>
    <col min="23" max="39" width="15.625" style="11" customWidth="1"/>
    <col min="40" max="40" width="50.625" style="24" customWidth="1"/>
    <col min="41" max="41" width="20.5" style="11" customWidth="1"/>
    <col min="42" max="42" width="26.125" style="11" customWidth="1"/>
    <col min="43" max="43" width="32.25" style="11" customWidth="1"/>
    <col min="44" max="44" width="20.5" style="11" customWidth="1"/>
    <col min="45" max="47" width="11.875" style="11" customWidth="1"/>
    <col min="48" max="48" width="35" style="10" customWidth="1"/>
    <col min="49" max="49" width="32.125" style="11" customWidth="1"/>
    <col min="50" max="16384" width="13" style="11"/>
  </cols>
  <sheetData>
    <row r="1" spans="1:49" ht="7.9" hidden="1" customHeight="1">
      <c r="A1" s="1"/>
      <c r="B1" s="2"/>
      <c r="C1" s="2"/>
      <c r="D1" s="2"/>
      <c r="E1" s="2"/>
      <c r="F1" s="7"/>
      <c r="G1" s="3"/>
      <c r="H1" s="6"/>
      <c r="I1" s="6"/>
      <c r="J1" s="6"/>
      <c r="K1" s="6"/>
      <c r="L1" s="6"/>
      <c r="M1" s="7"/>
      <c r="N1" s="5"/>
      <c r="O1" s="7"/>
      <c r="P1" s="5"/>
      <c r="Q1" s="7"/>
      <c r="R1" s="7"/>
      <c r="S1" s="7"/>
      <c r="T1" s="7"/>
      <c r="U1" s="7"/>
      <c r="V1" s="7"/>
      <c r="W1" s="7"/>
      <c r="X1" s="7"/>
      <c r="Y1" s="7"/>
      <c r="Z1" s="7"/>
      <c r="AA1" s="7"/>
      <c r="AB1" s="7"/>
      <c r="AC1" s="7"/>
      <c r="AD1" s="7"/>
      <c r="AE1" s="7"/>
      <c r="AF1" s="7"/>
      <c r="AG1" s="7"/>
      <c r="AH1" s="7"/>
      <c r="AI1" s="7"/>
      <c r="AJ1" s="7"/>
      <c r="AK1" s="7"/>
      <c r="AL1" s="7"/>
      <c r="AM1" s="7"/>
      <c r="AN1" s="8"/>
      <c r="AO1" s="7"/>
      <c r="AP1" s="7"/>
      <c r="AQ1" s="3"/>
      <c r="AR1" s="7"/>
      <c r="AS1" s="9"/>
      <c r="AT1" s="9"/>
      <c r="AU1" s="9"/>
    </row>
    <row r="2" spans="1:49" s="19" customFormat="1" ht="33" hidden="1" customHeight="1">
      <c r="A2" s="12"/>
      <c r="B2" s="13" t="s">
        <v>626</v>
      </c>
      <c r="C2" s="14"/>
      <c r="D2" s="2"/>
      <c r="E2" s="2"/>
      <c r="F2" s="7"/>
      <c r="G2" s="3"/>
      <c r="H2" s="6"/>
      <c r="I2" s="6"/>
      <c r="J2" s="6"/>
      <c r="K2" s="6"/>
      <c r="L2" s="6"/>
      <c r="M2" s="7"/>
      <c r="N2" s="5"/>
      <c r="O2" s="7"/>
      <c r="P2" s="5"/>
      <c r="Q2" s="7"/>
      <c r="R2" s="16"/>
      <c r="S2" s="16"/>
      <c r="T2" s="16"/>
      <c r="U2" s="16"/>
      <c r="V2" s="16"/>
      <c r="W2" s="16"/>
      <c r="X2" s="16"/>
      <c r="Y2" s="16"/>
      <c r="Z2" s="16"/>
      <c r="AA2" s="16"/>
      <c r="AB2" s="16"/>
      <c r="AC2" s="16"/>
      <c r="AD2" s="16"/>
      <c r="AE2" s="16"/>
      <c r="AF2" s="16"/>
      <c r="AG2" s="16"/>
      <c r="AH2" s="16"/>
      <c r="AI2" s="16"/>
      <c r="AJ2" s="16"/>
      <c r="AK2" s="16"/>
      <c r="AL2" s="16"/>
      <c r="AM2" s="16"/>
      <c r="AN2" s="8"/>
      <c r="AO2" s="16"/>
      <c r="AP2" s="16"/>
      <c r="AQ2" s="15"/>
      <c r="AR2" s="16"/>
      <c r="AS2" s="17"/>
      <c r="AT2" s="17"/>
      <c r="AU2" s="17"/>
      <c r="AV2" s="10"/>
    </row>
    <row r="3" spans="1:49" ht="12" hidden="1" customHeight="1">
      <c r="B3" s="20"/>
      <c r="C3" s="20"/>
      <c r="D3" s="20"/>
      <c r="E3" s="20"/>
      <c r="F3" s="7"/>
      <c r="G3" s="3"/>
      <c r="H3" s="6"/>
      <c r="I3" s="6"/>
      <c r="J3" s="6"/>
      <c r="K3" s="6"/>
      <c r="L3" s="6"/>
      <c r="M3" s="7"/>
      <c r="N3" s="5"/>
      <c r="O3" s="7"/>
      <c r="P3" s="5"/>
      <c r="Q3" s="7"/>
      <c r="R3" s="7"/>
      <c r="S3" s="7"/>
      <c r="T3" s="7"/>
      <c r="U3" s="7"/>
      <c r="V3" s="7"/>
      <c r="W3" s="7"/>
      <c r="X3" s="7"/>
      <c r="Y3" s="7"/>
      <c r="Z3" s="7"/>
      <c r="AA3" s="7"/>
      <c r="AB3" s="7"/>
      <c r="AC3" s="7"/>
      <c r="AD3" s="7"/>
      <c r="AE3" s="7"/>
      <c r="AF3" s="7"/>
      <c r="AG3" s="7"/>
      <c r="AH3" s="7"/>
      <c r="AI3" s="7"/>
      <c r="AJ3" s="7"/>
      <c r="AK3" s="7"/>
      <c r="AL3" s="7"/>
      <c r="AM3" s="7"/>
      <c r="AN3" s="8"/>
      <c r="AO3" s="7"/>
      <c r="AP3" s="7"/>
      <c r="AQ3" s="3"/>
      <c r="AR3" s="7"/>
      <c r="AS3" s="20"/>
      <c r="AT3" s="20"/>
      <c r="AU3" s="20"/>
    </row>
    <row r="4" spans="1:49" ht="17.45" hidden="1" customHeight="1">
      <c r="F4" s="39"/>
      <c r="G4" s="1717"/>
    </row>
    <row r="5" spans="1:49" ht="20.45" hidden="1" customHeight="1">
      <c r="B5" s="1700" t="s">
        <v>111</v>
      </c>
      <c r="C5" s="25"/>
      <c r="D5" s="25"/>
      <c r="E5" s="25"/>
      <c r="F5" s="1719"/>
      <c r="G5" s="1720"/>
      <c r="H5" s="29"/>
      <c r="I5" s="29"/>
      <c r="J5" s="29"/>
      <c r="K5" s="29"/>
      <c r="L5" s="29"/>
      <c r="M5" s="30"/>
      <c r="N5" s="31"/>
      <c r="O5" s="30"/>
      <c r="P5" s="31"/>
      <c r="Q5" s="30"/>
      <c r="R5" s="32"/>
      <c r="S5" s="32"/>
      <c r="T5" s="32"/>
      <c r="U5" s="32"/>
      <c r="V5" s="32"/>
      <c r="W5" s="32"/>
      <c r="X5" s="32"/>
      <c r="Y5" s="32"/>
      <c r="Z5" s="32"/>
      <c r="AA5" s="32"/>
      <c r="AB5" s="32"/>
      <c r="AC5" s="32"/>
      <c r="AD5" s="32"/>
      <c r="AE5" s="32"/>
      <c r="AF5" s="32"/>
      <c r="AG5" s="32"/>
      <c r="AH5" s="32"/>
      <c r="AI5" s="32"/>
      <c r="AJ5" s="32"/>
      <c r="AK5" s="32"/>
      <c r="AL5" s="32"/>
      <c r="AM5" s="32"/>
      <c r="AN5" s="33"/>
      <c r="AO5" s="32"/>
      <c r="AP5" s="32"/>
      <c r="AQ5" s="32"/>
      <c r="AR5" s="32"/>
      <c r="AS5" s="32"/>
      <c r="AT5" s="32"/>
      <c r="AU5" s="32"/>
      <c r="AW5" s="24"/>
    </row>
    <row r="6" spans="1:49" ht="20.45" hidden="1" customHeight="1">
      <c r="B6" s="1701" t="s">
        <v>112</v>
      </c>
      <c r="E6" s="1721"/>
      <c r="F6" s="28"/>
      <c r="G6" s="1722"/>
      <c r="H6" s="29"/>
      <c r="I6" s="29"/>
      <c r="J6" s="35"/>
      <c r="K6" s="29"/>
      <c r="L6" s="29"/>
      <c r="M6" s="30"/>
      <c r="N6" s="31"/>
      <c r="O6" s="30"/>
      <c r="P6" s="31"/>
      <c r="Q6" s="30"/>
      <c r="R6" s="32"/>
      <c r="S6" s="32"/>
      <c r="T6" s="32"/>
      <c r="U6" s="32"/>
      <c r="V6" s="32"/>
      <c r="W6" s="32"/>
      <c r="X6" s="32"/>
      <c r="Y6" s="32"/>
      <c r="Z6" s="32"/>
      <c r="AA6" s="32"/>
      <c r="AB6" s="32"/>
      <c r="AC6" s="32"/>
      <c r="AD6" s="32"/>
      <c r="AE6" s="32"/>
      <c r="AF6" s="32"/>
      <c r="AG6" s="32"/>
      <c r="AH6" s="32"/>
      <c r="AI6" s="32"/>
      <c r="AJ6" s="32"/>
      <c r="AK6" s="32"/>
      <c r="AL6" s="32"/>
      <c r="AM6" s="32"/>
      <c r="AN6" s="33"/>
      <c r="AO6" s="32"/>
      <c r="AP6" s="32"/>
      <c r="AQ6" s="32"/>
      <c r="AR6" s="32"/>
      <c r="AS6" s="32"/>
      <c r="AT6" s="32"/>
      <c r="AU6" s="32"/>
      <c r="AW6" s="24"/>
    </row>
    <row r="7" spans="1:49" ht="20.45" hidden="1" customHeight="1">
      <c r="B7" s="1701" t="s">
        <v>113</v>
      </c>
      <c r="E7" s="1721"/>
      <c r="F7" s="1721"/>
      <c r="G7" s="1723"/>
      <c r="H7" s="29"/>
      <c r="I7" s="35"/>
      <c r="J7" s="31"/>
      <c r="K7" s="30"/>
      <c r="L7" s="29"/>
      <c r="M7" s="35"/>
      <c r="N7" s="31"/>
      <c r="O7" s="30"/>
      <c r="P7" s="31"/>
      <c r="Q7" s="30"/>
      <c r="R7" s="32"/>
      <c r="S7" s="32"/>
      <c r="T7" s="32"/>
      <c r="U7" s="32"/>
      <c r="V7" s="32"/>
      <c r="W7" s="32"/>
      <c r="X7" s="32"/>
      <c r="Y7" s="32"/>
      <c r="Z7" s="32"/>
      <c r="AA7" s="32"/>
      <c r="AB7" s="32"/>
      <c r="AC7" s="32"/>
      <c r="AD7" s="32"/>
      <c r="AE7" s="32"/>
      <c r="AF7" s="32"/>
      <c r="AG7" s="32"/>
      <c r="AH7" s="32"/>
      <c r="AI7" s="32"/>
      <c r="AJ7" s="32"/>
      <c r="AK7" s="32"/>
      <c r="AL7" s="32"/>
      <c r="AM7" s="32"/>
      <c r="AN7" s="33"/>
      <c r="AO7" s="32"/>
      <c r="AP7" s="32"/>
      <c r="AQ7" s="32"/>
      <c r="AR7" s="32"/>
      <c r="AS7" s="32"/>
      <c r="AT7" s="32"/>
      <c r="AU7" s="32"/>
      <c r="AW7" s="24"/>
    </row>
    <row r="8" spans="1:49" ht="20.45" hidden="1" customHeight="1">
      <c r="B8" s="1701" t="s">
        <v>114</v>
      </c>
      <c r="E8" s="1721"/>
      <c r="F8" s="28"/>
      <c r="G8" s="28"/>
      <c r="H8" s="29"/>
      <c r="I8" s="35"/>
      <c r="J8" s="31"/>
      <c r="K8" s="30"/>
      <c r="L8" s="29"/>
      <c r="M8" s="35"/>
      <c r="N8" s="31"/>
      <c r="O8" s="30"/>
      <c r="P8" s="31"/>
      <c r="Q8" s="30"/>
      <c r="R8" s="32"/>
      <c r="S8" s="32"/>
      <c r="T8" s="32"/>
      <c r="U8" s="32"/>
      <c r="V8" s="32"/>
      <c r="W8" s="32"/>
      <c r="X8" s="32"/>
      <c r="Y8" s="32"/>
      <c r="Z8" s="32"/>
      <c r="AA8" s="32"/>
      <c r="AB8" s="32"/>
      <c r="AC8" s="32"/>
      <c r="AD8" s="32"/>
      <c r="AE8" s="32"/>
      <c r="AF8" s="32"/>
      <c r="AG8" s="32"/>
      <c r="AH8" s="32"/>
      <c r="AI8" s="32"/>
      <c r="AJ8" s="32"/>
      <c r="AK8" s="32"/>
      <c r="AL8" s="32"/>
      <c r="AM8" s="32"/>
      <c r="AN8" s="33"/>
      <c r="AO8" s="32"/>
      <c r="AP8" s="32"/>
      <c r="AQ8" s="32"/>
      <c r="AR8" s="32"/>
      <c r="AS8" s="32"/>
      <c r="AT8" s="32"/>
      <c r="AU8" s="32"/>
      <c r="AW8" s="24"/>
    </row>
    <row r="9" spans="1:49" ht="20.45" hidden="1" customHeight="1">
      <c r="B9" s="1701" t="s">
        <v>115</v>
      </c>
      <c r="E9" s="1721"/>
      <c r="F9" s="28"/>
      <c r="G9" s="28"/>
      <c r="H9" s="38"/>
      <c r="I9" s="35" t="s">
        <v>116</v>
      </c>
      <c r="J9" s="31"/>
      <c r="K9" s="30"/>
      <c r="L9" s="29"/>
      <c r="M9" s="35"/>
      <c r="N9" s="31"/>
      <c r="O9" s="30"/>
      <c r="P9" s="31"/>
      <c r="Q9" s="30"/>
      <c r="R9" s="32"/>
      <c r="S9" s="32"/>
      <c r="T9" s="32"/>
      <c r="U9" s="32"/>
      <c r="V9" s="32"/>
      <c r="W9" s="32"/>
      <c r="X9" s="32"/>
      <c r="Y9" s="32"/>
      <c r="Z9" s="32"/>
      <c r="AA9" s="32"/>
      <c r="AB9" s="32"/>
      <c r="AC9" s="32"/>
      <c r="AD9" s="32"/>
      <c r="AE9" s="32"/>
      <c r="AF9" s="32"/>
      <c r="AG9" s="32"/>
      <c r="AH9" s="32"/>
      <c r="AI9" s="32"/>
      <c r="AJ9" s="32"/>
      <c r="AK9" s="32"/>
      <c r="AL9" s="32"/>
      <c r="AM9" s="32"/>
      <c r="AN9" s="33"/>
      <c r="AO9" s="32"/>
      <c r="AP9" s="32"/>
      <c r="AQ9" s="32"/>
      <c r="AR9" s="32"/>
      <c r="AS9" s="32"/>
      <c r="AT9" s="32"/>
      <c r="AU9" s="32"/>
      <c r="AW9" s="24"/>
    </row>
    <row r="10" spans="1:49" ht="20.45" hidden="1" customHeight="1">
      <c r="B10" s="1702" t="s">
        <v>117</v>
      </c>
      <c r="C10" s="39"/>
      <c r="D10" s="39"/>
      <c r="E10" s="1724"/>
      <c r="F10" s="1725"/>
      <c r="G10" s="1725"/>
      <c r="H10" s="42"/>
      <c r="I10" s="35" t="s">
        <v>118</v>
      </c>
      <c r="J10" s="31"/>
      <c r="K10" s="30"/>
      <c r="L10" s="29"/>
      <c r="M10" s="35"/>
      <c r="N10" s="31"/>
      <c r="O10" s="30"/>
      <c r="P10" s="31"/>
      <c r="Q10" s="30"/>
      <c r="R10" s="32"/>
      <c r="S10" s="32"/>
      <c r="T10" s="32"/>
      <c r="U10" s="32"/>
      <c r="V10" s="32"/>
      <c r="W10" s="32"/>
      <c r="X10" s="32"/>
      <c r="Y10" s="32"/>
      <c r="Z10" s="32"/>
      <c r="AA10" s="32"/>
      <c r="AB10" s="32"/>
      <c r="AC10" s="32"/>
      <c r="AD10" s="32"/>
      <c r="AE10" s="32"/>
      <c r="AF10" s="32"/>
      <c r="AG10" s="32"/>
      <c r="AH10" s="32"/>
      <c r="AI10" s="32"/>
      <c r="AJ10" s="32"/>
      <c r="AK10" s="32"/>
      <c r="AL10" s="32"/>
      <c r="AM10" s="32"/>
      <c r="AN10" s="33"/>
      <c r="AO10" s="32"/>
      <c r="AP10" s="32"/>
      <c r="AQ10" s="32"/>
      <c r="AR10" s="32"/>
      <c r="AS10" s="32"/>
      <c r="AT10" s="32"/>
      <c r="AU10" s="32"/>
      <c r="AW10" s="24"/>
    </row>
    <row r="11" spans="1:49" ht="18" hidden="1" customHeight="1" thickBot="1">
      <c r="C11" s="43"/>
      <c r="D11" s="43"/>
      <c r="E11" s="43"/>
      <c r="F11" s="43"/>
      <c r="G11" s="44"/>
      <c r="H11" s="47"/>
      <c r="I11" s="47"/>
      <c r="J11" s="47"/>
      <c r="K11" s="47"/>
      <c r="L11" s="47"/>
      <c r="Q11" s="48"/>
      <c r="R11" s="48"/>
      <c r="S11" s="48"/>
      <c r="T11" s="48"/>
      <c r="U11" s="48"/>
      <c r="V11" s="48"/>
      <c r="W11" s="48"/>
      <c r="X11" s="48"/>
      <c r="Y11" s="48"/>
      <c r="Z11" s="48"/>
      <c r="AA11" s="48"/>
      <c r="AB11" s="48"/>
      <c r="AC11" s="48"/>
      <c r="AD11" s="48"/>
      <c r="AE11" s="48"/>
      <c r="AF11" s="48"/>
      <c r="AG11" s="48"/>
      <c r="AH11" s="48"/>
      <c r="AI11" s="48"/>
      <c r="AJ11" s="48"/>
      <c r="AK11" s="48"/>
      <c r="AL11" s="48"/>
      <c r="AM11" s="48"/>
      <c r="AN11" s="49"/>
      <c r="AO11" s="1726" t="s">
        <v>2076</v>
      </c>
      <c r="AP11" s="24"/>
      <c r="AQ11" s="24"/>
      <c r="AR11" s="24"/>
      <c r="AS11" s="43"/>
      <c r="AT11" s="43"/>
      <c r="AU11" s="43"/>
      <c r="AW11" s="24"/>
    </row>
    <row r="12" spans="1:49" ht="18" thickTop="1">
      <c r="A12" s="50"/>
      <c r="B12" s="10119"/>
      <c r="C12" s="10121" t="s">
        <v>1</v>
      </c>
      <c r="D12" s="10121"/>
      <c r="E12" s="10121"/>
      <c r="F12" s="10122"/>
      <c r="G12" s="10125" t="s">
        <v>2077</v>
      </c>
      <c r="H12" s="9752" t="s">
        <v>1743</v>
      </c>
      <c r="I12" s="9753"/>
      <c r="J12" s="9753"/>
      <c r="K12" s="9753"/>
      <c r="L12" s="9754"/>
      <c r="M12" s="9761" t="s">
        <v>134</v>
      </c>
      <c r="N12" s="9762"/>
      <c r="O12" s="9762"/>
      <c r="P12" s="9762"/>
      <c r="Q12" s="9762"/>
      <c r="R12" s="9756" t="s">
        <v>2078</v>
      </c>
      <c r="S12" s="9757"/>
      <c r="T12" s="9757"/>
      <c r="U12" s="9757"/>
      <c r="V12" s="9758"/>
      <c r="W12" s="10127" t="s">
        <v>137</v>
      </c>
      <c r="X12" s="10113"/>
      <c r="Y12" s="10113"/>
      <c r="Z12" s="10113"/>
      <c r="AA12" s="10114"/>
      <c r="AB12" s="10112" t="s">
        <v>2079</v>
      </c>
      <c r="AC12" s="10113"/>
      <c r="AD12" s="10114"/>
      <c r="AE12" s="10112" t="s">
        <v>2080</v>
      </c>
      <c r="AF12" s="10113"/>
      <c r="AG12" s="10114"/>
      <c r="AH12" s="10112" t="s">
        <v>2081</v>
      </c>
      <c r="AI12" s="10113"/>
      <c r="AJ12" s="10114"/>
      <c r="AK12" s="10112" t="s">
        <v>2082</v>
      </c>
      <c r="AL12" s="10113"/>
      <c r="AM12" s="10114"/>
      <c r="AN12" s="10115" t="s">
        <v>2083</v>
      </c>
      <c r="AO12" s="10117" t="s">
        <v>2084</v>
      </c>
      <c r="AP12" s="10128" t="s">
        <v>2085</v>
      </c>
      <c r="AQ12" s="10130" t="s">
        <v>2086</v>
      </c>
      <c r="AR12" s="10132" t="s">
        <v>2087</v>
      </c>
      <c r="AS12" s="9667" t="s">
        <v>11</v>
      </c>
      <c r="AT12" s="9759"/>
      <c r="AU12" s="9760"/>
      <c r="AW12" s="54"/>
    </row>
    <row r="13" spans="1:49" ht="18" thickBot="1">
      <c r="A13" s="50"/>
      <c r="B13" s="10120"/>
      <c r="C13" s="10123"/>
      <c r="D13" s="10123"/>
      <c r="E13" s="10123"/>
      <c r="F13" s="10124"/>
      <c r="G13" s="10126"/>
      <c r="H13" s="57">
        <v>2021</v>
      </c>
      <c r="I13" s="58" t="s">
        <v>1745</v>
      </c>
      <c r="J13" s="57">
        <v>2022</v>
      </c>
      <c r="K13" s="58" t="s">
        <v>1745</v>
      </c>
      <c r="L13" s="57">
        <v>2023</v>
      </c>
      <c r="M13" s="57">
        <v>2021</v>
      </c>
      <c r="N13" s="58" t="s">
        <v>1745</v>
      </c>
      <c r="O13" s="57">
        <v>2022</v>
      </c>
      <c r="P13" s="58" t="s">
        <v>1745</v>
      </c>
      <c r="Q13" s="5299">
        <v>2023</v>
      </c>
      <c r="R13" s="2165">
        <v>2021</v>
      </c>
      <c r="S13" s="2104"/>
      <c r="T13" s="59">
        <v>2022</v>
      </c>
      <c r="U13" s="2344"/>
      <c r="V13" s="2166">
        <v>2023</v>
      </c>
      <c r="W13" s="2104">
        <v>2021</v>
      </c>
      <c r="X13" s="58" t="s">
        <v>1745</v>
      </c>
      <c r="Y13" s="59">
        <v>2022</v>
      </c>
      <c r="Z13" s="58" t="s">
        <v>1745</v>
      </c>
      <c r="AA13" s="59">
        <v>2023</v>
      </c>
      <c r="AB13" s="59">
        <v>2021</v>
      </c>
      <c r="AC13" s="59">
        <v>2022</v>
      </c>
      <c r="AD13" s="59">
        <v>2023</v>
      </c>
      <c r="AE13" s="59">
        <v>2021</v>
      </c>
      <c r="AF13" s="59">
        <v>2022</v>
      </c>
      <c r="AG13" s="59">
        <v>2023</v>
      </c>
      <c r="AH13" s="59">
        <v>2021</v>
      </c>
      <c r="AI13" s="59">
        <v>2022</v>
      </c>
      <c r="AJ13" s="59">
        <v>2023</v>
      </c>
      <c r="AK13" s="59">
        <v>2021</v>
      </c>
      <c r="AL13" s="59">
        <v>2022</v>
      </c>
      <c r="AM13" s="59">
        <v>2023</v>
      </c>
      <c r="AN13" s="10116"/>
      <c r="AO13" s="10118"/>
      <c r="AP13" s="10129"/>
      <c r="AQ13" s="10131"/>
      <c r="AR13" s="10133"/>
      <c r="AS13" s="1727" t="s">
        <v>23</v>
      </c>
      <c r="AT13" s="63" t="s">
        <v>24</v>
      </c>
      <c r="AU13" s="64" t="s">
        <v>25</v>
      </c>
      <c r="AW13" s="54"/>
    </row>
    <row r="14" spans="1:49" ht="27" thickBot="1">
      <c r="A14" s="50"/>
      <c r="B14" s="65" t="s">
        <v>26</v>
      </c>
      <c r="C14" s="66"/>
      <c r="D14" s="66"/>
      <c r="E14" s="66"/>
      <c r="F14" s="66"/>
      <c r="G14" s="67"/>
      <c r="H14" s="70"/>
      <c r="I14" s="70"/>
      <c r="J14" s="70"/>
      <c r="K14" s="70"/>
      <c r="L14" s="70"/>
      <c r="M14" s="67"/>
      <c r="N14" s="1728"/>
      <c r="O14" s="67"/>
      <c r="P14" s="1728"/>
      <c r="Q14" s="67"/>
      <c r="R14" s="2167"/>
      <c r="S14" s="71"/>
      <c r="T14" s="71"/>
      <c r="U14" s="71"/>
      <c r="V14" s="2168"/>
      <c r="W14" s="71"/>
      <c r="X14" s="71"/>
      <c r="Y14" s="71"/>
      <c r="Z14" s="71"/>
      <c r="AA14" s="71"/>
      <c r="AB14" s="71"/>
      <c r="AC14" s="71"/>
      <c r="AD14" s="71"/>
      <c r="AE14" s="71"/>
      <c r="AF14" s="71"/>
      <c r="AG14" s="71"/>
      <c r="AH14" s="71"/>
      <c r="AI14" s="71"/>
      <c r="AJ14" s="71"/>
      <c r="AK14" s="71"/>
      <c r="AL14" s="71"/>
      <c r="AM14" s="71"/>
      <c r="AN14" s="72"/>
      <c r="AO14" s="73"/>
      <c r="AP14" s="73"/>
      <c r="AQ14" s="73"/>
      <c r="AR14" s="73"/>
      <c r="AS14" s="74"/>
      <c r="AT14" s="74"/>
      <c r="AU14" s="75"/>
      <c r="AW14" s="54"/>
    </row>
    <row r="15" spans="1:49" ht="25.9" hidden="1" customHeight="1" outlineLevel="1" thickBot="1">
      <c r="B15" s="76" t="s">
        <v>29</v>
      </c>
      <c r="C15" s="77"/>
      <c r="D15" s="77"/>
      <c r="E15" s="77"/>
      <c r="F15" s="77"/>
      <c r="G15" s="78"/>
      <c r="H15" s="81"/>
      <c r="I15" s="81"/>
      <c r="J15" s="81"/>
      <c r="K15" s="81"/>
      <c r="L15" s="81"/>
      <c r="M15" s="77"/>
      <c r="N15" s="1729"/>
      <c r="O15" s="77"/>
      <c r="P15" s="1729"/>
      <c r="Q15" s="77"/>
      <c r="R15" s="2169"/>
      <c r="S15" s="82"/>
      <c r="T15" s="82"/>
      <c r="U15" s="82"/>
      <c r="V15" s="2170"/>
      <c r="W15" s="82"/>
      <c r="X15" s="82"/>
      <c r="Y15" s="82"/>
      <c r="Z15" s="82"/>
      <c r="AA15" s="82"/>
      <c r="AB15" s="82"/>
      <c r="AC15" s="82"/>
      <c r="AD15" s="82"/>
      <c r="AE15" s="82"/>
      <c r="AF15" s="82"/>
      <c r="AG15" s="82"/>
      <c r="AH15" s="82"/>
      <c r="AI15" s="82"/>
      <c r="AJ15" s="82"/>
      <c r="AK15" s="82"/>
      <c r="AL15" s="82"/>
      <c r="AM15" s="82"/>
      <c r="AN15" s="77"/>
      <c r="AO15" s="82"/>
      <c r="AP15" s="82"/>
      <c r="AQ15" s="82"/>
      <c r="AR15" s="82"/>
      <c r="AS15" s="82"/>
      <c r="AT15" s="82"/>
      <c r="AU15" s="83"/>
    </row>
    <row r="16" spans="1:49" ht="20.100000000000001" hidden="1" customHeight="1" outlineLevel="1">
      <c r="A16" s="50"/>
      <c r="B16" s="84"/>
      <c r="C16" s="10109" t="s">
        <v>32</v>
      </c>
      <c r="D16" s="10110"/>
      <c r="E16" s="10110"/>
      <c r="F16" s="10111"/>
      <c r="G16" s="91" t="s">
        <v>33</v>
      </c>
      <c r="H16" s="92">
        <v>620645.63070700003</v>
      </c>
      <c r="I16" s="95"/>
      <c r="J16" s="92">
        <v>682681.904094</v>
      </c>
      <c r="K16" s="92"/>
      <c r="L16" s="228"/>
      <c r="M16" s="158"/>
      <c r="N16" s="1730"/>
      <c r="O16" s="158"/>
      <c r="P16" s="1730"/>
      <c r="Q16" s="5300"/>
      <c r="R16" s="5321"/>
      <c r="S16" s="5313"/>
      <c r="T16" s="1731"/>
      <c r="U16" s="5773"/>
      <c r="V16" s="5322"/>
      <c r="W16" s="5313"/>
      <c r="X16" s="1731"/>
      <c r="Y16" s="1731"/>
      <c r="Z16" s="1731"/>
      <c r="AA16" s="1731"/>
      <c r="AB16" s="1731"/>
      <c r="AC16" s="1731"/>
      <c r="AD16" s="1731"/>
      <c r="AE16" s="1731"/>
      <c r="AF16" s="1731"/>
      <c r="AG16" s="1731"/>
      <c r="AH16" s="1731"/>
      <c r="AI16" s="1731"/>
      <c r="AJ16" s="1731"/>
      <c r="AK16" s="1731"/>
      <c r="AL16" s="1731"/>
      <c r="AM16" s="1731"/>
      <c r="AN16" s="98"/>
      <c r="AO16" s="99" t="s">
        <v>37</v>
      </c>
      <c r="AP16" s="100"/>
      <c r="AQ16" s="100"/>
      <c r="AR16" s="99"/>
      <c r="AS16" s="101"/>
      <c r="AT16" s="101"/>
      <c r="AU16" s="102"/>
      <c r="AV16" s="18"/>
      <c r="AW16" s="54"/>
    </row>
    <row r="17" spans="2:48" ht="20.100000000000001" hidden="1" customHeight="1" outlineLevel="1">
      <c r="B17" s="84"/>
      <c r="C17" s="10103" t="s">
        <v>38</v>
      </c>
      <c r="D17" s="10104"/>
      <c r="E17" s="10104"/>
      <c r="F17" s="10105"/>
      <c r="G17" s="109" t="s">
        <v>33</v>
      </c>
      <c r="H17" s="92">
        <v>3164846.7449019998</v>
      </c>
      <c r="I17" s="95"/>
      <c r="J17" s="92">
        <v>2918786.482394</v>
      </c>
      <c r="K17" s="92"/>
      <c r="L17" s="228"/>
      <c r="M17" s="158"/>
      <c r="N17" s="1730"/>
      <c r="O17" s="158"/>
      <c r="P17" s="1730"/>
      <c r="Q17" s="5300"/>
      <c r="R17" s="5321"/>
      <c r="S17" s="5313"/>
      <c r="T17" s="1731"/>
      <c r="U17" s="5773"/>
      <c r="V17" s="5322"/>
      <c r="W17" s="5313"/>
      <c r="X17" s="1731"/>
      <c r="Y17" s="1731"/>
      <c r="Z17" s="1731"/>
      <c r="AA17" s="1731"/>
      <c r="AB17" s="1731"/>
      <c r="AC17" s="1731"/>
      <c r="AD17" s="1731"/>
      <c r="AE17" s="1731"/>
      <c r="AF17" s="1731"/>
      <c r="AG17" s="1731"/>
      <c r="AH17" s="1731"/>
      <c r="AI17" s="1731"/>
      <c r="AJ17" s="1731"/>
      <c r="AK17" s="1731"/>
      <c r="AL17" s="1731"/>
      <c r="AM17" s="1731"/>
      <c r="AN17" s="98"/>
      <c r="AO17" s="99" t="s">
        <v>37</v>
      </c>
      <c r="AP17" s="100"/>
      <c r="AQ17" s="100"/>
      <c r="AR17" s="99"/>
      <c r="AS17" s="110"/>
      <c r="AT17" s="111"/>
      <c r="AU17" s="112"/>
      <c r="AV17" s="18"/>
    </row>
    <row r="18" spans="2:48" ht="20.100000000000001" hidden="1" customHeight="1" outlineLevel="1">
      <c r="B18" s="113"/>
      <c r="C18" s="10103" t="s">
        <v>40</v>
      </c>
      <c r="D18" s="10104"/>
      <c r="E18" s="10104"/>
      <c r="F18" s="10105"/>
      <c r="G18" s="109" t="s">
        <v>33</v>
      </c>
      <c r="H18" s="92">
        <v>3785492.3756090002</v>
      </c>
      <c r="I18" s="95"/>
      <c r="J18" s="92">
        <v>3601468.3864879999</v>
      </c>
      <c r="K18" s="92"/>
      <c r="L18" s="228"/>
      <c r="M18" s="158"/>
      <c r="N18" s="1730"/>
      <c r="O18" s="158"/>
      <c r="P18" s="1730"/>
      <c r="Q18" s="5300"/>
      <c r="R18" s="5321"/>
      <c r="S18" s="5313"/>
      <c r="T18" s="1731"/>
      <c r="U18" s="5773"/>
      <c r="V18" s="5322"/>
      <c r="W18" s="5313"/>
      <c r="X18" s="1731"/>
      <c r="Y18" s="1731"/>
      <c r="Z18" s="1731"/>
      <c r="AA18" s="1731"/>
      <c r="AB18" s="1731"/>
      <c r="AC18" s="1731"/>
      <c r="AD18" s="1731"/>
      <c r="AE18" s="1731"/>
      <c r="AF18" s="1731"/>
      <c r="AG18" s="1731"/>
      <c r="AH18" s="1731"/>
      <c r="AI18" s="1731"/>
      <c r="AJ18" s="1731"/>
      <c r="AK18" s="1731"/>
      <c r="AL18" s="1731"/>
      <c r="AM18" s="1731"/>
      <c r="AN18" s="98"/>
      <c r="AO18" s="99" t="s">
        <v>37</v>
      </c>
      <c r="AP18" s="100"/>
      <c r="AQ18" s="100"/>
      <c r="AR18" s="99"/>
      <c r="AS18" s="110"/>
      <c r="AT18" s="114" t="s">
        <v>42</v>
      </c>
      <c r="AU18" s="112"/>
      <c r="AV18" s="18"/>
    </row>
    <row r="19" spans="2:48" ht="20.100000000000001" hidden="1" customHeight="1" outlineLevel="1">
      <c r="B19" s="84"/>
      <c r="C19" s="10103" t="s">
        <v>43</v>
      </c>
      <c r="D19" s="10104"/>
      <c r="E19" s="10104"/>
      <c r="F19" s="10105"/>
      <c r="G19" s="109" t="s">
        <v>33</v>
      </c>
      <c r="H19" s="92">
        <v>975423.22236100002</v>
      </c>
      <c r="I19" s="95"/>
      <c r="J19" s="92">
        <v>1238638.1151690001</v>
      </c>
      <c r="K19" s="92"/>
      <c r="L19" s="228"/>
      <c r="M19" s="158"/>
      <c r="N19" s="1730"/>
      <c r="O19" s="158"/>
      <c r="P19" s="1730"/>
      <c r="Q19" s="5300"/>
      <c r="R19" s="5321"/>
      <c r="S19" s="5313"/>
      <c r="T19" s="1731"/>
      <c r="U19" s="5773"/>
      <c r="V19" s="5322"/>
      <c r="W19" s="5313"/>
      <c r="X19" s="1731"/>
      <c r="Y19" s="1731"/>
      <c r="Z19" s="1731"/>
      <c r="AA19" s="1731"/>
      <c r="AB19" s="1731"/>
      <c r="AC19" s="1731"/>
      <c r="AD19" s="1731"/>
      <c r="AE19" s="1731"/>
      <c r="AF19" s="1731"/>
      <c r="AG19" s="1731"/>
      <c r="AH19" s="1731"/>
      <c r="AI19" s="1731"/>
      <c r="AJ19" s="1731"/>
      <c r="AK19" s="1731"/>
      <c r="AL19" s="1731"/>
      <c r="AM19" s="1731"/>
      <c r="AN19" s="98"/>
      <c r="AO19" s="99" t="s">
        <v>37</v>
      </c>
      <c r="AP19" s="100"/>
      <c r="AQ19" s="100"/>
      <c r="AR19" s="99"/>
      <c r="AS19" s="110"/>
      <c r="AT19" s="111"/>
      <c r="AU19" s="112"/>
      <c r="AV19" s="18"/>
    </row>
    <row r="20" spans="2:48" ht="20.100000000000001" hidden="1" customHeight="1" outlineLevel="1">
      <c r="B20" s="84"/>
      <c r="C20" s="10103" t="s">
        <v>45</v>
      </c>
      <c r="D20" s="10104"/>
      <c r="E20" s="10104"/>
      <c r="F20" s="10105"/>
      <c r="G20" s="109" t="s">
        <v>33</v>
      </c>
      <c r="H20" s="92">
        <v>2508783.7857059999</v>
      </c>
      <c r="I20" s="95"/>
      <c r="J20" s="92">
        <v>1969740.930624</v>
      </c>
      <c r="K20" s="92"/>
      <c r="L20" s="228"/>
      <c r="M20" s="158"/>
      <c r="N20" s="1730"/>
      <c r="O20" s="158"/>
      <c r="P20" s="1730"/>
      <c r="Q20" s="5300"/>
      <c r="R20" s="5321"/>
      <c r="S20" s="5313"/>
      <c r="T20" s="1731"/>
      <c r="U20" s="5773"/>
      <c r="V20" s="5322"/>
      <c r="W20" s="5313"/>
      <c r="X20" s="1731"/>
      <c r="Y20" s="1731"/>
      <c r="Z20" s="1731"/>
      <c r="AA20" s="1731"/>
      <c r="AB20" s="1731"/>
      <c r="AC20" s="1731"/>
      <c r="AD20" s="1731"/>
      <c r="AE20" s="1731"/>
      <c r="AF20" s="1731"/>
      <c r="AG20" s="1731"/>
      <c r="AH20" s="1731"/>
      <c r="AI20" s="1731"/>
      <c r="AJ20" s="1731"/>
      <c r="AK20" s="1731"/>
      <c r="AL20" s="1731"/>
      <c r="AM20" s="1731"/>
      <c r="AN20" s="98"/>
      <c r="AO20" s="99" t="s">
        <v>37</v>
      </c>
      <c r="AP20" s="100"/>
      <c r="AQ20" s="100"/>
      <c r="AR20" s="99"/>
      <c r="AS20" s="110"/>
      <c r="AT20" s="111"/>
      <c r="AU20" s="112"/>
      <c r="AV20" s="18"/>
    </row>
    <row r="21" spans="2:48" ht="20.100000000000001" hidden="1" customHeight="1" outlineLevel="1">
      <c r="B21" s="113"/>
      <c r="C21" s="10103" t="s">
        <v>47</v>
      </c>
      <c r="D21" s="10104"/>
      <c r="E21" s="10104"/>
      <c r="F21" s="10105"/>
      <c r="G21" s="109" t="s">
        <v>33</v>
      </c>
      <c r="H21" s="92">
        <v>3484207.0080670002</v>
      </c>
      <c r="I21" s="95"/>
      <c r="J21" s="92">
        <v>3208379.0457930001</v>
      </c>
      <c r="K21" s="92"/>
      <c r="L21" s="228"/>
      <c r="M21" s="158"/>
      <c r="N21" s="1730"/>
      <c r="O21" s="158"/>
      <c r="P21" s="1730"/>
      <c r="Q21" s="5300"/>
      <c r="R21" s="5321"/>
      <c r="S21" s="5313"/>
      <c r="T21" s="1731"/>
      <c r="U21" s="5773"/>
      <c r="V21" s="5322"/>
      <c r="W21" s="5313"/>
      <c r="X21" s="1731"/>
      <c r="Y21" s="1731"/>
      <c r="Z21" s="1731"/>
      <c r="AA21" s="1731"/>
      <c r="AB21" s="1731"/>
      <c r="AC21" s="1731"/>
      <c r="AD21" s="1731"/>
      <c r="AE21" s="1731"/>
      <c r="AF21" s="1731"/>
      <c r="AG21" s="1731"/>
      <c r="AH21" s="1731"/>
      <c r="AI21" s="1731"/>
      <c r="AJ21" s="1731"/>
      <c r="AK21" s="1731"/>
      <c r="AL21" s="1731"/>
      <c r="AM21" s="1731"/>
      <c r="AN21" s="98"/>
      <c r="AO21" s="99" t="s">
        <v>37</v>
      </c>
      <c r="AP21" s="100"/>
      <c r="AQ21" s="100"/>
      <c r="AR21" s="99"/>
      <c r="AS21" s="110"/>
      <c r="AT21" s="114" t="s">
        <v>42</v>
      </c>
      <c r="AU21" s="112"/>
      <c r="AV21" s="18"/>
    </row>
    <row r="22" spans="2:48" ht="20.100000000000001" hidden="1" customHeight="1" outlineLevel="1">
      <c r="B22" s="84"/>
      <c r="C22" s="10103" t="s">
        <v>49</v>
      </c>
      <c r="D22" s="10104"/>
      <c r="E22" s="10104"/>
      <c r="F22" s="10105"/>
      <c r="G22" s="109" t="s">
        <v>33</v>
      </c>
      <c r="H22" s="92">
        <v>225247.92629500001</v>
      </c>
      <c r="I22" s="95"/>
      <c r="J22" s="92">
        <v>376320.42445200001</v>
      </c>
      <c r="K22" s="92"/>
      <c r="L22" s="228"/>
      <c r="M22" s="158"/>
      <c r="N22" s="1730"/>
      <c r="O22" s="158"/>
      <c r="P22" s="1730"/>
      <c r="Q22" s="5300"/>
      <c r="R22" s="5321"/>
      <c r="S22" s="5313"/>
      <c r="T22" s="1731"/>
      <c r="U22" s="5773"/>
      <c r="V22" s="5322"/>
      <c r="W22" s="5313"/>
      <c r="X22" s="1731"/>
      <c r="Y22" s="1731"/>
      <c r="Z22" s="1731"/>
      <c r="AA22" s="1731"/>
      <c r="AB22" s="1731"/>
      <c r="AC22" s="1731"/>
      <c r="AD22" s="1731"/>
      <c r="AE22" s="1731"/>
      <c r="AF22" s="1731"/>
      <c r="AG22" s="1731"/>
      <c r="AH22" s="1731"/>
      <c r="AI22" s="1731"/>
      <c r="AJ22" s="1731"/>
      <c r="AK22" s="1731"/>
      <c r="AL22" s="1731"/>
      <c r="AM22" s="1731"/>
      <c r="AN22" s="98"/>
      <c r="AO22" s="99" t="s">
        <v>37</v>
      </c>
      <c r="AP22" s="100"/>
      <c r="AQ22" s="100"/>
      <c r="AR22" s="99"/>
      <c r="AS22" s="110"/>
      <c r="AT22" s="111"/>
      <c r="AU22" s="112"/>
      <c r="AV22" s="18"/>
    </row>
    <row r="23" spans="2:48" ht="20.100000000000001" hidden="1" customHeight="1" outlineLevel="1">
      <c r="B23" s="113"/>
      <c r="C23" s="10103" t="s">
        <v>51</v>
      </c>
      <c r="D23" s="10104"/>
      <c r="E23" s="10104"/>
      <c r="F23" s="10105"/>
      <c r="G23" s="109" t="s">
        <v>33</v>
      </c>
      <c r="H23" s="92">
        <v>301285.36754200002</v>
      </c>
      <c r="I23" s="95"/>
      <c r="J23" s="92">
        <v>393089.34069500002</v>
      </c>
      <c r="K23" s="92"/>
      <c r="L23" s="228"/>
      <c r="M23" s="158"/>
      <c r="N23" s="1730"/>
      <c r="O23" s="158"/>
      <c r="P23" s="1730"/>
      <c r="Q23" s="5300"/>
      <c r="R23" s="5321"/>
      <c r="S23" s="5313"/>
      <c r="T23" s="1731"/>
      <c r="U23" s="5773"/>
      <c r="V23" s="5322"/>
      <c r="W23" s="5313"/>
      <c r="X23" s="1731"/>
      <c r="Y23" s="1731"/>
      <c r="Z23" s="1731"/>
      <c r="AA23" s="1731"/>
      <c r="AB23" s="1731"/>
      <c r="AC23" s="1731"/>
      <c r="AD23" s="1731"/>
      <c r="AE23" s="1731"/>
      <c r="AF23" s="1731"/>
      <c r="AG23" s="1731"/>
      <c r="AH23" s="1731"/>
      <c r="AI23" s="1731"/>
      <c r="AJ23" s="1731"/>
      <c r="AK23" s="1731"/>
      <c r="AL23" s="1731"/>
      <c r="AM23" s="1731"/>
      <c r="AN23" s="98"/>
      <c r="AO23" s="99" t="s">
        <v>37</v>
      </c>
      <c r="AP23" s="100"/>
      <c r="AQ23" s="100"/>
      <c r="AR23" s="99"/>
      <c r="AS23" s="110"/>
      <c r="AT23" s="114" t="s">
        <v>42</v>
      </c>
      <c r="AU23" s="112"/>
      <c r="AV23" s="18"/>
    </row>
    <row r="24" spans="2:48" ht="20.100000000000001" hidden="1" customHeight="1" outlineLevel="1" thickBot="1">
      <c r="B24" s="84"/>
      <c r="C24" s="10106" t="s">
        <v>53</v>
      </c>
      <c r="D24" s="10107"/>
      <c r="E24" s="10107"/>
      <c r="F24" s="10108"/>
      <c r="G24" s="122" t="s">
        <v>33</v>
      </c>
      <c r="H24" s="92">
        <v>3785492.3756090002</v>
      </c>
      <c r="I24" s="95"/>
      <c r="J24" s="92">
        <v>3601468.3864879999</v>
      </c>
      <c r="K24" s="92"/>
      <c r="L24" s="228"/>
      <c r="M24" s="158"/>
      <c r="N24" s="1730"/>
      <c r="O24" s="158"/>
      <c r="P24" s="1730"/>
      <c r="Q24" s="5300"/>
      <c r="R24" s="5321"/>
      <c r="S24" s="5313"/>
      <c r="T24" s="1731"/>
      <c r="U24" s="5773"/>
      <c r="V24" s="5322"/>
      <c r="W24" s="5313"/>
      <c r="X24" s="1731"/>
      <c r="Y24" s="1731"/>
      <c r="Z24" s="1731"/>
      <c r="AA24" s="1731"/>
      <c r="AB24" s="1731"/>
      <c r="AC24" s="1731"/>
      <c r="AD24" s="1731"/>
      <c r="AE24" s="1731"/>
      <c r="AF24" s="1731"/>
      <c r="AG24" s="1731"/>
      <c r="AH24" s="1731"/>
      <c r="AI24" s="1731"/>
      <c r="AJ24" s="1731"/>
      <c r="AK24" s="1731"/>
      <c r="AL24" s="1731"/>
      <c r="AM24" s="1731"/>
      <c r="AN24" s="98"/>
      <c r="AO24" s="99" t="s">
        <v>37</v>
      </c>
      <c r="AP24" s="100"/>
      <c r="AQ24" s="100"/>
      <c r="AR24" s="99"/>
      <c r="AS24" s="110"/>
      <c r="AT24" s="111"/>
      <c r="AU24" s="112"/>
      <c r="AV24" s="18"/>
    </row>
    <row r="25" spans="2:48" ht="25.9" hidden="1" customHeight="1" outlineLevel="1" thickBot="1">
      <c r="B25" s="123" t="s">
        <v>55</v>
      </c>
      <c r="C25" s="124"/>
      <c r="D25" s="124"/>
      <c r="E25" s="124"/>
      <c r="F25" s="124"/>
      <c r="G25" s="78"/>
      <c r="H25" s="1732"/>
      <c r="I25" s="1732"/>
      <c r="J25" s="1732"/>
      <c r="K25" s="1732"/>
      <c r="L25" s="1732"/>
      <c r="M25" s="1733"/>
      <c r="N25" s="1734"/>
      <c r="O25" s="1733"/>
      <c r="P25" s="1734"/>
      <c r="Q25" s="1733"/>
      <c r="R25" s="2175"/>
      <c r="S25" s="148"/>
      <c r="T25" s="148"/>
      <c r="U25" s="148"/>
      <c r="V25" s="2176"/>
      <c r="W25" s="148"/>
      <c r="X25" s="148"/>
      <c r="Y25" s="148"/>
      <c r="Z25" s="148"/>
      <c r="AA25" s="148"/>
      <c r="AB25" s="148"/>
      <c r="AC25" s="148"/>
      <c r="AD25" s="148"/>
      <c r="AE25" s="148"/>
      <c r="AF25" s="148"/>
      <c r="AG25" s="148"/>
      <c r="AH25" s="148"/>
      <c r="AI25" s="148"/>
      <c r="AJ25" s="148"/>
      <c r="AK25" s="148"/>
      <c r="AL25" s="148"/>
      <c r="AM25" s="148"/>
      <c r="AN25" s="80"/>
      <c r="AO25" s="129"/>
      <c r="AP25" s="129"/>
      <c r="AQ25" s="129"/>
      <c r="AR25" s="129"/>
      <c r="AS25" s="130"/>
      <c r="AT25" s="130"/>
      <c r="AU25" s="131"/>
    </row>
    <row r="26" spans="2:48" s="139" customFormat="1" ht="20.100000000000001" hidden="1" customHeight="1" outlineLevel="1">
      <c r="B26" s="113"/>
      <c r="C26" s="85" t="s">
        <v>1747</v>
      </c>
      <c r="D26" s="86"/>
      <c r="E26" s="86"/>
      <c r="F26" s="1735"/>
      <c r="G26" s="136" t="s">
        <v>33</v>
      </c>
      <c r="H26" s="92">
        <v>736315</v>
      </c>
      <c r="I26" s="95"/>
      <c r="J26" s="92">
        <v>1281306</v>
      </c>
      <c r="K26" s="92"/>
      <c r="L26" s="1736"/>
      <c r="M26" s="158"/>
      <c r="N26" s="1730"/>
      <c r="O26" s="158"/>
      <c r="P26" s="1730"/>
      <c r="Q26" s="5300"/>
      <c r="R26" s="5321"/>
      <c r="S26" s="5313"/>
      <c r="T26" s="1731"/>
      <c r="U26" s="5773"/>
      <c r="V26" s="5322"/>
      <c r="W26" s="5313"/>
      <c r="X26" s="1731"/>
      <c r="Y26" s="1731"/>
      <c r="Z26" s="1731"/>
      <c r="AA26" s="1731"/>
      <c r="AB26" s="1731"/>
      <c r="AC26" s="1731"/>
      <c r="AD26" s="1731"/>
      <c r="AE26" s="1731"/>
      <c r="AF26" s="1731"/>
      <c r="AG26" s="1731"/>
      <c r="AH26" s="1731"/>
      <c r="AI26" s="1731"/>
      <c r="AJ26" s="1731"/>
      <c r="AK26" s="1731"/>
      <c r="AL26" s="1731"/>
      <c r="AM26" s="1731"/>
      <c r="AN26" s="98"/>
      <c r="AO26" s="99" t="s">
        <v>37</v>
      </c>
      <c r="AP26" s="138"/>
      <c r="AQ26" s="138"/>
      <c r="AR26" s="99"/>
      <c r="AS26" s="110"/>
      <c r="AT26" s="114" t="s">
        <v>42</v>
      </c>
      <c r="AU26" s="112"/>
      <c r="AV26" s="10"/>
    </row>
    <row r="27" spans="2:48" s="139" customFormat="1" ht="20.100000000000001" hidden="1" customHeight="1" outlineLevel="1">
      <c r="B27" s="113"/>
      <c r="C27" s="103" t="s">
        <v>61</v>
      </c>
      <c r="D27" s="104"/>
      <c r="E27" s="104"/>
      <c r="F27" s="1362"/>
      <c r="G27" s="109" t="s">
        <v>33</v>
      </c>
      <c r="H27" s="92">
        <v>-241446</v>
      </c>
      <c r="I27" s="95"/>
      <c r="J27" s="92">
        <v>-76766</v>
      </c>
      <c r="K27" s="92"/>
      <c r="L27" s="274"/>
      <c r="M27" s="158"/>
      <c r="N27" s="1730"/>
      <c r="O27" s="158"/>
      <c r="P27" s="1730"/>
      <c r="Q27" s="5300"/>
      <c r="R27" s="5321"/>
      <c r="S27" s="5313"/>
      <c r="T27" s="1731"/>
      <c r="U27" s="5773"/>
      <c r="V27" s="5322"/>
      <c r="W27" s="5313"/>
      <c r="X27" s="1731"/>
      <c r="Y27" s="1731"/>
      <c r="Z27" s="1731"/>
      <c r="AA27" s="1731"/>
      <c r="AB27" s="1731"/>
      <c r="AC27" s="1731"/>
      <c r="AD27" s="1731"/>
      <c r="AE27" s="1731"/>
      <c r="AF27" s="1731"/>
      <c r="AG27" s="1731"/>
      <c r="AH27" s="1731"/>
      <c r="AI27" s="1731"/>
      <c r="AJ27" s="1731"/>
      <c r="AK27" s="1731"/>
      <c r="AL27" s="1731"/>
      <c r="AM27" s="1731"/>
      <c r="AN27" s="98"/>
      <c r="AO27" s="99" t="s">
        <v>37</v>
      </c>
      <c r="AP27" s="138"/>
      <c r="AQ27" s="138"/>
      <c r="AR27" s="99"/>
      <c r="AS27" s="110"/>
      <c r="AT27" s="114" t="s">
        <v>42</v>
      </c>
      <c r="AU27" s="112"/>
      <c r="AV27" s="10"/>
    </row>
    <row r="28" spans="2:48" s="139" customFormat="1" ht="20.100000000000001" hidden="1" customHeight="1" outlineLevel="1">
      <c r="B28" s="113"/>
      <c r="C28" s="103" t="s">
        <v>75</v>
      </c>
      <c r="D28" s="104"/>
      <c r="E28" s="104"/>
      <c r="F28" s="1362"/>
      <c r="G28" s="109" t="s">
        <v>33</v>
      </c>
      <c r="H28" s="92">
        <v>-338788</v>
      </c>
      <c r="I28" s="95"/>
      <c r="J28" s="92">
        <v>-214508</v>
      </c>
      <c r="K28" s="92"/>
      <c r="L28" s="274"/>
      <c r="M28" s="158"/>
      <c r="N28" s="1730"/>
      <c r="O28" s="158"/>
      <c r="P28" s="1730"/>
      <c r="Q28" s="5300"/>
      <c r="R28" s="5321"/>
      <c r="S28" s="5313"/>
      <c r="T28" s="1731"/>
      <c r="U28" s="5773"/>
      <c r="V28" s="5322"/>
      <c r="W28" s="5313"/>
      <c r="X28" s="1731"/>
      <c r="Y28" s="1731"/>
      <c r="Z28" s="1731"/>
      <c r="AA28" s="1731"/>
      <c r="AB28" s="1731"/>
      <c r="AC28" s="1731"/>
      <c r="AD28" s="1731"/>
      <c r="AE28" s="1731"/>
      <c r="AF28" s="1731"/>
      <c r="AG28" s="1731"/>
      <c r="AH28" s="1731"/>
      <c r="AI28" s="1731"/>
      <c r="AJ28" s="1731"/>
      <c r="AK28" s="1731"/>
      <c r="AL28" s="1731"/>
      <c r="AM28" s="1731"/>
      <c r="AN28" s="98"/>
      <c r="AO28" s="99" t="s">
        <v>37</v>
      </c>
      <c r="AP28" s="138"/>
      <c r="AQ28" s="138"/>
      <c r="AR28" s="99"/>
      <c r="AS28" s="110"/>
      <c r="AT28" s="114" t="s">
        <v>42</v>
      </c>
      <c r="AU28" s="112"/>
      <c r="AV28" s="10"/>
    </row>
    <row r="29" spans="2:48" ht="20.100000000000001" hidden="1" customHeight="1" outlineLevel="1">
      <c r="B29" s="84"/>
      <c r="C29" s="10103" t="s">
        <v>1748</v>
      </c>
      <c r="D29" s="10104"/>
      <c r="E29" s="10104"/>
      <c r="F29" s="10105"/>
      <c r="G29" s="109" t="s">
        <v>33</v>
      </c>
      <c r="H29" s="92">
        <v>546924</v>
      </c>
      <c r="I29" s="95"/>
      <c r="J29" s="92">
        <v>836913</v>
      </c>
      <c r="K29" s="92"/>
      <c r="L29" s="228"/>
      <c r="M29" s="158"/>
      <c r="N29" s="1730"/>
      <c r="O29" s="158"/>
      <c r="P29" s="1730"/>
      <c r="Q29" s="5300"/>
      <c r="R29" s="5321"/>
      <c r="S29" s="5313"/>
      <c r="T29" s="1731"/>
      <c r="U29" s="5773"/>
      <c r="V29" s="5322"/>
      <c r="W29" s="5313"/>
      <c r="X29" s="1731"/>
      <c r="Y29" s="1731"/>
      <c r="Z29" s="1731"/>
      <c r="AA29" s="1731"/>
      <c r="AB29" s="1731"/>
      <c r="AC29" s="1731"/>
      <c r="AD29" s="1731"/>
      <c r="AE29" s="1731"/>
      <c r="AF29" s="1731"/>
      <c r="AG29" s="1731"/>
      <c r="AH29" s="1731"/>
      <c r="AI29" s="1731"/>
      <c r="AJ29" s="1731"/>
      <c r="AK29" s="1731"/>
      <c r="AL29" s="1731"/>
      <c r="AM29" s="1731"/>
      <c r="AN29" s="98"/>
      <c r="AO29" s="99" t="s">
        <v>37</v>
      </c>
      <c r="AP29" s="138"/>
      <c r="AQ29" s="138"/>
      <c r="AR29" s="99"/>
      <c r="AS29" s="110"/>
      <c r="AT29" s="111"/>
      <c r="AU29" s="112"/>
      <c r="AV29" s="18"/>
    </row>
    <row r="30" spans="2:48" ht="20.100000000000001" hidden="1" customHeight="1" outlineLevel="1">
      <c r="B30" s="84"/>
      <c r="C30" s="10103" t="s">
        <v>1749</v>
      </c>
      <c r="D30" s="10104"/>
      <c r="E30" s="10104"/>
      <c r="F30" s="10105"/>
      <c r="G30" s="109" t="s">
        <v>33</v>
      </c>
      <c r="H30" s="92">
        <v>189391</v>
      </c>
      <c r="I30" s="95"/>
      <c r="J30" s="92">
        <v>444392</v>
      </c>
      <c r="K30" s="92"/>
      <c r="L30" s="228"/>
      <c r="M30" s="158"/>
      <c r="N30" s="1730"/>
      <c r="O30" s="158"/>
      <c r="P30" s="1730"/>
      <c r="Q30" s="5300"/>
      <c r="R30" s="5321"/>
      <c r="S30" s="5313"/>
      <c r="T30" s="1731"/>
      <c r="U30" s="5773"/>
      <c r="V30" s="5322"/>
      <c r="W30" s="5313"/>
      <c r="X30" s="1731"/>
      <c r="Y30" s="1731"/>
      <c r="Z30" s="1731"/>
      <c r="AA30" s="1731"/>
      <c r="AB30" s="1731"/>
      <c r="AC30" s="1731"/>
      <c r="AD30" s="1731"/>
      <c r="AE30" s="1731"/>
      <c r="AF30" s="1731"/>
      <c r="AG30" s="1731"/>
      <c r="AH30" s="1731"/>
      <c r="AI30" s="1731"/>
      <c r="AJ30" s="1731"/>
      <c r="AK30" s="1731"/>
      <c r="AL30" s="1731"/>
      <c r="AM30" s="1731"/>
      <c r="AN30" s="98"/>
      <c r="AO30" s="99" t="s">
        <v>37</v>
      </c>
      <c r="AP30" s="138"/>
      <c r="AQ30" s="138"/>
      <c r="AR30" s="99"/>
      <c r="AS30" s="110"/>
      <c r="AT30" s="111"/>
      <c r="AU30" s="112"/>
      <c r="AV30" s="18"/>
    </row>
    <row r="31" spans="2:48" ht="20.100000000000001" hidden="1" customHeight="1" outlineLevel="1">
      <c r="B31" s="113"/>
      <c r="C31" s="10103" t="s">
        <v>1751</v>
      </c>
      <c r="D31" s="10104"/>
      <c r="E31" s="10104"/>
      <c r="F31" s="10105"/>
      <c r="G31" s="109" t="s">
        <v>33</v>
      </c>
      <c r="H31" s="92">
        <v>430837</v>
      </c>
      <c r="I31" s="95"/>
      <c r="J31" s="92">
        <v>521158</v>
      </c>
      <c r="K31" s="92"/>
      <c r="L31" s="228"/>
      <c r="M31" s="158"/>
      <c r="N31" s="1730"/>
      <c r="O31" s="158"/>
      <c r="P31" s="1730"/>
      <c r="Q31" s="5300"/>
      <c r="R31" s="5321"/>
      <c r="S31" s="5313"/>
      <c r="T31" s="1731"/>
      <c r="U31" s="5773"/>
      <c r="V31" s="5322"/>
      <c r="W31" s="5313"/>
      <c r="X31" s="1731"/>
      <c r="Y31" s="1731"/>
      <c r="Z31" s="1731"/>
      <c r="AA31" s="1731"/>
      <c r="AB31" s="1731"/>
      <c r="AC31" s="1731"/>
      <c r="AD31" s="1731"/>
      <c r="AE31" s="1731"/>
      <c r="AF31" s="1731"/>
      <c r="AG31" s="1731"/>
      <c r="AH31" s="1731"/>
      <c r="AI31" s="1731"/>
      <c r="AJ31" s="1731"/>
      <c r="AK31" s="1731"/>
      <c r="AL31" s="1731"/>
      <c r="AM31" s="1731"/>
      <c r="AN31" s="98"/>
      <c r="AO31" s="99" t="s">
        <v>37</v>
      </c>
      <c r="AP31" s="138"/>
      <c r="AQ31" s="138"/>
      <c r="AR31" s="99"/>
      <c r="AS31" s="110"/>
      <c r="AT31" s="114" t="s">
        <v>42</v>
      </c>
      <c r="AU31" s="112"/>
      <c r="AV31" s="18"/>
    </row>
    <row r="32" spans="2:48" ht="20.100000000000001" hidden="1" customHeight="1" outlineLevel="1">
      <c r="B32" s="84"/>
      <c r="C32" s="10103" t="s">
        <v>67</v>
      </c>
      <c r="D32" s="10104"/>
      <c r="E32" s="10104"/>
      <c r="F32" s="10105"/>
      <c r="G32" s="109" t="s">
        <v>33</v>
      </c>
      <c r="H32" s="92">
        <v>-3052</v>
      </c>
      <c r="I32" s="95"/>
      <c r="J32" s="92">
        <v>-16104</v>
      </c>
      <c r="K32" s="92"/>
      <c r="L32" s="228"/>
      <c r="M32" s="158"/>
      <c r="N32" s="1730"/>
      <c r="O32" s="158"/>
      <c r="P32" s="1730"/>
      <c r="Q32" s="5300"/>
      <c r="R32" s="5321"/>
      <c r="S32" s="5313"/>
      <c r="T32" s="1731"/>
      <c r="U32" s="5773"/>
      <c r="V32" s="5322"/>
      <c r="W32" s="5313"/>
      <c r="X32" s="1731"/>
      <c r="Y32" s="1731"/>
      <c r="Z32" s="1731"/>
      <c r="AA32" s="1731"/>
      <c r="AB32" s="1731"/>
      <c r="AC32" s="1731"/>
      <c r="AD32" s="1731"/>
      <c r="AE32" s="1731"/>
      <c r="AF32" s="1731"/>
      <c r="AG32" s="1731"/>
      <c r="AH32" s="1731"/>
      <c r="AI32" s="1731"/>
      <c r="AJ32" s="1731"/>
      <c r="AK32" s="1731"/>
      <c r="AL32" s="1731"/>
      <c r="AM32" s="1731"/>
      <c r="AN32" s="98"/>
      <c r="AO32" s="99" t="s">
        <v>37</v>
      </c>
      <c r="AP32" s="138"/>
      <c r="AQ32" s="138"/>
      <c r="AR32" s="99"/>
      <c r="AS32" s="110"/>
      <c r="AT32" s="111"/>
      <c r="AU32" s="112"/>
      <c r="AV32" s="18"/>
    </row>
    <row r="33" spans="2:48" ht="20.100000000000001" hidden="1" customHeight="1" outlineLevel="1">
      <c r="B33" s="84"/>
      <c r="C33" s="10103" t="s">
        <v>63</v>
      </c>
      <c r="D33" s="10104"/>
      <c r="E33" s="10104"/>
      <c r="F33" s="10105"/>
      <c r="G33" s="109" t="s">
        <v>33</v>
      </c>
      <c r="H33" s="92">
        <v>67643</v>
      </c>
      <c r="I33" s="95"/>
      <c r="J33" s="92">
        <v>99661</v>
      </c>
      <c r="K33" s="92"/>
      <c r="L33" s="228"/>
      <c r="M33" s="158"/>
      <c r="N33" s="1730"/>
      <c r="O33" s="158"/>
      <c r="P33" s="1730"/>
      <c r="Q33" s="5300"/>
      <c r="R33" s="5321"/>
      <c r="S33" s="5313"/>
      <c r="T33" s="1731"/>
      <c r="U33" s="5773"/>
      <c r="V33" s="5322"/>
      <c r="W33" s="5313"/>
      <c r="X33" s="1731"/>
      <c r="Y33" s="1731"/>
      <c r="Z33" s="1731"/>
      <c r="AA33" s="1731"/>
      <c r="AB33" s="1731"/>
      <c r="AC33" s="1731"/>
      <c r="AD33" s="1731"/>
      <c r="AE33" s="1731"/>
      <c r="AF33" s="1731"/>
      <c r="AG33" s="1731"/>
      <c r="AH33" s="1731"/>
      <c r="AI33" s="1731"/>
      <c r="AJ33" s="1731"/>
      <c r="AK33" s="1731"/>
      <c r="AL33" s="1731"/>
      <c r="AM33" s="1731"/>
      <c r="AN33" s="98"/>
      <c r="AO33" s="99" t="s">
        <v>37</v>
      </c>
      <c r="AP33" s="138"/>
      <c r="AQ33" s="138"/>
      <c r="AR33" s="99"/>
      <c r="AS33" s="110"/>
      <c r="AT33" s="111"/>
      <c r="AU33" s="112"/>
      <c r="AV33" s="18"/>
    </row>
    <row r="34" spans="2:48" ht="20.100000000000001" hidden="1" customHeight="1" outlineLevel="1">
      <c r="B34" s="84"/>
      <c r="C34" s="10103" t="s">
        <v>65</v>
      </c>
      <c r="D34" s="10104"/>
      <c r="E34" s="10104"/>
      <c r="F34" s="10105"/>
      <c r="G34" s="109" t="s">
        <v>33</v>
      </c>
      <c r="H34" s="92">
        <v>-193588</v>
      </c>
      <c r="I34" s="95"/>
      <c r="J34" s="92">
        <v>-232593</v>
      </c>
      <c r="K34" s="92"/>
      <c r="L34" s="228"/>
      <c r="M34" s="158"/>
      <c r="N34" s="1730"/>
      <c r="O34" s="158"/>
      <c r="P34" s="1730"/>
      <c r="Q34" s="5300"/>
      <c r="R34" s="5321"/>
      <c r="S34" s="5313"/>
      <c r="T34" s="1731"/>
      <c r="U34" s="5773"/>
      <c r="V34" s="5322"/>
      <c r="W34" s="5313"/>
      <c r="X34" s="1731"/>
      <c r="Y34" s="1731"/>
      <c r="Z34" s="1731"/>
      <c r="AA34" s="1731"/>
      <c r="AB34" s="1731"/>
      <c r="AC34" s="1731"/>
      <c r="AD34" s="1731"/>
      <c r="AE34" s="1731"/>
      <c r="AF34" s="1731"/>
      <c r="AG34" s="1731"/>
      <c r="AH34" s="1731"/>
      <c r="AI34" s="1731"/>
      <c r="AJ34" s="1731"/>
      <c r="AK34" s="1731"/>
      <c r="AL34" s="1731"/>
      <c r="AM34" s="1731"/>
      <c r="AN34" s="98"/>
      <c r="AO34" s="99" t="s">
        <v>37</v>
      </c>
      <c r="AP34" s="138"/>
      <c r="AQ34" s="138"/>
      <c r="AR34" s="99"/>
      <c r="AS34" s="110"/>
      <c r="AT34" s="110"/>
      <c r="AU34" s="112"/>
      <c r="AV34" s="18"/>
    </row>
    <row r="35" spans="2:48" ht="20.100000000000001" hidden="1" customHeight="1" outlineLevel="1">
      <c r="B35" s="84"/>
      <c r="C35" s="10103" t="s">
        <v>69</v>
      </c>
      <c r="D35" s="10104"/>
      <c r="E35" s="10104"/>
      <c r="F35" s="10105"/>
      <c r="G35" s="109" t="s">
        <v>33</v>
      </c>
      <c r="H35" s="92">
        <v>-2865</v>
      </c>
      <c r="I35" s="95"/>
      <c r="J35" s="92">
        <v>-11841</v>
      </c>
      <c r="K35" s="92"/>
      <c r="L35" s="228"/>
      <c r="M35" s="158"/>
      <c r="N35" s="1730"/>
      <c r="O35" s="158"/>
      <c r="P35" s="1730"/>
      <c r="Q35" s="5300"/>
      <c r="R35" s="5321"/>
      <c r="S35" s="5313"/>
      <c r="T35" s="1731"/>
      <c r="U35" s="5773"/>
      <c r="V35" s="5322"/>
      <c r="W35" s="5313"/>
      <c r="X35" s="1731"/>
      <c r="Y35" s="1731"/>
      <c r="Z35" s="1731"/>
      <c r="AA35" s="1731"/>
      <c r="AB35" s="1731"/>
      <c r="AC35" s="1731"/>
      <c r="AD35" s="1731"/>
      <c r="AE35" s="1731"/>
      <c r="AF35" s="1731"/>
      <c r="AG35" s="1731"/>
      <c r="AH35" s="1731"/>
      <c r="AI35" s="1731"/>
      <c r="AJ35" s="1731"/>
      <c r="AK35" s="1731"/>
      <c r="AL35" s="1731"/>
      <c r="AM35" s="1731"/>
      <c r="AN35" s="98"/>
      <c r="AO35" s="99" t="s">
        <v>37</v>
      </c>
      <c r="AP35" s="138"/>
      <c r="AQ35" s="138"/>
      <c r="AR35" s="99"/>
      <c r="AS35" s="110"/>
      <c r="AT35" s="110"/>
      <c r="AU35" s="112"/>
      <c r="AV35" s="18"/>
    </row>
    <row r="36" spans="2:48" ht="20.100000000000001" hidden="1" customHeight="1" outlineLevel="1">
      <c r="B36" s="84"/>
      <c r="C36" s="10103" t="s">
        <v>71</v>
      </c>
      <c r="D36" s="10104"/>
      <c r="E36" s="10104"/>
      <c r="F36" s="10105"/>
      <c r="G36" s="136" t="s">
        <v>33</v>
      </c>
      <c r="H36" s="92">
        <v>-373308</v>
      </c>
      <c r="I36" s="95"/>
      <c r="J36" s="92">
        <v>-237643</v>
      </c>
      <c r="K36" s="92"/>
      <c r="L36" s="228"/>
      <c r="M36" s="158"/>
      <c r="N36" s="1730"/>
      <c r="O36" s="158"/>
      <c r="P36" s="1730"/>
      <c r="Q36" s="5300"/>
      <c r="R36" s="5321"/>
      <c r="S36" s="5313"/>
      <c r="T36" s="1731"/>
      <c r="U36" s="5773"/>
      <c r="V36" s="5322"/>
      <c r="W36" s="5313"/>
      <c r="X36" s="1731"/>
      <c r="Y36" s="1731"/>
      <c r="Z36" s="1731"/>
      <c r="AA36" s="1731"/>
      <c r="AB36" s="1731"/>
      <c r="AC36" s="1731"/>
      <c r="AD36" s="1731"/>
      <c r="AE36" s="1731"/>
      <c r="AF36" s="1731"/>
      <c r="AG36" s="1731"/>
      <c r="AH36" s="1731"/>
      <c r="AI36" s="1731"/>
      <c r="AJ36" s="1731"/>
      <c r="AK36" s="1731"/>
      <c r="AL36" s="1731"/>
      <c r="AM36" s="1731"/>
      <c r="AN36" s="98"/>
      <c r="AO36" s="99" t="s">
        <v>37</v>
      </c>
      <c r="AP36" s="138"/>
      <c r="AQ36" s="138"/>
      <c r="AR36" s="99"/>
      <c r="AS36" s="110"/>
      <c r="AT36" s="110"/>
      <c r="AU36" s="112"/>
      <c r="AV36" s="18"/>
    </row>
    <row r="37" spans="2:48" ht="20.100000000000001" hidden="1" customHeight="1" outlineLevel="1">
      <c r="B37" s="113"/>
      <c r="C37" s="10103" t="s">
        <v>102</v>
      </c>
      <c r="D37" s="10104"/>
      <c r="E37" s="10104"/>
      <c r="F37" s="10105"/>
      <c r="G37" s="109" t="s">
        <v>33</v>
      </c>
      <c r="H37" s="92">
        <v>34520</v>
      </c>
      <c r="I37" s="95"/>
      <c r="J37" s="92">
        <v>23136</v>
      </c>
      <c r="K37" s="92"/>
      <c r="L37" s="228"/>
      <c r="M37" s="158"/>
      <c r="N37" s="1730"/>
      <c r="O37" s="158"/>
      <c r="P37" s="1730"/>
      <c r="Q37" s="5300"/>
      <c r="R37" s="5321"/>
      <c r="S37" s="5313"/>
      <c r="T37" s="1731"/>
      <c r="U37" s="5773"/>
      <c r="V37" s="5322"/>
      <c r="W37" s="5313"/>
      <c r="X37" s="1731"/>
      <c r="Y37" s="1731"/>
      <c r="Z37" s="1731"/>
      <c r="AA37" s="1731"/>
      <c r="AB37" s="1731"/>
      <c r="AC37" s="1731"/>
      <c r="AD37" s="1731"/>
      <c r="AE37" s="1731"/>
      <c r="AF37" s="1731"/>
      <c r="AG37" s="1731"/>
      <c r="AH37" s="1731"/>
      <c r="AI37" s="1731"/>
      <c r="AJ37" s="1731"/>
      <c r="AK37" s="1731"/>
      <c r="AL37" s="1731"/>
      <c r="AM37" s="1731"/>
      <c r="AN37" s="98"/>
      <c r="AO37" s="99" t="s">
        <v>37</v>
      </c>
      <c r="AP37" s="138"/>
      <c r="AQ37" s="138"/>
      <c r="AR37" s="99"/>
      <c r="AS37" s="110"/>
      <c r="AT37" s="114" t="s">
        <v>42</v>
      </c>
      <c r="AU37" s="112"/>
      <c r="AV37" s="18"/>
    </row>
    <row r="38" spans="2:48" ht="20.100000000000001" hidden="1" customHeight="1" outlineLevel="1">
      <c r="B38" s="84"/>
      <c r="C38" s="10103" t="s">
        <v>77</v>
      </c>
      <c r="D38" s="10104"/>
      <c r="E38" s="10104"/>
      <c r="F38" s="10105"/>
      <c r="G38" s="109" t="s">
        <v>33</v>
      </c>
      <c r="H38" s="92">
        <v>35285</v>
      </c>
      <c r="I38" s="95"/>
      <c r="J38" s="92">
        <v>-22562</v>
      </c>
      <c r="K38" s="92"/>
      <c r="L38" s="228"/>
      <c r="M38" s="158"/>
      <c r="N38" s="1730"/>
      <c r="O38" s="158"/>
      <c r="P38" s="1730"/>
      <c r="Q38" s="5300"/>
      <c r="R38" s="5321"/>
      <c r="S38" s="5313"/>
      <c r="T38" s="1731"/>
      <c r="U38" s="5773"/>
      <c r="V38" s="5322"/>
      <c r="W38" s="5313"/>
      <c r="X38" s="1731"/>
      <c r="Y38" s="1731"/>
      <c r="Z38" s="1731"/>
      <c r="AA38" s="1731"/>
      <c r="AB38" s="1731"/>
      <c r="AC38" s="1731"/>
      <c r="AD38" s="1731"/>
      <c r="AE38" s="1731"/>
      <c r="AF38" s="1731"/>
      <c r="AG38" s="1731"/>
      <c r="AH38" s="1731"/>
      <c r="AI38" s="1731"/>
      <c r="AJ38" s="1731"/>
      <c r="AK38" s="1731"/>
      <c r="AL38" s="1731"/>
      <c r="AM38" s="1731"/>
      <c r="AN38" s="98"/>
      <c r="AO38" s="99" t="s">
        <v>37</v>
      </c>
      <c r="AP38" s="138"/>
      <c r="AQ38" s="138"/>
      <c r="AR38" s="99"/>
      <c r="AS38" s="110"/>
      <c r="AT38" s="110"/>
      <c r="AU38" s="112"/>
      <c r="AV38" s="18"/>
    </row>
    <row r="39" spans="2:48" ht="20.100000000000001" hidden="1" customHeight="1" outlineLevel="1" thickBot="1">
      <c r="B39" s="84"/>
      <c r="C39" s="10106" t="s">
        <v>79</v>
      </c>
      <c r="D39" s="10107"/>
      <c r="E39" s="10107"/>
      <c r="F39" s="10108"/>
      <c r="G39" s="109" t="s">
        <v>33</v>
      </c>
      <c r="H39" s="92">
        <v>-303503</v>
      </c>
      <c r="I39" s="95"/>
      <c r="J39" s="92">
        <v>-237069</v>
      </c>
      <c r="K39" s="92"/>
      <c r="L39" s="228"/>
      <c r="M39" s="158"/>
      <c r="N39" s="1730"/>
      <c r="O39" s="158"/>
      <c r="P39" s="1730"/>
      <c r="Q39" s="5300"/>
      <c r="R39" s="5321"/>
      <c r="S39" s="5313"/>
      <c r="T39" s="1731"/>
      <c r="U39" s="5773"/>
      <c r="V39" s="5322"/>
      <c r="W39" s="5313"/>
      <c r="X39" s="1731"/>
      <c r="Y39" s="1731"/>
      <c r="Z39" s="1731"/>
      <c r="AA39" s="1731"/>
      <c r="AB39" s="1731"/>
      <c r="AC39" s="1731"/>
      <c r="AD39" s="1731"/>
      <c r="AE39" s="1731"/>
      <c r="AF39" s="1731"/>
      <c r="AG39" s="1731"/>
      <c r="AH39" s="1731"/>
      <c r="AI39" s="1731"/>
      <c r="AJ39" s="1731"/>
      <c r="AK39" s="1731"/>
      <c r="AL39" s="1731"/>
      <c r="AM39" s="1731"/>
      <c r="AN39" s="98"/>
      <c r="AO39" s="99" t="s">
        <v>37</v>
      </c>
      <c r="AP39" s="138"/>
      <c r="AQ39" s="138"/>
      <c r="AR39" s="99"/>
      <c r="AS39" s="110"/>
      <c r="AT39" s="110"/>
      <c r="AU39" s="112"/>
      <c r="AV39" s="18"/>
    </row>
    <row r="40" spans="2:48" ht="25.9" hidden="1" customHeight="1" outlineLevel="1" thickBot="1">
      <c r="B40" s="123" t="s">
        <v>81</v>
      </c>
      <c r="C40" s="124"/>
      <c r="D40" s="124"/>
      <c r="E40" s="124"/>
      <c r="F40" s="124"/>
      <c r="G40" s="78"/>
      <c r="H40" s="1732"/>
      <c r="I40" s="1732"/>
      <c r="J40" s="1732"/>
      <c r="K40" s="1732"/>
      <c r="L40" s="1732"/>
      <c r="M40" s="1733"/>
      <c r="N40" s="1734"/>
      <c r="O40" s="1733"/>
      <c r="P40" s="1734"/>
      <c r="Q40" s="1733"/>
      <c r="R40" s="2175"/>
      <c r="S40" s="148"/>
      <c r="T40" s="148"/>
      <c r="U40" s="148"/>
      <c r="V40" s="2176"/>
      <c r="W40" s="148"/>
      <c r="X40" s="148"/>
      <c r="Y40" s="148"/>
      <c r="Z40" s="148"/>
      <c r="AA40" s="148"/>
      <c r="AB40" s="148"/>
      <c r="AC40" s="148"/>
      <c r="AD40" s="148"/>
      <c r="AE40" s="148"/>
      <c r="AF40" s="148"/>
      <c r="AG40" s="148"/>
      <c r="AH40" s="148"/>
      <c r="AI40" s="148"/>
      <c r="AJ40" s="148"/>
      <c r="AK40" s="148"/>
      <c r="AL40" s="148"/>
      <c r="AM40" s="148"/>
      <c r="AN40" s="80"/>
      <c r="AO40" s="129"/>
      <c r="AP40" s="129"/>
      <c r="AQ40" s="129"/>
      <c r="AR40" s="129"/>
      <c r="AS40" s="130"/>
      <c r="AT40" s="130"/>
      <c r="AU40" s="131"/>
    </row>
    <row r="41" spans="2:48" ht="20.100000000000001" hidden="1" customHeight="1" outlineLevel="1">
      <c r="B41" s="84"/>
      <c r="C41" s="10109" t="s">
        <v>32</v>
      </c>
      <c r="D41" s="10110"/>
      <c r="E41" s="10110"/>
      <c r="F41" s="10111"/>
      <c r="G41" s="109" t="s">
        <v>33</v>
      </c>
      <c r="H41" s="157"/>
      <c r="I41" s="157"/>
      <c r="J41" s="158"/>
      <c r="K41" s="158"/>
      <c r="L41" s="158"/>
      <c r="M41" s="92">
        <v>447740</v>
      </c>
      <c r="N41" s="151"/>
      <c r="O41" s="92">
        <v>563407</v>
      </c>
      <c r="P41" s="151"/>
      <c r="Q41" s="2350"/>
      <c r="R41" s="2186"/>
      <c r="S41" s="2111"/>
      <c r="T41" s="100"/>
      <c r="U41" s="2349"/>
      <c r="V41" s="2187"/>
      <c r="W41" s="2111"/>
      <c r="X41" s="92"/>
      <c r="Y41" s="100"/>
      <c r="Z41" s="92"/>
      <c r="AA41" s="100"/>
      <c r="AB41" s="100"/>
      <c r="AC41" s="100"/>
      <c r="AD41" s="100"/>
      <c r="AE41" s="100"/>
      <c r="AF41" s="100"/>
      <c r="AG41" s="100"/>
      <c r="AH41" s="100"/>
      <c r="AI41" s="100"/>
      <c r="AJ41" s="100"/>
      <c r="AK41" s="100"/>
      <c r="AL41" s="100"/>
      <c r="AM41" s="100"/>
      <c r="AN41" s="98"/>
      <c r="AO41" s="99" t="s">
        <v>37</v>
      </c>
      <c r="AP41" s="138"/>
      <c r="AQ41" s="138"/>
      <c r="AR41" s="99"/>
      <c r="AS41" s="110"/>
      <c r="AT41" s="154"/>
      <c r="AU41" s="112"/>
      <c r="AV41" s="18"/>
    </row>
    <row r="42" spans="2:48" ht="20.100000000000001" hidden="1" customHeight="1" outlineLevel="1">
      <c r="B42" s="84"/>
      <c r="C42" s="10103" t="s">
        <v>38</v>
      </c>
      <c r="D42" s="10104"/>
      <c r="E42" s="10104"/>
      <c r="F42" s="10105"/>
      <c r="G42" s="109" t="s">
        <v>33</v>
      </c>
      <c r="H42" s="158"/>
      <c r="I42" s="158"/>
      <c r="J42" s="158"/>
      <c r="K42" s="158"/>
      <c r="L42" s="158"/>
      <c r="M42" s="92">
        <v>1571781</v>
      </c>
      <c r="N42" s="151"/>
      <c r="O42" s="92">
        <v>1429245</v>
      </c>
      <c r="P42" s="151"/>
      <c r="Q42" s="2350"/>
      <c r="R42" s="2186"/>
      <c r="S42" s="2111"/>
      <c r="T42" s="100"/>
      <c r="U42" s="2349"/>
      <c r="V42" s="2187"/>
      <c r="W42" s="2111"/>
      <c r="X42" s="92"/>
      <c r="Y42" s="100"/>
      <c r="Z42" s="92"/>
      <c r="AA42" s="100"/>
      <c r="AB42" s="100"/>
      <c r="AC42" s="100"/>
      <c r="AD42" s="100"/>
      <c r="AE42" s="100"/>
      <c r="AF42" s="100"/>
      <c r="AG42" s="100"/>
      <c r="AH42" s="100"/>
      <c r="AI42" s="100"/>
      <c r="AJ42" s="100"/>
      <c r="AK42" s="100"/>
      <c r="AL42" s="100"/>
      <c r="AM42" s="100"/>
      <c r="AN42" s="98"/>
      <c r="AO42" s="99" t="s">
        <v>37</v>
      </c>
      <c r="AP42" s="138"/>
      <c r="AQ42" s="138"/>
      <c r="AR42" s="99"/>
      <c r="AS42" s="110"/>
      <c r="AT42" s="154"/>
      <c r="AU42" s="112"/>
      <c r="AV42" s="18"/>
    </row>
    <row r="43" spans="2:48" ht="20.100000000000001" hidden="1" customHeight="1" outlineLevel="1">
      <c r="B43" s="113"/>
      <c r="C43" s="10103" t="s">
        <v>40</v>
      </c>
      <c r="D43" s="10104"/>
      <c r="E43" s="10104"/>
      <c r="F43" s="10105"/>
      <c r="G43" s="109" t="s">
        <v>33</v>
      </c>
      <c r="H43" s="158"/>
      <c r="I43" s="158"/>
      <c r="J43" s="158"/>
      <c r="K43" s="158"/>
      <c r="L43" s="158"/>
      <c r="M43" s="92">
        <v>2019522</v>
      </c>
      <c r="N43" s="151"/>
      <c r="O43" s="92">
        <v>1992652</v>
      </c>
      <c r="P43" s="151"/>
      <c r="Q43" s="2350"/>
      <c r="R43" s="2186"/>
      <c r="S43" s="2111"/>
      <c r="T43" s="100"/>
      <c r="U43" s="2349"/>
      <c r="V43" s="2187"/>
      <c r="W43" s="2111"/>
      <c r="X43" s="92"/>
      <c r="Y43" s="100"/>
      <c r="Z43" s="92"/>
      <c r="AA43" s="100"/>
      <c r="AB43" s="100"/>
      <c r="AC43" s="100"/>
      <c r="AD43" s="100"/>
      <c r="AE43" s="100"/>
      <c r="AF43" s="100"/>
      <c r="AG43" s="100"/>
      <c r="AH43" s="100"/>
      <c r="AI43" s="100"/>
      <c r="AJ43" s="100"/>
      <c r="AK43" s="100"/>
      <c r="AL43" s="100"/>
      <c r="AM43" s="100"/>
      <c r="AN43" s="98"/>
      <c r="AO43" s="99" t="s">
        <v>37</v>
      </c>
      <c r="AP43" s="138"/>
      <c r="AQ43" s="138"/>
      <c r="AR43" s="99"/>
      <c r="AS43" s="110"/>
      <c r="AT43" s="154" t="s">
        <v>42</v>
      </c>
      <c r="AU43" s="112"/>
      <c r="AV43" s="18"/>
    </row>
    <row r="44" spans="2:48" ht="20.100000000000001" hidden="1" customHeight="1" outlineLevel="1">
      <c r="B44" s="84"/>
      <c r="C44" s="10103" t="s">
        <v>43</v>
      </c>
      <c r="D44" s="10104"/>
      <c r="E44" s="10104"/>
      <c r="F44" s="10105"/>
      <c r="G44" s="109" t="s">
        <v>33</v>
      </c>
      <c r="H44" s="157"/>
      <c r="I44" s="157"/>
      <c r="J44" s="158"/>
      <c r="K44" s="158"/>
      <c r="L44" s="158"/>
      <c r="M44" s="92">
        <v>326149</v>
      </c>
      <c r="N44" s="151"/>
      <c r="O44" s="92">
        <v>618778</v>
      </c>
      <c r="P44" s="151"/>
      <c r="Q44" s="2350"/>
      <c r="R44" s="2186"/>
      <c r="S44" s="2111"/>
      <c r="T44" s="100"/>
      <c r="U44" s="2349"/>
      <c r="V44" s="2187"/>
      <c r="W44" s="2111"/>
      <c r="X44" s="92"/>
      <c r="Y44" s="100"/>
      <c r="Z44" s="92"/>
      <c r="AA44" s="100"/>
      <c r="AB44" s="100"/>
      <c r="AC44" s="100"/>
      <c r="AD44" s="100"/>
      <c r="AE44" s="100"/>
      <c r="AF44" s="100"/>
      <c r="AG44" s="100"/>
      <c r="AH44" s="100"/>
      <c r="AI44" s="100"/>
      <c r="AJ44" s="100"/>
      <c r="AK44" s="100"/>
      <c r="AL44" s="100"/>
      <c r="AM44" s="100"/>
      <c r="AN44" s="98"/>
      <c r="AO44" s="99" t="s">
        <v>37</v>
      </c>
      <c r="AP44" s="138"/>
      <c r="AQ44" s="138"/>
      <c r="AR44" s="99"/>
      <c r="AS44" s="110"/>
      <c r="AT44" s="154"/>
      <c r="AU44" s="112"/>
      <c r="AV44" s="18"/>
    </row>
    <row r="45" spans="2:48" ht="20.100000000000001" hidden="1" customHeight="1" outlineLevel="1">
      <c r="B45" s="84"/>
      <c r="C45" s="10103" t="s">
        <v>45</v>
      </c>
      <c r="D45" s="10104"/>
      <c r="E45" s="10104"/>
      <c r="F45" s="10105"/>
      <c r="G45" s="109" t="s">
        <v>33</v>
      </c>
      <c r="H45" s="158"/>
      <c r="I45" s="158"/>
      <c r="J45" s="158"/>
      <c r="K45" s="158"/>
      <c r="L45" s="158"/>
      <c r="M45" s="92">
        <v>1296392</v>
      </c>
      <c r="N45" s="151"/>
      <c r="O45" s="92">
        <v>804577</v>
      </c>
      <c r="P45" s="151"/>
      <c r="Q45" s="2350"/>
      <c r="R45" s="2186"/>
      <c r="S45" s="2111"/>
      <c r="T45" s="100"/>
      <c r="U45" s="2349"/>
      <c r="V45" s="2187"/>
      <c r="W45" s="2111"/>
      <c r="X45" s="92"/>
      <c r="Y45" s="100"/>
      <c r="Z45" s="92"/>
      <c r="AA45" s="100"/>
      <c r="AB45" s="100"/>
      <c r="AC45" s="100"/>
      <c r="AD45" s="100"/>
      <c r="AE45" s="100"/>
      <c r="AF45" s="100"/>
      <c r="AG45" s="100"/>
      <c r="AH45" s="100"/>
      <c r="AI45" s="100"/>
      <c r="AJ45" s="100"/>
      <c r="AK45" s="100"/>
      <c r="AL45" s="100"/>
      <c r="AM45" s="100"/>
      <c r="AN45" s="98"/>
      <c r="AO45" s="99" t="s">
        <v>37</v>
      </c>
      <c r="AP45" s="138"/>
      <c r="AQ45" s="138"/>
      <c r="AR45" s="99"/>
      <c r="AS45" s="110"/>
      <c r="AT45" s="154"/>
      <c r="AU45" s="112"/>
      <c r="AV45" s="18"/>
    </row>
    <row r="46" spans="2:48" ht="20.100000000000001" hidden="1" customHeight="1" outlineLevel="1">
      <c r="B46" s="113"/>
      <c r="C46" s="10103" t="s">
        <v>47</v>
      </c>
      <c r="D46" s="10104"/>
      <c r="E46" s="10104"/>
      <c r="F46" s="10105"/>
      <c r="G46" s="136" t="s">
        <v>33</v>
      </c>
      <c r="H46" s="158"/>
      <c r="I46" s="158"/>
      <c r="J46" s="158"/>
      <c r="K46" s="158"/>
      <c r="L46" s="158"/>
      <c r="M46" s="92">
        <v>1622540</v>
      </c>
      <c r="N46" s="151"/>
      <c r="O46" s="92">
        <v>1423355</v>
      </c>
      <c r="P46" s="151"/>
      <c r="Q46" s="2350"/>
      <c r="R46" s="2186"/>
      <c r="S46" s="2111"/>
      <c r="T46" s="100"/>
      <c r="U46" s="2349"/>
      <c r="V46" s="2187"/>
      <c r="W46" s="2111"/>
      <c r="X46" s="92"/>
      <c r="Y46" s="100"/>
      <c r="Z46" s="92"/>
      <c r="AA46" s="100"/>
      <c r="AB46" s="100"/>
      <c r="AC46" s="100"/>
      <c r="AD46" s="100"/>
      <c r="AE46" s="100"/>
      <c r="AF46" s="100"/>
      <c r="AG46" s="100"/>
      <c r="AH46" s="100"/>
      <c r="AI46" s="100"/>
      <c r="AJ46" s="100"/>
      <c r="AK46" s="100"/>
      <c r="AL46" s="100"/>
      <c r="AM46" s="100"/>
      <c r="AN46" s="98"/>
      <c r="AO46" s="99" t="s">
        <v>37</v>
      </c>
      <c r="AP46" s="138"/>
      <c r="AQ46" s="138"/>
      <c r="AR46" s="99"/>
      <c r="AS46" s="110"/>
      <c r="AT46" s="154" t="s">
        <v>42</v>
      </c>
      <c r="AU46" s="112"/>
      <c r="AV46" s="18"/>
    </row>
    <row r="47" spans="2:48" ht="20.100000000000001" hidden="1" customHeight="1" outlineLevel="1">
      <c r="B47" s="113"/>
      <c r="C47" s="10103" t="s">
        <v>51</v>
      </c>
      <c r="D47" s="10104"/>
      <c r="E47" s="10104"/>
      <c r="F47" s="10105"/>
      <c r="G47" s="109" t="s">
        <v>33</v>
      </c>
      <c r="H47" s="158"/>
      <c r="I47" s="158"/>
      <c r="J47" s="158"/>
      <c r="K47" s="158"/>
      <c r="L47" s="158"/>
      <c r="M47" s="92">
        <v>396981</v>
      </c>
      <c r="N47" s="151"/>
      <c r="O47" s="92">
        <v>569297</v>
      </c>
      <c r="P47" s="151"/>
      <c r="Q47" s="2350"/>
      <c r="R47" s="2186"/>
      <c r="S47" s="2111"/>
      <c r="T47" s="100"/>
      <c r="U47" s="2349"/>
      <c r="V47" s="2187"/>
      <c r="W47" s="2111"/>
      <c r="X47" s="92"/>
      <c r="Y47" s="100"/>
      <c r="Z47" s="92"/>
      <c r="AA47" s="100"/>
      <c r="AB47" s="100"/>
      <c r="AC47" s="100"/>
      <c r="AD47" s="100"/>
      <c r="AE47" s="100"/>
      <c r="AF47" s="100"/>
      <c r="AG47" s="100"/>
      <c r="AH47" s="100"/>
      <c r="AI47" s="100"/>
      <c r="AJ47" s="100"/>
      <c r="AK47" s="100"/>
      <c r="AL47" s="100"/>
      <c r="AM47" s="100"/>
      <c r="AN47" s="98"/>
      <c r="AO47" s="99" t="s">
        <v>37</v>
      </c>
      <c r="AP47" s="138"/>
      <c r="AQ47" s="138"/>
      <c r="AR47" s="99"/>
      <c r="AS47" s="110"/>
      <c r="AT47" s="154" t="s">
        <v>42</v>
      </c>
      <c r="AU47" s="112"/>
      <c r="AV47" s="18"/>
    </row>
    <row r="48" spans="2:48" ht="20.100000000000001" hidden="1" customHeight="1" outlineLevel="1" thickBot="1">
      <c r="B48" s="84"/>
      <c r="C48" s="10106" t="s">
        <v>53</v>
      </c>
      <c r="D48" s="10107"/>
      <c r="E48" s="10107"/>
      <c r="F48" s="10108"/>
      <c r="G48" s="109" t="s">
        <v>33</v>
      </c>
      <c r="H48" s="158"/>
      <c r="I48" s="158"/>
      <c r="J48" s="158"/>
      <c r="K48" s="158"/>
      <c r="L48" s="158"/>
      <c r="M48" s="92">
        <v>2019522</v>
      </c>
      <c r="N48" s="151"/>
      <c r="O48" s="92">
        <v>1992652</v>
      </c>
      <c r="P48" s="151"/>
      <c r="Q48" s="2350"/>
      <c r="R48" s="2186"/>
      <c r="S48" s="2111"/>
      <c r="T48" s="100"/>
      <c r="U48" s="2349"/>
      <c r="V48" s="2187"/>
      <c r="W48" s="2111"/>
      <c r="X48" s="92"/>
      <c r="Y48" s="100"/>
      <c r="Z48" s="92"/>
      <c r="AA48" s="100"/>
      <c r="AB48" s="100"/>
      <c r="AC48" s="100"/>
      <c r="AD48" s="100"/>
      <c r="AE48" s="100"/>
      <c r="AF48" s="100"/>
      <c r="AG48" s="100"/>
      <c r="AH48" s="100"/>
      <c r="AI48" s="100"/>
      <c r="AJ48" s="100"/>
      <c r="AK48" s="100"/>
      <c r="AL48" s="100"/>
      <c r="AM48" s="100"/>
      <c r="AN48" s="98"/>
      <c r="AO48" s="99" t="s">
        <v>37</v>
      </c>
      <c r="AP48" s="138"/>
      <c r="AQ48" s="138"/>
      <c r="AR48" s="99"/>
      <c r="AS48" s="110"/>
      <c r="AT48" s="154"/>
      <c r="AU48" s="112"/>
      <c r="AV48" s="18"/>
    </row>
    <row r="49" spans="2:48" ht="27" collapsed="1" thickBot="1">
      <c r="B49" s="123" t="s">
        <v>91</v>
      </c>
      <c r="C49" s="124"/>
      <c r="D49" s="124"/>
      <c r="E49" s="124"/>
      <c r="F49" s="124"/>
      <c r="G49" s="78"/>
      <c r="H49" s="1732"/>
      <c r="I49" s="1732"/>
      <c r="J49" s="1732"/>
      <c r="K49" s="1732"/>
      <c r="L49" s="1732"/>
      <c r="M49" s="1733"/>
      <c r="N49" s="1734"/>
      <c r="O49" s="1733"/>
      <c r="P49" s="1734"/>
      <c r="Q49" s="1733"/>
      <c r="R49" s="2175"/>
      <c r="S49" s="148"/>
      <c r="T49" s="148"/>
      <c r="U49" s="148"/>
      <c r="V49" s="2176"/>
      <c r="W49" s="148"/>
      <c r="X49" s="148"/>
      <c r="Y49" s="148"/>
      <c r="Z49" s="148"/>
      <c r="AA49" s="148"/>
      <c r="AB49" s="148"/>
      <c r="AC49" s="148"/>
      <c r="AD49" s="148"/>
      <c r="AE49" s="148"/>
      <c r="AF49" s="148"/>
      <c r="AG49" s="148"/>
      <c r="AH49" s="148"/>
      <c r="AI49" s="148"/>
      <c r="AJ49" s="148"/>
      <c r="AK49" s="148"/>
      <c r="AL49" s="148"/>
      <c r="AM49" s="148"/>
      <c r="AN49" s="80"/>
      <c r="AO49" s="129"/>
      <c r="AP49" s="129"/>
      <c r="AQ49" s="129"/>
      <c r="AR49" s="129"/>
      <c r="AS49" s="130"/>
      <c r="AT49" s="130"/>
      <c r="AU49" s="131"/>
    </row>
    <row r="50" spans="2:48" ht="20.100000000000001" hidden="1" customHeight="1" outlineLevel="1">
      <c r="B50" s="113"/>
      <c r="C50" s="10109" t="s">
        <v>1747</v>
      </c>
      <c r="D50" s="10110"/>
      <c r="E50" s="10110"/>
      <c r="F50" s="10111"/>
      <c r="G50" s="1737" t="s">
        <v>33</v>
      </c>
      <c r="H50" s="157"/>
      <c r="I50" s="157"/>
      <c r="J50" s="158"/>
      <c r="K50" s="158"/>
      <c r="L50" s="158"/>
      <c r="M50" s="92">
        <v>328613</v>
      </c>
      <c r="N50" s="151"/>
      <c r="O50" s="92">
        <v>706613</v>
      </c>
      <c r="P50" s="151"/>
      <c r="Q50" s="2350"/>
      <c r="R50" s="2186"/>
      <c r="S50" s="2111"/>
      <c r="T50" s="100"/>
      <c r="U50" s="2349"/>
      <c r="V50" s="2187"/>
      <c r="W50" s="2111"/>
      <c r="X50" s="92"/>
      <c r="Y50" s="100"/>
      <c r="Z50" s="92"/>
      <c r="AA50" s="100"/>
      <c r="AB50" s="100"/>
      <c r="AC50" s="100"/>
      <c r="AD50" s="100"/>
      <c r="AE50" s="100"/>
      <c r="AF50" s="100"/>
      <c r="AG50" s="100"/>
      <c r="AH50" s="100"/>
      <c r="AI50" s="100"/>
      <c r="AJ50" s="100"/>
      <c r="AK50" s="100"/>
      <c r="AL50" s="100"/>
      <c r="AM50" s="100"/>
      <c r="AN50" s="98"/>
      <c r="AO50" s="99" t="s">
        <v>37</v>
      </c>
      <c r="AP50" s="138"/>
      <c r="AQ50" s="138"/>
      <c r="AR50" s="99"/>
      <c r="AS50" s="111"/>
      <c r="AT50" s="154" t="s">
        <v>42</v>
      </c>
      <c r="AU50" s="159"/>
      <c r="AV50" s="18"/>
    </row>
    <row r="51" spans="2:48" ht="20.100000000000001" hidden="1" customHeight="1" outlineLevel="1">
      <c r="B51" s="84"/>
      <c r="C51" s="10103" t="s">
        <v>1748</v>
      </c>
      <c r="D51" s="10104"/>
      <c r="E51" s="10104"/>
      <c r="F51" s="10105"/>
      <c r="G51" s="1737" t="s">
        <v>33</v>
      </c>
      <c r="H51" s="158"/>
      <c r="I51" s="158"/>
      <c r="J51" s="158"/>
      <c r="K51" s="158"/>
      <c r="L51" s="158"/>
      <c r="M51" s="92">
        <v>249246</v>
      </c>
      <c r="N51" s="151"/>
      <c r="O51" s="92">
        <v>431234</v>
      </c>
      <c r="P51" s="151"/>
      <c r="Q51" s="2350"/>
      <c r="R51" s="2186"/>
      <c r="S51" s="2111"/>
      <c r="T51" s="100"/>
      <c r="U51" s="2349"/>
      <c r="V51" s="2187"/>
      <c r="W51" s="2111"/>
      <c r="X51" s="92"/>
      <c r="Y51" s="100"/>
      <c r="Z51" s="92"/>
      <c r="AA51" s="100"/>
      <c r="AB51" s="100"/>
      <c r="AC51" s="100"/>
      <c r="AD51" s="100"/>
      <c r="AE51" s="100"/>
      <c r="AF51" s="100"/>
      <c r="AG51" s="100"/>
      <c r="AH51" s="100"/>
      <c r="AI51" s="100"/>
      <c r="AJ51" s="100"/>
      <c r="AK51" s="100"/>
      <c r="AL51" s="100"/>
      <c r="AM51" s="100"/>
      <c r="AN51" s="98"/>
      <c r="AO51" s="99" t="s">
        <v>37</v>
      </c>
      <c r="AP51" s="138"/>
      <c r="AQ51" s="138"/>
      <c r="AR51" s="99"/>
      <c r="AS51" s="111"/>
      <c r="AT51" s="154"/>
      <c r="AU51" s="159"/>
      <c r="AV51" s="18"/>
    </row>
    <row r="52" spans="2:48" ht="20.100000000000001" hidden="1" customHeight="1" outlineLevel="1">
      <c r="B52" s="113"/>
      <c r="C52" s="10103" t="s">
        <v>1749</v>
      </c>
      <c r="D52" s="10104"/>
      <c r="E52" s="10104"/>
      <c r="F52" s="10105"/>
      <c r="G52" s="1737" t="s">
        <v>33</v>
      </c>
      <c r="H52" s="158"/>
      <c r="I52" s="158"/>
      <c r="J52" s="158"/>
      <c r="K52" s="158"/>
      <c r="L52" s="158"/>
      <c r="M52" s="92">
        <v>79366</v>
      </c>
      <c r="N52" s="151"/>
      <c r="O52" s="92">
        <v>275379</v>
      </c>
      <c r="P52" s="151"/>
      <c r="Q52" s="2350"/>
      <c r="R52" s="2186"/>
      <c r="S52" s="2111"/>
      <c r="T52" s="100"/>
      <c r="U52" s="2349"/>
      <c r="V52" s="2187"/>
      <c r="W52" s="2111"/>
      <c r="X52" s="92"/>
      <c r="Y52" s="100"/>
      <c r="Z52" s="92"/>
      <c r="AA52" s="100"/>
      <c r="AB52" s="100"/>
      <c r="AC52" s="100"/>
      <c r="AD52" s="100"/>
      <c r="AE52" s="100"/>
      <c r="AF52" s="100"/>
      <c r="AG52" s="100"/>
      <c r="AH52" s="100"/>
      <c r="AI52" s="100"/>
      <c r="AJ52" s="100"/>
      <c r="AK52" s="100"/>
      <c r="AL52" s="100"/>
      <c r="AM52" s="100"/>
      <c r="AN52" s="98"/>
      <c r="AO52" s="99" t="s">
        <v>37</v>
      </c>
      <c r="AP52" s="138"/>
      <c r="AQ52" s="138"/>
      <c r="AR52" s="99"/>
      <c r="AS52" s="111"/>
      <c r="AT52" s="154"/>
      <c r="AU52" s="159"/>
      <c r="AV52" s="18"/>
    </row>
    <row r="53" spans="2:48" ht="20.100000000000001" hidden="1" customHeight="1" outlineLevel="1">
      <c r="B53" s="113"/>
      <c r="C53" s="10103" t="s">
        <v>1751</v>
      </c>
      <c r="D53" s="10104"/>
      <c r="E53" s="10104"/>
      <c r="F53" s="10105"/>
      <c r="G53" s="1737" t="s">
        <v>33</v>
      </c>
      <c r="H53" s="157"/>
      <c r="I53" s="157"/>
      <c r="J53" s="158"/>
      <c r="K53" s="158"/>
      <c r="L53" s="158"/>
      <c r="M53" s="92">
        <v>242935</v>
      </c>
      <c r="N53" s="151"/>
      <c r="O53" s="92">
        <v>287746</v>
      </c>
      <c r="P53" s="151"/>
      <c r="Q53" s="2350"/>
      <c r="R53" s="2186"/>
      <c r="S53" s="2111"/>
      <c r="T53" s="100"/>
      <c r="U53" s="2349"/>
      <c r="V53" s="2187"/>
      <c r="W53" s="2111"/>
      <c r="X53" s="92"/>
      <c r="Y53" s="100"/>
      <c r="Z53" s="92"/>
      <c r="AA53" s="100"/>
      <c r="AB53" s="100"/>
      <c r="AC53" s="100"/>
      <c r="AD53" s="100"/>
      <c r="AE53" s="100"/>
      <c r="AF53" s="100"/>
      <c r="AG53" s="100"/>
      <c r="AH53" s="100"/>
      <c r="AI53" s="100"/>
      <c r="AJ53" s="100"/>
      <c r="AK53" s="100"/>
      <c r="AL53" s="100"/>
      <c r="AM53" s="100"/>
      <c r="AN53" s="98"/>
      <c r="AO53" s="99" t="s">
        <v>37</v>
      </c>
      <c r="AP53" s="138"/>
      <c r="AQ53" s="138"/>
      <c r="AR53" s="99"/>
      <c r="AS53" s="111"/>
      <c r="AT53" s="154" t="s">
        <v>42</v>
      </c>
      <c r="AU53" s="159"/>
      <c r="AV53" s="18"/>
    </row>
    <row r="54" spans="2:48" ht="20.100000000000001" hidden="1" customHeight="1" outlineLevel="1">
      <c r="B54" s="113"/>
      <c r="C54" s="10103" t="s">
        <v>96</v>
      </c>
      <c r="D54" s="10104"/>
      <c r="E54" s="10104"/>
      <c r="F54" s="10105"/>
      <c r="G54" s="1737" t="s">
        <v>33</v>
      </c>
      <c r="H54" s="158"/>
      <c r="I54" s="158"/>
      <c r="J54" s="158"/>
      <c r="K54" s="158"/>
      <c r="L54" s="158"/>
      <c r="M54" s="92">
        <v>-163568</v>
      </c>
      <c r="N54" s="151"/>
      <c r="O54" s="92">
        <v>-12368</v>
      </c>
      <c r="P54" s="151"/>
      <c r="Q54" s="2350"/>
      <c r="R54" s="2186"/>
      <c r="S54" s="2111"/>
      <c r="T54" s="100"/>
      <c r="U54" s="2349"/>
      <c r="V54" s="2187"/>
      <c r="W54" s="2111"/>
      <c r="X54" s="92"/>
      <c r="Y54" s="100"/>
      <c r="Z54" s="92"/>
      <c r="AA54" s="100"/>
      <c r="AB54" s="100"/>
      <c r="AC54" s="100"/>
      <c r="AD54" s="100"/>
      <c r="AE54" s="100"/>
      <c r="AF54" s="100"/>
      <c r="AG54" s="100"/>
      <c r="AH54" s="100"/>
      <c r="AI54" s="100"/>
      <c r="AJ54" s="100"/>
      <c r="AK54" s="100"/>
      <c r="AL54" s="100"/>
      <c r="AM54" s="100"/>
      <c r="AN54" s="98"/>
      <c r="AO54" s="99" t="s">
        <v>37</v>
      </c>
      <c r="AP54" s="138"/>
      <c r="AQ54" s="138"/>
      <c r="AR54" s="99"/>
      <c r="AS54" s="111"/>
      <c r="AT54" s="154" t="s">
        <v>42</v>
      </c>
      <c r="AU54" s="159"/>
      <c r="AV54" s="18"/>
    </row>
    <row r="55" spans="2:48" ht="20.100000000000001" hidden="1" customHeight="1" outlineLevel="1">
      <c r="B55" s="113"/>
      <c r="C55" s="10103" t="s">
        <v>67</v>
      </c>
      <c r="D55" s="10104"/>
      <c r="E55" s="10104"/>
      <c r="F55" s="10105"/>
      <c r="G55" s="1738" t="s">
        <v>33</v>
      </c>
      <c r="H55" s="157"/>
      <c r="I55" s="157"/>
      <c r="J55" s="158"/>
      <c r="K55" s="158"/>
      <c r="L55" s="158"/>
      <c r="M55" s="92">
        <v>-86679</v>
      </c>
      <c r="N55" s="151"/>
      <c r="O55" s="92">
        <v>-117859</v>
      </c>
      <c r="P55" s="151"/>
      <c r="Q55" s="2350"/>
      <c r="R55" s="2186"/>
      <c r="S55" s="2111"/>
      <c r="T55" s="100"/>
      <c r="U55" s="2349"/>
      <c r="V55" s="2187"/>
      <c r="W55" s="2111"/>
      <c r="X55" s="92"/>
      <c r="Y55" s="100"/>
      <c r="Z55" s="92"/>
      <c r="AA55" s="100"/>
      <c r="AB55" s="100"/>
      <c r="AC55" s="100"/>
      <c r="AD55" s="100"/>
      <c r="AE55" s="100"/>
      <c r="AF55" s="100"/>
      <c r="AG55" s="100"/>
      <c r="AH55" s="100"/>
      <c r="AI55" s="100"/>
      <c r="AJ55" s="100"/>
      <c r="AK55" s="100"/>
      <c r="AL55" s="100"/>
      <c r="AM55" s="100"/>
      <c r="AN55" s="98"/>
      <c r="AO55" s="99" t="s">
        <v>37</v>
      </c>
      <c r="AP55" s="138"/>
      <c r="AQ55" s="138"/>
      <c r="AR55" s="99"/>
      <c r="AS55" s="111"/>
      <c r="AT55" s="154"/>
      <c r="AU55" s="159"/>
      <c r="AV55" s="18"/>
    </row>
    <row r="56" spans="2:48" ht="20.100000000000001" hidden="1" customHeight="1" outlineLevel="1">
      <c r="B56" s="84"/>
      <c r="C56" s="10103" t="s">
        <v>63</v>
      </c>
      <c r="D56" s="10104"/>
      <c r="E56" s="10104"/>
      <c r="F56" s="10105"/>
      <c r="G56" s="1737" t="s">
        <v>33</v>
      </c>
      <c r="H56" s="158"/>
      <c r="I56" s="158"/>
      <c r="J56" s="158"/>
      <c r="K56" s="158"/>
      <c r="L56" s="158"/>
      <c r="M56" s="92">
        <v>48059</v>
      </c>
      <c r="N56" s="151"/>
      <c r="O56" s="92">
        <v>79083</v>
      </c>
      <c r="P56" s="151"/>
      <c r="Q56" s="2350"/>
      <c r="R56" s="2186"/>
      <c r="S56" s="2111"/>
      <c r="T56" s="100"/>
      <c r="U56" s="2349"/>
      <c r="V56" s="2187"/>
      <c r="W56" s="2111"/>
      <c r="X56" s="92"/>
      <c r="Y56" s="100"/>
      <c r="Z56" s="92"/>
      <c r="AA56" s="100"/>
      <c r="AB56" s="100"/>
      <c r="AC56" s="100"/>
      <c r="AD56" s="100"/>
      <c r="AE56" s="100"/>
      <c r="AF56" s="100"/>
      <c r="AG56" s="100"/>
      <c r="AH56" s="100"/>
      <c r="AI56" s="100"/>
      <c r="AJ56" s="100"/>
      <c r="AK56" s="100"/>
      <c r="AL56" s="100"/>
      <c r="AM56" s="100"/>
      <c r="AN56" s="98"/>
      <c r="AO56" s="99" t="s">
        <v>37</v>
      </c>
      <c r="AP56" s="138"/>
      <c r="AQ56" s="138"/>
      <c r="AR56" s="99"/>
      <c r="AS56" s="111"/>
      <c r="AT56" s="154"/>
      <c r="AU56" s="159"/>
      <c r="AV56" s="18"/>
    </row>
    <row r="57" spans="2:48" ht="20.100000000000001" hidden="1" customHeight="1" outlineLevel="1">
      <c r="B57" s="84"/>
      <c r="C57" s="10103" t="s">
        <v>65</v>
      </c>
      <c r="D57" s="10104"/>
      <c r="E57" s="10104"/>
      <c r="F57" s="10105"/>
      <c r="G57" s="1737" t="s">
        <v>33</v>
      </c>
      <c r="H57" s="158"/>
      <c r="I57" s="158"/>
      <c r="J57" s="158"/>
      <c r="K57" s="158"/>
      <c r="L57" s="158"/>
      <c r="M57" s="92">
        <v>71382</v>
      </c>
      <c r="N57" s="151"/>
      <c r="O57" s="92">
        <v>84869</v>
      </c>
      <c r="P57" s="151"/>
      <c r="Q57" s="2350"/>
      <c r="R57" s="2186"/>
      <c r="S57" s="2111"/>
      <c r="T57" s="100"/>
      <c r="U57" s="2349"/>
      <c r="V57" s="2187"/>
      <c r="W57" s="2111"/>
      <c r="X57" s="92"/>
      <c r="Y57" s="100"/>
      <c r="Z57" s="92"/>
      <c r="AA57" s="100"/>
      <c r="AB57" s="100"/>
      <c r="AC57" s="100"/>
      <c r="AD57" s="100"/>
      <c r="AE57" s="100"/>
      <c r="AF57" s="100"/>
      <c r="AG57" s="100"/>
      <c r="AH57" s="100"/>
      <c r="AI57" s="100"/>
      <c r="AJ57" s="100"/>
      <c r="AK57" s="100"/>
      <c r="AL57" s="100"/>
      <c r="AM57" s="100"/>
      <c r="AN57" s="98"/>
      <c r="AO57" s="99" t="s">
        <v>37</v>
      </c>
      <c r="AP57" s="138"/>
      <c r="AQ57" s="138"/>
      <c r="AR57" s="99"/>
      <c r="AS57" s="111"/>
      <c r="AT57" s="154"/>
      <c r="AU57" s="159"/>
      <c r="AV57" s="18"/>
    </row>
    <row r="58" spans="2:48" ht="20.100000000000001" hidden="1" customHeight="1" outlineLevel="1">
      <c r="B58" s="113"/>
      <c r="C58" s="10103" t="s">
        <v>71</v>
      </c>
      <c r="D58" s="10104"/>
      <c r="E58" s="10104"/>
      <c r="F58" s="10105"/>
      <c r="G58" s="1737" t="s">
        <v>33</v>
      </c>
      <c r="H58" s="157"/>
      <c r="I58" s="157"/>
      <c r="J58" s="158"/>
      <c r="K58" s="158"/>
      <c r="L58" s="158"/>
      <c r="M58" s="92">
        <v>-273570</v>
      </c>
      <c r="N58" s="151"/>
      <c r="O58" s="92">
        <v>-136013</v>
      </c>
      <c r="P58" s="151"/>
      <c r="Q58" s="2350"/>
      <c r="R58" s="2186"/>
      <c r="S58" s="2111"/>
      <c r="T58" s="100"/>
      <c r="U58" s="2349"/>
      <c r="V58" s="2187"/>
      <c r="W58" s="2111"/>
      <c r="X58" s="92"/>
      <c r="Y58" s="100"/>
      <c r="Z58" s="92"/>
      <c r="AA58" s="100"/>
      <c r="AB58" s="100"/>
      <c r="AC58" s="100"/>
      <c r="AD58" s="100"/>
      <c r="AE58" s="100"/>
      <c r="AF58" s="100"/>
      <c r="AG58" s="100"/>
      <c r="AH58" s="100"/>
      <c r="AI58" s="100"/>
      <c r="AJ58" s="100"/>
      <c r="AK58" s="100"/>
      <c r="AL58" s="100"/>
      <c r="AM58" s="100"/>
      <c r="AN58" s="98"/>
      <c r="AO58" s="99" t="s">
        <v>37</v>
      </c>
      <c r="AP58" s="138"/>
      <c r="AQ58" s="138"/>
      <c r="AR58" s="99"/>
      <c r="AS58" s="111"/>
      <c r="AT58" s="154"/>
      <c r="AU58" s="159"/>
      <c r="AV58" s="18"/>
    </row>
    <row r="59" spans="2:48" ht="20.100000000000001" hidden="1" customHeight="1" outlineLevel="1">
      <c r="B59" s="113"/>
      <c r="C59" s="10103" t="s">
        <v>102</v>
      </c>
      <c r="D59" s="10104"/>
      <c r="E59" s="10104"/>
      <c r="F59" s="10105"/>
      <c r="G59" s="1737" t="s">
        <v>33</v>
      </c>
      <c r="H59" s="158"/>
      <c r="I59" s="158"/>
      <c r="J59" s="158"/>
      <c r="K59" s="158"/>
      <c r="L59" s="158"/>
      <c r="M59" s="92">
        <v>-12516</v>
      </c>
      <c r="N59" s="151"/>
      <c r="O59" s="92">
        <v>-15207</v>
      </c>
      <c r="P59" s="151"/>
      <c r="Q59" s="2350"/>
      <c r="R59" s="2186"/>
      <c r="S59" s="2111"/>
      <c r="T59" s="100"/>
      <c r="U59" s="2349"/>
      <c r="V59" s="2187"/>
      <c r="W59" s="2111"/>
      <c r="X59" s="92"/>
      <c r="Y59" s="100"/>
      <c r="Z59" s="92"/>
      <c r="AA59" s="100"/>
      <c r="AB59" s="100"/>
      <c r="AC59" s="100"/>
      <c r="AD59" s="100"/>
      <c r="AE59" s="100"/>
      <c r="AF59" s="100"/>
      <c r="AG59" s="100"/>
      <c r="AH59" s="100"/>
      <c r="AI59" s="100"/>
      <c r="AJ59" s="100"/>
      <c r="AK59" s="100"/>
      <c r="AL59" s="100"/>
      <c r="AM59" s="100"/>
      <c r="AN59" s="98"/>
      <c r="AO59" s="99" t="s">
        <v>37</v>
      </c>
      <c r="AP59" s="138"/>
      <c r="AQ59" s="138"/>
      <c r="AR59" s="99"/>
      <c r="AS59" s="111"/>
      <c r="AT59" s="154" t="s">
        <v>42</v>
      </c>
      <c r="AU59" s="159"/>
      <c r="AV59" s="18"/>
    </row>
    <row r="60" spans="2:48" ht="20.100000000000001" hidden="1" customHeight="1" outlineLevel="1">
      <c r="B60" s="113"/>
      <c r="C60" s="10103" t="s">
        <v>104</v>
      </c>
      <c r="D60" s="10104"/>
      <c r="E60" s="10104"/>
      <c r="F60" s="10105"/>
      <c r="G60" s="1737" t="s">
        <v>33</v>
      </c>
      <c r="H60" s="158"/>
      <c r="I60" s="158"/>
      <c r="J60" s="158"/>
      <c r="K60" s="158"/>
      <c r="L60" s="158"/>
      <c r="M60" s="92">
        <v>-261054</v>
      </c>
      <c r="N60" s="151"/>
      <c r="O60" s="92">
        <v>-120806</v>
      </c>
      <c r="P60" s="151"/>
      <c r="Q60" s="2350"/>
      <c r="R60" s="2186"/>
      <c r="S60" s="2111"/>
      <c r="T60" s="100"/>
      <c r="U60" s="2349"/>
      <c r="V60" s="2187"/>
      <c r="W60" s="2111"/>
      <c r="X60" s="92"/>
      <c r="Y60" s="100"/>
      <c r="Z60" s="92"/>
      <c r="AA60" s="100"/>
      <c r="AB60" s="100"/>
      <c r="AC60" s="100"/>
      <c r="AD60" s="100"/>
      <c r="AE60" s="100"/>
      <c r="AF60" s="100"/>
      <c r="AG60" s="100"/>
      <c r="AH60" s="100"/>
      <c r="AI60" s="100"/>
      <c r="AJ60" s="100"/>
      <c r="AK60" s="100"/>
      <c r="AL60" s="100"/>
      <c r="AM60" s="100"/>
      <c r="AN60" s="98"/>
      <c r="AO60" s="99" t="s">
        <v>37</v>
      </c>
      <c r="AP60" s="138"/>
      <c r="AQ60" s="138"/>
      <c r="AR60" s="99"/>
      <c r="AS60" s="111"/>
      <c r="AT60" s="154" t="s">
        <v>42</v>
      </c>
      <c r="AU60" s="159"/>
      <c r="AV60" s="18"/>
    </row>
    <row r="61" spans="2:48" ht="20.100000000000001" hidden="1" customHeight="1" outlineLevel="1">
      <c r="B61" s="113"/>
      <c r="C61" s="10103" t="s">
        <v>77</v>
      </c>
      <c r="D61" s="10104"/>
      <c r="E61" s="10104"/>
      <c r="F61" s="10105"/>
      <c r="G61" s="1738" t="s">
        <v>33</v>
      </c>
      <c r="H61" s="158"/>
      <c r="I61" s="158"/>
      <c r="J61" s="158"/>
      <c r="K61" s="158"/>
      <c r="L61" s="158"/>
      <c r="M61" s="92">
        <v>-1271</v>
      </c>
      <c r="N61" s="151"/>
      <c r="O61" s="92">
        <v>1690</v>
      </c>
      <c r="P61" s="151"/>
      <c r="Q61" s="2350"/>
      <c r="R61" s="2186"/>
      <c r="S61" s="2111"/>
      <c r="T61" s="100"/>
      <c r="U61" s="2349"/>
      <c r="V61" s="2187"/>
      <c r="W61" s="2111"/>
      <c r="X61" s="92"/>
      <c r="Y61" s="100"/>
      <c r="Z61" s="92"/>
      <c r="AA61" s="100"/>
      <c r="AB61" s="100"/>
      <c r="AC61" s="100"/>
      <c r="AD61" s="100"/>
      <c r="AE61" s="100"/>
      <c r="AF61" s="100"/>
      <c r="AG61" s="100"/>
      <c r="AH61" s="100"/>
      <c r="AI61" s="100"/>
      <c r="AJ61" s="100"/>
      <c r="AK61" s="100"/>
      <c r="AL61" s="100"/>
      <c r="AM61" s="100"/>
      <c r="AN61" s="98"/>
      <c r="AO61" s="99" t="s">
        <v>37</v>
      </c>
      <c r="AP61" s="138"/>
      <c r="AQ61" s="138"/>
      <c r="AR61" s="99"/>
      <c r="AS61" s="111"/>
      <c r="AT61" s="154"/>
      <c r="AU61" s="159"/>
      <c r="AV61" s="18"/>
    </row>
    <row r="62" spans="2:48" ht="20.100000000000001" hidden="1" customHeight="1" outlineLevel="1">
      <c r="B62" s="113"/>
      <c r="C62" s="10103" t="s">
        <v>79</v>
      </c>
      <c r="D62" s="10104"/>
      <c r="E62" s="10104"/>
      <c r="F62" s="10105"/>
      <c r="G62" s="1739" t="s">
        <v>33</v>
      </c>
      <c r="H62" s="158"/>
      <c r="I62" s="158"/>
      <c r="J62" s="158"/>
      <c r="K62" s="158"/>
      <c r="L62" s="158"/>
      <c r="M62" s="92">
        <v>-262325</v>
      </c>
      <c r="N62" s="151"/>
      <c r="O62" s="92">
        <v>-119117</v>
      </c>
      <c r="P62" s="151"/>
      <c r="Q62" s="2350"/>
      <c r="R62" s="2186"/>
      <c r="S62" s="2111"/>
      <c r="T62" s="100"/>
      <c r="U62" s="2349"/>
      <c r="V62" s="2187"/>
      <c r="W62" s="2111"/>
      <c r="X62" s="92"/>
      <c r="Y62" s="100"/>
      <c r="Z62" s="92"/>
      <c r="AA62" s="100"/>
      <c r="AB62" s="100"/>
      <c r="AC62" s="100"/>
      <c r="AD62" s="100"/>
      <c r="AE62" s="100"/>
      <c r="AF62" s="100"/>
      <c r="AG62" s="100"/>
      <c r="AH62" s="100"/>
      <c r="AI62" s="100"/>
      <c r="AJ62" s="100"/>
      <c r="AK62" s="100"/>
      <c r="AL62" s="100"/>
      <c r="AM62" s="100"/>
      <c r="AN62" s="98"/>
      <c r="AO62" s="99" t="s">
        <v>37</v>
      </c>
      <c r="AP62" s="138"/>
      <c r="AQ62" s="138"/>
      <c r="AR62" s="99"/>
      <c r="AS62" s="111"/>
      <c r="AT62" s="154"/>
      <c r="AU62" s="159"/>
      <c r="AV62" s="18"/>
    </row>
    <row r="63" spans="2:48" ht="20.100000000000001" customHeight="1" collapsed="1">
      <c r="B63" s="84"/>
      <c r="C63" s="10095" t="s">
        <v>2088</v>
      </c>
      <c r="D63" s="10066" t="s">
        <v>126</v>
      </c>
      <c r="E63" s="10066"/>
      <c r="F63" s="10066"/>
      <c r="G63" s="1740" t="s">
        <v>628</v>
      </c>
      <c r="H63" s="157"/>
      <c r="I63" s="157"/>
      <c r="J63" s="158"/>
      <c r="K63" s="158"/>
      <c r="L63" s="158"/>
      <c r="M63" s="92"/>
      <c r="N63" s="151"/>
      <c r="O63" s="304" t="s">
        <v>2089</v>
      </c>
      <c r="P63" s="151"/>
      <c r="Q63" s="2350"/>
      <c r="R63" s="2186"/>
      <c r="S63" s="2111"/>
      <c r="T63" s="100"/>
      <c r="U63" s="2349"/>
      <c r="V63" s="2187"/>
      <c r="W63" s="2111"/>
      <c r="X63" s="92"/>
      <c r="Y63" s="100"/>
      <c r="Z63" s="92"/>
      <c r="AA63" s="100"/>
      <c r="AB63" s="100"/>
      <c r="AC63" s="100"/>
      <c r="AD63" s="100"/>
      <c r="AE63" s="100"/>
      <c r="AF63" s="100"/>
      <c r="AG63" s="100"/>
      <c r="AH63" s="697"/>
      <c r="AI63" s="697"/>
      <c r="AJ63" s="697"/>
      <c r="AK63" s="100" t="s">
        <v>641</v>
      </c>
      <c r="AL63" s="100" t="s">
        <v>641</v>
      </c>
      <c r="AM63" s="100" t="s">
        <v>641</v>
      </c>
      <c r="AN63" s="98" t="s">
        <v>130</v>
      </c>
      <c r="AO63" s="99" t="s">
        <v>2090</v>
      </c>
      <c r="AP63" s="138"/>
      <c r="AQ63" s="138"/>
      <c r="AR63" s="99"/>
      <c r="AS63" s="111"/>
      <c r="AT63" s="154" t="s">
        <v>132</v>
      </c>
      <c r="AU63" s="159"/>
    </row>
    <row r="64" spans="2:48" ht="33">
      <c r="B64" s="113"/>
      <c r="C64" s="10095"/>
      <c r="D64" s="10066" t="s">
        <v>152</v>
      </c>
      <c r="E64" s="10066"/>
      <c r="F64" s="10066"/>
      <c r="G64" s="796" t="s">
        <v>640</v>
      </c>
      <c r="H64" s="158"/>
      <c r="I64" s="158"/>
      <c r="J64" s="158"/>
      <c r="K64" s="158"/>
      <c r="L64" s="158"/>
      <c r="M64" s="92"/>
      <c r="N64" s="151"/>
      <c r="O64" s="304" t="s">
        <v>1759</v>
      </c>
      <c r="P64" s="151"/>
      <c r="Q64" s="2350"/>
      <c r="R64" s="2186"/>
      <c r="S64" s="2111"/>
      <c r="T64" s="100"/>
      <c r="U64" s="2349"/>
      <c r="V64" s="2187"/>
      <c r="W64" s="2111"/>
      <c r="X64" s="92"/>
      <c r="Y64" s="100"/>
      <c r="Z64" s="92"/>
      <c r="AA64" s="100"/>
      <c r="AB64" s="100"/>
      <c r="AC64" s="100"/>
      <c r="AD64" s="100"/>
      <c r="AE64" s="100"/>
      <c r="AF64" s="100"/>
      <c r="AG64" s="100"/>
      <c r="AH64" s="697"/>
      <c r="AI64" s="697"/>
      <c r="AJ64" s="697"/>
      <c r="AK64" s="100" t="s">
        <v>641</v>
      </c>
      <c r="AL64" s="100" t="s">
        <v>641</v>
      </c>
      <c r="AM64" s="100" t="s">
        <v>641</v>
      </c>
      <c r="AN64" s="98" t="s">
        <v>165</v>
      </c>
      <c r="AO64" s="99" t="s">
        <v>2090</v>
      </c>
      <c r="AP64" s="138"/>
      <c r="AQ64" s="138"/>
      <c r="AR64" s="99"/>
      <c r="AS64" s="186"/>
      <c r="AT64" s="154" t="s">
        <v>132</v>
      </c>
      <c r="AU64" s="187"/>
    </row>
    <row r="65" spans="1:49" ht="20.100000000000001" customHeight="1">
      <c r="B65" s="113"/>
      <c r="C65" s="10095"/>
      <c r="D65" s="10066" t="s">
        <v>162</v>
      </c>
      <c r="E65" s="10066"/>
      <c r="F65" s="10066"/>
      <c r="G65" s="796" t="s">
        <v>1760</v>
      </c>
      <c r="H65" s="158"/>
      <c r="I65" s="158"/>
      <c r="J65" s="158"/>
      <c r="K65" s="158"/>
      <c r="L65" s="158"/>
      <c r="M65" s="92"/>
      <c r="N65" s="151"/>
      <c r="O65" s="304" t="s">
        <v>1762</v>
      </c>
      <c r="P65" s="151"/>
      <c r="Q65" s="2350"/>
      <c r="R65" s="2186"/>
      <c r="S65" s="2111"/>
      <c r="T65" s="100"/>
      <c r="U65" s="2349"/>
      <c r="V65" s="2187"/>
      <c r="W65" s="2111"/>
      <c r="X65" s="92"/>
      <c r="Y65" s="100"/>
      <c r="Z65" s="92"/>
      <c r="AA65" s="100"/>
      <c r="AB65" s="100"/>
      <c r="AC65" s="100"/>
      <c r="AD65" s="100"/>
      <c r="AE65" s="100"/>
      <c r="AF65" s="100"/>
      <c r="AG65" s="100"/>
      <c r="AH65" s="697"/>
      <c r="AI65" s="697"/>
      <c r="AJ65" s="697"/>
      <c r="AK65" s="100" t="s">
        <v>641</v>
      </c>
      <c r="AL65" s="100" t="s">
        <v>641</v>
      </c>
      <c r="AM65" s="100" t="s">
        <v>641</v>
      </c>
      <c r="AN65" s="98" t="s">
        <v>165</v>
      </c>
      <c r="AO65" s="99" t="s">
        <v>2090</v>
      </c>
      <c r="AP65" s="138"/>
      <c r="AQ65" s="138"/>
      <c r="AR65" s="99"/>
      <c r="AS65" s="186"/>
      <c r="AT65" s="154" t="s">
        <v>132</v>
      </c>
      <c r="AU65" s="187"/>
    </row>
    <row r="66" spans="1:49" ht="20.100000000000001" customHeight="1">
      <c r="B66" s="113"/>
      <c r="C66" s="10095" t="s">
        <v>2091</v>
      </c>
      <c r="D66" s="205" t="s">
        <v>174</v>
      </c>
      <c r="E66" s="415"/>
      <c r="F66" s="573"/>
      <c r="G66" s="796" t="s">
        <v>33</v>
      </c>
      <c r="H66" s="157"/>
      <c r="I66" s="157"/>
      <c r="J66" s="158"/>
      <c r="K66" s="158"/>
      <c r="L66" s="158"/>
      <c r="M66" s="228"/>
      <c r="N66" s="151"/>
      <c r="O66" s="228"/>
      <c r="P66" s="151"/>
      <c r="Q66" s="2350"/>
      <c r="R66" s="2186">
        <f>W66</f>
        <v>29536.54</v>
      </c>
      <c r="S66" s="2111"/>
      <c r="T66" s="100">
        <f>Y66</f>
        <v>315793.24</v>
      </c>
      <c r="U66" s="2349"/>
      <c r="V66" s="2187">
        <f>AA66</f>
        <v>283243.78000000003</v>
      </c>
      <c r="W66" s="2111">
        <f>SUM(AB66,AE66,AH66,AK66)</f>
        <v>29536.54</v>
      </c>
      <c r="X66" s="92"/>
      <c r="Y66" s="100">
        <f>SUM(AC66,AF66,AI66,AL66)</f>
        <v>315793.24</v>
      </c>
      <c r="Z66" s="92"/>
      <c r="AA66" s="100">
        <f>SUM(AD66,AG66,AJ66,AM66)</f>
        <v>283243.78000000003</v>
      </c>
      <c r="AB66" s="100"/>
      <c r="AC66" s="100"/>
      <c r="AD66" s="100"/>
      <c r="AE66" s="100">
        <v>29536.54</v>
      </c>
      <c r="AF66" s="100">
        <v>315793.24</v>
      </c>
      <c r="AG66" s="100">
        <v>283243.78000000003</v>
      </c>
      <c r="AH66" s="100">
        <v>0</v>
      </c>
      <c r="AI66" s="100">
        <v>0</v>
      </c>
      <c r="AJ66" s="100">
        <v>0</v>
      </c>
      <c r="AK66" s="100">
        <v>0</v>
      </c>
      <c r="AL66" s="100">
        <v>0</v>
      </c>
      <c r="AM66" s="100">
        <v>0</v>
      </c>
      <c r="AN66" s="98"/>
      <c r="AO66" s="99" t="s">
        <v>37</v>
      </c>
      <c r="AP66" s="138"/>
      <c r="AQ66" s="138"/>
      <c r="AR66" s="99"/>
      <c r="AS66" s="186"/>
      <c r="AT66" s="154" t="s">
        <v>173</v>
      </c>
      <c r="AU66" s="187"/>
    </row>
    <row r="67" spans="1:49" ht="20.100000000000001" customHeight="1">
      <c r="B67" s="113"/>
      <c r="C67" s="10095"/>
      <c r="D67" s="204" t="s">
        <v>180</v>
      </c>
      <c r="E67" s="204"/>
      <c r="F67" s="204"/>
      <c r="G67" s="796" t="s">
        <v>33</v>
      </c>
      <c r="H67" s="158"/>
      <c r="I67" s="158"/>
      <c r="J67" s="158"/>
      <c r="K67" s="158"/>
      <c r="L67" s="158"/>
      <c r="M67" s="228"/>
      <c r="N67" s="151"/>
      <c r="O67" s="228"/>
      <c r="P67" s="151"/>
      <c r="Q67" s="2350"/>
      <c r="R67" s="2186"/>
      <c r="S67" s="2111"/>
      <c r="T67" s="100"/>
      <c r="U67" s="2349"/>
      <c r="V67" s="2187"/>
      <c r="W67" s="2111"/>
      <c r="X67" s="92"/>
      <c r="Y67" s="100"/>
      <c r="Z67" s="92"/>
      <c r="AA67" s="100"/>
      <c r="AB67" s="100"/>
      <c r="AC67" s="100"/>
      <c r="AD67" s="100"/>
      <c r="AE67" s="100"/>
      <c r="AF67" s="100"/>
      <c r="AG67" s="100"/>
      <c r="AH67" s="100">
        <v>0</v>
      </c>
      <c r="AI67" s="100">
        <v>0</v>
      </c>
      <c r="AJ67" s="100">
        <v>0</v>
      </c>
      <c r="AK67" s="100">
        <v>0</v>
      </c>
      <c r="AL67" s="100">
        <v>0</v>
      </c>
      <c r="AM67" s="100">
        <v>0</v>
      </c>
      <c r="AN67" s="98"/>
      <c r="AO67" s="99" t="s">
        <v>37</v>
      </c>
      <c r="AP67" s="138"/>
      <c r="AQ67" s="138"/>
      <c r="AR67" s="99"/>
      <c r="AS67" s="186"/>
      <c r="AT67" s="154" t="s">
        <v>173</v>
      </c>
      <c r="AU67" s="187"/>
    </row>
    <row r="68" spans="1:49" ht="20.100000000000001" customHeight="1">
      <c r="B68" s="113"/>
      <c r="C68" s="10095"/>
      <c r="D68" s="204" t="s">
        <v>183</v>
      </c>
      <c r="E68" s="205"/>
      <c r="F68" s="573"/>
      <c r="G68" s="796" t="s">
        <v>33</v>
      </c>
      <c r="H68" s="158"/>
      <c r="I68" s="158"/>
      <c r="J68" s="158"/>
      <c r="K68" s="158"/>
      <c r="L68" s="158"/>
      <c r="M68" s="228"/>
      <c r="N68" s="151"/>
      <c r="O68" s="228"/>
      <c r="P68" s="151"/>
      <c r="Q68" s="2350"/>
      <c r="R68" s="2186"/>
      <c r="S68" s="2111"/>
      <c r="T68" s="100"/>
      <c r="U68" s="2349"/>
      <c r="V68" s="2187"/>
      <c r="W68" s="2111"/>
      <c r="X68" s="92"/>
      <c r="Y68" s="100"/>
      <c r="Z68" s="92"/>
      <c r="AA68" s="100"/>
      <c r="AB68" s="100"/>
      <c r="AC68" s="100"/>
      <c r="AD68" s="100"/>
      <c r="AE68" s="100"/>
      <c r="AF68" s="100"/>
      <c r="AG68" s="100"/>
      <c r="AH68" s="100">
        <v>0</v>
      </c>
      <c r="AI68" s="100">
        <v>0</v>
      </c>
      <c r="AJ68" s="100">
        <v>0</v>
      </c>
      <c r="AK68" s="100">
        <v>0</v>
      </c>
      <c r="AL68" s="100">
        <v>0</v>
      </c>
      <c r="AM68" s="100">
        <v>0</v>
      </c>
      <c r="AN68" s="98"/>
      <c r="AO68" s="99" t="s">
        <v>37</v>
      </c>
      <c r="AP68" s="138"/>
      <c r="AQ68" s="138"/>
      <c r="AR68" s="99"/>
      <c r="AS68" s="186"/>
      <c r="AT68" s="154" t="s">
        <v>173</v>
      </c>
      <c r="AU68" s="187"/>
    </row>
    <row r="69" spans="1:49" ht="20.100000000000001" customHeight="1">
      <c r="B69" s="113"/>
      <c r="C69" s="10096" t="s">
        <v>2092</v>
      </c>
      <c r="D69" s="204" t="s">
        <v>1767</v>
      </c>
      <c r="E69" s="205"/>
      <c r="F69" s="573"/>
      <c r="G69" s="796" t="s">
        <v>742</v>
      </c>
      <c r="H69" s="158"/>
      <c r="I69" s="158"/>
      <c r="J69" s="158"/>
      <c r="K69" s="158"/>
      <c r="L69" s="158"/>
      <c r="M69" s="228"/>
      <c r="N69" s="151"/>
      <c r="O69" s="92">
        <v>8</v>
      </c>
      <c r="P69" s="151"/>
      <c r="Q69" s="2350"/>
      <c r="R69" s="2186"/>
      <c r="S69" s="2111"/>
      <c r="T69" s="100"/>
      <c r="U69" s="2349"/>
      <c r="V69" s="2187"/>
      <c r="W69" s="2111"/>
      <c r="X69" s="92"/>
      <c r="Y69" s="100"/>
      <c r="Z69" s="92"/>
      <c r="AA69" s="100"/>
      <c r="AB69" s="100"/>
      <c r="AC69" s="100"/>
      <c r="AD69" s="100"/>
      <c r="AE69" s="100"/>
      <c r="AF69" s="100"/>
      <c r="AG69" s="100"/>
      <c r="AH69" s="100">
        <v>0</v>
      </c>
      <c r="AI69" s="100">
        <v>0</v>
      </c>
      <c r="AJ69" s="100">
        <v>0</v>
      </c>
      <c r="AK69" s="100">
        <v>0</v>
      </c>
      <c r="AL69" s="100">
        <v>0</v>
      </c>
      <c r="AM69" s="100">
        <v>0</v>
      </c>
      <c r="AN69" s="98"/>
      <c r="AO69" s="99" t="s">
        <v>2090</v>
      </c>
      <c r="AP69" s="138"/>
      <c r="AQ69" s="138"/>
      <c r="AR69" s="99"/>
      <c r="AS69" s="186"/>
      <c r="AT69" s="154" t="s">
        <v>853</v>
      </c>
      <c r="AU69" s="187"/>
    </row>
    <row r="70" spans="1:49" ht="20.100000000000001" customHeight="1">
      <c r="B70" s="113"/>
      <c r="C70" s="10097"/>
      <c r="D70" s="204" t="s">
        <v>1769</v>
      </c>
      <c r="E70" s="205"/>
      <c r="F70" s="573"/>
      <c r="G70" s="796" t="s">
        <v>742</v>
      </c>
      <c r="H70" s="158"/>
      <c r="I70" s="158"/>
      <c r="J70" s="158"/>
      <c r="K70" s="158"/>
      <c r="L70" s="158"/>
      <c r="M70" s="228"/>
      <c r="N70" s="151"/>
      <c r="O70" s="92">
        <v>8</v>
      </c>
      <c r="P70" s="151"/>
      <c r="Q70" s="2350"/>
      <c r="R70" s="2186"/>
      <c r="S70" s="2111"/>
      <c r="T70" s="100"/>
      <c r="U70" s="2349"/>
      <c r="V70" s="2187"/>
      <c r="W70" s="2111"/>
      <c r="X70" s="92"/>
      <c r="Y70" s="100"/>
      <c r="Z70" s="92"/>
      <c r="AA70" s="100"/>
      <c r="AB70" s="100"/>
      <c r="AC70" s="100"/>
      <c r="AD70" s="100"/>
      <c r="AE70" s="209">
        <v>2</v>
      </c>
      <c r="AF70" s="209">
        <v>2</v>
      </c>
      <c r="AG70" s="209">
        <v>2</v>
      </c>
      <c r="AH70" s="100">
        <v>0</v>
      </c>
      <c r="AI70" s="100">
        <v>0</v>
      </c>
      <c r="AJ70" s="100">
        <v>0</v>
      </c>
      <c r="AK70" s="100">
        <v>0</v>
      </c>
      <c r="AL70" s="100">
        <v>0</v>
      </c>
      <c r="AM70" s="100">
        <v>0</v>
      </c>
      <c r="AN70" s="98"/>
      <c r="AO70" s="99" t="s">
        <v>2090</v>
      </c>
      <c r="AP70" s="138"/>
      <c r="AQ70" s="138"/>
      <c r="AR70" s="99"/>
      <c r="AS70" s="186"/>
      <c r="AT70" s="154" t="s">
        <v>853</v>
      </c>
      <c r="AU70" s="159"/>
    </row>
    <row r="71" spans="1:49" ht="20.100000000000001" customHeight="1">
      <c r="B71" s="113"/>
      <c r="C71" s="10097"/>
      <c r="D71" s="204" t="s">
        <v>1771</v>
      </c>
      <c r="E71" s="205"/>
      <c r="F71" s="573"/>
      <c r="G71" s="796" t="s">
        <v>156</v>
      </c>
      <c r="H71" s="158"/>
      <c r="I71" s="158"/>
      <c r="J71" s="158"/>
      <c r="K71" s="158"/>
      <c r="L71" s="158"/>
      <c r="M71" s="228"/>
      <c r="N71" s="151"/>
      <c r="O71" s="92">
        <v>100</v>
      </c>
      <c r="P71" s="151"/>
      <c r="Q71" s="2350"/>
      <c r="R71" s="2186"/>
      <c r="S71" s="2111"/>
      <c r="T71" s="100"/>
      <c r="U71" s="2349"/>
      <c r="V71" s="2187"/>
      <c r="W71" s="2111"/>
      <c r="X71" s="92"/>
      <c r="Y71" s="100"/>
      <c r="Z71" s="92"/>
      <c r="AA71" s="100"/>
      <c r="AB71" s="100"/>
      <c r="AC71" s="100"/>
      <c r="AD71" s="100"/>
      <c r="AE71" s="212">
        <f>+AE70/5</f>
        <v>0.4</v>
      </c>
      <c r="AF71" s="212">
        <f t="shared" ref="AF71" si="0">+AF70/5</f>
        <v>0.4</v>
      </c>
      <c r="AG71" s="212">
        <f>+AG70/5</f>
        <v>0.4</v>
      </c>
      <c r="AH71" s="100">
        <v>0</v>
      </c>
      <c r="AI71" s="100">
        <v>0</v>
      </c>
      <c r="AJ71" s="100">
        <v>0</v>
      </c>
      <c r="AK71" s="100">
        <v>0</v>
      </c>
      <c r="AL71" s="100">
        <v>0</v>
      </c>
      <c r="AM71" s="100">
        <v>0</v>
      </c>
      <c r="AN71" s="98"/>
      <c r="AO71" s="99" t="s">
        <v>2090</v>
      </c>
      <c r="AP71" s="138"/>
      <c r="AQ71" s="138"/>
      <c r="AR71" s="99"/>
      <c r="AS71" s="186"/>
      <c r="AT71" s="154" t="s">
        <v>853</v>
      </c>
      <c r="AU71" s="187"/>
    </row>
    <row r="72" spans="1:49" ht="20.100000000000001" customHeight="1">
      <c r="B72" s="113"/>
      <c r="C72" s="10098"/>
      <c r="D72" s="204" t="s">
        <v>863</v>
      </c>
      <c r="E72" s="205"/>
      <c r="F72" s="573"/>
      <c r="G72" s="796" t="s">
        <v>156</v>
      </c>
      <c r="H72" s="158"/>
      <c r="I72" s="158"/>
      <c r="J72" s="158"/>
      <c r="K72" s="158"/>
      <c r="L72" s="158"/>
      <c r="M72" s="228"/>
      <c r="N72" s="151"/>
      <c r="O72" s="92">
        <v>0.2</v>
      </c>
      <c r="P72" s="151"/>
      <c r="Q72" s="2350"/>
      <c r="R72" s="2186"/>
      <c r="S72" s="2111"/>
      <c r="T72" s="100"/>
      <c r="U72" s="2349"/>
      <c r="V72" s="2187"/>
      <c r="W72" s="2111"/>
      <c r="X72" s="92"/>
      <c r="Y72" s="100"/>
      <c r="Z72" s="92"/>
      <c r="AA72" s="100"/>
      <c r="AB72" s="100"/>
      <c r="AC72" s="100"/>
      <c r="AD72" s="100"/>
      <c r="AE72" s="212">
        <f>5/28</f>
        <v>0.17857142857142858</v>
      </c>
      <c r="AF72" s="212">
        <f>5/30</f>
        <v>0.16666666666666666</v>
      </c>
      <c r="AG72" s="212">
        <f>5/27</f>
        <v>0.18518518518518517</v>
      </c>
      <c r="AH72" s="100">
        <v>0</v>
      </c>
      <c r="AI72" s="100">
        <v>0</v>
      </c>
      <c r="AJ72" s="100">
        <v>0</v>
      </c>
      <c r="AK72" s="100">
        <v>0</v>
      </c>
      <c r="AL72" s="100">
        <v>0</v>
      </c>
      <c r="AM72" s="100">
        <v>0</v>
      </c>
      <c r="AN72" s="98" t="s">
        <v>1774</v>
      </c>
      <c r="AO72" s="99" t="s">
        <v>2090</v>
      </c>
      <c r="AP72" s="138"/>
      <c r="AQ72" s="138"/>
      <c r="AR72" s="99"/>
      <c r="AS72" s="111"/>
      <c r="AT72" s="154" t="s">
        <v>853</v>
      </c>
      <c r="AU72" s="187"/>
    </row>
    <row r="73" spans="1:49" ht="20.100000000000001" customHeight="1">
      <c r="B73" s="113"/>
      <c r="C73" s="10099" t="s">
        <v>2093</v>
      </c>
      <c r="D73" s="10066" t="s">
        <v>191</v>
      </c>
      <c r="E73" s="10066"/>
      <c r="F73" s="10066"/>
      <c r="G73" s="796" t="s">
        <v>156</v>
      </c>
      <c r="H73" s="158"/>
      <c r="I73" s="158"/>
      <c r="J73" s="158"/>
      <c r="K73" s="158"/>
      <c r="L73" s="158"/>
      <c r="M73" s="92">
        <v>32</v>
      </c>
      <c r="N73" s="95"/>
      <c r="O73" s="92">
        <f>(51%)*100</f>
        <v>51</v>
      </c>
      <c r="P73" s="95"/>
      <c r="Q73" s="2350"/>
      <c r="R73" s="2198"/>
      <c r="S73" s="2024"/>
      <c r="T73" s="228"/>
      <c r="U73" s="2350"/>
      <c r="V73" s="2189"/>
      <c r="W73" s="2024"/>
      <c r="X73" s="95"/>
      <c r="Y73" s="228"/>
      <c r="Z73" s="95"/>
      <c r="AA73" s="228"/>
      <c r="AB73" s="228"/>
      <c r="AC73" s="228"/>
      <c r="AD73" s="228"/>
      <c r="AE73" s="229"/>
      <c r="AF73" s="229"/>
      <c r="AG73" s="229"/>
      <c r="AH73" s="228">
        <v>0</v>
      </c>
      <c r="AI73" s="228">
        <v>0</v>
      </c>
      <c r="AJ73" s="228">
        <v>0</v>
      </c>
      <c r="AK73" s="228">
        <v>0</v>
      </c>
      <c r="AL73" s="228">
        <v>0</v>
      </c>
      <c r="AM73" s="228">
        <v>0</v>
      </c>
      <c r="AN73" s="1741"/>
      <c r="AO73" s="99" t="s">
        <v>37</v>
      </c>
      <c r="AP73" s="138"/>
      <c r="AQ73" s="138"/>
      <c r="AR73" s="99"/>
      <c r="AS73" s="186"/>
      <c r="AT73" s="154" t="s">
        <v>190</v>
      </c>
      <c r="AU73" s="187"/>
    </row>
    <row r="74" spans="1:49" ht="41.45" customHeight="1" thickBot="1">
      <c r="B74" s="113"/>
      <c r="C74" s="10100"/>
      <c r="D74" s="10101" t="s">
        <v>194</v>
      </c>
      <c r="E74" s="10101"/>
      <c r="F74" s="10101"/>
      <c r="G74" s="796" t="s">
        <v>156</v>
      </c>
      <c r="H74" s="158"/>
      <c r="I74" s="158"/>
      <c r="J74" s="158"/>
      <c r="K74" s="158"/>
      <c r="L74" s="158"/>
      <c r="M74" s="92">
        <v>100</v>
      </c>
      <c r="N74" s="151"/>
      <c r="O74" s="92">
        <v>100</v>
      </c>
      <c r="P74" s="151"/>
      <c r="Q74" s="2350"/>
      <c r="R74" s="2186"/>
      <c r="S74" s="2111"/>
      <c r="T74" s="100"/>
      <c r="U74" s="2349"/>
      <c r="V74" s="2187"/>
      <c r="W74" s="2111"/>
      <c r="X74" s="92"/>
      <c r="Y74" s="100"/>
      <c r="Z74" s="92"/>
      <c r="AA74" s="100"/>
      <c r="AB74" s="100"/>
      <c r="AC74" s="100"/>
      <c r="AD74" s="100"/>
      <c r="AE74" s="212">
        <f>12081593.97/13102054.16</f>
        <v>0.92211448849635957</v>
      </c>
      <c r="AF74" s="212">
        <f>4913610.72/7683814.76</f>
        <v>0.63947542639614596</v>
      </c>
      <c r="AG74" s="212">
        <f>1790175.01/2062474.72</f>
        <v>0.86797427994656828</v>
      </c>
      <c r="AH74" s="100">
        <v>0</v>
      </c>
      <c r="AI74" s="100">
        <v>0</v>
      </c>
      <c r="AJ74" s="100">
        <v>0</v>
      </c>
      <c r="AK74" s="100">
        <v>0</v>
      </c>
      <c r="AL74" s="100">
        <v>0</v>
      </c>
      <c r="AM74" s="100">
        <v>0</v>
      </c>
      <c r="AN74" s="98"/>
      <c r="AO74" s="99" t="s">
        <v>2094</v>
      </c>
      <c r="AP74" s="138"/>
      <c r="AQ74" s="138"/>
      <c r="AR74" s="99"/>
      <c r="AS74" s="186"/>
      <c r="AT74" s="154" t="s">
        <v>190</v>
      </c>
      <c r="AU74" s="187"/>
    </row>
    <row r="75" spans="1:49" ht="27.75" thickTop="1" thickBot="1">
      <c r="A75" s="50"/>
      <c r="B75" s="1742" t="s">
        <v>197</v>
      </c>
      <c r="C75" s="244"/>
      <c r="D75" s="244"/>
      <c r="E75" s="244"/>
      <c r="F75" s="244"/>
      <c r="G75" s="630"/>
      <c r="H75" s="1743"/>
      <c r="I75" s="1743"/>
      <c r="J75" s="1743"/>
      <c r="K75" s="1743"/>
      <c r="L75" s="1743"/>
      <c r="M75" s="1744"/>
      <c r="N75" s="1745"/>
      <c r="O75" s="1744"/>
      <c r="P75" s="1745"/>
      <c r="Q75" s="1744"/>
      <c r="R75" s="4574"/>
      <c r="S75" s="633"/>
      <c r="T75" s="633"/>
      <c r="U75" s="633"/>
      <c r="V75" s="4575"/>
      <c r="W75" s="633"/>
      <c r="X75" s="633"/>
      <c r="Y75" s="633"/>
      <c r="Z75" s="633"/>
      <c r="AA75" s="633"/>
      <c r="AB75" s="633"/>
      <c r="AC75" s="633"/>
      <c r="AD75" s="633"/>
      <c r="AE75" s="633"/>
      <c r="AF75" s="633"/>
      <c r="AG75" s="633"/>
      <c r="AH75" s="633"/>
      <c r="AI75" s="633"/>
      <c r="AJ75" s="633"/>
      <c r="AK75" s="633"/>
      <c r="AL75" s="633"/>
      <c r="AM75" s="633"/>
      <c r="AN75" s="634"/>
      <c r="AO75" s="1746"/>
      <c r="AP75" s="1746"/>
      <c r="AQ75" s="1746"/>
      <c r="AR75" s="1746"/>
      <c r="AS75" s="1055"/>
      <c r="AT75" s="1055"/>
      <c r="AU75" s="635"/>
      <c r="AW75" s="54"/>
    </row>
    <row r="76" spans="1:49" ht="27" thickBot="1">
      <c r="B76" s="123" t="s">
        <v>199</v>
      </c>
      <c r="C76" s="124"/>
      <c r="D76" s="124"/>
      <c r="E76" s="124"/>
      <c r="F76" s="124"/>
      <c r="G76" s="78"/>
      <c r="H76" s="1732"/>
      <c r="I76" s="1732"/>
      <c r="J76" s="1732"/>
      <c r="K76" s="1732"/>
      <c r="L76" s="1732"/>
      <c r="M76" s="1733"/>
      <c r="N76" s="1734"/>
      <c r="O76" s="1733"/>
      <c r="P76" s="1734"/>
      <c r="Q76" s="1733"/>
      <c r="R76" s="2175"/>
      <c r="S76" s="148"/>
      <c r="T76" s="148"/>
      <c r="U76" s="148"/>
      <c r="V76" s="2176"/>
      <c r="W76" s="148"/>
      <c r="X76" s="148"/>
      <c r="Y76" s="148"/>
      <c r="Z76" s="148"/>
      <c r="AA76" s="148"/>
      <c r="AB76" s="148"/>
      <c r="AC76" s="148"/>
      <c r="AD76" s="148"/>
      <c r="AE76" s="148"/>
      <c r="AF76" s="148"/>
      <c r="AG76" s="148"/>
      <c r="AH76" s="148"/>
      <c r="AI76" s="148"/>
      <c r="AJ76" s="148"/>
      <c r="AK76" s="148"/>
      <c r="AL76" s="148"/>
      <c r="AM76" s="148"/>
      <c r="AN76" s="80"/>
      <c r="AO76" s="129"/>
      <c r="AP76" s="129"/>
      <c r="AQ76" s="129"/>
      <c r="AR76" s="129"/>
      <c r="AS76" s="130"/>
      <c r="AT76" s="130"/>
      <c r="AU76" s="131"/>
    </row>
    <row r="77" spans="1:49" ht="66">
      <c r="B77" s="1747"/>
      <c r="C77" s="10102" t="s">
        <v>648</v>
      </c>
      <c r="D77" s="10102"/>
      <c r="E77" s="10102"/>
      <c r="F77" s="10102"/>
      <c r="G77" s="255" t="s">
        <v>212</v>
      </c>
      <c r="H77" s="1748"/>
      <c r="I77" s="1748"/>
      <c r="J77" s="1748"/>
      <c r="K77" s="525"/>
      <c r="L77" s="1749"/>
      <c r="M77" s="1750">
        <v>60746.3</v>
      </c>
      <c r="N77" s="151"/>
      <c r="O77" s="1750">
        <v>71392.600000000006</v>
      </c>
      <c r="P77" s="1751"/>
      <c r="Q77" s="2350"/>
      <c r="R77" s="2186"/>
      <c r="S77" s="2111"/>
      <c r="T77" s="100"/>
      <c r="U77" s="2349"/>
      <c r="V77" s="2187">
        <f>AA77</f>
        <v>563.32999999999993</v>
      </c>
      <c r="W77" s="2111"/>
      <c r="X77" s="259"/>
      <c r="Y77" s="100"/>
      <c r="Z77" s="259"/>
      <c r="AA77" s="100">
        <f>AD77+AJ77</f>
        <v>563.32999999999993</v>
      </c>
      <c r="AB77" s="100"/>
      <c r="AC77" s="100"/>
      <c r="AD77" s="100">
        <f>AD78+AD79</f>
        <v>490.89299999999997</v>
      </c>
      <c r="AE77" s="100">
        <f>AE78+AE79</f>
        <v>52444.08</v>
      </c>
      <c r="AF77" s="100">
        <f>AF78+AF79</f>
        <v>53818.28</v>
      </c>
      <c r="AG77" s="100">
        <f>AG78+AG79</f>
        <v>54758.91</v>
      </c>
      <c r="AH77" s="100"/>
      <c r="AI77" s="100"/>
      <c r="AJ77" s="100">
        <f>AJ78+AJ79</f>
        <v>72.436999999999998</v>
      </c>
      <c r="AK77" s="100"/>
      <c r="AL77" s="100"/>
      <c r="AM77" s="100"/>
      <c r="AN77" s="262" t="s">
        <v>649</v>
      </c>
      <c r="AO77" s="1752" t="s">
        <v>2095</v>
      </c>
      <c r="AP77" s="138"/>
      <c r="AQ77" s="138"/>
      <c r="AR77" s="99"/>
      <c r="AS77" s="264" t="s">
        <v>228</v>
      </c>
      <c r="AT77" s="265"/>
      <c r="AU77" s="187"/>
      <c r="AV77" s="1753" t="s">
        <v>2095</v>
      </c>
    </row>
    <row r="78" spans="1:49" ht="66">
      <c r="B78" s="1754"/>
      <c r="C78" s="10081"/>
      <c r="D78" s="266" t="s">
        <v>210</v>
      </c>
      <c r="E78" s="266"/>
      <c r="F78" s="726"/>
      <c r="G78" s="136" t="s">
        <v>212</v>
      </c>
      <c r="H78" s="538">
        <v>7184.4009999999998</v>
      </c>
      <c r="I78" s="538"/>
      <c r="J78" s="538">
        <v>7712.27</v>
      </c>
      <c r="K78" s="1755"/>
      <c r="L78" s="1756"/>
      <c r="M78" s="275">
        <v>7184.4</v>
      </c>
      <c r="N78" s="151"/>
      <c r="O78" s="275">
        <v>7712.3</v>
      </c>
      <c r="P78" s="1757" t="s">
        <v>2096</v>
      </c>
      <c r="Q78" s="2350"/>
      <c r="R78" s="2186"/>
      <c r="S78" s="2111"/>
      <c r="T78" s="100"/>
      <c r="U78" s="2349"/>
      <c r="V78" s="2187">
        <f t="shared" ref="V78:V79" si="1">AA78</f>
        <v>73.77</v>
      </c>
      <c r="W78" s="2111"/>
      <c r="X78" s="275"/>
      <c r="Y78" s="100"/>
      <c r="Z78" s="275"/>
      <c r="AA78" s="100">
        <f t="shared" ref="AA78:AA81" si="2">AD78+AJ78</f>
        <v>73.77</v>
      </c>
      <c r="AB78" s="100"/>
      <c r="AC78" s="100"/>
      <c r="AD78" s="100">
        <v>30.536999999999999</v>
      </c>
      <c r="AE78" s="100"/>
      <c r="AF78" s="100"/>
      <c r="AG78" s="100"/>
      <c r="AH78" s="100"/>
      <c r="AI78" s="100"/>
      <c r="AJ78" s="100">
        <v>43.232999999999997</v>
      </c>
      <c r="AK78" s="100"/>
      <c r="AL78" s="100"/>
      <c r="AM78" s="100"/>
      <c r="AN78" s="276" t="s">
        <v>213</v>
      </c>
      <c r="AO78" s="99" t="s">
        <v>2095</v>
      </c>
      <c r="AP78" s="138"/>
      <c r="AQ78" s="138"/>
      <c r="AR78" s="99"/>
      <c r="AS78" s="264" t="s">
        <v>215</v>
      </c>
      <c r="AT78" s="277" t="s">
        <v>216</v>
      </c>
      <c r="AU78" s="187"/>
      <c r="AV78" s="10" t="s">
        <v>2095</v>
      </c>
    </row>
    <row r="79" spans="1:49" ht="66">
      <c r="B79" s="1754"/>
      <c r="C79" s="10081"/>
      <c r="D79" s="266" t="s">
        <v>1779</v>
      </c>
      <c r="E79" s="266"/>
      <c r="F79" s="253"/>
      <c r="G79" s="136" t="s">
        <v>203</v>
      </c>
      <c r="H79" s="538">
        <v>53561.909</v>
      </c>
      <c r="I79" s="538"/>
      <c r="J79" s="538">
        <v>63680.3</v>
      </c>
      <c r="K79" s="1755"/>
      <c r="L79" s="291"/>
      <c r="M79" s="275">
        <v>53561.9</v>
      </c>
      <c r="N79" s="151"/>
      <c r="O79" s="275">
        <v>63680.3</v>
      </c>
      <c r="P79" s="1757" t="s">
        <v>2096</v>
      </c>
      <c r="Q79" s="2350"/>
      <c r="R79" s="2186"/>
      <c r="S79" s="2111"/>
      <c r="T79" s="100"/>
      <c r="U79" s="2349"/>
      <c r="V79" s="2187">
        <f t="shared" si="1"/>
        <v>489.56</v>
      </c>
      <c r="W79" s="2111"/>
      <c r="X79" s="275"/>
      <c r="Y79" s="100"/>
      <c r="Z79" s="275"/>
      <c r="AA79" s="100">
        <f>AD79+AJ79</f>
        <v>489.56</v>
      </c>
      <c r="AB79" s="100"/>
      <c r="AC79" s="100"/>
      <c r="AD79" s="100">
        <v>460.35599999999999</v>
      </c>
      <c r="AE79" s="100">
        <f>AE106</f>
        <v>52444.08</v>
      </c>
      <c r="AF79" s="100">
        <f t="shared" ref="AF79:AG79" si="3">AF106</f>
        <v>53818.28</v>
      </c>
      <c r="AG79" s="100">
        <f t="shared" si="3"/>
        <v>54758.91</v>
      </c>
      <c r="AH79" s="100"/>
      <c r="AI79" s="100"/>
      <c r="AJ79" s="100">
        <v>29.204000000000001</v>
      </c>
      <c r="AK79" s="100"/>
      <c r="AL79" s="100"/>
      <c r="AM79" s="100"/>
      <c r="AN79" s="276" t="s">
        <v>219</v>
      </c>
      <c r="AO79" s="99" t="s">
        <v>2095</v>
      </c>
      <c r="AP79" s="138"/>
      <c r="AQ79" s="138"/>
      <c r="AR79" s="99"/>
      <c r="AS79" s="277" t="s">
        <v>221</v>
      </c>
      <c r="AT79" s="264" t="s">
        <v>222</v>
      </c>
      <c r="AU79" s="187"/>
      <c r="AV79" s="10" t="s">
        <v>2095</v>
      </c>
    </row>
    <row r="80" spans="1:49" ht="20.100000000000001" customHeight="1">
      <c r="B80" s="1747"/>
      <c r="C80" s="1758" t="s">
        <v>223</v>
      </c>
      <c r="D80" s="104"/>
      <c r="E80" s="104"/>
      <c r="F80" s="1362"/>
      <c r="G80" s="281" t="s">
        <v>653</v>
      </c>
      <c r="H80" s="282">
        <f>H81/H82</f>
        <v>18.485668552370111</v>
      </c>
      <c r="I80" s="283"/>
      <c r="J80" s="282">
        <f>J81/J82</f>
        <v>10.103675346730824</v>
      </c>
      <c r="K80" s="284"/>
      <c r="L80" s="282" t="str">
        <f>IFERROR(L81/L82,"-")</f>
        <v>-</v>
      </c>
      <c r="M80" s="282">
        <f>M81/M82</f>
        <v>18.485668552370111</v>
      </c>
      <c r="N80" s="1759"/>
      <c r="O80" s="282">
        <f>O81/O82</f>
        <v>10.103489463114888</v>
      </c>
      <c r="P80" s="1759"/>
      <c r="Q80" s="2353" t="str">
        <f>IFERROR(Q81/Q82,"-")</f>
        <v>-</v>
      </c>
      <c r="R80" s="2196"/>
      <c r="S80" s="2110"/>
      <c r="T80" s="282"/>
      <c r="U80" s="2353"/>
      <c r="V80" s="2197">
        <f>IFERROR(V81/V82,"-")</f>
        <v>0.47699407281964429</v>
      </c>
      <c r="W80" s="2110">
        <f>IFERROR(W81/W82,"-")</f>
        <v>0</v>
      </c>
      <c r="X80" s="275"/>
      <c r="Y80" s="282">
        <f>IFERROR(Y81/Y82,"-")</f>
        <v>0</v>
      </c>
      <c r="Z80" s="275"/>
      <c r="AA80" s="282">
        <f t="shared" ref="AA80:AM80" si="4">IFERROR(AA81/AA82,"-")</f>
        <v>0.47699407281964429</v>
      </c>
      <c r="AB80" s="282" t="str">
        <f t="shared" si="4"/>
        <v>-</v>
      </c>
      <c r="AC80" s="282" t="str">
        <f t="shared" si="4"/>
        <v>-</v>
      </c>
      <c r="AD80" s="282" t="str">
        <f t="shared" si="4"/>
        <v>-</v>
      </c>
      <c r="AE80" s="282">
        <f t="shared" si="4"/>
        <v>1.2623131195141075E-3</v>
      </c>
      <c r="AF80" s="282">
        <f t="shared" si="4"/>
        <v>2.6255392028313564E-3</v>
      </c>
      <c r="AG80" s="282">
        <f t="shared" si="4"/>
        <v>1.9451352513668932E-3</v>
      </c>
      <c r="AH80" s="282" t="str">
        <f t="shared" si="4"/>
        <v>-</v>
      </c>
      <c r="AI80" s="282" t="str">
        <f t="shared" si="4"/>
        <v>-</v>
      </c>
      <c r="AJ80" s="282" t="str">
        <f t="shared" si="4"/>
        <v>-</v>
      </c>
      <c r="AK80" s="282" t="str">
        <f t="shared" si="4"/>
        <v>-</v>
      </c>
      <c r="AL80" s="282" t="str">
        <f t="shared" si="4"/>
        <v>-</v>
      </c>
      <c r="AM80" s="282" t="str">
        <f t="shared" si="4"/>
        <v>-</v>
      </c>
      <c r="AN80" s="276" t="s">
        <v>226</v>
      </c>
      <c r="AO80" s="99" t="s">
        <v>2095</v>
      </c>
      <c r="AP80" s="138"/>
      <c r="AQ80" s="138"/>
      <c r="AR80" s="99"/>
      <c r="AS80" s="264" t="s">
        <v>228</v>
      </c>
      <c r="AT80" s="265"/>
      <c r="AU80" s="187"/>
      <c r="AV80" s="10" t="s">
        <v>2095</v>
      </c>
    </row>
    <row r="81" spans="2:48" ht="20.100000000000001" customHeight="1">
      <c r="B81" s="1747"/>
      <c r="C81" s="10081"/>
      <c r="D81" s="104" t="s">
        <v>230</v>
      </c>
      <c r="E81" s="104"/>
      <c r="F81" s="1362"/>
      <c r="G81" s="109" t="s">
        <v>212</v>
      </c>
      <c r="H81" s="290">
        <v>60746.31</v>
      </c>
      <c r="I81" s="290"/>
      <c r="J81" s="290">
        <v>71392.570000000007</v>
      </c>
      <c r="K81" s="284"/>
      <c r="L81" s="291"/>
      <c r="M81" s="293">
        <v>60746.31</v>
      </c>
      <c r="N81" s="151">
        <v>18.485668552370111</v>
      </c>
      <c r="O81" s="293">
        <v>71392.570000000007</v>
      </c>
      <c r="P81" s="294" t="s">
        <v>2096</v>
      </c>
      <c r="Q81" s="2350"/>
      <c r="R81" s="2186"/>
      <c r="S81" s="2111"/>
      <c r="T81" s="100"/>
      <c r="U81" s="2349"/>
      <c r="V81" s="2187">
        <f>AA81</f>
        <v>563.32999999999993</v>
      </c>
      <c r="W81" s="2111"/>
      <c r="X81" s="293"/>
      <c r="Y81" s="100"/>
      <c r="Z81" s="293"/>
      <c r="AA81" s="100">
        <f t="shared" si="2"/>
        <v>563.32999999999993</v>
      </c>
      <c r="AB81" s="100"/>
      <c r="AC81" s="100"/>
      <c r="AD81" s="100">
        <f>AD77</f>
        <v>490.89299999999997</v>
      </c>
      <c r="AE81" s="100">
        <f>AE77</f>
        <v>52444.08</v>
      </c>
      <c r="AF81" s="100">
        <f>AF77</f>
        <v>53818.28</v>
      </c>
      <c r="AG81" s="100">
        <f>AG77</f>
        <v>54758.91</v>
      </c>
      <c r="AH81" s="100"/>
      <c r="AI81" s="100"/>
      <c r="AJ81" s="100">
        <f>AJ77</f>
        <v>72.436999999999998</v>
      </c>
      <c r="AK81" s="100"/>
      <c r="AL81" s="100"/>
      <c r="AM81" s="100"/>
      <c r="AN81" s="276"/>
      <c r="AO81" s="99" t="s">
        <v>2095</v>
      </c>
      <c r="AP81" s="138"/>
      <c r="AQ81" s="138"/>
      <c r="AR81" s="99"/>
      <c r="AS81" s="264" t="s">
        <v>228</v>
      </c>
      <c r="AT81" s="265"/>
      <c r="AU81" s="187"/>
      <c r="AV81" s="10" t="s">
        <v>2095</v>
      </c>
    </row>
    <row r="82" spans="2:48" ht="20.100000000000001" customHeight="1">
      <c r="B82" s="1747"/>
      <c r="C82" s="10081"/>
      <c r="D82" s="104" t="s">
        <v>232</v>
      </c>
      <c r="E82" s="104"/>
      <c r="F82" s="1362"/>
      <c r="G82" s="281" t="s">
        <v>233</v>
      </c>
      <c r="H82" s="290">
        <v>3286.13</v>
      </c>
      <c r="I82" s="290"/>
      <c r="J82" s="290">
        <v>7066</v>
      </c>
      <c r="K82" s="284"/>
      <c r="L82" s="291"/>
      <c r="M82" s="293">
        <v>3286.13</v>
      </c>
      <c r="N82" s="151" t="s">
        <v>704</v>
      </c>
      <c r="O82" s="293">
        <v>7066.13</v>
      </c>
      <c r="P82" s="294" t="s">
        <v>704</v>
      </c>
      <c r="Q82" s="2350"/>
      <c r="R82" s="2186">
        <v>457</v>
      </c>
      <c r="S82" s="2111"/>
      <c r="T82" s="100">
        <v>930</v>
      </c>
      <c r="U82" s="2349"/>
      <c r="V82" s="2187">
        <f>AA82</f>
        <v>1181</v>
      </c>
      <c r="W82" s="2111">
        <v>457</v>
      </c>
      <c r="X82" s="293" t="s">
        <v>2097</v>
      </c>
      <c r="Y82" s="100">
        <v>930</v>
      </c>
      <c r="Z82" s="293" t="s">
        <v>2097</v>
      </c>
      <c r="AA82" s="100">
        <v>1181</v>
      </c>
      <c r="AB82" s="100"/>
      <c r="AC82" s="100"/>
      <c r="AD82" s="100"/>
      <c r="AE82" s="100">
        <v>41546015.159999996</v>
      </c>
      <c r="AF82" s="100">
        <v>20497991.399999999</v>
      </c>
      <c r="AG82" s="100">
        <v>28151723.620000001</v>
      </c>
      <c r="AH82" s="100"/>
      <c r="AI82" s="100"/>
      <c r="AJ82" s="100"/>
      <c r="AK82" s="100"/>
      <c r="AL82" s="100"/>
      <c r="AM82" s="100"/>
      <c r="AN82" s="276"/>
      <c r="AO82" s="99" t="s">
        <v>2095</v>
      </c>
      <c r="AP82" s="138"/>
      <c r="AQ82" s="138"/>
      <c r="AR82" s="99"/>
      <c r="AS82" s="264" t="s">
        <v>228</v>
      </c>
      <c r="AT82" s="265"/>
      <c r="AU82" s="187"/>
      <c r="AV82" s="10" t="s">
        <v>2095</v>
      </c>
    </row>
    <row r="83" spans="2:48" ht="16.899999999999999" customHeight="1">
      <c r="B83" s="1754"/>
      <c r="C83" s="10093" t="s">
        <v>237</v>
      </c>
      <c r="D83" s="10093"/>
      <c r="E83" s="10093"/>
      <c r="F83" s="10093"/>
      <c r="G83" s="109" t="s">
        <v>212</v>
      </c>
      <c r="H83" s="297"/>
      <c r="I83" s="297"/>
      <c r="J83" s="297"/>
      <c r="K83" s="95"/>
      <c r="L83" s="228"/>
      <c r="M83" s="298" t="s">
        <v>169</v>
      </c>
      <c r="N83" s="1760" t="s">
        <v>209</v>
      </c>
      <c r="O83" s="298" t="s">
        <v>169</v>
      </c>
      <c r="P83" s="1760" t="s">
        <v>209</v>
      </c>
      <c r="Q83" s="2350"/>
      <c r="R83" s="2186"/>
      <c r="S83" s="2111"/>
      <c r="T83" s="100"/>
      <c r="U83" s="2349"/>
      <c r="V83" s="2187"/>
      <c r="W83" s="2111"/>
      <c r="X83" s="92"/>
      <c r="Y83" s="100"/>
      <c r="Z83" s="92"/>
      <c r="AA83" s="100"/>
      <c r="AB83" s="100"/>
      <c r="AC83" s="100"/>
      <c r="AD83" s="100"/>
      <c r="AE83" s="100"/>
      <c r="AF83" s="100"/>
      <c r="AG83" s="100"/>
      <c r="AH83" s="100" t="s">
        <v>641</v>
      </c>
      <c r="AI83" s="100" t="s">
        <v>641</v>
      </c>
      <c r="AJ83" s="100" t="s">
        <v>641</v>
      </c>
      <c r="AK83" s="100" t="s">
        <v>641</v>
      </c>
      <c r="AL83" s="100" t="s">
        <v>641</v>
      </c>
      <c r="AM83" s="100" t="s">
        <v>641</v>
      </c>
      <c r="AN83" s="276" t="s">
        <v>2098</v>
      </c>
      <c r="AO83" s="99" t="s">
        <v>206</v>
      </c>
      <c r="AP83" s="138"/>
      <c r="AQ83" s="138"/>
      <c r="AR83" s="299" t="s">
        <v>193</v>
      </c>
      <c r="AS83" s="264" t="s">
        <v>241</v>
      </c>
      <c r="AT83" s="264" t="s">
        <v>242</v>
      </c>
      <c r="AU83" s="187"/>
      <c r="AV83" s="18"/>
    </row>
    <row r="84" spans="2:48" ht="20.100000000000001" customHeight="1">
      <c r="B84" s="1761"/>
      <c r="C84" s="10086" t="s">
        <v>656</v>
      </c>
      <c r="D84" s="9599" t="s">
        <v>660</v>
      </c>
      <c r="E84" s="9599"/>
      <c r="F84" s="9599"/>
      <c r="G84" s="109" t="s">
        <v>212</v>
      </c>
      <c r="H84" s="92"/>
      <c r="I84" s="92" t="s">
        <v>1780</v>
      </c>
      <c r="J84" s="92"/>
      <c r="K84" s="95" t="s">
        <v>1780</v>
      </c>
      <c r="L84" s="228"/>
      <c r="M84" s="297"/>
      <c r="N84" s="151" t="s">
        <v>1780</v>
      </c>
      <c r="O84" s="92"/>
      <c r="P84" s="151" t="s">
        <v>1780</v>
      </c>
      <c r="Q84" s="2350"/>
      <c r="R84" s="2186"/>
      <c r="S84" s="2111"/>
      <c r="T84" s="100"/>
      <c r="U84" s="2349"/>
      <c r="V84" s="2187"/>
      <c r="W84" s="2111"/>
      <c r="X84" s="92"/>
      <c r="Y84" s="100"/>
      <c r="Z84" s="92"/>
      <c r="AA84" s="100"/>
      <c r="AB84" s="100"/>
      <c r="AC84" s="100"/>
      <c r="AD84" s="100"/>
      <c r="AE84" s="100"/>
      <c r="AF84" s="100"/>
      <c r="AG84" s="100"/>
      <c r="AH84" s="100" t="s">
        <v>641</v>
      </c>
      <c r="AI84" s="100" t="s">
        <v>641</v>
      </c>
      <c r="AJ84" s="100" t="s">
        <v>641</v>
      </c>
      <c r="AK84" s="100" t="s">
        <v>641</v>
      </c>
      <c r="AL84" s="100" t="s">
        <v>641</v>
      </c>
      <c r="AM84" s="100" t="s">
        <v>641</v>
      </c>
      <c r="AN84" s="10019" t="s">
        <v>658</v>
      </c>
      <c r="AO84" s="309" t="s">
        <v>249</v>
      </c>
      <c r="AP84" s="138"/>
      <c r="AQ84" s="138"/>
      <c r="AR84" s="299" t="s">
        <v>193</v>
      </c>
      <c r="AS84" s="264" t="s">
        <v>250</v>
      </c>
      <c r="AT84" s="264" t="s">
        <v>242</v>
      </c>
      <c r="AU84" s="187"/>
      <c r="AV84" s="18"/>
    </row>
    <row r="85" spans="2:48" ht="20.100000000000001" customHeight="1">
      <c r="B85" s="1761"/>
      <c r="C85" s="10086"/>
      <c r="D85" s="10094" t="s">
        <v>230</v>
      </c>
      <c r="E85" s="10094"/>
      <c r="F85" s="9599"/>
      <c r="G85" s="109" t="s">
        <v>212</v>
      </c>
      <c r="H85" s="297">
        <f>H81</f>
        <v>60746.31</v>
      </c>
      <c r="I85" s="297" t="s">
        <v>1780</v>
      </c>
      <c r="J85" s="297">
        <f>J81</f>
        <v>71392.570000000007</v>
      </c>
      <c r="K85" s="95" t="s">
        <v>1780</v>
      </c>
      <c r="L85" s="228"/>
      <c r="M85" s="297">
        <f>M81</f>
        <v>60746.31</v>
      </c>
      <c r="N85" s="151" t="s">
        <v>1780</v>
      </c>
      <c r="O85" s="92">
        <f>O81</f>
        <v>71392.570000000007</v>
      </c>
      <c r="P85" s="151" t="s">
        <v>1780</v>
      </c>
      <c r="Q85" s="2350">
        <f>Q81</f>
        <v>0</v>
      </c>
      <c r="R85" s="2186"/>
      <c r="S85" s="2111"/>
      <c r="T85" s="100"/>
      <c r="U85" s="2349"/>
      <c r="V85" s="2187"/>
      <c r="W85" s="2111">
        <f>W81</f>
        <v>0</v>
      </c>
      <c r="X85" s="92"/>
      <c r="Y85" s="100">
        <f>Y81</f>
        <v>0</v>
      </c>
      <c r="Z85" s="92"/>
      <c r="AA85" s="100">
        <f t="shared" ref="AA85:AG85" si="5">AA81</f>
        <v>563.32999999999993</v>
      </c>
      <c r="AB85" s="100">
        <f t="shared" si="5"/>
        <v>0</v>
      </c>
      <c r="AC85" s="100">
        <f t="shared" si="5"/>
        <v>0</v>
      </c>
      <c r="AD85" s="100">
        <f t="shared" si="5"/>
        <v>490.89299999999997</v>
      </c>
      <c r="AE85" s="100">
        <f t="shared" si="5"/>
        <v>52444.08</v>
      </c>
      <c r="AF85" s="100">
        <f t="shared" si="5"/>
        <v>53818.28</v>
      </c>
      <c r="AG85" s="100">
        <f t="shared" si="5"/>
        <v>54758.91</v>
      </c>
      <c r="AH85" s="100" t="s">
        <v>641</v>
      </c>
      <c r="AI85" s="100" t="s">
        <v>641</v>
      </c>
      <c r="AJ85" s="100" t="s">
        <v>641</v>
      </c>
      <c r="AK85" s="100" t="s">
        <v>641</v>
      </c>
      <c r="AL85" s="100" t="s">
        <v>641</v>
      </c>
      <c r="AM85" s="100" t="s">
        <v>641</v>
      </c>
      <c r="AN85" s="10020"/>
      <c r="AO85" s="99" t="s">
        <v>206</v>
      </c>
      <c r="AP85" s="138"/>
      <c r="AQ85" s="138"/>
      <c r="AR85" s="299" t="s">
        <v>193</v>
      </c>
      <c r="AS85" s="264" t="s">
        <v>250</v>
      </c>
      <c r="AT85" s="265"/>
      <c r="AU85" s="187"/>
      <c r="AV85" s="18"/>
    </row>
    <row r="86" spans="2:48" ht="20.100000000000001" customHeight="1">
      <c r="B86" s="1747"/>
      <c r="C86" s="10072" t="s">
        <v>661</v>
      </c>
      <c r="D86" s="10039"/>
      <c r="E86" s="10039"/>
      <c r="F86" s="204" t="s">
        <v>663</v>
      </c>
      <c r="G86" s="109" t="s">
        <v>212</v>
      </c>
      <c r="H86" s="297"/>
      <c r="I86" s="297"/>
      <c r="J86" s="297"/>
      <c r="K86" s="95"/>
      <c r="L86" s="228"/>
      <c r="M86" s="297"/>
      <c r="N86" s="151"/>
      <c r="O86" s="92">
        <v>81175</v>
      </c>
      <c r="P86" s="151"/>
      <c r="Q86" s="2350"/>
      <c r="R86" s="2186"/>
      <c r="S86" s="2111"/>
      <c r="T86" s="100"/>
      <c r="U86" s="2349"/>
      <c r="V86" s="2187"/>
      <c r="W86" s="2111"/>
      <c r="X86" s="92"/>
      <c r="Y86" s="100"/>
      <c r="Z86" s="92"/>
      <c r="AA86" s="100"/>
      <c r="AB86" s="100"/>
      <c r="AC86" s="100"/>
      <c r="AD86" s="100"/>
      <c r="AE86" s="100"/>
      <c r="AF86" s="100"/>
      <c r="AG86" s="100"/>
      <c r="AH86" s="100"/>
      <c r="AI86" s="100"/>
      <c r="AJ86" s="100"/>
      <c r="AK86" s="100"/>
      <c r="AL86" s="100"/>
      <c r="AM86" s="100"/>
      <c r="AN86" s="276"/>
      <c r="AO86" s="99" t="s">
        <v>2095</v>
      </c>
      <c r="AP86" s="138"/>
      <c r="AQ86" s="138"/>
      <c r="AR86" s="99"/>
      <c r="AS86" s="277"/>
      <c r="AT86" s="265" t="s">
        <v>246</v>
      </c>
      <c r="AU86" s="187"/>
      <c r="AV86" s="10" t="s">
        <v>2095</v>
      </c>
    </row>
    <row r="87" spans="2:48" ht="20.100000000000001" customHeight="1">
      <c r="B87" s="1747"/>
      <c r="C87" s="10088"/>
      <c r="D87" s="10089"/>
      <c r="E87" s="10089"/>
      <c r="F87" s="204" t="s">
        <v>318</v>
      </c>
      <c r="G87" s="109" t="s">
        <v>212</v>
      </c>
      <c r="H87" s="297"/>
      <c r="I87" s="297"/>
      <c r="J87" s="297"/>
      <c r="K87" s="95"/>
      <c r="L87" s="228"/>
      <c r="M87" s="297"/>
      <c r="N87" s="151"/>
      <c r="O87" s="92">
        <v>71324</v>
      </c>
      <c r="P87" s="151"/>
      <c r="Q87" s="2350"/>
      <c r="R87" s="2186"/>
      <c r="S87" s="2111"/>
      <c r="T87" s="100"/>
      <c r="U87" s="2349"/>
      <c r="V87" s="2187"/>
      <c r="W87" s="2111"/>
      <c r="X87" s="92"/>
      <c r="Y87" s="100"/>
      <c r="Z87" s="92"/>
      <c r="AA87" s="100"/>
      <c r="AB87" s="100"/>
      <c r="AC87" s="100"/>
      <c r="AD87" s="100"/>
      <c r="AE87" s="100"/>
      <c r="AF87" s="100"/>
      <c r="AG87" s="100"/>
      <c r="AH87" s="100"/>
      <c r="AI87" s="100"/>
      <c r="AJ87" s="100"/>
      <c r="AK87" s="100"/>
      <c r="AL87" s="100"/>
      <c r="AM87" s="100"/>
      <c r="AN87" s="276"/>
      <c r="AO87" s="99" t="s">
        <v>2095</v>
      </c>
      <c r="AP87" s="138"/>
      <c r="AQ87" s="138"/>
      <c r="AR87" s="99"/>
      <c r="AS87" s="277"/>
      <c r="AT87" s="265" t="s">
        <v>246</v>
      </c>
      <c r="AU87" s="187"/>
      <c r="AV87" s="10" t="s">
        <v>2095</v>
      </c>
    </row>
    <row r="88" spans="2:48" ht="20.100000000000001" customHeight="1" thickBot="1">
      <c r="B88" s="1747"/>
      <c r="C88" s="10090"/>
      <c r="D88" s="10091"/>
      <c r="E88" s="10091"/>
      <c r="F88" s="204" t="s">
        <v>312</v>
      </c>
      <c r="G88" s="109" t="s">
        <v>212</v>
      </c>
      <c r="H88" s="297"/>
      <c r="I88" s="297"/>
      <c r="J88" s="297"/>
      <c r="K88" s="95"/>
      <c r="L88" s="228"/>
      <c r="M88" s="297"/>
      <c r="N88" s="151"/>
      <c r="O88" s="92">
        <v>9851</v>
      </c>
      <c r="P88" s="151"/>
      <c r="Q88" s="2350"/>
      <c r="R88" s="2186"/>
      <c r="S88" s="2111"/>
      <c r="T88" s="100"/>
      <c r="U88" s="2349"/>
      <c r="V88" s="2187"/>
      <c r="W88" s="2111"/>
      <c r="X88" s="92"/>
      <c r="Y88" s="100"/>
      <c r="Z88" s="92"/>
      <c r="AA88" s="100"/>
      <c r="AB88" s="100"/>
      <c r="AC88" s="100"/>
      <c r="AD88" s="100"/>
      <c r="AE88" s="100"/>
      <c r="AF88" s="100"/>
      <c r="AG88" s="100"/>
      <c r="AH88" s="100"/>
      <c r="AI88" s="100"/>
      <c r="AJ88" s="100"/>
      <c r="AK88" s="100"/>
      <c r="AL88" s="100"/>
      <c r="AM88" s="100"/>
      <c r="AN88" s="276"/>
      <c r="AO88" s="99" t="s">
        <v>2095</v>
      </c>
      <c r="AP88" s="138"/>
      <c r="AQ88" s="138"/>
      <c r="AR88" s="99"/>
      <c r="AS88" s="277"/>
      <c r="AT88" s="265" t="s">
        <v>246</v>
      </c>
      <c r="AU88" s="187"/>
      <c r="AV88" s="10" t="s">
        <v>2095</v>
      </c>
    </row>
    <row r="89" spans="2:48" ht="27" thickBot="1">
      <c r="B89" s="123" t="s">
        <v>252</v>
      </c>
      <c r="C89" s="124"/>
      <c r="D89" s="124"/>
      <c r="E89" s="124"/>
      <c r="F89" s="124"/>
      <c r="G89" s="78"/>
      <c r="H89" s="1732"/>
      <c r="I89" s="1732"/>
      <c r="J89" s="1732"/>
      <c r="K89" s="1732"/>
      <c r="L89" s="1732"/>
      <c r="M89" s="1733"/>
      <c r="N89" s="1734"/>
      <c r="O89" s="1733"/>
      <c r="P89" s="1734"/>
      <c r="Q89" s="1733"/>
      <c r="R89" s="2175"/>
      <c r="S89" s="148"/>
      <c r="T89" s="148"/>
      <c r="U89" s="148"/>
      <c r="V89" s="2176"/>
      <c r="W89" s="148"/>
      <c r="X89" s="148"/>
      <c r="Y89" s="148"/>
      <c r="Z89" s="148"/>
      <c r="AA89" s="148"/>
      <c r="AB89" s="148"/>
      <c r="AC89" s="148"/>
      <c r="AD89" s="148"/>
      <c r="AE89" s="148"/>
      <c r="AF89" s="148"/>
      <c r="AG89" s="148"/>
      <c r="AH89" s="148"/>
      <c r="AI89" s="148"/>
      <c r="AJ89" s="148"/>
      <c r="AK89" s="148"/>
      <c r="AL89" s="148"/>
      <c r="AM89" s="148"/>
      <c r="AN89" s="80"/>
      <c r="AO89" s="129"/>
      <c r="AP89" s="129"/>
      <c r="AQ89" s="129"/>
      <c r="AR89" s="129"/>
      <c r="AS89" s="328"/>
      <c r="AT89" s="328"/>
      <c r="AU89" s="329"/>
    </row>
    <row r="90" spans="2:48" ht="20.100000000000001" customHeight="1">
      <c r="B90" s="1762"/>
      <c r="C90" s="10092" t="s">
        <v>254</v>
      </c>
      <c r="D90" s="10092"/>
      <c r="E90" s="10092"/>
      <c r="F90" s="10092"/>
      <c r="G90" s="91" t="s">
        <v>255</v>
      </c>
      <c r="H90" s="331">
        <f>H91+H92</f>
        <v>1268.5</v>
      </c>
      <c r="I90" s="332"/>
      <c r="J90" s="331">
        <f t="shared" ref="J90:O90" si="6">J91+J92</f>
        <v>1491.8940000000002</v>
      </c>
      <c r="K90" s="333"/>
      <c r="L90" s="334">
        <f t="shared" si="6"/>
        <v>0</v>
      </c>
      <c r="M90" s="331">
        <f t="shared" si="6"/>
        <v>1268.5</v>
      </c>
      <c r="N90" s="1763"/>
      <c r="O90" s="331">
        <f t="shared" si="6"/>
        <v>1491.8940000000002</v>
      </c>
      <c r="P90" s="331"/>
      <c r="Q90" s="2355">
        <f>IFERROR(Q91+Q92,"-")</f>
        <v>0</v>
      </c>
      <c r="R90" s="2201"/>
      <c r="S90" s="2112"/>
      <c r="T90" s="331"/>
      <c r="U90" s="2355"/>
      <c r="V90" s="2202"/>
      <c r="W90" s="2114">
        <f>AB90+AE90+AH90+AK90</f>
        <v>0</v>
      </c>
      <c r="X90" s="293"/>
      <c r="Y90" s="354">
        <f>AC90+AF90+AI90+AL90</f>
        <v>0</v>
      </c>
      <c r="Z90" s="293"/>
      <c r="AA90" s="354">
        <f>AD90+AG90+AJ90+AM90</f>
        <v>11.554</v>
      </c>
      <c r="AB90" s="331">
        <f t="shared" ref="AB90:AM90" si="7">IFERROR(AB91+AB92,"-")</f>
        <v>0</v>
      </c>
      <c r="AC90" s="331">
        <f t="shared" si="7"/>
        <v>0</v>
      </c>
      <c r="AD90" s="331">
        <f t="shared" si="7"/>
        <v>10.092000000000001</v>
      </c>
      <c r="AE90" s="331">
        <f t="shared" si="7"/>
        <v>0</v>
      </c>
      <c r="AF90" s="331">
        <f t="shared" si="7"/>
        <v>0</v>
      </c>
      <c r="AG90" s="331">
        <f t="shared" si="7"/>
        <v>0</v>
      </c>
      <c r="AH90" s="331">
        <f t="shared" si="7"/>
        <v>0</v>
      </c>
      <c r="AI90" s="331">
        <f t="shared" si="7"/>
        <v>0</v>
      </c>
      <c r="AJ90" s="331">
        <f t="shared" si="7"/>
        <v>1.462</v>
      </c>
      <c r="AK90" s="331">
        <f t="shared" si="7"/>
        <v>0</v>
      </c>
      <c r="AL90" s="331">
        <f t="shared" si="7"/>
        <v>0</v>
      </c>
      <c r="AM90" s="331">
        <f t="shared" si="7"/>
        <v>0</v>
      </c>
      <c r="AN90" s="262" t="s">
        <v>257</v>
      </c>
      <c r="AO90" s="99" t="s">
        <v>2095</v>
      </c>
      <c r="AP90" s="138"/>
      <c r="AQ90" s="138"/>
      <c r="AR90" s="99"/>
      <c r="AS90" s="336" t="s">
        <v>2099</v>
      </c>
      <c r="AT90" s="265" t="s">
        <v>260</v>
      </c>
      <c r="AU90" s="159" t="s">
        <v>261</v>
      </c>
      <c r="AV90" s="10" t="s">
        <v>2095</v>
      </c>
    </row>
    <row r="91" spans="2:48" ht="20.100000000000001" customHeight="1">
      <c r="B91" s="1754"/>
      <c r="C91" s="10081"/>
      <c r="D91" s="9749" t="s">
        <v>262</v>
      </c>
      <c r="E91" s="9749"/>
      <c r="F91" s="9749"/>
      <c r="G91" s="91" t="s">
        <v>255</v>
      </c>
      <c r="H91" s="1764">
        <v>1268.5</v>
      </c>
      <c r="I91" s="1765"/>
      <c r="J91" s="1764">
        <v>1491.8940000000002</v>
      </c>
      <c r="K91" s="1764"/>
      <c r="L91" s="876"/>
      <c r="M91" s="1766">
        <v>1268.5</v>
      </c>
      <c r="N91" s="1767" t="s">
        <v>667</v>
      </c>
      <c r="O91" s="1766">
        <v>1491.8940000000002</v>
      </c>
      <c r="P91" s="1768" t="s">
        <v>668</v>
      </c>
      <c r="Q91" s="5301"/>
      <c r="R91" s="2267"/>
      <c r="S91" s="2113"/>
      <c r="T91" s="335"/>
      <c r="U91" s="2369"/>
      <c r="V91" s="2268"/>
      <c r="W91" s="2113"/>
      <c r="X91" s="342"/>
      <c r="Y91" s="335"/>
      <c r="Z91" s="342"/>
      <c r="AA91" s="335"/>
      <c r="AB91" s="335"/>
      <c r="AC91" s="335"/>
      <c r="AD91" s="335">
        <v>10.092000000000001</v>
      </c>
      <c r="AE91" s="335"/>
      <c r="AF91" s="335"/>
      <c r="AG91" s="335"/>
      <c r="AH91" s="335"/>
      <c r="AI91" s="335"/>
      <c r="AJ91" s="335">
        <v>1.462</v>
      </c>
      <c r="AK91" s="335"/>
      <c r="AL91" s="335"/>
      <c r="AM91" s="335"/>
      <c r="AN91" s="263" t="s">
        <v>264</v>
      </c>
      <c r="AO91" s="99" t="s">
        <v>2095</v>
      </c>
      <c r="AP91" s="138"/>
      <c r="AQ91" s="138"/>
      <c r="AR91" s="99"/>
      <c r="AS91" s="336" t="s">
        <v>266</v>
      </c>
      <c r="AT91" s="154"/>
      <c r="AU91" s="159"/>
      <c r="AV91" s="10" t="s">
        <v>2095</v>
      </c>
    </row>
    <row r="92" spans="2:48" ht="20.100000000000001" customHeight="1">
      <c r="B92" s="1769"/>
      <c r="C92" s="10081"/>
      <c r="D92" s="9749" t="s">
        <v>273</v>
      </c>
      <c r="E92" s="9749"/>
      <c r="F92" s="9749"/>
      <c r="G92" s="91" t="s">
        <v>255</v>
      </c>
      <c r="H92" s="1764">
        <v>0</v>
      </c>
      <c r="I92" s="1765"/>
      <c r="J92" s="1764">
        <v>0</v>
      </c>
      <c r="K92" s="1764"/>
      <c r="L92" s="876"/>
      <c r="M92" s="1766">
        <v>0</v>
      </c>
      <c r="N92" s="1767" t="s">
        <v>670</v>
      </c>
      <c r="O92" s="1766">
        <v>0</v>
      </c>
      <c r="P92" s="1768" t="s">
        <v>670</v>
      </c>
      <c r="Q92" s="5301"/>
      <c r="R92" s="2267"/>
      <c r="S92" s="2113"/>
      <c r="T92" s="335"/>
      <c r="U92" s="2369"/>
      <c r="V92" s="2268"/>
      <c r="W92" s="2113"/>
      <c r="X92" s="342"/>
      <c r="Y92" s="335"/>
      <c r="Z92" s="342"/>
      <c r="AA92" s="335"/>
      <c r="AB92" s="335"/>
      <c r="AC92" s="335"/>
      <c r="AD92" s="335"/>
      <c r="AE92" s="335"/>
      <c r="AF92" s="335"/>
      <c r="AG92" s="335"/>
      <c r="AH92" s="335"/>
      <c r="AI92" s="335"/>
      <c r="AJ92" s="335"/>
      <c r="AK92" s="335"/>
      <c r="AL92" s="335"/>
      <c r="AM92" s="335"/>
      <c r="AN92" s="263" t="s">
        <v>275</v>
      </c>
      <c r="AO92" s="99" t="s">
        <v>2095</v>
      </c>
      <c r="AP92" s="138"/>
      <c r="AQ92" s="138"/>
      <c r="AR92" s="99"/>
      <c r="AS92" s="336" t="s">
        <v>277</v>
      </c>
      <c r="AT92" s="154"/>
      <c r="AU92" s="159"/>
      <c r="AV92" s="10" t="s">
        <v>2095</v>
      </c>
    </row>
    <row r="93" spans="2:48" ht="20.100000000000001" customHeight="1">
      <c r="B93" s="1770"/>
      <c r="C93" s="10038" t="s">
        <v>296</v>
      </c>
      <c r="D93" s="10038"/>
      <c r="E93" s="10038"/>
      <c r="F93" s="10038"/>
      <c r="G93" s="281" t="s">
        <v>255</v>
      </c>
      <c r="H93" s="92"/>
      <c r="I93" s="92" t="s">
        <v>1780</v>
      </c>
      <c r="J93" s="92"/>
      <c r="K93" s="92" t="s">
        <v>1780</v>
      </c>
      <c r="L93" s="228"/>
      <c r="M93" s="92"/>
      <c r="N93" s="151" t="s">
        <v>1780</v>
      </c>
      <c r="O93" s="275"/>
      <c r="P93" s="151" t="s">
        <v>1780</v>
      </c>
      <c r="Q93" s="2350"/>
      <c r="R93" s="2186"/>
      <c r="S93" s="2111"/>
      <c r="T93" s="100"/>
      <c r="U93" s="2349"/>
      <c r="V93" s="2187"/>
      <c r="W93" s="2111"/>
      <c r="X93" s="293"/>
      <c r="Y93" s="100"/>
      <c r="Z93" s="293"/>
      <c r="AA93" s="100"/>
      <c r="AB93" s="100"/>
      <c r="AC93" s="100"/>
      <c r="AD93" s="100"/>
      <c r="AE93" s="100"/>
      <c r="AF93" s="100"/>
      <c r="AG93" s="100"/>
      <c r="AH93" s="100"/>
      <c r="AI93" s="100"/>
      <c r="AJ93" s="100"/>
      <c r="AK93" s="100"/>
      <c r="AL93" s="100"/>
      <c r="AM93" s="100"/>
      <c r="AN93" s="276" t="s">
        <v>298</v>
      </c>
      <c r="AO93" s="99" t="s">
        <v>2095</v>
      </c>
      <c r="AP93" s="138"/>
      <c r="AQ93" s="138"/>
      <c r="AR93" s="99"/>
      <c r="AS93" s="346" t="s">
        <v>300</v>
      </c>
      <c r="AT93" s="265"/>
      <c r="AU93" s="187"/>
      <c r="AV93" s="10" t="s">
        <v>2095</v>
      </c>
    </row>
    <row r="94" spans="2:48" ht="20.100000000000001" customHeight="1">
      <c r="B94" s="1770"/>
      <c r="C94" s="10081"/>
      <c r="D94" s="9770" t="s">
        <v>303</v>
      </c>
      <c r="E94" s="9770"/>
      <c r="F94" s="9770"/>
      <c r="G94" s="281" t="s">
        <v>255</v>
      </c>
      <c r="H94" s="350"/>
      <c r="I94" s="350" t="s">
        <v>1780</v>
      </c>
      <c r="J94" s="350"/>
      <c r="K94" s="350" t="s">
        <v>1780</v>
      </c>
      <c r="L94" s="351"/>
      <c r="M94" s="350"/>
      <c r="N94" s="1771" t="s">
        <v>1780</v>
      </c>
      <c r="O94" s="1772"/>
      <c r="P94" s="151" t="s">
        <v>1780</v>
      </c>
      <c r="Q94" s="2350"/>
      <c r="R94" s="2186"/>
      <c r="S94" s="2111"/>
      <c r="T94" s="100"/>
      <c r="U94" s="2349"/>
      <c r="V94" s="2187"/>
      <c r="W94" s="2111"/>
      <c r="X94" s="293"/>
      <c r="Y94" s="100"/>
      <c r="Z94" s="293"/>
      <c r="AA94" s="100"/>
      <c r="AB94" s="100"/>
      <c r="AC94" s="100"/>
      <c r="AD94" s="100"/>
      <c r="AE94" s="100"/>
      <c r="AF94" s="100"/>
      <c r="AG94" s="100"/>
      <c r="AH94" s="100"/>
      <c r="AI94" s="100"/>
      <c r="AJ94" s="100"/>
      <c r="AK94" s="100"/>
      <c r="AL94" s="100"/>
      <c r="AM94" s="100"/>
      <c r="AN94" s="276"/>
      <c r="AO94" s="99" t="s">
        <v>2095</v>
      </c>
      <c r="AP94" s="138"/>
      <c r="AQ94" s="138"/>
      <c r="AR94" s="309"/>
      <c r="AS94" s="346" t="s">
        <v>300</v>
      </c>
      <c r="AT94" s="265"/>
      <c r="AU94" s="187"/>
      <c r="AV94" s="10" t="s">
        <v>2095</v>
      </c>
    </row>
    <row r="95" spans="2:48" ht="20.100000000000001" customHeight="1">
      <c r="B95" s="1770"/>
      <c r="C95" s="10081"/>
      <c r="D95" s="9770" t="s">
        <v>1781</v>
      </c>
      <c r="E95" s="9770"/>
      <c r="F95" s="9770"/>
      <c r="G95" s="280" t="s">
        <v>255</v>
      </c>
      <c r="H95" s="354">
        <f>H106+H107</f>
        <v>1096.472</v>
      </c>
      <c r="I95" s="355"/>
      <c r="J95" s="354">
        <f>J106+J107</f>
        <v>1304.46</v>
      </c>
      <c r="K95" s="298"/>
      <c r="L95" s="356">
        <f>L106+L107</f>
        <v>0</v>
      </c>
      <c r="M95" s="354">
        <f>M106+M107</f>
        <v>1096.472</v>
      </c>
      <c r="N95" s="1773"/>
      <c r="O95" s="354">
        <f>O106+O107</f>
        <v>1304.46</v>
      </c>
      <c r="P95" s="354">
        <f>P106+P107</f>
        <v>0</v>
      </c>
      <c r="Q95" s="2356">
        <f>Q106+Q107</f>
        <v>0</v>
      </c>
      <c r="R95" s="2205"/>
      <c r="S95" s="2114"/>
      <c r="T95" s="354"/>
      <c r="U95" s="2356"/>
      <c r="V95" s="2206"/>
      <c r="W95" s="2114">
        <f>AB95+AE95+AH95+AK95</f>
        <v>52444.08</v>
      </c>
      <c r="X95" s="293"/>
      <c r="Y95" s="354">
        <f>AC95+AF95+AI95+AL95</f>
        <v>53818.28</v>
      </c>
      <c r="Z95" s="293"/>
      <c r="AA95" s="354">
        <f>AD95+AG95+AJ95+AM95</f>
        <v>10.23</v>
      </c>
      <c r="AB95" s="354">
        <f t="shared" ref="AB95:AM95" si="8">AB106+AB107</f>
        <v>0</v>
      </c>
      <c r="AC95" s="354">
        <f t="shared" si="8"/>
        <v>0</v>
      </c>
      <c r="AD95" s="354">
        <f t="shared" si="8"/>
        <v>9.620000000000001</v>
      </c>
      <c r="AE95" s="354">
        <f t="shared" si="8"/>
        <v>52444.08</v>
      </c>
      <c r="AF95" s="354">
        <f t="shared" si="8"/>
        <v>53818.28</v>
      </c>
      <c r="AG95" s="354"/>
      <c r="AH95" s="354">
        <f t="shared" si="8"/>
        <v>0</v>
      </c>
      <c r="AI95" s="354">
        <f t="shared" si="8"/>
        <v>0</v>
      </c>
      <c r="AJ95" s="354">
        <f t="shared" si="8"/>
        <v>0.61</v>
      </c>
      <c r="AK95" s="354">
        <f t="shared" si="8"/>
        <v>0</v>
      </c>
      <c r="AL95" s="354">
        <f t="shared" si="8"/>
        <v>0</v>
      </c>
      <c r="AM95" s="354">
        <f t="shared" si="8"/>
        <v>0</v>
      </c>
      <c r="AN95" s="276"/>
      <c r="AO95" s="99" t="s">
        <v>2095</v>
      </c>
      <c r="AP95" s="138"/>
      <c r="AQ95" s="138"/>
      <c r="AR95" s="99"/>
      <c r="AS95" s="346" t="s">
        <v>300</v>
      </c>
      <c r="AT95" s="265"/>
      <c r="AU95" s="187"/>
      <c r="AV95" s="10" t="s">
        <v>2095</v>
      </c>
    </row>
    <row r="96" spans="2:48" ht="20.100000000000001" customHeight="1">
      <c r="B96" s="1774"/>
      <c r="C96" s="1775" t="s">
        <v>671</v>
      </c>
      <c r="D96" s="357"/>
      <c r="E96" s="104"/>
      <c r="F96" s="1776"/>
      <c r="G96" s="136" t="s">
        <v>255</v>
      </c>
      <c r="H96" s="1777">
        <f>H97+H98</f>
        <v>1268.5</v>
      </c>
      <c r="I96" s="1778"/>
      <c r="J96" s="1777">
        <f>J97+J98</f>
        <v>1491.894</v>
      </c>
      <c r="K96" s="1755"/>
      <c r="L96" s="1779">
        <f>L97+L98</f>
        <v>0</v>
      </c>
      <c r="M96" s="1779">
        <f>M97+M98</f>
        <v>1268.5</v>
      </c>
      <c r="N96" s="1780"/>
      <c r="O96" s="366">
        <f>O97+O98</f>
        <v>1491.894</v>
      </c>
      <c r="P96" s="785"/>
      <c r="Q96" s="4825">
        <f>Q97+Q98</f>
        <v>0</v>
      </c>
      <c r="R96" s="2385"/>
      <c r="S96" s="2115"/>
      <c r="T96" s="366"/>
      <c r="U96" s="4825"/>
      <c r="V96" s="2386"/>
      <c r="W96" s="2115">
        <f>W97+W98</f>
        <v>0</v>
      </c>
      <c r="X96" s="342"/>
      <c r="Y96" s="366">
        <f>Y97+Y98</f>
        <v>0</v>
      </c>
      <c r="Z96" s="342"/>
      <c r="AA96" s="366">
        <f t="shared" ref="AA96:AM96" si="9">AA97+AA98</f>
        <v>0</v>
      </c>
      <c r="AB96" s="366">
        <f t="shared" si="9"/>
        <v>0</v>
      </c>
      <c r="AC96" s="366">
        <f t="shared" si="9"/>
        <v>0</v>
      </c>
      <c r="AD96" s="366">
        <f t="shared" si="9"/>
        <v>10.092000000000001</v>
      </c>
      <c r="AE96" s="366">
        <f t="shared" si="9"/>
        <v>0</v>
      </c>
      <c r="AF96" s="366">
        <f t="shared" si="9"/>
        <v>0</v>
      </c>
      <c r="AG96" s="366">
        <f t="shared" si="9"/>
        <v>0</v>
      </c>
      <c r="AH96" s="366">
        <f t="shared" si="9"/>
        <v>0</v>
      </c>
      <c r="AI96" s="366">
        <f t="shared" si="9"/>
        <v>0</v>
      </c>
      <c r="AJ96" s="366">
        <f t="shared" si="9"/>
        <v>1.462</v>
      </c>
      <c r="AK96" s="366">
        <f t="shared" si="9"/>
        <v>0</v>
      </c>
      <c r="AL96" s="366">
        <f t="shared" si="9"/>
        <v>0</v>
      </c>
      <c r="AM96" s="366">
        <f t="shared" si="9"/>
        <v>0</v>
      </c>
      <c r="AN96" s="367" t="s">
        <v>672</v>
      </c>
      <c r="AO96" s="99" t="s">
        <v>2095</v>
      </c>
      <c r="AP96" s="138"/>
      <c r="AQ96" s="138"/>
      <c r="AR96" s="99"/>
      <c r="AS96" s="336" t="s">
        <v>269</v>
      </c>
      <c r="AT96" s="265"/>
      <c r="AU96" s="187"/>
      <c r="AV96" s="10" t="s">
        <v>2095</v>
      </c>
    </row>
    <row r="97" spans="2:48" ht="20.100000000000001" customHeight="1">
      <c r="B97" s="1774"/>
      <c r="C97" s="10087"/>
      <c r="D97" s="9598" t="s">
        <v>267</v>
      </c>
      <c r="E97" s="9598"/>
      <c r="F97" s="9598"/>
      <c r="G97" s="136" t="s">
        <v>255</v>
      </c>
      <c r="H97" s="538">
        <v>172.10000000000002</v>
      </c>
      <c r="I97" s="1781" t="s">
        <v>209</v>
      </c>
      <c r="J97" s="538">
        <v>187.43400000000003</v>
      </c>
      <c r="K97" s="1782" t="s">
        <v>209</v>
      </c>
      <c r="L97" s="228"/>
      <c r="M97" s="275">
        <v>172.10000000000002</v>
      </c>
      <c r="N97" s="1757" t="s">
        <v>673</v>
      </c>
      <c r="O97" s="275">
        <v>187.43400000000003</v>
      </c>
      <c r="P97" s="1783" t="s">
        <v>674</v>
      </c>
      <c r="Q97" s="2350"/>
      <c r="R97" s="2186"/>
      <c r="S97" s="2111"/>
      <c r="T97" s="100"/>
      <c r="U97" s="2349"/>
      <c r="V97" s="2187"/>
      <c r="W97" s="2111"/>
      <c r="X97" s="342"/>
      <c r="Y97" s="100"/>
      <c r="Z97" s="342"/>
      <c r="AA97" s="100"/>
      <c r="AB97" s="100"/>
      <c r="AC97" s="100"/>
      <c r="AD97" s="100">
        <v>0.47199999999999998</v>
      </c>
      <c r="AE97" s="100"/>
      <c r="AF97" s="100"/>
      <c r="AG97" s="100"/>
      <c r="AH97" s="100"/>
      <c r="AI97" s="100"/>
      <c r="AJ97" s="100">
        <v>0.85199999999999998</v>
      </c>
      <c r="AK97" s="100"/>
      <c r="AL97" s="100"/>
      <c r="AM97" s="100"/>
      <c r="AN97" s="367"/>
      <c r="AO97" s="99" t="s">
        <v>2095</v>
      </c>
      <c r="AP97" s="138"/>
      <c r="AQ97" s="138"/>
      <c r="AR97" s="99"/>
      <c r="AS97" s="186" t="s">
        <v>269</v>
      </c>
      <c r="AT97" s="265"/>
      <c r="AU97" s="187"/>
      <c r="AV97" s="10" t="s">
        <v>2095</v>
      </c>
    </row>
    <row r="98" spans="2:48" ht="20.100000000000001" customHeight="1">
      <c r="B98" s="1774"/>
      <c r="C98" s="10087"/>
      <c r="D98" s="9598" t="s">
        <v>270</v>
      </c>
      <c r="E98" s="9598"/>
      <c r="F98" s="9598"/>
      <c r="G98" s="372" t="s">
        <v>255</v>
      </c>
      <c r="H98" s="538">
        <v>1096.4000000000001</v>
      </c>
      <c r="I98" s="1781"/>
      <c r="J98" s="538">
        <v>1304.46</v>
      </c>
      <c r="K98" s="1784"/>
      <c r="L98" s="228"/>
      <c r="M98" s="293">
        <v>1096.4000000000001</v>
      </c>
      <c r="N98" s="294"/>
      <c r="O98" s="275">
        <v>1304.46</v>
      </c>
      <c r="P98" s="1783" t="s">
        <v>668</v>
      </c>
      <c r="Q98" s="2350"/>
      <c r="R98" s="2186"/>
      <c r="S98" s="2111"/>
      <c r="T98" s="100"/>
      <c r="U98" s="2349"/>
      <c r="V98" s="2187"/>
      <c r="W98" s="2111"/>
      <c r="X98" s="342"/>
      <c r="Y98" s="100"/>
      <c r="Z98" s="342"/>
      <c r="AA98" s="100"/>
      <c r="AB98" s="100"/>
      <c r="AC98" s="100"/>
      <c r="AD98" s="100">
        <f>AD106</f>
        <v>9.620000000000001</v>
      </c>
      <c r="AE98" s="100"/>
      <c r="AF98" s="100"/>
      <c r="AG98" s="100"/>
      <c r="AH98" s="100"/>
      <c r="AI98" s="100"/>
      <c r="AJ98" s="100">
        <f>AJ106</f>
        <v>0.61</v>
      </c>
      <c r="AK98" s="100"/>
      <c r="AL98" s="100"/>
      <c r="AM98" s="100"/>
      <c r="AN98" s="367"/>
      <c r="AO98" s="99" t="s">
        <v>2095</v>
      </c>
      <c r="AP98" s="138"/>
      <c r="AQ98" s="138"/>
      <c r="AR98" s="99"/>
      <c r="AS98" s="186" t="s">
        <v>269</v>
      </c>
      <c r="AT98" s="265"/>
      <c r="AU98" s="187"/>
      <c r="AV98" s="10" t="s">
        <v>2095</v>
      </c>
    </row>
    <row r="99" spans="2:48" ht="20.100000000000001" customHeight="1">
      <c r="B99" s="1774"/>
      <c r="C99" s="266" t="s">
        <v>675</v>
      </c>
      <c r="D99" s="357"/>
      <c r="E99" s="104"/>
      <c r="F99" s="1362"/>
      <c r="G99" s="281" t="s">
        <v>255</v>
      </c>
      <c r="H99" s="1779">
        <f>H100+H101+H102</f>
        <v>0</v>
      </c>
      <c r="I99" s="1778" t="s">
        <v>209</v>
      </c>
      <c r="J99" s="1779">
        <f>J100+J101+J102</f>
        <v>0</v>
      </c>
      <c r="K99" s="1785" t="s">
        <v>209</v>
      </c>
      <c r="L99" s="1779">
        <f>L100+L101+L102</f>
        <v>0</v>
      </c>
      <c r="M99" s="1779">
        <f>M100+M101+M102</f>
        <v>0</v>
      </c>
      <c r="N99" s="1786" t="s">
        <v>209</v>
      </c>
      <c r="O99" s="366">
        <f>O100+O101+O102</f>
        <v>0</v>
      </c>
      <c r="P99" s="1786" t="s">
        <v>209</v>
      </c>
      <c r="Q99" s="2065">
        <f>Q100+Q101+Q102</f>
        <v>0</v>
      </c>
      <c r="R99" s="2342"/>
      <c r="S99" s="2116"/>
      <c r="T99" s="378"/>
      <c r="U99" s="2352"/>
      <c r="V99" s="2343"/>
      <c r="W99" s="2116">
        <f>W100+W101+W102</f>
        <v>0</v>
      </c>
      <c r="X99" s="342"/>
      <c r="Y99" s="378">
        <f>Y100+Y101+Y102</f>
        <v>0</v>
      </c>
      <c r="Z99" s="342"/>
      <c r="AA99" s="378">
        <f t="shared" ref="AA99:AM99" si="10">AA100+AA101+AA102</f>
        <v>0</v>
      </c>
      <c r="AB99" s="378">
        <f t="shared" si="10"/>
        <v>0</v>
      </c>
      <c r="AC99" s="378">
        <f t="shared" si="10"/>
        <v>0</v>
      </c>
      <c r="AD99" s="378">
        <f t="shared" si="10"/>
        <v>0</v>
      </c>
      <c r="AE99" s="378">
        <f t="shared" si="10"/>
        <v>0</v>
      </c>
      <c r="AF99" s="378">
        <f t="shared" si="10"/>
        <v>0</v>
      </c>
      <c r="AG99" s="378">
        <f t="shared" si="10"/>
        <v>0</v>
      </c>
      <c r="AH99" s="378">
        <f t="shared" si="10"/>
        <v>0</v>
      </c>
      <c r="AI99" s="378">
        <f t="shared" si="10"/>
        <v>0</v>
      </c>
      <c r="AJ99" s="378">
        <f t="shared" si="10"/>
        <v>0</v>
      </c>
      <c r="AK99" s="378">
        <f t="shared" si="10"/>
        <v>0</v>
      </c>
      <c r="AL99" s="378">
        <f t="shared" si="10"/>
        <v>0</v>
      </c>
      <c r="AM99" s="378">
        <f t="shared" si="10"/>
        <v>0</v>
      </c>
      <c r="AN99" s="276" t="s">
        <v>676</v>
      </c>
      <c r="AO99" s="99" t="s">
        <v>2095</v>
      </c>
      <c r="AP99" s="138"/>
      <c r="AQ99" s="138"/>
      <c r="AR99" s="99"/>
      <c r="AS99" s="336" t="s">
        <v>280</v>
      </c>
      <c r="AT99" s="265"/>
      <c r="AU99" s="187"/>
      <c r="AV99" s="10" t="s">
        <v>2095</v>
      </c>
    </row>
    <row r="100" spans="2:48" ht="20.100000000000001" customHeight="1">
      <c r="B100" s="1787"/>
      <c r="C100" s="10086"/>
      <c r="D100" s="357" t="s">
        <v>278</v>
      </c>
      <c r="E100" s="357" t="s">
        <v>278</v>
      </c>
      <c r="F100" s="1362"/>
      <c r="G100" s="281" t="s">
        <v>255</v>
      </c>
      <c r="H100" s="539">
        <v>0</v>
      </c>
      <c r="I100" s="1781" t="s">
        <v>209</v>
      </c>
      <c r="J100" s="539">
        <v>0</v>
      </c>
      <c r="K100" s="1785" t="s">
        <v>209</v>
      </c>
      <c r="L100" s="228"/>
      <c r="M100" s="293"/>
      <c r="N100" s="1788" t="s">
        <v>209</v>
      </c>
      <c r="O100" s="275"/>
      <c r="P100" s="1789" t="s">
        <v>209</v>
      </c>
      <c r="Q100" s="2350"/>
      <c r="R100" s="2186"/>
      <c r="S100" s="2111"/>
      <c r="T100" s="100"/>
      <c r="U100" s="2349"/>
      <c r="V100" s="2187"/>
      <c r="W100" s="2111"/>
      <c r="X100" s="342"/>
      <c r="Y100" s="100"/>
      <c r="Z100" s="342"/>
      <c r="AA100" s="100"/>
      <c r="AB100" s="100"/>
      <c r="AC100" s="100"/>
      <c r="AD100" s="100"/>
      <c r="AE100" s="100"/>
      <c r="AF100" s="100"/>
      <c r="AG100" s="100"/>
      <c r="AH100" s="100"/>
      <c r="AI100" s="100"/>
      <c r="AJ100" s="100"/>
      <c r="AK100" s="100"/>
      <c r="AL100" s="100"/>
      <c r="AM100" s="100"/>
      <c r="AN100" s="276"/>
      <c r="AO100" s="99" t="s">
        <v>2095</v>
      </c>
      <c r="AP100" s="138"/>
      <c r="AQ100" s="138"/>
      <c r="AR100" s="99"/>
      <c r="AS100" s="336" t="s">
        <v>280</v>
      </c>
      <c r="AT100" s="265"/>
      <c r="AU100" s="187"/>
      <c r="AV100" s="10" t="s">
        <v>2095</v>
      </c>
    </row>
    <row r="101" spans="2:48" ht="20.100000000000001" customHeight="1">
      <c r="B101" s="1787"/>
      <c r="C101" s="10086"/>
      <c r="D101" s="9598" t="s">
        <v>281</v>
      </c>
      <c r="E101" s="9598"/>
      <c r="F101" s="9598"/>
      <c r="G101" s="281" t="s">
        <v>255</v>
      </c>
      <c r="H101" s="539">
        <v>0</v>
      </c>
      <c r="I101" s="1781" t="s">
        <v>209</v>
      </c>
      <c r="J101" s="539">
        <v>0</v>
      </c>
      <c r="K101" s="1785" t="s">
        <v>209</v>
      </c>
      <c r="L101" s="228"/>
      <c r="M101" s="293"/>
      <c r="N101" s="294" t="s">
        <v>670</v>
      </c>
      <c r="O101" s="275"/>
      <c r="P101" s="1757" t="s">
        <v>670</v>
      </c>
      <c r="Q101" s="2350"/>
      <c r="R101" s="2186"/>
      <c r="S101" s="2111"/>
      <c r="T101" s="100"/>
      <c r="U101" s="2349"/>
      <c r="V101" s="2187"/>
      <c r="W101" s="2111"/>
      <c r="X101" s="342"/>
      <c r="Y101" s="100"/>
      <c r="Z101" s="342"/>
      <c r="AA101" s="100"/>
      <c r="AB101" s="100"/>
      <c r="AC101" s="100"/>
      <c r="AD101" s="100"/>
      <c r="AE101" s="100"/>
      <c r="AF101" s="100"/>
      <c r="AG101" s="100"/>
      <c r="AH101" s="100"/>
      <c r="AI101" s="100"/>
      <c r="AJ101" s="100"/>
      <c r="AK101" s="100"/>
      <c r="AL101" s="100"/>
      <c r="AM101" s="100"/>
      <c r="AN101" s="276"/>
      <c r="AO101" s="99" t="s">
        <v>2095</v>
      </c>
      <c r="AP101" s="138"/>
      <c r="AQ101" s="138"/>
      <c r="AR101" s="99"/>
      <c r="AS101" s="336" t="s">
        <v>280</v>
      </c>
      <c r="AT101" s="265"/>
      <c r="AU101" s="187"/>
      <c r="AV101" s="10" t="s">
        <v>2095</v>
      </c>
    </row>
    <row r="102" spans="2:48" ht="20.100000000000001" customHeight="1">
      <c r="B102" s="1787"/>
      <c r="C102" s="10086"/>
      <c r="D102" s="9598" t="s">
        <v>283</v>
      </c>
      <c r="E102" s="9598"/>
      <c r="F102" s="9598"/>
      <c r="G102" s="281" t="s">
        <v>255</v>
      </c>
      <c r="H102" s="539">
        <v>0</v>
      </c>
      <c r="I102" s="1781" t="s">
        <v>209</v>
      </c>
      <c r="J102" s="539">
        <v>0</v>
      </c>
      <c r="K102" s="1785" t="s">
        <v>209</v>
      </c>
      <c r="L102" s="228"/>
      <c r="M102" s="293"/>
      <c r="N102" s="1788" t="s">
        <v>209</v>
      </c>
      <c r="O102" s="275"/>
      <c r="P102" s="1789" t="s">
        <v>209</v>
      </c>
      <c r="Q102" s="2350"/>
      <c r="R102" s="2186"/>
      <c r="S102" s="2111"/>
      <c r="T102" s="100"/>
      <c r="U102" s="2349"/>
      <c r="V102" s="2187"/>
      <c r="W102" s="2111"/>
      <c r="X102" s="342"/>
      <c r="Y102" s="100"/>
      <c r="Z102" s="342"/>
      <c r="AA102" s="100"/>
      <c r="AB102" s="100"/>
      <c r="AC102" s="100"/>
      <c r="AD102" s="100"/>
      <c r="AE102" s="100"/>
      <c r="AF102" s="100"/>
      <c r="AG102" s="100"/>
      <c r="AH102" s="100"/>
      <c r="AI102" s="100"/>
      <c r="AJ102" s="100"/>
      <c r="AK102" s="100"/>
      <c r="AL102" s="100"/>
      <c r="AM102" s="100"/>
      <c r="AN102" s="276"/>
      <c r="AO102" s="99" t="s">
        <v>2095</v>
      </c>
      <c r="AP102" s="138"/>
      <c r="AQ102" s="138"/>
      <c r="AR102" s="99"/>
      <c r="AS102" s="336" t="s">
        <v>280</v>
      </c>
      <c r="AT102" s="265"/>
      <c r="AU102" s="187"/>
      <c r="AV102" s="10" t="s">
        <v>2095</v>
      </c>
    </row>
    <row r="103" spans="2:48" ht="20.100000000000001" customHeight="1">
      <c r="B103" s="1770"/>
      <c r="C103" s="10072" t="s">
        <v>285</v>
      </c>
      <c r="D103" s="10072"/>
      <c r="E103" s="10072"/>
      <c r="F103" s="10072"/>
      <c r="G103" s="109" t="s">
        <v>286</v>
      </c>
      <c r="H103" s="1790">
        <f>H104/H105</f>
        <v>0.38601637792783605</v>
      </c>
      <c r="I103" s="95"/>
      <c r="J103" s="1790">
        <f>J104/J105</f>
        <v>0.21113310963709983</v>
      </c>
      <c r="K103" s="92"/>
      <c r="L103" s="391" t="str">
        <f>IFERROR(L104/L105,"-")</f>
        <v>-</v>
      </c>
      <c r="M103" s="391">
        <f>M104/M105</f>
        <v>0.38601637792783605</v>
      </c>
      <c r="N103" s="1759"/>
      <c r="O103" s="391">
        <f>O104/O105</f>
        <v>0.21113310963709983</v>
      </c>
      <c r="P103" s="391"/>
      <c r="Q103" s="2090" t="str">
        <f>IFERROR(Q104/Q105,"-")</f>
        <v>-</v>
      </c>
      <c r="R103" s="2270"/>
      <c r="S103" s="2117"/>
      <c r="T103" s="391"/>
      <c r="U103" s="2090"/>
      <c r="V103" s="2216"/>
      <c r="W103" s="2117">
        <f>IFERROR(W104/W105,"-")</f>
        <v>0</v>
      </c>
      <c r="X103" s="342"/>
      <c r="Y103" s="391">
        <f>IFERROR(Y104/Y105,"-")</f>
        <v>0</v>
      </c>
      <c r="Z103" s="342"/>
      <c r="AA103" s="391">
        <f t="shared" ref="AA103:AM103" si="11">IFERROR(AA104/AA105,"-")</f>
        <v>0</v>
      </c>
      <c r="AB103" s="391" t="str">
        <f t="shared" si="11"/>
        <v>-</v>
      </c>
      <c r="AC103" s="391" t="str">
        <f t="shared" si="11"/>
        <v>-</v>
      </c>
      <c r="AD103" s="391" t="str">
        <f t="shared" si="11"/>
        <v>-</v>
      </c>
      <c r="AE103" s="391" t="str">
        <f t="shared" si="11"/>
        <v>-</v>
      </c>
      <c r="AF103" s="391" t="str">
        <f t="shared" si="11"/>
        <v>-</v>
      </c>
      <c r="AG103" s="391" t="str">
        <f t="shared" si="11"/>
        <v>-</v>
      </c>
      <c r="AH103" s="391" t="str">
        <f t="shared" si="11"/>
        <v>-</v>
      </c>
      <c r="AI103" s="391" t="str">
        <f t="shared" si="11"/>
        <v>-</v>
      </c>
      <c r="AJ103" s="391" t="str">
        <f t="shared" si="11"/>
        <v>-</v>
      </c>
      <c r="AK103" s="391" t="str">
        <f t="shared" si="11"/>
        <v>-</v>
      </c>
      <c r="AL103" s="391" t="str">
        <f t="shared" si="11"/>
        <v>-</v>
      </c>
      <c r="AM103" s="391" t="str">
        <f t="shared" si="11"/>
        <v>-</v>
      </c>
      <c r="AN103" s="276" t="s">
        <v>289</v>
      </c>
      <c r="AO103" s="99" t="s">
        <v>2095</v>
      </c>
      <c r="AP103" s="138"/>
      <c r="AQ103" s="138"/>
      <c r="AR103" s="99"/>
      <c r="AS103" s="346" t="s">
        <v>291</v>
      </c>
      <c r="AT103" s="346" t="s">
        <v>292</v>
      </c>
      <c r="AU103" s="187"/>
      <c r="AV103" s="10" t="s">
        <v>2095</v>
      </c>
    </row>
    <row r="104" spans="2:48" ht="20.100000000000001" customHeight="1">
      <c r="B104" s="1770"/>
      <c r="C104" s="10081"/>
      <c r="D104" s="9770" t="s">
        <v>254</v>
      </c>
      <c r="E104" s="9770"/>
      <c r="F104" s="9770"/>
      <c r="G104" s="281" t="s">
        <v>255</v>
      </c>
      <c r="H104" s="298">
        <v>1268.5</v>
      </c>
      <c r="I104" s="92"/>
      <c r="J104" s="298">
        <v>1491.8940000000002</v>
      </c>
      <c r="K104" s="92"/>
      <c r="L104" s="228"/>
      <c r="M104" s="92">
        <v>1268.5</v>
      </c>
      <c r="N104" s="151" t="s">
        <v>667</v>
      </c>
      <c r="O104" s="275">
        <v>1491.8940000000002</v>
      </c>
      <c r="P104" s="1757" t="s">
        <v>1782</v>
      </c>
      <c r="Q104" s="2350"/>
      <c r="R104" s="2186"/>
      <c r="S104" s="2111"/>
      <c r="T104" s="100"/>
      <c r="U104" s="2349"/>
      <c r="V104" s="2187"/>
      <c r="W104" s="2111"/>
      <c r="X104" s="342"/>
      <c r="Y104" s="100"/>
      <c r="Z104" s="342"/>
      <c r="AA104" s="100"/>
      <c r="AB104" s="100"/>
      <c r="AC104" s="100"/>
      <c r="AD104" s="100">
        <f>AD90</f>
        <v>10.092000000000001</v>
      </c>
      <c r="AE104" s="100"/>
      <c r="AF104" s="100"/>
      <c r="AG104" s="100"/>
      <c r="AH104" s="100"/>
      <c r="AI104" s="100"/>
      <c r="AJ104" s="100">
        <f>AJ90</f>
        <v>1.462</v>
      </c>
      <c r="AK104" s="100"/>
      <c r="AL104" s="100"/>
      <c r="AM104" s="100"/>
      <c r="AN104" s="276"/>
      <c r="AO104" s="99" t="s">
        <v>2095</v>
      </c>
      <c r="AP104" s="138"/>
      <c r="AQ104" s="138"/>
      <c r="AR104" s="99"/>
      <c r="AS104" s="346" t="s">
        <v>291</v>
      </c>
      <c r="AT104" s="346"/>
      <c r="AU104" s="187"/>
      <c r="AV104" s="10" t="s">
        <v>2095</v>
      </c>
    </row>
    <row r="105" spans="2:48" ht="20.100000000000001" customHeight="1">
      <c r="B105" s="1770"/>
      <c r="C105" s="10081"/>
      <c r="D105" s="9770" t="s">
        <v>232</v>
      </c>
      <c r="E105" s="9770"/>
      <c r="F105" s="9770"/>
      <c r="G105" s="109" t="s">
        <v>233</v>
      </c>
      <c r="H105" s="298">
        <v>3286.13</v>
      </c>
      <c r="I105" s="92"/>
      <c r="J105" s="298">
        <v>7066.13</v>
      </c>
      <c r="K105" s="92"/>
      <c r="L105" s="228"/>
      <c r="M105" s="92">
        <v>3286.13</v>
      </c>
      <c r="N105" s="151">
        <v>0</v>
      </c>
      <c r="O105" s="275">
        <v>7066.13</v>
      </c>
      <c r="P105" s="1757">
        <v>0</v>
      </c>
      <c r="Q105" s="2350"/>
      <c r="R105" s="2186"/>
      <c r="S105" s="2111"/>
      <c r="T105" s="100"/>
      <c r="U105" s="2349"/>
      <c r="V105" s="2187"/>
      <c r="W105" s="2111">
        <f>W82</f>
        <v>457</v>
      </c>
      <c r="X105" s="293"/>
      <c r="Y105" s="100">
        <f>Y82</f>
        <v>930</v>
      </c>
      <c r="Z105" s="293"/>
      <c r="AA105" s="100">
        <f>AA82</f>
        <v>1181</v>
      </c>
      <c r="AB105" s="100"/>
      <c r="AC105" s="100"/>
      <c r="AD105" s="100"/>
      <c r="AE105" s="100"/>
      <c r="AF105" s="100"/>
      <c r="AG105" s="100"/>
      <c r="AH105" s="100"/>
      <c r="AI105" s="100"/>
      <c r="AJ105" s="100"/>
      <c r="AK105" s="100"/>
      <c r="AL105" s="100"/>
      <c r="AM105" s="100"/>
      <c r="AN105" s="276"/>
      <c r="AO105" s="99" t="s">
        <v>2095</v>
      </c>
      <c r="AP105" s="138"/>
      <c r="AQ105" s="138"/>
      <c r="AR105" s="99"/>
      <c r="AS105" s="346" t="s">
        <v>291</v>
      </c>
      <c r="AT105" s="346"/>
      <c r="AU105" s="187"/>
      <c r="AV105" s="10" t="s">
        <v>2095</v>
      </c>
    </row>
    <row r="106" spans="2:48" ht="20.100000000000001" customHeight="1">
      <c r="B106" s="1787"/>
      <c r="C106" s="10072" t="s">
        <v>321</v>
      </c>
      <c r="D106" s="10072"/>
      <c r="E106" s="10072"/>
      <c r="F106" s="10072"/>
      <c r="G106" s="1791" t="s">
        <v>255</v>
      </c>
      <c r="H106" s="1792">
        <v>1096.472</v>
      </c>
      <c r="I106" s="1792"/>
      <c r="J106" s="1792">
        <v>1304.46</v>
      </c>
      <c r="K106" s="1792"/>
      <c r="L106" s="876"/>
      <c r="M106" s="877">
        <v>1096.472</v>
      </c>
      <c r="N106" s="919"/>
      <c r="O106" s="1793">
        <v>1304.46</v>
      </c>
      <c r="P106" s="1757"/>
      <c r="Q106" s="2350"/>
      <c r="R106" s="2186"/>
      <c r="S106" s="2111"/>
      <c r="T106" s="100"/>
      <c r="U106" s="2349"/>
      <c r="V106" s="2187"/>
      <c r="W106" s="2114">
        <f>AB106+AE106+AH106+AK106</f>
        <v>52444.08</v>
      </c>
      <c r="X106" s="293"/>
      <c r="Y106" s="354">
        <f>AC106+AF106+AI106+AL106</f>
        <v>53818.28</v>
      </c>
      <c r="Z106" s="293"/>
      <c r="AA106" s="354">
        <f>AD106+AG106+AJ106+AM106</f>
        <v>54769.140000000007</v>
      </c>
      <c r="AB106" s="100"/>
      <c r="AC106" s="100"/>
      <c r="AD106" s="100">
        <v>9.620000000000001</v>
      </c>
      <c r="AE106" s="100">
        <v>52444.08</v>
      </c>
      <c r="AF106" s="100">
        <v>53818.28</v>
      </c>
      <c r="AG106" s="100">
        <v>54758.91</v>
      </c>
      <c r="AH106" s="100"/>
      <c r="AI106" s="100"/>
      <c r="AJ106" s="100">
        <v>0.61</v>
      </c>
      <c r="AK106" s="100"/>
      <c r="AL106" s="100"/>
      <c r="AM106" s="100"/>
      <c r="AN106" s="276" t="s">
        <v>1783</v>
      </c>
      <c r="AO106" s="99" t="s">
        <v>2095</v>
      </c>
      <c r="AP106" s="138"/>
      <c r="AQ106" s="138"/>
      <c r="AR106" s="99"/>
      <c r="AS106" s="346" t="s">
        <v>323</v>
      </c>
      <c r="AT106" s="265"/>
      <c r="AU106" s="187"/>
      <c r="AV106" s="10" t="s">
        <v>2095</v>
      </c>
    </row>
    <row r="107" spans="2:48" ht="20.100000000000001" customHeight="1">
      <c r="B107" s="1770"/>
      <c r="C107" s="10072" t="s">
        <v>324</v>
      </c>
      <c r="D107" s="10072"/>
      <c r="E107" s="10072"/>
      <c r="F107" s="10072"/>
      <c r="G107" s="281" t="s">
        <v>156</v>
      </c>
      <c r="H107" s="1755"/>
      <c r="I107" s="1755"/>
      <c r="J107" s="1755"/>
      <c r="K107" s="538"/>
      <c r="L107" s="1794"/>
      <c r="M107" s="293"/>
      <c r="N107" s="294"/>
      <c r="O107" s="275"/>
      <c r="P107" s="1757"/>
      <c r="Q107" s="2350"/>
      <c r="R107" s="2186"/>
      <c r="S107" s="2111"/>
      <c r="T107" s="100"/>
      <c r="U107" s="2349"/>
      <c r="V107" s="2187"/>
      <c r="W107" s="2111"/>
      <c r="X107" s="293"/>
      <c r="Y107" s="100"/>
      <c r="Z107" s="293"/>
      <c r="AA107" s="100"/>
      <c r="AB107" s="100"/>
      <c r="AC107" s="100"/>
      <c r="AD107" s="100"/>
      <c r="AE107" s="100"/>
      <c r="AF107" s="100"/>
      <c r="AG107" s="100"/>
      <c r="AH107" s="100"/>
      <c r="AI107" s="100"/>
      <c r="AJ107" s="100"/>
      <c r="AK107" s="100"/>
      <c r="AL107" s="100"/>
      <c r="AM107" s="100"/>
      <c r="AN107" s="276" t="s">
        <v>2100</v>
      </c>
      <c r="AO107" s="99" t="s">
        <v>2095</v>
      </c>
      <c r="AP107" s="138"/>
      <c r="AQ107" s="138"/>
      <c r="AR107" s="99"/>
      <c r="AS107" s="346" t="s">
        <v>2101</v>
      </c>
      <c r="AT107" s="265"/>
      <c r="AU107" s="187" t="s">
        <v>261</v>
      </c>
      <c r="AV107" s="10" t="s">
        <v>2095</v>
      </c>
    </row>
    <row r="108" spans="2:48" ht="20.100000000000001" customHeight="1">
      <c r="B108" s="1787"/>
      <c r="C108" s="10072" t="s">
        <v>328</v>
      </c>
      <c r="D108" s="10072"/>
      <c r="E108" s="10072"/>
      <c r="F108" s="10072"/>
      <c r="G108" s="281" t="s">
        <v>307</v>
      </c>
      <c r="H108" s="399">
        <f>H109+H110</f>
        <v>0</v>
      </c>
      <c r="I108" s="1795"/>
      <c r="J108" s="399">
        <f t="shared" ref="J108:W108" si="12">J109+J110</f>
        <v>0</v>
      </c>
      <c r="K108" s="400"/>
      <c r="L108" s="399">
        <f t="shared" si="12"/>
        <v>0</v>
      </c>
      <c r="M108" s="399">
        <f t="shared" si="12"/>
        <v>0</v>
      </c>
      <c r="N108" s="1796"/>
      <c r="O108" s="399">
        <f t="shared" si="12"/>
        <v>0</v>
      </c>
      <c r="P108" s="1796"/>
      <c r="Q108" s="4843">
        <f t="shared" si="12"/>
        <v>0</v>
      </c>
      <c r="R108" s="2387"/>
      <c r="S108" s="2118"/>
      <c r="T108" s="399"/>
      <c r="U108" s="4843"/>
      <c r="V108" s="2388"/>
      <c r="W108" s="2118">
        <f t="shared" si="12"/>
        <v>0</v>
      </c>
      <c r="X108" s="400"/>
      <c r="Y108" s="399">
        <f t="shared" ref="Y108" si="13">Y109+Y110</f>
        <v>0</v>
      </c>
      <c r="Z108" s="400"/>
      <c r="AA108" s="399">
        <f t="shared" ref="AA108:AM108" si="14">AA109+AA110</f>
        <v>0</v>
      </c>
      <c r="AB108" s="399">
        <f t="shared" si="14"/>
        <v>0</v>
      </c>
      <c r="AC108" s="399">
        <f t="shared" si="14"/>
        <v>0</v>
      </c>
      <c r="AD108" s="399">
        <f t="shared" si="14"/>
        <v>0</v>
      </c>
      <c r="AE108" s="399">
        <f t="shared" si="14"/>
        <v>0</v>
      </c>
      <c r="AF108" s="399">
        <f t="shared" si="14"/>
        <v>0</v>
      </c>
      <c r="AG108" s="399">
        <f t="shared" si="14"/>
        <v>0</v>
      </c>
      <c r="AH108" s="399">
        <f t="shared" si="14"/>
        <v>0</v>
      </c>
      <c r="AI108" s="399">
        <f t="shared" si="14"/>
        <v>0</v>
      </c>
      <c r="AJ108" s="399">
        <f t="shared" si="14"/>
        <v>0</v>
      </c>
      <c r="AK108" s="399">
        <f t="shared" si="14"/>
        <v>0</v>
      </c>
      <c r="AL108" s="399">
        <f t="shared" si="14"/>
        <v>0</v>
      </c>
      <c r="AM108" s="399">
        <f t="shared" si="14"/>
        <v>0</v>
      </c>
      <c r="AN108" s="276" t="s">
        <v>330</v>
      </c>
      <c r="AO108" s="99" t="s">
        <v>2095</v>
      </c>
      <c r="AP108" s="138"/>
      <c r="AQ108" s="138"/>
      <c r="AR108" s="99"/>
      <c r="AS108" s="346" t="s">
        <v>332</v>
      </c>
      <c r="AT108" s="265"/>
      <c r="AU108" s="187"/>
      <c r="AV108" s="10" t="s">
        <v>2095</v>
      </c>
    </row>
    <row r="109" spans="2:48" ht="20.100000000000001" customHeight="1">
      <c r="B109" s="1787"/>
      <c r="C109" s="10081"/>
      <c r="D109" s="9770" t="s">
        <v>333</v>
      </c>
      <c r="E109" s="9770"/>
      <c r="F109" s="9770"/>
      <c r="G109" s="281" t="s">
        <v>307</v>
      </c>
      <c r="H109" s="539"/>
      <c r="I109" s="92" t="s">
        <v>209</v>
      </c>
      <c r="J109" s="538"/>
      <c r="K109" s="92" t="s">
        <v>209</v>
      </c>
      <c r="L109" s="556"/>
      <c r="M109" s="297"/>
      <c r="N109" s="607" t="s">
        <v>2102</v>
      </c>
      <c r="O109" s="92"/>
      <c r="P109" s="151" t="s">
        <v>2102</v>
      </c>
      <c r="Q109" s="2350"/>
      <c r="R109" s="2186"/>
      <c r="S109" s="2111"/>
      <c r="T109" s="100"/>
      <c r="U109" s="2349"/>
      <c r="V109" s="2187"/>
      <c r="W109" s="2111"/>
      <c r="X109" s="293"/>
      <c r="Y109" s="100"/>
      <c r="Z109" s="293"/>
      <c r="AA109" s="100"/>
      <c r="AB109" s="100"/>
      <c r="AC109" s="100"/>
      <c r="AD109" s="100"/>
      <c r="AE109" s="100"/>
      <c r="AF109" s="100"/>
      <c r="AG109" s="100"/>
      <c r="AH109" s="100"/>
      <c r="AI109" s="100"/>
      <c r="AJ109" s="100"/>
      <c r="AK109" s="100"/>
      <c r="AL109" s="100"/>
      <c r="AM109" s="100"/>
      <c r="AN109" s="276"/>
      <c r="AO109" s="99" t="s">
        <v>2095</v>
      </c>
      <c r="AP109" s="138"/>
      <c r="AQ109" s="138"/>
      <c r="AR109" s="99"/>
      <c r="AS109" s="346" t="s">
        <v>332</v>
      </c>
      <c r="AT109" s="265"/>
      <c r="AU109" s="187"/>
      <c r="AV109" s="10" t="s">
        <v>2095</v>
      </c>
    </row>
    <row r="110" spans="2:48" ht="20.100000000000001" customHeight="1">
      <c r="B110" s="1787"/>
      <c r="C110" s="10081"/>
      <c r="D110" s="9770" t="s">
        <v>335</v>
      </c>
      <c r="E110" s="9770"/>
      <c r="F110" s="9770"/>
      <c r="G110" s="281" t="s">
        <v>307</v>
      </c>
      <c r="H110" s="539"/>
      <c r="I110" s="92" t="s">
        <v>209</v>
      </c>
      <c r="J110" s="539"/>
      <c r="K110" s="92" t="s">
        <v>209</v>
      </c>
      <c r="L110" s="556"/>
      <c r="M110" s="297"/>
      <c r="N110" s="95"/>
      <c r="O110" s="92"/>
      <c r="P110" s="151"/>
      <c r="Q110" s="2350"/>
      <c r="R110" s="2186"/>
      <c r="S110" s="2111"/>
      <c r="T110" s="100"/>
      <c r="U110" s="2349"/>
      <c r="V110" s="2187"/>
      <c r="W110" s="2111"/>
      <c r="X110" s="293"/>
      <c r="Y110" s="100"/>
      <c r="Z110" s="293"/>
      <c r="AA110" s="100"/>
      <c r="AB110" s="100"/>
      <c r="AC110" s="100"/>
      <c r="AD110" s="100"/>
      <c r="AE110" s="100"/>
      <c r="AF110" s="100"/>
      <c r="AG110" s="100"/>
      <c r="AH110" s="100"/>
      <c r="AI110" s="100"/>
      <c r="AJ110" s="100"/>
      <c r="AK110" s="100"/>
      <c r="AL110" s="100"/>
      <c r="AM110" s="100"/>
      <c r="AN110" s="276"/>
      <c r="AO110" s="99" t="s">
        <v>2095</v>
      </c>
      <c r="AP110" s="138"/>
      <c r="AQ110" s="138"/>
      <c r="AR110" s="99"/>
      <c r="AS110" s="346" t="s">
        <v>332</v>
      </c>
      <c r="AT110" s="265"/>
      <c r="AU110" s="187"/>
      <c r="AV110" s="10" t="s">
        <v>2095</v>
      </c>
    </row>
    <row r="111" spans="2:48" ht="20.100000000000001" customHeight="1">
      <c r="B111" s="1770"/>
      <c r="C111" s="10072" t="s">
        <v>2103</v>
      </c>
      <c r="D111" s="10072"/>
      <c r="E111" s="10072"/>
      <c r="F111" s="10072"/>
      <c r="G111" s="281" t="s">
        <v>156</v>
      </c>
      <c r="H111" s="539"/>
      <c r="I111" s="538"/>
      <c r="J111" s="539"/>
      <c r="K111" s="538"/>
      <c r="L111" s="556"/>
      <c r="M111" s="297"/>
      <c r="N111" s="95"/>
      <c r="O111" s="92"/>
      <c r="P111" s="151"/>
      <c r="Q111" s="2350"/>
      <c r="R111" s="2186"/>
      <c r="S111" s="2111"/>
      <c r="T111" s="100"/>
      <c r="U111" s="2349"/>
      <c r="V111" s="2187"/>
      <c r="W111" s="2111"/>
      <c r="X111" s="293"/>
      <c r="Y111" s="100"/>
      <c r="Z111" s="293"/>
      <c r="AA111" s="100"/>
      <c r="AB111" s="100"/>
      <c r="AC111" s="100"/>
      <c r="AD111" s="100"/>
      <c r="AE111" s="100"/>
      <c r="AF111" s="100"/>
      <c r="AG111" s="100"/>
      <c r="AH111" s="100"/>
      <c r="AI111" s="100"/>
      <c r="AJ111" s="100"/>
      <c r="AK111" s="100"/>
      <c r="AL111" s="100"/>
      <c r="AM111" s="100"/>
      <c r="AN111" s="276"/>
      <c r="AO111" s="99" t="s">
        <v>2095</v>
      </c>
      <c r="AP111" s="138"/>
      <c r="AQ111" s="138"/>
      <c r="AR111" s="99"/>
      <c r="AS111" s="346" t="s">
        <v>2104</v>
      </c>
      <c r="AT111" s="265"/>
      <c r="AU111" s="187" t="s">
        <v>261</v>
      </c>
      <c r="AV111" s="10" t="s">
        <v>2095</v>
      </c>
    </row>
    <row r="112" spans="2:48" ht="20.100000000000001" customHeight="1">
      <c r="B112" s="1787"/>
      <c r="C112" s="10081"/>
      <c r="D112" s="204" t="s">
        <v>333</v>
      </c>
      <c r="E112" s="204"/>
      <c r="F112" s="204"/>
      <c r="G112" s="281" t="s">
        <v>307</v>
      </c>
      <c r="H112" s="92"/>
      <c r="I112" s="538"/>
      <c r="J112" s="539"/>
      <c r="K112" s="538"/>
      <c r="L112" s="556"/>
      <c r="M112" s="297"/>
      <c r="N112" s="95"/>
      <c r="O112" s="92"/>
      <c r="P112" s="151"/>
      <c r="Q112" s="2350"/>
      <c r="R112" s="2186"/>
      <c r="S112" s="2111"/>
      <c r="T112" s="100"/>
      <c r="U112" s="2349"/>
      <c r="V112" s="2187"/>
      <c r="W112" s="2111"/>
      <c r="X112" s="293"/>
      <c r="Y112" s="100"/>
      <c r="Z112" s="293"/>
      <c r="AA112" s="100"/>
      <c r="AB112" s="100"/>
      <c r="AC112" s="100"/>
      <c r="AD112" s="100"/>
      <c r="AE112" s="100"/>
      <c r="AF112" s="100"/>
      <c r="AG112" s="100"/>
      <c r="AH112" s="100"/>
      <c r="AI112" s="100"/>
      <c r="AJ112" s="100"/>
      <c r="AK112" s="100"/>
      <c r="AL112" s="100"/>
      <c r="AM112" s="100"/>
      <c r="AN112" s="276"/>
      <c r="AO112" s="99" t="s">
        <v>2095</v>
      </c>
      <c r="AP112" s="138"/>
      <c r="AQ112" s="138"/>
      <c r="AR112" s="99"/>
      <c r="AS112" s="346" t="s">
        <v>332</v>
      </c>
      <c r="AT112" s="265"/>
      <c r="AU112" s="187"/>
      <c r="AV112" s="10" t="s">
        <v>2095</v>
      </c>
    </row>
    <row r="113" spans="2:48" ht="20.100000000000001" customHeight="1">
      <c r="B113" s="1787"/>
      <c r="C113" s="10081"/>
      <c r="D113" s="204" t="s">
        <v>335</v>
      </c>
      <c r="E113" s="204"/>
      <c r="F113" s="204"/>
      <c r="G113" s="281" t="s">
        <v>307</v>
      </c>
      <c r="H113" s="539"/>
      <c r="I113" s="538"/>
      <c r="J113" s="539"/>
      <c r="K113" s="538"/>
      <c r="L113" s="556"/>
      <c r="M113" s="297"/>
      <c r="N113" s="95"/>
      <c r="O113" s="92"/>
      <c r="P113" s="151"/>
      <c r="Q113" s="2350"/>
      <c r="R113" s="2186"/>
      <c r="S113" s="2111"/>
      <c r="T113" s="100"/>
      <c r="U113" s="2349"/>
      <c r="V113" s="2187"/>
      <c r="W113" s="2111"/>
      <c r="X113" s="293"/>
      <c r="Y113" s="100"/>
      <c r="Z113" s="293"/>
      <c r="AA113" s="100"/>
      <c r="AB113" s="100"/>
      <c r="AC113" s="100"/>
      <c r="AD113" s="100"/>
      <c r="AE113" s="100"/>
      <c r="AF113" s="100"/>
      <c r="AG113" s="100"/>
      <c r="AH113" s="100"/>
      <c r="AI113" s="100"/>
      <c r="AJ113" s="100"/>
      <c r="AK113" s="100"/>
      <c r="AL113" s="100"/>
      <c r="AM113" s="100"/>
      <c r="AN113" s="276"/>
      <c r="AO113" s="99" t="s">
        <v>2095</v>
      </c>
      <c r="AP113" s="138"/>
      <c r="AQ113" s="138"/>
      <c r="AR113" s="99"/>
      <c r="AS113" s="346" t="s">
        <v>332</v>
      </c>
      <c r="AT113" s="265"/>
      <c r="AU113" s="187"/>
      <c r="AV113" s="10" t="s">
        <v>2095</v>
      </c>
    </row>
    <row r="114" spans="2:48" ht="20.100000000000001" customHeight="1">
      <c r="B114" s="1787"/>
      <c r="C114" s="10072" t="s">
        <v>1785</v>
      </c>
      <c r="D114" s="10072"/>
      <c r="E114" s="10072"/>
      <c r="F114" s="204" t="s">
        <v>314</v>
      </c>
      <c r="G114" s="281" t="s">
        <v>307</v>
      </c>
      <c r="H114" s="539"/>
      <c r="I114" s="538"/>
      <c r="J114" s="539"/>
      <c r="K114" s="538"/>
      <c r="L114" s="556"/>
      <c r="M114" s="297"/>
      <c r="N114" s="95"/>
      <c r="O114" s="92">
        <v>1676</v>
      </c>
      <c r="P114" s="151"/>
      <c r="Q114" s="2350"/>
      <c r="R114" s="2186"/>
      <c r="S114" s="2111"/>
      <c r="T114" s="100"/>
      <c r="U114" s="2349"/>
      <c r="V114" s="2187"/>
      <c r="W114" s="2111"/>
      <c r="X114" s="293"/>
      <c r="Y114" s="100"/>
      <c r="Z114" s="293"/>
      <c r="AA114" s="100"/>
      <c r="AB114" s="100"/>
      <c r="AC114" s="100"/>
      <c r="AD114" s="100"/>
      <c r="AE114" s="100"/>
      <c r="AF114" s="100"/>
      <c r="AG114" s="100"/>
      <c r="AH114" s="100"/>
      <c r="AI114" s="100"/>
      <c r="AJ114" s="100"/>
      <c r="AK114" s="100"/>
      <c r="AL114" s="100"/>
      <c r="AM114" s="100"/>
      <c r="AN114" s="276"/>
      <c r="AO114" s="99" t="s">
        <v>2095</v>
      </c>
      <c r="AP114" s="138"/>
      <c r="AQ114" s="138"/>
      <c r="AR114" s="99"/>
      <c r="AS114" s="186"/>
      <c r="AT114" s="265" t="s">
        <v>301</v>
      </c>
      <c r="AU114" s="187"/>
      <c r="AV114" s="10" t="s">
        <v>2095</v>
      </c>
    </row>
    <row r="115" spans="2:48" ht="20.100000000000001" customHeight="1">
      <c r="B115" s="1787"/>
      <c r="C115" s="10072"/>
      <c r="D115" s="10072"/>
      <c r="E115" s="10072"/>
      <c r="F115" s="204" t="s">
        <v>318</v>
      </c>
      <c r="G115" s="281" t="s">
        <v>307</v>
      </c>
      <c r="H115" s="539"/>
      <c r="I115" s="538"/>
      <c r="J115" s="539"/>
      <c r="K115" s="538"/>
      <c r="L115" s="556"/>
      <c r="M115" s="297"/>
      <c r="N115" s="95"/>
      <c r="O115" s="92">
        <v>1429</v>
      </c>
      <c r="P115" s="151"/>
      <c r="Q115" s="2350"/>
      <c r="R115" s="2186"/>
      <c r="S115" s="2111"/>
      <c r="T115" s="100"/>
      <c r="U115" s="2349"/>
      <c r="V115" s="2187"/>
      <c r="W115" s="2111"/>
      <c r="X115" s="293"/>
      <c r="Y115" s="100"/>
      <c r="Z115" s="293"/>
      <c r="AA115" s="100"/>
      <c r="AB115" s="100"/>
      <c r="AC115" s="100"/>
      <c r="AD115" s="100"/>
      <c r="AE115" s="100"/>
      <c r="AF115" s="100"/>
      <c r="AG115" s="100"/>
      <c r="AH115" s="100"/>
      <c r="AI115" s="100"/>
      <c r="AJ115" s="100"/>
      <c r="AK115" s="100"/>
      <c r="AL115" s="100"/>
      <c r="AM115" s="100"/>
      <c r="AN115" s="276"/>
      <c r="AO115" s="99" t="s">
        <v>2095</v>
      </c>
      <c r="AP115" s="138"/>
      <c r="AQ115" s="138"/>
      <c r="AR115" s="99"/>
      <c r="AS115" s="186"/>
      <c r="AT115" s="265" t="s">
        <v>301</v>
      </c>
      <c r="AU115" s="187"/>
      <c r="AV115" s="10" t="s">
        <v>2095</v>
      </c>
    </row>
    <row r="116" spans="2:48" ht="20.100000000000001" customHeight="1" thickBot="1">
      <c r="B116" s="1797"/>
      <c r="C116" s="10072"/>
      <c r="D116" s="10072"/>
      <c r="E116" s="10072"/>
      <c r="F116" s="1798" t="s">
        <v>312</v>
      </c>
      <c r="G116" s="423" t="s">
        <v>307</v>
      </c>
      <c r="H116" s="539"/>
      <c r="I116" s="1799"/>
      <c r="J116" s="539"/>
      <c r="K116" s="1799"/>
      <c r="L116" s="556"/>
      <c r="M116" s="352"/>
      <c r="N116" s="95"/>
      <c r="O116" s="350">
        <v>247</v>
      </c>
      <c r="P116" s="1771"/>
      <c r="Q116" s="2350"/>
      <c r="R116" s="2186"/>
      <c r="S116" s="2111"/>
      <c r="T116" s="100"/>
      <c r="U116" s="2349"/>
      <c r="V116" s="2187"/>
      <c r="W116" s="2111"/>
      <c r="X116" s="426"/>
      <c r="Y116" s="100"/>
      <c r="Z116" s="426"/>
      <c r="AA116" s="100"/>
      <c r="AB116" s="100"/>
      <c r="AC116" s="100"/>
      <c r="AD116" s="100"/>
      <c r="AE116" s="100"/>
      <c r="AF116" s="100"/>
      <c r="AG116" s="100"/>
      <c r="AH116" s="100"/>
      <c r="AI116" s="100"/>
      <c r="AJ116" s="100"/>
      <c r="AK116" s="100"/>
      <c r="AL116" s="100"/>
      <c r="AM116" s="100"/>
      <c r="AN116" s="714"/>
      <c r="AO116" s="99" t="s">
        <v>2095</v>
      </c>
      <c r="AP116" s="218"/>
      <c r="AQ116" s="218"/>
      <c r="AR116" s="219"/>
      <c r="AS116" s="231"/>
      <c r="AT116" s="427" t="s">
        <v>301</v>
      </c>
      <c r="AU116" s="221"/>
      <c r="AV116" s="10" t="s">
        <v>2095</v>
      </c>
    </row>
    <row r="117" spans="2:48" ht="27" thickBot="1">
      <c r="B117" s="123" t="s">
        <v>341</v>
      </c>
      <c r="C117" s="124"/>
      <c r="D117" s="124"/>
      <c r="E117" s="124"/>
      <c r="F117" s="124"/>
      <c r="G117" s="430"/>
      <c r="H117" s="1732"/>
      <c r="I117" s="1732"/>
      <c r="J117" s="1732"/>
      <c r="K117" s="1732"/>
      <c r="L117" s="1732"/>
      <c r="M117" s="1733"/>
      <c r="N117" s="1734"/>
      <c r="O117" s="1733"/>
      <c r="P117" s="1734"/>
      <c r="Q117" s="1733"/>
      <c r="R117" s="2175"/>
      <c r="S117" s="148"/>
      <c r="T117" s="148"/>
      <c r="U117" s="148"/>
      <c r="V117" s="2176"/>
      <c r="W117" s="148"/>
      <c r="X117" s="148"/>
      <c r="Y117" s="148"/>
      <c r="Z117" s="148"/>
      <c r="AA117" s="148"/>
      <c r="AB117" s="148"/>
      <c r="AC117" s="148"/>
      <c r="AD117" s="148"/>
      <c r="AE117" s="148"/>
      <c r="AF117" s="148"/>
      <c r="AG117" s="148"/>
      <c r="AH117" s="148"/>
      <c r="AI117" s="148"/>
      <c r="AJ117" s="148"/>
      <c r="AK117" s="148"/>
      <c r="AL117" s="148"/>
      <c r="AM117" s="148"/>
      <c r="AN117" s="432"/>
      <c r="AO117" s="129"/>
      <c r="AP117" s="129"/>
      <c r="AQ117" s="129"/>
      <c r="AR117" s="129"/>
      <c r="AS117" s="328"/>
      <c r="AT117" s="328"/>
      <c r="AU117" s="329"/>
    </row>
    <row r="118" spans="2:48" ht="20.100000000000001" customHeight="1">
      <c r="B118" s="1754"/>
      <c r="C118" s="10082" t="s">
        <v>343</v>
      </c>
      <c r="D118" s="10082"/>
      <c r="E118" s="10082"/>
      <c r="F118" s="10082"/>
      <c r="G118" s="436" t="s">
        <v>344</v>
      </c>
      <c r="H118" s="1800">
        <f>SUM(H119:H122)</f>
        <v>0</v>
      </c>
      <c r="I118" s="441"/>
      <c r="J118" s="334">
        <f t="shared" ref="J118:Q118" si="15">SUM(J119:J122)</f>
        <v>0</v>
      </c>
      <c r="K118" s="441"/>
      <c r="L118" s="334">
        <f t="shared" si="15"/>
        <v>0</v>
      </c>
      <c r="M118" s="334">
        <f t="shared" si="15"/>
        <v>27681</v>
      </c>
      <c r="N118" s="1801"/>
      <c r="O118" s="334">
        <f t="shared" si="15"/>
        <v>664460</v>
      </c>
      <c r="P118" s="1801"/>
      <c r="Q118" s="442">
        <f t="shared" si="15"/>
        <v>0</v>
      </c>
      <c r="R118" s="2224"/>
      <c r="S118" s="1800"/>
      <c r="T118" s="334"/>
      <c r="U118" s="442"/>
      <c r="V118" s="2225"/>
      <c r="W118" s="2114">
        <f>AB118+AE118+AH118+AK118</f>
        <v>1334.31</v>
      </c>
      <c r="X118" s="293"/>
      <c r="Y118" s="354">
        <f>AC118+AF118+AI118+AL118</f>
        <v>861</v>
      </c>
      <c r="Z118" s="293"/>
      <c r="AA118" s="354">
        <f>AD118+AG118+AJ118+AM118</f>
        <v>1722.8</v>
      </c>
      <c r="AB118" s="334">
        <f t="shared" ref="AB118:AM118" si="16">SUM(AB119:AB122)</f>
        <v>0</v>
      </c>
      <c r="AC118" s="334">
        <f t="shared" si="16"/>
        <v>0</v>
      </c>
      <c r="AD118" s="334">
        <f t="shared" si="16"/>
        <v>866</v>
      </c>
      <c r="AE118" s="334">
        <f t="shared" si="16"/>
        <v>1334.31</v>
      </c>
      <c r="AF118" s="334">
        <f t="shared" si="16"/>
        <v>861</v>
      </c>
      <c r="AG118" s="334">
        <f t="shared" si="16"/>
        <v>856.8</v>
      </c>
      <c r="AH118" s="334">
        <f t="shared" si="16"/>
        <v>0</v>
      </c>
      <c r="AI118" s="334">
        <f t="shared" si="16"/>
        <v>0</v>
      </c>
      <c r="AJ118" s="334">
        <f t="shared" si="16"/>
        <v>0</v>
      </c>
      <c r="AK118" s="334">
        <f t="shared" si="16"/>
        <v>0</v>
      </c>
      <c r="AL118" s="334">
        <f t="shared" si="16"/>
        <v>0</v>
      </c>
      <c r="AM118" s="334">
        <f t="shared" si="16"/>
        <v>0</v>
      </c>
      <c r="AN118" s="443" t="s">
        <v>346</v>
      </c>
      <c r="AO118" s="99"/>
      <c r="AP118" s="138"/>
      <c r="AQ118" s="138"/>
      <c r="AR118" s="99"/>
      <c r="AS118" s="346" t="s">
        <v>348</v>
      </c>
      <c r="AT118" s="265" t="s">
        <v>349</v>
      </c>
      <c r="AU118" s="187" t="s">
        <v>350</v>
      </c>
      <c r="AV118" s="10" t="s">
        <v>2090</v>
      </c>
    </row>
    <row r="119" spans="2:48" ht="20.100000000000001" customHeight="1">
      <c r="B119" s="1754"/>
      <c r="C119" s="10083"/>
      <c r="D119" s="253" t="s">
        <v>679</v>
      </c>
      <c r="E119" s="253"/>
      <c r="F119" s="253"/>
      <c r="G119" s="91" t="s">
        <v>344</v>
      </c>
      <c r="H119" s="297"/>
      <c r="I119" s="297"/>
      <c r="J119" s="297"/>
      <c r="K119" s="95"/>
      <c r="L119" s="228"/>
      <c r="M119" s="1802">
        <v>27681</v>
      </c>
      <c r="N119" s="1803"/>
      <c r="O119" s="1802">
        <v>664460</v>
      </c>
      <c r="P119" s="1803"/>
      <c r="Q119" s="2350"/>
      <c r="R119" s="2186"/>
      <c r="S119" s="2111"/>
      <c r="T119" s="100"/>
      <c r="U119" s="2349"/>
      <c r="V119" s="2187"/>
      <c r="W119" s="2114">
        <f>AB119+AE119+AH119+AK119</f>
        <v>1334.31</v>
      </c>
      <c r="X119" s="293"/>
      <c r="Y119" s="354">
        <f>AC119+AF119+AI119+AL119</f>
        <v>861</v>
      </c>
      <c r="Z119" s="293"/>
      <c r="AA119" s="354">
        <f>AD119+AG119+AJ119+AM119</f>
        <v>1722.8</v>
      </c>
      <c r="AB119" s="100"/>
      <c r="AC119" s="100"/>
      <c r="AD119" s="100">
        <v>866</v>
      </c>
      <c r="AE119" s="100">
        <v>1334.31</v>
      </c>
      <c r="AF119" s="100">
        <v>861</v>
      </c>
      <c r="AG119" s="100">
        <v>856.8</v>
      </c>
      <c r="AH119" s="100"/>
      <c r="AI119" s="100"/>
      <c r="AJ119" s="100"/>
      <c r="AK119" s="100"/>
      <c r="AL119" s="100"/>
      <c r="AM119" s="100"/>
      <c r="AN119" s="444"/>
      <c r="AO119" s="99" t="s">
        <v>2090</v>
      </c>
      <c r="AP119" s="138"/>
      <c r="AQ119" s="138"/>
      <c r="AR119" s="99"/>
      <c r="AS119" s="346" t="s">
        <v>354</v>
      </c>
      <c r="AT119" s="265" t="s">
        <v>349</v>
      </c>
      <c r="AU119" s="187"/>
      <c r="AV119" s="10" t="s">
        <v>2090</v>
      </c>
    </row>
    <row r="120" spans="2:48" ht="20.100000000000001" customHeight="1">
      <c r="B120" s="1754"/>
      <c r="C120" s="10025"/>
      <c r="D120" s="253" t="s">
        <v>355</v>
      </c>
      <c r="E120" s="253"/>
      <c r="F120" s="253"/>
      <c r="G120" s="136" t="s">
        <v>344</v>
      </c>
      <c r="H120" s="297"/>
      <c r="I120" s="297" t="s">
        <v>209</v>
      </c>
      <c r="J120" s="297"/>
      <c r="K120" s="95" t="s">
        <v>209</v>
      </c>
      <c r="L120" s="228"/>
      <c r="M120" s="540"/>
      <c r="N120" s="1804" t="s">
        <v>209</v>
      </c>
      <c r="O120" s="540"/>
      <c r="P120" s="1804" t="s">
        <v>209</v>
      </c>
      <c r="Q120" s="2350"/>
      <c r="R120" s="2186"/>
      <c r="S120" s="2111"/>
      <c r="T120" s="100"/>
      <c r="U120" s="2349"/>
      <c r="V120" s="2187"/>
      <c r="W120" s="2111"/>
      <c r="X120" s="449" t="s">
        <v>209</v>
      </c>
      <c r="Y120" s="100"/>
      <c r="Z120" s="449" t="s">
        <v>209</v>
      </c>
      <c r="AA120" s="100"/>
      <c r="AB120" s="100"/>
      <c r="AC120" s="100"/>
      <c r="AD120" s="100"/>
      <c r="AE120" s="100"/>
      <c r="AF120" s="100"/>
      <c r="AG120" s="100"/>
      <c r="AH120" s="100"/>
      <c r="AI120" s="100"/>
      <c r="AJ120" s="100"/>
      <c r="AK120" s="100"/>
      <c r="AL120" s="100"/>
      <c r="AM120" s="100"/>
      <c r="AN120" s="444"/>
      <c r="AO120" s="99" t="s">
        <v>2090</v>
      </c>
      <c r="AP120" s="138"/>
      <c r="AQ120" s="138"/>
      <c r="AR120" s="99"/>
      <c r="AS120" s="346" t="s">
        <v>354</v>
      </c>
      <c r="AT120" s="265"/>
      <c r="AU120" s="187"/>
      <c r="AV120" s="10" t="s">
        <v>2090</v>
      </c>
    </row>
    <row r="121" spans="2:48" ht="20.100000000000001" customHeight="1">
      <c r="B121" s="1754"/>
      <c r="C121" s="10025"/>
      <c r="D121" s="253" t="s">
        <v>357</v>
      </c>
      <c r="E121" s="253"/>
      <c r="F121" s="253"/>
      <c r="G121" s="136" t="s">
        <v>344</v>
      </c>
      <c r="H121" s="297"/>
      <c r="I121" s="297" t="s">
        <v>209</v>
      </c>
      <c r="J121" s="297"/>
      <c r="K121" s="95" t="s">
        <v>209</v>
      </c>
      <c r="L121" s="228"/>
      <c r="M121" s="540"/>
      <c r="N121" s="1804" t="s">
        <v>209</v>
      </c>
      <c r="O121" s="540"/>
      <c r="P121" s="1804" t="s">
        <v>209</v>
      </c>
      <c r="Q121" s="2350"/>
      <c r="R121" s="2186"/>
      <c r="S121" s="2111"/>
      <c r="T121" s="100"/>
      <c r="U121" s="2349"/>
      <c r="V121" s="2187"/>
      <c r="W121" s="2111"/>
      <c r="X121" s="449" t="s">
        <v>209</v>
      </c>
      <c r="Y121" s="100"/>
      <c r="Z121" s="449" t="s">
        <v>209</v>
      </c>
      <c r="AA121" s="100"/>
      <c r="AB121" s="100"/>
      <c r="AC121" s="100"/>
      <c r="AD121" s="100" t="s">
        <v>369</v>
      </c>
      <c r="AE121" s="100"/>
      <c r="AF121" s="100"/>
      <c r="AG121" s="100"/>
      <c r="AH121" s="100"/>
      <c r="AI121" s="100"/>
      <c r="AJ121" s="100"/>
      <c r="AK121" s="100"/>
      <c r="AL121" s="100"/>
      <c r="AM121" s="100"/>
      <c r="AN121" s="444" t="s">
        <v>2105</v>
      </c>
      <c r="AO121" s="99" t="s">
        <v>2090</v>
      </c>
      <c r="AP121" s="138"/>
      <c r="AQ121" s="138"/>
      <c r="AR121" s="99"/>
      <c r="AS121" s="346" t="s">
        <v>359</v>
      </c>
      <c r="AT121" s="265" t="s">
        <v>349</v>
      </c>
      <c r="AU121" s="187"/>
      <c r="AV121" s="10" t="s">
        <v>2090</v>
      </c>
    </row>
    <row r="122" spans="2:48" ht="20.100000000000001" customHeight="1">
      <c r="B122" s="1754"/>
      <c r="C122" s="10026"/>
      <c r="D122" s="253" t="s">
        <v>360</v>
      </c>
      <c r="E122" s="253"/>
      <c r="F122" s="253"/>
      <c r="G122" s="136" t="s">
        <v>344</v>
      </c>
      <c r="H122" s="297"/>
      <c r="I122" s="297" t="s">
        <v>209</v>
      </c>
      <c r="J122" s="297"/>
      <c r="K122" s="95" t="s">
        <v>209</v>
      </c>
      <c r="L122" s="228"/>
      <c r="M122" s="540"/>
      <c r="N122" s="1804" t="s">
        <v>209</v>
      </c>
      <c r="O122" s="540"/>
      <c r="P122" s="1804" t="s">
        <v>209</v>
      </c>
      <c r="Q122" s="2350"/>
      <c r="R122" s="2186"/>
      <c r="S122" s="2111"/>
      <c r="T122" s="100"/>
      <c r="U122" s="2349"/>
      <c r="V122" s="2187"/>
      <c r="W122" s="2111"/>
      <c r="X122" s="449" t="s">
        <v>209</v>
      </c>
      <c r="Y122" s="100"/>
      <c r="Z122" s="449" t="s">
        <v>209</v>
      </c>
      <c r="AA122" s="100"/>
      <c r="AB122" s="100"/>
      <c r="AC122" s="100"/>
      <c r="AD122" s="100"/>
      <c r="AE122" s="100"/>
      <c r="AF122" s="100"/>
      <c r="AG122" s="100"/>
      <c r="AH122" s="100"/>
      <c r="AI122" s="100"/>
      <c r="AJ122" s="100"/>
      <c r="AK122" s="100"/>
      <c r="AL122" s="100"/>
      <c r="AM122" s="100"/>
      <c r="AN122" s="444"/>
      <c r="AO122" s="99" t="s">
        <v>2090</v>
      </c>
      <c r="AP122" s="138"/>
      <c r="AQ122" s="138"/>
      <c r="AR122" s="99"/>
      <c r="AS122" s="346" t="s">
        <v>359</v>
      </c>
      <c r="AT122" s="265" t="s">
        <v>349</v>
      </c>
      <c r="AU122" s="187"/>
      <c r="AV122" s="10" t="s">
        <v>2090</v>
      </c>
    </row>
    <row r="123" spans="2:48" ht="20.100000000000001" customHeight="1">
      <c r="B123" s="1747"/>
      <c r="C123" s="10011" t="s">
        <v>370</v>
      </c>
      <c r="D123" s="10084"/>
      <c r="E123" s="10084"/>
      <c r="F123" s="10085"/>
      <c r="G123" s="136" t="s">
        <v>344</v>
      </c>
      <c r="H123" s="356">
        <f>H124-H125</f>
        <v>0</v>
      </c>
      <c r="I123" s="95"/>
      <c r="J123" s="456">
        <f>J124-J125</f>
        <v>0</v>
      </c>
      <c r="K123" s="95"/>
      <c r="L123" s="456">
        <f>L124-L125</f>
        <v>0</v>
      </c>
      <c r="M123" s="456">
        <f>M124-M125</f>
        <v>0</v>
      </c>
      <c r="N123" s="1805"/>
      <c r="O123" s="456">
        <f>O124-O125</f>
        <v>0</v>
      </c>
      <c r="P123" s="456"/>
      <c r="Q123" s="2359">
        <f>Q124-Q125</f>
        <v>0</v>
      </c>
      <c r="R123" s="2226"/>
      <c r="S123" s="456"/>
      <c r="T123" s="456"/>
      <c r="U123" s="2359"/>
      <c r="V123" s="2227"/>
      <c r="W123" s="456">
        <f>W124-W125</f>
        <v>0</v>
      </c>
      <c r="X123" s="293"/>
      <c r="Y123" s="456">
        <f>Y124-Y125</f>
        <v>0</v>
      </c>
      <c r="Z123" s="293"/>
      <c r="AA123" s="456">
        <f t="shared" ref="AA123:AM123" si="17">AA124-AA125</f>
        <v>0</v>
      </c>
      <c r="AB123" s="456">
        <f t="shared" si="17"/>
        <v>0</v>
      </c>
      <c r="AC123" s="456">
        <f t="shared" si="17"/>
        <v>0</v>
      </c>
      <c r="AD123" s="456" t="s">
        <v>369</v>
      </c>
      <c r="AE123" s="456">
        <f t="shared" si="17"/>
        <v>0</v>
      </c>
      <c r="AF123" s="456">
        <f t="shared" si="17"/>
        <v>0</v>
      </c>
      <c r="AG123" s="456">
        <f t="shared" si="17"/>
        <v>0</v>
      </c>
      <c r="AH123" s="456">
        <f t="shared" si="17"/>
        <v>0</v>
      </c>
      <c r="AI123" s="456">
        <f t="shared" si="17"/>
        <v>0</v>
      </c>
      <c r="AJ123" s="456">
        <f t="shared" si="17"/>
        <v>0</v>
      </c>
      <c r="AK123" s="456">
        <f t="shared" si="17"/>
        <v>0</v>
      </c>
      <c r="AL123" s="456">
        <f t="shared" si="17"/>
        <v>0</v>
      </c>
      <c r="AM123" s="456">
        <f t="shared" si="17"/>
        <v>0</v>
      </c>
      <c r="AN123" s="457" t="s">
        <v>372</v>
      </c>
      <c r="AO123" s="99" t="s">
        <v>189</v>
      </c>
      <c r="AP123" s="138"/>
      <c r="AQ123" s="138"/>
      <c r="AR123" s="299" t="s">
        <v>193</v>
      </c>
      <c r="AS123" s="265" t="s">
        <v>374</v>
      </c>
      <c r="AT123" s="265"/>
      <c r="AU123" s="187" t="s">
        <v>350</v>
      </c>
      <c r="AV123" s="18"/>
    </row>
    <row r="124" spans="2:48" ht="20.100000000000001" customHeight="1">
      <c r="B124" s="1747"/>
      <c r="C124" s="10064"/>
      <c r="D124" s="9598" t="s">
        <v>343</v>
      </c>
      <c r="E124" s="9598"/>
      <c r="F124" s="9598"/>
      <c r="G124" s="136" t="s">
        <v>344</v>
      </c>
      <c r="H124" s="298">
        <v>27681</v>
      </c>
      <c r="I124" s="92"/>
      <c r="J124" s="298">
        <v>664460</v>
      </c>
      <c r="K124" s="95"/>
      <c r="L124" s="228"/>
      <c r="M124" s="1806">
        <v>27681</v>
      </c>
      <c r="N124" s="461" t="s">
        <v>681</v>
      </c>
      <c r="O124" s="1806">
        <v>664460</v>
      </c>
      <c r="P124" s="1803" t="s">
        <v>682</v>
      </c>
      <c r="Q124" s="2350"/>
      <c r="R124" s="2186"/>
      <c r="S124" s="2111"/>
      <c r="T124" s="100"/>
      <c r="U124" s="2349"/>
      <c r="V124" s="2187"/>
      <c r="W124" s="2111"/>
      <c r="X124" s="293"/>
      <c r="Y124" s="100"/>
      <c r="Z124" s="293"/>
      <c r="AA124" s="100"/>
      <c r="AB124" s="100"/>
      <c r="AC124" s="100"/>
      <c r="AD124" s="100" t="s">
        <v>369</v>
      </c>
      <c r="AE124" s="100"/>
      <c r="AF124" s="100"/>
      <c r="AG124" s="100"/>
      <c r="AH124" s="100"/>
      <c r="AI124" s="100"/>
      <c r="AJ124" s="100"/>
      <c r="AK124" s="100"/>
      <c r="AL124" s="100"/>
      <c r="AM124" s="100"/>
      <c r="AN124" s="457"/>
      <c r="AO124" s="99" t="s">
        <v>189</v>
      </c>
      <c r="AP124" s="138"/>
      <c r="AQ124" s="138"/>
      <c r="AR124" s="299" t="s">
        <v>193</v>
      </c>
      <c r="AS124" s="265" t="s">
        <v>374</v>
      </c>
      <c r="AT124" s="265"/>
      <c r="AU124" s="187"/>
      <c r="AV124" s="18"/>
    </row>
    <row r="125" spans="2:48" ht="20.100000000000001" customHeight="1">
      <c r="B125" s="1747"/>
      <c r="C125" s="10065"/>
      <c r="D125" s="10022" t="s">
        <v>362</v>
      </c>
      <c r="E125" s="10022"/>
      <c r="F125" s="10022"/>
      <c r="G125" s="136" t="s">
        <v>344</v>
      </c>
      <c r="H125" s="298">
        <v>27681</v>
      </c>
      <c r="I125" s="92"/>
      <c r="J125" s="298">
        <v>664460</v>
      </c>
      <c r="K125" s="95"/>
      <c r="L125" s="228"/>
      <c r="M125" s="1806">
        <v>27681</v>
      </c>
      <c r="N125" s="461" t="s">
        <v>681</v>
      </c>
      <c r="O125" s="1806">
        <v>664460</v>
      </c>
      <c r="P125" s="1803" t="s">
        <v>682</v>
      </c>
      <c r="Q125" s="2350"/>
      <c r="R125" s="2186"/>
      <c r="S125" s="2111"/>
      <c r="T125" s="100"/>
      <c r="U125" s="2349"/>
      <c r="V125" s="2187"/>
      <c r="W125" s="2111"/>
      <c r="X125" s="293"/>
      <c r="Y125" s="100"/>
      <c r="Z125" s="293"/>
      <c r="AA125" s="100"/>
      <c r="AB125" s="100"/>
      <c r="AC125" s="100"/>
      <c r="AD125" s="100" t="s">
        <v>369</v>
      </c>
      <c r="AE125" s="100"/>
      <c r="AF125" s="100"/>
      <c r="AG125" s="100"/>
      <c r="AH125" s="100"/>
      <c r="AI125" s="100"/>
      <c r="AJ125" s="100"/>
      <c r="AK125" s="100"/>
      <c r="AL125" s="100"/>
      <c r="AM125" s="100"/>
      <c r="AN125" s="457"/>
      <c r="AO125" s="99" t="s">
        <v>189</v>
      </c>
      <c r="AP125" s="138"/>
      <c r="AQ125" s="138"/>
      <c r="AR125" s="299" t="s">
        <v>193</v>
      </c>
      <c r="AS125" s="265" t="s">
        <v>374</v>
      </c>
      <c r="AT125" s="265"/>
      <c r="AU125" s="187"/>
      <c r="AV125" s="18"/>
    </row>
    <row r="126" spans="2:48" s="481" customFormat="1" ht="20.100000000000001" customHeight="1">
      <c r="B126" s="1807"/>
      <c r="C126" s="10078" t="s">
        <v>362</v>
      </c>
      <c r="D126" s="10079"/>
      <c r="E126" s="10079"/>
      <c r="F126" s="10080"/>
      <c r="G126" s="466" t="s">
        <v>1788</v>
      </c>
      <c r="H126" s="1808">
        <v>27681</v>
      </c>
      <c r="I126" s="1809"/>
      <c r="J126" s="1808">
        <v>664460</v>
      </c>
      <c r="K126" s="1810"/>
      <c r="L126" s="1811"/>
      <c r="M126" s="1812">
        <v>27681</v>
      </c>
      <c r="N126" s="1813" t="s">
        <v>681</v>
      </c>
      <c r="O126" s="1812">
        <v>664460</v>
      </c>
      <c r="P126" s="461" t="s">
        <v>684</v>
      </c>
      <c r="Q126" s="5302"/>
      <c r="R126" s="2339"/>
      <c r="S126" s="2120"/>
      <c r="T126" s="474"/>
      <c r="U126" s="2376"/>
      <c r="V126" s="2340"/>
      <c r="W126" s="2114">
        <f>AB126+AE126+AH126+AK126</f>
        <v>1256.0999999999999</v>
      </c>
      <c r="X126" s="293"/>
      <c r="Y126" s="354">
        <f>AC126+AF126+AI126+AL126</f>
        <v>1086.5</v>
      </c>
      <c r="Z126" s="293"/>
      <c r="AA126" s="474">
        <v>1081.2</v>
      </c>
      <c r="AB126" s="474"/>
      <c r="AC126" s="474"/>
      <c r="AD126" s="474" t="s">
        <v>369</v>
      </c>
      <c r="AE126" s="474">
        <v>1256.0999999999999</v>
      </c>
      <c r="AF126" s="474">
        <v>1086.5</v>
      </c>
      <c r="AG126" s="474">
        <v>1081.2</v>
      </c>
      <c r="AH126" s="474"/>
      <c r="AI126" s="474"/>
      <c r="AJ126" s="474"/>
      <c r="AK126" s="474"/>
      <c r="AL126" s="474"/>
      <c r="AM126" s="474"/>
      <c r="AN126" s="475" t="s">
        <v>364</v>
      </c>
      <c r="AO126" s="476" t="s">
        <v>2090</v>
      </c>
      <c r="AP126" s="477"/>
      <c r="AQ126" s="477"/>
      <c r="AR126" s="99"/>
      <c r="AS126" s="478" t="s">
        <v>366</v>
      </c>
      <c r="AT126" s="478"/>
      <c r="AU126" s="479"/>
      <c r="AV126" s="1815" t="s">
        <v>2106</v>
      </c>
    </row>
    <row r="127" spans="2:48" ht="20.100000000000001" customHeight="1">
      <c r="B127" s="1816"/>
      <c r="C127" s="10023" t="s">
        <v>376</v>
      </c>
      <c r="D127" s="10023"/>
      <c r="E127" s="10023"/>
      <c r="F127" s="10023"/>
      <c r="G127" s="164" t="s">
        <v>344</v>
      </c>
      <c r="H127" s="292"/>
      <c r="I127" s="297" t="s">
        <v>209</v>
      </c>
      <c r="J127" s="292"/>
      <c r="K127" s="95" t="s">
        <v>209</v>
      </c>
      <c r="L127" s="1817"/>
      <c r="M127" s="1818"/>
      <c r="N127" s="1819" t="s">
        <v>209</v>
      </c>
      <c r="O127" s="1818"/>
      <c r="P127" s="613" t="s">
        <v>209</v>
      </c>
      <c r="Q127" s="2350"/>
      <c r="R127" s="2186"/>
      <c r="S127" s="2111"/>
      <c r="T127" s="100"/>
      <c r="U127" s="2349"/>
      <c r="V127" s="2187"/>
      <c r="W127" s="2111"/>
      <c r="X127" s="484"/>
      <c r="Y127" s="100"/>
      <c r="Z127" s="484"/>
      <c r="AA127" s="100"/>
      <c r="AB127" s="100"/>
      <c r="AC127" s="100"/>
      <c r="AD127" s="100"/>
      <c r="AE127" s="100"/>
      <c r="AF127" s="100"/>
      <c r="AG127" s="100"/>
      <c r="AH127" s="100"/>
      <c r="AI127" s="100"/>
      <c r="AJ127" s="100"/>
      <c r="AK127" s="100"/>
      <c r="AL127" s="100"/>
      <c r="AM127" s="100"/>
      <c r="AN127" s="489" t="s">
        <v>378</v>
      </c>
      <c r="AO127" s="99" t="s">
        <v>189</v>
      </c>
      <c r="AP127" s="138"/>
      <c r="AQ127" s="138"/>
      <c r="AR127" s="299" t="s">
        <v>193</v>
      </c>
      <c r="AS127" s="265" t="s">
        <v>379</v>
      </c>
      <c r="AT127" s="265"/>
      <c r="AU127" s="187"/>
      <c r="AV127" s="11"/>
    </row>
    <row r="128" spans="2:48" ht="20.100000000000001" customHeight="1">
      <c r="B128" s="1816"/>
      <c r="C128" s="10023" t="s">
        <v>380</v>
      </c>
      <c r="D128" s="10023"/>
      <c r="E128" s="10023"/>
      <c r="F128" s="10023"/>
      <c r="G128" s="164" t="s">
        <v>156</v>
      </c>
      <c r="H128" s="292"/>
      <c r="I128" s="297" t="s">
        <v>209</v>
      </c>
      <c r="J128" s="292"/>
      <c r="K128" s="95" t="s">
        <v>209</v>
      </c>
      <c r="L128" s="1817"/>
      <c r="M128" s="1818"/>
      <c r="N128" s="1819" t="s">
        <v>209</v>
      </c>
      <c r="O128" s="1818"/>
      <c r="P128" s="613" t="s">
        <v>209</v>
      </c>
      <c r="Q128" s="5303"/>
      <c r="R128" s="2389"/>
      <c r="S128" s="2121"/>
      <c r="T128" s="488"/>
      <c r="U128" s="4879"/>
      <c r="V128" s="2390"/>
      <c r="W128" s="2121"/>
      <c r="X128" s="484"/>
      <c r="Y128" s="488"/>
      <c r="Z128" s="484"/>
      <c r="AA128" s="488"/>
      <c r="AB128" s="488"/>
      <c r="AC128" s="488"/>
      <c r="AD128" s="488"/>
      <c r="AE128" s="488"/>
      <c r="AF128" s="488"/>
      <c r="AG128" s="488"/>
      <c r="AH128" s="488"/>
      <c r="AI128" s="488"/>
      <c r="AJ128" s="488"/>
      <c r="AK128" s="488"/>
      <c r="AL128" s="488"/>
      <c r="AM128" s="488"/>
      <c r="AN128" s="489" t="s">
        <v>382</v>
      </c>
      <c r="AO128" s="99" t="s">
        <v>189</v>
      </c>
      <c r="AP128" s="138"/>
      <c r="AQ128" s="138"/>
      <c r="AR128" s="299" t="s">
        <v>193</v>
      </c>
      <c r="AS128" s="265" t="s">
        <v>384</v>
      </c>
      <c r="AT128" s="265"/>
      <c r="AU128" s="187" t="s">
        <v>350</v>
      </c>
      <c r="AV128" s="11"/>
    </row>
    <row r="129" spans="2:48" ht="20.100000000000001" customHeight="1">
      <c r="B129" s="1816"/>
      <c r="C129" s="10069"/>
      <c r="D129" s="10077" t="s">
        <v>385</v>
      </c>
      <c r="E129" s="10077"/>
      <c r="F129" s="10077"/>
      <c r="G129" s="164" t="s">
        <v>344</v>
      </c>
      <c r="H129" s="292"/>
      <c r="I129" s="297" t="s">
        <v>209</v>
      </c>
      <c r="J129" s="292"/>
      <c r="K129" s="95" t="s">
        <v>209</v>
      </c>
      <c r="L129" s="1817"/>
      <c r="M129" s="1818"/>
      <c r="N129" s="1819" t="s">
        <v>209</v>
      </c>
      <c r="O129" s="1818"/>
      <c r="P129" s="613" t="s">
        <v>209</v>
      </c>
      <c r="Q129" s="5304"/>
      <c r="R129" s="2288"/>
      <c r="S129" s="2122"/>
      <c r="T129" s="494"/>
      <c r="U129" s="2373"/>
      <c r="V129" s="2289"/>
      <c r="W129" s="2122"/>
      <c r="X129" s="484"/>
      <c r="Y129" s="494"/>
      <c r="Z129" s="484"/>
      <c r="AA129" s="494"/>
      <c r="AB129" s="494"/>
      <c r="AC129" s="494"/>
      <c r="AD129" s="494"/>
      <c r="AE129" s="494"/>
      <c r="AF129" s="494"/>
      <c r="AG129" s="494"/>
      <c r="AH129" s="494"/>
      <c r="AI129" s="494"/>
      <c r="AJ129" s="494"/>
      <c r="AK129" s="494"/>
      <c r="AL129" s="494"/>
      <c r="AM129" s="494"/>
      <c r="AN129" s="162"/>
      <c r="AO129" s="99" t="s">
        <v>189</v>
      </c>
      <c r="AP129" s="138"/>
      <c r="AQ129" s="138"/>
      <c r="AR129" s="582"/>
      <c r="AS129" s="265" t="s">
        <v>384</v>
      </c>
      <c r="AT129" s="265"/>
      <c r="AU129" s="187"/>
      <c r="AV129" s="11"/>
    </row>
    <row r="130" spans="2:48" ht="20.100000000000001" customHeight="1">
      <c r="B130" s="1816"/>
      <c r="C130" s="10076"/>
      <c r="D130" s="9786" t="s">
        <v>343</v>
      </c>
      <c r="E130" s="9786"/>
      <c r="F130" s="9786"/>
      <c r="G130" s="164" t="s">
        <v>344</v>
      </c>
      <c r="H130" s="292"/>
      <c r="I130" s="297" t="s">
        <v>209</v>
      </c>
      <c r="J130" s="292"/>
      <c r="K130" s="95" t="s">
        <v>209</v>
      </c>
      <c r="L130" s="1817"/>
      <c r="M130" s="1818"/>
      <c r="N130" s="1819" t="s">
        <v>209</v>
      </c>
      <c r="O130" s="1818"/>
      <c r="P130" s="613" t="s">
        <v>209</v>
      </c>
      <c r="Q130" s="5304"/>
      <c r="R130" s="2288"/>
      <c r="S130" s="2122"/>
      <c r="T130" s="494"/>
      <c r="U130" s="2373"/>
      <c r="V130" s="2289"/>
      <c r="W130" s="2122"/>
      <c r="X130" s="484"/>
      <c r="Y130" s="494"/>
      <c r="Z130" s="484"/>
      <c r="AA130" s="494"/>
      <c r="AB130" s="494"/>
      <c r="AC130" s="494"/>
      <c r="AD130" s="494"/>
      <c r="AE130" s="494"/>
      <c r="AF130" s="494"/>
      <c r="AG130" s="494"/>
      <c r="AH130" s="494"/>
      <c r="AI130" s="494"/>
      <c r="AJ130" s="494"/>
      <c r="AK130" s="494"/>
      <c r="AL130" s="494"/>
      <c r="AM130" s="494"/>
      <c r="AN130" s="162"/>
      <c r="AO130" s="99" t="s">
        <v>189</v>
      </c>
      <c r="AP130" s="138"/>
      <c r="AQ130" s="138"/>
      <c r="AR130" s="582"/>
      <c r="AS130" s="265" t="s">
        <v>384</v>
      </c>
      <c r="AT130" s="265"/>
      <c r="AU130" s="187"/>
      <c r="AV130" s="11"/>
    </row>
    <row r="131" spans="2:48" ht="20.100000000000001" customHeight="1">
      <c r="B131" s="1816"/>
      <c r="C131" s="10023" t="s">
        <v>387</v>
      </c>
      <c r="D131" s="10023"/>
      <c r="E131" s="10023"/>
      <c r="F131" s="10023"/>
      <c r="G131" s="164" t="s">
        <v>156</v>
      </c>
      <c r="H131" s="292"/>
      <c r="I131" s="297" t="s">
        <v>209</v>
      </c>
      <c r="J131" s="292"/>
      <c r="K131" s="95" t="s">
        <v>209</v>
      </c>
      <c r="L131" s="1817"/>
      <c r="M131" s="1818"/>
      <c r="N131" s="1819" t="s">
        <v>209</v>
      </c>
      <c r="O131" s="1818"/>
      <c r="P131" s="613" t="s">
        <v>209</v>
      </c>
      <c r="Q131" s="5302"/>
      <c r="R131" s="2339"/>
      <c r="S131" s="2120"/>
      <c r="T131" s="474"/>
      <c r="U131" s="2376"/>
      <c r="V131" s="2340"/>
      <c r="W131" s="2120"/>
      <c r="X131" s="484"/>
      <c r="Y131" s="474"/>
      <c r="Z131" s="484"/>
      <c r="AA131" s="474"/>
      <c r="AB131" s="474"/>
      <c r="AC131" s="474"/>
      <c r="AD131" s="474"/>
      <c r="AE131" s="474"/>
      <c r="AF131" s="474"/>
      <c r="AG131" s="474"/>
      <c r="AH131" s="474"/>
      <c r="AI131" s="474"/>
      <c r="AJ131" s="474"/>
      <c r="AK131" s="474"/>
      <c r="AL131" s="474"/>
      <c r="AM131" s="474"/>
      <c r="AN131" s="489" t="s">
        <v>382</v>
      </c>
      <c r="AO131" s="99" t="s">
        <v>189</v>
      </c>
      <c r="AP131" s="138"/>
      <c r="AQ131" s="138"/>
      <c r="AR131" s="299" t="s">
        <v>193</v>
      </c>
      <c r="AS131" s="265" t="s">
        <v>390</v>
      </c>
      <c r="AT131" s="265"/>
      <c r="AU131" s="187"/>
      <c r="AV131" s="11"/>
    </row>
    <row r="132" spans="2:48" ht="20.100000000000001" customHeight="1">
      <c r="B132" s="1816"/>
      <c r="C132" s="1820"/>
      <c r="D132" s="10077" t="s">
        <v>391</v>
      </c>
      <c r="E132" s="10077"/>
      <c r="F132" s="10077"/>
      <c r="G132" s="164" t="s">
        <v>344</v>
      </c>
      <c r="H132" s="292"/>
      <c r="I132" s="297" t="s">
        <v>209</v>
      </c>
      <c r="J132" s="292"/>
      <c r="K132" s="95" t="s">
        <v>209</v>
      </c>
      <c r="L132" s="1817"/>
      <c r="M132" s="1818"/>
      <c r="N132" s="1819" t="s">
        <v>209</v>
      </c>
      <c r="O132" s="1818"/>
      <c r="P132" s="613" t="s">
        <v>209</v>
      </c>
      <c r="Q132" s="2350"/>
      <c r="R132" s="2186"/>
      <c r="S132" s="2111"/>
      <c r="T132" s="100"/>
      <c r="U132" s="2349"/>
      <c r="V132" s="2187"/>
      <c r="W132" s="2111"/>
      <c r="X132" s="484"/>
      <c r="Y132" s="100"/>
      <c r="Z132" s="484"/>
      <c r="AA132" s="100"/>
      <c r="AB132" s="100"/>
      <c r="AC132" s="100"/>
      <c r="AD132" s="100"/>
      <c r="AE132" s="100"/>
      <c r="AF132" s="100"/>
      <c r="AG132" s="100"/>
      <c r="AH132" s="100"/>
      <c r="AI132" s="100"/>
      <c r="AJ132" s="100"/>
      <c r="AK132" s="100"/>
      <c r="AL132" s="100"/>
      <c r="AM132" s="100"/>
      <c r="AN132" s="162"/>
      <c r="AO132" s="99" t="s">
        <v>189</v>
      </c>
      <c r="AP132" s="138"/>
      <c r="AQ132" s="138"/>
      <c r="AR132" s="299" t="s">
        <v>193</v>
      </c>
      <c r="AS132" s="265" t="s">
        <v>390</v>
      </c>
      <c r="AT132" s="265"/>
      <c r="AU132" s="187"/>
      <c r="AV132" s="11"/>
    </row>
    <row r="133" spans="2:48" ht="20.100000000000001" customHeight="1">
      <c r="B133" s="1821"/>
      <c r="C133" s="10061" t="s">
        <v>2107</v>
      </c>
      <c r="D133" s="10061"/>
      <c r="E133" s="10061"/>
      <c r="F133" s="10061"/>
      <c r="G133" s="164" t="s">
        <v>344</v>
      </c>
      <c r="H133" s="292"/>
      <c r="I133" s="297" t="s">
        <v>209</v>
      </c>
      <c r="J133" s="292"/>
      <c r="K133" s="95" t="s">
        <v>209</v>
      </c>
      <c r="L133" s="1817"/>
      <c r="M133" s="1818"/>
      <c r="N133" s="1819" t="s">
        <v>209</v>
      </c>
      <c r="O133" s="1818"/>
      <c r="P133" s="613" t="s">
        <v>209</v>
      </c>
      <c r="Q133" s="5304"/>
      <c r="R133" s="2288"/>
      <c r="S133" s="2122"/>
      <c r="T133" s="494"/>
      <c r="U133" s="2373"/>
      <c r="V133" s="2289"/>
      <c r="W133" s="2122"/>
      <c r="X133" s="484"/>
      <c r="Y133" s="494"/>
      <c r="Z133" s="484"/>
      <c r="AA133" s="494"/>
      <c r="AB133" s="494"/>
      <c r="AC133" s="494"/>
      <c r="AD133" s="494"/>
      <c r="AE133" s="494"/>
      <c r="AF133" s="494"/>
      <c r="AG133" s="494"/>
      <c r="AH133" s="494"/>
      <c r="AI133" s="494"/>
      <c r="AJ133" s="494"/>
      <c r="AK133" s="494"/>
      <c r="AL133" s="494"/>
      <c r="AM133" s="494"/>
      <c r="AN133" s="367" t="s">
        <v>395</v>
      </c>
      <c r="AO133" s="99" t="s">
        <v>189</v>
      </c>
      <c r="AP133" s="138"/>
      <c r="AQ133" s="138"/>
      <c r="AR133" s="299" t="s">
        <v>193</v>
      </c>
      <c r="AS133" s="265" t="s">
        <v>397</v>
      </c>
      <c r="AT133" s="265"/>
      <c r="AU133" s="187"/>
      <c r="AV133" s="11"/>
    </row>
    <row r="134" spans="2:48" ht="20.100000000000001" customHeight="1">
      <c r="B134" s="1821"/>
      <c r="C134" s="10069"/>
      <c r="D134" s="508" t="s">
        <v>2108</v>
      </c>
      <c r="E134" s="508"/>
      <c r="F134" s="508"/>
      <c r="G134" s="164" t="s">
        <v>344</v>
      </c>
      <c r="H134" s="292"/>
      <c r="I134" s="297" t="s">
        <v>209</v>
      </c>
      <c r="J134" s="292"/>
      <c r="K134" s="95" t="s">
        <v>209</v>
      </c>
      <c r="L134" s="1817"/>
      <c r="M134" s="1818"/>
      <c r="N134" s="1819" t="s">
        <v>209</v>
      </c>
      <c r="O134" s="1818"/>
      <c r="P134" s="613" t="s">
        <v>209</v>
      </c>
      <c r="Q134" s="2350"/>
      <c r="R134" s="2186"/>
      <c r="S134" s="2111"/>
      <c r="T134" s="100"/>
      <c r="U134" s="2349"/>
      <c r="V134" s="2187"/>
      <c r="W134" s="2111"/>
      <c r="X134" s="484"/>
      <c r="Y134" s="100"/>
      <c r="Z134" s="484"/>
      <c r="AA134" s="100"/>
      <c r="AB134" s="100"/>
      <c r="AC134" s="100"/>
      <c r="AD134" s="100"/>
      <c r="AE134" s="100"/>
      <c r="AF134" s="100"/>
      <c r="AG134" s="100"/>
      <c r="AH134" s="100"/>
      <c r="AI134" s="100"/>
      <c r="AJ134" s="100"/>
      <c r="AK134" s="100"/>
      <c r="AL134" s="100"/>
      <c r="AM134" s="100"/>
      <c r="AN134" s="162"/>
      <c r="AO134" s="99" t="s">
        <v>189</v>
      </c>
      <c r="AP134" s="138"/>
      <c r="AQ134" s="138"/>
      <c r="AR134" s="299" t="s">
        <v>193</v>
      </c>
      <c r="AS134" s="265" t="s">
        <v>397</v>
      </c>
      <c r="AT134" s="265"/>
      <c r="AU134" s="187"/>
      <c r="AV134" s="11"/>
    </row>
    <row r="135" spans="2:48" ht="20.100000000000001" customHeight="1">
      <c r="B135" s="1821"/>
      <c r="C135" s="10070"/>
      <c r="D135" s="508" t="s">
        <v>400</v>
      </c>
      <c r="E135" s="508"/>
      <c r="F135" s="508"/>
      <c r="G135" s="164" t="s">
        <v>344</v>
      </c>
      <c r="H135" s="292"/>
      <c r="I135" s="297" t="s">
        <v>209</v>
      </c>
      <c r="J135" s="292"/>
      <c r="K135" s="95" t="s">
        <v>209</v>
      </c>
      <c r="L135" s="1817"/>
      <c r="M135" s="1818"/>
      <c r="N135" s="1819" t="s">
        <v>209</v>
      </c>
      <c r="O135" s="1818"/>
      <c r="P135" s="613" t="s">
        <v>209</v>
      </c>
      <c r="Q135" s="2350"/>
      <c r="R135" s="2186"/>
      <c r="S135" s="2111"/>
      <c r="T135" s="100"/>
      <c r="U135" s="2349"/>
      <c r="V135" s="2187"/>
      <c r="W135" s="2111"/>
      <c r="X135" s="484"/>
      <c r="Y135" s="100"/>
      <c r="Z135" s="484"/>
      <c r="AA135" s="100"/>
      <c r="AB135" s="100"/>
      <c r="AC135" s="100"/>
      <c r="AD135" s="100"/>
      <c r="AE135" s="100"/>
      <c r="AF135" s="100"/>
      <c r="AG135" s="100"/>
      <c r="AH135" s="100"/>
      <c r="AI135" s="100"/>
      <c r="AJ135" s="100"/>
      <c r="AK135" s="100"/>
      <c r="AL135" s="100"/>
      <c r="AM135" s="100"/>
      <c r="AN135" s="162"/>
      <c r="AO135" s="99" t="s">
        <v>189</v>
      </c>
      <c r="AP135" s="138"/>
      <c r="AQ135" s="138"/>
      <c r="AR135" s="299" t="s">
        <v>193</v>
      </c>
      <c r="AS135" s="265" t="s">
        <v>397</v>
      </c>
      <c r="AT135" s="265"/>
      <c r="AU135" s="187"/>
      <c r="AV135" s="11"/>
    </row>
    <row r="136" spans="2:48" ht="20.100000000000001" customHeight="1">
      <c r="B136" s="1821"/>
      <c r="C136" s="10070"/>
      <c r="D136" s="508" t="s">
        <v>402</v>
      </c>
      <c r="E136" s="508"/>
      <c r="F136" s="508"/>
      <c r="G136" s="164" t="s">
        <v>344</v>
      </c>
      <c r="H136" s="292"/>
      <c r="I136" s="297" t="s">
        <v>209</v>
      </c>
      <c r="J136" s="292"/>
      <c r="K136" s="95" t="s">
        <v>209</v>
      </c>
      <c r="L136" s="1817"/>
      <c r="M136" s="1818"/>
      <c r="N136" s="1819" t="s">
        <v>209</v>
      </c>
      <c r="O136" s="1818"/>
      <c r="P136" s="613" t="s">
        <v>209</v>
      </c>
      <c r="Q136" s="5303"/>
      <c r="R136" s="2389"/>
      <c r="S136" s="2121"/>
      <c r="T136" s="488"/>
      <c r="U136" s="4879"/>
      <c r="V136" s="2390"/>
      <c r="W136" s="2121"/>
      <c r="X136" s="484"/>
      <c r="Y136" s="488"/>
      <c r="Z136" s="484"/>
      <c r="AA136" s="488"/>
      <c r="AB136" s="488"/>
      <c r="AC136" s="488"/>
      <c r="AD136" s="488"/>
      <c r="AE136" s="488"/>
      <c r="AF136" s="488"/>
      <c r="AG136" s="488"/>
      <c r="AH136" s="488"/>
      <c r="AI136" s="488"/>
      <c r="AJ136" s="488"/>
      <c r="AK136" s="488"/>
      <c r="AL136" s="488"/>
      <c r="AM136" s="488"/>
      <c r="AN136" s="162"/>
      <c r="AO136" s="99" t="s">
        <v>189</v>
      </c>
      <c r="AP136" s="138"/>
      <c r="AQ136" s="138"/>
      <c r="AR136" s="299" t="s">
        <v>193</v>
      </c>
      <c r="AS136" s="265" t="s">
        <v>397</v>
      </c>
      <c r="AT136" s="265"/>
      <c r="AU136" s="187"/>
      <c r="AV136" s="11"/>
    </row>
    <row r="137" spans="2:48" ht="20.100000000000001" customHeight="1">
      <c r="B137" s="1821"/>
      <c r="C137" s="10070"/>
      <c r="D137" s="9786" t="s">
        <v>404</v>
      </c>
      <c r="E137" s="9786"/>
      <c r="F137" s="9786"/>
      <c r="G137" s="164" t="s">
        <v>344</v>
      </c>
      <c r="H137" s="292"/>
      <c r="I137" s="297" t="s">
        <v>209</v>
      </c>
      <c r="J137" s="292"/>
      <c r="K137" s="95" t="s">
        <v>209</v>
      </c>
      <c r="L137" s="1817"/>
      <c r="M137" s="1818"/>
      <c r="N137" s="1819" t="s">
        <v>209</v>
      </c>
      <c r="O137" s="1818"/>
      <c r="P137" s="613" t="s">
        <v>209</v>
      </c>
      <c r="Q137" s="5304"/>
      <c r="R137" s="2288"/>
      <c r="S137" s="2122"/>
      <c r="T137" s="494"/>
      <c r="U137" s="2373"/>
      <c r="V137" s="2289"/>
      <c r="W137" s="2122"/>
      <c r="X137" s="484"/>
      <c r="Y137" s="494"/>
      <c r="Z137" s="484"/>
      <c r="AA137" s="494"/>
      <c r="AB137" s="494"/>
      <c r="AC137" s="494"/>
      <c r="AD137" s="494"/>
      <c r="AE137" s="494"/>
      <c r="AF137" s="494"/>
      <c r="AG137" s="494"/>
      <c r="AH137" s="494"/>
      <c r="AI137" s="494"/>
      <c r="AJ137" s="494"/>
      <c r="AK137" s="494"/>
      <c r="AL137" s="494"/>
      <c r="AM137" s="494"/>
      <c r="AN137" s="162"/>
      <c r="AO137" s="99" t="s">
        <v>189</v>
      </c>
      <c r="AP137" s="138"/>
      <c r="AQ137" s="138"/>
      <c r="AR137" s="299" t="s">
        <v>193</v>
      </c>
      <c r="AS137" s="265" t="s">
        <v>397</v>
      </c>
      <c r="AT137" s="265"/>
      <c r="AU137" s="187"/>
      <c r="AV137" s="11"/>
    </row>
    <row r="138" spans="2:48" ht="20.100000000000001" customHeight="1">
      <c r="B138" s="1821"/>
      <c r="C138" s="10070"/>
      <c r="D138" s="9786" t="s">
        <v>406</v>
      </c>
      <c r="E138" s="9786"/>
      <c r="F138" s="9786"/>
      <c r="G138" s="164" t="s">
        <v>344</v>
      </c>
      <c r="H138" s="292"/>
      <c r="I138" s="297" t="s">
        <v>209</v>
      </c>
      <c r="J138" s="292"/>
      <c r="K138" s="95" t="s">
        <v>209</v>
      </c>
      <c r="L138" s="1817"/>
      <c r="M138" s="1818"/>
      <c r="N138" s="1819" t="s">
        <v>209</v>
      </c>
      <c r="O138" s="1818"/>
      <c r="P138" s="613" t="s">
        <v>209</v>
      </c>
      <c r="Q138" s="5304"/>
      <c r="R138" s="2288"/>
      <c r="S138" s="2122"/>
      <c r="T138" s="494"/>
      <c r="U138" s="2373"/>
      <c r="V138" s="2289"/>
      <c r="W138" s="2122"/>
      <c r="X138" s="484"/>
      <c r="Y138" s="494"/>
      <c r="Z138" s="484"/>
      <c r="AA138" s="494"/>
      <c r="AB138" s="494"/>
      <c r="AC138" s="494"/>
      <c r="AD138" s="494"/>
      <c r="AE138" s="494"/>
      <c r="AF138" s="494"/>
      <c r="AG138" s="494"/>
      <c r="AH138" s="494"/>
      <c r="AI138" s="494"/>
      <c r="AJ138" s="494"/>
      <c r="AK138" s="494"/>
      <c r="AL138" s="494"/>
      <c r="AM138" s="494"/>
      <c r="AN138" s="162"/>
      <c r="AO138" s="99" t="s">
        <v>189</v>
      </c>
      <c r="AP138" s="138"/>
      <c r="AQ138" s="138"/>
      <c r="AR138" s="299" t="s">
        <v>193</v>
      </c>
      <c r="AS138" s="265" t="s">
        <v>397</v>
      </c>
      <c r="AT138" s="265"/>
      <c r="AU138" s="187"/>
      <c r="AV138" s="11"/>
    </row>
    <row r="139" spans="2:48" ht="20.100000000000001" customHeight="1" thickBot="1">
      <c r="B139" s="1821"/>
      <c r="C139" s="10071"/>
      <c r="D139" s="9788" t="s">
        <v>408</v>
      </c>
      <c r="E139" s="9788"/>
      <c r="F139" s="9788"/>
      <c r="G139" s="515" t="s">
        <v>344</v>
      </c>
      <c r="H139" s="292"/>
      <c r="I139" s="297" t="s">
        <v>209</v>
      </c>
      <c r="J139" s="292"/>
      <c r="K139" s="95" t="s">
        <v>209</v>
      </c>
      <c r="L139" s="1817"/>
      <c r="M139" s="1818"/>
      <c r="N139" s="1819" t="s">
        <v>209</v>
      </c>
      <c r="O139" s="1818"/>
      <c r="P139" s="613" t="s">
        <v>209</v>
      </c>
      <c r="Q139" s="5302"/>
      <c r="R139" s="2339"/>
      <c r="S139" s="2120"/>
      <c r="T139" s="474"/>
      <c r="U139" s="2376"/>
      <c r="V139" s="2340"/>
      <c r="W139" s="2120"/>
      <c r="X139" s="484"/>
      <c r="Y139" s="474"/>
      <c r="Z139" s="484"/>
      <c r="AA139" s="474"/>
      <c r="AB139" s="474"/>
      <c r="AC139" s="474"/>
      <c r="AD139" s="474"/>
      <c r="AE139" s="474"/>
      <c r="AF139" s="474"/>
      <c r="AG139" s="474"/>
      <c r="AH139" s="474"/>
      <c r="AI139" s="474"/>
      <c r="AJ139" s="474"/>
      <c r="AK139" s="474"/>
      <c r="AL139" s="474"/>
      <c r="AM139" s="474"/>
      <c r="AN139" s="162"/>
      <c r="AO139" s="99" t="s">
        <v>189</v>
      </c>
      <c r="AP139" s="138"/>
      <c r="AQ139" s="138"/>
      <c r="AR139" s="299" t="s">
        <v>193</v>
      </c>
      <c r="AS139" s="265" t="s">
        <v>397</v>
      </c>
      <c r="AT139" s="265"/>
      <c r="AU139" s="187"/>
      <c r="AV139" s="11"/>
    </row>
    <row r="140" spans="2:48" ht="27" thickBot="1">
      <c r="B140" s="123" t="s">
        <v>410</v>
      </c>
      <c r="C140" s="124"/>
      <c r="D140" s="124"/>
      <c r="E140" s="124"/>
      <c r="F140" s="124"/>
      <c r="G140" s="124"/>
      <c r="H140" s="148"/>
      <c r="I140" s="148"/>
      <c r="J140" s="148"/>
      <c r="K140" s="148"/>
      <c r="L140" s="148"/>
      <c r="M140" s="148"/>
      <c r="N140" s="148"/>
      <c r="O140" s="148"/>
      <c r="P140" s="148"/>
      <c r="Q140" s="148"/>
      <c r="R140" s="2175"/>
      <c r="S140" s="148"/>
      <c r="T140" s="148"/>
      <c r="U140" s="148"/>
      <c r="V140" s="2176"/>
      <c r="W140" s="148"/>
      <c r="X140" s="148"/>
      <c r="Y140" s="148"/>
      <c r="Z140" s="148"/>
      <c r="AA140" s="148"/>
      <c r="AB140" s="148"/>
      <c r="AC140" s="148"/>
      <c r="AD140" s="148"/>
      <c r="AE140" s="148"/>
      <c r="AF140" s="148"/>
      <c r="AG140" s="148"/>
      <c r="AH140" s="148"/>
      <c r="AI140" s="148"/>
      <c r="AJ140" s="148"/>
      <c r="AK140" s="148"/>
      <c r="AL140" s="148"/>
      <c r="AM140" s="148"/>
      <c r="AN140" s="80"/>
      <c r="AO140" s="1822"/>
      <c r="AP140" s="129"/>
      <c r="AQ140" s="129"/>
      <c r="AR140" s="1822"/>
      <c r="AS140" s="328"/>
      <c r="AT140" s="328"/>
      <c r="AU140" s="329"/>
    </row>
    <row r="141" spans="2:48" ht="20.100000000000001" customHeight="1">
      <c r="B141" s="1762"/>
      <c r="C141" s="10058" t="s">
        <v>2109</v>
      </c>
      <c r="D141" s="10058"/>
      <c r="E141" s="10058"/>
      <c r="F141" s="10058"/>
      <c r="G141" s="164" t="s">
        <v>344</v>
      </c>
      <c r="H141" s="524">
        <f>H142+H145</f>
        <v>87.38000000000001</v>
      </c>
      <c r="I141" s="525"/>
      <c r="J141" s="526">
        <f>J142+J145</f>
        <v>96.2</v>
      </c>
      <c r="K141" s="527"/>
      <c r="L141" s="528"/>
      <c r="M141" s="529">
        <f>M142+M145</f>
        <v>87.38000000000001</v>
      </c>
      <c r="N141" s="1823"/>
      <c r="O141" s="528">
        <f>O142+O145</f>
        <v>96.2</v>
      </c>
      <c r="P141" s="334"/>
      <c r="Q141" s="2365">
        <f>Q142+Q145</f>
        <v>0</v>
      </c>
      <c r="R141" s="2234"/>
      <c r="S141" s="2524"/>
      <c r="T141" s="528"/>
      <c r="U141" s="2365"/>
      <c r="V141" s="2235"/>
      <c r="W141" s="2524">
        <f>W142+W145</f>
        <v>265.31</v>
      </c>
      <c r="X141" s="441"/>
      <c r="Y141" s="528">
        <f>Y142+Y145</f>
        <v>522.23</v>
      </c>
      <c r="Z141" s="441"/>
      <c r="AA141" s="530">
        <f>AA142+AA145</f>
        <v>654.22</v>
      </c>
      <c r="AB141" s="528">
        <f t="shared" ref="AB141:AM141" si="18">AB142+AB145</f>
        <v>0</v>
      </c>
      <c r="AC141" s="528">
        <f t="shared" si="18"/>
        <v>0</v>
      </c>
      <c r="AD141" s="528">
        <f t="shared" si="18"/>
        <v>0</v>
      </c>
      <c r="AE141" s="528">
        <f t="shared" si="18"/>
        <v>0</v>
      </c>
      <c r="AF141" s="528">
        <f t="shared" si="18"/>
        <v>0</v>
      </c>
      <c r="AG141" s="528">
        <f t="shared" si="18"/>
        <v>0</v>
      </c>
      <c r="AH141" s="528">
        <f t="shared" si="18"/>
        <v>0</v>
      </c>
      <c r="AI141" s="528">
        <f t="shared" si="18"/>
        <v>0</v>
      </c>
      <c r="AJ141" s="528">
        <f t="shared" si="18"/>
        <v>0</v>
      </c>
      <c r="AK141" s="528">
        <f t="shared" si="18"/>
        <v>0</v>
      </c>
      <c r="AL141" s="528">
        <f t="shared" si="18"/>
        <v>0</v>
      </c>
      <c r="AM141" s="528">
        <f t="shared" si="18"/>
        <v>0</v>
      </c>
      <c r="AN141" s="533" t="s">
        <v>415</v>
      </c>
      <c r="AO141" s="1824"/>
      <c r="AP141" s="1825"/>
      <c r="AQ141" s="534"/>
      <c r="AR141" s="1826"/>
      <c r="AS141" s="277" t="s">
        <v>418</v>
      </c>
      <c r="AT141" s="277" t="s">
        <v>419</v>
      </c>
      <c r="AU141" s="187"/>
    </row>
    <row r="142" spans="2:48" ht="20.100000000000001" customHeight="1">
      <c r="B142" s="1754"/>
      <c r="C142" s="10074"/>
      <c r="D142" s="10066" t="s">
        <v>423</v>
      </c>
      <c r="E142" s="10066"/>
      <c r="F142" s="10066"/>
      <c r="G142" s="164" t="s">
        <v>344</v>
      </c>
      <c r="H142" s="538">
        <v>86.43</v>
      </c>
      <c r="I142" s="539"/>
      <c r="J142" s="538">
        <v>96.2</v>
      </c>
      <c r="K142" s="540"/>
      <c r="L142" s="541"/>
      <c r="M142" s="275">
        <v>86.43</v>
      </c>
      <c r="N142" s="1757" t="s">
        <v>690</v>
      </c>
      <c r="O142" s="275">
        <v>96.2</v>
      </c>
      <c r="P142" s="1757" t="s">
        <v>691</v>
      </c>
      <c r="Q142" s="2350"/>
      <c r="R142" s="2186"/>
      <c r="S142" s="2111"/>
      <c r="T142" s="100"/>
      <c r="U142" s="2349"/>
      <c r="V142" s="2187"/>
      <c r="W142" s="2111">
        <f>SUM(W143:W144)</f>
        <v>265.31</v>
      </c>
      <c r="X142" s="293"/>
      <c r="Y142" s="100">
        <f>SUM(Y143:Y144)</f>
        <v>522.23</v>
      </c>
      <c r="Z142" s="293"/>
      <c r="AA142" s="100">
        <f>SUM(AA143:AA144)</f>
        <v>654.22</v>
      </c>
      <c r="AB142" s="100"/>
      <c r="AC142" s="100"/>
      <c r="AD142" s="100"/>
      <c r="AE142" s="100"/>
      <c r="AF142" s="100"/>
      <c r="AG142" s="100"/>
      <c r="AH142" s="100"/>
      <c r="AI142" s="100"/>
      <c r="AJ142" s="100"/>
      <c r="AK142" s="100"/>
      <c r="AL142" s="100"/>
      <c r="AM142" s="100"/>
      <c r="AN142" s="276"/>
      <c r="AO142" s="545"/>
      <c r="AP142" s="546"/>
      <c r="AQ142" s="547"/>
      <c r="AR142" s="548"/>
      <c r="AS142" s="277" t="s">
        <v>418</v>
      </c>
      <c r="AT142" s="277" t="s">
        <v>419</v>
      </c>
      <c r="AU142" s="187"/>
    </row>
    <row r="143" spans="2:48" ht="20.100000000000001" customHeight="1">
      <c r="B143" s="1747"/>
      <c r="C143" s="10074"/>
      <c r="D143" s="10075"/>
      <c r="E143" s="10066" t="s">
        <v>425</v>
      </c>
      <c r="F143" s="10066"/>
      <c r="G143" s="1827" t="s">
        <v>413</v>
      </c>
      <c r="H143" s="538">
        <v>78.3</v>
      </c>
      <c r="I143" s="539"/>
      <c r="J143" s="538">
        <v>85</v>
      </c>
      <c r="K143" s="540"/>
      <c r="L143" s="541"/>
      <c r="M143" s="275">
        <v>78.3</v>
      </c>
      <c r="N143" s="1757" t="s">
        <v>693</v>
      </c>
      <c r="O143" s="275">
        <v>85</v>
      </c>
      <c r="P143" s="1757" t="s">
        <v>693</v>
      </c>
      <c r="Q143" s="2350"/>
      <c r="R143" s="2186"/>
      <c r="S143" s="2111"/>
      <c r="T143" s="100"/>
      <c r="U143" s="2349"/>
      <c r="V143" s="2236"/>
      <c r="W143" s="2114">
        <f>AB143+AE143+AH143+AK143</f>
        <v>2.81</v>
      </c>
      <c r="X143" s="293"/>
      <c r="Y143" s="354">
        <f>AC143+AF143+AI143+AL143</f>
        <v>15.73</v>
      </c>
      <c r="Z143" s="293"/>
      <c r="AA143" s="354">
        <f>AD143+AG143+AJ143+AM143</f>
        <v>6.7199999999999989</v>
      </c>
      <c r="AB143" s="552">
        <f>2.81</f>
        <v>2.81</v>
      </c>
      <c r="AC143" s="552">
        <f>15.73</f>
        <v>15.73</v>
      </c>
      <c r="AD143" s="552">
        <f>3.05+2.9+0.77</f>
        <v>6.7199999999999989</v>
      </c>
      <c r="AE143" s="100"/>
      <c r="AF143" s="100"/>
      <c r="AG143" s="100"/>
      <c r="AH143" s="100"/>
      <c r="AI143" s="100"/>
      <c r="AJ143" s="100"/>
      <c r="AK143" s="100"/>
      <c r="AL143" s="100"/>
      <c r="AM143" s="100"/>
      <c r="AN143" s="457" t="s">
        <v>427</v>
      </c>
      <c r="AO143" s="545"/>
      <c r="AP143" s="547"/>
      <c r="AQ143" s="547"/>
      <c r="AR143" s="545"/>
      <c r="AS143" s="277" t="s">
        <v>429</v>
      </c>
      <c r="AT143" s="265"/>
      <c r="AU143" s="187"/>
    </row>
    <row r="144" spans="2:48" ht="20.100000000000001" customHeight="1">
      <c r="B144" s="1754"/>
      <c r="C144" s="10074"/>
      <c r="D144" s="10075"/>
      <c r="E144" s="10066" t="s">
        <v>1790</v>
      </c>
      <c r="F144" s="10066"/>
      <c r="G144" s="1827" t="s">
        <v>2110</v>
      </c>
      <c r="H144" s="539"/>
      <c r="I144" s="539"/>
      <c r="J144" s="539"/>
      <c r="K144" s="539"/>
      <c r="L144" s="556"/>
      <c r="M144" s="293">
        <v>8.1</v>
      </c>
      <c r="N144" s="294"/>
      <c r="O144" s="275">
        <v>11.2</v>
      </c>
      <c r="P144" s="1757"/>
      <c r="Q144" s="2350"/>
      <c r="R144" s="2186"/>
      <c r="S144" s="2111"/>
      <c r="T144" s="100"/>
      <c r="U144" s="2349"/>
      <c r="V144" s="2236"/>
      <c r="W144" s="2114">
        <f>AB144+AE144+AH144+AK144</f>
        <v>262.5</v>
      </c>
      <c r="X144" s="293"/>
      <c r="Y144" s="354">
        <f>AC144+AF144+AI144+AL144</f>
        <v>506.5</v>
      </c>
      <c r="Z144" s="293"/>
      <c r="AA144" s="354">
        <f>AD144+AG144+AJ144+AM144</f>
        <v>647.5</v>
      </c>
      <c r="AB144" s="552">
        <f>202.5+60</f>
        <v>262.5</v>
      </c>
      <c r="AC144" s="552">
        <f>340.5+166</f>
        <v>506.5</v>
      </c>
      <c r="AD144" s="552">
        <f>285.5+4+358</f>
        <v>647.5</v>
      </c>
      <c r="AE144" s="100"/>
      <c r="AF144" s="100"/>
      <c r="AG144" s="100"/>
      <c r="AH144" s="100"/>
      <c r="AI144" s="100"/>
      <c r="AJ144" s="100"/>
      <c r="AK144" s="100"/>
      <c r="AL144" s="100"/>
      <c r="AM144" s="100"/>
      <c r="AN144" s="1286" t="s">
        <v>439</v>
      </c>
      <c r="AO144" s="545"/>
      <c r="AP144" s="547"/>
      <c r="AQ144" s="547"/>
      <c r="AR144" s="545"/>
      <c r="AS144" s="277" t="s">
        <v>489</v>
      </c>
      <c r="AT144" s="277" t="s">
        <v>442</v>
      </c>
      <c r="AU144" s="187"/>
    </row>
    <row r="145" spans="2:48" ht="20.100000000000001" customHeight="1">
      <c r="B145" s="1754"/>
      <c r="C145" s="10074"/>
      <c r="D145" s="10066" t="s">
        <v>444</v>
      </c>
      <c r="E145" s="10066"/>
      <c r="F145" s="10066"/>
      <c r="G145" s="164" t="s">
        <v>344</v>
      </c>
      <c r="H145" s="539">
        <v>0.95</v>
      </c>
      <c r="I145" s="539"/>
      <c r="J145" s="539">
        <v>0</v>
      </c>
      <c r="K145" s="539"/>
      <c r="L145" s="556"/>
      <c r="M145" s="293">
        <v>0.95</v>
      </c>
      <c r="N145" s="294" t="s">
        <v>1791</v>
      </c>
      <c r="O145" s="275">
        <v>0</v>
      </c>
      <c r="P145" s="1757">
        <v>0</v>
      </c>
      <c r="Q145" s="2350"/>
      <c r="R145" s="2186"/>
      <c r="S145" s="2111"/>
      <c r="T145" s="100"/>
      <c r="U145" s="2349"/>
      <c r="V145" s="2236"/>
      <c r="W145" s="2111"/>
      <c r="X145" s="293"/>
      <c r="Y145" s="100"/>
      <c r="Z145" s="293"/>
      <c r="AA145" s="552"/>
      <c r="AB145" s="552"/>
      <c r="AC145" s="552"/>
      <c r="AD145" s="100"/>
      <c r="AE145" s="100"/>
      <c r="AF145" s="100"/>
      <c r="AG145" s="100"/>
      <c r="AH145" s="100"/>
      <c r="AI145" s="100"/>
      <c r="AJ145" s="100"/>
      <c r="AK145" s="100"/>
      <c r="AL145" s="100"/>
      <c r="AM145" s="100"/>
      <c r="AN145" s="276"/>
      <c r="AO145" s="545"/>
      <c r="AP145" s="546"/>
      <c r="AQ145" s="547"/>
      <c r="AR145" s="548"/>
      <c r="AS145" s="277" t="s">
        <v>418</v>
      </c>
      <c r="AT145" s="277" t="s">
        <v>419</v>
      </c>
      <c r="AU145" s="187"/>
    </row>
    <row r="146" spans="2:48" ht="20.100000000000001" customHeight="1">
      <c r="B146" s="1747"/>
      <c r="C146" s="10074"/>
      <c r="D146" s="10073"/>
      <c r="E146" s="10066" t="s">
        <v>446</v>
      </c>
      <c r="F146" s="10066"/>
      <c r="G146" s="164" t="s">
        <v>344</v>
      </c>
      <c r="H146" s="539">
        <v>0</v>
      </c>
      <c r="I146" s="539"/>
      <c r="J146" s="539">
        <v>0</v>
      </c>
      <c r="K146" s="539"/>
      <c r="L146" s="556"/>
      <c r="M146" s="293">
        <v>0</v>
      </c>
      <c r="N146" s="294"/>
      <c r="O146" s="275">
        <v>0</v>
      </c>
      <c r="P146" s="1757"/>
      <c r="Q146" s="2350"/>
      <c r="R146" s="2186"/>
      <c r="S146" s="2111"/>
      <c r="T146" s="100"/>
      <c r="U146" s="2349"/>
      <c r="V146" s="2236"/>
      <c r="W146" s="2111"/>
      <c r="X146" s="293"/>
      <c r="Y146" s="100"/>
      <c r="Z146" s="293"/>
      <c r="AA146" s="552"/>
      <c r="AB146" s="552"/>
      <c r="AC146" s="552"/>
      <c r="AD146" s="100"/>
      <c r="AE146" s="100"/>
      <c r="AF146" s="100"/>
      <c r="AG146" s="100"/>
      <c r="AH146" s="100"/>
      <c r="AI146" s="100"/>
      <c r="AJ146" s="100"/>
      <c r="AK146" s="100"/>
      <c r="AL146" s="100"/>
      <c r="AM146" s="100"/>
      <c r="AN146" s="457" t="s">
        <v>427</v>
      </c>
      <c r="AO146" s="545"/>
      <c r="AP146" s="547"/>
      <c r="AQ146" s="547"/>
      <c r="AR146" s="545"/>
      <c r="AS146" s="277" t="s">
        <v>429</v>
      </c>
      <c r="AT146" s="265"/>
      <c r="AU146" s="187"/>
    </row>
    <row r="147" spans="2:48" ht="20.100000000000001" customHeight="1">
      <c r="B147" s="1747"/>
      <c r="C147" s="10074"/>
      <c r="D147" s="10073"/>
      <c r="E147" s="9598" t="s">
        <v>454</v>
      </c>
      <c r="F147" s="9598"/>
      <c r="G147" s="109" t="s">
        <v>286</v>
      </c>
      <c r="H147" s="92"/>
      <c r="I147" s="92"/>
      <c r="J147" s="92"/>
      <c r="K147" s="92"/>
      <c r="L147" s="228"/>
      <c r="M147" s="563">
        <v>0.95</v>
      </c>
      <c r="N147" s="1828"/>
      <c r="O147" s="275">
        <v>0</v>
      </c>
      <c r="P147" s="1757"/>
      <c r="Q147" s="2350"/>
      <c r="R147" s="2186"/>
      <c r="S147" s="2111"/>
      <c r="T147" s="100"/>
      <c r="U147" s="2349"/>
      <c r="V147" s="2187"/>
      <c r="W147" s="2111"/>
      <c r="X147" s="293"/>
      <c r="Y147" s="100"/>
      <c r="Z147" s="293"/>
      <c r="AA147" s="100"/>
      <c r="AB147" s="100"/>
      <c r="AC147" s="100"/>
      <c r="AD147" s="100"/>
      <c r="AE147" s="100"/>
      <c r="AF147" s="100"/>
      <c r="AG147" s="100"/>
      <c r="AH147" s="100"/>
      <c r="AI147" s="100"/>
      <c r="AJ147" s="100"/>
      <c r="AK147" s="100"/>
      <c r="AL147" s="100"/>
      <c r="AM147" s="100"/>
      <c r="AN147" s="276"/>
      <c r="AO147" s="99"/>
      <c r="AP147" s="547"/>
      <c r="AQ147" s="547"/>
      <c r="AR147" s="99"/>
      <c r="AS147" s="277" t="s">
        <v>418</v>
      </c>
      <c r="AT147" s="277" t="s">
        <v>419</v>
      </c>
      <c r="AU147" s="187"/>
    </row>
    <row r="148" spans="2:48" ht="20.100000000000001" customHeight="1">
      <c r="B148" s="1747"/>
      <c r="C148" s="10072" t="s">
        <v>456</v>
      </c>
      <c r="D148" s="10072"/>
      <c r="E148" s="10072"/>
      <c r="F148" s="10072"/>
      <c r="G148" s="109" t="s">
        <v>286</v>
      </c>
      <c r="H148" s="1829">
        <f>H141/H105</f>
        <v>2.6590548761004588E-2</v>
      </c>
      <c r="I148" s="1830"/>
      <c r="J148" s="1829">
        <f>J141/J105</f>
        <v>1.3614241458903248E-2</v>
      </c>
      <c r="K148" s="608"/>
      <c r="L148" s="1831"/>
      <c r="M148" s="569">
        <f>M141/M105</f>
        <v>2.6590548761004588E-2</v>
      </c>
      <c r="N148" s="1832" t="s">
        <v>699</v>
      </c>
      <c r="O148" s="569">
        <f>O141/O105</f>
        <v>1.3614241458903248E-2</v>
      </c>
      <c r="P148" s="1832" t="s">
        <v>700</v>
      </c>
      <c r="Q148" s="2362" t="str">
        <f>IFERROR(Q141/Q105,"-")</f>
        <v>-</v>
      </c>
      <c r="R148" s="2237"/>
      <c r="S148" s="2128"/>
      <c r="T148" s="569"/>
      <c r="U148" s="2362"/>
      <c r="V148" s="2238"/>
      <c r="W148" s="2128">
        <f>IFERROR(W141/W105,"-")</f>
        <v>0.58054704595185991</v>
      </c>
      <c r="X148" s="293"/>
      <c r="Y148" s="569">
        <f>IFERROR(Y141/Y105,"-")</f>
        <v>0.56153763440860216</v>
      </c>
      <c r="Z148" s="293"/>
      <c r="AA148" s="569">
        <f t="shared" ref="AA148:AM148" si="19">IFERROR(AA141/AA105,"-")</f>
        <v>0.55395427603725655</v>
      </c>
      <c r="AB148" s="569" t="str">
        <f t="shared" si="19"/>
        <v>-</v>
      </c>
      <c r="AC148" s="569" t="str">
        <f t="shared" si="19"/>
        <v>-</v>
      </c>
      <c r="AD148" s="569" t="str">
        <f t="shared" si="19"/>
        <v>-</v>
      </c>
      <c r="AE148" s="569" t="str">
        <f t="shared" si="19"/>
        <v>-</v>
      </c>
      <c r="AF148" s="569" t="str">
        <f t="shared" si="19"/>
        <v>-</v>
      </c>
      <c r="AG148" s="569" t="str">
        <f t="shared" si="19"/>
        <v>-</v>
      </c>
      <c r="AH148" s="569" t="str">
        <f t="shared" si="19"/>
        <v>-</v>
      </c>
      <c r="AI148" s="569" t="str">
        <f t="shared" si="19"/>
        <v>-</v>
      </c>
      <c r="AJ148" s="569" t="str">
        <f t="shared" si="19"/>
        <v>-</v>
      </c>
      <c r="AK148" s="569" t="str">
        <f t="shared" si="19"/>
        <v>-</v>
      </c>
      <c r="AL148" s="569" t="str">
        <f t="shared" si="19"/>
        <v>-</v>
      </c>
      <c r="AM148" s="569" t="str">
        <f t="shared" si="19"/>
        <v>-</v>
      </c>
      <c r="AN148" s="276" t="s">
        <v>460</v>
      </c>
      <c r="AO148" s="99"/>
      <c r="AP148" s="547"/>
      <c r="AQ148" s="547"/>
      <c r="AR148" s="99"/>
      <c r="AS148" s="277" t="s">
        <v>462</v>
      </c>
      <c r="AT148" s="265"/>
      <c r="AU148" s="187"/>
    </row>
    <row r="149" spans="2:48" ht="20.100000000000001" customHeight="1">
      <c r="B149" s="1754"/>
      <c r="C149" s="10072" t="s">
        <v>466</v>
      </c>
      <c r="D149" s="10072"/>
      <c r="E149" s="10072"/>
      <c r="F149" s="10072"/>
      <c r="G149" s="164" t="s">
        <v>344</v>
      </c>
      <c r="H149" s="356">
        <v>0</v>
      </c>
      <c r="I149" s="95"/>
      <c r="J149" s="356">
        <v>0</v>
      </c>
      <c r="K149" s="92"/>
      <c r="L149" s="356">
        <v>0</v>
      </c>
      <c r="M149" s="356">
        <v>0</v>
      </c>
      <c r="N149" s="1759"/>
      <c r="O149" s="356">
        <v>0</v>
      </c>
      <c r="P149" s="1833"/>
      <c r="Q149" s="2065"/>
      <c r="R149" s="2186"/>
      <c r="S149" s="2111"/>
      <c r="T149" s="100"/>
      <c r="U149" s="2349"/>
      <c r="V149" s="2187"/>
      <c r="W149" s="2111"/>
      <c r="X149" s="293"/>
      <c r="Y149" s="100"/>
      <c r="Z149" s="293"/>
      <c r="AA149" s="100"/>
      <c r="AB149" s="100"/>
      <c r="AC149" s="100"/>
      <c r="AD149" s="100"/>
      <c r="AE149" s="100"/>
      <c r="AF149" s="100"/>
      <c r="AG149" s="100"/>
      <c r="AH149" s="100"/>
      <c r="AI149" s="100"/>
      <c r="AJ149" s="100"/>
      <c r="AK149" s="100"/>
      <c r="AL149" s="100"/>
      <c r="AM149" s="100"/>
      <c r="AN149" s="276" t="s">
        <v>468</v>
      </c>
      <c r="AO149" s="99" t="s">
        <v>189</v>
      </c>
      <c r="AP149" s="547"/>
      <c r="AQ149" s="547"/>
      <c r="AR149" s="299" t="s">
        <v>193</v>
      </c>
      <c r="AS149" s="277" t="s">
        <v>470</v>
      </c>
      <c r="AT149" s="277" t="s">
        <v>442</v>
      </c>
      <c r="AU149" s="187"/>
      <c r="AV149" s="18"/>
    </row>
    <row r="150" spans="2:48" ht="20.100000000000001" customHeight="1">
      <c r="B150" s="1754"/>
      <c r="C150" s="10064"/>
      <c r="D150" s="10066" t="s">
        <v>471</v>
      </c>
      <c r="E150" s="10066"/>
      <c r="F150" s="10066"/>
      <c r="G150" s="164" t="s">
        <v>344</v>
      </c>
      <c r="H150" s="92">
        <v>0</v>
      </c>
      <c r="I150" s="92"/>
      <c r="J150" s="92">
        <v>0</v>
      </c>
      <c r="K150" s="92"/>
      <c r="L150" s="308"/>
      <c r="M150" s="92">
        <v>0</v>
      </c>
      <c r="N150" s="151"/>
      <c r="O150" s="92">
        <v>0</v>
      </c>
      <c r="P150" s="151"/>
      <c r="Q150" s="2350"/>
      <c r="R150" s="2186"/>
      <c r="S150" s="2111"/>
      <c r="T150" s="100"/>
      <c r="U150" s="2349"/>
      <c r="V150" s="2187"/>
      <c r="W150" s="2111"/>
      <c r="X150" s="293"/>
      <c r="Y150" s="100"/>
      <c r="Z150" s="293"/>
      <c r="AA150" s="100"/>
      <c r="AB150" s="100"/>
      <c r="AC150" s="100"/>
      <c r="AD150" s="100"/>
      <c r="AE150" s="100"/>
      <c r="AF150" s="100"/>
      <c r="AG150" s="100"/>
      <c r="AH150" s="100"/>
      <c r="AI150" s="100"/>
      <c r="AJ150" s="100"/>
      <c r="AK150" s="100"/>
      <c r="AL150" s="100"/>
      <c r="AM150" s="100"/>
      <c r="AN150" s="276"/>
      <c r="AO150" s="99" t="s">
        <v>189</v>
      </c>
      <c r="AP150" s="547"/>
      <c r="AQ150" s="547"/>
      <c r="AR150" s="299" t="s">
        <v>193</v>
      </c>
      <c r="AS150" s="277" t="s">
        <v>470</v>
      </c>
      <c r="AT150" s="277" t="s">
        <v>442</v>
      </c>
      <c r="AU150" s="187"/>
      <c r="AV150" s="18"/>
    </row>
    <row r="151" spans="2:48" ht="20.100000000000001" customHeight="1">
      <c r="B151" s="1754"/>
      <c r="C151" s="10065"/>
      <c r="D151" s="10066" t="s">
        <v>473</v>
      </c>
      <c r="E151" s="10066"/>
      <c r="F151" s="10066"/>
      <c r="G151" s="164" t="s">
        <v>344</v>
      </c>
      <c r="H151" s="92">
        <v>0</v>
      </c>
      <c r="I151" s="92"/>
      <c r="J151" s="92">
        <v>0</v>
      </c>
      <c r="K151" s="92"/>
      <c r="L151" s="308"/>
      <c r="M151" s="92">
        <v>0</v>
      </c>
      <c r="N151" s="151"/>
      <c r="O151" s="92">
        <v>0</v>
      </c>
      <c r="P151" s="151"/>
      <c r="Q151" s="2350"/>
      <c r="R151" s="2186"/>
      <c r="S151" s="2111"/>
      <c r="T151" s="100"/>
      <c r="U151" s="2349"/>
      <c r="V151" s="2187"/>
      <c r="W151" s="2111"/>
      <c r="X151" s="293"/>
      <c r="Y151" s="100"/>
      <c r="Z151" s="293"/>
      <c r="AA151" s="100"/>
      <c r="AB151" s="100"/>
      <c r="AC151" s="100"/>
      <c r="AD151" s="100"/>
      <c r="AE151" s="100"/>
      <c r="AF151" s="100"/>
      <c r="AG151" s="100"/>
      <c r="AH151" s="100"/>
      <c r="AI151" s="100"/>
      <c r="AJ151" s="100"/>
      <c r="AK151" s="100"/>
      <c r="AL151" s="100"/>
      <c r="AM151" s="100"/>
      <c r="AN151" s="276"/>
      <c r="AO151" s="99" t="s">
        <v>189</v>
      </c>
      <c r="AP151" s="547"/>
      <c r="AQ151" s="547"/>
      <c r="AR151" s="299" t="s">
        <v>193</v>
      </c>
      <c r="AS151" s="277" t="s">
        <v>475</v>
      </c>
      <c r="AT151" s="277" t="s">
        <v>442</v>
      </c>
      <c r="AU151" s="187"/>
      <c r="AV151" s="18"/>
    </row>
    <row r="152" spans="2:48" ht="20.100000000000001" customHeight="1">
      <c r="B152" s="1754"/>
      <c r="C152" s="10038" t="s">
        <v>476</v>
      </c>
      <c r="D152" s="10038"/>
      <c r="E152" s="10038"/>
      <c r="F152" s="10038"/>
      <c r="G152" s="164" t="s">
        <v>344</v>
      </c>
      <c r="H152" s="356">
        <f>H153+H154</f>
        <v>0</v>
      </c>
      <c r="I152" s="95"/>
      <c r="J152" s="356">
        <f>J153+J154</f>
        <v>0</v>
      </c>
      <c r="K152" s="92"/>
      <c r="L152" s="356">
        <f>L153+L154</f>
        <v>0</v>
      </c>
      <c r="M152" s="356">
        <f>M153+M154</f>
        <v>0</v>
      </c>
      <c r="N152" s="1759"/>
      <c r="O152" s="356">
        <f>O153+O154</f>
        <v>0</v>
      </c>
      <c r="P152" s="1759"/>
      <c r="Q152" s="2065">
        <f>Q153+Q154</f>
        <v>0</v>
      </c>
      <c r="R152" s="2226"/>
      <c r="S152" s="456"/>
      <c r="T152" s="356"/>
      <c r="U152" s="2065"/>
      <c r="V152" s="2241"/>
      <c r="W152" s="456">
        <f>W153+W154</f>
        <v>0</v>
      </c>
      <c r="X152" s="293"/>
      <c r="Y152" s="356">
        <f>Y153+Y154</f>
        <v>0</v>
      </c>
      <c r="Z152" s="293"/>
      <c r="AA152" s="356">
        <f t="shared" ref="AA152:AM152" si="20">AA153+AA154</f>
        <v>0</v>
      </c>
      <c r="AB152" s="356">
        <f t="shared" si="20"/>
        <v>0</v>
      </c>
      <c r="AC152" s="356">
        <f t="shared" si="20"/>
        <v>0</v>
      </c>
      <c r="AD152" s="356">
        <f t="shared" si="20"/>
        <v>0</v>
      </c>
      <c r="AE152" s="356">
        <f t="shared" si="20"/>
        <v>0</v>
      </c>
      <c r="AF152" s="356">
        <f t="shared" si="20"/>
        <v>0</v>
      </c>
      <c r="AG152" s="356">
        <f t="shared" si="20"/>
        <v>0</v>
      </c>
      <c r="AH152" s="356">
        <f t="shared" si="20"/>
        <v>0</v>
      </c>
      <c r="AI152" s="356">
        <f t="shared" si="20"/>
        <v>0</v>
      </c>
      <c r="AJ152" s="356">
        <f t="shared" si="20"/>
        <v>0</v>
      </c>
      <c r="AK152" s="356">
        <f t="shared" si="20"/>
        <v>0</v>
      </c>
      <c r="AL152" s="356">
        <f t="shared" si="20"/>
        <v>0</v>
      </c>
      <c r="AM152" s="356">
        <f t="shared" si="20"/>
        <v>0</v>
      </c>
      <c r="AN152" s="276" t="s">
        <v>478</v>
      </c>
      <c r="AO152" s="99" t="s">
        <v>189</v>
      </c>
      <c r="AP152" s="547"/>
      <c r="AQ152" s="547"/>
      <c r="AR152" s="299" t="s">
        <v>193</v>
      </c>
      <c r="AS152" s="277" t="s">
        <v>480</v>
      </c>
      <c r="AT152" s="277"/>
      <c r="AU152" s="187"/>
      <c r="AV152" s="18"/>
    </row>
    <row r="153" spans="2:48" ht="20.100000000000001" customHeight="1">
      <c r="B153" s="1754"/>
      <c r="C153" s="10064"/>
      <c r="D153" s="573" t="s">
        <v>481</v>
      </c>
      <c r="E153" s="573"/>
      <c r="F153" s="573"/>
      <c r="G153" s="164" t="s">
        <v>344</v>
      </c>
      <c r="H153" s="92"/>
      <c r="I153" s="92" t="s">
        <v>209</v>
      </c>
      <c r="J153" s="92"/>
      <c r="K153" s="92" t="s">
        <v>209</v>
      </c>
      <c r="L153" s="308"/>
      <c r="M153" s="92"/>
      <c r="N153" s="151" t="s">
        <v>209</v>
      </c>
      <c r="O153" s="92"/>
      <c r="P153" s="151" t="s">
        <v>209</v>
      </c>
      <c r="Q153" s="2350"/>
      <c r="R153" s="2186"/>
      <c r="S153" s="2111"/>
      <c r="T153" s="100"/>
      <c r="U153" s="2349"/>
      <c r="V153" s="2187"/>
      <c r="W153" s="2111"/>
      <c r="X153" s="293"/>
      <c r="Y153" s="100"/>
      <c r="Z153" s="293"/>
      <c r="AA153" s="100"/>
      <c r="AB153" s="100"/>
      <c r="AC153" s="100"/>
      <c r="AD153" s="100"/>
      <c r="AE153" s="100"/>
      <c r="AF153" s="100"/>
      <c r="AG153" s="100"/>
      <c r="AH153" s="100"/>
      <c r="AI153" s="100"/>
      <c r="AJ153" s="100"/>
      <c r="AK153" s="100"/>
      <c r="AL153" s="100"/>
      <c r="AM153" s="100"/>
      <c r="AN153" s="276"/>
      <c r="AO153" s="99" t="s">
        <v>189</v>
      </c>
      <c r="AP153" s="547"/>
      <c r="AQ153" s="547"/>
      <c r="AR153" s="299" t="s">
        <v>193</v>
      </c>
      <c r="AS153" s="277" t="s">
        <v>480</v>
      </c>
      <c r="AT153" s="277"/>
      <c r="AU153" s="187"/>
      <c r="AV153" s="18"/>
    </row>
    <row r="154" spans="2:48" ht="20.100000000000001" customHeight="1">
      <c r="B154" s="1754"/>
      <c r="C154" s="10065"/>
      <c r="D154" s="573" t="s">
        <v>483</v>
      </c>
      <c r="E154" s="573"/>
      <c r="F154" s="573"/>
      <c r="G154" s="164" t="s">
        <v>344</v>
      </c>
      <c r="H154" s="92"/>
      <c r="I154" s="92" t="s">
        <v>209</v>
      </c>
      <c r="J154" s="92"/>
      <c r="K154" s="92" t="s">
        <v>209</v>
      </c>
      <c r="L154" s="308"/>
      <c r="M154" s="92"/>
      <c r="N154" s="151" t="s">
        <v>209</v>
      </c>
      <c r="O154" s="92"/>
      <c r="P154" s="151" t="s">
        <v>209</v>
      </c>
      <c r="Q154" s="2350"/>
      <c r="R154" s="2186"/>
      <c r="S154" s="2111"/>
      <c r="T154" s="100"/>
      <c r="U154" s="2349"/>
      <c r="V154" s="2187"/>
      <c r="W154" s="2111"/>
      <c r="X154" s="293"/>
      <c r="Y154" s="100"/>
      <c r="Z154" s="293"/>
      <c r="AA154" s="100"/>
      <c r="AB154" s="100"/>
      <c r="AC154" s="100"/>
      <c r="AD154" s="100"/>
      <c r="AE154" s="100"/>
      <c r="AF154" s="100"/>
      <c r="AG154" s="100"/>
      <c r="AH154" s="100"/>
      <c r="AI154" s="100"/>
      <c r="AJ154" s="100"/>
      <c r="AK154" s="100"/>
      <c r="AL154" s="100"/>
      <c r="AM154" s="100"/>
      <c r="AN154" s="276"/>
      <c r="AO154" s="99" t="s">
        <v>189</v>
      </c>
      <c r="AP154" s="547"/>
      <c r="AQ154" s="547"/>
      <c r="AR154" s="299" t="s">
        <v>193</v>
      </c>
      <c r="AS154" s="277" t="s">
        <v>480</v>
      </c>
      <c r="AT154" s="277"/>
      <c r="AU154" s="187"/>
      <c r="AV154" s="18"/>
    </row>
    <row r="155" spans="2:48" ht="20.100000000000001" customHeight="1">
      <c r="B155" s="1754"/>
      <c r="C155" s="10072" t="s">
        <v>485</v>
      </c>
      <c r="D155" s="10072"/>
      <c r="E155" s="10072"/>
      <c r="F155" s="10072"/>
      <c r="G155" s="164" t="s">
        <v>344</v>
      </c>
      <c r="H155" s="356">
        <v>0</v>
      </c>
      <c r="I155" s="95"/>
      <c r="J155" s="356">
        <f t="shared" ref="J155" si="21">J156+J157</f>
        <v>7712.27</v>
      </c>
      <c r="K155" s="92"/>
      <c r="L155" s="356">
        <f>L156+L157</f>
        <v>0</v>
      </c>
      <c r="M155" s="356">
        <f t="shared" ref="M155:O155" si="22">M156+M157</f>
        <v>0.95</v>
      </c>
      <c r="N155" s="1759"/>
      <c r="O155" s="356">
        <f t="shared" si="22"/>
        <v>0</v>
      </c>
      <c r="P155" s="1759"/>
      <c r="Q155" s="2065">
        <f>Q156+Q157</f>
        <v>0</v>
      </c>
      <c r="R155" s="2226"/>
      <c r="S155" s="456"/>
      <c r="T155" s="356"/>
      <c r="U155" s="2065"/>
      <c r="V155" s="2241"/>
      <c r="W155" s="456">
        <f>W156+W157</f>
        <v>0</v>
      </c>
      <c r="X155" s="293"/>
      <c r="Y155" s="356">
        <f>Y156+Y157</f>
        <v>0</v>
      </c>
      <c r="Z155" s="293"/>
      <c r="AA155" s="356">
        <f t="shared" ref="AA155:AM155" si="23">AA156+AA157</f>
        <v>0</v>
      </c>
      <c r="AB155" s="356">
        <f t="shared" si="23"/>
        <v>0</v>
      </c>
      <c r="AC155" s="356">
        <f t="shared" si="23"/>
        <v>0</v>
      </c>
      <c r="AD155" s="356">
        <f t="shared" si="23"/>
        <v>0</v>
      </c>
      <c r="AE155" s="356">
        <f t="shared" si="23"/>
        <v>0</v>
      </c>
      <c r="AF155" s="356">
        <f t="shared" si="23"/>
        <v>0</v>
      </c>
      <c r="AG155" s="356">
        <f t="shared" si="23"/>
        <v>0</v>
      </c>
      <c r="AH155" s="356">
        <f t="shared" si="23"/>
        <v>0</v>
      </c>
      <c r="AI155" s="356">
        <f t="shared" si="23"/>
        <v>0</v>
      </c>
      <c r="AJ155" s="356">
        <f t="shared" si="23"/>
        <v>0</v>
      </c>
      <c r="AK155" s="356">
        <f t="shared" si="23"/>
        <v>0</v>
      </c>
      <c r="AL155" s="356">
        <f t="shared" si="23"/>
        <v>0</v>
      </c>
      <c r="AM155" s="356">
        <f t="shared" si="23"/>
        <v>0</v>
      </c>
      <c r="AN155" s="276" t="s">
        <v>487</v>
      </c>
      <c r="AO155" s="99" t="s">
        <v>189</v>
      </c>
      <c r="AP155" s="547"/>
      <c r="AQ155" s="547"/>
      <c r="AR155" s="299" t="s">
        <v>193</v>
      </c>
      <c r="AS155" s="277" t="s">
        <v>489</v>
      </c>
      <c r="AT155" s="277" t="s">
        <v>442</v>
      </c>
      <c r="AU155" s="187"/>
      <c r="AV155" s="18"/>
    </row>
    <row r="156" spans="2:48" ht="20.100000000000001" customHeight="1">
      <c r="B156" s="1754"/>
      <c r="C156" s="10064"/>
      <c r="D156" s="10066" t="s">
        <v>497</v>
      </c>
      <c r="E156" s="10066"/>
      <c r="F156" s="10066"/>
      <c r="G156" s="164" t="s">
        <v>344</v>
      </c>
      <c r="H156" s="92">
        <v>0</v>
      </c>
      <c r="I156" s="92"/>
      <c r="J156" s="92">
        <v>7712.27</v>
      </c>
      <c r="K156" s="92"/>
      <c r="L156" s="308"/>
      <c r="M156" s="92"/>
      <c r="N156" s="151"/>
      <c r="O156" s="92">
        <v>0</v>
      </c>
      <c r="P156" s="151"/>
      <c r="Q156" s="2350"/>
      <c r="R156" s="2186"/>
      <c r="S156" s="2111"/>
      <c r="T156" s="100"/>
      <c r="U156" s="2349"/>
      <c r="V156" s="2187"/>
      <c r="W156" s="2111"/>
      <c r="X156" s="293"/>
      <c r="Y156" s="100"/>
      <c r="Z156" s="293"/>
      <c r="AA156" s="100"/>
      <c r="AB156" s="100"/>
      <c r="AC156" s="100"/>
      <c r="AD156" s="100"/>
      <c r="AE156" s="100"/>
      <c r="AF156" s="100"/>
      <c r="AG156" s="100"/>
      <c r="AH156" s="100"/>
      <c r="AI156" s="100"/>
      <c r="AJ156" s="100"/>
      <c r="AK156" s="100"/>
      <c r="AL156" s="100"/>
      <c r="AM156" s="100"/>
      <c r="AN156" s="276"/>
      <c r="AO156" s="99" t="s">
        <v>189</v>
      </c>
      <c r="AP156" s="547"/>
      <c r="AQ156" s="547"/>
      <c r="AR156" s="299" t="s">
        <v>193</v>
      </c>
      <c r="AS156" s="277" t="s">
        <v>499</v>
      </c>
      <c r="AT156" s="277" t="s">
        <v>442</v>
      </c>
      <c r="AU156" s="187"/>
      <c r="AV156" s="18"/>
    </row>
    <row r="157" spans="2:48" ht="20.100000000000001" customHeight="1">
      <c r="B157" s="1754"/>
      <c r="C157" s="10065"/>
      <c r="D157" s="10066" t="s">
        <v>507</v>
      </c>
      <c r="E157" s="10066"/>
      <c r="F157" s="10066"/>
      <c r="G157" s="164" t="s">
        <v>344</v>
      </c>
      <c r="H157" s="563">
        <v>0.95</v>
      </c>
      <c r="I157" s="563"/>
      <c r="J157" s="92">
        <v>0</v>
      </c>
      <c r="K157" s="92"/>
      <c r="L157" s="308"/>
      <c r="M157" s="92">
        <v>0.95</v>
      </c>
      <c r="N157" s="151"/>
      <c r="O157" s="92">
        <v>0</v>
      </c>
      <c r="P157" s="151"/>
      <c r="Q157" s="2350"/>
      <c r="R157" s="2186"/>
      <c r="S157" s="2111"/>
      <c r="T157" s="100"/>
      <c r="U157" s="2349"/>
      <c r="V157" s="2187"/>
      <c r="W157" s="2111"/>
      <c r="X157" s="293"/>
      <c r="Y157" s="100"/>
      <c r="Z157" s="293"/>
      <c r="AA157" s="100"/>
      <c r="AB157" s="100"/>
      <c r="AC157" s="100"/>
      <c r="AD157" s="100"/>
      <c r="AE157" s="100"/>
      <c r="AF157" s="100"/>
      <c r="AG157" s="100"/>
      <c r="AH157" s="100"/>
      <c r="AI157" s="100"/>
      <c r="AJ157" s="100"/>
      <c r="AK157" s="100"/>
      <c r="AL157" s="100"/>
      <c r="AM157" s="100"/>
      <c r="AN157" s="276"/>
      <c r="AO157" s="99" t="s">
        <v>189</v>
      </c>
      <c r="AP157" s="547"/>
      <c r="AQ157" s="547"/>
      <c r="AR157" s="299" t="s">
        <v>193</v>
      </c>
      <c r="AS157" s="277" t="s">
        <v>499</v>
      </c>
      <c r="AT157" s="277" t="s">
        <v>442</v>
      </c>
      <c r="AU157" s="187"/>
      <c r="AV157" s="18"/>
    </row>
    <row r="158" spans="2:48" ht="20.100000000000001" customHeight="1">
      <c r="B158" s="1754"/>
      <c r="C158" s="10067" t="s">
        <v>516</v>
      </c>
      <c r="D158" s="10067"/>
      <c r="E158" s="10067"/>
      <c r="F158" s="10067"/>
      <c r="G158" s="164" t="s">
        <v>344</v>
      </c>
      <c r="H158" s="350"/>
      <c r="I158" s="92"/>
      <c r="J158" s="92"/>
      <c r="K158" s="92"/>
      <c r="L158" s="308"/>
      <c r="M158" s="563">
        <v>8.1</v>
      </c>
      <c r="N158" s="1828" t="s">
        <v>691</v>
      </c>
      <c r="O158" s="563">
        <v>11.2</v>
      </c>
      <c r="P158" s="1828" t="s">
        <v>705</v>
      </c>
      <c r="Q158" s="2350"/>
      <c r="R158" s="2186"/>
      <c r="S158" s="2111"/>
      <c r="T158" s="100"/>
      <c r="U158" s="2349"/>
      <c r="V158" s="2187"/>
      <c r="W158" s="2111"/>
      <c r="X158" s="293"/>
      <c r="Y158" s="100"/>
      <c r="Z158" s="293"/>
      <c r="AA158" s="100"/>
      <c r="AB158" s="100"/>
      <c r="AC158" s="100"/>
      <c r="AD158" s="100"/>
      <c r="AE158" s="100"/>
      <c r="AF158" s="100"/>
      <c r="AG158" s="100"/>
      <c r="AH158" s="100"/>
      <c r="AI158" s="100"/>
      <c r="AJ158" s="100"/>
      <c r="AK158" s="100"/>
      <c r="AL158" s="100"/>
      <c r="AM158" s="100"/>
      <c r="AN158" s="276" t="s">
        <v>439</v>
      </c>
      <c r="AO158" s="99"/>
      <c r="AP158" s="547"/>
      <c r="AQ158" s="547"/>
      <c r="AR158" s="582"/>
      <c r="AS158" s="277" t="s">
        <v>518</v>
      </c>
      <c r="AT158" s="265" t="s">
        <v>519</v>
      </c>
      <c r="AU158" s="187"/>
    </row>
    <row r="159" spans="2:48" ht="20.100000000000001" customHeight="1">
      <c r="B159" s="1816"/>
      <c r="C159" s="10068" t="s">
        <v>522</v>
      </c>
      <c r="D159" s="10068"/>
      <c r="E159" s="10068"/>
      <c r="F159" s="10068"/>
      <c r="G159" s="164" t="s">
        <v>344</v>
      </c>
      <c r="H159" s="92"/>
      <c r="I159" s="92" t="s">
        <v>209</v>
      </c>
      <c r="J159" s="92"/>
      <c r="K159" s="92" t="s">
        <v>209</v>
      </c>
      <c r="L159" s="308"/>
      <c r="M159" s="563"/>
      <c r="N159" s="151" t="s">
        <v>209</v>
      </c>
      <c r="O159" s="563"/>
      <c r="P159" s="151" t="s">
        <v>209</v>
      </c>
      <c r="Q159" s="2350"/>
      <c r="R159" s="2186"/>
      <c r="S159" s="2111"/>
      <c r="T159" s="100"/>
      <c r="U159" s="2349"/>
      <c r="V159" s="2187"/>
      <c r="W159" s="2111"/>
      <c r="X159" s="293"/>
      <c r="Y159" s="100"/>
      <c r="Z159" s="293"/>
      <c r="AA159" s="100"/>
      <c r="AB159" s="100"/>
      <c r="AC159" s="100"/>
      <c r="AD159" s="100"/>
      <c r="AE159" s="100"/>
      <c r="AF159" s="100"/>
      <c r="AG159" s="100"/>
      <c r="AH159" s="100"/>
      <c r="AI159" s="100"/>
      <c r="AJ159" s="100"/>
      <c r="AK159" s="100"/>
      <c r="AL159" s="100"/>
      <c r="AM159" s="100"/>
      <c r="AN159" s="276"/>
      <c r="AO159" s="99" t="s">
        <v>189</v>
      </c>
      <c r="AP159" s="547"/>
      <c r="AQ159" s="547"/>
      <c r="AR159" s="299" t="s">
        <v>193</v>
      </c>
      <c r="AS159" s="277" t="s">
        <v>524</v>
      </c>
      <c r="AT159" s="265"/>
      <c r="AU159" s="187"/>
      <c r="AV159" s="11"/>
    </row>
    <row r="160" spans="2:48" ht="20.100000000000001" customHeight="1">
      <c r="B160" s="1816"/>
      <c r="C160" s="10069"/>
      <c r="D160" s="10062" t="s">
        <v>708</v>
      </c>
      <c r="E160" s="10062"/>
      <c r="F160" s="10062"/>
      <c r="G160" s="164" t="s">
        <v>344</v>
      </c>
      <c r="H160" s="92"/>
      <c r="I160" s="92" t="s">
        <v>209</v>
      </c>
      <c r="J160" s="92"/>
      <c r="K160" s="92" t="s">
        <v>209</v>
      </c>
      <c r="L160" s="308"/>
      <c r="M160" s="563"/>
      <c r="N160" s="151" t="s">
        <v>209</v>
      </c>
      <c r="O160" s="563"/>
      <c r="P160" s="151" t="s">
        <v>209</v>
      </c>
      <c r="Q160" s="2350"/>
      <c r="R160" s="2186"/>
      <c r="S160" s="2111"/>
      <c r="T160" s="100"/>
      <c r="U160" s="2349"/>
      <c r="V160" s="2187"/>
      <c r="W160" s="2111"/>
      <c r="X160" s="293"/>
      <c r="Y160" s="100"/>
      <c r="Z160" s="293"/>
      <c r="AA160" s="100"/>
      <c r="AB160" s="100"/>
      <c r="AC160" s="100"/>
      <c r="AD160" s="100"/>
      <c r="AE160" s="100"/>
      <c r="AF160" s="100"/>
      <c r="AG160" s="100"/>
      <c r="AH160" s="100"/>
      <c r="AI160" s="100"/>
      <c r="AJ160" s="100"/>
      <c r="AK160" s="100"/>
      <c r="AL160" s="100"/>
      <c r="AM160" s="100"/>
      <c r="AN160" s="276"/>
      <c r="AO160" s="545"/>
      <c r="AP160" s="547"/>
      <c r="AQ160" s="547"/>
      <c r="AR160" s="545"/>
      <c r="AS160" s="277" t="s">
        <v>524</v>
      </c>
      <c r="AT160" s="265"/>
      <c r="AU160" s="187"/>
      <c r="AV160" s="11"/>
    </row>
    <row r="161" spans="2:48" ht="20.100000000000001" customHeight="1">
      <c r="B161" s="1816"/>
      <c r="C161" s="10070"/>
      <c r="D161" s="10062" t="s">
        <v>709</v>
      </c>
      <c r="E161" s="10062"/>
      <c r="F161" s="10062"/>
      <c r="G161" s="164" t="s">
        <v>344</v>
      </c>
      <c r="H161" s="92"/>
      <c r="I161" s="92" t="s">
        <v>209</v>
      </c>
      <c r="J161" s="92"/>
      <c r="K161" s="92" t="s">
        <v>209</v>
      </c>
      <c r="L161" s="308"/>
      <c r="M161" s="563"/>
      <c r="N161" s="151" t="s">
        <v>209</v>
      </c>
      <c r="O161" s="563"/>
      <c r="P161" s="151" t="s">
        <v>209</v>
      </c>
      <c r="Q161" s="2350"/>
      <c r="R161" s="2186"/>
      <c r="S161" s="2111"/>
      <c r="T161" s="100"/>
      <c r="U161" s="2349"/>
      <c r="V161" s="2187"/>
      <c r="W161" s="2111"/>
      <c r="X161" s="293"/>
      <c r="Y161" s="100"/>
      <c r="Z161" s="293"/>
      <c r="AA161" s="100"/>
      <c r="AB161" s="100"/>
      <c r="AC161" s="100"/>
      <c r="AD161" s="100"/>
      <c r="AE161" s="100"/>
      <c r="AF161" s="100"/>
      <c r="AG161" s="100"/>
      <c r="AH161" s="100"/>
      <c r="AI161" s="100"/>
      <c r="AJ161" s="100"/>
      <c r="AK161" s="100"/>
      <c r="AL161" s="100"/>
      <c r="AM161" s="100"/>
      <c r="AN161" s="276"/>
      <c r="AO161" s="545"/>
      <c r="AP161" s="547"/>
      <c r="AQ161" s="547"/>
      <c r="AR161" s="545"/>
      <c r="AS161" s="277" t="s">
        <v>524</v>
      </c>
      <c r="AT161" s="265"/>
      <c r="AU161" s="187"/>
      <c r="AV161" s="11"/>
    </row>
    <row r="162" spans="2:48" ht="20.100000000000001" customHeight="1">
      <c r="B162" s="1816"/>
      <c r="C162" s="10070"/>
      <c r="D162" s="10062" t="s">
        <v>710</v>
      </c>
      <c r="E162" s="10062"/>
      <c r="F162" s="10062"/>
      <c r="G162" s="164" t="s">
        <v>344</v>
      </c>
      <c r="H162" s="92"/>
      <c r="I162" s="92" t="s">
        <v>209</v>
      </c>
      <c r="J162" s="92"/>
      <c r="K162" s="92" t="s">
        <v>209</v>
      </c>
      <c r="L162" s="308"/>
      <c r="M162" s="563"/>
      <c r="N162" s="151" t="s">
        <v>209</v>
      </c>
      <c r="O162" s="563"/>
      <c r="P162" s="151" t="s">
        <v>209</v>
      </c>
      <c r="Q162" s="2350"/>
      <c r="R162" s="2186"/>
      <c r="S162" s="2111"/>
      <c r="T162" s="100"/>
      <c r="U162" s="2349"/>
      <c r="V162" s="2187"/>
      <c r="W162" s="2111"/>
      <c r="X162" s="293"/>
      <c r="Y162" s="100"/>
      <c r="Z162" s="293"/>
      <c r="AA162" s="100"/>
      <c r="AB162" s="100"/>
      <c r="AC162" s="100"/>
      <c r="AD162" s="100"/>
      <c r="AE162" s="100"/>
      <c r="AF162" s="100"/>
      <c r="AG162" s="100"/>
      <c r="AH162" s="100"/>
      <c r="AI162" s="100"/>
      <c r="AJ162" s="100"/>
      <c r="AK162" s="100"/>
      <c r="AL162" s="100"/>
      <c r="AM162" s="100"/>
      <c r="AN162" s="276"/>
      <c r="AO162" s="545"/>
      <c r="AP162" s="547"/>
      <c r="AQ162" s="547"/>
      <c r="AR162" s="545"/>
      <c r="AS162" s="277" t="s">
        <v>524</v>
      </c>
      <c r="AT162" s="265"/>
      <c r="AU162" s="187"/>
      <c r="AV162" s="11"/>
    </row>
    <row r="163" spans="2:48" ht="20.100000000000001" customHeight="1">
      <c r="B163" s="1834"/>
      <c r="C163" s="10070"/>
      <c r="D163" s="10062" t="s">
        <v>711</v>
      </c>
      <c r="E163" s="10062"/>
      <c r="F163" s="10062"/>
      <c r="G163" s="164" t="s">
        <v>344</v>
      </c>
      <c r="H163" s="92"/>
      <c r="I163" s="92" t="s">
        <v>209</v>
      </c>
      <c r="J163" s="92"/>
      <c r="K163" s="92" t="s">
        <v>209</v>
      </c>
      <c r="L163" s="308"/>
      <c r="M163" s="563"/>
      <c r="N163" s="151" t="s">
        <v>209</v>
      </c>
      <c r="O163" s="563"/>
      <c r="P163" s="151" t="s">
        <v>209</v>
      </c>
      <c r="Q163" s="2350"/>
      <c r="R163" s="2186"/>
      <c r="S163" s="2111"/>
      <c r="T163" s="100"/>
      <c r="U163" s="2349"/>
      <c r="V163" s="2187"/>
      <c r="W163" s="2111"/>
      <c r="X163" s="293"/>
      <c r="Y163" s="100"/>
      <c r="Z163" s="293"/>
      <c r="AA163" s="100"/>
      <c r="AB163" s="100"/>
      <c r="AC163" s="100"/>
      <c r="AD163" s="100"/>
      <c r="AE163" s="100"/>
      <c r="AF163" s="100"/>
      <c r="AG163" s="100"/>
      <c r="AH163" s="100"/>
      <c r="AI163" s="100"/>
      <c r="AJ163" s="100"/>
      <c r="AK163" s="100"/>
      <c r="AL163" s="100"/>
      <c r="AM163" s="100"/>
      <c r="AN163" s="276"/>
      <c r="AO163" s="545"/>
      <c r="AP163" s="547"/>
      <c r="AQ163" s="547"/>
      <c r="AR163" s="545"/>
      <c r="AS163" s="277" t="s">
        <v>524</v>
      </c>
      <c r="AT163" s="265"/>
      <c r="AU163" s="187"/>
      <c r="AV163" s="11"/>
    </row>
    <row r="164" spans="2:48" ht="20.100000000000001" customHeight="1">
      <c r="B164" s="1816"/>
      <c r="C164" s="10070"/>
      <c r="D164" s="10062" t="s">
        <v>712</v>
      </c>
      <c r="E164" s="10062"/>
      <c r="F164" s="10062"/>
      <c r="G164" s="164" t="s">
        <v>344</v>
      </c>
      <c r="H164" s="92"/>
      <c r="I164" s="92" t="s">
        <v>209</v>
      </c>
      <c r="J164" s="92"/>
      <c r="K164" s="92" t="s">
        <v>209</v>
      </c>
      <c r="L164" s="308"/>
      <c r="M164" s="563"/>
      <c r="N164" s="151" t="s">
        <v>209</v>
      </c>
      <c r="O164" s="563"/>
      <c r="P164" s="151" t="s">
        <v>209</v>
      </c>
      <c r="Q164" s="2350"/>
      <c r="R164" s="2186"/>
      <c r="S164" s="2111"/>
      <c r="T164" s="100"/>
      <c r="U164" s="2349"/>
      <c r="V164" s="2187"/>
      <c r="W164" s="2111"/>
      <c r="X164" s="293"/>
      <c r="Y164" s="100"/>
      <c r="Z164" s="293"/>
      <c r="AA164" s="100"/>
      <c r="AB164" s="100"/>
      <c r="AC164" s="100"/>
      <c r="AD164" s="100"/>
      <c r="AE164" s="100"/>
      <c r="AF164" s="100"/>
      <c r="AG164" s="100"/>
      <c r="AH164" s="100"/>
      <c r="AI164" s="100"/>
      <c r="AJ164" s="100"/>
      <c r="AK164" s="100"/>
      <c r="AL164" s="100"/>
      <c r="AM164" s="100"/>
      <c r="AN164" s="276"/>
      <c r="AO164" s="545"/>
      <c r="AP164" s="547"/>
      <c r="AQ164" s="547"/>
      <c r="AR164" s="545"/>
      <c r="AS164" s="277" t="s">
        <v>524</v>
      </c>
      <c r="AT164" s="265"/>
      <c r="AU164" s="187"/>
      <c r="AV164" s="11"/>
    </row>
    <row r="165" spans="2:48" ht="20.100000000000001" customHeight="1">
      <c r="B165" s="1816"/>
      <c r="C165" s="10070"/>
      <c r="D165" s="10062" t="s">
        <v>713</v>
      </c>
      <c r="E165" s="10062"/>
      <c r="F165" s="10062"/>
      <c r="G165" s="164" t="s">
        <v>344</v>
      </c>
      <c r="H165" s="92"/>
      <c r="I165" s="92" t="s">
        <v>209</v>
      </c>
      <c r="J165" s="92"/>
      <c r="K165" s="92" t="s">
        <v>209</v>
      </c>
      <c r="L165" s="308"/>
      <c r="M165" s="563"/>
      <c r="N165" s="151" t="s">
        <v>209</v>
      </c>
      <c r="O165" s="563"/>
      <c r="P165" s="151" t="s">
        <v>209</v>
      </c>
      <c r="Q165" s="2350"/>
      <c r="R165" s="2186"/>
      <c r="S165" s="2111"/>
      <c r="T165" s="100"/>
      <c r="U165" s="2349"/>
      <c r="V165" s="2187"/>
      <c r="W165" s="2111"/>
      <c r="X165" s="293"/>
      <c r="Y165" s="100"/>
      <c r="Z165" s="293"/>
      <c r="AA165" s="100"/>
      <c r="AB165" s="100"/>
      <c r="AC165" s="100"/>
      <c r="AD165" s="100"/>
      <c r="AE165" s="100"/>
      <c r="AF165" s="100"/>
      <c r="AG165" s="100"/>
      <c r="AH165" s="100"/>
      <c r="AI165" s="100"/>
      <c r="AJ165" s="100"/>
      <c r="AK165" s="100"/>
      <c r="AL165" s="100"/>
      <c r="AM165" s="100"/>
      <c r="AN165" s="276"/>
      <c r="AO165" s="545"/>
      <c r="AP165" s="547"/>
      <c r="AQ165" s="547"/>
      <c r="AR165" s="545"/>
      <c r="AS165" s="277" t="s">
        <v>524</v>
      </c>
      <c r="AT165" s="265"/>
      <c r="AU165" s="187"/>
      <c r="AV165" s="11"/>
    </row>
    <row r="166" spans="2:48" ht="20.100000000000001" customHeight="1">
      <c r="B166" s="1816"/>
      <c r="C166" s="10070"/>
      <c r="D166" s="10062" t="s">
        <v>714</v>
      </c>
      <c r="E166" s="10062"/>
      <c r="F166" s="10062"/>
      <c r="G166" s="164" t="s">
        <v>344</v>
      </c>
      <c r="H166" s="92"/>
      <c r="I166" s="92" t="s">
        <v>209</v>
      </c>
      <c r="J166" s="92"/>
      <c r="K166" s="92" t="s">
        <v>209</v>
      </c>
      <c r="L166" s="308"/>
      <c r="M166" s="563"/>
      <c r="N166" s="151" t="s">
        <v>209</v>
      </c>
      <c r="O166" s="563"/>
      <c r="P166" s="151" t="s">
        <v>209</v>
      </c>
      <c r="Q166" s="2350"/>
      <c r="R166" s="2186"/>
      <c r="S166" s="2111"/>
      <c r="T166" s="100"/>
      <c r="U166" s="2349"/>
      <c r="V166" s="2187"/>
      <c r="W166" s="2111"/>
      <c r="X166" s="293"/>
      <c r="Y166" s="100"/>
      <c r="Z166" s="293"/>
      <c r="AA166" s="100"/>
      <c r="AB166" s="100"/>
      <c r="AC166" s="100"/>
      <c r="AD166" s="100"/>
      <c r="AE166" s="100"/>
      <c r="AF166" s="100"/>
      <c r="AG166" s="100"/>
      <c r="AH166" s="100"/>
      <c r="AI166" s="100"/>
      <c r="AJ166" s="100"/>
      <c r="AK166" s="100"/>
      <c r="AL166" s="100"/>
      <c r="AM166" s="100"/>
      <c r="AN166" s="276"/>
      <c r="AO166" s="545"/>
      <c r="AP166" s="547"/>
      <c r="AQ166" s="547"/>
      <c r="AR166" s="545"/>
      <c r="AS166" s="277" t="s">
        <v>524</v>
      </c>
      <c r="AT166" s="265"/>
      <c r="AU166" s="187"/>
      <c r="AV166" s="11"/>
    </row>
    <row r="167" spans="2:48" ht="20.100000000000001" customHeight="1" thickBot="1">
      <c r="B167" s="1821"/>
      <c r="C167" s="10071"/>
      <c r="D167" s="10063" t="s">
        <v>715</v>
      </c>
      <c r="E167" s="10063"/>
      <c r="F167" s="10063"/>
      <c r="G167" s="515" t="s">
        <v>344</v>
      </c>
      <c r="H167" s="749"/>
      <c r="I167" s="749" t="s">
        <v>209</v>
      </c>
      <c r="J167" s="749"/>
      <c r="K167" s="749" t="s">
        <v>209</v>
      </c>
      <c r="L167" s="1835"/>
      <c r="M167" s="1836"/>
      <c r="N167" s="1837" t="s">
        <v>209</v>
      </c>
      <c r="O167" s="1836"/>
      <c r="P167" s="1837" t="s">
        <v>209</v>
      </c>
      <c r="Q167" s="5305"/>
      <c r="R167" s="2244"/>
      <c r="S167" s="2130"/>
      <c r="T167" s="593"/>
      <c r="U167" s="2364"/>
      <c r="V167" s="2245"/>
      <c r="W167" s="2130"/>
      <c r="X167" s="594"/>
      <c r="Y167" s="593"/>
      <c r="Z167" s="594"/>
      <c r="AA167" s="593"/>
      <c r="AB167" s="593"/>
      <c r="AC167" s="593"/>
      <c r="AD167" s="593"/>
      <c r="AE167" s="593"/>
      <c r="AF167" s="593"/>
      <c r="AG167" s="593"/>
      <c r="AH167" s="593"/>
      <c r="AI167" s="593"/>
      <c r="AJ167" s="593"/>
      <c r="AK167" s="593"/>
      <c r="AL167" s="593"/>
      <c r="AM167" s="593"/>
      <c r="AN167" s="595"/>
      <c r="AO167" s="545"/>
      <c r="AP167" s="597"/>
      <c r="AQ167" s="597"/>
      <c r="AR167" s="1838"/>
      <c r="AS167" s="277" t="s">
        <v>524</v>
      </c>
      <c r="AT167" s="265"/>
      <c r="AU167" s="187"/>
      <c r="AV167" s="11"/>
    </row>
    <row r="168" spans="2:48" ht="27" thickBot="1">
      <c r="B168" s="123" t="s">
        <v>543</v>
      </c>
      <c r="C168" s="124"/>
      <c r="D168" s="124"/>
      <c r="E168" s="124"/>
      <c r="F168" s="124"/>
      <c r="G168" s="518"/>
      <c r="H168" s="1732"/>
      <c r="I168" s="1732"/>
      <c r="J168" s="1732"/>
      <c r="K168" s="1732"/>
      <c r="L168" s="1732"/>
      <c r="M168" s="1733"/>
      <c r="N168" s="1734"/>
      <c r="O168" s="1733"/>
      <c r="P168" s="1734"/>
      <c r="Q168" s="1733"/>
      <c r="R168" s="2175"/>
      <c r="S168" s="148"/>
      <c r="T168" s="148"/>
      <c r="U168" s="148"/>
      <c r="V168" s="2176"/>
      <c r="W168" s="148"/>
      <c r="X168" s="148"/>
      <c r="Y168" s="148"/>
      <c r="Z168" s="148"/>
      <c r="AA168" s="148"/>
      <c r="AB168" s="148"/>
      <c r="AC168" s="148"/>
      <c r="AD168" s="148"/>
      <c r="AE168" s="148"/>
      <c r="AF168" s="148"/>
      <c r="AG168" s="148"/>
      <c r="AH168" s="148"/>
      <c r="AI168" s="148"/>
      <c r="AJ168" s="148"/>
      <c r="AK168" s="148"/>
      <c r="AL168" s="148"/>
      <c r="AM168" s="148"/>
      <c r="AN168" s="80"/>
      <c r="AO168" s="129"/>
      <c r="AP168" s="129"/>
      <c r="AQ168" s="129"/>
      <c r="AR168" s="129"/>
      <c r="AS168" s="328"/>
      <c r="AT168" s="328"/>
      <c r="AU168" s="329"/>
    </row>
    <row r="169" spans="2:48" ht="20.100000000000001" customHeight="1">
      <c r="B169" s="1839"/>
      <c r="C169" s="9764" t="s">
        <v>544</v>
      </c>
      <c r="D169" s="9764"/>
      <c r="E169" s="9764"/>
      <c r="F169" s="9764"/>
      <c r="G169" s="164" t="s">
        <v>33</v>
      </c>
      <c r="H169" s="228"/>
      <c r="I169" s="92"/>
      <c r="J169" s="228"/>
      <c r="K169" s="95"/>
      <c r="L169" s="308"/>
      <c r="M169" s="308"/>
      <c r="N169" s="1840"/>
      <c r="O169" s="308"/>
      <c r="P169" s="1840"/>
      <c r="Q169" s="2350"/>
      <c r="R169" s="2186"/>
      <c r="S169" s="2111"/>
      <c r="T169" s="100"/>
      <c r="U169" s="2349"/>
      <c r="V169" s="2187"/>
      <c r="W169" s="2111"/>
      <c r="X169" s="484"/>
      <c r="Y169" s="100"/>
      <c r="Z169" s="484"/>
      <c r="AA169" s="100"/>
      <c r="AB169" s="100"/>
      <c r="AC169" s="100"/>
      <c r="AD169" s="100"/>
      <c r="AE169" s="100"/>
      <c r="AF169" s="100"/>
      <c r="AG169" s="100"/>
      <c r="AH169" s="100"/>
      <c r="AI169" s="100"/>
      <c r="AJ169" s="100"/>
      <c r="AK169" s="100"/>
      <c r="AL169" s="100"/>
      <c r="AM169" s="100"/>
      <c r="AN169" s="276" t="s">
        <v>546</v>
      </c>
      <c r="AO169" s="309" t="s">
        <v>2094</v>
      </c>
      <c r="AP169" s="547"/>
      <c r="AQ169" s="547"/>
      <c r="AR169" s="582"/>
      <c r="AS169" s="620" t="s">
        <v>548</v>
      </c>
      <c r="AT169" s="154"/>
      <c r="AU169" s="159" t="s">
        <v>549</v>
      </c>
    </row>
    <row r="170" spans="2:48" ht="20.100000000000001" customHeight="1">
      <c r="B170" s="1816"/>
      <c r="C170" s="9774" t="s">
        <v>550</v>
      </c>
      <c r="D170" s="9774"/>
      <c r="E170" s="9774"/>
      <c r="F170" s="9774"/>
      <c r="G170" s="164" t="s">
        <v>33</v>
      </c>
      <c r="H170" s="298">
        <v>74</v>
      </c>
      <c r="I170" s="605"/>
      <c r="J170" s="298">
        <v>276</v>
      </c>
      <c r="K170" s="95"/>
      <c r="L170" s="308"/>
      <c r="M170" s="1841">
        <v>74</v>
      </c>
      <c r="N170" s="1840" t="s">
        <v>716</v>
      </c>
      <c r="O170" s="1841">
        <v>276</v>
      </c>
      <c r="P170" s="1840" t="s">
        <v>717</v>
      </c>
      <c r="Q170" s="2350"/>
      <c r="R170" s="2186"/>
      <c r="S170" s="2111"/>
      <c r="T170" s="100"/>
      <c r="U170" s="2349"/>
      <c r="V170" s="2187"/>
      <c r="W170" s="2111"/>
      <c r="X170" s="484"/>
      <c r="Y170" s="100"/>
      <c r="Z170" s="484"/>
      <c r="AA170" s="100"/>
      <c r="AB170" s="100"/>
      <c r="AC170" s="100"/>
      <c r="AD170" s="100"/>
      <c r="AE170" s="100"/>
      <c r="AF170" s="100"/>
      <c r="AG170" s="100"/>
      <c r="AH170" s="100"/>
      <c r="AI170" s="100"/>
      <c r="AJ170" s="100"/>
      <c r="AK170" s="100"/>
      <c r="AL170" s="100"/>
      <c r="AM170" s="100"/>
      <c r="AN170" s="276" t="s">
        <v>552</v>
      </c>
      <c r="AO170" s="309" t="s">
        <v>2094</v>
      </c>
      <c r="AP170" s="547"/>
      <c r="AQ170" s="547"/>
      <c r="AR170" s="582"/>
      <c r="AS170" s="620" t="s">
        <v>555</v>
      </c>
      <c r="AT170" s="154"/>
      <c r="AU170" s="159"/>
    </row>
    <row r="171" spans="2:48" ht="20.100000000000001" customHeight="1">
      <c r="B171" s="1816"/>
      <c r="C171" s="161" t="s">
        <v>556</v>
      </c>
      <c r="D171" s="161"/>
      <c r="E171" s="161"/>
      <c r="F171" s="614"/>
      <c r="G171" s="164" t="s">
        <v>557</v>
      </c>
      <c r="H171" s="92"/>
      <c r="I171" s="92"/>
      <c r="J171" s="92"/>
      <c r="K171" s="95"/>
      <c r="L171" s="308"/>
      <c r="M171" s="1841"/>
      <c r="N171" s="1840"/>
      <c r="O171" s="1841"/>
      <c r="P171" s="1840"/>
      <c r="Q171" s="2350"/>
      <c r="R171" s="2186">
        <f>W171</f>
        <v>1</v>
      </c>
      <c r="S171" s="2111"/>
      <c r="T171" s="100">
        <f>Y171</f>
        <v>1</v>
      </c>
      <c r="U171" s="2349"/>
      <c r="V171" s="2187">
        <f>AA171</f>
        <v>1</v>
      </c>
      <c r="W171" s="2111">
        <v>1</v>
      </c>
      <c r="X171" s="484"/>
      <c r="Y171" s="100">
        <v>1</v>
      </c>
      <c r="Z171" s="484"/>
      <c r="AA171" s="100">
        <v>1</v>
      </c>
      <c r="AB171" s="100">
        <v>1</v>
      </c>
      <c r="AC171" s="100">
        <v>1</v>
      </c>
      <c r="AD171" s="100">
        <v>1</v>
      </c>
      <c r="AE171" s="100"/>
      <c r="AF171" s="100"/>
      <c r="AG171" s="100"/>
      <c r="AH171" s="100"/>
      <c r="AI171" s="100"/>
      <c r="AJ171" s="100"/>
      <c r="AK171" s="100"/>
      <c r="AL171" s="100"/>
      <c r="AM171" s="100"/>
      <c r="AN171" s="457"/>
      <c r="AO171" s="99" t="s">
        <v>2111</v>
      </c>
      <c r="AP171" s="547"/>
      <c r="AQ171" s="547"/>
      <c r="AR171" s="99"/>
      <c r="AS171" s="620" t="s">
        <v>561</v>
      </c>
      <c r="AT171" s="154"/>
      <c r="AU171" s="159"/>
    </row>
    <row r="172" spans="2:48" ht="20.100000000000001" customHeight="1">
      <c r="B172" s="1816"/>
      <c r="C172" s="9782" t="s">
        <v>2112</v>
      </c>
      <c r="D172" s="9782"/>
      <c r="E172" s="9782"/>
      <c r="F172" s="9782"/>
      <c r="G172" s="162" t="s">
        <v>557</v>
      </c>
      <c r="H172" s="92"/>
      <c r="I172" s="92"/>
      <c r="J172" s="92"/>
      <c r="K172" s="95"/>
      <c r="L172" s="308"/>
      <c r="M172" s="297">
        <v>0</v>
      </c>
      <c r="N172" s="1842"/>
      <c r="O172" s="297">
        <v>0</v>
      </c>
      <c r="P172" s="607"/>
      <c r="Q172" s="2350"/>
      <c r="R172" s="2186"/>
      <c r="S172" s="2111"/>
      <c r="T172" s="100"/>
      <c r="U172" s="2349"/>
      <c r="V172" s="2187"/>
      <c r="W172" s="2111">
        <v>0</v>
      </c>
      <c r="X172" s="484"/>
      <c r="Y172" s="100">
        <v>0</v>
      </c>
      <c r="Z172" s="484"/>
      <c r="AA172" s="100">
        <v>0</v>
      </c>
      <c r="AB172" s="100">
        <v>0</v>
      </c>
      <c r="AC172" s="100">
        <v>0</v>
      </c>
      <c r="AD172" s="100">
        <v>0</v>
      </c>
      <c r="AE172" s="100"/>
      <c r="AF172" s="100"/>
      <c r="AG172" s="100"/>
      <c r="AH172" s="100"/>
      <c r="AI172" s="100"/>
      <c r="AJ172" s="100"/>
      <c r="AK172" s="100"/>
      <c r="AL172" s="100"/>
      <c r="AM172" s="100"/>
      <c r="AN172" s="276" t="s">
        <v>2113</v>
      </c>
      <c r="AO172" s="99"/>
      <c r="AP172" s="547"/>
      <c r="AQ172" s="547"/>
      <c r="AR172" s="99"/>
      <c r="AS172" s="1843" t="s">
        <v>568</v>
      </c>
      <c r="AT172" s="265"/>
      <c r="AU172" s="187" t="s">
        <v>569</v>
      </c>
    </row>
    <row r="173" spans="2:48" ht="39" customHeight="1">
      <c r="B173" s="1821"/>
      <c r="C173" s="9782" t="s">
        <v>570</v>
      </c>
      <c r="D173" s="9782"/>
      <c r="E173" s="9782"/>
      <c r="F173" s="9782"/>
      <c r="G173" s="162" t="s">
        <v>33</v>
      </c>
      <c r="H173" s="608">
        <v>1.0349999999999999</v>
      </c>
      <c r="I173" s="92"/>
      <c r="J173" s="609">
        <v>1.21</v>
      </c>
      <c r="K173" s="95"/>
      <c r="L173" s="308"/>
      <c r="M173" s="1844">
        <v>1.0349999999999999</v>
      </c>
      <c r="N173" s="1842" t="s">
        <v>720</v>
      </c>
      <c r="O173" s="1845">
        <v>1.21</v>
      </c>
      <c r="P173" s="1842" t="s">
        <v>2114</v>
      </c>
      <c r="Q173" s="2350"/>
      <c r="R173" s="2186"/>
      <c r="S173" s="2111"/>
      <c r="T173" s="100"/>
      <c r="U173" s="2349"/>
      <c r="V173" s="2187"/>
      <c r="W173" s="2111"/>
      <c r="X173" s="484"/>
      <c r="Y173" s="100"/>
      <c r="Z173" s="484"/>
      <c r="AA173" s="100"/>
      <c r="AB173" s="100"/>
      <c r="AC173" s="100"/>
      <c r="AD173" s="100"/>
      <c r="AE173" s="100"/>
      <c r="AF173" s="100"/>
      <c r="AG173" s="100"/>
      <c r="AH173" s="100"/>
      <c r="AI173" s="100"/>
      <c r="AJ173" s="100"/>
      <c r="AK173" s="100"/>
      <c r="AL173" s="100"/>
      <c r="AM173" s="100"/>
      <c r="AN173" s="457" t="s">
        <v>572</v>
      </c>
      <c r="AO173" s="309"/>
      <c r="AP173" s="547"/>
      <c r="AQ173" s="547"/>
      <c r="AR173" s="309"/>
      <c r="AS173" s="620" t="s">
        <v>575</v>
      </c>
      <c r="AT173" s="154"/>
      <c r="AU173" s="159"/>
      <c r="AV173" s="10" t="s">
        <v>1797</v>
      </c>
    </row>
    <row r="174" spans="2:48" ht="20.100000000000001" customHeight="1">
      <c r="B174" s="1846"/>
      <c r="C174" s="10061" t="s">
        <v>576</v>
      </c>
      <c r="D174" s="10061"/>
      <c r="E174" s="10061"/>
      <c r="F174" s="10061"/>
      <c r="G174" s="162" t="s">
        <v>413</v>
      </c>
      <c r="H174" s="356">
        <f>SUM(H175:H179)</f>
        <v>0</v>
      </c>
      <c r="I174" s="356" t="s">
        <v>209</v>
      </c>
      <c r="J174" s="356">
        <f>SUM(J175:J179)</f>
        <v>0</v>
      </c>
      <c r="K174" s="356" t="s">
        <v>209</v>
      </c>
      <c r="L174" s="356">
        <f>SUM(L175:L179)</f>
        <v>0</v>
      </c>
      <c r="M174" s="356">
        <f>SUM(M175:M179)</f>
        <v>0</v>
      </c>
      <c r="N174" s="1759" t="s">
        <v>209</v>
      </c>
      <c r="O174" s="356">
        <f>SUM(O175:O179)</f>
        <v>0</v>
      </c>
      <c r="P174" s="1759" t="s">
        <v>209</v>
      </c>
      <c r="Q174" s="2065">
        <f>SUM(Q175:Q179)</f>
        <v>0</v>
      </c>
      <c r="R174" s="2226"/>
      <c r="S174" s="456"/>
      <c r="T174" s="356"/>
      <c r="U174" s="2065"/>
      <c r="V174" s="2241"/>
      <c r="W174" s="456">
        <f>SUM(W175:W179)</f>
        <v>0</v>
      </c>
      <c r="X174" s="484"/>
      <c r="Y174" s="356">
        <f>SUM(Y175:Y179)</f>
        <v>0</v>
      </c>
      <c r="Z174" s="484"/>
      <c r="AA174" s="356">
        <f t="shared" ref="AA174:AM174" si="24">SUM(AA175:AA179)</f>
        <v>0</v>
      </c>
      <c r="AB174" s="356">
        <f t="shared" si="24"/>
        <v>0</v>
      </c>
      <c r="AC174" s="356">
        <f t="shared" si="24"/>
        <v>0</v>
      </c>
      <c r="AD174" s="356">
        <f t="shared" si="24"/>
        <v>0</v>
      </c>
      <c r="AE174" s="356">
        <f t="shared" si="24"/>
        <v>0</v>
      </c>
      <c r="AF174" s="356">
        <f t="shared" si="24"/>
        <v>0</v>
      </c>
      <c r="AG174" s="356">
        <f t="shared" si="24"/>
        <v>0</v>
      </c>
      <c r="AH174" s="356">
        <f t="shared" si="24"/>
        <v>0</v>
      </c>
      <c r="AI174" s="356">
        <f t="shared" si="24"/>
        <v>0</v>
      </c>
      <c r="AJ174" s="356">
        <f t="shared" si="24"/>
        <v>0</v>
      </c>
      <c r="AK174" s="356">
        <f t="shared" si="24"/>
        <v>0</v>
      </c>
      <c r="AL174" s="356">
        <f t="shared" si="24"/>
        <v>0</v>
      </c>
      <c r="AM174" s="356">
        <f t="shared" si="24"/>
        <v>0</v>
      </c>
      <c r="AN174" s="276" t="s">
        <v>579</v>
      </c>
      <c r="AO174" s="99" t="s">
        <v>189</v>
      </c>
      <c r="AP174" s="547"/>
      <c r="AQ174" s="547"/>
      <c r="AR174" s="299" t="s">
        <v>193</v>
      </c>
      <c r="AS174" s="620" t="s">
        <v>581</v>
      </c>
      <c r="AT174" s="154"/>
      <c r="AU174" s="159"/>
      <c r="AV174" s="11"/>
    </row>
    <row r="175" spans="2:48" ht="20.100000000000001" customHeight="1">
      <c r="B175" s="1847"/>
      <c r="C175" s="614"/>
      <c r="D175" s="10060" t="s">
        <v>582</v>
      </c>
      <c r="E175" s="10060"/>
      <c r="F175" s="10060"/>
      <c r="G175" s="162" t="s">
        <v>413</v>
      </c>
      <c r="H175" s="92"/>
      <c r="I175" s="92" t="s">
        <v>209</v>
      </c>
      <c r="J175" s="92"/>
      <c r="K175" s="95" t="s">
        <v>209</v>
      </c>
      <c r="L175" s="228"/>
      <c r="M175" s="297"/>
      <c r="N175" s="1842" t="s">
        <v>209</v>
      </c>
      <c r="O175" s="297"/>
      <c r="P175" s="607" t="s">
        <v>209</v>
      </c>
      <c r="Q175" s="2350"/>
      <c r="R175" s="2186"/>
      <c r="S175" s="2111"/>
      <c r="T175" s="100"/>
      <c r="U175" s="2349"/>
      <c r="V175" s="2187"/>
      <c r="W175" s="2111"/>
      <c r="X175" s="484"/>
      <c r="Y175" s="100"/>
      <c r="Z175" s="484"/>
      <c r="AA175" s="100"/>
      <c r="AB175" s="100"/>
      <c r="AC175" s="100"/>
      <c r="AD175" s="100"/>
      <c r="AE175" s="100"/>
      <c r="AF175" s="100"/>
      <c r="AG175" s="100"/>
      <c r="AH175" s="100"/>
      <c r="AI175" s="100"/>
      <c r="AJ175" s="100"/>
      <c r="AK175" s="100"/>
      <c r="AL175" s="100"/>
      <c r="AM175" s="100"/>
      <c r="AN175" s="457"/>
      <c r="AO175" s="99"/>
      <c r="AP175" s="547"/>
      <c r="AQ175" s="547"/>
      <c r="AR175" s="99"/>
      <c r="AS175" s="620" t="s">
        <v>581</v>
      </c>
      <c r="AT175" s="154"/>
      <c r="AU175" s="159"/>
      <c r="AV175" s="11"/>
    </row>
    <row r="176" spans="2:48" ht="20.100000000000001" customHeight="1">
      <c r="B176" s="1847"/>
      <c r="C176" s="614"/>
      <c r="D176" s="10060" t="s">
        <v>584</v>
      </c>
      <c r="E176" s="10060"/>
      <c r="F176" s="10060"/>
      <c r="G176" s="162" t="s">
        <v>413</v>
      </c>
      <c r="H176" s="92"/>
      <c r="I176" s="92" t="s">
        <v>209</v>
      </c>
      <c r="J176" s="92"/>
      <c r="K176" s="95" t="s">
        <v>209</v>
      </c>
      <c r="L176" s="228"/>
      <c r="M176" s="297"/>
      <c r="N176" s="1842" t="s">
        <v>209</v>
      </c>
      <c r="O176" s="297"/>
      <c r="P176" s="607" t="s">
        <v>209</v>
      </c>
      <c r="Q176" s="2350"/>
      <c r="R176" s="2186"/>
      <c r="S176" s="2111"/>
      <c r="T176" s="100"/>
      <c r="U176" s="2349"/>
      <c r="V176" s="2187"/>
      <c r="W176" s="2111"/>
      <c r="X176" s="484"/>
      <c r="Y176" s="100"/>
      <c r="Z176" s="484"/>
      <c r="AA176" s="100"/>
      <c r="AB176" s="100"/>
      <c r="AC176" s="100"/>
      <c r="AD176" s="100"/>
      <c r="AE176" s="100"/>
      <c r="AF176" s="100"/>
      <c r="AG176" s="100"/>
      <c r="AH176" s="100"/>
      <c r="AI176" s="100"/>
      <c r="AJ176" s="100"/>
      <c r="AK176" s="100"/>
      <c r="AL176" s="100"/>
      <c r="AM176" s="100"/>
      <c r="AN176" s="457"/>
      <c r="AO176" s="99"/>
      <c r="AP176" s="547"/>
      <c r="AQ176" s="547"/>
      <c r="AR176" s="99"/>
      <c r="AS176" s="620" t="s">
        <v>581</v>
      </c>
      <c r="AT176" s="154"/>
      <c r="AU176" s="159"/>
      <c r="AV176" s="11"/>
    </row>
    <row r="177" spans="2:48" ht="20.100000000000001" customHeight="1">
      <c r="B177" s="1847"/>
      <c r="C177" s="614"/>
      <c r="D177" s="10060" t="s">
        <v>586</v>
      </c>
      <c r="E177" s="10060"/>
      <c r="F177" s="10060"/>
      <c r="G177" s="162" t="s">
        <v>413</v>
      </c>
      <c r="H177" s="92"/>
      <c r="I177" s="92" t="s">
        <v>209</v>
      </c>
      <c r="J177" s="92"/>
      <c r="K177" s="95" t="s">
        <v>209</v>
      </c>
      <c r="L177" s="228"/>
      <c r="M177" s="297"/>
      <c r="N177" s="1842" t="s">
        <v>209</v>
      </c>
      <c r="O177" s="297"/>
      <c r="P177" s="607" t="s">
        <v>209</v>
      </c>
      <c r="Q177" s="2350"/>
      <c r="R177" s="2186"/>
      <c r="S177" s="2111"/>
      <c r="T177" s="100"/>
      <c r="U177" s="2349"/>
      <c r="V177" s="2187"/>
      <c r="W177" s="2111"/>
      <c r="X177" s="484"/>
      <c r="Y177" s="100"/>
      <c r="Z177" s="484"/>
      <c r="AA177" s="100"/>
      <c r="AB177" s="100"/>
      <c r="AC177" s="100"/>
      <c r="AD177" s="100"/>
      <c r="AE177" s="100"/>
      <c r="AF177" s="100"/>
      <c r="AG177" s="100"/>
      <c r="AH177" s="100"/>
      <c r="AI177" s="100"/>
      <c r="AJ177" s="100"/>
      <c r="AK177" s="100"/>
      <c r="AL177" s="100"/>
      <c r="AM177" s="100"/>
      <c r="AN177" s="457"/>
      <c r="AO177" s="99"/>
      <c r="AP177" s="547"/>
      <c r="AQ177" s="547"/>
      <c r="AR177" s="99"/>
      <c r="AS177" s="620" t="s">
        <v>581</v>
      </c>
      <c r="AT177" s="154"/>
      <c r="AU177" s="159"/>
      <c r="AV177" s="11"/>
    </row>
    <row r="178" spans="2:48" ht="20.100000000000001" customHeight="1">
      <c r="B178" s="1847"/>
      <c r="C178" s="614"/>
      <c r="D178" s="10060" t="s">
        <v>588</v>
      </c>
      <c r="E178" s="10060"/>
      <c r="F178" s="10060"/>
      <c r="G178" s="162" t="s">
        <v>413</v>
      </c>
      <c r="H178" s="92"/>
      <c r="I178" s="92" t="s">
        <v>209</v>
      </c>
      <c r="J178" s="92"/>
      <c r="K178" s="95" t="s">
        <v>209</v>
      </c>
      <c r="L178" s="228"/>
      <c r="M178" s="297"/>
      <c r="N178" s="1842" t="s">
        <v>209</v>
      </c>
      <c r="O178" s="297"/>
      <c r="P178" s="607" t="s">
        <v>209</v>
      </c>
      <c r="Q178" s="2350"/>
      <c r="R178" s="2186"/>
      <c r="S178" s="2111"/>
      <c r="T178" s="100"/>
      <c r="U178" s="2349"/>
      <c r="V178" s="2187"/>
      <c r="W178" s="2111"/>
      <c r="X178" s="484"/>
      <c r="Y178" s="100"/>
      <c r="Z178" s="484"/>
      <c r="AA178" s="100"/>
      <c r="AB178" s="100"/>
      <c r="AC178" s="100"/>
      <c r="AD178" s="100"/>
      <c r="AE178" s="100"/>
      <c r="AF178" s="100"/>
      <c r="AG178" s="100"/>
      <c r="AH178" s="100"/>
      <c r="AI178" s="100"/>
      <c r="AJ178" s="100"/>
      <c r="AK178" s="100"/>
      <c r="AL178" s="100"/>
      <c r="AM178" s="100"/>
      <c r="AN178" s="457"/>
      <c r="AO178" s="99"/>
      <c r="AP178" s="547"/>
      <c r="AQ178" s="547"/>
      <c r="AR178" s="99"/>
      <c r="AS178" s="620" t="s">
        <v>581</v>
      </c>
      <c r="AT178" s="154"/>
      <c r="AU178" s="159"/>
      <c r="AV178" s="11"/>
    </row>
    <row r="179" spans="2:48" ht="20.100000000000001" customHeight="1">
      <c r="B179" s="1847"/>
      <c r="C179" s="614"/>
      <c r="D179" s="619" t="s">
        <v>590</v>
      </c>
      <c r="E179" s="619"/>
      <c r="F179" s="286"/>
      <c r="G179" s="162" t="s">
        <v>413</v>
      </c>
      <c r="H179" s="92"/>
      <c r="I179" s="92" t="s">
        <v>209</v>
      </c>
      <c r="J179" s="92"/>
      <c r="K179" s="95" t="s">
        <v>209</v>
      </c>
      <c r="L179" s="228"/>
      <c r="M179" s="297"/>
      <c r="N179" s="1842" t="s">
        <v>209</v>
      </c>
      <c r="O179" s="297"/>
      <c r="P179" s="607" t="s">
        <v>209</v>
      </c>
      <c r="Q179" s="2350"/>
      <c r="R179" s="2186"/>
      <c r="S179" s="2111"/>
      <c r="T179" s="100"/>
      <c r="U179" s="2349"/>
      <c r="V179" s="2187"/>
      <c r="W179" s="2111"/>
      <c r="X179" s="484"/>
      <c r="Y179" s="100"/>
      <c r="Z179" s="484"/>
      <c r="AA179" s="100"/>
      <c r="AB179" s="100"/>
      <c r="AC179" s="100"/>
      <c r="AD179" s="100"/>
      <c r="AE179" s="100"/>
      <c r="AF179" s="100"/>
      <c r="AG179" s="100"/>
      <c r="AH179" s="100"/>
      <c r="AI179" s="100"/>
      <c r="AJ179" s="100"/>
      <c r="AK179" s="100"/>
      <c r="AL179" s="100"/>
      <c r="AM179" s="100"/>
      <c r="AN179" s="276"/>
      <c r="AO179" s="99"/>
      <c r="AP179" s="547"/>
      <c r="AQ179" s="547"/>
      <c r="AR179" s="99"/>
      <c r="AS179" s="620" t="s">
        <v>581</v>
      </c>
      <c r="AT179" s="154"/>
      <c r="AU179" s="159"/>
      <c r="AV179" s="11"/>
    </row>
    <row r="180" spans="2:48" ht="20.100000000000001" customHeight="1">
      <c r="B180" s="1848"/>
      <c r="C180" s="10061" t="s">
        <v>592</v>
      </c>
      <c r="D180" s="10061"/>
      <c r="E180" s="10061"/>
      <c r="F180" s="10061"/>
      <c r="G180" s="162" t="s">
        <v>156</v>
      </c>
      <c r="H180" s="356" t="str">
        <f>IFERROR(H181/H182,"-")</f>
        <v>-</v>
      </c>
      <c r="I180" s="92" t="s">
        <v>209</v>
      </c>
      <c r="J180" s="356" t="str">
        <f>IFERROR(J181/J182,"-")</f>
        <v>-</v>
      </c>
      <c r="K180" s="95" t="s">
        <v>209</v>
      </c>
      <c r="L180" s="356" t="str">
        <f>IFERROR(L181/L182,"-")</f>
        <v>-</v>
      </c>
      <c r="M180" s="356" t="str">
        <f>IFERROR(M181/M182,"-")</f>
        <v>-</v>
      </c>
      <c r="N180" s="1759" t="s">
        <v>209</v>
      </c>
      <c r="O180" s="356" t="str">
        <f>IFERROR(O181/O182,"-")</f>
        <v>-</v>
      </c>
      <c r="P180" s="1759" t="s">
        <v>209</v>
      </c>
      <c r="Q180" s="2065" t="str">
        <f>IFERROR(Q181/Q182,"-")</f>
        <v>-</v>
      </c>
      <c r="R180" s="2226"/>
      <c r="S180" s="456"/>
      <c r="T180" s="356"/>
      <c r="U180" s="2065"/>
      <c r="V180" s="2241"/>
      <c r="W180" s="456" t="str">
        <f>IFERROR(W181/W182,"-")</f>
        <v>-</v>
      </c>
      <c r="X180" s="484"/>
      <c r="Y180" s="356" t="str">
        <f>IFERROR(Y181/Y182,"-")</f>
        <v>-</v>
      </c>
      <c r="Z180" s="484"/>
      <c r="AA180" s="356" t="str">
        <f t="shared" ref="AA180:AM180" si="25">IFERROR(AA181/AA182,"-")</f>
        <v>-</v>
      </c>
      <c r="AB180" s="356" t="str">
        <f t="shared" si="25"/>
        <v>-</v>
      </c>
      <c r="AC180" s="356" t="str">
        <f t="shared" si="25"/>
        <v>-</v>
      </c>
      <c r="AD180" s="356" t="str">
        <f t="shared" si="25"/>
        <v>-</v>
      </c>
      <c r="AE180" s="356" t="str">
        <f t="shared" si="25"/>
        <v>-</v>
      </c>
      <c r="AF180" s="356" t="str">
        <f t="shared" si="25"/>
        <v>-</v>
      </c>
      <c r="AG180" s="356" t="str">
        <f t="shared" si="25"/>
        <v>-</v>
      </c>
      <c r="AH180" s="356" t="str">
        <f t="shared" si="25"/>
        <v>-</v>
      </c>
      <c r="AI180" s="356" t="str">
        <f t="shared" si="25"/>
        <v>-</v>
      </c>
      <c r="AJ180" s="356" t="str">
        <f t="shared" si="25"/>
        <v>-</v>
      </c>
      <c r="AK180" s="356" t="str">
        <f t="shared" si="25"/>
        <v>-</v>
      </c>
      <c r="AL180" s="356" t="str">
        <f t="shared" si="25"/>
        <v>-</v>
      </c>
      <c r="AM180" s="356" t="str">
        <f t="shared" si="25"/>
        <v>-</v>
      </c>
      <c r="AN180" s="276" t="s">
        <v>594</v>
      </c>
      <c r="AO180" s="99" t="s">
        <v>189</v>
      </c>
      <c r="AP180" s="547"/>
      <c r="AQ180" s="547"/>
      <c r="AR180" s="299" t="s">
        <v>193</v>
      </c>
      <c r="AS180" s="620" t="s">
        <v>596</v>
      </c>
      <c r="AT180" s="154"/>
      <c r="AU180" s="159" t="s">
        <v>597</v>
      </c>
      <c r="AV180" s="11"/>
    </row>
    <row r="181" spans="2:48" ht="20.100000000000001" customHeight="1">
      <c r="B181" s="1847"/>
      <c r="C181" s="614"/>
      <c r="D181" s="619" t="s">
        <v>598</v>
      </c>
      <c r="E181" s="619"/>
      <c r="F181" s="286"/>
      <c r="G181" s="162" t="s">
        <v>413</v>
      </c>
      <c r="H181" s="92"/>
      <c r="I181" s="92" t="s">
        <v>209</v>
      </c>
      <c r="J181" s="92"/>
      <c r="K181" s="95" t="s">
        <v>209</v>
      </c>
      <c r="L181" s="308"/>
      <c r="M181" s="297"/>
      <c r="N181" s="1842" t="s">
        <v>209</v>
      </c>
      <c r="O181" s="297"/>
      <c r="P181" s="607" t="s">
        <v>209</v>
      </c>
      <c r="Q181" s="2350"/>
      <c r="R181" s="2186"/>
      <c r="S181" s="2111"/>
      <c r="T181" s="100"/>
      <c r="U181" s="2349"/>
      <c r="V181" s="2187"/>
      <c r="W181" s="2111"/>
      <c r="X181" s="484"/>
      <c r="Y181" s="100"/>
      <c r="Z181" s="484"/>
      <c r="AA181" s="100"/>
      <c r="AB181" s="100"/>
      <c r="AC181" s="100"/>
      <c r="AD181" s="100"/>
      <c r="AE181" s="100"/>
      <c r="AF181" s="100"/>
      <c r="AG181" s="100"/>
      <c r="AH181" s="100"/>
      <c r="AI181" s="100"/>
      <c r="AJ181" s="100"/>
      <c r="AK181" s="100"/>
      <c r="AL181" s="100"/>
      <c r="AM181" s="100"/>
      <c r="AN181" s="276"/>
      <c r="AO181" s="99"/>
      <c r="AP181" s="547"/>
      <c r="AQ181" s="547"/>
      <c r="AR181" s="986"/>
      <c r="AS181" s="620" t="s">
        <v>600</v>
      </c>
      <c r="AT181" s="154"/>
      <c r="AU181" s="159"/>
      <c r="AV181" s="11"/>
    </row>
    <row r="182" spans="2:48" ht="20.100000000000001" customHeight="1">
      <c r="B182" s="1847"/>
      <c r="C182" s="614"/>
      <c r="D182" s="619" t="s">
        <v>601</v>
      </c>
      <c r="E182" s="619"/>
      <c r="F182" s="286"/>
      <c r="G182" s="162" t="s">
        <v>413</v>
      </c>
      <c r="H182" s="92"/>
      <c r="I182" s="92" t="s">
        <v>209</v>
      </c>
      <c r="J182" s="92"/>
      <c r="K182" s="95" t="s">
        <v>209</v>
      </c>
      <c r="L182" s="308"/>
      <c r="M182" s="297"/>
      <c r="N182" s="1842" t="s">
        <v>209</v>
      </c>
      <c r="O182" s="297"/>
      <c r="P182" s="607" t="s">
        <v>209</v>
      </c>
      <c r="Q182" s="2350"/>
      <c r="R182" s="2186"/>
      <c r="S182" s="2111"/>
      <c r="T182" s="100"/>
      <c r="U182" s="2349"/>
      <c r="V182" s="2187"/>
      <c r="W182" s="2111"/>
      <c r="X182" s="484"/>
      <c r="Y182" s="100"/>
      <c r="Z182" s="484"/>
      <c r="AA182" s="100"/>
      <c r="AB182" s="100"/>
      <c r="AC182" s="100"/>
      <c r="AD182" s="100"/>
      <c r="AE182" s="100"/>
      <c r="AF182" s="100"/>
      <c r="AG182" s="100"/>
      <c r="AH182" s="100"/>
      <c r="AI182" s="100"/>
      <c r="AJ182" s="100"/>
      <c r="AK182" s="100"/>
      <c r="AL182" s="100"/>
      <c r="AM182" s="100"/>
      <c r="AN182" s="276"/>
      <c r="AO182" s="99"/>
      <c r="AP182" s="547"/>
      <c r="AQ182" s="547"/>
      <c r="AR182" s="986"/>
      <c r="AS182" s="620" t="s">
        <v>600</v>
      </c>
      <c r="AT182" s="154"/>
      <c r="AU182" s="159"/>
      <c r="AV182" s="11"/>
    </row>
    <row r="183" spans="2:48" ht="20.100000000000001" customHeight="1">
      <c r="B183" s="1848"/>
      <c r="C183" s="10061" t="s">
        <v>603</v>
      </c>
      <c r="D183" s="10061"/>
      <c r="E183" s="10061"/>
      <c r="F183" s="10061"/>
      <c r="G183" s="162" t="s">
        <v>156</v>
      </c>
      <c r="H183" s="92"/>
      <c r="I183" s="92" t="s">
        <v>209</v>
      </c>
      <c r="J183" s="92"/>
      <c r="K183" s="95" t="s">
        <v>209</v>
      </c>
      <c r="L183" s="308"/>
      <c r="M183" s="297"/>
      <c r="N183" s="1842" t="s">
        <v>209</v>
      </c>
      <c r="O183" s="297"/>
      <c r="P183" s="607" t="s">
        <v>209</v>
      </c>
      <c r="Q183" s="2350"/>
      <c r="R183" s="2186"/>
      <c r="S183" s="2111"/>
      <c r="T183" s="100"/>
      <c r="U183" s="2349"/>
      <c r="V183" s="2187"/>
      <c r="W183" s="2111"/>
      <c r="X183" s="484"/>
      <c r="Y183" s="100"/>
      <c r="Z183" s="484"/>
      <c r="AA183" s="100"/>
      <c r="AB183" s="100"/>
      <c r="AC183" s="100"/>
      <c r="AD183" s="100"/>
      <c r="AE183" s="100"/>
      <c r="AF183" s="100"/>
      <c r="AG183" s="100"/>
      <c r="AH183" s="100"/>
      <c r="AI183" s="100"/>
      <c r="AJ183" s="100"/>
      <c r="AK183" s="100"/>
      <c r="AL183" s="100"/>
      <c r="AM183" s="100"/>
      <c r="AN183" s="276" t="s">
        <v>605</v>
      </c>
      <c r="AO183" s="99" t="s">
        <v>189</v>
      </c>
      <c r="AP183" s="547"/>
      <c r="AQ183" s="547"/>
      <c r="AR183" s="299" t="s">
        <v>193</v>
      </c>
      <c r="AS183" s="620" t="s">
        <v>607</v>
      </c>
      <c r="AT183" s="154"/>
      <c r="AU183" s="159" t="s">
        <v>597</v>
      </c>
      <c r="AV183" s="11"/>
    </row>
    <row r="184" spans="2:48" ht="20.100000000000001" customHeight="1">
      <c r="B184" s="1847"/>
      <c r="C184" s="614"/>
      <c r="D184" s="10060" t="s">
        <v>582</v>
      </c>
      <c r="E184" s="10060"/>
      <c r="F184" s="10060"/>
      <c r="G184" s="162" t="s">
        <v>413</v>
      </c>
      <c r="H184" s="92"/>
      <c r="I184" s="92" t="s">
        <v>209</v>
      </c>
      <c r="J184" s="92"/>
      <c r="K184" s="95" t="s">
        <v>209</v>
      </c>
      <c r="L184" s="308"/>
      <c r="M184" s="297"/>
      <c r="N184" s="1842" t="s">
        <v>209</v>
      </c>
      <c r="O184" s="297"/>
      <c r="P184" s="607" t="s">
        <v>209</v>
      </c>
      <c r="Q184" s="2350"/>
      <c r="R184" s="2186"/>
      <c r="S184" s="2111"/>
      <c r="T184" s="100"/>
      <c r="U184" s="2349"/>
      <c r="V184" s="2187"/>
      <c r="W184" s="2111"/>
      <c r="X184" s="484"/>
      <c r="Y184" s="100"/>
      <c r="Z184" s="484"/>
      <c r="AA184" s="100"/>
      <c r="AB184" s="100"/>
      <c r="AC184" s="100"/>
      <c r="AD184" s="100"/>
      <c r="AE184" s="100"/>
      <c r="AF184" s="100"/>
      <c r="AG184" s="100"/>
      <c r="AH184" s="100"/>
      <c r="AI184" s="100"/>
      <c r="AJ184" s="100"/>
      <c r="AK184" s="100"/>
      <c r="AL184" s="100"/>
      <c r="AM184" s="100"/>
      <c r="AN184" s="276"/>
      <c r="AO184" s="99"/>
      <c r="AP184" s="547"/>
      <c r="AQ184" s="547"/>
      <c r="AR184" s="986"/>
      <c r="AS184" s="620" t="s">
        <v>607</v>
      </c>
      <c r="AT184" s="154"/>
      <c r="AU184" s="159"/>
      <c r="AV184" s="11"/>
    </row>
    <row r="185" spans="2:48" ht="20.100000000000001" customHeight="1">
      <c r="B185" s="1847"/>
      <c r="C185" s="614"/>
      <c r="D185" s="10060" t="s">
        <v>584</v>
      </c>
      <c r="E185" s="10060"/>
      <c r="F185" s="10060"/>
      <c r="G185" s="162" t="s">
        <v>413</v>
      </c>
      <c r="H185" s="92"/>
      <c r="I185" s="92" t="s">
        <v>209</v>
      </c>
      <c r="J185" s="92"/>
      <c r="K185" s="95" t="s">
        <v>209</v>
      </c>
      <c r="L185" s="308"/>
      <c r="M185" s="297"/>
      <c r="N185" s="1842" t="s">
        <v>209</v>
      </c>
      <c r="O185" s="297"/>
      <c r="P185" s="607" t="s">
        <v>209</v>
      </c>
      <c r="Q185" s="2350"/>
      <c r="R185" s="2186"/>
      <c r="S185" s="2111"/>
      <c r="T185" s="100"/>
      <c r="U185" s="2349"/>
      <c r="V185" s="2187"/>
      <c r="W185" s="2111"/>
      <c r="X185" s="484"/>
      <c r="Y185" s="100"/>
      <c r="Z185" s="484"/>
      <c r="AA185" s="100"/>
      <c r="AB185" s="100"/>
      <c r="AC185" s="100"/>
      <c r="AD185" s="100"/>
      <c r="AE185" s="100"/>
      <c r="AF185" s="100"/>
      <c r="AG185" s="100"/>
      <c r="AH185" s="100"/>
      <c r="AI185" s="100"/>
      <c r="AJ185" s="100"/>
      <c r="AK185" s="100"/>
      <c r="AL185" s="100"/>
      <c r="AM185" s="100"/>
      <c r="AN185" s="276"/>
      <c r="AO185" s="99"/>
      <c r="AP185" s="547"/>
      <c r="AQ185" s="547"/>
      <c r="AR185" s="986"/>
      <c r="AS185" s="620" t="s">
        <v>607</v>
      </c>
      <c r="AT185" s="154"/>
      <c r="AU185" s="159"/>
      <c r="AV185" s="11"/>
    </row>
    <row r="186" spans="2:48" ht="20.100000000000001" customHeight="1">
      <c r="B186" s="1847"/>
      <c r="C186" s="614"/>
      <c r="D186" s="10060" t="s">
        <v>586</v>
      </c>
      <c r="E186" s="10060"/>
      <c r="F186" s="10060"/>
      <c r="G186" s="162" t="s">
        <v>413</v>
      </c>
      <c r="H186" s="92"/>
      <c r="I186" s="92" t="s">
        <v>209</v>
      </c>
      <c r="J186" s="92"/>
      <c r="K186" s="95" t="s">
        <v>209</v>
      </c>
      <c r="L186" s="308"/>
      <c r="M186" s="297"/>
      <c r="N186" s="1842" t="s">
        <v>209</v>
      </c>
      <c r="O186" s="297"/>
      <c r="P186" s="607" t="s">
        <v>209</v>
      </c>
      <c r="Q186" s="2350"/>
      <c r="R186" s="2186"/>
      <c r="S186" s="2111"/>
      <c r="T186" s="100"/>
      <c r="U186" s="2349"/>
      <c r="V186" s="2187"/>
      <c r="W186" s="2111"/>
      <c r="X186" s="484"/>
      <c r="Y186" s="100"/>
      <c r="Z186" s="484"/>
      <c r="AA186" s="100"/>
      <c r="AB186" s="100"/>
      <c r="AC186" s="100"/>
      <c r="AD186" s="100"/>
      <c r="AE186" s="100"/>
      <c r="AF186" s="100"/>
      <c r="AG186" s="100"/>
      <c r="AH186" s="100"/>
      <c r="AI186" s="100"/>
      <c r="AJ186" s="100"/>
      <c r="AK186" s="100"/>
      <c r="AL186" s="100"/>
      <c r="AM186" s="100"/>
      <c r="AN186" s="276"/>
      <c r="AO186" s="99"/>
      <c r="AP186" s="547"/>
      <c r="AQ186" s="547"/>
      <c r="AR186" s="986"/>
      <c r="AS186" s="620" t="s">
        <v>607</v>
      </c>
      <c r="AT186" s="154"/>
      <c r="AU186" s="159"/>
      <c r="AV186" s="11"/>
    </row>
    <row r="187" spans="2:48" ht="20.100000000000001" customHeight="1">
      <c r="B187" s="1847"/>
      <c r="C187" s="614"/>
      <c r="D187" s="10060" t="s">
        <v>588</v>
      </c>
      <c r="E187" s="10060"/>
      <c r="F187" s="10060"/>
      <c r="G187" s="162" t="s">
        <v>413</v>
      </c>
      <c r="H187" s="92"/>
      <c r="I187" s="92" t="s">
        <v>209</v>
      </c>
      <c r="J187" s="92"/>
      <c r="K187" s="95" t="s">
        <v>209</v>
      </c>
      <c r="L187" s="308"/>
      <c r="M187" s="297"/>
      <c r="N187" s="1842" t="s">
        <v>209</v>
      </c>
      <c r="O187" s="297"/>
      <c r="P187" s="607" t="s">
        <v>209</v>
      </c>
      <c r="Q187" s="2350"/>
      <c r="R187" s="2186"/>
      <c r="S187" s="2111"/>
      <c r="T187" s="100"/>
      <c r="U187" s="2349"/>
      <c r="V187" s="2187"/>
      <c r="W187" s="2111"/>
      <c r="X187" s="484"/>
      <c r="Y187" s="100"/>
      <c r="Z187" s="484"/>
      <c r="AA187" s="100"/>
      <c r="AB187" s="100"/>
      <c r="AC187" s="100"/>
      <c r="AD187" s="100"/>
      <c r="AE187" s="100"/>
      <c r="AF187" s="100"/>
      <c r="AG187" s="100"/>
      <c r="AH187" s="100"/>
      <c r="AI187" s="100"/>
      <c r="AJ187" s="100"/>
      <c r="AK187" s="100"/>
      <c r="AL187" s="100"/>
      <c r="AM187" s="100"/>
      <c r="AN187" s="276"/>
      <c r="AO187" s="99"/>
      <c r="AP187" s="547"/>
      <c r="AQ187" s="547"/>
      <c r="AR187" s="986"/>
      <c r="AS187" s="620" t="s">
        <v>607</v>
      </c>
      <c r="AT187" s="154"/>
      <c r="AU187" s="159"/>
      <c r="AV187" s="11"/>
    </row>
    <row r="188" spans="2:48" ht="20.100000000000001" customHeight="1">
      <c r="B188" s="1847"/>
      <c r="C188" s="1820"/>
      <c r="D188" s="619" t="s">
        <v>590</v>
      </c>
      <c r="E188" s="619"/>
      <c r="F188" s="286"/>
      <c r="G188" s="162" t="s">
        <v>413</v>
      </c>
      <c r="H188" s="92"/>
      <c r="I188" s="92" t="s">
        <v>209</v>
      </c>
      <c r="J188" s="92"/>
      <c r="K188" s="95" t="s">
        <v>209</v>
      </c>
      <c r="L188" s="308"/>
      <c r="M188" s="297"/>
      <c r="N188" s="1842" t="s">
        <v>209</v>
      </c>
      <c r="O188" s="297"/>
      <c r="P188" s="607" t="s">
        <v>209</v>
      </c>
      <c r="Q188" s="2350"/>
      <c r="R188" s="2186"/>
      <c r="S188" s="2111"/>
      <c r="T188" s="100"/>
      <c r="U188" s="2349"/>
      <c r="V188" s="2187"/>
      <c r="W188" s="2111"/>
      <c r="X188" s="484"/>
      <c r="Y188" s="100"/>
      <c r="Z188" s="484"/>
      <c r="AA188" s="100"/>
      <c r="AB188" s="100"/>
      <c r="AC188" s="100"/>
      <c r="AD188" s="100"/>
      <c r="AE188" s="100"/>
      <c r="AF188" s="100"/>
      <c r="AG188" s="100"/>
      <c r="AH188" s="100"/>
      <c r="AI188" s="100"/>
      <c r="AJ188" s="100"/>
      <c r="AK188" s="100"/>
      <c r="AL188" s="100"/>
      <c r="AM188" s="100"/>
      <c r="AN188" s="276"/>
      <c r="AO188" s="99"/>
      <c r="AP188" s="547"/>
      <c r="AQ188" s="547"/>
      <c r="AR188" s="986"/>
      <c r="AS188" s="620" t="s">
        <v>607</v>
      </c>
      <c r="AT188" s="154"/>
      <c r="AU188" s="159"/>
      <c r="AV188" s="11"/>
    </row>
    <row r="189" spans="2:48" ht="20.100000000000001" customHeight="1">
      <c r="B189" s="1847"/>
      <c r="C189" s="10061" t="s">
        <v>613</v>
      </c>
      <c r="D189" s="10061"/>
      <c r="E189" s="10061"/>
      <c r="F189" s="10061"/>
      <c r="G189" s="162" t="s">
        <v>156</v>
      </c>
      <c r="H189" s="92"/>
      <c r="I189" s="92" t="s">
        <v>1780</v>
      </c>
      <c r="J189" s="92"/>
      <c r="K189" s="95" t="s">
        <v>1780</v>
      </c>
      <c r="L189" s="308"/>
      <c r="M189" s="297"/>
      <c r="N189" s="1842" t="s">
        <v>1780</v>
      </c>
      <c r="O189" s="297"/>
      <c r="P189" s="607" t="s">
        <v>1780</v>
      </c>
      <c r="Q189" s="2350"/>
      <c r="R189" s="2186"/>
      <c r="S189" s="2111"/>
      <c r="T189" s="100"/>
      <c r="U189" s="2349"/>
      <c r="V189" s="2187"/>
      <c r="W189" s="2111"/>
      <c r="X189" s="484"/>
      <c r="Y189" s="100"/>
      <c r="Z189" s="484"/>
      <c r="AA189" s="100"/>
      <c r="AB189" s="100"/>
      <c r="AC189" s="100"/>
      <c r="AD189" s="100"/>
      <c r="AE189" s="100"/>
      <c r="AF189" s="100"/>
      <c r="AG189" s="100"/>
      <c r="AH189" s="100"/>
      <c r="AI189" s="100"/>
      <c r="AJ189" s="100"/>
      <c r="AK189" s="100"/>
      <c r="AL189" s="100"/>
      <c r="AM189" s="100"/>
      <c r="AN189" s="276" t="s">
        <v>615</v>
      </c>
      <c r="AO189" s="99"/>
      <c r="AP189" s="547"/>
      <c r="AQ189" s="547"/>
      <c r="AR189" s="986"/>
      <c r="AS189" s="620" t="s">
        <v>617</v>
      </c>
      <c r="AT189" s="154"/>
      <c r="AU189" s="159"/>
      <c r="AV189" s="11"/>
    </row>
    <row r="190" spans="2:48" ht="20.100000000000001" customHeight="1">
      <c r="B190" s="1847"/>
      <c r="C190" s="1849"/>
      <c r="D190" s="10060" t="s">
        <v>618</v>
      </c>
      <c r="E190" s="10060"/>
      <c r="F190" s="10060"/>
      <c r="G190" s="162" t="s">
        <v>413</v>
      </c>
      <c r="H190" s="92"/>
      <c r="I190" s="92" t="s">
        <v>1780</v>
      </c>
      <c r="J190" s="92"/>
      <c r="K190" s="95" t="s">
        <v>1780</v>
      </c>
      <c r="L190" s="308"/>
      <c r="M190" s="297"/>
      <c r="N190" s="1842" t="s">
        <v>1780</v>
      </c>
      <c r="O190" s="297"/>
      <c r="P190" s="607" t="s">
        <v>1780</v>
      </c>
      <c r="Q190" s="2350"/>
      <c r="R190" s="2186"/>
      <c r="S190" s="2111"/>
      <c r="T190" s="100"/>
      <c r="U190" s="2349"/>
      <c r="V190" s="2187"/>
      <c r="W190" s="2111"/>
      <c r="X190" s="484"/>
      <c r="Y190" s="100"/>
      <c r="Z190" s="484"/>
      <c r="AA190" s="100"/>
      <c r="AB190" s="100"/>
      <c r="AC190" s="100"/>
      <c r="AD190" s="100"/>
      <c r="AE190" s="100"/>
      <c r="AF190" s="100"/>
      <c r="AG190" s="100"/>
      <c r="AH190" s="100"/>
      <c r="AI190" s="100"/>
      <c r="AJ190" s="100"/>
      <c r="AK190" s="100"/>
      <c r="AL190" s="100"/>
      <c r="AM190" s="100"/>
      <c r="AN190" s="276"/>
      <c r="AO190" s="99" t="s">
        <v>189</v>
      </c>
      <c r="AP190" s="547"/>
      <c r="AQ190" s="547"/>
      <c r="AR190" s="299" t="s">
        <v>193</v>
      </c>
      <c r="AS190" s="620" t="s">
        <v>617</v>
      </c>
      <c r="AT190" s="154"/>
      <c r="AU190" s="159"/>
      <c r="AV190" s="11"/>
    </row>
    <row r="191" spans="2:48" ht="20.100000000000001" customHeight="1">
      <c r="B191" s="1847"/>
      <c r="C191" s="1820"/>
      <c r="D191" s="10060" t="s">
        <v>620</v>
      </c>
      <c r="E191" s="10060"/>
      <c r="F191" s="10060"/>
      <c r="G191" s="162" t="s">
        <v>413</v>
      </c>
      <c r="H191" s="92"/>
      <c r="I191" s="92" t="s">
        <v>1780</v>
      </c>
      <c r="J191" s="92"/>
      <c r="K191" s="95" t="s">
        <v>1780</v>
      </c>
      <c r="L191" s="308"/>
      <c r="M191" s="297"/>
      <c r="N191" s="1842" t="s">
        <v>1780</v>
      </c>
      <c r="O191" s="297"/>
      <c r="P191" s="607" t="s">
        <v>1780</v>
      </c>
      <c r="Q191" s="2350"/>
      <c r="R191" s="2186"/>
      <c r="S191" s="2111"/>
      <c r="T191" s="100"/>
      <c r="U191" s="2349"/>
      <c r="V191" s="2187"/>
      <c r="W191" s="2111"/>
      <c r="X191" s="484"/>
      <c r="Y191" s="100"/>
      <c r="Z191" s="484"/>
      <c r="AA191" s="100"/>
      <c r="AB191" s="100"/>
      <c r="AC191" s="100"/>
      <c r="AD191" s="100"/>
      <c r="AE191" s="100"/>
      <c r="AF191" s="100"/>
      <c r="AG191" s="100"/>
      <c r="AH191" s="100"/>
      <c r="AI191" s="100"/>
      <c r="AJ191" s="100"/>
      <c r="AK191" s="100"/>
      <c r="AL191" s="100"/>
      <c r="AM191" s="100"/>
      <c r="AN191" s="276"/>
      <c r="AO191" s="99"/>
      <c r="AP191" s="547"/>
      <c r="AQ191" s="547"/>
      <c r="AR191" s="986"/>
      <c r="AS191" s="620" t="s">
        <v>617</v>
      </c>
      <c r="AT191" s="154"/>
      <c r="AU191" s="159"/>
      <c r="AV191" s="11"/>
    </row>
    <row r="192" spans="2:48" ht="20.100000000000001" customHeight="1">
      <c r="B192" s="1847"/>
      <c r="C192" s="1820"/>
      <c r="D192" s="10060" t="s">
        <v>622</v>
      </c>
      <c r="E192" s="10060"/>
      <c r="F192" s="10060"/>
      <c r="G192" s="162" t="s">
        <v>413</v>
      </c>
      <c r="H192" s="92"/>
      <c r="I192" s="92" t="s">
        <v>1780</v>
      </c>
      <c r="J192" s="92"/>
      <c r="K192" s="95" t="s">
        <v>1780</v>
      </c>
      <c r="L192" s="308"/>
      <c r="M192" s="297"/>
      <c r="N192" s="1842" t="s">
        <v>1780</v>
      </c>
      <c r="O192" s="297"/>
      <c r="P192" s="607" t="s">
        <v>1780</v>
      </c>
      <c r="Q192" s="2350"/>
      <c r="R192" s="2186"/>
      <c r="S192" s="2111"/>
      <c r="T192" s="100"/>
      <c r="U192" s="2349"/>
      <c r="V192" s="2187"/>
      <c r="W192" s="2111"/>
      <c r="X192" s="484"/>
      <c r="Y192" s="100"/>
      <c r="Z192" s="484"/>
      <c r="AA192" s="100"/>
      <c r="AB192" s="100"/>
      <c r="AC192" s="100"/>
      <c r="AD192" s="100"/>
      <c r="AE192" s="100"/>
      <c r="AF192" s="100"/>
      <c r="AG192" s="100"/>
      <c r="AH192" s="100"/>
      <c r="AI192" s="100"/>
      <c r="AJ192" s="100"/>
      <c r="AK192" s="100"/>
      <c r="AL192" s="100"/>
      <c r="AM192" s="100"/>
      <c r="AN192" s="457"/>
      <c r="AO192" s="99"/>
      <c r="AP192" s="547"/>
      <c r="AQ192" s="547"/>
      <c r="AR192" s="986"/>
      <c r="AS192" s="620" t="s">
        <v>617</v>
      </c>
      <c r="AT192" s="154"/>
      <c r="AU192" s="159"/>
      <c r="AV192" s="11"/>
    </row>
    <row r="193" spans="1:49" ht="20.100000000000001" customHeight="1" thickBot="1">
      <c r="B193" s="1848"/>
      <c r="C193" s="1820"/>
      <c r="D193" s="10060" t="s">
        <v>624</v>
      </c>
      <c r="E193" s="10060"/>
      <c r="F193" s="10060"/>
      <c r="G193" s="162" t="s">
        <v>413</v>
      </c>
      <c r="H193" s="92"/>
      <c r="I193" s="92" t="s">
        <v>1780</v>
      </c>
      <c r="J193" s="92"/>
      <c r="K193" s="95" t="s">
        <v>1780</v>
      </c>
      <c r="L193" s="308"/>
      <c r="M193" s="297"/>
      <c r="N193" s="1842" t="s">
        <v>1780</v>
      </c>
      <c r="O193" s="297"/>
      <c r="P193" s="607" t="s">
        <v>1780</v>
      </c>
      <c r="Q193" s="2350"/>
      <c r="R193" s="2186"/>
      <c r="S193" s="2111"/>
      <c r="T193" s="100"/>
      <c r="U193" s="2349"/>
      <c r="V193" s="2187"/>
      <c r="W193" s="2111"/>
      <c r="X193" s="484"/>
      <c r="Y193" s="100"/>
      <c r="Z193" s="484"/>
      <c r="AA193" s="100"/>
      <c r="AB193" s="100"/>
      <c r="AC193" s="100"/>
      <c r="AD193" s="100"/>
      <c r="AE193" s="100"/>
      <c r="AF193" s="100"/>
      <c r="AG193" s="100"/>
      <c r="AH193" s="100"/>
      <c r="AI193" s="100"/>
      <c r="AJ193" s="100"/>
      <c r="AK193" s="100"/>
      <c r="AL193" s="100"/>
      <c r="AM193" s="100"/>
      <c r="AN193" s="457"/>
      <c r="AO193" s="99"/>
      <c r="AP193" s="547"/>
      <c r="AQ193" s="547"/>
      <c r="AR193" s="986"/>
      <c r="AS193" s="620" t="s">
        <v>617</v>
      </c>
      <c r="AT193" s="154"/>
      <c r="AU193" s="159" t="s">
        <v>597</v>
      </c>
      <c r="AV193" s="11"/>
    </row>
    <row r="194" spans="1:49" ht="27.75" thickTop="1" thickBot="1">
      <c r="A194" s="50"/>
      <c r="B194" s="1742" t="s">
        <v>727</v>
      </c>
      <c r="C194" s="629"/>
      <c r="D194" s="629"/>
      <c r="E194" s="629"/>
      <c r="F194" s="629"/>
      <c r="G194" s="630"/>
      <c r="H194" s="1743"/>
      <c r="I194" s="1743"/>
      <c r="J194" s="1743"/>
      <c r="K194" s="1743"/>
      <c r="L194" s="1743"/>
      <c r="M194" s="1744"/>
      <c r="N194" s="1745"/>
      <c r="O194" s="1744"/>
      <c r="P194" s="1745"/>
      <c r="Q194" s="1744"/>
      <c r="R194" s="4574"/>
      <c r="S194" s="633"/>
      <c r="T194" s="633"/>
      <c r="U194" s="633"/>
      <c r="V194" s="4575"/>
      <c r="W194" s="633"/>
      <c r="X194" s="633"/>
      <c r="Y194" s="633"/>
      <c r="Z194" s="633"/>
      <c r="AA194" s="633"/>
      <c r="AB194" s="633"/>
      <c r="AC194" s="633"/>
      <c r="AD194" s="633"/>
      <c r="AE194" s="633"/>
      <c r="AF194" s="633"/>
      <c r="AG194" s="633"/>
      <c r="AH194" s="633"/>
      <c r="AI194" s="633"/>
      <c r="AJ194" s="633"/>
      <c r="AK194" s="633"/>
      <c r="AL194" s="633"/>
      <c r="AM194" s="633"/>
      <c r="AN194" s="634"/>
      <c r="AO194" s="1746"/>
      <c r="AP194" s="1746"/>
      <c r="AQ194" s="1746"/>
      <c r="AR194" s="1746"/>
      <c r="AS194" s="1850"/>
      <c r="AT194" s="1850"/>
      <c r="AU194" s="635"/>
      <c r="AW194" s="54"/>
    </row>
    <row r="195" spans="1:49" ht="27" thickBot="1">
      <c r="B195" s="123" t="s">
        <v>729</v>
      </c>
      <c r="C195" s="124"/>
      <c r="D195" s="124"/>
      <c r="E195" s="124"/>
      <c r="F195" s="124"/>
      <c r="G195" s="78"/>
      <c r="H195" s="1732"/>
      <c r="I195" s="1732"/>
      <c r="J195" s="1732"/>
      <c r="K195" s="1732"/>
      <c r="L195" s="1732"/>
      <c r="M195" s="1733"/>
      <c r="N195" s="1734"/>
      <c r="O195" s="1733"/>
      <c r="P195" s="1734"/>
      <c r="Q195" s="1733"/>
      <c r="R195" s="2175"/>
      <c r="S195" s="148"/>
      <c r="T195" s="148"/>
      <c r="U195" s="148"/>
      <c r="V195" s="2176"/>
      <c r="W195" s="148"/>
      <c r="X195" s="148"/>
      <c r="Y195" s="148"/>
      <c r="Z195" s="148"/>
      <c r="AA195" s="148"/>
      <c r="AB195" s="148"/>
      <c r="AC195" s="148"/>
      <c r="AD195" s="148"/>
      <c r="AE195" s="148"/>
      <c r="AF195" s="148"/>
      <c r="AG195" s="148"/>
      <c r="AH195" s="148"/>
      <c r="AI195" s="148"/>
      <c r="AJ195" s="148"/>
      <c r="AK195" s="148"/>
      <c r="AL195" s="148"/>
      <c r="AM195" s="148"/>
      <c r="AN195" s="80"/>
      <c r="AO195" s="129"/>
      <c r="AP195" s="129"/>
      <c r="AQ195" s="129"/>
      <c r="AR195" s="129"/>
      <c r="AS195" s="328"/>
      <c r="AT195" s="328"/>
      <c r="AU195" s="329"/>
    </row>
    <row r="196" spans="1:49" ht="20.100000000000001" customHeight="1">
      <c r="B196" s="1762"/>
      <c r="C196" s="10058" t="s">
        <v>731</v>
      </c>
      <c r="D196" s="10058"/>
      <c r="E196" s="10058"/>
      <c r="F196" s="10058"/>
      <c r="G196" s="436" t="s">
        <v>732</v>
      </c>
      <c r="H196" s="528">
        <f>SUM(H197:H200)</f>
        <v>6507</v>
      </c>
      <c r="I196" s="1851"/>
      <c r="J196" s="528">
        <f>SUM(J197:J200)</f>
        <v>8712</v>
      </c>
      <c r="K196" s="540"/>
      <c r="L196" s="529"/>
      <c r="M196" s="528">
        <f>SUM(M197:M200)</f>
        <v>3601</v>
      </c>
      <c r="N196" s="1852"/>
      <c r="O196" s="528">
        <f>SUM(O197:O200)</f>
        <v>4502</v>
      </c>
      <c r="P196" s="1759"/>
      <c r="Q196" s="2365">
        <f>SUM(Q197:Q200)</f>
        <v>0</v>
      </c>
      <c r="R196" s="2234">
        <f>SUM(R197:R200)</f>
        <v>183</v>
      </c>
      <c r="S196" s="2524"/>
      <c r="T196" s="528">
        <f t="shared" ref="T196:V196" si="26">SUM(T197:T200)</f>
        <v>231</v>
      </c>
      <c r="U196" s="2365"/>
      <c r="V196" s="2249">
        <f t="shared" si="26"/>
        <v>249</v>
      </c>
      <c r="W196" s="2524">
        <f>SUM(W197:W200)</f>
        <v>183</v>
      </c>
      <c r="X196" s="540"/>
      <c r="Y196" s="528">
        <f>SUM(Y197:Y200)</f>
        <v>231</v>
      </c>
      <c r="Z196" s="297"/>
      <c r="AA196" s="528">
        <f t="shared" ref="AA196:AM196" si="27">SUM(AA197:AA200)</f>
        <v>249</v>
      </c>
      <c r="AB196" s="528">
        <f t="shared" si="27"/>
        <v>0</v>
      </c>
      <c r="AC196" s="528">
        <f t="shared" si="27"/>
        <v>0</v>
      </c>
      <c r="AD196" s="528">
        <f t="shared" si="27"/>
        <v>196</v>
      </c>
      <c r="AE196" s="528">
        <f t="shared" si="27"/>
        <v>0</v>
      </c>
      <c r="AF196" s="528">
        <f t="shared" si="27"/>
        <v>0</v>
      </c>
      <c r="AG196" s="528">
        <f t="shared" si="27"/>
        <v>27</v>
      </c>
      <c r="AH196" s="528">
        <f t="shared" si="27"/>
        <v>16</v>
      </c>
      <c r="AI196" s="528">
        <f t="shared" si="27"/>
        <v>22</v>
      </c>
      <c r="AJ196" s="528">
        <f t="shared" si="27"/>
        <v>26</v>
      </c>
      <c r="AK196" s="528">
        <f t="shared" si="27"/>
        <v>0</v>
      </c>
      <c r="AL196" s="528">
        <f t="shared" si="27"/>
        <v>0</v>
      </c>
      <c r="AM196" s="528">
        <f t="shared" si="27"/>
        <v>0</v>
      </c>
      <c r="AN196" s="533" t="s">
        <v>735</v>
      </c>
      <c r="AO196" s="642"/>
      <c r="AP196" s="534"/>
      <c r="AQ196" s="534"/>
      <c r="AR196" s="642"/>
      <c r="AS196" s="620" t="s">
        <v>739</v>
      </c>
      <c r="AT196" s="620" t="s">
        <v>740</v>
      </c>
      <c r="AU196" s="159" t="s">
        <v>741</v>
      </c>
    </row>
    <row r="197" spans="1:49" ht="20.100000000000001" customHeight="1">
      <c r="B197" s="1754"/>
      <c r="C197" s="10059" t="s">
        <v>1031</v>
      </c>
      <c r="D197" s="266" t="s">
        <v>743</v>
      </c>
      <c r="E197" s="266"/>
      <c r="F197" s="253"/>
      <c r="G197" s="136" t="s">
        <v>732</v>
      </c>
      <c r="H197" s="539">
        <v>3996</v>
      </c>
      <c r="I197" s="539"/>
      <c r="J197" s="539">
        <v>4650</v>
      </c>
      <c r="K197" s="540"/>
      <c r="L197" s="228"/>
      <c r="M197" s="540">
        <v>3031</v>
      </c>
      <c r="N197" s="1853" t="s">
        <v>746</v>
      </c>
      <c r="O197" s="540">
        <v>3629</v>
      </c>
      <c r="P197" s="1853" t="s">
        <v>746</v>
      </c>
      <c r="Q197" s="2350"/>
      <c r="R197" s="2186">
        <f>W197</f>
        <v>133</v>
      </c>
      <c r="S197" s="2111"/>
      <c r="T197" s="100">
        <f>Y197</f>
        <v>166</v>
      </c>
      <c r="U197" s="2349"/>
      <c r="V197" s="2187">
        <f>AA197</f>
        <v>183</v>
      </c>
      <c r="W197" s="2131">
        <v>133</v>
      </c>
      <c r="X197" s="540"/>
      <c r="Y197" s="612">
        <v>166</v>
      </c>
      <c r="Z197" s="539"/>
      <c r="AA197" s="100">
        <f t="shared" ref="AA197:AA207" si="28">AD197+AG197+AJ197+AM197</f>
        <v>183</v>
      </c>
      <c r="AB197" s="100"/>
      <c r="AC197" s="100"/>
      <c r="AD197" s="100">
        <v>183</v>
      </c>
      <c r="AE197" s="100"/>
      <c r="AF197" s="100"/>
      <c r="AG197" s="100">
        <v>0</v>
      </c>
      <c r="AH197" s="100">
        <v>0</v>
      </c>
      <c r="AI197" s="100">
        <v>0</v>
      </c>
      <c r="AJ197" s="100">
        <v>0</v>
      </c>
      <c r="AK197" s="100"/>
      <c r="AL197" s="100"/>
      <c r="AM197" s="100"/>
      <c r="AN197" s="276" t="s">
        <v>735</v>
      </c>
      <c r="AO197" s="99"/>
      <c r="AP197" s="547"/>
      <c r="AQ197" s="547"/>
      <c r="AR197" s="99"/>
      <c r="AS197" s="620" t="s">
        <v>739</v>
      </c>
      <c r="AT197" s="620" t="s">
        <v>740</v>
      </c>
      <c r="AU197" s="159"/>
    </row>
    <row r="198" spans="1:49" ht="20.100000000000001" customHeight="1">
      <c r="B198" s="1754"/>
      <c r="C198" s="10059"/>
      <c r="D198" s="10022" t="s">
        <v>752</v>
      </c>
      <c r="E198" s="10022"/>
      <c r="F198" s="10022"/>
      <c r="G198" s="136" t="s">
        <v>732</v>
      </c>
      <c r="H198" s="539">
        <v>2309</v>
      </c>
      <c r="I198" s="539"/>
      <c r="J198" s="539">
        <v>3809</v>
      </c>
      <c r="K198" s="540"/>
      <c r="L198" s="228"/>
      <c r="M198" s="540">
        <v>565</v>
      </c>
      <c r="N198" s="1853" t="s">
        <v>746</v>
      </c>
      <c r="O198" s="540">
        <v>865</v>
      </c>
      <c r="P198" s="1853" t="s">
        <v>746</v>
      </c>
      <c r="Q198" s="2350"/>
      <c r="R198" s="2186">
        <f t="shared" ref="R198:R207" si="29">W198</f>
        <v>8</v>
      </c>
      <c r="S198" s="2111"/>
      <c r="T198" s="100">
        <f t="shared" ref="T198:T207" si="30">Y198</f>
        <v>15</v>
      </c>
      <c r="U198" s="2349"/>
      <c r="V198" s="2187">
        <f t="shared" ref="V198:V207" si="31">AA198</f>
        <v>12</v>
      </c>
      <c r="W198" s="2131">
        <v>8</v>
      </c>
      <c r="X198" s="540"/>
      <c r="Y198" s="612">
        <v>15</v>
      </c>
      <c r="Z198" s="540"/>
      <c r="AA198" s="100">
        <f t="shared" si="28"/>
        <v>12</v>
      </c>
      <c r="AB198" s="100"/>
      <c r="AC198" s="100"/>
      <c r="AD198" s="100">
        <v>12</v>
      </c>
      <c r="AE198" s="100"/>
      <c r="AF198" s="100"/>
      <c r="AG198" s="100">
        <v>0</v>
      </c>
      <c r="AH198" s="100">
        <v>0</v>
      </c>
      <c r="AI198" s="100">
        <v>0</v>
      </c>
      <c r="AJ198" s="100">
        <v>0</v>
      </c>
      <c r="AK198" s="100"/>
      <c r="AL198" s="100"/>
      <c r="AM198" s="100"/>
      <c r="AN198" s="276" t="s">
        <v>735</v>
      </c>
      <c r="AO198" s="99"/>
      <c r="AP198" s="547"/>
      <c r="AQ198" s="547"/>
      <c r="AR198" s="99"/>
      <c r="AS198" s="620" t="s">
        <v>739</v>
      </c>
      <c r="AT198" s="620" t="s">
        <v>740</v>
      </c>
      <c r="AU198" s="159"/>
    </row>
    <row r="199" spans="1:49" ht="20.100000000000001" customHeight="1">
      <c r="B199" s="1754"/>
      <c r="C199" s="10059"/>
      <c r="D199" s="266" t="s">
        <v>756</v>
      </c>
      <c r="E199" s="266"/>
      <c r="F199" s="253"/>
      <c r="G199" s="281" t="s">
        <v>732</v>
      </c>
      <c r="H199" s="539">
        <v>19</v>
      </c>
      <c r="I199" s="1854" t="s">
        <v>1800</v>
      </c>
      <c r="J199" s="539">
        <v>22</v>
      </c>
      <c r="K199" s="1854" t="s">
        <v>1800</v>
      </c>
      <c r="L199" s="228"/>
      <c r="M199" s="540">
        <v>5</v>
      </c>
      <c r="N199" s="1853" t="s">
        <v>759</v>
      </c>
      <c r="O199" s="540">
        <v>8</v>
      </c>
      <c r="P199" s="1854" t="s">
        <v>759</v>
      </c>
      <c r="Q199" s="2350"/>
      <c r="R199" s="2186">
        <f t="shared" si="29"/>
        <v>1</v>
      </c>
      <c r="S199" s="2111"/>
      <c r="T199" s="100">
        <f t="shared" si="30"/>
        <v>1</v>
      </c>
      <c r="U199" s="2349"/>
      <c r="V199" s="2187">
        <f t="shared" si="31"/>
        <v>1</v>
      </c>
      <c r="W199" s="2131">
        <v>1</v>
      </c>
      <c r="X199" s="539"/>
      <c r="Y199" s="612">
        <v>1</v>
      </c>
      <c r="Z199" s="539"/>
      <c r="AA199" s="100">
        <f t="shared" si="28"/>
        <v>1</v>
      </c>
      <c r="AB199" s="100"/>
      <c r="AC199" s="100"/>
      <c r="AD199" s="100">
        <v>1</v>
      </c>
      <c r="AE199" s="100"/>
      <c r="AF199" s="100"/>
      <c r="AG199" s="100">
        <v>0</v>
      </c>
      <c r="AH199" s="100">
        <v>0</v>
      </c>
      <c r="AI199" s="100">
        <v>0</v>
      </c>
      <c r="AJ199" s="100">
        <v>0</v>
      </c>
      <c r="AK199" s="100"/>
      <c r="AL199" s="100"/>
      <c r="AM199" s="100"/>
      <c r="AN199" s="276" t="s">
        <v>735</v>
      </c>
      <c r="AO199" s="99"/>
      <c r="AP199" s="547"/>
      <c r="AQ199" s="547"/>
      <c r="AR199" s="99"/>
      <c r="AS199" s="620" t="s">
        <v>739</v>
      </c>
      <c r="AT199" s="620" t="s">
        <v>740</v>
      </c>
      <c r="AU199" s="159"/>
    </row>
    <row r="200" spans="1:49" ht="20.100000000000001" customHeight="1">
      <c r="B200" s="1754"/>
      <c r="C200" s="10059"/>
      <c r="D200" s="10022" t="s">
        <v>764</v>
      </c>
      <c r="E200" s="10022"/>
      <c r="F200" s="10022"/>
      <c r="G200" s="281" t="s">
        <v>742</v>
      </c>
      <c r="H200" s="539">
        <v>183</v>
      </c>
      <c r="I200" s="539"/>
      <c r="J200" s="539">
        <v>231</v>
      </c>
      <c r="K200" s="539"/>
      <c r="L200" s="228"/>
      <c r="M200" s="541"/>
      <c r="N200" s="1853"/>
      <c r="O200" s="541"/>
      <c r="P200" s="1854"/>
      <c r="Q200" s="2350"/>
      <c r="R200" s="2186">
        <f t="shared" si="29"/>
        <v>41</v>
      </c>
      <c r="S200" s="2111"/>
      <c r="T200" s="100">
        <f t="shared" si="30"/>
        <v>49</v>
      </c>
      <c r="U200" s="2349"/>
      <c r="V200" s="2187">
        <f t="shared" si="31"/>
        <v>53</v>
      </c>
      <c r="W200" s="5314">
        <v>41</v>
      </c>
      <c r="X200" s="539"/>
      <c r="Y200" s="653">
        <v>49</v>
      </c>
      <c r="Z200" s="539"/>
      <c r="AA200" s="100">
        <f t="shared" si="28"/>
        <v>53</v>
      </c>
      <c r="AB200" s="100"/>
      <c r="AC200" s="100"/>
      <c r="AD200" s="100">
        <v>0</v>
      </c>
      <c r="AE200" s="100"/>
      <c r="AF200" s="100"/>
      <c r="AG200" s="100">
        <v>27</v>
      </c>
      <c r="AH200" s="100">
        <v>16</v>
      </c>
      <c r="AI200" s="100">
        <v>22</v>
      </c>
      <c r="AJ200" s="100">
        <v>26</v>
      </c>
      <c r="AK200" s="100"/>
      <c r="AL200" s="100"/>
      <c r="AM200" s="100"/>
      <c r="AN200" s="276" t="s">
        <v>735</v>
      </c>
      <c r="AO200" s="99"/>
      <c r="AP200" s="547"/>
      <c r="AQ200" s="547"/>
      <c r="AR200" s="99"/>
      <c r="AS200" s="620" t="s">
        <v>739</v>
      </c>
      <c r="AT200" s="620" t="s">
        <v>740</v>
      </c>
      <c r="AU200" s="159"/>
    </row>
    <row r="201" spans="1:49" ht="20.100000000000001" customHeight="1">
      <c r="B201" s="1754"/>
      <c r="C201" s="10052" t="s">
        <v>2115</v>
      </c>
      <c r="D201" s="10052"/>
      <c r="E201" s="10052"/>
      <c r="F201" s="266" t="s">
        <v>771</v>
      </c>
      <c r="G201" s="109" t="s">
        <v>732</v>
      </c>
      <c r="H201" s="92">
        <v>3996</v>
      </c>
      <c r="I201" s="92"/>
      <c r="J201" s="92">
        <v>4650</v>
      </c>
      <c r="K201" s="92"/>
      <c r="L201" s="228"/>
      <c r="M201" s="297">
        <v>3031</v>
      </c>
      <c r="N201" s="1842" t="s">
        <v>746</v>
      </c>
      <c r="O201" s="297">
        <v>3629</v>
      </c>
      <c r="P201" s="151" t="s">
        <v>746</v>
      </c>
      <c r="Q201" s="2350"/>
      <c r="R201" s="2186">
        <f t="shared" si="29"/>
        <v>174</v>
      </c>
      <c r="S201" s="2111"/>
      <c r="T201" s="100">
        <f t="shared" si="30"/>
        <v>215</v>
      </c>
      <c r="U201" s="2349"/>
      <c r="V201" s="2187">
        <f t="shared" si="31"/>
        <v>236</v>
      </c>
      <c r="W201" s="2131">
        <v>174</v>
      </c>
      <c r="X201" s="92"/>
      <c r="Y201" s="612">
        <v>215</v>
      </c>
      <c r="Z201" s="92"/>
      <c r="AA201" s="100">
        <f t="shared" si="28"/>
        <v>236</v>
      </c>
      <c r="AB201" s="100"/>
      <c r="AC201" s="100"/>
      <c r="AD201" s="100">
        <v>183</v>
      </c>
      <c r="AE201" s="100"/>
      <c r="AF201" s="100"/>
      <c r="AG201" s="100">
        <v>27</v>
      </c>
      <c r="AH201" s="100">
        <v>16</v>
      </c>
      <c r="AI201" s="100">
        <v>22</v>
      </c>
      <c r="AJ201" s="100">
        <v>26</v>
      </c>
      <c r="AK201" s="100"/>
      <c r="AL201" s="100"/>
      <c r="AM201" s="100"/>
      <c r="AN201" s="276" t="s">
        <v>773</v>
      </c>
      <c r="AO201" s="99"/>
      <c r="AP201" s="547"/>
      <c r="AQ201" s="547"/>
      <c r="AR201" s="99"/>
      <c r="AS201" s="620" t="s">
        <v>770</v>
      </c>
      <c r="AT201" s="620" t="s">
        <v>740</v>
      </c>
      <c r="AU201" s="159"/>
    </row>
    <row r="202" spans="1:49" ht="20.100000000000001" customHeight="1">
      <c r="B202" s="1754"/>
      <c r="C202" s="10052"/>
      <c r="D202" s="10052"/>
      <c r="E202" s="10052"/>
      <c r="F202" s="266" t="s">
        <v>777</v>
      </c>
      <c r="G202" s="109" t="s">
        <v>732</v>
      </c>
      <c r="H202" s="92">
        <v>2328</v>
      </c>
      <c r="I202" s="92"/>
      <c r="J202" s="92">
        <v>3831</v>
      </c>
      <c r="K202" s="92"/>
      <c r="L202" s="228"/>
      <c r="M202" s="297">
        <v>570</v>
      </c>
      <c r="N202" s="1842" t="s">
        <v>746</v>
      </c>
      <c r="O202" s="297">
        <v>873</v>
      </c>
      <c r="P202" s="151" t="s">
        <v>746</v>
      </c>
      <c r="Q202" s="2350"/>
      <c r="R202" s="2186">
        <f t="shared" si="29"/>
        <v>9</v>
      </c>
      <c r="S202" s="2111"/>
      <c r="T202" s="100">
        <f t="shared" si="30"/>
        <v>16</v>
      </c>
      <c r="U202" s="2349"/>
      <c r="V202" s="2187">
        <f t="shared" si="31"/>
        <v>12</v>
      </c>
      <c r="W202" s="2131">
        <v>9</v>
      </c>
      <c r="X202" s="92"/>
      <c r="Y202" s="612">
        <v>16</v>
      </c>
      <c r="Z202" s="92"/>
      <c r="AA202" s="100">
        <f t="shared" si="28"/>
        <v>12</v>
      </c>
      <c r="AB202" s="100"/>
      <c r="AC202" s="100"/>
      <c r="AD202" s="100">
        <v>12</v>
      </c>
      <c r="AE202" s="100"/>
      <c r="AF202" s="100"/>
      <c r="AG202" s="100">
        <v>0</v>
      </c>
      <c r="AH202" s="100">
        <v>0</v>
      </c>
      <c r="AI202" s="100">
        <v>0</v>
      </c>
      <c r="AJ202" s="100">
        <v>0</v>
      </c>
      <c r="AK202" s="100"/>
      <c r="AL202" s="100"/>
      <c r="AM202" s="100"/>
      <c r="AN202" s="276" t="s">
        <v>773</v>
      </c>
      <c r="AO202" s="99"/>
      <c r="AP202" s="547"/>
      <c r="AQ202" s="547"/>
      <c r="AR202" s="99"/>
      <c r="AS202" s="620" t="s">
        <v>770</v>
      </c>
      <c r="AT202" s="620" t="s">
        <v>740</v>
      </c>
      <c r="AU202" s="159"/>
    </row>
    <row r="203" spans="1:49" ht="20.100000000000001" customHeight="1">
      <c r="B203" s="1754"/>
      <c r="C203" s="10052"/>
      <c r="D203" s="10052"/>
      <c r="E203" s="10052"/>
      <c r="F203" s="266" t="s">
        <v>781</v>
      </c>
      <c r="G203" s="109" t="s">
        <v>732</v>
      </c>
      <c r="H203" s="92">
        <v>3317</v>
      </c>
      <c r="I203" s="92"/>
      <c r="J203" s="92">
        <v>3207</v>
      </c>
      <c r="K203" s="92"/>
      <c r="L203" s="228"/>
      <c r="M203" s="297">
        <v>1135</v>
      </c>
      <c r="N203" s="1842" t="s">
        <v>747</v>
      </c>
      <c r="O203" s="297">
        <v>1097</v>
      </c>
      <c r="P203" s="151" t="s">
        <v>747</v>
      </c>
      <c r="Q203" s="2350"/>
      <c r="R203" s="2186">
        <f t="shared" si="29"/>
        <v>183</v>
      </c>
      <c r="S203" s="2111"/>
      <c r="T203" s="100">
        <f t="shared" si="30"/>
        <v>231</v>
      </c>
      <c r="U203" s="2349"/>
      <c r="V203" s="2187">
        <f t="shared" si="31"/>
        <v>196</v>
      </c>
      <c r="W203" s="2131">
        <v>183</v>
      </c>
      <c r="X203" s="92"/>
      <c r="Y203" s="612">
        <v>231</v>
      </c>
      <c r="Z203" s="92"/>
      <c r="AA203" s="100">
        <f t="shared" si="28"/>
        <v>196</v>
      </c>
      <c r="AB203" s="100"/>
      <c r="AC203" s="100"/>
      <c r="AD203" s="100">
        <v>196</v>
      </c>
      <c r="AE203" s="100"/>
      <c r="AF203" s="100"/>
      <c r="AG203" s="100">
        <v>0</v>
      </c>
      <c r="AH203" s="100">
        <v>0</v>
      </c>
      <c r="AI203" s="100">
        <v>0</v>
      </c>
      <c r="AJ203" s="100">
        <v>0</v>
      </c>
      <c r="AK203" s="100"/>
      <c r="AL203" s="100"/>
      <c r="AM203" s="100"/>
      <c r="AN203" s="276" t="s">
        <v>773</v>
      </c>
      <c r="AO203" s="99"/>
      <c r="AP203" s="547"/>
      <c r="AQ203" s="547"/>
      <c r="AR203" s="99"/>
      <c r="AS203" s="620" t="s">
        <v>770</v>
      </c>
      <c r="AT203" s="620" t="s">
        <v>740</v>
      </c>
      <c r="AU203" s="159"/>
    </row>
    <row r="204" spans="1:49" ht="20.100000000000001" customHeight="1">
      <c r="B204" s="1754"/>
      <c r="C204" s="10052"/>
      <c r="D204" s="10052"/>
      <c r="E204" s="10052"/>
      <c r="F204" s="253" t="s">
        <v>784</v>
      </c>
      <c r="G204" s="109" t="s">
        <v>732</v>
      </c>
      <c r="H204" s="92">
        <v>3007</v>
      </c>
      <c r="I204" s="92"/>
      <c r="J204" s="92">
        <v>5274</v>
      </c>
      <c r="K204" s="92"/>
      <c r="L204" s="228"/>
      <c r="M204" s="297">
        <v>2466</v>
      </c>
      <c r="N204" s="1842" t="s">
        <v>786</v>
      </c>
      <c r="O204" s="297">
        <v>3405</v>
      </c>
      <c r="P204" s="151" t="s">
        <v>786</v>
      </c>
      <c r="Q204" s="2350"/>
      <c r="R204" s="2186">
        <f t="shared" si="29"/>
        <v>0</v>
      </c>
      <c r="S204" s="2111"/>
      <c r="T204" s="100">
        <f t="shared" si="30"/>
        <v>0</v>
      </c>
      <c r="U204" s="2349"/>
      <c r="V204" s="2187">
        <f t="shared" si="31"/>
        <v>0</v>
      </c>
      <c r="W204" s="2131">
        <v>0</v>
      </c>
      <c r="X204" s="92"/>
      <c r="Y204" s="612">
        <v>0</v>
      </c>
      <c r="Z204" s="92"/>
      <c r="AA204" s="100">
        <f t="shared" si="28"/>
        <v>0</v>
      </c>
      <c r="AB204" s="100"/>
      <c r="AC204" s="100"/>
      <c r="AD204" s="100">
        <v>0</v>
      </c>
      <c r="AE204" s="100"/>
      <c r="AF204" s="100"/>
      <c r="AG204" s="100">
        <v>0</v>
      </c>
      <c r="AH204" s="100">
        <v>0</v>
      </c>
      <c r="AI204" s="100">
        <v>0</v>
      </c>
      <c r="AJ204" s="100">
        <v>0</v>
      </c>
      <c r="AK204" s="100"/>
      <c r="AL204" s="100"/>
      <c r="AM204" s="100"/>
      <c r="AN204" s="276" t="s">
        <v>773</v>
      </c>
      <c r="AO204" s="99"/>
      <c r="AP204" s="547"/>
      <c r="AQ204" s="547"/>
      <c r="AR204" s="99"/>
      <c r="AS204" s="620" t="s">
        <v>770</v>
      </c>
      <c r="AT204" s="620" t="s">
        <v>740</v>
      </c>
      <c r="AU204" s="159"/>
    </row>
    <row r="205" spans="1:49" ht="20.100000000000001" customHeight="1">
      <c r="B205" s="1754"/>
      <c r="C205" s="10052"/>
      <c r="D205" s="10052"/>
      <c r="E205" s="10052"/>
      <c r="F205" s="253" t="s">
        <v>788</v>
      </c>
      <c r="G205" s="109" t="s">
        <v>732</v>
      </c>
      <c r="H205" s="92">
        <v>0</v>
      </c>
      <c r="I205" s="92"/>
      <c r="J205" s="92">
        <v>0</v>
      </c>
      <c r="K205" s="92"/>
      <c r="L205" s="228"/>
      <c r="M205" s="308"/>
      <c r="N205" s="1842"/>
      <c r="O205" s="308"/>
      <c r="P205" s="151"/>
      <c r="Q205" s="2350"/>
      <c r="R205" s="2186">
        <f t="shared" si="29"/>
        <v>0</v>
      </c>
      <c r="S205" s="2111"/>
      <c r="T205" s="100">
        <f t="shared" si="30"/>
        <v>0</v>
      </c>
      <c r="U205" s="2349"/>
      <c r="V205" s="2187">
        <f t="shared" si="31"/>
        <v>0</v>
      </c>
      <c r="W205" s="2131">
        <v>0</v>
      </c>
      <c r="X205" s="92"/>
      <c r="Y205" s="612">
        <v>0</v>
      </c>
      <c r="Z205" s="92"/>
      <c r="AA205" s="100">
        <f t="shared" si="28"/>
        <v>0</v>
      </c>
      <c r="AB205" s="100"/>
      <c r="AC205" s="100"/>
      <c r="AD205" s="100">
        <v>0</v>
      </c>
      <c r="AE205" s="100"/>
      <c r="AF205" s="100"/>
      <c r="AG205" s="100">
        <v>0</v>
      </c>
      <c r="AH205" s="100">
        <v>0</v>
      </c>
      <c r="AI205" s="100">
        <v>0</v>
      </c>
      <c r="AJ205" s="100">
        <v>0</v>
      </c>
      <c r="AK205" s="100"/>
      <c r="AL205" s="100"/>
      <c r="AM205" s="100"/>
      <c r="AN205" s="276" t="s">
        <v>790</v>
      </c>
      <c r="AO205" s="99"/>
      <c r="AP205" s="547"/>
      <c r="AQ205" s="547"/>
      <c r="AR205" s="99"/>
      <c r="AS205" s="620" t="s">
        <v>770</v>
      </c>
      <c r="AT205" s="620" t="s">
        <v>740</v>
      </c>
      <c r="AU205" s="159"/>
    </row>
    <row r="206" spans="1:49" ht="20.100000000000001" customHeight="1">
      <c r="B206" s="1754"/>
      <c r="C206" s="10052" t="s">
        <v>2116</v>
      </c>
      <c r="D206" s="10052"/>
      <c r="E206" s="10052"/>
      <c r="F206" s="266" t="s">
        <v>796</v>
      </c>
      <c r="G206" s="109" t="s">
        <v>732</v>
      </c>
      <c r="H206" s="92">
        <v>3214</v>
      </c>
      <c r="I206" s="92"/>
      <c r="J206" s="92">
        <v>4206</v>
      </c>
      <c r="K206" s="92"/>
      <c r="L206" s="228"/>
      <c r="M206" s="297">
        <v>1678</v>
      </c>
      <c r="N206" s="1842" t="s">
        <v>746</v>
      </c>
      <c r="O206" s="297">
        <v>2124</v>
      </c>
      <c r="P206" s="151" t="s">
        <v>746</v>
      </c>
      <c r="Q206" s="2350"/>
      <c r="R206" s="2186">
        <f t="shared" si="29"/>
        <v>134</v>
      </c>
      <c r="S206" s="2111"/>
      <c r="T206" s="100">
        <f t="shared" si="30"/>
        <v>154</v>
      </c>
      <c r="U206" s="2349"/>
      <c r="V206" s="2187">
        <f t="shared" si="31"/>
        <v>147</v>
      </c>
      <c r="W206" s="2131">
        <v>134</v>
      </c>
      <c r="X206" s="92"/>
      <c r="Y206" s="612">
        <v>154</v>
      </c>
      <c r="Z206" s="92"/>
      <c r="AA206" s="100">
        <f t="shared" si="28"/>
        <v>147</v>
      </c>
      <c r="AB206" s="100"/>
      <c r="AC206" s="100"/>
      <c r="AD206" s="100">
        <v>115</v>
      </c>
      <c r="AE206" s="100"/>
      <c r="AF206" s="100"/>
      <c r="AG206" s="100">
        <v>14</v>
      </c>
      <c r="AH206" s="100">
        <v>12</v>
      </c>
      <c r="AI206" s="100">
        <v>16</v>
      </c>
      <c r="AJ206" s="100">
        <v>18</v>
      </c>
      <c r="AK206" s="100"/>
      <c r="AL206" s="100"/>
      <c r="AM206" s="100"/>
      <c r="AN206" s="276" t="s">
        <v>798</v>
      </c>
      <c r="AO206" s="99"/>
      <c r="AP206" s="547"/>
      <c r="AQ206" s="547"/>
      <c r="AR206" s="99"/>
      <c r="AS206" s="620" t="s">
        <v>793</v>
      </c>
      <c r="AT206" s="664" t="s">
        <v>794</v>
      </c>
      <c r="AU206" s="159" t="s">
        <v>795</v>
      </c>
    </row>
    <row r="207" spans="1:49" ht="19.899999999999999" customHeight="1">
      <c r="B207" s="1754"/>
      <c r="C207" s="10052"/>
      <c r="D207" s="10052"/>
      <c r="E207" s="10052"/>
      <c r="F207" s="253" t="s">
        <v>802</v>
      </c>
      <c r="G207" s="109" t="s">
        <v>732</v>
      </c>
      <c r="H207" s="92">
        <v>3110</v>
      </c>
      <c r="I207" s="92"/>
      <c r="J207" s="92">
        <v>4275</v>
      </c>
      <c r="K207" s="92"/>
      <c r="L207" s="228"/>
      <c r="M207" s="297">
        <v>1923</v>
      </c>
      <c r="N207" s="1842" t="s">
        <v>746</v>
      </c>
      <c r="O207" s="297">
        <v>2378</v>
      </c>
      <c r="P207" s="151" t="s">
        <v>746</v>
      </c>
      <c r="Q207" s="2350"/>
      <c r="R207" s="2186">
        <f t="shared" si="29"/>
        <v>49</v>
      </c>
      <c r="S207" s="2111"/>
      <c r="T207" s="100">
        <f t="shared" si="30"/>
        <v>77</v>
      </c>
      <c r="U207" s="2349"/>
      <c r="V207" s="2187">
        <f t="shared" si="31"/>
        <v>102</v>
      </c>
      <c r="W207" s="2131">
        <v>49</v>
      </c>
      <c r="X207" s="92"/>
      <c r="Y207" s="612">
        <v>77</v>
      </c>
      <c r="Z207" s="92"/>
      <c r="AA207" s="100">
        <f t="shared" si="28"/>
        <v>102</v>
      </c>
      <c r="AB207" s="100"/>
      <c r="AC207" s="100"/>
      <c r="AD207" s="100">
        <v>81</v>
      </c>
      <c r="AE207" s="100"/>
      <c r="AF207" s="100"/>
      <c r="AG207" s="100">
        <v>13</v>
      </c>
      <c r="AH207" s="100">
        <v>4</v>
      </c>
      <c r="AI207" s="100">
        <v>6</v>
      </c>
      <c r="AJ207" s="100">
        <v>8</v>
      </c>
      <c r="AK207" s="100"/>
      <c r="AL207" s="100"/>
      <c r="AM207" s="100"/>
      <c r="AN207" s="276" t="s">
        <v>798</v>
      </c>
      <c r="AO207" s="99"/>
      <c r="AP207" s="547"/>
      <c r="AQ207" s="547"/>
      <c r="AR207" s="99"/>
      <c r="AS207" s="620" t="s">
        <v>793</v>
      </c>
      <c r="AT207" s="620" t="s">
        <v>740</v>
      </c>
      <c r="AU207" s="159" t="s">
        <v>795</v>
      </c>
    </row>
    <row r="208" spans="1:49" ht="20.100000000000001" customHeight="1">
      <c r="A208"/>
      <c r="B208" s="1855"/>
      <c r="C208" s="10055" t="s">
        <v>2117</v>
      </c>
      <c r="D208" s="10055"/>
      <c r="E208" s="10055"/>
      <c r="F208" s="1197" t="s">
        <v>796</v>
      </c>
      <c r="G208" s="665" t="s">
        <v>156</v>
      </c>
      <c r="H208" s="228"/>
      <c r="I208" s="92"/>
      <c r="J208" s="228"/>
      <c r="K208" s="92"/>
      <c r="L208" s="228"/>
      <c r="M208" s="308"/>
      <c r="N208" s="1819"/>
      <c r="O208" s="308"/>
      <c r="P208" s="294"/>
      <c r="Q208" s="2350"/>
      <c r="R208" s="2253"/>
      <c r="S208" s="2526"/>
      <c r="T208" s="100"/>
      <c r="U208" s="2349"/>
      <c r="V208" s="2187"/>
      <c r="W208" s="2526"/>
      <c r="X208" s="678"/>
      <c r="Y208" s="677"/>
      <c r="Z208" s="678"/>
      <c r="AA208" s="100"/>
      <c r="AB208" s="100"/>
      <c r="AC208" s="100"/>
      <c r="AD208" s="100">
        <v>100</v>
      </c>
      <c r="AE208" s="100"/>
      <c r="AF208" s="100"/>
      <c r="AG208" s="100">
        <v>1</v>
      </c>
      <c r="AH208" s="100">
        <v>100</v>
      </c>
      <c r="AI208" s="100">
        <v>100</v>
      </c>
      <c r="AJ208" s="100">
        <v>100</v>
      </c>
      <c r="AK208" s="100"/>
      <c r="AL208" s="100"/>
      <c r="AM208" s="100"/>
      <c r="AN208" s="1856"/>
      <c r="AO208" s="665"/>
      <c r="AP208" s="681"/>
      <c r="AQ208" s="681"/>
      <c r="AR208" s="665"/>
      <c r="AS208" s="1243"/>
      <c r="AT208" s="672" t="s">
        <v>807</v>
      </c>
      <c r="AU208" s="673" t="s">
        <v>795</v>
      </c>
      <c r="AW208"/>
    </row>
    <row r="209" spans="1:49" ht="20.100000000000001" customHeight="1">
      <c r="A209"/>
      <c r="B209" s="1855"/>
      <c r="C209" s="10055"/>
      <c r="D209" s="10055"/>
      <c r="E209" s="10055"/>
      <c r="F209" s="1197" t="s">
        <v>802</v>
      </c>
      <c r="G209" s="665" t="s">
        <v>156</v>
      </c>
      <c r="H209" s="228"/>
      <c r="I209" s="92"/>
      <c r="J209" s="228"/>
      <c r="K209" s="92"/>
      <c r="L209" s="228"/>
      <c r="M209" s="308"/>
      <c r="N209" s="1819"/>
      <c r="O209" s="308"/>
      <c r="P209" s="294"/>
      <c r="Q209" s="2350"/>
      <c r="R209" s="2253"/>
      <c r="S209" s="2526"/>
      <c r="T209" s="100"/>
      <c r="U209" s="2349"/>
      <c r="V209" s="2187"/>
      <c r="W209" s="2526"/>
      <c r="X209" s="678"/>
      <c r="Y209" s="677"/>
      <c r="Z209" s="678"/>
      <c r="AA209" s="100"/>
      <c r="AB209" s="100"/>
      <c r="AC209" s="100"/>
      <c r="AD209" s="100">
        <v>0</v>
      </c>
      <c r="AE209" s="100"/>
      <c r="AF209" s="100"/>
      <c r="AG209" s="100">
        <v>0</v>
      </c>
      <c r="AH209" s="100">
        <v>0</v>
      </c>
      <c r="AI209" s="100">
        <v>0</v>
      </c>
      <c r="AJ209" s="100">
        <v>0</v>
      </c>
      <c r="AK209" s="100"/>
      <c r="AL209" s="100"/>
      <c r="AM209" s="100"/>
      <c r="AN209" s="1856"/>
      <c r="AO209" s="665"/>
      <c r="AP209" s="681"/>
      <c r="AQ209" s="681"/>
      <c r="AR209" s="665"/>
      <c r="AS209" s="1243"/>
      <c r="AT209" s="672" t="s">
        <v>807</v>
      </c>
      <c r="AU209" s="673" t="s">
        <v>795</v>
      </c>
      <c r="AW209"/>
    </row>
    <row r="210" spans="1:49" ht="20.100000000000001" customHeight="1">
      <c r="B210" s="1754"/>
      <c r="C210" s="10056" t="s">
        <v>814</v>
      </c>
      <c r="D210" s="10056"/>
      <c r="E210" s="10056"/>
      <c r="F210" s="253" t="s">
        <v>796</v>
      </c>
      <c r="G210" s="109" t="s">
        <v>156</v>
      </c>
      <c r="H210" s="228"/>
      <c r="I210" s="92"/>
      <c r="J210" s="228"/>
      <c r="K210" s="92"/>
      <c r="L210" s="228"/>
      <c r="M210" s="308"/>
      <c r="N210" s="1819"/>
      <c r="O210" s="308"/>
      <c r="P210" s="294"/>
      <c r="Q210" s="2350"/>
      <c r="R210" s="2253"/>
      <c r="S210" s="2526"/>
      <c r="T210" s="100"/>
      <c r="U210" s="2349"/>
      <c r="V210" s="2187"/>
      <c r="W210" s="2526"/>
      <c r="X210" s="293"/>
      <c r="Y210" s="677"/>
      <c r="Z210" s="293"/>
      <c r="AA210" s="100"/>
      <c r="AB210" s="100"/>
      <c r="AC210" s="100"/>
      <c r="AD210" s="100"/>
      <c r="AE210" s="100"/>
      <c r="AF210" s="100"/>
      <c r="AG210" s="100"/>
      <c r="AH210" s="100">
        <v>75</v>
      </c>
      <c r="AI210" s="100">
        <v>72.7273</v>
      </c>
      <c r="AJ210" s="100">
        <v>69.230800000000002</v>
      </c>
      <c r="AK210" s="100"/>
      <c r="AL210" s="100"/>
      <c r="AM210" s="100"/>
      <c r="AN210" s="276"/>
      <c r="AO210" s="109"/>
      <c r="AP210" s="547"/>
      <c r="AQ210" s="547"/>
      <c r="AR210" s="109"/>
      <c r="AS210" s="277"/>
      <c r="AT210" s="265" t="s">
        <v>807</v>
      </c>
      <c r="AU210" s="159" t="s">
        <v>795</v>
      </c>
    </row>
    <row r="211" spans="1:49" ht="20.100000000000001" customHeight="1">
      <c r="B211" s="1754"/>
      <c r="C211" s="10056"/>
      <c r="D211" s="10056"/>
      <c r="E211" s="10056"/>
      <c r="F211" s="253" t="s">
        <v>802</v>
      </c>
      <c r="G211" s="109" t="s">
        <v>156</v>
      </c>
      <c r="H211" s="228"/>
      <c r="I211" s="92"/>
      <c r="J211" s="228"/>
      <c r="K211" s="92"/>
      <c r="L211" s="228"/>
      <c r="M211" s="308"/>
      <c r="N211" s="1819"/>
      <c r="O211" s="308"/>
      <c r="P211" s="294"/>
      <c r="Q211" s="2350"/>
      <c r="R211" s="2253"/>
      <c r="S211" s="2526"/>
      <c r="T211" s="100"/>
      <c r="U211" s="2349"/>
      <c r="V211" s="2187"/>
      <c r="W211" s="2526"/>
      <c r="X211" s="293"/>
      <c r="Y211" s="677"/>
      <c r="Z211" s="293"/>
      <c r="AA211" s="100"/>
      <c r="AB211" s="100"/>
      <c r="AC211" s="100"/>
      <c r="AD211" s="100"/>
      <c r="AE211" s="100"/>
      <c r="AF211" s="100"/>
      <c r="AG211" s="100"/>
      <c r="AH211" s="100">
        <v>25</v>
      </c>
      <c r="AI211" s="100">
        <v>27.2727</v>
      </c>
      <c r="AJ211" s="100">
        <v>30.769200000000001</v>
      </c>
      <c r="AK211" s="100"/>
      <c r="AL211" s="100"/>
      <c r="AM211" s="100"/>
      <c r="AN211" s="276"/>
      <c r="AO211" s="109"/>
      <c r="AP211" s="547"/>
      <c r="AQ211" s="547"/>
      <c r="AR211" s="109"/>
      <c r="AS211" s="277"/>
      <c r="AT211" s="265" t="s">
        <v>807</v>
      </c>
      <c r="AU211" s="159" t="s">
        <v>795</v>
      </c>
    </row>
    <row r="212" spans="1:49" ht="20.100000000000001" customHeight="1">
      <c r="B212" s="1754"/>
      <c r="C212" s="10053" t="s">
        <v>820</v>
      </c>
      <c r="D212" s="10053"/>
      <c r="E212" s="10053"/>
      <c r="F212" s="253" t="s">
        <v>1833</v>
      </c>
      <c r="G212" s="109" t="s">
        <v>732</v>
      </c>
      <c r="H212" s="92">
        <v>3665</v>
      </c>
      <c r="I212" s="92"/>
      <c r="J212" s="92">
        <v>5878</v>
      </c>
      <c r="K212" s="92"/>
      <c r="L212" s="228"/>
      <c r="M212" s="297">
        <v>2437</v>
      </c>
      <c r="N212" s="1842" t="s">
        <v>746</v>
      </c>
      <c r="O212" s="297">
        <v>3385</v>
      </c>
      <c r="P212" s="151" t="s">
        <v>746</v>
      </c>
      <c r="Q212" s="2350"/>
      <c r="R212" s="2186">
        <f t="shared" ref="R212:R214" si="32">W212</f>
        <v>29</v>
      </c>
      <c r="S212" s="2111"/>
      <c r="T212" s="100">
        <f t="shared" ref="T212:T214" si="33">Y212</f>
        <v>50</v>
      </c>
      <c r="U212" s="2349"/>
      <c r="V212" s="2187">
        <f t="shared" ref="V212:V214" si="34">AA212</f>
        <v>64</v>
      </c>
      <c r="W212" s="2131">
        <v>29</v>
      </c>
      <c r="X212" s="92"/>
      <c r="Y212" s="612">
        <v>50</v>
      </c>
      <c r="Z212" s="92"/>
      <c r="AA212" s="100">
        <f t="shared" ref="AA212:AA219" si="35">AD212+AG212+AJ212+AM212</f>
        <v>64</v>
      </c>
      <c r="AB212" s="100"/>
      <c r="AC212" s="100"/>
      <c r="AD212" s="100">
        <v>53</v>
      </c>
      <c r="AE212" s="100"/>
      <c r="AF212" s="100"/>
      <c r="AG212" s="100">
        <v>3</v>
      </c>
      <c r="AH212" s="100">
        <v>2</v>
      </c>
      <c r="AI212" s="100">
        <v>5</v>
      </c>
      <c r="AJ212" s="100">
        <v>8</v>
      </c>
      <c r="AK212" s="100"/>
      <c r="AL212" s="100"/>
      <c r="AM212" s="100"/>
      <c r="AN212" s="276" t="s">
        <v>825</v>
      </c>
      <c r="AO212" s="99"/>
      <c r="AP212" s="696"/>
      <c r="AQ212" s="547"/>
      <c r="AR212" s="1857"/>
      <c r="AS212" s="620" t="s">
        <v>822</v>
      </c>
      <c r="AT212" s="620" t="s">
        <v>740</v>
      </c>
      <c r="AU212" s="159"/>
    </row>
    <row r="213" spans="1:49" ht="20.100000000000001" customHeight="1">
      <c r="B213" s="1754"/>
      <c r="C213" s="10053"/>
      <c r="D213" s="10053"/>
      <c r="E213" s="10053"/>
      <c r="F213" s="253" t="s">
        <v>1834</v>
      </c>
      <c r="G213" s="109" t="s">
        <v>732</v>
      </c>
      <c r="H213" s="92">
        <v>2502</v>
      </c>
      <c r="I213" s="92"/>
      <c r="J213" s="92">
        <v>2482</v>
      </c>
      <c r="K213" s="92"/>
      <c r="L213" s="228"/>
      <c r="M213" s="297">
        <v>1027</v>
      </c>
      <c r="N213" s="1842" t="s">
        <v>746</v>
      </c>
      <c r="O213" s="297">
        <v>1020</v>
      </c>
      <c r="P213" s="151" t="s">
        <v>746</v>
      </c>
      <c r="Q213" s="2350"/>
      <c r="R213" s="2186">
        <f t="shared" si="32"/>
        <v>148</v>
      </c>
      <c r="S213" s="2111"/>
      <c r="T213" s="100">
        <f t="shared" si="33"/>
        <v>173</v>
      </c>
      <c r="U213" s="2349"/>
      <c r="V213" s="2187">
        <f t="shared" si="34"/>
        <v>174</v>
      </c>
      <c r="W213" s="2131">
        <v>148</v>
      </c>
      <c r="X213" s="92"/>
      <c r="Y213" s="612">
        <v>173</v>
      </c>
      <c r="Z213" s="92"/>
      <c r="AA213" s="100">
        <f t="shared" si="35"/>
        <v>174</v>
      </c>
      <c r="AB213" s="100"/>
      <c r="AC213" s="100"/>
      <c r="AD213" s="100">
        <v>138</v>
      </c>
      <c r="AE213" s="100"/>
      <c r="AF213" s="100"/>
      <c r="AG213" s="100">
        <v>23</v>
      </c>
      <c r="AH213" s="100">
        <v>13</v>
      </c>
      <c r="AI213" s="100">
        <v>14</v>
      </c>
      <c r="AJ213" s="100">
        <v>13</v>
      </c>
      <c r="AK213" s="100"/>
      <c r="AL213" s="100"/>
      <c r="AM213" s="100"/>
      <c r="AN213" s="276" t="s">
        <v>825</v>
      </c>
      <c r="AO213" s="99"/>
      <c r="AP213" s="547"/>
      <c r="AQ213" s="547"/>
      <c r="AR213" s="99"/>
      <c r="AS213" s="620" t="s">
        <v>822</v>
      </c>
      <c r="AT213" s="620" t="s">
        <v>740</v>
      </c>
      <c r="AU213" s="159"/>
    </row>
    <row r="214" spans="1:49" ht="20.100000000000001" customHeight="1">
      <c r="B214" s="1754"/>
      <c r="C214" s="10053"/>
      <c r="D214" s="10053"/>
      <c r="E214" s="10053"/>
      <c r="F214" s="253" t="s">
        <v>1835</v>
      </c>
      <c r="G214" s="109" t="s">
        <v>732</v>
      </c>
      <c r="H214" s="92">
        <v>157</v>
      </c>
      <c r="I214" s="92"/>
      <c r="J214" s="92">
        <v>121</v>
      </c>
      <c r="K214" s="92"/>
      <c r="L214" s="228"/>
      <c r="M214" s="297">
        <v>137</v>
      </c>
      <c r="N214" s="1842" t="s">
        <v>746</v>
      </c>
      <c r="O214" s="297">
        <v>97</v>
      </c>
      <c r="P214" s="151" t="s">
        <v>746</v>
      </c>
      <c r="Q214" s="2350"/>
      <c r="R214" s="2186">
        <f t="shared" si="32"/>
        <v>6</v>
      </c>
      <c r="S214" s="2111"/>
      <c r="T214" s="100">
        <f t="shared" si="33"/>
        <v>8</v>
      </c>
      <c r="U214" s="2349"/>
      <c r="V214" s="2187">
        <f t="shared" si="34"/>
        <v>11</v>
      </c>
      <c r="W214" s="2131">
        <v>6</v>
      </c>
      <c r="X214" s="92"/>
      <c r="Y214" s="612">
        <v>8</v>
      </c>
      <c r="Z214" s="92"/>
      <c r="AA214" s="100">
        <f t="shared" si="35"/>
        <v>11</v>
      </c>
      <c r="AB214" s="100"/>
      <c r="AC214" s="100"/>
      <c r="AD214" s="100">
        <v>5</v>
      </c>
      <c r="AE214" s="100"/>
      <c r="AF214" s="100"/>
      <c r="AG214" s="100">
        <v>1</v>
      </c>
      <c r="AH214" s="100">
        <v>1</v>
      </c>
      <c r="AI214" s="100">
        <v>3</v>
      </c>
      <c r="AJ214" s="100">
        <v>5</v>
      </c>
      <c r="AK214" s="100"/>
      <c r="AL214" s="100"/>
      <c r="AM214" s="100"/>
      <c r="AN214" s="276" t="s">
        <v>825</v>
      </c>
      <c r="AO214" s="99"/>
      <c r="AP214" s="547"/>
      <c r="AQ214" s="547"/>
      <c r="AR214" s="99"/>
      <c r="AS214" s="620" t="s">
        <v>822</v>
      </c>
      <c r="AT214" s="620" t="s">
        <v>740</v>
      </c>
      <c r="AU214" s="159"/>
    </row>
    <row r="215" spans="1:49" ht="20.100000000000001" customHeight="1">
      <c r="B215" s="1754"/>
      <c r="C215" s="10057" t="s">
        <v>833</v>
      </c>
      <c r="D215" s="10057"/>
      <c r="E215" s="10057"/>
      <c r="F215" s="10057"/>
      <c r="G215" s="109" t="s">
        <v>732</v>
      </c>
      <c r="H215" s="92">
        <v>183</v>
      </c>
      <c r="I215" s="92"/>
      <c r="J215" s="92">
        <v>231</v>
      </c>
      <c r="K215" s="92"/>
      <c r="L215" s="228"/>
      <c r="M215" s="308"/>
      <c r="N215" s="1842"/>
      <c r="O215" s="308"/>
      <c r="P215" s="151"/>
      <c r="Q215" s="2350"/>
      <c r="R215" s="2186"/>
      <c r="S215" s="2111"/>
      <c r="T215" s="100"/>
      <c r="U215" s="2349"/>
      <c r="V215" s="2187"/>
      <c r="W215" s="2131">
        <v>183</v>
      </c>
      <c r="X215" s="151" t="s">
        <v>840</v>
      </c>
      <c r="Y215" s="612">
        <v>231</v>
      </c>
      <c r="Z215" s="151" t="s">
        <v>841</v>
      </c>
      <c r="AA215" s="100">
        <f t="shared" si="35"/>
        <v>249</v>
      </c>
      <c r="AB215" s="100"/>
      <c r="AC215" s="100"/>
      <c r="AD215" s="100">
        <v>196</v>
      </c>
      <c r="AE215" s="100"/>
      <c r="AF215" s="100"/>
      <c r="AG215" s="100">
        <v>27</v>
      </c>
      <c r="AH215" s="697">
        <v>16</v>
      </c>
      <c r="AI215" s="697">
        <v>22</v>
      </c>
      <c r="AJ215" s="697">
        <v>26</v>
      </c>
      <c r="AK215" s="100"/>
      <c r="AL215" s="100"/>
      <c r="AM215" s="100"/>
      <c r="AN215" s="276" t="s">
        <v>835</v>
      </c>
      <c r="AO215" s="99"/>
      <c r="AP215" s="547"/>
      <c r="AQ215" s="547"/>
      <c r="AR215" s="99"/>
      <c r="AS215" s="620" t="s">
        <v>837</v>
      </c>
      <c r="AT215" s="620"/>
      <c r="AU215" s="159"/>
    </row>
    <row r="216" spans="1:49" ht="20.100000000000001" customHeight="1">
      <c r="B216" s="1754"/>
      <c r="C216" s="10053" t="s">
        <v>843</v>
      </c>
      <c r="D216" s="10053"/>
      <c r="E216" s="10053"/>
      <c r="F216" s="253" t="s">
        <v>1833</v>
      </c>
      <c r="G216" s="109" t="s">
        <v>732</v>
      </c>
      <c r="H216" s="228"/>
      <c r="I216" s="92"/>
      <c r="J216" s="228"/>
      <c r="K216" s="92"/>
      <c r="L216" s="228"/>
      <c r="M216" s="297">
        <v>0</v>
      </c>
      <c r="N216" s="1842"/>
      <c r="O216" s="297">
        <v>0</v>
      </c>
      <c r="P216" s="151"/>
      <c r="Q216" s="2350"/>
      <c r="R216" s="2253"/>
      <c r="S216" s="2526"/>
      <c r="T216" s="100"/>
      <c r="U216" s="2349"/>
      <c r="V216" s="2187"/>
      <c r="W216" s="2526"/>
      <c r="X216" s="92"/>
      <c r="Y216" s="677"/>
      <c r="Z216" s="92"/>
      <c r="AA216" s="100">
        <f t="shared" si="35"/>
        <v>0</v>
      </c>
      <c r="AB216" s="100"/>
      <c r="AC216" s="100"/>
      <c r="AD216" s="100">
        <v>0</v>
      </c>
      <c r="AE216" s="100"/>
      <c r="AF216" s="100"/>
      <c r="AG216" s="100">
        <v>0</v>
      </c>
      <c r="AH216" s="100">
        <v>0</v>
      </c>
      <c r="AI216" s="100">
        <v>0</v>
      </c>
      <c r="AJ216" s="100">
        <v>0</v>
      </c>
      <c r="AK216" s="100"/>
      <c r="AL216" s="100"/>
      <c r="AM216" s="100"/>
      <c r="AN216" s="276"/>
      <c r="AO216" s="99"/>
      <c r="AP216" s="696"/>
      <c r="AQ216" s="547"/>
      <c r="AR216" s="1857"/>
      <c r="AS216" s="620"/>
      <c r="AT216" s="620" t="s">
        <v>740</v>
      </c>
      <c r="AU216" s="159"/>
    </row>
    <row r="217" spans="1:49" ht="20.100000000000001" customHeight="1">
      <c r="B217" s="1754"/>
      <c r="C217" s="10053"/>
      <c r="D217" s="10053"/>
      <c r="E217" s="10053"/>
      <c r="F217" s="253" t="s">
        <v>1834</v>
      </c>
      <c r="G217" s="109" t="s">
        <v>732</v>
      </c>
      <c r="H217" s="228"/>
      <c r="I217" s="92"/>
      <c r="J217" s="228"/>
      <c r="K217" s="92"/>
      <c r="L217" s="228"/>
      <c r="M217" s="297">
        <v>1</v>
      </c>
      <c r="N217" s="1842"/>
      <c r="O217" s="297">
        <v>2</v>
      </c>
      <c r="P217" s="151"/>
      <c r="Q217" s="2350"/>
      <c r="R217" s="2253"/>
      <c r="S217" s="2526"/>
      <c r="T217" s="100"/>
      <c r="U217" s="2349"/>
      <c r="V217" s="2187"/>
      <c r="W217" s="2526"/>
      <c r="X217" s="92"/>
      <c r="Y217" s="677"/>
      <c r="Z217" s="92"/>
      <c r="AA217" s="100">
        <f t="shared" si="35"/>
        <v>0</v>
      </c>
      <c r="AB217" s="100"/>
      <c r="AC217" s="100"/>
      <c r="AD217" s="100">
        <v>0</v>
      </c>
      <c r="AE217" s="100"/>
      <c r="AF217" s="100"/>
      <c r="AG217" s="100">
        <v>0</v>
      </c>
      <c r="AH217" s="100">
        <v>0</v>
      </c>
      <c r="AI217" s="100">
        <v>0</v>
      </c>
      <c r="AJ217" s="100">
        <v>0</v>
      </c>
      <c r="AK217" s="100"/>
      <c r="AL217" s="100"/>
      <c r="AM217" s="100"/>
      <c r="AN217" s="276"/>
      <c r="AO217" s="99"/>
      <c r="AP217" s="547"/>
      <c r="AQ217" s="547"/>
      <c r="AR217" s="99"/>
      <c r="AS217" s="620"/>
      <c r="AT217" s="620" t="s">
        <v>740</v>
      </c>
      <c r="AU217" s="159"/>
    </row>
    <row r="218" spans="1:49" ht="20.100000000000001" customHeight="1">
      <c r="B218" s="1754"/>
      <c r="C218" s="10053"/>
      <c r="D218" s="10053"/>
      <c r="E218" s="10053"/>
      <c r="F218" s="253" t="s">
        <v>1835</v>
      </c>
      <c r="G218" s="109" t="s">
        <v>732</v>
      </c>
      <c r="H218" s="228"/>
      <c r="I218" s="92"/>
      <c r="J218" s="228"/>
      <c r="K218" s="92"/>
      <c r="L218" s="228"/>
      <c r="M218" s="297">
        <v>4</v>
      </c>
      <c r="N218" s="1842"/>
      <c r="O218" s="297">
        <v>6</v>
      </c>
      <c r="P218" s="151"/>
      <c r="Q218" s="2350"/>
      <c r="R218" s="2253"/>
      <c r="S218" s="2526"/>
      <c r="T218" s="100"/>
      <c r="U218" s="2349"/>
      <c r="V218" s="2187"/>
      <c r="W218" s="2526"/>
      <c r="X218" s="92"/>
      <c r="Y218" s="677"/>
      <c r="Z218" s="92"/>
      <c r="AA218" s="100">
        <f t="shared" si="35"/>
        <v>1</v>
      </c>
      <c r="AB218" s="100"/>
      <c r="AC218" s="100"/>
      <c r="AD218" s="100">
        <v>1</v>
      </c>
      <c r="AE218" s="100"/>
      <c r="AF218" s="100"/>
      <c r="AG218" s="100">
        <v>0</v>
      </c>
      <c r="AH218" s="100">
        <v>0</v>
      </c>
      <c r="AI218" s="100">
        <v>0</v>
      </c>
      <c r="AJ218" s="100">
        <v>0</v>
      </c>
      <c r="AK218" s="100"/>
      <c r="AL218" s="100"/>
      <c r="AM218" s="100"/>
      <c r="AN218" s="276"/>
      <c r="AO218" s="99"/>
      <c r="AP218" s="547"/>
      <c r="AQ218" s="547"/>
      <c r="AR218" s="99"/>
      <c r="AS218" s="620"/>
      <c r="AT218" s="620" t="s">
        <v>740</v>
      </c>
      <c r="AU218" s="159"/>
    </row>
    <row r="219" spans="1:49" ht="20.100000000000001" customHeight="1">
      <c r="B219" s="1754"/>
      <c r="C219" s="357" t="s">
        <v>849</v>
      </c>
      <c r="D219" s="1858"/>
      <c r="E219" s="1858"/>
      <c r="F219" s="742"/>
      <c r="G219" s="109" t="s">
        <v>742</v>
      </c>
      <c r="H219" s="228"/>
      <c r="I219" s="92"/>
      <c r="J219" s="228"/>
      <c r="K219" s="92"/>
      <c r="L219" s="228"/>
      <c r="M219" s="308"/>
      <c r="N219" s="1842"/>
      <c r="O219" s="297">
        <v>8</v>
      </c>
      <c r="P219" s="151"/>
      <c r="Q219" s="2350"/>
      <c r="R219" s="2186"/>
      <c r="S219" s="2111"/>
      <c r="T219" s="100"/>
      <c r="U219" s="2349"/>
      <c r="V219" s="2187"/>
      <c r="W219" s="2111"/>
      <c r="X219" s="92"/>
      <c r="Y219" s="702">
        <v>1</v>
      </c>
      <c r="Z219" s="92"/>
      <c r="AA219" s="100">
        <f t="shared" si="35"/>
        <v>1</v>
      </c>
      <c r="AB219" s="100"/>
      <c r="AC219" s="100"/>
      <c r="AD219" s="100">
        <v>1</v>
      </c>
      <c r="AE219" s="100"/>
      <c r="AF219" s="100"/>
      <c r="AG219" s="100">
        <v>0</v>
      </c>
      <c r="AH219" s="100">
        <v>0</v>
      </c>
      <c r="AI219" s="100">
        <v>0</v>
      </c>
      <c r="AJ219" s="100">
        <v>0</v>
      </c>
      <c r="AK219" s="100"/>
      <c r="AL219" s="100"/>
      <c r="AM219" s="100"/>
      <c r="AN219" s="276"/>
      <c r="AO219" s="99"/>
      <c r="AP219" s="547"/>
      <c r="AQ219" s="547"/>
      <c r="AR219" s="99"/>
      <c r="AS219" s="620" t="s">
        <v>852</v>
      </c>
      <c r="AT219" s="154" t="s">
        <v>853</v>
      </c>
      <c r="AU219" s="159"/>
    </row>
    <row r="220" spans="1:49" ht="20.100000000000001" customHeight="1">
      <c r="B220" s="1754"/>
      <c r="C220" s="357" t="s">
        <v>857</v>
      </c>
      <c r="D220" s="1858"/>
      <c r="E220" s="1859"/>
      <c r="F220" s="742"/>
      <c r="G220" s="109" t="s">
        <v>156</v>
      </c>
      <c r="H220" s="228"/>
      <c r="I220" s="92"/>
      <c r="J220" s="228"/>
      <c r="K220" s="92"/>
      <c r="L220" s="228"/>
      <c r="M220" s="308"/>
      <c r="N220" s="1842"/>
      <c r="O220" s="297">
        <v>1</v>
      </c>
      <c r="P220" s="151"/>
      <c r="Q220" s="2350"/>
      <c r="R220" s="2186"/>
      <c r="S220" s="2111"/>
      <c r="T220" s="100"/>
      <c r="U220" s="2349"/>
      <c r="V220" s="2187"/>
      <c r="W220" s="2111"/>
      <c r="X220" s="92"/>
      <c r="Y220" s="702">
        <v>1</v>
      </c>
      <c r="Z220" s="92"/>
      <c r="AA220" s="100"/>
      <c r="AB220" s="100"/>
      <c r="AC220" s="100"/>
      <c r="AD220" s="100">
        <v>1</v>
      </c>
      <c r="AE220" s="100"/>
      <c r="AF220" s="100"/>
      <c r="AG220" s="100">
        <v>0</v>
      </c>
      <c r="AH220" s="100">
        <v>0</v>
      </c>
      <c r="AI220" s="100">
        <v>0</v>
      </c>
      <c r="AJ220" s="100">
        <v>0</v>
      </c>
      <c r="AK220" s="100"/>
      <c r="AL220" s="100"/>
      <c r="AM220" s="100"/>
      <c r="AN220" s="276"/>
      <c r="AO220" s="99"/>
      <c r="AP220" s="547"/>
      <c r="AQ220" s="547"/>
      <c r="AR220" s="99"/>
      <c r="AS220" s="620" t="s">
        <v>852</v>
      </c>
      <c r="AT220" s="154" t="s">
        <v>853</v>
      </c>
      <c r="AU220" s="159"/>
    </row>
    <row r="221" spans="1:49" ht="20.100000000000001" customHeight="1">
      <c r="B221" s="1754"/>
      <c r="C221" s="357" t="s">
        <v>863</v>
      </c>
      <c r="D221" s="1860"/>
      <c r="E221" s="1858"/>
      <c r="F221" s="742"/>
      <c r="G221" s="109" t="s">
        <v>156</v>
      </c>
      <c r="H221" s="228"/>
      <c r="I221" s="92"/>
      <c r="J221" s="228"/>
      <c r="K221" s="92"/>
      <c r="L221" s="228"/>
      <c r="M221" s="308"/>
      <c r="N221" s="1842"/>
      <c r="O221" s="297">
        <v>2E-3</v>
      </c>
      <c r="P221" s="151"/>
      <c r="Q221" s="2350"/>
      <c r="R221" s="2186"/>
      <c r="S221" s="2111"/>
      <c r="T221" s="705"/>
      <c r="U221" s="5468"/>
      <c r="V221" s="2187"/>
      <c r="W221" s="2111"/>
      <c r="X221" s="92"/>
      <c r="Y221" s="704">
        <v>0.4</v>
      </c>
      <c r="Z221" s="92"/>
      <c r="AA221" s="100"/>
      <c r="AB221" s="100"/>
      <c r="AC221" s="100"/>
      <c r="AD221" s="705">
        <v>0.51</v>
      </c>
      <c r="AE221" s="100"/>
      <c r="AF221" s="100"/>
      <c r="AG221" s="100">
        <v>0</v>
      </c>
      <c r="AH221" s="100">
        <v>0</v>
      </c>
      <c r="AI221" s="100">
        <v>0</v>
      </c>
      <c r="AJ221" s="100">
        <v>0</v>
      </c>
      <c r="AK221" s="100"/>
      <c r="AL221" s="100"/>
      <c r="AM221" s="100"/>
      <c r="AN221" s="457" t="s">
        <v>865</v>
      </c>
      <c r="AO221" s="99"/>
      <c r="AP221" s="547"/>
      <c r="AQ221" s="547"/>
      <c r="AR221" s="99"/>
      <c r="AS221" s="620" t="s">
        <v>852</v>
      </c>
      <c r="AT221" s="154" t="s">
        <v>853</v>
      </c>
      <c r="AU221" s="159"/>
    </row>
    <row r="222" spans="1:49" ht="20.100000000000001" customHeight="1" thickBot="1">
      <c r="B222" s="1861"/>
      <c r="C222" s="1862" t="s">
        <v>870</v>
      </c>
      <c r="D222" s="1863"/>
      <c r="E222" s="1863"/>
      <c r="F222" s="1863"/>
      <c r="G222" s="711" t="s">
        <v>156</v>
      </c>
      <c r="H222" s="228"/>
      <c r="I222" s="92"/>
      <c r="J222" s="228"/>
      <c r="K222" s="92"/>
      <c r="L222" s="228"/>
      <c r="M222" s="308"/>
      <c r="N222" s="1819"/>
      <c r="O222" s="308"/>
      <c r="P222" s="1864"/>
      <c r="Q222" s="5305"/>
      <c r="R222" s="2244"/>
      <c r="S222" s="2130"/>
      <c r="T222" s="593"/>
      <c r="U222" s="2364"/>
      <c r="V222" s="2245"/>
      <c r="W222" s="2130"/>
      <c r="X222" s="594"/>
      <c r="Y222" s="593"/>
      <c r="Z222" s="594"/>
      <c r="AA222" s="593"/>
      <c r="AB222" s="593"/>
      <c r="AC222" s="593"/>
      <c r="AD222" s="593"/>
      <c r="AE222" s="593"/>
      <c r="AF222" s="593"/>
      <c r="AG222" s="593"/>
      <c r="AH222" s="593" t="s">
        <v>641</v>
      </c>
      <c r="AI222" s="593" t="s">
        <v>641</v>
      </c>
      <c r="AJ222" s="593" t="s">
        <v>641</v>
      </c>
      <c r="AK222" s="593"/>
      <c r="AL222" s="593"/>
      <c r="AM222" s="593"/>
      <c r="AN222" s="595"/>
      <c r="AO222" s="109"/>
      <c r="AP222" s="547"/>
      <c r="AQ222" s="547"/>
      <c r="AR222" s="109"/>
      <c r="AS222" s="277"/>
      <c r="AT222" s="265" t="s">
        <v>807</v>
      </c>
      <c r="AU222" s="187" t="s">
        <v>2118</v>
      </c>
    </row>
    <row r="223" spans="1:49" ht="27" thickBot="1">
      <c r="B223" s="123" t="s">
        <v>877</v>
      </c>
      <c r="C223" s="124"/>
      <c r="D223" s="124"/>
      <c r="E223" s="124"/>
      <c r="F223" s="124"/>
      <c r="G223" s="78"/>
      <c r="H223" s="1732"/>
      <c r="I223" s="1732"/>
      <c r="J223" s="1732"/>
      <c r="K223" s="1732"/>
      <c r="L223" s="1732"/>
      <c r="M223" s="1733"/>
      <c r="N223" s="1734"/>
      <c r="O223" s="1733"/>
      <c r="P223" s="1734"/>
      <c r="Q223" s="1733"/>
      <c r="R223" s="2175"/>
      <c r="S223" s="148"/>
      <c r="T223" s="148"/>
      <c r="U223" s="148"/>
      <c r="V223" s="2176"/>
      <c r="W223" s="148"/>
      <c r="X223" s="148"/>
      <c r="Y223" s="148"/>
      <c r="Z223" s="148"/>
      <c r="AA223" s="148"/>
      <c r="AB223" s="148"/>
      <c r="AC223" s="148"/>
      <c r="AD223" s="148"/>
      <c r="AE223" s="148"/>
      <c r="AF223" s="148"/>
      <c r="AG223" s="148"/>
      <c r="AH223" s="148"/>
      <c r="AI223" s="148"/>
      <c r="AJ223" s="148"/>
      <c r="AK223" s="148"/>
      <c r="AL223" s="148"/>
      <c r="AM223" s="148"/>
      <c r="AN223" s="80"/>
      <c r="AO223" s="129"/>
      <c r="AP223" s="719"/>
      <c r="AQ223" s="719"/>
      <c r="AR223" s="129"/>
      <c r="AS223" s="720"/>
      <c r="AT223" s="328"/>
      <c r="AU223" s="329"/>
    </row>
    <row r="224" spans="1:49" ht="20.100000000000001" customHeight="1">
      <c r="B224" s="1865"/>
      <c r="C224" s="10016" t="s">
        <v>879</v>
      </c>
      <c r="D224" s="10016"/>
      <c r="E224" s="10016"/>
      <c r="F224" s="10016"/>
      <c r="G224" s="436" t="s">
        <v>732</v>
      </c>
      <c r="H224" s="529">
        <f>H225+H226</f>
        <v>5581</v>
      </c>
      <c r="I224" s="525"/>
      <c r="J224" s="529">
        <f>J225+J226</f>
        <v>8647</v>
      </c>
      <c r="K224" s="527"/>
      <c r="L224" s="528">
        <f>L225+L226</f>
        <v>0</v>
      </c>
      <c r="M224" s="529">
        <f>M225+M226</f>
        <v>4117</v>
      </c>
      <c r="N224" s="1866"/>
      <c r="O224" s="529">
        <f>O225+O226</f>
        <v>5824</v>
      </c>
      <c r="P224" s="1867"/>
      <c r="Q224" s="2366">
        <f>Q225+Q226</f>
        <v>0</v>
      </c>
      <c r="R224" s="2256">
        <f>R225+R226</f>
        <v>28</v>
      </c>
      <c r="S224" s="2527"/>
      <c r="T224" s="529">
        <f t="shared" ref="T224:V224" si="36">T225+T226</f>
        <v>92</v>
      </c>
      <c r="U224" s="2366"/>
      <c r="V224" s="2257">
        <f t="shared" si="36"/>
        <v>63</v>
      </c>
      <c r="W224" s="2527">
        <f>W225+W226</f>
        <v>28</v>
      </c>
      <c r="X224" s="527"/>
      <c r="Y224" s="529">
        <f>Y225+Y226</f>
        <v>92</v>
      </c>
      <c r="Z224" s="724"/>
      <c r="AA224" s="529">
        <f t="shared" ref="AA224:AM224" si="37">AA225+AA226</f>
        <v>63</v>
      </c>
      <c r="AB224" s="529">
        <f t="shared" si="37"/>
        <v>0</v>
      </c>
      <c r="AC224" s="529">
        <f t="shared" si="37"/>
        <v>0</v>
      </c>
      <c r="AD224" s="529">
        <f t="shared" si="37"/>
        <v>56</v>
      </c>
      <c r="AE224" s="529">
        <f t="shared" si="37"/>
        <v>0</v>
      </c>
      <c r="AF224" s="529">
        <f t="shared" si="37"/>
        <v>0</v>
      </c>
      <c r="AG224" s="529">
        <f t="shared" si="37"/>
        <v>0</v>
      </c>
      <c r="AH224" s="529">
        <f t="shared" si="37"/>
        <v>2</v>
      </c>
      <c r="AI224" s="529">
        <f t="shared" si="37"/>
        <v>8</v>
      </c>
      <c r="AJ224" s="529">
        <f t="shared" si="37"/>
        <v>7</v>
      </c>
      <c r="AK224" s="529">
        <f t="shared" si="37"/>
        <v>0</v>
      </c>
      <c r="AL224" s="529">
        <f t="shared" si="37"/>
        <v>0</v>
      </c>
      <c r="AM224" s="529">
        <f t="shared" si="37"/>
        <v>0</v>
      </c>
      <c r="AN224" s="443" t="s">
        <v>881</v>
      </c>
      <c r="AO224" s="642"/>
      <c r="AP224" s="534"/>
      <c r="AQ224" s="534"/>
      <c r="AR224" s="642"/>
      <c r="AS224" s="620" t="s">
        <v>883</v>
      </c>
      <c r="AT224" s="620" t="s">
        <v>884</v>
      </c>
      <c r="AU224" s="159"/>
    </row>
    <row r="225" spans="2:48" ht="20.100000000000001" customHeight="1">
      <c r="B225" s="1865"/>
      <c r="C225" s="1868"/>
      <c r="D225" s="266" t="s">
        <v>885</v>
      </c>
      <c r="E225" s="266"/>
      <c r="F225" s="253"/>
      <c r="G225" s="136" t="s">
        <v>732</v>
      </c>
      <c r="H225" s="539">
        <v>3324</v>
      </c>
      <c r="I225" s="539">
        <v>5581</v>
      </c>
      <c r="J225" s="539">
        <v>5923</v>
      </c>
      <c r="K225" s="540">
        <v>8647</v>
      </c>
      <c r="L225" s="228"/>
      <c r="M225" s="540">
        <v>1860</v>
      </c>
      <c r="N225" s="1853" t="s">
        <v>746</v>
      </c>
      <c r="O225" s="540">
        <v>3100</v>
      </c>
      <c r="P225" s="1853" t="s">
        <v>746</v>
      </c>
      <c r="Q225" s="2350"/>
      <c r="R225" s="2186">
        <f t="shared" ref="R225:R228" si="38">W225</f>
        <v>28</v>
      </c>
      <c r="S225" s="2111"/>
      <c r="T225" s="100">
        <f t="shared" ref="T225:T228" si="39">Y225</f>
        <v>92</v>
      </c>
      <c r="U225" s="2349"/>
      <c r="V225" s="2187">
        <f t="shared" ref="V225:V228" si="40">AA225</f>
        <v>26</v>
      </c>
      <c r="W225" s="2131">
        <v>28</v>
      </c>
      <c r="X225" s="294" t="s">
        <v>887</v>
      </c>
      <c r="Y225" s="702">
        <v>92</v>
      </c>
      <c r="Z225" s="294" t="s">
        <v>887</v>
      </c>
      <c r="AA225" s="100">
        <f t="shared" ref="AA225:AA231" si="41">AD225+AG225+AJ225</f>
        <v>26</v>
      </c>
      <c r="AB225" s="100"/>
      <c r="AC225" s="100"/>
      <c r="AD225" s="100">
        <v>19</v>
      </c>
      <c r="AE225" s="100"/>
      <c r="AF225" s="100"/>
      <c r="AG225" s="100">
        <v>0</v>
      </c>
      <c r="AH225" s="100">
        <v>2</v>
      </c>
      <c r="AI225" s="100">
        <v>8</v>
      </c>
      <c r="AJ225" s="100">
        <v>7</v>
      </c>
      <c r="AK225" s="100"/>
      <c r="AL225" s="100"/>
      <c r="AM225" s="100"/>
      <c r="AN225" s="457" t="s">
        <v>881</v>
      </c>
      <c r="AO225" s="99"/>
      <c r="AP225" s="547"/>
      <c r="AQ225" s="547"/>
      <c r="AR225" s="99"/>
      <c r="AS225" s="620" t="s">
        <v>883</v>
      </c>
      <c r="AT225" s="620" t="s">
        <v>884</v>
      </c>
      <c r="AU225" s="159"/>
    </row>
    <row r="226" spans="2:48" ht="20.100000000000001" customHeight="1">
      <c r="B226" s="1865"/>
      <c r="C226" s="1868"/>
      <c r="D226" s="266" t="s">
        <v>889</v>
      </c>
      <c r="E226" s="266"/>
      <c r="F226" s="253"/>
      <c r="G226" s="136" t="s">
        <v>732</v>
      </c>
      <c r="H226" s="539">
        <v>2257</v>
      </c>
      <c r="I226" s="539"/>
      <c r="J226" s="539">
        <v>2724</v>
      </c>
      <c r="K226" s="540"/>
      <c r="L226" s="228"/>
      <c r="M226" s="540">
        <v>2257</v>
      </c>
      <c r="N226" s="1853" t="s">
        <v>746</v>
      </c>
      <c r="O226" s="540">
        <v>2724</v>
      </c>
      <c r="P226" s="1853" t="s">
        <v>746</v>
      </c>
      <c r="Q226" s="2350"/>
      <c r="R226" s="2186">
        <f t="shared" si="38"/>
        <v>0</v>
      </c>
      <c r="S226" s="2111"/>
      <c r="T226" s="100">
        <f t="shared" si="39"/>
        <v>0</v>
      </c>
      <c r="U226" s="2349"/>
      <c r="V226" s="2187">
        <f t="shared" si="40"/>
        <v>37</v>
      </c>
      <c r="W226" s="2131">
        <v>0</v>
      </c>
      <c r="X226" s="293">
        <v>0</v>
      </c>
      <c r="Y226" s="702">
        <v>0</v>
      </c>
      <c r="Z226" s="293">
        <v>0</v>
      </c>
      <c r="AA226" s="100">
        <f t="shared" si="41"/>
        <v>37</v>
      </c>
      <c r="AB226" s="100"/>
      <c r="AC226" s="100"/>
      <c r="AD226" s="100">
        <v>37</v>
      </c>
      <c r="AE226" s="100"/>
      <c r="AF226" s="100"/>
      <c r="AG226" s="100">
        <v>0</v>
      </c>
      <c r="AH226" s="100">
        <v>0</v>
      </c>
      <c r="AI226" s="100">
        <v>0</v>
      </c>
      <c r="AJ226" s="100">
        <v>0</v>
      </c>
      <c r="AK226" s="100"/>
      <c r="AL226" s="100"/>
      <c r="AM226" s="100"/>
      <c r="AN226" s="457" t="s">
        <v>881</v>
      </c>
      <c r="AO226" s="99"/>
      <c r="AP226" s="547"/>
      <c r="AQ226" s="547"/>
      <c r="AR226" s="99"/>
      <c r="AS226" s="620" t="s">
        <v>883</v>
      </c>
      <c r="AT226" s="620" t="s">
        <v>884</v>
      </c>
      <c r="AU226" s="159"/>
    </row>
    <row r="227" spans="2:48" ht="20.100000000000001" customHeight="1">
      <c r="B227" s="1865"/>
      <c r="C227" s="10052" t="s">
        <v>891</v>
      </c>
      <c r="D227" s="10052"/>
      <c r="E227" s="10052"/>
      <c r="F227" s="266" t="s">
        <v>796</v>
      </c>
      <c r="G227" s="136" t="s">
        <v>732</v>
      </c>
      <c r="H227" s="539">
        <v>2532</v>
      </c>
      <c r="I227" s="539"/>
      <c r="J227" s="539">
        <v>4089</v>
      </c>
      <c r="K227" s="540"/>
      <c r="L227" s="228"/>
      <c r="M227" s="540">
        <v>1841</v>
      </c>
      <c r="N227" s="1853" t="s">
        <v>746</v>
      </c>
      <c r="O227" s="540">
        <v>2690</v>
      </c>
      <c r="P227" s="1853" t="s">
        <v>746</v>
      </c>
      <c r="Q227" s="2350"/>
      <c r="R227" s="2186">
        <f t="shared" si="38"/>
        <v>19</v>
      </c>
      <c r="S227" s="2111"/>
      <c r="T227" s="100">
        <f t="shared" si="39"/>
        <v>57</v>
      </c>
      <c r="U227" s="2349"/>
      <c r="V227" s="2187">
        <f t="shared" si="40"/>
        <v>23</v>
      </c>
      <c r="W227" s="2131">
        <v>19</v>
      </c>
      <c r="X227" s="293">
        <v>0</v>
      </c>
      <c r="Y227" s="702">
        <v>57</v>
      </c>
      <c r="Z227" s="293">
        <v>0</v>
      </c>
      <c r="AA227" s="100">
        <f t="shared" si="41"/>
        <v>23</v>
      </c>
      <c r="AB227" s="100"/>
      <c r="AC227" s="100"/>
      <c r="AD227" s="100">
        <v>20</v>
      </c>
      <c r="AE227" s="100"/>
      <c r="AF227" s="100"/>
      <c r="AG227" s="100">
        <v>0</v>
      </c>
      <c r="AH227" s="100">
        <v>1</v>
      </c>
      <c r="AI227" s="100">
        <v>5</v>
      </c>
      <c r="AJ227" s="100">
        <v>3</v>
      </c>
      <c r="AK227" s="100"/>
      <c r="AL227" s="100"/>
      <c r="AM227" s="100"/>
      <c r="AN227" s="457" t="s">
        <v>894</v>
      </c>
      <c r="AO227" s="99"/>
      <c r="AP227" s="547"/>
      <c r="AQ227" s="547"/>
      <c r="AR227" s="99"/>
      <c r="AS227" s="620" t="s">
        <v>892</v>
      </c>
      <c r="AT227" s="620" t="s">
        <v>884</v>
      </c>
      <c r="AU227" s="159"/>
    </row>
    <row r="228" spans="2:48" ht="20.100000000000001" customHeight="1">
      <c r="B228" s="1865"/>
      <c r="C228" s="10052"/>
      <c r="D228" s="10052"/>
      <c r="E228" s="10052"/>
      <c r="F228" s="253" t="s">
        <v>802</v>
      </c>
      <c r="G228" s="136" t="s">
        <v>732</v>
      </c>
      <c r="H228" s="539">
        <v>3049</v>
      </c>
      <c r="I228" s="539"/>
      <c r="J228" s="539">
        <v>4558</v>
      </c>
      <c r="K228" s="540"/>
      <c r="L228" s="228"/>
      <c r="M228" s="540">
        <v>2276</v>
      </c>
      <c r="N228" s="1853" t="s">
        <v>746</v>
      </c>
      <c r="O228" s="540">
        <v>3134</v>
      </c>
      <c r="P228" s="1853" t="s">
        <v>746</v>
      </c>
      <c r="Q228" s="2350"/>
      <c r="R228" s="2186">
        <f t="shared" si="38"/>
        <v>9</v>
      </c>
      <c r="S228" s="2111"/>
      <c r="T228" s="100">
        <f t="shared" si="39"/>
        <v>35</v>
      </c>
      <c r="U228" s="2349"/>
      <c r="V228" s="2187">
        <f t="shared" si="40"/>
        <v>40</v>
      </c>
      <c r="W228" s="2131">
        <v>9</v>
      </c>
      <c r="X228" s="293">
        <v>0</v>
      </c>
      <c r="Y228" s="702">
        <v>35</v>
      </c>
      <c r="Z228" s="293">
        <v>0</v>
      </c>
      <c r="AA228" s="100">
        <f t="shared" si="41"/>
        <v>40</v>
      </c>
      <c r="AB228" s="100"/>
      <c r="AC228" s="100"/>
      <c r="AD228" s="100">
        <v>36</v>
      </c>
      <c r="AE228" s="100"/>
      <c r="AF228" s="100"/>
      <c r="AG228" s="100">
        <v>0</v>
      </c>
      <c r="AH228" s="100">
        <v>1</v>
      </c>
      <c r="AI228" s="100">
        <v>3</v>
      </c>
      <c r="AJ228" s="100">
        <v>4</v>
      </c>
      <c r="AK228" s="100"/>
      <c r="AL228" s="100"/>
      <c r="AM228" s="100"/>
      <c r="AN228" s="457" t="s">
        <v>894</v>
      </c>
      <c r="AO228" s="99"/>
      <c r="AP228" s="547"/>
      <c r="AQ228" s="547"/>
      <c r="AR228" s="99"/>
      <c r="AS228" s="620" t="s">
        <v>892</v>
      </c>
      <c r="AT228" s="620" t="s">
        <v>884</v>
      </c>
      <c r="AU228" s="159"/>
    </row>
    <row r="229" spans="2:48" ht="20.100000000000001" customHeight="1">
      <c r="B229" s="1865"/>
      <c r="C229" s="10052" t="s">
        <v>897</v>
      </c>
      <c r="D229" s="10052"/>
      <c r="E229" s="10052"/>
      <c r="F229" s="253" t="s">
        <v>1833</v>
      </c>
      <c r="G229" s="136" t="s">
        <v>732</v>
      </c>
      <c r="H229" s="539">
        <v>5275</v>
      </c>
      <c r="I229" s="539"/>
      <c r="J229" s="539">
        <v>8295</v>
      </c>
      <c r="K229" s="540"/>
      <c r="L229" s="228"/>
      <c r="M229" s="540">
        <v>3931</v>
      </c>
      <c r="N229" s="1853" t="s">
        <v>746</v>
      </c>
      <c r="O229" s="540">
        <v>5658</v>
      </c>
      <c r="P229" s="1853" t="s">
        <v>746</v>
      </c>
      <c r="Q229" s="2350"/>
      <c r="R229" s="2186">
        <f>W229</f>
        <v>13</v>
      </c>
      <c r="S229" s="2111"/>
      <c r="T229" s="100">
        <f>Y229</f>
        <v>35</v>
      </c>
      <c r="U229" s="2349"/>
      <c r="V229" s="2187">
        <f>AA229</f>
        <v>30</v>
      </c>
      <c r="W229" s="2131">
        <v>13</v>
      </c>
      <c r="X229" s="293">
        <v>0</v>
      </c>
      <c r="Y229" s="702">
        <v>35</v>
      </c>
      <c r="Z229" s="293">
        <v>0</v>
      </c>
      <c r="AA229" s="100">
        <f t="shared" si="41"/>
        <v>30</v>
      </c>
      <c r="AB229" s="100"/>
      <c r="AC229" s="100"/>
      <c r="AD229" s="100">
        <v>27</v>
      </c>
      <c r="AE229" s="100"/>
      <c r="AF229" s="100"/>
      <c r="AG229" s="100">
        <v>0</v>
      </c>
      <c r="AH229" s="100">
        <v>1</v>
      </c>
      <c r="AI229" s="100">
        <v>3</v>
      </c>
      <c r="AJ229" s="100">
        <v>3</v>
      </c>
      <c r="AK229" s="100"/>
      <c r="AL229" s="100"/>
      <c r="AM229" s="100"/>
      <c r="AN229" s="276" t="s">
        <v>901</v>
      </c>
      <c r="AO229" s="99"/>
      <c r="AP229" s="547"/>
      <c r="AQ229" s="547"/>
      <c r="AR229" s="99"/>
      <c r="AS229" s="620" t="s">
        <v>899</v>
      </c>
      <c r="AT229" s="620" t="s">
        <v>884</v>
      </c>
      <c r="AU229" s="159"/>
    </row>
    <row r="230" spans="2:48" ht="20.100000000000001" customHeight="1">
      <c r="B230" s="1865"/>
      <c r="C230" s="10052"/>
      <c r="D230" s="10052"/>
      <c r="E230" s="10052"/>
      <c r="F230" s="253" t="s">
        <v>1834</v>
      </c>
      <c r="G230" s="136" t="s">
        <v>732</v>
      </c>
      <c r="H230" s="539">
        <v>184</v>
      </c>
      <c r="I230" s="539"/>
      <c r="J230" s="539">
        <v>298</v>
      </c>
      <c r="K230" s="540"/>
      <c r="L230" s="228"/>
      <c r="M230" s="540">
        <v>65</v>
      </c>
      <c r="N230" s="1853" t="s">
        <v>746</v>
      </c>
      <c r="O230" s="540">
        <v>117</v>
      </c>
      <c r="P230" s="1853" t="s">
        <v>746</v>
      </c>
      <c r="Q230" s="2350"/>
      <c r="R230" s="2186">
        <f>W230</f>
        <v>14</v>
      </c>
      <c r="S230" s="2111"/>
      <c r="T230" s="100">
        <f>Y230</f>
        <v>54</v>
      </c>
      <c r="U230" s="2349"/>
      <c r="V230" s="2187">
        <f>AA230</f>
        <v>32</v>
      </c>
      <c r="W230" s="2131">
        <v>14</v>
      </c>
      <c r="X230" s="293">
        <v>0</v>
      </c>
      <c r="Y230" s="702">
        <v>54</v>
      </c>
      <c r="Z230" s="293">
        <v>0</v>
      </c>
      <c r="AA230" s="100">
        <f t="shared" si="41"/>
        <v>32</v>
      </c>
      <c r="AB230" s="100"/>
      <c r="AC230" s="100"/>
      <c r="AD230" s="100">
        <v>29</v>
      </c>
      <c r="AE230" s="100"/>
      <c r="AF230" s="100"/>
      <c r="AG230" s="100">
        <v>0</v>
      </c>
      <c r="AH230" s="100">
        <v>1</v>
      </c>
      <c r="AI230" s="100">
        <v>4</v>
      </c>
      <c r="AJ230" s="100">
        <v>3</v>
      </c>
      <c r="AK230" s="100"/>
      <c r="AL230" s="100"/>
      <c r="AM230" s="100"/>
      <c r="AN230" s="276" t="s">
        <v>901</v>
      </c>
      <c r="AO230" s="99"/>
      <c r="AP230" s="547"/>
      <c r="AQ230" s="547"/>
      <c r="AR230" s="99"/>
      <c r="AS230" s="620" t="s">
        <v>899</v>
      </c>
      <c r="AT230" s="620" t="s">
        <v>884</v>
      </c>
      <c r="AU230" s="159"/>
    </row>
    <row r="231" spans="2:48" ht="18.75" customHeight="1">
      <c r="B231" s="1865"/>
      <c r="C231" s="10052"/>
      <c r="D231" s="10052"/>
      <c r="E231" s="10052"/>
      <c r="F231" s="253" t="s">
        <v>1835</v>
      </c>
      <c r="G231" s="136" t="s">
        <v>732</v>
      </c>
      <c r="H231" s="539">
        <v>122</v>
      </c>
      <c r="I231" s="539"/>
      <c r="J231" s="539">
        <v>54</v>
      </c>
      <c r="K231" s="540"/>
      <c r="L231" s="228"/>
      <c r="M231" s="540">
        <v>121</v>
      </c>
      <c r="N231" s="1853" t="s">
        <v>746</v>
      </c>
      <c r="O231" s="540">
        <v>49</v>
      </c>
      <c r="P231" s="1853" t="s">
        <v>746</v>
      </c>
      <c r="Q231" s="2350"/>
      <c r="R231" s="2186">
        <f>W231</f>
        <v>1</v>
      </c>
      <c r="S231" s="2111"/>
      <c r="T231" s="100">
        <f>Y231</f>
        <v>3</v>
      </c>
      <c r="U231" s="2349"/>
      <c r="V231" s="2187">
        <f>AA231</f>
        <v>1</v>
      </c>
      <c r="W231" s="2131">
        <v>1</v>
      </c>
      <c r="X231" s="293">
        <v>0</v>
      </c>
      <c r="Y231" s="702">
        <v>3</v>
      </c>
      <c r="Z231" s="293">
        <v>0</v>
      </c>
      <c r="AA231" s="100">
        <f t="shared" si="41"/>
        <v>1</v>
      </c>
      <c r="AB231" s="100"/>
      <c r="AC231" s="100"/>
      <c r="AD231" s="100">
        <v>0</v>
      </c>
      <c r="AE231" s="100"/>
      <c r="AF231" s="100"/>
      <c r="AG231" s="100">
        <v>0</v>
      </c>
      <c r="AH231" s="100">
        <v>0</v>
      </c>
      <c r="AI231" s="100">
        <v>1</v>
      </c>
      <c r="AJ231" s="100">
        <v>1</v>
      </c>
      <c r="AK231" s="100"/>
      <c r="AL231" s="100"/>
      <c r="AM231" s="100"/>
      <c r="AN231" s="276" t="s">
        <v>901</v>
      </c>
      <c r="AO231" s="99"/>
      <c r="AP231" s="547"/>
      <c r="AQ231" s="547"/>
      <c r="AR231" s="99"/>
      <c r="AS231" s="620" t="s">
        <v>899</v>
      </c>
      <c r="AT231" s="620" t="s">
        <v>884</v>
      </c>
      <c r="AU231" s="159"/>
    </row>
    <row r="232" spans="2:48" ht="22.15" customHeight="1">
      <c r="B232" s="1865"/>
      <c r="C232" s="9938" t="s">
        <v>907</v>
      </c>
      <c r="D232" s="9939"/>
      <c r="E232" s="9940"/>
      <c r="F232" s="5338"/>
      <c r="G232" s="136" t="s">
        <v>742</v>
      </c>
      <c r="H232" s="539">
        <v>28</v>
      </c>
      <c r="I232" s="539"/>
      <c r="J232" s="539">
        <v>92</v>
      </c>
      <c r="K232" s="540"/>
      <c r="L232" s="228"/>
      <c r="M232" s="541"/>
      <c r="N232" s="1853"/>
      <c r="O232" s="541"/>
      <c r="P232" s="1853"/>
      <c r="Q232" s="5306"/>
      <c r="R232" s="2186"/>
      <c r="S232" s="2111"/>
      <c r="T232" s="100"/>
      <c r="U232" s="2349"/>
      <c r="V232" s="2533"/>
      <c r="W232" s="2131">
        <v>28</v>
      </c>
      <c r="X232" s="613" t="s">
        <v>2119</v>
      </c>
      <c r="Y232" s="702">
        <v>92</v>
      </c>
      <c r="Z232" s="613" t="s">
        <v>2120</v>
      </c>
      <c r="AA232" s="677"/>
      <c r="AB232" s="612">
        <v>28</v>
      </c>
      <c r="AC232" s="702">
        <v>92</v>
      </c>
      <c r="AD232" s="677"/>
      <c r="AE232" s="612">
        <v>28</v>
      </c>
      <c r="AF232" s="702">
        <v>92</v>
      </c>
      <c r="AG232" s="677"/>
      <c r="AH232" s="612">
        <v>28</v>
      </c>
      <c r="AI232" s="702">
        <v>92</v>
      </c>
      <c r="AJ232" s="677"/>
      <c r="AK232" s="612">
        <v>28</v>
      </c>
      <c r="AL232" s="702">
        <v>92</v>
      </c>
      <c r="AM232" s="677"/>
      <c r="AN232" s="276" t="s">
        <v>909</v>
      </c>
      <c r="AO232" s="99" t="s">
        <v>737</v>
      </c>
      <c r="AP232" s="547"/>
      <c r="AQ232" s="547"/>
      <c r="AR232" s="299" t="s">
        <v>193</v>
      </c>
      <c r="AS232" s="620" t="s">
        <v>911</v>
      </c>
      <c r="AT232" s="620" t="s">
        <v>884</v>
      </c>
      <c r="AU232" s="159"/>
      <c r="AV232" s="18"/>
    </row>
    <row r="233" spans="2:48" ht="20.100000000000001" customHeight="1">
      <c r="B233" s="1865"/>
      <c r="C233" s="10053" t="s">
        <v>915</v>
      </c>
      <c r="D233" s="10053"/>
      <c r="E233" s="10053"/>
      <c r="F233" s="10053"/>
      <c r="G233" s="109" t="s">
        <v>742</v>
      </c>
      <c r="H233" s="356">
        <f>H234+H235</f>
        <v>5094</v>
      </c>
      <c r="I233" s="95"/>
      <c r="J233" s="356">
        <f>J234+J235</f>
        <v>7508</v>
      </c>
      <c r="K233" s="92"/>
      <c r="L233" s="356">
        <f>L234+L235</f>
        <v>0</v>
      </c>
      <c r="M233" s="356">
        <f>M234+M235</f>
        <v>3241</v>
      </c>
      <c r="N233" s="1759"/>
      <c r="O233" s="356">
        <f>O234+O235</f>
        <v>5079</v>
      </c>
      <c r="P233" s="1759"/>
      <c r="Q233" s="2065">
        <f>Q234+Q235</f>
        <v>0</v>
      </c>
      <c r="R233" s="2226">
        <f>SUM(R234:R235)</f>
        <v>71</v>
      </c>
      <c r="S233" s="456"/>
      <c r="T233" s="356">
        <f t="shared" ref="T233:V233" si="42">SUM(T234:T235)</f>
        <v>44</v>
      </c>
      <c r="U233" s="2065"/>
      <c r="V233" s="2241">
        <f t="shared" si="42"/>
        <v>47</v>
      </c>
      <c r="W233" s="456">
        <f>W234+W235</f>
        <v>71</v>
      </c>
      <c r="X233" s="92"/>
      <c r="Y233" s="356">
        <f>Y234+Y235</f>
        <v>44</v>
      </c>
      <c r="Z233" s="95"/>
      <c r="AA233" s="356">
        <f>AA234+AA235</f>
        <v>47</v>
      </c>
      <c r="AB233" s="356">
        <f t="shared" ref="AB233:AM233" si="43">AB234+AB235</f>
        <v>0</v>
      </c>
      <c r="AC233" s="356">
        <f t="shared" si="43"/>
        <v>0</v>
      </c>
      <c r="AD233" s="356">
        <f t="shared" si="43"/>
        <v>41</v>
      </c>
      <c r="AE233" s="356">
        <f t="shared" si="43"/>
        <v>0</v>
      </c>
      <c r="AF233" s="356">
        <f t="shared" si="43"/>
        <v>0</v>
      </c>
      <c r="AG233" s="356">
        <f t="shared" si="43"/>
        <v>3</v>
      </c>
      <c r="AH233" s="356">
        <f t="shared" si="43"/>
        <v>5</v>
      </c>
      <c r="AI233" s="356">
        <f t="shared" si="43"/>
        <v>2</v>
      </c>
      <c r="AJ233" s="356">
        <f t="shared" si="43"/>
        <v>3</v>
      </c>
      <c r="AK233" s="356">
        <f t="shared" si="43"/>
        <v>0</v>
      </c>
      <c r="AL233" s="356">
        <f t="shared" si="43"/>
        <v>0</v>
      </c>
      <c r="AM233" s="356">
        <f t="shared" si="43"/>
        <v>0</v>
      </c>
      <c r="AN233" s="457" t="s">
        <v>917</v>
      </c>
      <c r="AO233" s="99"/>
      <c r="AP233" s="547"/>
      <c r="AQ233" s="547"/>
      <c r="AR233" s="99"/>
      <c r="AS233" s="620" t="s">
        <v>919</v>
      </c>
      <c r="AT233" s="620" t="s">
        <v>884</v>
      </c>
      <c r="AU233" s="159"/>
    </row>
    <row r="234" spans="2:48" ht="20.100000000000001" customHeight="1">
      <c r="B234" s="1865"/>
      <c r="C234" s="1869"/>
      <c r="D234" s="10054" t="s">
        <v>920</v>
      </c>
      <c r="E234" s="10054"/>
      <c r="F234" s="10054"/>
      <c r="G234" s="109" t="s">
        <v>742</v>
      </c>
      <c r="H234" s="92">
        <v>3250</v>
      </c>
      <c r="I234" s="92"/>
      <c r="J234" s="92">
        <v>5922</v>
      </c>
      <c r="K234" s="92"/>
      <c r="L234" s="228"/>
      <c r="M234" s="297">
        <v>1683</v>
      </c>
      <c r="N234" s="1842" t="s">
        <v>746</v>
      </c>
      <c r="O234" s="297">
        <v>3659</v>
      </c>
      <c r="P234" s="151" t="s">
        <v>746</v>
      </c>
      <c r="Q234" s="2350"/>
      <c r="R234" s="2186">
        <f>W234</f>
        <v>49</v>
      </c>
      <c r="S234" s="2111"/>
      <c r="T234" s="100">
        <f>Y234</f>
        <v>35</v>
      </c>
      <c r="U234" s="2349"/>
      <c r="V234" s="2187">
        <f>AA234</f>
        <v>35</v>
      </c>
      <c r="W234" s="2131">
        <v>49</v>
      </c>
      <c r="X234" s="293">
        <v>0</v>
      </c>
      <c r="Y234" s="702">
        <v>35</v>
      </c>
      <c r="Z234" s="293">
        <v>0</v>
      </c>
      <c r="AA234" s="100">
        <f>AD234+AG234+AJ234</f>
        <v>35</v>
      </c>
      <c r="AB234" s="100"/>
      <c r="AC234" s="100"/>
      <c r="AD234" s="100">
        <v>32</v>
      </c>
      <c r="AE234" s="100"/>
      <c r="AF234" s="100"/>
      <c r="AG234" s="100">
        <v>0</v>
      </c>
      <c r="AH234" s="100">
        <v>5</v>
      </c>
      <c r="AI234" s="100">
        <v>2</v>
      </c>
      <c r="AJ234" s="100">
        <v>3</v>
      </c>
      <c r="AK234" s="100"/>
      <c r="AL234" s="100"/>
      <c r="AM234" s="100"/>
      <c r="AN234" s="457"/>
      <c r="AO234" s="99"/>
      <c r="AP234" s="547"/>
      <c r="AQ234" s="547"/>
      <c r="AR234" s="99"/>
      <c r="AS234" s="620" t="s">
        <v>922</v>
      </c>
      <c r="AT234" s="620" t="s">
        <v>884</v>
      </c>
      <c r="AU234" s="159"/>
    </row>
    <row r="235" spans="2:48" ht="20.100000000000001" customHeight="1">
      <c r="B235" s="1865"/>
      <c r="C235" s="1869"/>
      <c r="D235" s="253" t="s">
        <v>923</v>
      </c>
      <c r="E235" s="1870"/>
      <c r="F235" s="253"/>
      <c r="G235" s="109" t="s">
        <v>742</v>
      </c>
      <c r="H235" s="92">
        <v>1844</v>
      </c>
      <c r="I235" s="92"/>
      <c r="J235" s="92">
        <v>1586</v>
      </c>
      <c r="K235" s="92"/>
      <c r="L235" s="228"/>
      <c r="M235" s="297">
        <v>1558</v>
      </c>
      <c r="N235" s="1842" t="s">
        <v>746</v>
      </c>
      <c r="O235" s="297">
        <v>1420</v>
      </c>
      <c r="P235" s="151" t="s">
        <v>746</v>
      </c>
      <c r="Q235" s="2350"/>
      <c r="R235" s="2186">
        <f>W235</f>
        <v>22</v>
      </c>
      <c r="S235" s="2111"/>
      <c r="T235" s="100">
        <f>Y235</f>
        <v>9</v>
      </c>
      <c r="U235" s="2349"/>
      <c r="V235" s="2187">
        <f>AA235</f>
        <v>12</v>
      </c>
      <c r="W235" s="2131">
        <v>22</v>
      </c>
      <c r="X235" s="293">
        <v>0</v>
      </c>
      <c r="Y235" s="702">
        <v>9</v>
      </c>
      <c r="Z235" s="293">
        <v>0</v>
      </c>
      <c r="AA235" s="100">
        <f>AD235+AG235+AJ235</f>
        <v>12</v>
      </c>
      <c r="AB235" s="100"/>
      <c r="AC235" s="100"/>
      <c r="AD235" s="100">
        <v>9</v>
      </c>
      <c r="AE235" s="100"/>
      <c r="AF235" s="100"/>
      <c r="AG235" s="100">
        <v>3</v>
      </c>
      <c r="AH235" s="100">
        <v>0</v>
      </c>
      <c r="AI235" s="100">
        <v>0</v>
      </c>
      <c r="AJ235" s="100">
        <v>0</v>
      </c>
      <c r="AK235" s="100"/>
      <c r="AL235" s="100"/>
      <c r="AM235" s="100"/>
      <c r="AN235" s="457"/>
      <c r="AO235" s="99"/>
      <c r="AP235" s="547"/>
      <c r="AQ235" s="547"/>
      <c r="AR235" s="99"/>
      <c r="AS235" s="620" t="s">
        <v>919</v>
      </c>
      <c r="AT235" s="620" t="s">
        <v>884</v>
      </c>
      <c r="AU235" s="159"/>
    </row>
    <row r="236" spans="2:48" ht="20.100000000000001" customHeight="1">
      <c r="B236" s="1865"/>
      <c r="C236" s="10009" t="s">
        <v>925</v>
      </c>
      <c r="D236" s="10009"/>
      <c r="E236" s="10009"/>
      <c r="F236" s="253" t="s">
        <v>2121</v>
      </c>
      <c r="G236" s="109" t="s">
        <v>156</v>
      </c>
      <c r="H236" s="228"/>
      <c r="I236" s="92"/>
      <c r="J236" s="228"/>
      <c r="K236" s="92"/>
      <c r="L236" s="228"/>
      <c r="M236" s="297">
        <v>55</v>
      </c>
      <c r="N236" s="1842"/>
      <c r="O236" s="1842">
        <v>74</v>
      </c>
      <c r="P236" s="151"/>
      <c r="Q236" s="2350"/>
      <c r="R236" s="2186"/>
      <c r="S236" s="2111"/>
      <c r="T236" s="100"/>
      <c r="U236" s="2349"/>
      <c r="V236" s="2187"/>
      <c r="W236" s="2111"/>
      <c r="X236" s="293"/>
      <c r="Y236" s="100"/>
      <c r="Z236" s="293"/>
      <c r="AA236" s="100"/>
      <c r="AB236" s="100"/>
      <c r="AC236" s="100"/>
      <c r="AD236" s="100">
        <v>24</v>
      </c>
      <c r="AE236" s="100"/>
      <c r="AF236" s="100"/>
      <c r="AG236" s="100">
        <v>0</v>
      </c>
      <c r="AH236" s="100">
        <v>100</v>
      </c>
      <c r="AI236" s="100">
        <v>50</v>
      </c>
      <c r="AJ236" s="100">
        <v>66.666700000000006</v>
      </c>
      <c r="AK236" s="100"/>
      <c r="AL236" s="100"/>
      <c r="AM236" s="100"/>
      <c r="AN236" s="10048" t="s">
        <v>929</v>
      </c>
      <c r="AO236" s="99"/>
      <c r="AP236" s="547"/>
      <c r="AQ236" s="547"/>
      <c r="AR236" s="99"/>
      <c r="AS236" s="620" t="s">
        <v>927</v>
      </c>
      <c r="AT236" s="620" t="s">
        <v>884</v>
      </c>
      <c r="AU236" s="159"/>
    </row>
    <row r="237" spans="2:48" ht="20.100000000000001" customHeight="1">
      <c r="B237" s="1865"/>
      <c r="C237" s="10009"/>
      <c r="D237" s="10009"/>
      <c r="E237" s="10009"/>
      <c r="F237" s="253" t="s">
        <v>2122</v>
      </c>
      <c r="G237" s="109" t="s">
        <v>156</v>
      </c>
      <c r="H237" s="228"/>
      <c r="I237" s="92"/>
      <c r="J237" s="228"/>
      <c r="K237" s="92"/>
      <c r="L237" s="228"/>
      <c r="M237" s="297">
        <v>50</v>
      </c>
      <c r="N237" s="1842"/>
      <c r="O237" s="1842">
        <v>70</v>
      </c>
      <c r="P237" s="151"/>
      <c r="Q237" s="2350"/>
      <c r="R237" s="2186"/>
      <c r="S237" s="2111"/>
      <c r="T237" s="100"/>
      <c r="U237" s="2349"/>
      <c r="V237" s="2187"/>
      <c r="W237" s="2111"/>
      <c r="X237" s="293"/>
      <c r="Y237" s="100"/>
      <c r="Z237" s="293"/>
      <c r="AA237" s="100"/>
      <c r="AB237" s="100"/>
      <c r="AC237" s="100"/>
      <c r="AD237" s="100">
        <v>8</v>
      </c>
      <c r="AE237" s="100"/>
      <c r="AF237" s="100"/>
      <c r="AG237" s="100">
        <v>0</v>
      </c>
      <c r="AH237" s="100">
        <v>0</v>
      </c>
      <c r="AI237" s="100">
        <v>50</v>
      </c>
      <c r="AJ237" s="100">
        <v>33.333300000000001</v>
      </c>
      <c r="AK237" s="100"/>
      <c r="AL237" s="100"/>
      <c r="AM237" s="100"/>
      <c r="AN237" s="10048"/>
      <c r="AO237" s="99"/>
      <c r="AP237" s="547"/>
      <c r="AQ237" s="547"/>
      <c r="AR237" s="99"/>
      <c r="AS237" s="620" t="s">
        <v>927</v>
      </c>
      <c r="AT237" s="620" t="s">
        <v>884</v>
      </c>
      <c r="AU237" s="159"/>
    </row>
    <row r="238" spans="2:48" ht="20.100000000000001" customHeight="1">
      <c r="B238" s="1865"/>
      <c r="C238" s="10009"/>
      <c r="D238" s="10009"/>
      <c r="E238" s="10009"/>
      <c r="F238" s="253" t="s">
        <v>1833</v>
      </c>
      <c r="G238" s="109" t="s">
        <v>156</v>
      </c>
      <c r="H238" s="228"/>
      <c r="I238" s="92"/>
      <c r="J238" s="228"/>
      <c r="K238" s="92"/>
      <c r="L238" s="228"/>
      <c r="M238" s="297">
        <v>53</v>
      </c>
      <c r="N238" s="1842"/>
      <c r="O238" s="1842">
        <v>73</v>
      </c>
      <c r="P238" s="151"/>
      <c r="Q238" s="2350"/>
      <c r="R238" s="2186"/>
      <c r="S238" s="2111"/>
      <c r="T238" s="100"/>
      <c r="U238" s="2349"/>
      <c r="V238" s="2187"/>
      <c r="W238" s="2111"/>
      <c r="X238" s="293"/>
      <c r="Y238" s="100"/>
      <c r="Z238" s="293"/>
      <c r="AA238" s="100"/>
      <c r="AB238" s="100"/>
      <c r="AC238" s="100"/>
      <c r="AD238" s="100">
        <v>3</v>
      </c>
      <c r="AE238" s="100"/>
      <c r="AF238" s="100"/>
      <c r="AG238" s="100">
        <v>0</v>
      </c>
      <c r="AH238" s="100">
        <v>0</v>
      </c>
      <c r="AI238" s="100">
        <v>0</v>
      </c>
      <c r="AJ238" s="100">
        <v>0</v>
      </c>
      <c r="AK238" s="100"/>
      <c r="AL238" s="100"/>
      <c r="AM238" s="100"/>
      <c r="AN238" s="10048"/>
      <c r="AO238" s="99"/>
      <c r="AP238" s="547"/>
      <c r="AQ238" s="547"/>
      <c r="AR238" s="99"/>
      <c r="AS238" s="620" t="s">
        <v>927</v>
      </c>
      <c r="AT238" s="620" t="s">
        <v>884</v>
      </c>
      <c r="AU238" s="159"/>
    </row>
    <row r="239" spans="2:48" ht="20.100000000000001" customHeight="1">
      <c r="B239" s="1865"/>
      <c r="C239" s="10009"/>
      <c r="D239" s="10009"/>
      <c r="E239" s="10009"/>
      <c r="F239" s="253" t="s">
        <v>1834</v>
      </c>
      <c r="G239" s="109" t="s">
        <v>156</v>
      </c>
      <c r="H239" s="228"/>
      <c r="I239" s="92"/>
      <c r="J239" s="228"/>
      <c r="K239" s="92"/>
      <c r="L239" s="228"/>
      <c r="M239" s="297">
        <v>45</v>
      </c>
      <c r="N239" s="1842"/>
      <c r="O239" s="1842">
        <v>70</v>
      </c>
      <c r="P239" s="151"/>
      <c r="Q239" s="2350"/>
      <c r="R239" s="2186"/>
      <c r="S239" s="2111"/>
      <c r="T239" s="100"/>
      <c r="U239" s="2349"/>
      <c r="V239" s="2187"/>
      <c r="W239" s="2111"/>
      <c r="X239" s="293"/>
      <c r="Y239" s="100"/>
      <c r="Z239" s="293"/>
      <c r="AA239" s="100"/>
      <c r="AB239" s="100"/>
      <c r="AC239" s="100"/>
      <c r="AD239" s="100">
        <v>29</v>
      </c>
      <c r="AE239" s="100"/>
      <c r="AF239" s="100"/>
      <c r="AG239" s="100">
        <v>0</v>
      </c>
      <c r="AH239" s="100">
        <v>100</v>
      </c>
      <c r="AI239" s="100">
        <v>100</v>
      </c>
      <c r="AJ239" s="100">
        <v>100</v>
      </c>
      <c r="AK239" s="100"/>
      <c r="AL239" s="100"/>
      <c r="AM239" s="100"/>
      <c r="AN239" s="10048"/>
      <c r="AO239" s="99"/>
      <c r="AP239" s="547"/>
      <c r="AQ239" s="547"/>
      <c r="AR239" s="99"/>
      <c r="AS239" s="620" t="s">
        <v>927</v>
      </c>
      <c r="AT239" s="620" t="s">
        <v>884</v>
      </c>
      <c r="AU239" s="159"/>
    </row>
    <row r="240" spans="2:48" ht="20.100000000000001" customHeight="1">
      <c r="B240" s="1865"/>
      <c r="C240" s="10009"/>
      <c r="D240" s="10009"/>
      <c r="E240" s="10009"/>
      <c r="F240" s="253" t="s">
        <v>1835</v>
      </c>
      <c r="G240" s="109" t="s">
        <v>156</v>
      </c>
      <c r="H240" s="228"/>
      <c r="I240" s="92"/>
      <c r="J240" s="228"/>
      <c r="K240" s="92"/>
      <c r="L240" s="228"/>
      <c r="M240" s="297">
        <v>36</v>
      </c>
      <c r="N240" s="1842"/>
      <c r="O240" s="1842">
        <v>27</v>
      </c>
      <c r="P240" s="151"/>
      <c r="Q240" s="2350"/>
      <c r="R240" s="2186"/>
      <c r="S240" s="2111"/>
      <c r="T240" s="100"/>
      <c r="U240" s="2349"/>
      <c r="V240" s="2187"/>
      <c r="W240" s="2111"/>
      <c r="X240" s="293"/>
      <c r="Y240" s="100"/>
      <c r="Z240" s="293"/>
      <c r="AA240" s="100"/>
      <c r="AB240" s="100"/>
      <c r="AC240" s="100"/>
      <c r="AD240" s="100">
        <v>0</v>
      </c>
      <c r="AE240" s="100"/>
      <c r="AF240" s="100"/>
      <c r="AG240" s="100">
        <v>0</v>
      </c>
      <c r="AH240" s="100">
        <v>0</v>
      </c>
      <c r="AI240" s="100">
        <v>0</v>
      </c>
      <c r="AJ240" s="100">
        <v>0</v>
      </c>
      <c r="AK240" s="100"/>
      <c r="AL240" s="100"/>
      <c r="AM240" s="100"/>
      <c r="AN240" s="10048"/>
      <c r="AO240" s="99"/>
      <c r="AP240" s="547"/>
      <c r="AQ240" s="547"/>
      <c r="AR240" s="99"/>
      <c r="AS240" s="620" t="s">
        <v>927</v>
      </c>
      <c r="AT240" s="620" t="s">
        <v>884</v>
      </c>
      <c r="AU240" s="159"/>
    </row>
    <row r="241" spans="1:49" s="10" customFormat="1" ht="20.100000000000001" customHeight="1">
      <c r="A241" s="11"/>
      <c r="B241" s="1865"/>
      <c r="C241" s="10009" t="s">
        <v>943</v>
      </c>
      <c r="D241" s="10009"/>
      <c r="E241" s="10009"/>
      <c r="F241" s="253" t="s">
        <v>2121</v>
      </c>
      <c r="G241" s="109" t="s">
        <v>156</v>
      </c>
      <c r="H241" s="228"/>
      <c r="I241" s="92"/>
      <c r="J241" s="228"/>
      <c r="K241" s="92"/>
      <c r="L241" s="228"/>
      <c r="M241" s="297">
        <v>45</v>
      </c>
      <c r="N241" s="1842"/>
      <c r="O241" s="1842">
        <v>26</v>
      </c>
      <c r="P241" s="151"/>
      <c r="Q241" s="2350"/>
      <c r="R241" s="2186"/>
      <c r="S241" s="2111"/>
      <c r="T241" s="100"/>
      <c r="U241" s="2349"/>
      <c r="V241" s="2187"/>
      <c r="W241" s="2111"/>
      <c r="X241" s="293"/>
      <c r="Y241" s="100"/>
      <c r="Z241" s="293"/>
      <c r="AA241" s="100"/>
      <c r="AB241" s="100"/>
      <c r="AC241" s="100"/>
      <c r="AD241" s="100">
        <v>5</v>
      </c>
      <c r="AE241" s="100"/>
      <c r="AF241" s="100"/>
      <c r="AG241" s="100">
        <v>1</v>
      </c>
      <c r="AH241" s="100">
        <v>0</v>
      </c>
      <c r="AI241" s="100">
        <v>0</v>
      </c>
      <c r="AJ241" s="100">
        <v>0</v>
      </c>
      <c r="AK241" s="100"/>
      <c r="AL241" s="100"/>
      <c r="AM241" s="100"/>
      <c r="AN241" s="10049" t="s">
        <v>945</v>
      </c>
      <c r="AO241" s="99"/>
      <c r="AP241" s="547"/>
      <c r="AQ241" s="547"/>
      <c r="AR241" s="99"/>
      <c r="AS241" s="620" t="s">
        <v>919</v>
      </c>
      <c r="AT241" s="620" t="s">
        <v>884</v>
      </c>
      <c r="AU241" s="159"/>
      <c r="AW241" s="11"/>
    </row>
    <row r="242" spans="1:49" s="10" customFormat="1" ht="20.100000000000001" customHeight="1">
      <c r="A242" s="11"/>
      <c r="B242" s="1865"/>
      <c r="C242" s="10009"/>
      <c r="D242" s="10009"/>
      <c r="E242" s="10009"/>
      <c r="F242" s="253" t="s">
        <v>2122</v>
      </c>
      <c r="G242" s="109" t="s">
        <v>156</v>
      </c>
      <c r="H242" s="228"/>
      <c r="I242" s="92"/>
      <c r="J242" s="228"/>
      <c r="K242" s="92"/>
      <c r="L242" s="228"/>
      <c r="M242" s="297">
        <v>50</v>
      </c>
      <c r="N242" s="1842"/>
      <c r="O242" s="1842">
        <v>30</v>
      </c>
      <c r="P242" s="151"/>
      <c r="Q242" s="2350"/>
      <c r="R242" s="2186"/>
      <c r="S242" s="2111"/>
      <c r="T242" s="100"/>
      <c r="U242" s="2349"/>
      <c r="V242" s="2187"/>
      <c r="W242" s="2111"/>
      <c r="X242" s="293"/>
      <c r="Y242" s="100"/>
      <c r="Z242" s="293"/>
      <c r="AA242" s="100"/>
      <c r="AB242" s="100"/>
      <c r="AC242" s="100"/>
      <c r="AD242" s="100">
        <v>4</v>
      </c>
      <c r="AE242" s="100"/>
      <c r="AF242" s="100"/>
      <c r="AG242" s="100">
        <v>2</v>
      </c>
      <c r="AH242" s="100">
        <v>0</v>
      </c>
      <c r="AI242" s="100">
        <v>0</v>
      </c>
      <c r="AJ242" s="100">
        <v>0</v>
      </c>
      <c r="AK242" s="100"/>
      <c r="AL242" s="100"/>
      <c r="AM242" s="100"/>
      <c r="AN242" s="10049"/>
      <c r="AO242" s="99"/>
      <c r="AP242" s="547"/>
      <c r="AQ242" s="547"/>
      <c r="AR242" s="99"/>
      <c r="AS242" s="620" t="s">
        <v>919</v>
      </c>
      <c r="AT242" s="620" t="s">
        <v>884</v>
      </c>
      <c r="AU242" s="159"/>
      <c r="AW242" s="11"/>
    </row>
    <row r="243" spans="1:49" s="10" customFormat="1" ht="20.100000000000001" customHeight="1">
      <c r="A243" s="11"/>
      <c r="B243" s="1865"/>
      <c r="C243" s="10009"/>
      <c r="D243" s="10009"/>
      <c r="E243" s="10009"/>
      <c r="F243" s="253" t="s">
        <v>1833</v>
      </c>
      <c r="G243" s="109" t="s">
        <v>156</v>
      </c>
      <c r="H243" s="228"/>
      <c r="I243" s="92"/>
      <c r="J243" s="228"/>
      <c r="K243" s="92"/>
      <c r="L243" s="228"/>
      <c r="M243" s="297">
        <v>47</v>
      </c>
      <c r="N243" s="1842"/>
      <c r="O243" s="1842">
        <v>27</v>
      </c>
      <c r="P243" s="151"/>
      <c r="Q243" s="2350"/>
      <c r="R243" s="2186"/>
      <c r="S243" s="2111"/>
      <c r="T243" s="100"/>
      <c r="U243" s="2349"/>
      <c r="V243" s="2187"/>
      <c r="W243" s="2111"/>
      <c r="X243" s="293"/>
      <c r="Y243" s="100"/>
      <c r="Z243" s="293"/>
      <c r="AA243" s="100"/>
      <c r="AB243" s="100"/>
      <c r="AC243" s="100"/>
      <c r="AD243" s="100">
        <v>4</v>
      </c>
      <c r="AE243" s="100"/>
      <c r="AF243" s="100"/>
      <c r="AG243" s="100">
        <v>2</v>
      </c>
      <c r="AH243" s="100">
        <v>0</v>
      </c>
      <c r="AI243" s="100">
        <v>0</v>
      </c>
      <c r="AJ243" s="100">
        <v>0</v>
      </c>
      <c r="AK243" s="100"/>
      <c r="AL243" s="100"/>
      <c r="AM243" s="100"/>
      <c r="AN243" s="10049"/>
      <c r="AO243" s="99"/>
      <c r="AP243" s="547"/>
      <c r="AQ243" s="547"/>
      <c r="AR243" s="99"/>
      <c r="AS243" s="620" t="s">
        <v>919</v>
      </c>
      <c r="AT243" s="620" t="s">
        <v>884</v>
      </c>
      <c r="AU243" s="159"/>
      <c r="AW243" s="11"/>
    </row>
    <row r="244" spans="1:49" s="10" customFormat="1" ht="20.100000000000001" customHeight="1">
      <c r="A244" s="11"/>
      <c r="B244" s="1865"/>
      <c r="C244" s="10009"/>
      <c r="D244" s="10009"/>
      <c r="E244" s="10009"/>
      <c r="F244" s="253" t="s">
        <v>1834</v>
      </c>
      <c r="G244" s="109" t="s">
        <v>156</v>
      </c>
      <c r="H244" s="228"/>
      <c r="I244" s="92"/>
      <c r="J244" s="228"/>
      <c r="K244" s="92"/>
      <c r="L244" s="228"/>
      <c r="M244" s="297">
        <v>55</v>
      </c>
      <c r="N244" s="1842"/>
      <c r="O244" s="1842">
        <v>30</v>
      </c>
      <c r="P244" s="151"/>
      <c r="Q244" s="2350"/>
      <c r="R244" s="2186"/>
      <c r="S244" s="2111"/>
      <c r="T244" s="100"/>
      <c r="U244" s="2349"/>
      <c r="V244" s="2187"/>
      <c r="W244" s="2111"/>
      <c r="X244" s="293"/>
      <c r="Y244" s="100"/>
      <c r="Z244" s="293"/>
      <c r="AA244" s="100"/>
      <c r="AB244" s="100"/>
      <c r="AC244" s="100"/>
      <c r="AD244" s="100">
        <v>5</v>
      </c>
      <c r="AE244" s="100"/>
      <c r="AF244" s="100"/>
      <c r="AG244" s="100">
        <v>1</v>
      </c>
      <c r="AH244" s="100">
        <v>0</v>
      </c>
      <c r="AI244" s="100">
        <v>0</v>
      </c>
      <c r="AJ244" s="100">
        <v>0</v>
      </c>
      <c r="AK244" s="100"/>
      <c r="AL244" s="100"/>
      <c r="AM244" s="100"/>
      <c r="AN244" s="10049"/>
      <c r="AO244" s="99"/>
      <c r="AP244" s="547"/>
      <c r="AQ244" s="547"/>
      <c r="AR244" s="99"/>
      <c r="AS244" s="620" t="s">
        <v>919</v>
      </c>
      <c r="AT244" s="620" t="s">
        <v>884</v>
      </c>
      <c r="AU244" s="159"/>
      <c r="AW244" s="11"/>
    </row>
    <row r="245" spans="1:49" s="10" customFormat="1" ht="20.100000000000001" customHeight="1" thickBot="1">
      <c r="A245" s="11"/>
      <c r="B245" s="1865"/>
      <c r="C245" s="10009"/>
      <c r="D245" s="10009"/>
      <c r="E245" s="10009"/>
      <c r="F245" s="1863" t="s">
        <v>1835</v>
      </c>
      <c r="G245" s="711" t="s">
        <v>156</v>
      </c>
      <c r="H245" s="592"/>
      <c r="I245" s="749"/>
      <c r="J245" s="592"/>
      <c r="K245" s="749"/>
      <c r="L245" s="592"/>
      <c r="M245" s="750">
        <v>64</v>
      </c>
      <c r="N245" s="1871"/>
      <c r="O245" s="1871">
        <v>73</v>
      </c>
      <c r="P245" s="1837"/>
      <c r="Q245" s="5305"/>
      <c r="R245" s="2244"/>
      <c r="S245" s="2130"/>
      <c r="T245" s="593"/>
      <c r="U245" s="2364"/>
      <c r="V245" s="2245"/>
      <c r="W245" s="2130"/>
      <c r="X245" s="594"/>
      <c r="Y245" s="593"/>
      <c r="Z245" s="594"/>
      <c r="AA245" s="593"/>
      <c r="AB245" s="593"/>
      <c r="AC245" s="593"/>
      <c r="AD245" s="593">
        <v>0</v>
      </c>
      <c r="AE245" s="593"/>
      <c r="AF245" s="593"/>
      <c r="AG245" s="100">
        <v>0</v>
      </c>
      <c r="AH245" s="593">
        <v>0</v>
      </c>
      <c r="AI245" s="593">
        <v>0</v>
      </c>
      <c r="AJ245" s="593">
        <v>0</v>
      </c>
      <c r="AK245" s="593"/>
      <c r="AL245" s="593"/>
      <c r="AM245" s="593"/>
      <c r="AN245" s="10049"/>
      <c r="AO245" s="751"/>
      <c r="AP245" s="597"/>
      <c r="AQ245" s="597"/>
      <c r="AR245" s="751"/>
      <c r="AS245" s="620" t="s">
        <v>919</v>
      </c>
      <c r="AT245" s="620" t="s">
        <v>884</v>
      </c>
      <c r="AU245" s="159"/>
      <c r="AW245" s="11"/>
    </row>
    <row r="246" spans="1:49" s="10" customFormat="1" ht="27" thickBot="1">
      <c r="A246" s="11"/>
      <c r="B246" s="123" t="s">
        <v>952</v>
      </c>
      <c r="C246" s="124"/>
      <c r="D246" s="124"/>
      <c r="E246" s="124"/>
      <c r="F246" s="124"/>
      <c r="G246" s="78"/>
      <c r="H246" s="1732"/>
      <c r="I246" s="1732"/>
      <c r="J246" s="1732"/>
      <c r="K246" s="1732"/>
      <c r="L246" s="1732"/>
      <c r="M246" s="1733"/>
      <c r="N246" s="1734"/>
      <c r="O246" s="1733"/>
      <c r="P246" s="1734"/>
      <c r="Q246" s="1733"/>
      <c r="R246" s="2175"/>
      <c r="S246" s="148"/>
      <c r="T246" s="148"/>
      <c r="U246" s="148"/>
      <c r="V246" s="2176"/>
      <c r="W246" s="148"/>
      <c r="X246" s="148"/>
      <c r="Y246" s="148"/>
      <c r="Z246" s="148"/>
      <c r="AA246" s="148"/>
      <c r="AB246" s="148"/>
      <c r="AC246" s="148"/>
      <c r="AD246" s="148"/>
      <c r="AE246" s="148"/>
      <c r="AF246" s="148"/>
      <c r="AG246" s="148"/>
      <c r="AH246" s="148"/>
      <c r="AI246" s="148"/>
      <c r="AJ246" s="148"/>
      <c r="AK246" s="148"/>
      <c r="AL246" s="148"/>
      <c r="AM246" s="148"/>
      <c r="AN246" s="80"/>
      <c r="AO246" s="129"/>
      <c r="AP246" s="80"/>
      <c r="AQ246" s="80"/>
      <c r="AR246" s="129"/>
      <c r="AS246" s="752"/>
      <c r="AT246" s="328"/>
      <c r="AU246" s="329"/>
      <c r="AW246" s="11"/>
    </row>
    <row r="247" spans="1:49" s="10" customFormat="1" ht="20.100000000000001" customHeight="1">
      <c r="A247" s="11"/>
      <c r="B247" s="1865"/>
      <c r="C247" s="10050" t="s">
        <v>1957</v>
      </c>
      <c r="D247" s="10050"/>
      <c r="E247" s="10050"/>
      <c r="F247" s="1872" t="s">
        <v>2123</v>
      </c>
      <c r="G247" s="758" t="s">
        <v>557</v>
      </c>
      <c r="H247" s="333">
        <v>4</v>
      </c>
      <c r="I247" s="759"/>
      <c r="J247" s="333">
        <v>7</v>
      </c>
      <c r="K247" s="760"/>
      <c r="L247" s="761"/>
      <c r="M247" s="762">
        <v>4</v>
      </c>
      <c r="N247" s="1873" t="s">
        <v>960</v>
      </c>
      <c r="O247" s="762">
        <v>7</v>
      </c>
      <c r="P247" s="1874" t="s">
        <v>960</v>
      </c>
      <c r="Q247" s="5307"/>
      <c r="R247" s="2498">
        <f>W247</f>
        <v>0</v>
      </c>
      <c r="S247" s="2459"/>
      <c r="T247" s="766">
        <f>Y247</f>
        <v>0</v>
      </c>
      <c r="U247" s="2369"/>
      <c r="V247" s="2187">
        <f>AA247</f>
        <v>0</v>
      </c>
      <c r="W247" s="4957">
        <v>0</v>
      </c>
      <c r="X247" s="764">
        <v>0</v>
      </c>
      <c r="Y247" s="765">
        <v>0</v>
      </c>
      <c r="Z247" s="764">
        <v>0</v>
      </c>
      <c r="AA247" s="100">
        <f>AD247+AG247+AJ247+AM247</f>
        <v>0</v>
      </c>
      <c r="AB247" s="766"/>
      <c r="AC247" s="766"/>
      <c r="AD247" s="766">
        <v>0</v>
      </c>
      <c r="AE247" s="766"/>
      <c r="AF247" s="766"/>
      <c r="AG247" s="766">
        <v>0</v>
      </c>
      <c r="AH247" s="766">
        <v>0</v>
      </c>
      <c r="AI247" s="766">
        <v>0</v>
      </c>
      <c r="AJ247" s="766">
        <v>0</v>
      </c>
      <c r="AK247" s="766"/>
      <c r="AL247" s="766"/>
      <c r="AM247" s="766"/>
      <c r="AN247" s="262" t="s">
        <v>956</v>
      </c>
      <c r="AO247" s="642"/>
      <c r="AP247" s="534"/>
      <c r="AQ247" s="767"/>
      <c r="AR247" s="642"/>
      <c r="AS247" s="768" t="s">
        <v>958</v>
      </c>
      <c r="AT247" s="769"/>
      <c r="AU247" s="770"/>
      <c r="AW247" s="11"/>
    </row>
    <row r="248" spans="1:49" s="10" customFormat="1" ht="20.100000000000001" customHeight="1">
      <c r="A248" s="11"/>
      <c r="B248" s="1865"/>
      <c r="C248" s="10042" t="s">
        <v>961</v>
      </c>
      <c r="D248" s="10042"/>
      <c r="E248" s="10042"/>
      <c r="F248" s="893" t="s">
        <v>2124</v>
      </c>
      <c r="G248" s="162" t="s">
        <v>557</v>
      </c>
      <c r="H248" s="298">
        <v>4</v>
      </c>
      <c r="I248" s="605"/>
      <c r="J248" s="298">
        <v>4</v>
      </c>
      <c r="K248" s="772"/>
      <c r="L248" s="228"/>
      <c r="M248" s="297">
        <v>4</v>
      </c>
      <c r="N248" s="1842" t="s">
        <v>960</v>
      </c>
      <c r="O248" s="297">
        <v>4</v>
      </c>
      <c r="P248" s="607" t="s">
        <v>960</v>
      </c>
      <c r="Q248" s="2350"/>
      <c r="R248" s="2186">
        <f>W248</f>
        <v>0</v>
      </c>
      <c r="S248" s="2111"/>
      <c r="T248" s="100">
        <f>Y248</f>
        <v>0</v>
      </c>
      <c r="U248" s="2349"/>
      <c r="V248" s="2187">
        <f>AA248</f>
        <v>0</v>
      </c>
      <c r="W248" s="2131">
        <v>0</v>
      </c>
      <c r="X248" s="484">
        <v>0</v>
      </c>
      <c r="Y248" s="702">
        <v>0</v>
      </c>
      <c r="Z248" s="484">
        <v>0</v>
      </c>
      <c r="AA248" s="100">
        <f>AD248+AG248+AJ248+AM248</f>
        <v>0</v>
      </c>
      <c r="AB248" s="100"/>
      <c r="AC248" s="100"/>
      <c r="AD248" s="100">
        <v>0</v>
      </c>
      <c r="AE248" s="100"/>
      <c r="AF248" s="100"/>
      <c r="AG248" s="100">
        <v>0</v>
      </c>
      <c r="AH248" s="100">
        <v>0</v>
      </c>
      <c r="AI248" s="100">
        <v>0</v>
      </c>
      <c r="AJ248" s="100">
        <v>0</v>
      </c>
      <c r="AK248" s="100"/>
      <c r="AL248" s="100"/>
      <c r="AM248" s="100"/>
      <c r="AN248" s="367" t="s">
        <v>2125</v>
      </c>
      <c r="AO248" s="99"/>
      <c r="AP248" s="547"/>
      <c r="AQ248" s="773"/>
      <c r="AR248" s="99"/>
      <c r="AS248" s="774" t="s">
        <v>965</v>
      </c>
      <c r="AT248" s="775"/>
      <c r="AU248" s="776"/>
      <c r="AW248" s="11"/>
    </row>
    <row r="249" spans="1:49" s="10" customFormat="1" ht="20.100000000000001" customHeight="1">
      <c r="A249" s="11"/>
      <c r="B249" s="1865"/>
      <c r="C249" s="10051" t="s">
        <v>967</v>
      </c>
      <c r="D249" s="10045"/>
      <c r="E249" s="10046"/>
      <c r="F249" s="793"/>
      <c r="G249" s="782"/>
      <c r="H249" s="298"/>
      <c r="I249" s="605"/>
      <c r="J249" s="298"/>
      <c r="K249" s="772"/>
      <c r="L249" s="228"/>
      <c r="M249" s="297"/>
      <c r="N249" s="1842"/>
      <c r="O249" s="297"/>
      <c r="P249" s="607"/>
      <c r="Q249" s="2350"/>
      <c r="R249" s="2186"/>
      <c r="S249" s="2111"/>
      <c r="T249" s="100"/>
      <c r="U249" s="2349"/>
      <c r="V249" s="2187"/>
      <c r="W249" s="2131"/>
      <c r="X249" s="484"/>
      <c r="Y249" s="702"/>
      <c r="Z249" s="484"/>
      <c r="AA249" s="100"/>
      <c r="AB249" s="100"/>
      <c r="AC249" s="100"/>
      <c r="AD249" s="100">
        <v>196</v>
      </c>
      <c r="AE249" s="100"/>
      <c r="AF249" s="100"/>
      <c r="AG249" s="100">
        <v>0</v>
      </c>
      <c r="AH249" s="100">
        <v>0</v>
      </c>
      <c r="AI249" s="100">
        <v>0</v>
      </c>
      <c r="AJ249" s="100">
        <v>0</v>
      </c>
      <c r="AK249" s="100"/>
      <c r="AL249" s="100"/>
      <c r="AM249" s="100"/>
      <c r="AN249" s="367" t="s">
        <v>2126</v>
      </c>
      <c r="AO249" s="99"/>
      <c r="AP249" s="547"/>
      <c r="AQ249" s="773"/>
      <c r="AR249" s="99"/>
      <c r="AS249" s="780" t="s">
        <v>971</v>
      </c>
      <c r="AT249" s="775"/>
      <c r="AU249" s="776"/>
      <c r="AW249" s="11"/>
    </row>
    <row r="250" spans="1:49" s="10" customFormat="1" ht="20.100000000000001" customHeight="1">
      <c r="A250" s="11"/>
      <c r="B250" s="1865"/>
      <c r="C250" s="10042" t="s">
        <v>972</v>
      </c>
      <c r="D250" s="10042"/>
      <c r="E250" s="10042"/>
      <c r="F250" s="10042"/>
      <c r="G250" s="782" t="s">
        <v>156</v>
      </c>
      <c r="H250" s="785">
        <f>IFERROR(H251/H252*100,"-")</f>
        <v>99.801685671789784</v>
      </c>
      <c r="I250" s="772"/>
      <c r="J250" s="785">
        <f>IFERROR(J251/J252*100,"-")</f>
        <v>61.531279178338004</v>
      </c>
      <c r="K250" s="772"/>
      <c r="L250" s="785" t="str">
        <f>IFERROR(L251/L252*100,"-")</f>
        <v>-</v>
      </c>
      <c r="M250" s="785">
        <f>IFERROR(M251/M252*100,"-")</f>
        <v>99.788806758183739</v>
      </c>
      <c r="N250" s="1759"/>
      <c r="O250" s="785">
        <f>IFERROR(O251/O252*100,"-")</f>
        <v>99.602780536246271</v>
      </c>
      <c r="P250" s="1759"/>
      <c r="Q250" s="2368" t="str">
        <f>IFERROR(Q251/Q252*100,"-")</f>
        <v>-</v>
      </c>
      <c r="R250" s="2265">
        <f>IFERROR(R251/R252*100,"-")</f>
        <v>98.425196850393704</v>
      </c>
      <c r="S250" s="2138"/>
      <c r="T250" s="785">
        <f>IFERROR(T251/T252*100,"-")</f>
        <v>97.604790419161674</v>
      </c>
      <c r="U250" s="2368"/>
      <c r="V250" s="2266">
        <f>IFERROR(V251/V252*100,"-")</f>
        <v>99.519230769230774</v>
      </c>
      <c r="W250" s="2138">
        <f>IFERROR(W251/W252*100,"-")</f>
        <v>98.425196850393704</v>
      </c>
      <c r="X250" s="484"/>
      <c r="Y250" s="785">
        <f>IFERROR(Y251/Y252*100,"-")</f>
        <v>97.604790419161674</v>
      </c>
      <c r="Z250" s="484"/>
      <c r="AA250" s="785">
        <f>IFERROR(AA251/AA252*100,"-")</f>
        <v>99.519230769230774</v>
      </c>
      <c r="AB250" s="785" t="str">
        <f t="shared" ref="AB250:AM250" si="44">IFERROR(AB251/AB252*100,"-")</f>
        <v>-</v>
      </c>
      <c r="AC250" s="785" t="str">
        <f t="shared" si="44"/>
        <v>-</v>
      </c>
      <c r="AD250" s="785">
        <f t="shared" si="44"/>
        <v>99.45054945054946</v>
      </c>
      <c r="AE250" s="785" t="str">
        <f t="shared" si="44"/>
        <v>-</v>
      </c>
      <c r="AF250" s="785" t="str">
        <f t="shared" si="44"/>
        <v>-</v>
      </c>
      <c r="AG250" s="785" t="str">
        <f t="shared" si="44"/>
        <v>-</v>
      </c>
      <c r="AH250" s="785">
        <f t="shared" si="44"/>
        <v>100</v>
      </c>
      <c r="AI250" s="785">
        <f t="shared" si="44"/>
        <v>100</v>
      </c>
      <c r="AJ250" s="785">
        <f t="shared" si="44"/>
        <v>100</v>
      </c>
      <c r="AK250" s="785" t="str">
        <f t="shared" si="44"/>
        <v>-</v>
      </c>
      <c r="AL250" s="785" t="str">
        <f t="shared" si="44"/>
        <v>-</v>
      </c>
      <c r="AM250" s="785" t="str">
        <f t="shared" si="44"/>
        <v>-</v>
      </c>
      <c r="AN250" s="367" t="s">
        <v>974</v>
      </c>
      <c r="AO250" s="99"/>
      <c r="AP250" s="547"/>
      <c r="AQ250" s="773"/>
      <c r="AR250" s="99"/>
      <c r="AS250" s="786" t="s">
        <v>976</v>
      </c>
      <c r="AT250" s="775"/>
      <c r="AU250" s="776"/>
      <c r="AW250" s="11"/>
    </row>
    <row r="251" spans="1:49" s="10" customFormat="1" ht="20.100000000000001" customHeight="1">
      <c r="A251" s="11"/>
      <c r="B251" s="1865"/>
      <c r="C251" s="1875"/>
      <c r="D251" s="10043" t="s">
        <v>978</v>
      </c>
      <c r="E251" s="10043"/>
      <c r="F251" s="10043"/>
      <c r="G251" s="782" t="s">
        <v>742</v>
      </c>
      <c r="H251" s="284">
        <v>2013</v>
      </c>
      <c r="I251" s="284"/>
      <c r="J251" s="284">
        <v>1318</v>
      </c>
      <c r="K251" s="283"/>
      <c r="L251" s="1814"/>
      <c r="M251" s="297">
        <v>945</v>
      </c>
      <c r="N251" s="1842">
        <v>0</v>
      </c>
      <c r="O251" s="297">
        <v>1003</v>
      </c>
      <c r="P251" s="607">
        <v>0</v>
      </c>
      <c r="Q251" s="2350"/>
      <c r="R251" s="2186">
        <f>W251</f>
        <v>125</v>
      </c>
      <c r="S251" s="2111"/>
      <c r="T251" s="100">
        <f>Y251</f>
        <v>163</v>
      </c>
      <c r="U251" s="2349"/>
      <c r="V251" s="2187">
        <f>AA251</f>
        <v>207</v>
      </c>
      <c r="W251" s="2131">
        <v>125</v>
      </c>
      <c r="X251" s="613" t="s">
        <v>982</v>
      </c>
      <c r="Y251" s="702">
        <v>163</v>
      </c>
      <c r="Z251" s="613" t="s">
        <v>983</v>
      </c>
      <c r="AA251" s="100">
        <f>AD251+AG251+AJ251+AM251</f>
        <v>207</v>
      </c>
      <c r="AB251" s="100"/>
      <c r="AC251" s="100"/>
      <c r="AD251" s="100">
        <v>181</v>
      </c>
      <c r="AE251" s="100"/>
      <c r="AF251" s="100"/>
      <c r="AG251" s="100">
        <v>0</v>
      </c>
      <c r="AH251" s="100">
        <v>16</v>
      </c>
      <c r="AI251" s="100">
        <v>22</v>
      </c>
      <c r="AJ251" s="100">
        <v>26</v>
      </c>
      <c r="AK251" s="100"/>
      <c r="AL251" s="100"/>
      <c r="AM251" s="100"/>
      <c r="AN251" s="367" t="s">
        <v>980</v>
      </c>
      <c r="AO251" s="99"/>
      <c r="AP251" s="547"/>
      <c r="AQ251" s="773"/>
      <c r="AR251" s="99"/>
      <c r="AS251" s="786" t="s">
        <v>976</v>
      </c>
      <c r="AT251" s="775"/>
      <c r="AU251" s="776"/>
      <c r="AW251" s="11"/>
    </row>
    <row r="252" spans="1:49" s="10" customFormat="1" ht="20.100000000000001" customHeight="1">
      <c r="A252" s="11"/>
      <c r="B252" s="1865"/>
      <c r="C252" s="1875"/>
      <c r="D252" s="10043" t="s">
        <v>984</v>
      </c>
      <c r="E252" s="10043"/>
      <c r="F252" s="10043"/>
      <c r="G252" s="782" t="s">
        <v>742</v>
      </c>
      <c r="H252" s="284">
        <v>2017</v>
      </c>
      <c r="I252" s="284"/>
      <c r="J252" s="284">
        <v>2142</v>
      </c>
      <c r="K252" s="283"/>
      <c r="L252" s="1814"/>
      <c r="M252" s="297">
        <v>947</v>
      </c>
      <c r="N252" s="1842" t="s">
        <v>986</v>
      </c>
      <c r="O252" s="297">
        <v>1007</v>
      </c>
      <c r="P252" s="607" t="s">
        <v>986</v>
      </c>
      <c r="Q252" s="2350"/>
      <c r="R252" s="2186">
        <f>W252</f>
        <v>127</v>
      </c>
      <c r="S252" s="2111"/>
      <c r="T252" s="100">
        <f>Y252</f>
        <v>167</v>
      </c>
      <c r="U252" s="2349"/>
      <c r="V252" s="2187">
        <f>AA252</f>
        <v>208</v>
      </c>
      <c r="W252" s="2131">
        <v>127</v>
      </c>
      <c r="X252" s="613" t="s">
        <v>987</v>
      </c>
      <c r="Y252" s="702">
        <v>167</v>
      </c>
      <c r="Z252" s="613" t="s">
        <v>987</v>
      </c>
      <c r="AA252" s="100">
        <f>AD252+AG252+AJ252+AM252</f>
        <v>208</v>
      </c>
      <c r="AB252" s="100"/>
      <c r="AC252" s="100"/>
      <c r="AD252" s="100">
        <v>182</v>
      </c>
      <c r="AE252" s="100"/>
      <c r="AF252" s="100"/>
      <c r="AG252" s="100">
        <v>0</v>
      </c>
      <c r="AH252" s="100">
        <v>16</v>
      </c>
      <c r="AI252" s="100">
        <v>22</v>
      </c>
      <c r="AJ252" s="100">
        <v>26</v>
      </c>
      <c r="AK252" s="100"/>
      <c r="AL252" s="100"/>
      <c r="AM252" s="100"/>
      <c r="AN252" s="367"/>
      <c r="AO252" s="99"/>
      <c r="AP252" s="547"/>
      <c r="AQ252" s="773"/>
      <c r="AR252" s="99"/>
      <c r="AS252" s="786" t="s">
        <v>976</v>
      </c>
      <c r="AT252" s="775"/>
      <c r="AU252" s="776"/>
      <c r="AW252" s="11"/>
    </row>
    <row r="253" spans="1:49" s="10" customFormat="1" ht="20.100000000000001" customHeight="1">
      <c r="A253" s="11"/>
      <c r="B253" s="1865"/>
      <c r="C253" s="10042" t="s">
        <v>988</v>
      </c>
      <c r="D253" s="10042"/>
      <c r="E253" s="10042"/>
      <c r="F253" s="10042"/>
      <c r="G253" s="782" t="s">
        <v>156</v>
      </c>
      <c r="H253" s="785">
        <f>IFERROR(H254/H255*100,"-")</f>
        <v>52.656546489563574</v>
      </c>
      <c r="I253" s="772"/>
      <c r="J253" s="785">
        <f>IFERROR(J254/J255*100,"-")</f>
        <v>53.500473036896878</v>
      </c>
      <c r="K253" s="772"/>
      <c r="L253" s="785" t="str">
        <f>IFERROR(L254/L255*100,"-")</f>
        <v>-</v>
      </c>
      <c r="M253" s="785">
        <f>IFERROR(M254/M255*100,"-")</f>
        <v>95.938104448742749</v>
      </c>
      <c r="N253" s="1759"/>
      <c r="O253" s="785">
        <f>IFERROR(O254/O255*100,"-")</f>
        <v>99.214145383104125</v>
      </c>
      <c r="P253" s="1759"/>
      <c r="Q253" s="2368" t="str">
        <f>IFERROR(Q254/Q255*100,"-")</f>
        <v>-</v>
      </c>
      <c r="R253" s="2265">
        <f>IFERROR(R254/R255*100,"-")</f>
        <v>90.07633587786259</v>
      </c>
      <c r="S253" s="2138"/>
      <c r="T253" s="785">
        <f>IFERROR(T254/T255*100,"-")</f>
        <v>94.53125</v>
      </c>
      <c r="U253" s="2368"/>
      <c r="V253" s="2266">
        <f>IFERROR(V254/V255*100,"-")</f>
        <v>99.029126213592235</v>
      </c>
      <c r="W253" s="2138">
        <f>IFERROR(W254/W255*100,"-")</f>
        <v>90.07633587786259</v>
      </c>
      <c r="X253" s="613"/>
      <c r="Y253" s="785">
        <f>IFERROR(Y254/Y255*100,"-")</f>
        <v>94.53125</v>
      </c>
      <c r="Z253" s="613"/>
      <c r="AA253" s="785">
        <f>IFERROR(AA254/AA255*100,"-")</f>
        <v>99.029126213592235</v>
      </c>
      <c r="AB253" s="785" t="str">
        <f t="shared" ref="AB253:AM253" si="45">IFERROR(AB254/AB255*100,"-")</f>
        <v>-</v>
      </c>
      <c r="AC253" s="785" t="str">
        <f t="shared" si="45"/>
        <v>-</v>
      </c>
      <c r="AD253" s="785">
        <f t="shared" si="45"/>
        <v>99.029126213592235</v>
      </c>
      <c r="AE253" s="785" t="str">
        <f t="shared" si="45"/>
        <v>-</v>
      </c>
      <c r="AF253" s="785" t="str">
        <f t="shared" si="45"/>
        <v>-</v>
      </c>
      <c r="AG253" s="785" t="str">
        <f t="shared" si="45"/>
        <v>-</v>
      </c>
      <c r="AH253" s="785" t="str">
        <f t="shared" si="45"/>
        <v>-</v>
      </c>
      <c r="AI253" s="785" t="str">
        <f t="shared" si="45"/>
        <v>-</v>
      </c>
      <c r="AJ253" s="785" t="str">
        <f t="shared" si="45"/>
        <v>-</v>
      </c>
      <c r="AK253" s="785" t="str">
        <f t="shared" si="45"/>
        <v>-</v>
      </c>
      <c r="AL253" s="785" t="str">
        <f t="shared" si="45"/>
        <v>-</v>
      </c>
      <c r="AM253" s="785" t="str">
        <f t="shared" si="45"/>
        <v>-</v>
      </c>
      <c r="AN253" s="367" t="s">
        <v>990</v>
      </c>
      <c r="AO253" s="99"/>
      <c r="AP253" s="547"/>
      <c r="AQ253" s="773"/>
      <c r="AR253" s="99"/>
      <c r="AS253" s="786" t="s">
        <v>976</v>
      </c>
      <c r="AT253" s="775"/>
      <c r="AU253" s="776"/>
      <c r="AW253" s="11"/>
    </row>
    <row r="254" spans="1:49" s="10" customFormat="1" ht="20.100000000000001" customHeight="1">
      <c r="A254" s="11"/>
      <c r="B254" s="1865"/>
      <c r="C254" s="1876"/>
      <c r="D254" s="10044" t="s">
        <v>2127</v>
      </c>
      <c r="E254" s="10045"/>
      <c r="F254" s="10046"/>
      <c r="G254" s="782" t="s">
        <v>742</v>
      </c>
      <c r="H254" s="284">
        <v>1110</v>
      </c>
      <c r="I254" s="284"/>
      <c r="J254" s="284">
        <v>1131</v>
      </c>
      <c r="K254" s="283"/>
      <c r="L254" s="1814"/>
      <c r="M254" s="297">
        <v>992</v>
      </c>
      <c r="N254" s="1842" t="s">
        <v>996</v>
      </c>
      <c r="O254" s="297">
        <v>1010</v>
      </c>
      <c r="P254" s="607">
        <v>0</v>
      </c>
      <c r="Q254" s="2350"/>
      <c r="R254" s="2186">
        <f>W254</f>
        <v>118</v>
      </c>
      <c r="S254" s="2111"/>
      <c r="T254" s="100">
        <f>Y254</f>
        <v>121</v>
      </c>
      <c r="U254" s="2349"/>
      <c r="V254" s="2187">
        <f>AA254</f>
        <v>204</v>
      </c>
      <c r="W254" s="2131">
        <v>118</v>
      </c>
      <c r="X254" s="613" t="s">
        <v>997</v>
      </c>
      <c r="Y254" s="702">
        <v>121</v>
      </c>
      <c r="Z254" s="613" t="s">
        <v>998</v>
      </c>
      <c r="AA254" s="100">
        <f t="shared" ref="AA254:AA255" si="46">AD254+AG254+AJ254+AM254</f>
        <v>204</v>
      </c>
      <c r="AB254" s="100"/>
      <c r="AC254" s="100"/>
      <c r="AD254" s="100">
        <v>204</v>
      </c>
      <c r="AE254" s="100"/>
      <c r="AF254" s="100"/>
      <c r="AG254" s="100">
        <v>0</v>
      </c>
      <c r="AH254" s="100">
        <v>0</v>
      </c>
      <c r="AI254" s="100">
        <v>0</v>
      </c>
      <c r="AJ254" s="100">
        <v>0</v>
      </c>
      <c r="AK254" s="100"/>
      <c r="AL254" s="100"/>
      <c r="AM254" s="100"/>
      <c r="AN254" s="367" t="s">
        <v>980</v>
      </c>
      <c r="AO254" s="99"/>
      <c r="AP254" s="547"/>
      <c r="AQ254" s="773"/>
      <c r="AR254" s="99"/>
      <c r="AS254" s="786" t="s">
        <v>976</v>
      </c>
      <c r="AT254" s="775"/>
      <c r="AU254" s="776"/>
      <c r="AW254" s="11"/>
    </row>
    <row r="255" spans="1:49" s="10" customFormat="1" ht="20.100000000000001" customHeight="1">
      <c r="A255" s="11"/>
      <c r="B255" s="1877"/>
      <c r="C255" s="1878"/>
      <c r="D255" s="781" t="s">
        <v>999</v>
      </c>
      <c r="E255" s="793"/>
      <c r="F255" s="1879"/>
      <c r="G255" s="782" t="s">
        <v>742</v>
      </c>
      <c r="H255" s="284">
        <v>2108</v>
      </c>
      <c r="I255" s="284"/>
      <c r="J255" s="284">
        <v>2114</v>
      </c>
      <c r="K255" s="283"/>
      <c r="L255" s="1814"/>
      <c r="M255" s="297">
        <v>1034</v>
      </c>
      <c r="N255" s="1842" t="s">
        <v>986</v>
      </c>
      <c r="O255" s="297">
        <v>1018</v>
      </c>
      <c r="P255" s="607" t="s">
        <v>986</v>
      </c>
      <c r="Q255" s="2350"/>
      <c r="R255" s="2186">
        <f>W255</f>
        <v>131</v>
      </c>
      <c r="S255" s="2111"/>
      <c r="T255" s="100">
        <f>Y255</f>
        <v>128</v>
      </c>
      <c r="U255" s="2349"/>
      <c r="V255" s="2187">
        <f>AA255</f>
        <v>206</v>
      </c>
      <c r="W255" s="2131">
        <v>131</v>
      </c>
      <c r="X255" s="613" t="s">
        <v>987</v>
      </c>
      <c r="Y255" s="702">
        <v>128</v>
      </c>
      <c r="Z255" s="613" t="s">
        <v>987</v>
      </c>
      <c r="AA255" s="100">
        <f t="shared" si="46"/>
        <v>206</v>
      </c>
      <c r="AB255" s="100"/>
      <c r="AC255" s="100"/>
      <c r="AD255" s="100">
        <v>206</v>
      </c>
      <c r="AE255" s="100"/>
      <c r="AF255" s="100"/>
      <c r="AG255" s="100">
        <v>0</v>
      </c>
      <c r="AH255" s="100">
        <v>0</v>
      </c>
      <c r="AI255" s="100">
        <v>0</v>
      </c>
      <c r="AJ255" s="100">
        <v>0</v>
      </c>
      <c r="AK255" s="100"/>
      <c r="AL255" s="100"/>
      <c r="AM255" s="100"/>
      <c r="AN255" s="367"/>
      <c r="AO255" s="99"/>
      <c r="AP255" s="546"/>
      <c r="AQ255" s="773"/>
      <c r="AR255" s="796"/>
      <c r="AS255" s="786" t="s">
        <v>2128</v>
      </c>
      <c r="AT255" s="775"/>
      <c r="AU255" s="776"/>
      <c r="AW255" s="11"/>
    </row>
    <row r="256" spans="1:49" s="10" customFormat="1" ht="20.100000000000001" customHeight="1">
      <c r="A256" s="11"/>
      <c r="B256" s="1865"/>
      <c r="C256" s="10047" t="s">
        <v>1000</v>
      </c>
      <c r="D256" s="10047"/>
      <c r="E256" s="10047"/>
      <c r="F256" s="10047"/>
      <c r="G256" s="91" t="s">
        <v>156</v>
      </c>
      <c r="H256" s="1880">
        <v>73.698193411264612</v>
      </c>
      <c r="I256" s="1880"/>
      <c r="J256" s="1880">
        <v>74.488188976377955</v>
      </c>
      <c r="K256" s="724"/>
      <c r="L256" s="876"/>
      <c r="M256" s="724">
        <v>100</v>
      </c>
      <c r="N256" s="1881"/>
      <c r="O256" s="724">
        <v>100</v>
      </c>
      <c r="P256" s="1881"/>
      <c r="Q256" s="5301"/>
      <c r="R256" s="2267"/>
      <c r="S256" s="2113"/>
      <c r="T256" s="335"/>
      <c r="U256" s="2369"/>
      <c r="V256" s="2268"/>
      <c r="W256" s="2113"/>
      <c r="X256" s="801"/>
      <c r="Y256" s="802">
        <v>100</v>
      </c>
      <c r="Z256" s="801"/>
      <c r="AA256" s="335"/>
      <c r="AB256" s="335"/>
      <c r="AC256" s="335"/>
      <c r="AD256" s="335">
        <v>100</v>
      </c>
      <c r="AE256" s="335"/>
      <c r="AF256" s="335"/>
      <c r="AG256" s="335">
        <v>100</v>
      </c>
      <c r="AH256" s="335">
        <v>0</v>
      </c>
      <c r="AI256" s="335">
        <v>0</v>
      </c>
      <c r="AJ256" s="335">
        <v>0</v>
      </c>
      <c r="AK256" s="335"/>
      <c r="AL256" s="335"/>
      <c r="AM256" s="335"/>
      <c r="AN256" s="544" t="s">
        <v>1002</v>
      </c>
      <c r="AO256" s="808"/>
      <c r="AP256" s="547"/>
      <c r="AQ256" s="547"/>
      <c r="AR256" s="808"/>
      <c r="AS256" s="620" t="s">
        <v>1003</v>
      </c>
      <c r="AT256" s="620" t="s">
        <v>1004</v>
      </c>
      <c r="AU256" s="159"/>
      <c r="AW256" s="11"/>
    </row>
    <row r="257" spans="2:48" ht="20.100000000000001" customHeight="1">
      <c r="B257" s="1754"/>
      <c r="C257" s="10038" t="s">
        <v>1006</v>
      </c>
      <c r="D257" s="9769"/>
      <c r="E257" s="9769"/>
      <c r="F257" s="10039"/>
      <c r="G257" s="810" t="s">
        <v>742</v>
      </c>
      <c r="H257" s="539">
        <v>1387</v>
      </c>
      <c r="I257" s="539"/>
      <c r="J257" s="539">
        <v>1419</v>
      </c>
      <c r="K257" s="540"/>
      <c r="L257" s="228"/>
      <c r="M257" s="540">
        <v>1135</v>
      </c>
      <c r="N257" s="1853"/>
      <c r="O257" s="540">
        <v>1097</v>
      </c>
      <c r="P257" s="1853"/>
      <c r="Q257" s="2350"/>
      <c r="R257" s="2186"/>
      <c r="S257" s="2111"/>
      <c r="T257" s="100"/>
      <c r="U257" s="2349"/>
      <c r="V257" s="2187"/>
      <c r="W257" s="2111"/>
      <c r="X257" s="92"/>
      <c r="Y257" s="702">
        <v>231</v>
      </c>
      <c r="Z257" s="92"/>
      <c r="AA257" s="100">
        <f>AD257+AG257+AJ257+AM257</f>
        <v>223</v>
      </c>
      <c r="AB257" s="100"/>
      <c r="AC257" s="100"/>
      <c r="AD257" s="100">
        <v>196</v>
      </c>
      <c r="AE257" s="100"/>
      <c r="AF257" s="100"/>
      <c r="AG257" s="100">
        <v>27</v>
      </c>
      <c r="AH257" s="100">
        <v>0</v>
      </c>
      <c r="AI257" s="100">
        <v>0</v>
      </c>
      <c r="AJ257" s="100">
        <v>0</v>
      </c>
      <c r="AK257" s="100"/>
      <c r="AL257" s="100"/>
      <c r="AM257" s="100"/>
      <c r="AN257" s="457"/>
      <c r="AO257" s="99"/>
      <c r="AP257" s="547"/>
      <c r="AQ257" s="547"/>
      <c r="AR257" s="99"/>
      <c r="AS257" s="277" t="s">
        <v>1003</v>
      </c>
      <c r="AT257" s="277" t="s">
        <v>1004</v>
      </c>
      <c r="AU257" s="187"/>
    </row>
    <row r="258" spans="2:48" ht="20.100000000000001" customHeight="1" thickBot="1">
      <c r="B258" s="1882"/>
      <c r="C258" s="10040" t="s">
        <v>1010</v>
      </c>
      <c r="D258" s="10040"/>
      <c r="E258" s="10040"/>
      <c r="F258" s="10040"/>
      <c r="G258" s="1883" t="s">
        <v>1011</v>
      </c>
      <c r="H258" s="1884"/>
      <c r="I258" s="1884"/>
      <c r="J258" s="1885"/>
      <c r="K258" s="1886"/>
      <c r="L258" s="592"/>
      <c r="M258" s="1887"/>
      <c r="N258" s="1888"/>
      <c r="O258" s="1887"/>
      <c r="P258" s="1888"/>
      <c r="Q258" s="5305"/>
      <c r="R258" s="2269"/>
      <c r="S258" s="2530"/>
      <c r="T258" s="593"/>
      <c r="U258" s="2373"/>
      <c r="V258" s="2187"/>
      <c r="W258" s="2530"/>
      <c r="X258" s="821"/>
      <c r="Y258" s="593"/>
      <c r="Z258" s="821"/>
      <c r="AA258" s="100">
        <f>AD258+AG258+AJ258+AM258</f>
        <v>0</v>
      </c>
      <c r="AB258" s="593"/>
      <c r="AC258" s="593"/>
      <c r="AD258" s="593">
        <v>0</v>
      </c>
      <c r="AE258" s="593"/>
      <c r="AF258" s="593"/>
      <c r="AG258" s="593">
        <v>0</v>
      </c>
      <c r="AH258" s="593">
        <v>0</v>
      </c>
      <c r="AI258" s="593">
        <v>0</v>
      </c>
      <c r="AJ258" s="593">
        <v>0</v>
      </c>
      <c r="AK258" s="593"/>
      <c r="AL258" s="593"/>
      <c r="AM258" s="593"/>
      <c r="AN258" s="595"/>
      <c r="AO258" s="751"/>
      <c r="AP258" s="547"/>
      <c r="AQ258" s="547"/>
      <c r="AR258" s="219"/>
      <c r="AS258" s="277"/>
      <c r="AT258" s="265" t="s">
        <v>2129</v>
      </c>
      <c r="AU258" s="187"/>
    </row>
    <row r="259" spans="2:48" ht="27" thickBot="1">
      <c r="B259" s="123" t="s">
        <v>1015</v>
      </c>
      <c r="C259" s="124"/>
      <c r="D259" s="124"/>
      <c r="E259" s="124"/>
      <c r="F259" s="124"/>
      <c r="G259" s="78"/>
      <c r="H259" s="1732"/>
      <c r="I259" s="1732"/>
      <c r="J259" s="1732"/>
      <c r="K259" s="1732"/>
      <c r="L259" s="1732"/>
      <c r="M259" s="1733"/>
      <c r="N259" s="1734"/>
      <c r="O259" s="1733"/>
      <c r="P259" s="1734"/>
      <c r="Q259" s="1733"/>
      <c r="R259" s="2175"/>
      <c r="S259" s="148"/>
      <c r="T259" s="148"/>
      <c r="U259" s="148"/>
      <c r="V259" s="2176"/>
      <c r="W259" s="148"/>
      <c r="X259" s="148"/>
      <c r="Y259" s="148"/>
      <c r="Z259" s="148"/>
      <c r="AA259" s="148"/>
      <c r="AB259" s="148"/>
      <c r="AC259" s="148"/>
      <c r="AD259" s="148"/>
      <c r="AE259" s="148"/>
      <c r="AF259" s="148"/>
      <c r="AG259" s="148"/>
      <c r="AH259" s="148"/>
      <c r="AI259" s="148"/>
      <c r="AJ259" s="148"/>
      <c r="AK259" s="148"/>
      <c r="AL259" s="148"/>
      <c r="AM259" s="148"/>
      <c r="AN259" s="80"/>
      <c r="AO259" s="129"/>
      <c r="AP259" s="129"/>
      <c r="AQ259" s="129"/>
      <c r="AR259" s="129"/>
      <c r="AS259" s="328"/>
      <c r="AT259" s="328"/>
      <c r="AU259" s="329"/>
    </row>
    <row r="260" spans="2:48" ht="20.100000000000001" customHeight="1">
      <c r="B260" s="1889"/>
      <c r="C260" s="10016" t="s">
        <v>1017</v>
      </c>
      <c r="D260" s="10016"/>
      <c r="E260" s="10016"/>
      <c r="F260" s="10016"/>
      <c r="G260" s="825" t="s">
        <v>1636</v>
      </c>
      <c r="H260" s="529">
        <f>IFERROR(H261/H262,"-")</f>
        <v>3.141722473604827</v>
      </c>
      <c r="I260" s="525"/>
      <c r="J260" s="529">
        <f>IFERROR(J261/J262,"-")</f>
        <v>8.6399563182527288</v>
      </c>
      <c r="K260" s="527"/>
      <c r="L260" s="528" t="str">
        <f>IFERROR(L261/L262,"-")</f>
        <v>-</v>
      </c>
      <c r="M260" s="1890">
        <f>IFERROR(M261/M262,"-")</f>
        <v>4.2412422907488994</v>
      </c>
      <c r="N260" s="1866"/>
      <c r="O260" s="1890">
        <f>IFERROR(O261/O262,"-")</f>
        <v>14.481002734731085</v>
      </c>
      <c r="P260" s="1866"/>
      <c r="Q260" s="2365" t="str">
        <f>IFERROR(Q261/Q262,"-")</f>
        <v>-</v>
      </c>
      <c r="R260" s="2256">
        <f>IFERROR(R261/R262,"-")</f>
        <v>6.1530054644808745</v>
      </c>
      <c r="S260" s="2527"/>
      <c r="T260" s="529">
        <f t="shared" ref="T260:V260" si="47">IFERROR(T261/T262,"-")</f>
        <v>29.473593073593072</v>
      </c>
      <c r="U260" s="2366"/>
      <c r="V260" s="2249">
        <f t="shared" si="47"/>
        <v>30.965811965811966</v>
      </c>
      <c r="W260" s="2527">
        <f>IFERROR(W261/W262,"-")</f>
        <v>6.1530054644808745</v>
      </c>
      <c r="X260" s="826"/>
      <c r="Y260" s="529">
        <f>IFERROR(Y261/Y262,"-")</f>
        <v>29.473593073593072</v>
      </c>
      <c r="Z260" s="826"/>
      <c r="AA260" s="528">
        <f>IFERROR(AA261/AA262,"-")</f>
        <v>30.965811965811966</v>
      </c>
      <c r="AB260" s="528" t="str">
        <f t="shared" ref="AB260:AM260" si="48">IFERROR(AB261/AB262,"-")</f>
        <v>-</v>
      </c>
      <c r="AC260" s="528" t="str">
        <f t="shared" si="48"/>
        <v>-</v>
      </c>
      <c r="AD260" s="528">
        <f t="shared" si="48"/>
        <v>34.531400966183575</v>
      </c>
      <c r="AE260" s="528" t="str">
        <f t="shared" si="48"/>
        <v>-</v>
      </c>
      <c r="AF260" s="528" t="str">
        <f t="shared" si="48"/>
        <v>-</v>
      </c>
      <c r="AG260" s="528">
        <f t="shared" si="48"/>
        <v>3.6296296296296298</v>
      </c>
      <c r="AH260" s="528" t="str">
        <f t="shared" si="48"/>
        <v>-</v>
      </c>
      <c r="AI260" s="528" t="str">
        <f t="shared" si="48"/>
        <v>-</v>
      </c>
      <c r="AJ260" s="528" t="str">
        <f t="shared" si="48"/>
        <v>-</v>
      </c>
      <c r="AK260" s="528" t="str">
        <f t="shared" si="48"/>
        <v>-</v>
      </c>
      <c r="AL260" s="528" t="str">
        <f t="shared" si="48"/>
        <v>-</v>
      </c>
      <c r="AM260" s="528" t="str">
        <f t="shared" si="48"/>
        <v>-</v>
      </c>
      <c r="AN260" s="443" t="s">
        <v>2130</v>
      </c>
      <c r="AO260" s="642"/>
      <c r="AP260" s="534"/>
      <c r="AQ260" s="534"/>
      <c r="AR260" s="642"/>
      <c r="AS260" s="620" t="s">
        <v>2131</v>
      </c>
      <c r="AT260" s="620" t="s">
        <v>1024</v>
      </c>
      <c r="AU260" s="159"/>
    </row>
    <row r="261" spans="2:48" ht="20.100000000000001" customHeight="1">
      <c r="B261" s="1889"/>
      <c r="C261" s="1868"/>
      <c r="D261" s="10022" t="s">
        <v>1025</v>
      </c>
      <c r="E261" s="10022"/>
      <c r="F261" s="10022"/>
      <c r="G261" s="810" t="s">
        <v>1018</v>
      </c>
      <c r="H261" s="539">
        <v>10414.810000000001</v>
      </c>
      <c r="I261" s="539"/>
      <c r="J261" s="539">
        <v>27691.059999999998</v>
      </c>
      <c r="K261" s="540"/>
      <c r="L261" s="228"/>
      <c r="M261" s="540">
        <v>4813.8100000000004</v>
      </c>
      <c r="N261" s="1853" t="s">
        <v>1027</v>
      </c>
      <c r="O261" s="540">
        <v>15885.66</v>
      </c>
      <c r="P261" s="1853" t="s">
        <v>1027</v>
      </c>
      <c r="Q261" s="2350"/>
      <c r="R261" s="2186">
        <f t="shared" ref="R261" si="49">W261</f>
        <v>1126</v>
      </c>
      <c r="S261" s="2111"/>
      <c r="T261" s="100">
        <f t="shared" ref="T261:T262" si="50">Y261</f>
        <v>6808.4</v>
      </c>
      <c r="U261" s="2349"/>
      <c r="V261" s="2187">
        <f t="shared" ref="V261:V262" si="51">AA261</f>
        <v>7246</v>
      </c>
      <c r="W261" s="2131">
        <v>1126</v>
      </c>
      <c r="X261" s="92">
        <v>0</v>
      </c>
      <c r="Y261" s="702">
        <v>6808.4</v>
      </c>
      <c r="Z261" s="92">
        <v>0</v>
      </c>
      <c r="AA261" s="100">
        <f>AD261+AG261+AJ261+AM261</f>
        <v>7246</v>
      </c>
      <c r="AB261" s="100"/>
      <c r="AC261" s="100"/>
      <c r="AD261" s="100">
        <v>7148</v>
      </c>
      <c r="AE261" s="100"/>
      <c r="AF261" s="100"/>
      <c r="AG261" s="100">
        <v>98</v>
      </c>
      <c r="AH261" s="697"/>
      <c r="AI261" s="697"/>
      <c r="AJ261" s="697"/>
      <c r="AK261" s="100"/>
      <c r="AL261" s="100"/>
      <c r="AM261" s="100"/>
      <c r="AN261" s="457"/>
      <c r="AO261" s="99"/>
      <c r="AP261" s="547"/>
      <c r="AQ261" s="547"/>
      <c r="AR261" s="99"/>
      <c r="AS261" s="620" t="s">
        <v>2131</v>
      </c>
      <c r="AT261" s="620" t="s">
        <v>1024</v>
      </c>
      <c r="AU261" s="159"/>
    </row>
    <row r="262" spans="2:48" ht="20.100000000000001" customHeight="1">
      <c r="B262" s="1889"/>
      <c r="C262" s="1868"/>
      <c r="D262" s="10022" t="s">
        <v>1031</v>
      </c>
      <c r="E262" s="10022"/>
      <c r="F262" s="10022"/>
      <c r="G262" s="810" t="s">
        <v>742</v>
      </c>
      <c r="H262" s="539">
        <v>3315</v>
      </c>
      <c r="I262" s="539"/>
      <c r="J262" s="539">
        <v>3205</v>
      </c>
      <c r="K262" s="540"/>
      <c r="L262" s="228"/>
      <c r="M262" s="540">
        <v>1135</v>
      </c>
      <c r="N262" s="1853" t="s">
        <v>1033</v>
      </c>
      <c r="O262" s="540">
        <v>1097</v>
      </c>
      <c r="P262" s="1853" t="s">
        <v>1033</v>
      </c>
      <c r="Q262" s="2350"/>
      <c r="R262" s="2342">
        <f>R196</f>
        <v>183</v>
      </c>
      <c r="S262" s="2116"/>
      <c r="T262" s="378">
        <f t="shared" si="50"/>
        <v>231</v>
      </c>
      <c r="U262" s="2352"/>
      <c r="V262" s="2343">
        <f t="shared" si="51"/>
        <v>234</v>
      </c>
      <c r="W262" s="2131">
        <v>183</v>
      </c>
      <c r="X262" s="92">
        <v>0</v>
      </c>
      <c r="Y262" s="702">
        <v>231</v>
      </c>
      <c r="Z262" s="92">
        <v>0</v>
      </c>
      <c r="AA262" s="100">
        <f>AD262+AG262+AJ262+AM262</f>
        <v>234</v>
      </c>
      <c r="AB262" s="100"/>
      <c r="AC262" s="100"/>
      <c r="AD262" s="100">
        <v>207</v>
      </c>
      <c r="AE262" s="100"/>
      <c r="AF262" s="100"/>
      <c r="AG262" s="100">
        <v>27</v>
      </c>
      <c r="AH262" s="697"/>
      <c r="AI262" s="697"/>
      <c r="AJ262" s="697"/>
      <c r="AK262" s="100"/>
      <c r="AL262" s="100"/>
      <c r="AM262" s="100"/>
      <c r="AN262" s="457"/>
      <c r="AO262" s="99"/>
      <c r="AP262" s="547"/>
      <c r="AQ262" s="547"/>
      <c r="AR262" s="99"/>
      <c r="AS262" s="620" t="s">
        <v>2131</v>
      </c>
      <c r="AT262" s="620" t="s">
        <v>1024</v>
      </c>
      <c r="AU262" s="159"/>
    </row>
    <row r="263" spans="2:48" ht="20.100000000000001" customHeight="1">
      <c r="B263" s="1891"/>
      <c r="C263" s="10041" t="s">
        <v>1036</v>
      </c>
      <c r="D263" s="10041"/>
      <c r="E263" s="10041"/>
      <c r="F263" s="10041"/>
      <c r="G263" s="109" t="s">
        <v>1042</v>
      </c>
      <c r="H263" s="356">
        <f>IFERROR(H264/H262,"-")</f>
        <v>8663.1109733936646</v>
      </c>
      <c r="I263" s="95"/>
      <c r="J263" s="356">
        <f>IFERROR(J264/J262,"-")</f>
        <v>70793.36359201248</v>
      </c>
      <c r="K263" s="92"/>
      <c r="L263" s="356" t="str">
        <f>IFERROR(L264/L262,"-")</f>
        <v>-</v>
      </c>
      <c r="M263" s="356">
        <f>IFERROR(M264/M262,"-")</f>
        <v>33.206007577092507</v>
      </c>
      <c r="N263" s="1892"/>
      <c r="O263" s="356">
        <f>IFERROR(O264/O262,"-")</f>
        <v>43.617138377392891</v>
      </c>
      <c r="P263" s="1893"/>
      <c r="Q263" s="2065" t="str">
        <f>IFERROR(Q264/Q262,"-")</f>
        <v>-</v>
      </c>
      <c r="R263" s="2226"/>
      <c r="S263" s="456"/>
      <c r="T263" s="356"/>
      <c r="U263" s="2065"/>
      <c r="V263" s="2241"/>
      <c r="W263" s="456">
        <f>IFERROR(W264/W262,"-")</f>
        <v>9.2303234972677597</v>
      </c>
      <c r="X263" s="293"/>
      <c r="Y263" s="356">
        <f>IFERROR(Y264/Y262,"-")</f>
        <v>37.379054545454551</v>
      </c>
      <c r="Z263" s="293"/>
      <c r="AA263" s="356">
        <f>IFERROR(AA264/AA262,"-")</f>
        <v>0</v>
      </c>
      <c r="AB263" s="356" t="str">
        <f t="shared" ref="AB263:AM263" si="52">IFERROR(AB264/AB262,"-")</f>
        <v>-</v>
      </c>
      <c r="AC263" s="356" t="str">
        <f t="shared" si="52"/>
        <v>-</v>
      </c>
      <c r="AD263" s="356">
        <f t="shared" si="52"/>
        <v>55.376811594202898</v>
      </c>
      <c r="AE263" s="356" t="str">
        <f t="shared" si="52"/>
        <v>-</v>
      </c>
      <c r="AF263" s="356" t="str">
        <f t="shared" si="52"/>
        <v>-</v>
      </c>
      <c r="AG263" s="356">
        <f t="shared" si="52"/>
        <v>0</v>
      </c>
      <c r="AH263" s="356" t="str">
        <f t="shared" si="52"/>
        <v>-</v>
      </c>
      <c r="AI263" s="356" t="str">
        <f t="shared" si="52"/>
        <v>-</v>
      </c>
      <c r="AJ263" s="356" t="str">
        <f t="shared" si="52"/>
        <v>-</v>
      </c>
      <c r="AK263" s="356" t="str">
        <f t="shared" si="52"/>
        <v>-</v>
      </c>
      <c r="AL263" s="356" t="str">
        <f t="shared" si="52"/>
        <v>-</v>
      </c>
      <c r="AM263" s="356" t="str">
        <f t="shared" si="52"/>
        <v>-</v>
      </c>
      <c r="AN263" s="457" t="s">
        <v>1038</v>
      </c>
      <c r="AO263" s="99"/>
      <c r="AP263" s="547"/>
      <c r="AQ263" s="547"/>
      <c r="AR263" s="99"/>
      <c r="AS263" s="620" t="s">
        <v>1040</v>
      </c>
      <c r="AT263" s="620"/>
      <c r="AU263" s="159"/>
    </row>
    <row r="264" spans="2:48" ht="20.100000000000001" customHeight="1">
      <c r="B264" s="1891"/>
      <c r="C264" s="1868"/>
      <c r="D264" s="10022" t="s">
        <v>1045</v>
      </c>
      <c r="E264" s="10022"/>
      <c r="F264" s="10022"/>
      <c r="G264" s="109" t="s">
        <v>1048</v>
      </c>
      <c r="H264" s="297">
        <v>28718212.876800001</v>
      </c>
      <c r="I264" s="92"/>
      <c r="J264" s="297">
        <v>226892730.31240001</v>
      </c>
      <c r="K264" s="92"/>
      <c r="L264" s="228"/>
      <c r="M264" s="1818">
        <v>37688.818599999999</v>
      </c>
      <c r="N264" s="1819">
        <v>33.206007577092507</v>
      </c>
      <c r="O264" s="1894">
        <v>47848.000800000002</v>
      </c>
      <c r="P264" s="1895">
        <v>43.617138377392891</v>
      </c>
      <c r="Q264" s="2350"/>
      <c r="R264" s="2186"/>
      <c r="S264" s="2111"/>
      <c r="T264" s="100"/>
      <c r="U264" s="2349"/>
      <c r="V264" s="2187"/>
      <c r="W264" s="2131">
        <v>1689.1492000000001</v>
      </c>
      <c r="X264" s="293">
        <v>0</v>
      </c>
      <c r="Y264" s="702">
        <v>8634.5616000000009</v>
      </c>
      <c r="Z264" s="293">
        <v>0</v>
      </c>
      <c r="AA264" s="100"/>
      <c r="AB264" s="100"/>
      <c r="AC264" s="100"/>
      <c r="AD264" s="100">
        <v>11463</v>
      </c>
      <c r="AE264" s="100"/>
      <c r="AF264" s="100"/>
      <c r="AG264" s="100">
        <v>0</v>
      </c>
      <c r="AH264" s="697" t="s">
        <v>2132</v>
      </c>
      <c r="AI264" s="697" t="s">
        <v>2132</v>
      </c>
      <c r="AJ264" s="697" t="s">
        <v>2132</v>
      </c>
      <c r="AK264" s="100"/>
      <c r="AL264" s="100"/>
      <c r="AM264" s="100"/>
      <c r="AN264" s="457"/>
      <c r="AO264" s="99"/>
      <c r="AP264" s="547"/>
      <c r="AQ264" s="547"/>
      <c r="AR264" s="99"/>
      <c r="AS264" s="620" t="s">
        <v>1040</v>
      </c>
      <c r="AT264" s="620"/>
      <c r="AU264" s="159"/>
    </row>
    <row r="265" spans="2:48" s="837" customFormat="1" ht="20.100000000000001" customHeight="1">
      <c r="B265" s="1896"/>
      <c r="C265" s="10023" t="s">
        <v>1050</v>
      </c>
      <c r="D265" s="10023"/>
      <c r="E265" s="10023"/>
      <c r="F265" s="10023"/>
      <c r="G265" s="162" t="s">
        <v>1051</v>
      </c>
      <c r="H265" s="391" t="str">
        <f>IFERROR(H266/H267*100,"-")</f>
        <v>-</v>
      </c>
      <c r="I265" s="95"/>
      <c r="J265" s="391">
        <f>IFERROR(J266/J267*100,"-")</f>
        <v>83.155397390272839</v>
      </c>
      <c r="K265" s="95"/>
      <c r="L265" s="391" t="str">
        <f>IFERROR(L266/L267*100,"-")</f>
        <v>-</v>
      </c>
      <c r="M265" s="391" t="str">
        <f>IFERROR(M266/M267*100,"-")</f>
        <v>-</v>
      </c>
      <c r="N265" s="1759"/>
      <c r="O265" s="391">
        <f>IFERROR(O266/O267*100,"-")</f>
        <v>82.710926694329174</v>
      </c>
      <c r="P265" s="1893"/>
      <c r="Q265" s="2090" t="str">
        <f>IFERROR(Q266/Q267*100,"-")</f>
        <v>-</v>
      </c>
      <c r="R265" s="2270"/>
      <c r="S265" s="2117"/>
      <c r="T265" s="391"/>
      <c r="U265" s="2090"/>
      <c r="V265" s="2216"/>
      <c r="W265" s="2117" t="str">
        <f>IFERROR(W266/W267*100,"-")</f>
        <v>-</v>
      </c>
      <c r="X265" s="484"/>
      <c r="Y265" s="391">
        <f>IFERROR(Y266/Y267*100,"-")</f>
        <v>85.833333333333329</v>
      </c>
      <c r="Z265" s="484"/>
      <c r="AA265" s="391">
        <f>IFERROR(AA266/AA267*100,"-")</f>
        <v>87.692307692307693</v>
      </c>
      <c r="AB265" s="391" t="str">
        <f t="shared" ref="AB265:AM265" si="53">IFERROR(AB266/AB267*100,"-")</f>
        <v>-</v>
      </c>
      <c r="AC265" s="391" t="str">
        <f t="shared" si="53"/>
        <v>-</v>
      </c>
      <c r="AD265" s="391">
        <f t="shared" si="53"/>
        <v>87.692307692307693</v>
      </c>
      <c r="AE265" s="391" t="str">
        <f t="shared" si="53"/>
        <v>-</v>
      </c>
      <c r="AF265" s="391" t="str">
        <f t="shared" si="53"/>
        <v>-</v>
      </c>
      <c r="AG265" s="391" t="str">
        <f t="shared" si="53"/>
        <v>-</v>
      </c>
      <c r="AH265" s="391" t="str">
        <f t="shared" si="53"/>
        <v>-</v>
      </c>
      <c r="AI265" s="391" t="str">
        <f t="shared" si="53"/>
        <v>-</v>
      </c>
      <c r="AJ265" s="391" t="str">
        <f t="shared" si="53"/>
        <v>-</v>
      </c>
      <c r="AK265" s="391" t="str">
        <f t="shared" si="53"/>
        <v>-</v>
      </c>
      <c r="AL265" s="391" t="str">
        <f t="shared" si="53"/>
        <v>-</v>
      </c>
      <c r="AM265" s="391" t="str">
        <f t="shared" si="53"/>
        <v>-</v>
      </c>
      <c r="AN265" s="830" t="s">
        <v>1054</v>
      </c>
      <c r="AO265" s="831"/>
      <c r="AP265" s="832"/>
      <c r="AQ265" s="832"/>
      <c r="AR265" s="831"/>
      <c r="AS265" s="833" t="s">
        <v>1056</v>
      </c>
      <c r="AT265" s="834"/>
      <c r="AU265" s="835"/>
      <c r="AV265" s="1897"/>
    </row>
    <row r="266" spans="2:48" s="837" customFormat="1" ht="20.100000000000001" customHeight="1">
      <c r="B266" s="1896"/>
      <c r="C266" s="1820"/>
      <c r="D266" s="619" t="s">
        <v>1058</v>
      </c>
      <c r="E266" s="306"/>
      <c r="F266" s="614"/>
      <c r="G266" s="179" t="s">
        <v>742</v>
      </c>
      <c r="H266" s="540">
        <v>0</v>
      </c>
      <c r="I266" s="540"/>
      <c r="J266" s="540">
        <v>701</v>
      </c>
      <c r="K266" s="1898" t="s">
        <v>1832</v>
      </c>
      <c r="L266" s="228"/>
      <c r="M266" s="540">
        <v>0</v>
      </c>
      <c r="N266" s="1853">
        <v>0</v>
      </c>
      <c r="O266" s="540">
        <v>598</v>
      </c>
      <c r="P266" s="1898" t="s">
        <v>1061</v>
      </c>
      <c r="Q266" s="2350"/>
      <c r="R266" s="2186">
        <f t="shared" ref="R266:R267" si="54">W266</f>
        <v>0</v>
      </c>
      <c r="S266" s="2111"/>
      <c r="T266" s="100">
        <f t="shared" ref="T266:T267" si="55">Y266</f>
        <v>103</v>
      </c>
      <c r="U266" s="2349"/>
      <c r="V266" s="2187">
        <f t="shared" ref="V266:V267" si="56">AA266</f>
        <v>114</v>
      </c>
      <c r="W266" s="2131">
        <v>0</v>
      </c>
      <c r="X266" s="607" t="s">
        <v>1063</v>
      </c>
      <c r="Y266" s="702">
        <v>103</v>
      </c>
      <c r="Z266" s="607" t="s">
        <v>1064</v>
      </c>
      <c r="AA266" s="100">
        <f t="shared" ref="AA266:AA267" si="57">AD266+AG266+AJ266+AM266</f>
        <v>114</v>
      </c>
      <c r="AB266" s="100"/>
      <c r="AC266" s="100"/>
      <c r="AD266" s="100">
        <v>114</v>
      </c>
      <c r="AE266" s="100"/>
      <c r="AF266" s="100"/>
      <c r="AG266" s="100">
        <v>0</v>
      </c>
      <c r="AH266" s="697"/>
      <c r="AI266" s="697"/>
      <c r="AJ266" s="697"/>
      <c r="AK266" s="100"/>
      <c r="AL266" s="100"/>
      <c r="AM266" s="100"/>
      <c r="AN266" s="841"/>
      <c r="AO266" s="831"/>
      <c r="AP266" s="832"/>
      <c r="AQ266" s="832"/>
      <c r="AR266" s="831"/>
      <c r="AS266" s="833" t="s">
        <v>1056</v>
      </c>
      <c r="AT266" s="842"/>
      <c r="AU266" s="843"/>
      <c r="AV266" s="1897"/>
    </row>
    <row r="267" spans="2:48" s="837" customFormat="1" ht="20.100000000000001" customHeight="1" thickBot="1">
      <c r="B267" s="1896"/>
      <c r="C267" s="1899"/>
      <c r="D267" s="844" t="s">
        <v>1069</v>
      </c>
      <c r="E267" s="323"/>
      <c r="F267" s="1381"/>
      <c r="G267" s="849" t="s">
        <v>742</v>
      </c>
      <c r="H267" s="1886">
        <v>0</v>
      </c>
      <c r="I267" s="1886"/>
      <c r="J267" s="1886">
        <v>843</v>
      </c>
      <c r="K267" s="1900" t="s">
        <v>1832</v>
      </c>
      <c r="L267" s="592"/>
      <c r="M267" s="1886">
        <v>0</v>
      </c>
      <c r="N267" s="1888" t="s">
        <v>1060</v>
      </c>
      <c r="O267" s="1886">
        <v>723</v>
      </c>
      <c r="P267" s="1900" t="s">
        <v>1071</v>
      </c>
      <c r="Q267" s="5305"/>
      <c r="R267" s="2244">
        <f t="shared" si="54"/>
        <v>0</v>
      </c>
      <c r="S267" s="2130"/>
      <c r="T267" s="593">
        <f t="shared" si="55"/>
        <v>120</v>
      </c>
      <c r="U267" s="2364"/>
      <c r="V267" s="2245">
        <f t="shared" si="56"/>
        <v>130</v>
      </c>
      <c r="W267" s="5315">
        <v>0</v>
      </c>
      <c r="X267" s="851" t="s">
        <v>1063</v>
      </c>
      <c r="Y267" s="852">
        <v>120</v>
      </c>
      <c r="Z267" s="238">
        <v>0</v>
      </c>
      <c r="AA267" s="593">
        <f t="shared" si="57"/>
        <v>130</v>
      </c>
      <c r="AB267" s="593"/>
      <c r="AC267" s="593"/>
      <c r="AD267" s="593">
        <v>130</v>
      </c>
      <c r="AE267" s="593"/>
      <c r="AF267" s="593"/>
      <c r="AG267" s="593">
        <v>0</v>
      </c>
      <c r="AH267" s="697"/>
      <c r="AI267" s="697"/>
      <c r="AJ267" s="697"/>
      <c r="AK267" s="593"/>
      <c r="AL267" s="593"/>
      <c r="AM267" s="593"/>
      <c r="AN267" s="857"/>
      <c r="AO267" s="858"/>
      <c r="AP267" s="859"/>
      <c r="AQ267" s="859"/>
      <c r="AR267" s="858"/>
      <c r="AS267" s="833" t="s">
        <v>1056</v>
      </c>
      <c r="AT267" s="842"/>
      <c r="AU267" s="843"/>
      <c r="AV267" s="1897"/>
    </row>
    <row r="268" spans="2:48" ht="27" thickBot="1">
      <c r="B268" s="123" t="s">
        <v>1074</v>
      </c>
      <c r="C268" s="124"/>
      <c r="D268" s="124"/>
      <c r="E268" s="124"/>
      <c r="F268" s="1132"/>
      <c r="G268" s="78"/>
      <c r="H268" s="1732"/>
      <c r="I268" s="1732"/>
      <c r="J268" s="1732"/>
      <c r="K268" s="1732"/>
      <c r="L268" s="1732"/>
      <c r="M268" s="1733"/>
      <c r="N268" s="1734"/>
      <c r="O268" s="1733"/>
      <c r="P268" s="1734"/>
      <c r="Q268" s="1733"/>
      <c r="R268" s="2175"/>
      <c r="S268" s="148"/>
      <c r="T268" s="148"/>
      <c r="U268" s="148"/>
      <c r="V268" s="2176"/>
      <c r="W268" s="148"/>
      <c r="X268" s="148"/>
      <c r="Y268" s="148"/>
      <c r="Z268" s="148"/>
      <c r="AA268" s="148"/>
      <c r="AB268" s="148"/>
      <c r="AC268" s="148"/>
      <c r="AD268" s="148"/>
      <c r="AE268" s="148"/>
      <c r="AF268" s="148"/>
      <c r="AG268" s="148"/>
      <c r="AH268" s="148"/>
      <c r="AI268" s="148"/>
      <c r="AJ268" s="148"/>
      <c r="AK268" s="148"/>
      <c r="AL268" s="148"/>
      <c r="AM268" s="148"/>
      <c r="AN268" s="80"/>
      <c r="AO268" s="129"/>
      <c r="AP268" s="129"/>
      <c r="AQ268" s="129"/>
      <c r="AR268" s="129"/>
      <c r="AS268" s="328"/>
      <c r="AT268" s="328"/>
      <c r="AU268" s="329"/>
    </row>
    <row r="269" spans="2:48" ht="19.350000000000001" customHeight="1">
      <c r="B269" s="1762"/>
      <c r="C269" s="10024" t="s">
        <v>1075</v>
      </c>
      <c r="D269" s="10027" t="s">
        <v>1077</v>
      </c>
      <c r="E269" s="10028"/>
      <c r="F269" s="10029"/>
      <c r="G269" s="109" t="s">
        <v>154</v>
      </c>
      <c r="H269" s="762">
        <v>15.789473684210526</v>
      </c>
      <c r="I269" s="762"/>
      <c r="J269" s="762">
        <v>9.0909090909090917</v>
      </c>
      <c r="K269" s="826"/>
      <c r="L269" s="761"/>
      <c r="M269" s="762">
        <v>20</v>
      </c>
      <c r="N269" s="1873"/>
      <c r="O269" s="762">
        <v>0</v>
      </c>
      <c r="P269" s="1901"/>
      <c r="Q269" s="5307"/>
      <c r="R269" s="2498"/>
      <c r="S269" s="2459"/>
      <c r="T269" s="766"/>
      <c r="U269" s="4958"/>
      <c r="V269" s="2403"/>
      <c r="W269" s="2459"/>
      <c r="X269" s="826"/>
      <c r="Y269" s="765">
        <v>0</v>
      </c>
      <c r="Z269" s="826"/>
      <c r="AA269" s="766"/>
      <c r="AB269" s="766"/>
      <c r="AC269" s="766"/>
      <c r="AD269" s="766">
        <v>0</v>
      </c>
      <c r="AE269" s="766"/>
      <c r="AF269" s="766"/>
      <c r="AG269" s="766">
        <v>0</v>
      </c>
      <c r="AH269" s="766">
        <v>0</v>
      </c>
      <c r="AI269" s="766">
        <v>0</v>
      </c>
      <c r="AJ269" s="766">
        <v>0</v>
      </c>
      <c r="AK269" s="766"/>
      <c r="AL269" s="766"/>
      <c r="AM269" s="766"/>
      <c r="AN269" s="443"/>
      <c r="AO269" s="642"/>
      <c r="AP269" s="534"/>
      <c r="AQ269" s="534"/>
      <c r="AR269" s="642"/>
      <c r="AS269" s="265"/>
      <c r="AT269" s="265" t="s">
        <v>807</v>
      </c>
      <c r="AU269" s="187"/>
    </row>
    <row r="270" spans="2:48" ht="19.350000000000001" customHeight="1">
      <c r="B270" s="1754"/>
      <c r="C270" s="10025"/>
      <c r="D270" s="10030" t="s">
        <v>1082</v>
      </c>
      <c r="E270" s="10031"/>
      <c r="F270" s="10032"/>
      <c r="G270" s="109" t="s">
        <v>154</v>
      </c>
      <c r="H270" s="879"/>
      <c r="I270" s="297"/>
      <c r="J270" s="879"/>
      <c r="K270" s="92"/>
      <c r="L270" s="228"/>
      <c r="M270" s="879"/>
      <c r="N270" s="1842"/>
      <c r="O270" s="879"/>
      <c r="P270" s="151"/>
      <c r="Q270" s="2350"/>
      <c r="R270" s="2186"/>
      <c r="S270" s="2111"/>
      <c r="T270" s="100"/>
      <c r="U270" s="2349"/>
      <c r="V270" s="2187"/>
      <c r="W270" s="2111"/>
      <c r="X270" s="92"/>
      <c r="Y270" s="100"/>
      <c r="Z270" s="92"/>
      <c r="AA270" s="100"/>
      <c r="AB270" s="100"/>
      <c r="AC270" s="100"/>
      <c r="AD270" s="100">
        <v>100</v>
      </c>
      <c r="AE270" s="100"/>
      <c r="AF270" s="100"/>
      <c r="AG270" s="100">
        <v>0</v>
      </c>
      <c r="AH270" s="100">
        <v>0</v>
      </c>
      <c r="AI270" s="100">
        <v>0</v>
      </c>
      <c r="AJ270" s="100">
        <v>0</v>
      </c>
      <c r="AK270" s="100"/>
      <c r="AL270" s="100"/>
      <c r="AM270" s="100"/>
      <c r="AN270" s="457"/>
      <c r="AO270" s="99"/>
      <c r="AP270" s="547"/>
      <c r="AQ270" s="547"/>
      <c r="AR270" s="99"/>
      <c r="AS270" s="265"/>
      <c r="AT270" s="265" t="s">
        <v>807</v>
      </c>
      <c r="AU270" s="187"/>
    </row>
    <row r="271" spans="2:48" ht="19.350000000000001" customHeight="1">
      <c r="B271" s="1754"/>
      <c r="C271" s="10025"/>
      <c r="D271" s="9959" t="s">
        <v>1084</v>
      </c>
      <c r="E271" s="253" t="s">
        <v>1833</v>
      </c>
      <c r="F271" s="253"/>
      <c r="G271" s="109" t="s">
        <v>154</v>
      </c>
      <c r="H271" s="879"/>
      <c r="I271" s="297"/>
      <c r="J271" s="879"/>
      <c r="K271" s="92"/>
      <c r="L271" s="228"/>
      <c r="M271" s="879"/>
      <c r="N271" s="1842"/>
      <c r="O271" s="879"/>
      <c r="P271" s="151"/>
      <c r="Q271" s="2350"/>
      <c r="R271" s="2186"/>
      <c r="S271" s="2111"/>
      <c r="T271" s="100"/>
      <c r="U271" s="2349"/>
      <c r="V271" s="2187"/>
      <c r="W271" s="2111"/>
      <c r="X271" s="92"/>
      <c r="Y271" s="100"/>
      <c r="Z271" s="92"/>
      <c r="AA271" s="100"/>
      <c r="AB271" s="100"/>
      <c r="AC271" s="100"/>
      <c r="AD271" s="100">
        <v>0</v>
      </c>
      <c r="AE271" s="100"/>
      <c r="AF271" s="100"/>
      <c r="AG271" s="100">
        <v>0</v>
      </c>
      <c r="AH271" s="100">
        <f t="shared" ref="AH271:AJ273" si="58">AH212/AH$215</f>
        <v>0.125</v>
      </c>
      <c r="AI271" s="100">
        <f t="shared" si="58"/>
        <v>0.22727272727272727</v>
      </c>
      <c r="AJ271" s="100">
        <f t="shared" si="58"/>
        <v>0.30769230769230771</v>
      </c>
      <c r="AK271" s="100"/>
      <c r="AL271" s="100"/>
      <c r="AM271" s="100"/>
      <c r="AN271" s="457"/>
      <c r="AO271" s="99"/>
      <c r="AP271" s="547"/>
      <c r="AQ271" s="547"/>
      <c r="AR271" s="99"/>
      <c r="AS271" s="265"/>
      <c r="AT271" s="265" t="s">
        <v>1108</v>
      </c>
      <c r="AU271" s="187"/>
    </row>
    <row r="272" spans="2:48" ht="19.350000000000001" customHeight="1">
      <c r="B272" s="1754"/>
      <c r="C272" s="10025"/>
      <c r="D272" s="10033"/>
      <c r="E272" s="253" t="s">
        <v>1834</v>
      </c>
      <c r="F272" s="253"/>
      <c r="G272" s="109" t="s">
        <v>154</v>
      </c>
      <c r="H272" s="879"/>
      <c r="I272" s="297"/>
      <c r="J272" s="879"/>
      <c r="K272" s="92"/>
      <c r="L272" s="228"/>
      <c r="M272" s="879"/>
      <c r="N272" s="1842"/>
      <c r="O272" s="879"/>
      <c r="P272" s="151"/>
      <c r="Q272" s="2350"/>
      <c r="R272" s="2186"/>
      <c r="S272" s="2111"/>
      <c r="T272" s="100"/>
      <c r="U272" s="2349"/>
      <c r="V272" s="2187"/>
      <c r="W272" s="2111"/>
      <c r="X272" s="92"/>
      <c r="Y272" s="100"/>
      <c r="Z272" s="92"/>
      <c r="AA272" s="100"/>
      <c r="AB272" s="100"/>
      <c r="AC272" s="100"/>
      <c r="AD272" s="100">
        <v>0</v>
      </c>
      <c r="AE272" s="100"/>
      <c r="AF272" s="100"/>
      <c r="AG272" s="100">
        <v>0</v>
      </c>
      <c r="AH272" s="100">
        <f t="shared" si="58"/>
        <v>0.8125</v>
      </c>
      <c r="AI272" s="100">
        <f t="shared" si="58"/>
        <v>0.63636363636363635</v>
      </c>
      <c r="AJ272" s="100">
        <f t="shared" si="58"/>
        <v>0.5</v>
      </c>
      <c r="AK272" s="100"/>
      <c r="AL272" s="100"/>
      <c r="AM272" s="100"/>
      <c r="AN272" s="457"/>
      <c r="AO272" s="99"/>
      <c r="AP272" s="547"/>
      <c r="AQ272" s="547"/>
      <c r="AR272" s="99"/>
      <c r="AS272" s="265"/>
      <c r="AT272" s="265" t="s">
        <v>2133</v>
      </c>
      <c r="AU272" s="187"/>
    </row>
    <row r="273" spans="1:49" s="10" customFormat="1" ht="19.350000000000001" customHeight="1">
      <c r="A273" s="11"/>
      <c r="B273" s="1754"/>
      <c r="C273" s="10025"/>
      <c r="D273" s="10034"/>
      <c r="E273" s="253" t="s">
        <v>1835</v>
      </c>
      <c r="F273" s="253"/>
      <c r="G273" s="109" t="s">
        <v>154</v>
      </c>
      <c r="H273" s="879"/>
      <c r="I273" s="297"/>
      <c r="J273" s="879"/>
      <c r="K273" s="92"/>
      <c r="L273" s="228"/>
      <c r="M273" s="879"/>
      <c r="N273" s="1842"/>
      <c r="O273" s="879"/>
      <c r="P273" s="151"/>
      <c r="Q273" s="2350"/>
      <c r="R273" s="2186"/>
      <c r="S273" s="2111"/>
      <c r="T273" s="100"/>
      <c r="U273" s="2349"/>
      <c r="V273" s="2187"/>
      <c r="W273" s="2111"/>
      <c r="X273" s="92"/>
      <c r="Y273" s="100"/>
      <c r="Z273" s="92"/>
      <c r="AA273" s="100"/>
      <c r="AB273" s="100"/>
      <c r="AC273" s="100"/>
      <c r="AD273" s="100">
        <v>100</v>
      </c>
      <c r="AE273" s="100"/>
      <c r="AF273" s="100"/>
      <c r="AG273" s="100">
        <v>0</v>
      </c>
      <c r="AH273" s="100">
        <f t="shared" si="58"/>
        <v>6.25E-2</v>
      </c>
      <c r="AI273" s="100">
        <f t="shared" si="58"/>
        <v>0.13636363636363635</v>
      </c>
      <c r="AJ273" s="100">
        <f t="shared" si="58"/>
        <v>0.19230769230769232</v>
      </c>
      <c r="AK273" s="100"/>
      <c r="AL273" s="100"/>
      <c r="AM273" s="100"/>
      <c r="AN273" s="457"/>
      <c r="AO273" s="99"/>
      <c r="AP273" s="547"/>
      <c r="AQ273" s="547"/>
      <c r="AR273" s="99"/>
      <c r="AS273" s="265"/>
      <c r="AT273" s="265" t="s">
        <v>2134</v>
      </c>
      <c r="AU273" s="187"/>
      <c r="AW273" s="11"/>
    </row>
    <row r="274" spans="1:49" s="10" customFormat="1" ht="19.350000000000001" customHeight="1">
      <c r="A274" s="11"/>
      <c r="B274" s="1754"/>
      <c r="C274" s="10025"/>
      <c r="D274" s="10035" t="s">
        <v>1090</v>
      </c>
      <c r="E274" s="9995"/>
      <c r="F274" s="9996"/>
      <c r="G274" s="109" t="s">
        <v>154</v>
      </c>
      <c r="H274" s="297">
        <v>24.217462932454694</v>
      </c>
      <c r="I274" s="297"/>
      <c r="J274" s="297">
        <v>26.50793650793651</v>
      </c>
      <c r="K274" s="92"/>
      <c r="L274" s="228"/>
      <c r="M274" s="297">
        <v>38.020833333333329</v>
      </c>
      <c r="N274" s="1842"/>
      <c r="O274" s="297">
        <v>42.288557213930353</v>
      </c>
      <c r="P274" s="151"/>
      <c r="Q274" s="2350"/>
      <c r="R274" s="2186"/>
      <c r="S274" s="2111"/>
      <c r="T274" s="705"/>
      <c r="U274" s="5468"/>
      <c r="V274" s="2187"/>
      <c r="W274" s="2111"/>
      <c r="X274" s="92"/>
      <c r="Y274" s="704">
        <v>4.3478260869565215</v>
      </c>
      <c r="Z274" s="92"/>
      <c r="AA274" s="100"/>
      <c r="AB274" s="100"/>
      <c r="AC274" s="100"/>
      <c r="AD274" s="100">
        <f>4/AD$196*100</f>
        <v>2.0408163265306123</v>
      </c>
      <c r="AE274" s="100"/>
      <c r="AF274" s="100"/>
      <c r="AG274" s="100">
        <f>1/AG$196*100</f>
        <v>3.7037037037037033</v>
      </c>
      <c r="AH274" s="100">
        <f t="shared" ref="AH274:AJ274" si="59">1/AH$196*100</f>
        <v>6.25</v>
      </c>
      <c r="AI274" s="100">
        <f t="shared" si="59"/>
        <v>4.5454545454545459</v>
      </c>
      <c r="AJ274" s="100">
        <f t="shared" si="59"/>
        <v>3.8461538461538463</v>
      </c>
      <c r="AK274" s="100"/>
      <c r="AL274" s="100"/>
      <c r="AM274" s="100"/>
      <c r="AN274" s="276" t="s">
        <v>1092</v>
      </c>
      <c r="AO274" s="99"/>
      <c r="AP274" s="547"/>
      <c r="AQ274" s="547"/>
      <c r="AR274" s="99"/>
      <c r="AS274" s="265" t="s">
        <v>1094</v>
      </c>
      <c r="AT274" s="265"/>
      <c r="AU274" s="187"/>
      <c r="AW274" s="11"/>
    </row>
    <row r="275" spans="1:49" s="10" customFormat="1" ht="19.350000000000001" customHeight="1">
      <c r="A275" s="11"/>
      <c r="B275" s="1754"/>
      <c r="C275" s="10025"/>
      <c r="D275" s="253" t="s">
        <v>2135</v>
      </c>
      <c r="E275" s="253"/>
      <c r="F275" s="253"/>
      <c r="G275" s="109" t="s">
        <v>154</v>
      </c>
      <c r="H275" s="297">
        <v>5.668016194331984</v>
      </c>
      <c r="I275" s="297"/>
      <c r="J275" s="297">
        <v>9.0909090909090917</v>
      </c>
      <c r="K275" s="92"/>
      <c r="L275" s="228"/>
      <c r="M275" s="297">
        <v>18.181818181818183</v>
      </c>
      <c r="N275" s="1842"/>
      <c r="O275" s="297">
        <v>17.948717948717949</v>
      </c>
      <c r="P275" s="151"/>
      <c r="Q275" s="2350"/>
      <c r="R275" s="2186"/>
      <c r="S275" s="2111"/>
      <c r="T275" s="705"/>
      <c r="U275" s="5468"/>
      <c r="V275" s="2187"/>
      <c r="W275" s="2111"/>
      <c r="X275" s="92"/>
      <c r="Y275" s="704">
        <v>14.285714285714285</v>
      </c>
      <c r="Z275" s="92"/>
      <c r="AA275" s="100"/>
      <c r="AB275" s="100"/>
      <c r="AC275" s="100"/>
      <c r="AD275" s="100">
        <v>21.428571428571427</v>
      </c>
      <c r="AE275" s="100"/>
      <c r="AF275" s="100"/>
      <c r="AG275" s="100">
        <v>0</v>
      </c>
      <c r="AH275" s="100">
        <v>0</v>
      </c>
      <c r="AI275" s="100">
        <v>0</v>
      </c>
      <c r="AJ275" s="100">
        <v>0</v>
      </c>
      <c r="AK275" s="100"/>
      <c r="AL275" s="100"/>
      <c r="AM275" s="100"/>
      <c r="AN275" s="276" t="s">
        <v>1099</v>
      </c>
      <c r="AO275" s="99"/>
      <c r="AP275" s="547"/>
      <c r="AQ275" s="547"/>
      <c r="AR275" s="99"/>
      <c r="AS275" s="265" t="s">
        <v>1101</v>
      </c>
      <c r="AT275" s="265"/>
      <c r="AU275" s="187"/>
      <c r="AW275" s="11"/>
    </row>
    <row r="276" spans="1:49" s="10" customFormat="1" ht="19.350000000000001" customHeight="1">
      <c r="A276" s="11"/>
      <c r="B276" s="1754"/>
      <c r="C276" s="10025"/>
      <c r="D276" s="253" t="s">
        <v>1103</v>
      </c>
      <c r="E276" s="253"/>
      <c r="F276" s="253"/>
      <c r="G276" s="109" t="s">
        <v>154</v>
      </c>
      <c r="H276" s="297">
        <v>154.64734450004516</v>
      </c>
      <c r="I276" s="297"/>
      <c r="J276" s="297">
        <v>103.76128077908974</v>
      </c>
      <c r="K276" s="92"/>
      <c r="L276" s="228"/>
      <c r="M276" s="297">
        <v>87.231196663517778</v>
      </c>
      <c r="N276" s="1842"/>
      <c r="O276" s="297">
        <v>80.672398847835211</v>
      </c>
      <c r="P276" s="151"/>
      <c r="Q276" s="2350"/>
      <c r="R276" s="2186"/>
      <c r="S276" s="2111"/>
      <c r="T276" s="705"/>
      <c r="U276" s="5468"/>
      <c r="V276" s="2187"/>
      <c r="W276" s="2111"/>
      <c r="X276" s="92"/>
      <c r="Y276" s="704">
        <v>73.524451939291737</v>
      </c>
      <c r="Z276" s="92"/>
      <c r="AA276" s="100"/>
      <c r="AB276" s="100"/>
      <c r="AC276" s="100"/>
      <c r="AD276" s="100">
        <v>70.12</v>
      </c>
      <c r="AE276" s="100"/>
      <c r="AF276" s="100"/>
      <c r="AG276" s="100">
        <v>69.78</v>
      </c>
      <c r="AH276" s="697"/>
      <c r="AI276" s="697"/>
      <c r="AJ276" s="697"/>
      <c r="AK276" s="100"/>
      <c r="AL276" s="100"/>
      <c r="AM276" s="100"/>
      <c r="AN276" s="276" t="s">
        <v>1105</v>
      </c>
      <c r="AO276" s="99"/>
      <c r="AP276" s="547"/>
      <c r="AQ276" s="547"/>
      <c r="AR276" s="99"/>
      <c r="AS276" s="265" t="s">
        <v>1107</v>
      </c>
      <c r="AT276" s="265" t="s">
        <v>1108</v>
      </c>
      <c r="AU276" s="187"/>
      <c r="AW276" s="11"/>
    </row>
    <row r="277" spans="1:49" s="10" customFormat="1" ht="19.350000000000001" customHeight="1">
      <c r="A277" s="11"/>
      <c r="B277" s="1754"/>
      <c r="C277" s="10025"/>
      <c r="D277" s="10036" t="s">
        <v>1114</v>
      </c>
      <c r="E277" s="931" t="s">
        <v>1116</v>
      </c>
      <c r="F277" s="253"/>
      <c r="G277" s="109" t="s">
        <v>742</v>
      </c>
      <c r="H277" s="297">
        <v>229</v>
      </c>
      <c r="I277" s="297"/>
      <c r="J277" s="297">
        <v>203</v>
      </c>
      <c r="K277" s="92"/>
      <c r="L277" s="228"/>
      <c r="M277" s="297">
        <v>171</v>
      </c>
      <c r="N277" s="1842"/>
      <c r="O277" s="297">
        <v>163</v>
      </c>
      <c r="P277" s="151"/>
      <c r="Q277" s="2350"/>
      <c r="R277" s="2186"/>
      <c r="S277" s="2111"/>
      <c r="T277" s="100"/>
      <c r="U277" s="2349"/>
      <c r="V277" s="2187"/>
      <c r="W277" s="2111"/>
      <c r="X277" s="92"/>
      <c r="Y277" s="702">
        <v>40</v>
      </c>
      <c r="Z277" s="92"/>
      <c r="AA277" s="100">
        <f t="shared" ref="AA277:AA280" si="60">AD277+AG277+AJ277+AM277</f>
        <v>34</v>
      </c>
      <c r="AB277" s="100"/>
      <c r="AC277" s="100"/>
      <c r="AD277" s="100">
        <v>34</v>
      </c>
      <c r="AE277" s="100"/>
      <c r="AF277" s="100"/>
      <c r="AG277" s="100">
        <v>0</v>
      </c>
      <c r="AH277" s="100"/>
      <c r="AI277" s="100"/>
      <c r="AJ277" s="100"/>
      <c r="AK277" s="100"/>
      <c r="AL277" s="100"/>
      <c r="AM277" s="100"/>
      <c r="AN277" s="276" t="s">
        <v>1118</v>
      </c>
      <c r="AO277" s="99"/>
      <c r="AP277" s="547"/>
      <c r="AQ277" s="547"/>
      <c r="AR277" s="99"/>
      <c r="AS277" s="265" t="s">
        <v>1120</v>
      </c>
      <c r="AT277" s="265" t="s">
        <v>1121</v>
      </c>
      <c r="AU277" s="187"/>
      <c r="AW277" s="11"/>
    </row>
    <row r="278" spans="1:49" s="10" customFormat="1" ht="19.350000000000001" customHeight="1">
      <c r="A278" s="11"/>
      <c r="B278" s="1754"/>
      <c r="C278" s="10025"/>
      <c r="D278" s="10037"/>
      <c r="E278" s="931" t="s">
        <v>1125</v>
      </c>
      <c r="F278" s="253"/>
      <c r="G278" s="109" t="s">
        <v>742</v>
      </c>
      <c r="H278" s="297">
        <v>128</v>
      </c>
      <c r="I278" s="297"/>
      <c r="J278" s="297">
        <v>132</v>
      </c>
      <c r="K278" s="92"/>
      <c r="L278" s="228"/>
      <c r="M278" s="297">
        <v>122</v>
      </c>
      <c r="N278" s="1842"/>
      <c r="O278" s="297">
        <v>126</v>
      </c>
      <c r="P278" s="151"/>
      <c r="Q278" s="2350"/>
      <c r="R278" s="2186"/>
      <c r="S278" s="2111"/>
      <c r="T278" s="100"/>
      <c r="U278" s="2349"/>
      <c r="V278" s="2187"/>
      <c r="W278" s="2111"/>
      <c r="X278" s="92"/>
      <c r="Y278" s="702">
        <v>6</v>
      </c>
      <c r="Z278" s="92"/>
      <c r="AA278" s="100">
        <f t="shared" si="60"/>
        <v>5</v>
      </c>
      <c r="AB278" s="100"/>
      <c r="AC278" s="100"/>
      <c r="AD278" s="100">
        <v>5</v>
      </c>
      <c r="AE278" s="100"/>
      <c r="AF278" s="100"/>
      <c r="AG278" s="100">
        <v>0</v>
      </c>
      <c r="AH278" s="100"/>
      <c r="AI278" s="100"/>
      <c r="AJ278" s="100"/>
      <c r="AK278" s="100"/>
      <c r="AL278" s="100"/>
      <c r="AM278" s="100"/>
      <c r="AN278" s="276" t="s">
        <v>1118</v>
      </c>
      <c r="AO278" s="99"/>
      <c r="AP278" s="547"/>
      <c r="AQ278" s="547"/>
      <c r="AR278" s="99"/>
      <c r="AS278" s="265" t="s">
        <v>1120</v>
      </c>
      <c r="AT278" s="265" t="s">
        <v>1121</v>
      </c>
      <c r="AU278" s="187"/>
      <c r="AW278" s="11"/>
    </row>
    <row r="279" spans="1:49" s="10" customFormat="1" ht="19.350000000000001" customHeight="1">
      <c r="A279" s="11"/>
      <c r="B279" s="1754"/>
      <c r="C279" s="10025"/>
      <c r="D279" s="253" t="s">
        <v>1841</v>
      </c>
      <c r="E279" s="253"/>
      <c r="F279" s="253"/>
      <c r="G279" s="109" t="s">
        <v>732</v>
      </c>
      <c r="H279" s="297">
        <v>14</v>
      </c>
      <c r="I279" s="297"/>
      <c r="J279" s="297">
        <v>20</v>
      </c>
      <c r="K279" s="92"/>
      <c r="L279" s="228"/>
      <c r="M279" s="297">
        <v>7</v>
      </c>
      <c r="N279" s="1842"/>
      <c r="O279" s="297">
        <v>17</v>
      </c>
      <c r="P279" s="151"/>
      <c r="Q279" s="2350"/>
      <c r="R279" s="2186"/>
      <c r="S279" s="2111"/>
      <c r="T279" s="100"/>
      <c r="U279" s="2349"/>
      <c r="V279" s="2187"/>
      <c r="W279" s="2111"/>
      <c r="X279" s="293"/>
      <c r="Y279" s="100"/>
      <c r="Z279" s="293"/>
      <c r="AA279" s="100">
        <f t="shared" si="60"/>
        <v>5</v>
      </c>
      <c r="AB279" s="100"/>
      <c r="AC279" s="100"/>
      <c r="AD279" s="100">
        <v>5</v>
      </c>
      <c r="AE279" s="100"/>
      <c r="AF279" s="100"/>
      <c r="AG279" s="100">
        <v>0</v>
      </c>
      <c r="AH279" s="100"/>
      <c r="AI279" s="100"/>
      <c r="AJ279" s="100"/>
      <c r="AK279" s="100"/>
      <c r="AL279" s="100"/>
      <c r="AM279" s="100"/>
      <c r="AN279" s="276" t="s">
        <v>1132</v>
      </c>
      <c r="AO279" s="99"/>
      <c r="AP279" s="547"/>
      <c r="AQ279" s="547"/>
      <c r="AR279" s="99"/>
      <c r="AS279" s="277" t="s">
        <v>1129</v>
      </c>
      <c r="AT279" s="277" t="s">
        <v>1121</v>
      </c>
      <c r="AU279" s="187"/>
      <c r="AW279" s="11"/>
    </row>
    <row r="280" spans="1:49" s="10" customFormat="1" ht="19.350000000000001" customHeight="1">
      <c r="A280" s="11"/>
      <c r="B280" s="1754"/>
      <c r="C280" s="10025"/>
      <c r="D280" s="253" t="s">
        <v>1843</v>
      </c>
      <c r="E280" s="253"/>
      <c r="F280" s="253"/>
      <c r="G280" s="109" t="s">
        <v>732</v>
      </c>
      <c r="H280" s="297">
        <v>37</v>
      </c>
      <c r="I280" s="297"/>
      <c r="J280" s="297">
        <v>42</v>
      </c>
      <c r="K280" s="92"/>
      <c r="L280" s="228"/>
      <c r="M280" s="297">
        <v>35</v>
      </c>
      <c r="N280" s="1842"/>
      <c r="O280" s="297">
        <v>38</v>
      </c>
      <c r="P280" s="151"/>
      <c r="Q280" s="2350"/>
      <c r="R280" s="2186"/>
      <c r="S280" s="2111"/>
      <c r="T280" s="100"/>
      <c r="U280" s="2349"/>
      <c r="V280" s="2187"/>
      <c r="W280" s="2111"/>
      <c r="X280" s="293"/>
      <c r="Y280" s="100"/>
      <c r="Z280" s="293"/>
      <c r="AA280" s="100">
        <f t="shared" si="60"/>
        <v>1</v>
      </c>
      <c r="AB280" s="100"/>
      <c r="AC280" s="100"/>
      <c r="AD280" s="100">
        <v>1</v>
      </c>
      <c r="AE280" s="100"/>
      <c r="AF280" s="100"/>
      <c r="AG280" s="100">
        <v>0</v>
      </c>
      <c r="AH280" s="100"/>
      <c r="AI280" s="100"/>
      <c r="AJ280" s="100"/>
      <c r="AK280" s="100"/>
      <c r="AL280" s="100"/>
      <c r="AM280" s="100"/>
      <c r="AN280" s="276" t="s">
        <v>1132</v>
      </c>
      <c r="AO280" s="99"/>
      <c r="AP280" s="547"/>
      <c r="AQ280" s="547"/>
      <c r="AR280" s="99"/>
      <c r="AS280" s="277" t="s">
        <v>1129</v>
      </c>
      <c r="AT280" s="277" t="s">
        <v>1121</v>
      </c>
      <c r="AU280" s="187"/>
      <c r="AW280" s="11"/>
    </row>
    <row r="281" spans="1:49" s="10" customFormat="1" ht="19.350000000000001" customHeight="1">
      <c r="A281" s="11"/>
      <c r="B281" s="1754"/>
      <c r="C281" s="10025"/>
      <c r="D281" s="253" t="s">
        <v>1844</v>
      </c>
      <c r="E281" s="253"/>
      <c r="F281" s="253"/>
      <c r="G281" s="109" t="s">
        <v>154</v>
      </c>
      <c r="H281" s="297">
        <v>85.714285714285708</v>
      </c>
      <c r="I281" s="297"/>
      <c r="J281" s="297">
        <v>85</v>
      </c>
      <c r="K281" s="92"/>
      <c r="L281" s="228"/>
      <c r="M281" s="297">
        <v>100</v>
      </c>
      <c r="N281" s="1842"/>
      <c r="O281" s="297">
        <v>82.35294117647058</v>
      </c>
      <c r="P281" s="151"/>
      <c r="Q281" s="2350"/>
      <c r="R281" s="2186"/>
      <c r="S281" s="2111"/>
      <c r="T281" s="100"/>
      <c r="U281" s="2349"/>
      <c r="V281" s="2187"/>
      <c r="W281" s="2111"/>
      <c r="X281" s="92"/>
      <c r="Y281" s="100"/>
      <c r="Z281" s="92"/>
      <c r="AA281" s="100"/>
      <c r="AB281" s="100"/>
      <c r="AC281" s="100"/>
      <c r="AD281" s="100">
        <v>80</v>
      </c>
      <c r="AE281" s="100"/>
      <c r="AF281" s="100"/>
      <c r="AG281" s="100">
        <v>0</v>
      </c>
      <c r="AH281" s="100"/>
      <c r="AI281" s="100"/>
      <c r="AJ281" s="100"/>
      <c r="AK281" s="100"/>
      <c r="AL281" s="100"/>
      <c r="AM281" s="100"/>
      <c r="AN281" s="276" t="s">
        <v>1141</v>
      </c>
      <c r="AO281" s="99"/>
      <c r="AP281" s="547"/>
      <c r="AQ281" s="547"/>
      <c r="AR281" s="99"/>
      <c r="AS281" s="277" t="s">
        <v>1143</v>
      </c>
      <c r="AT281" s="277" t="s">
        <v>1121</v>
      </c>
      <c r="AU281" s="187"/>
      <c r="AW281" s="11"/>
    </row>
    <row r="282" spans="1:49" s="10" customFormat="1" ht="19.350000000000001" customHeight="1">
      <c r="A282" s="11"/>
      <c r="B282" s="1754"/>
      <c r="C282" s="10025"/>
      <c r="D282" s="253" t="s">
        <v>1845</v>
      </c>
      <c r="E282" s="253"/>
      <c r="F282" s="253"/>
      <c r="G282" s="109" t="s">
        <v>154</v>
      </c>
      <c r="H282" s="297">
        <v>85.714285714285708</v>
      </c>
      <c r="I282" s="297"/>
      <c r="J282" s="297">
        <v>85</v>
      </c>
      <c r="K282" s="92"/>
      <c r="L282" s="228"/>
      <c r="M282" s="297">
        <v>100</v>
      </c>
      <c r="N282" s="1842"/>
      <c r="O282" s="297">
        <v>82.35294117647058</v>
      </c>
      <c r="P282" s="151"/>
      <c r="Q282" s="2350"/>
      <c r="R282" s="2186"/>
      <c r="S282" s="2111"/>
      <c r="T282" s="100"/>
      <c r="U282" s="2349"/>
      <c r="V282" s="2187"/>
      <c r="W282" s="2111"/>
      <c r="X282" s="92"/>
      <c r="Y282" s="100"/>
      <c r="Z282" s="92"/>
      <c r="AA282" s="100"/>
      <c r="AB282" s="100"/>
      <c r="AC282" s="100"/>
      <c r="AD282" s="100">
        <v>0</v>
      </c>
      <c r="AE282" s="100"/>
      <c r="AF282" s="100"/>
      <c r="AG282" s="100">
        <v>0</v>
      </c>
      <c r="AH282" s="100"/>
      <c r="AI282" s="100"/>
      <c r="AJ282" s="100"/>
      <c r="AK282" s="100"/>
      <c r="AL282" s="100"/>
      <c r="AM282" s="100"/>
      <c r="AN282" s="276" t="s">
        <v>1141</v>
      </c>
      <c r="AO282" s="99"/>
      <c r="AP282" s="547"/>
      <c r="AQ282" s="547"/>
      <c r="AR282" s="99"/>
      <c r="AS282" s="277" t="s">
        <v>1143</v>
      </c>
      <c r="AT282" s="277" t="s">
        <v>1121</v>
      </c>
      <c r="AU282" s="187"/>
      <c r="AW282" s="11"/>
    </row>
    <row r="283" spans="1:49" s="10" customFormat="1" ht="19.350000000000001" customHeight="1">
      <c r="A283" s="11"/>
      <c r="B283" s="1754"/>
      <c r="C283" s="10026"/>
      <c r="D283" s="253" t="s">
        <v>1846</v>
      </c>
      <c r="E283" s="253"/>
      <c r="F283" s="253"/>
      <c r="G283" s="109" t="s">
        <v>154</v>
      </c>
      <c r="H283" s="297">
        <v>69.642857142857139</v>
      </c>
      <c r="I283" s="297"/>
      <c r="J283" s="297">
        <v>88.095238095238088</v>
      </c>
      <c r="K283" s="92"/>
      <c r="L283" s="228"/>
      <c r="M283" s="297">
        <v>69.230769230769226</v>
      </c>
      <c r="N283" s="1842"/>
      <c r="O283" s="297">
        <v>84.210526315789465</v>
      </c>
      <c r="P283" s="151"/>
      <c r="Q283" s="2350"/>
      <c r="R283" s="2186"/>
      <c r="S283" s="2111"/>
      <c r="T283" s="100"/>
      <c r="U283" s="2349"/>
      <c r="V283" s="2187"/>
      <c r="W283" s="2111"/>
      <c r="X283" s="92"/>
      <c r="Y283" s="100"/>
      <c r="Z283" s="92"/>
      <c r="AA283" s="100"/>
      <c r="AB283" s="100"/>
      <c r="AC283" s="100"/>
      <c r="AD283" s="100">
        <v>5</v>
      </c>
      <c r="AE283" s="100"/>
      <c r="AF283" s="100"/>
      <c r="AG283" s="100">
        <v>0</v>
      </c>
      <c r="AH283" s="100"/>
      <c r="AI283" s="100"/>
      <c r="AJ283" s="100"/>
      <c r="AK283" s="100"/>
      <c r="AL283" s="100"/>
      <c r="AM283" s="100"/>
      <c r="AN283" s="276" t="s">
        <v>1152</v>
      </c>
      <c r="AO283" s="99"/>
      <c r="AP283" s="547"/>
      <c r="AQ283" s="547"/>
      <c r="AR283" s="99"/>
      <c r="AS283" s="277" t="s">
        <v>1154</v>
      </c>
      <c r="AT283" s="277" t="s">
        <v>1121</v>
      </c>
      <c r="AU283" s="187"/>
      <c r="AW283" s="11"/>
    </row>
    <row r="284" spans="1:49" s="10" customFormat="1" ht="19.350000000000001" customHeight="1">
      <c r="A284" s="11"/>
      <c r="B284" s="1754"/>
      <c r="C284" s="9974" t="s">
        <v>1157</v>
      </c>
      <c r="D284" s="9974"/>
      <c r="E284" s="9974"/>
      <c r="F284" s="253" t="s">
        <v>1847</v>
      </c>
      <c r="G284" s="109" t="s">
        <v>732</v>
      </c>
      <c r="H284" s="308"/>
      <c r="I284" s="297"/>
      <c r="J284" s="308"/>
      <c r="K284" s="92"/>
      <c r="L284" s="228"/>
      <c r="M284" s="297">
        <v>40</v>
      </c>
      <c r="N284" s="1842"/>
      <c r="O284" s="297">
        <v>46</v>
      </c>
      <c r="P284" s="151"/>
      <c r="Q284" s="2350"/>
      <c r="R284" s="2186"/>
      <c r="S284" s="2111"/>
      <c r="T284" s="100"/>
      <c r="U284" s="2349"/>
      <c r="V284" s="2187"/>
      <c r="W284" s="2111"/>
      <c r="X284" s="293"/>
      <c r="Y284" s="100"/>
      <c r="Z284" s="293"/>
      <c r="AA284" s="100">
        <f t="shared" ref="AA284:AA287" si="61">AD284+AG284+AJ284+AM284</f>
        <v>0</v>
      </c>
      <c r="AB284" s="100"/>
      <c r="AC284" s="100"/>
      <c r="AD284" s="100">
        <v>0</v>
      </c>
      <c r="AE284" s="100"/>
      <c r="AF284" s="100"/>
      <c r="AG284" s="100">
        <v>0</v>
      </c>
      <c r="AH284" s="100"/>
      <c r="AI284" s="100"/>
      <c r="AJ284" s="100"/>
      <c r="AK284" s="100"/>
      <c r="AL284" s="100"/>
      <c r="AM284" s="100"/>
      <c r="AN284" s="10019" t="s">
        <v>1161</v>
      </c>
      <c r="AO284" s="99"/>
      <c r="AP284" s="547"/>
      <c r="AQ284" s="547"/>
      <c r="AR284" s="99"/>
      <c r="AS284" s="277" t="s">
        <v>1163</v>
      </c>
      <c r="AT284" s="265"/>
      <c r="AU284" s="187"/>
      <c r="AW284" s="11"/>
    </row>
    <row r="285" spans="1:49" s="10" customFormat="1" ht="19.350000000000001" customHeight="1">
      <c r="A285" s="11"/>
      <c r="B285" s="1754"/>
      <c r="C285" s="9974"/>
      <c r="D285" s="9974"/>
      <c r="E285" s="9974"/>
      <c r="F285" s="253" t="s">
        <v>1849</v>
      </c>
      <c r="G285" s="109" t="s">
        <v>732</v>
      </c>
      <c r="H285" s="308"/>
      <c r="I285" s="297"/>
      <c r="J285" s="308"/>
      <c r="K285" s="92"/>
      <c r="L285" s="228"/>
      <c r="M285" s="297">
        <v>24</v>
      </c>
      <c r="N285" s="1842"/>
      <c r="O285" s="297">
        <v>24</v>
      </c>
      <c r="P285" s="151"/>
      <c r="Q285" s="2350"/>
      <c r="R285" s="2186"/>
      <c r="S285" s="2111"/>
      <c r="T285" s="100"/>
      <c r="U285" s="2349"/>
      <c r="V285" s="2187"/>
      <c r="W285" s="2111"/>
      <c r="X285" s="293"/>
      <c r="Y285" s="100"/>
      <c r="Z285" s="293"/>
      <c r="AA285" s="100">
        <f t="shared" si="61"/>
        <v>2</v>
      </c>
      <c r="AB285" s="100"/>
      <c r="AC285" s="100"/>
      <c r="AD285" s="100">
        <v>2</v>
      </c>
      <c r="AE285" s="100"/>
      <c r="AF285" s="100"/>
      <c r="AG285" s="100">
        <v>0</v>
      </c>
      <c r="AH285" s="100"/>
      <c r="AI285" s="100"/>
      <c r="AJ285" s="100"/>
      <c r="AK285" s="100"/>
      <c r="AL285" s="100"/>
      <c r="AM285" s="100"/>
      <c r="AN285" s="10020"/>
      <c r="AO285" s="99"/>
      <c r="AP285" s="547"/>
      <c r="AQ285" s="547"/>
      <c r="AR285" s="99"/>
      <c r="AS285" s="277" t="s">
        <v>1163</v>
      </c>
      <c r="AT285" s="265"/>
      <c r="AU285" s="187"/>
      <c r="AW285" s="11"/>
    </row>
    <row r="286" spans="1:49" s="10" customFormat="1" ht="19.350000000000001" customHeight="1">
      <c r="A286" s="11"/>
      <c r="B286" s="1747"/>
      <c r="C286" s="10013" t="s">
        <v>1168</v>
      </c>
      <c r="D286" s="10013"/>
      <c r="E286" s="10013"/>
      <c r="F286" s="253" t="s">
        <v>1850</v>
      </c>
      <c r="G286" s="109" t="s">
        <v>732</v>
      </c>
      <c r="H286" s="297">
        <v>42</v>
      </c>
      <c r="I286" s="297"/>
      <c r="J286" s="297">
        <v>45</v>
      </c>
      <c r="K286" s="92"/>
      <c r="L286" s="228"/>
      <c r="M286" s="297">
        <v>39</v>
      </c>
      <c r="N286" s="1842" t="s">
        <v>1175</v>
      </c>
      <c r="O286" s="297">
        <v>40</v>
      </c>
      <c r="P286" s="151" t="s">
        <v>1176</v>
      </c>
      <c r="Q286" s="2053">
        <v>1</v>
      </c>
      <c r="R286" s="2512">
        <v>1</v>
      </c>
      <c r="S286" s="5771"/>
      <c r="T286" s="2513">
        <v>3</v>
      </c>
      <c r="U286" s="5774"/>
      <c r="V286" s="2187">
        <v>3</v>
      </c>
      <c r="W286" s="4988" t="s">
        <v>1177</v>
      </c>
      <c r="X286" s="293"/>
      <c r="Y286" s="899" t="s">
        <v>1178</v>
      </c>
      <c r="Z286" s="293"/>
      <c r="AA286" s="100">
        <f t="shared" si="61"/>
        <v>3</v>
      </c>
      <c r="AB286" s="100"/>
      <c r="AC286" s="100"/>
      <c r="AD286" s="100">
        <v>3</v>
      </c>
      <c r="AE286" s="100"/>
      <c r="AF286" s="100"/>
      <c r="AG286" s="100">
        <v>0</v>
      </c>
      <c r="AH286" s="100">
        <v>0</v>
      </c>
      <c r="AI286" s="100">
        <v>0</v>
      </c>
      <c r="AJ286" s="100">
        <v>0</v>
      </c>
      <c r="AK286" s="100"/>
      <c r="AL286" s="100"/>
      <c r="AM286" s="100"/>
      <c r="AN286" s="276" t="s">
        <v>1172</v>
      </c>
      <c r="AO286" s="99"/>
      <c r="AP286" s="547"/>
      <c r="AQ286" s="547"/>
      <c r="AR286" s="99"/>
      <c r="AS286" s="277" t="s">
        <v>1174</v>
      </c>
      <c r="AT286" s="265"/>
      <c r="AU286" s="187"/>
      <c r="AW286" s="11"/>
    </row>
    <row r="287" spans="1:49" s="10" customFormat="1" ht="19.350000000000001" customHeight="1">
      <c r="A287" s="11"/>
      <c r="B287" s="1902"/>
      <c r="C287" s="10021"/>
      <c r="D287" s="10021"/>
      <c r="E287" s="10021"/>
      <c r="F287" s="1903" t="s">
        <v>1180</v>
      </c>
      <c r="G287" s="122" t="s">
        <v>742</v>
      </c>
      <c r="H287" s="352">
        <v>28</v>
      </c>
      <c r="I287" s="352"/>
      <c r="J287" s="352">
        <v>23</v>
      </c>
      <c r="K287" s="350"/>
      <c r="L287" s="351"/>
      <c r="M287" s="352">
        <v>28</v>
      </c>
      <c r="N287" s="1904" t="s">
        <v>1183</v>
      </c>
      <c r="O287" s="352">
        <v>23</v>
      </c>
      <c r="P287" s="1771" t="s">
        <v>2136</v>
      </c>
      <c r="Q287" s="2055">
        <v>0</v>
      </c>
      <c r="R287" s="2288">
        <v>0</v>
      </c>
      <c r="S287" s="2122"/>
      <c r="T287" s="494">
        <v>0</v>
      </c>
      <c r="U287" s="2373"/>
      <c r="V287" s="2187">
        <v>0</v>
      </c>
      <c r="W287" s="4992">
        <v>0</v>
      </c>
      <c r="X287" s="426">
        <v>0</v>
      </c>
      <c r="Y287" s="901">
        <v>0</v>
      </c>
      <c r="Z287" s="426"/>
      <c r="AA287" s="100">
        <f t="shared" si="61"/>
        <v>0</v>
      </c>
      <c r="AB287" s="100"/>
      <c r="AC287" s="100"/>
      <c r="AD287" s="100">
        <v>0</v>
      </c>
      <c r="AE287" s="100"/>
      <c r="AF287" s="100"/>
      <c r="AG287" s="100">
        <v>0</v>
      </c>
      <c r="AH287" s="100">
        <v>0</v>
      </c>
      <c r="AI287" s="100">
        <v>0</v>
      </c>
      <c r="AJ287" s="100">
        <v>0</v>
      </c>
      <c r="AK287" s="100"/>
      <c r="AL287" s="100"/>
      <c r="AM287" s="100"/>
      <c r="AN287" s="714" t="s">
        <v>1172</v>
      </c>
      <c r="AO287" s="99"/>
      <c r="AP287" s="547"/>
      <c r="AQ287" s="547"/>
      <c r="AR287" s="99"/>
      <c r="AS287" s="277" t="s">
        <v>1174</v>
      </c>
      <c r="AT287" s="265"/>
      <c r="AU287" s="187"/>
      <c r="AW287" s="11"/>
    </row>
    <row r="288" spans="1:49" s="10" customFormat="1" ht="19.350000000000001" customHeight="1">
      <c r="A288" s="11"/>
      <c r="B288" s="1754"/>
      <c r="C288" s="10009" t="s">
        <v>1186</v>
      </c>
      <c r="D288" s="10009"/>
      <c r="E288" s="10009"/>
      <c r="F288" s="931" t="s">
        <v>1188</v>
      </c>
      <c r="G288" s="109" t="s">
        <v>156</v>
      </c>
      <c r="H288" s="297">
        <v>90.950226244343895</v>
      </c>
      <c r="I288" s="297"/>
      <c r="J288" s="297">
        <v>92.012480499219976</v>
      </c>
      <c r="K288" s="92"/>
      <c r="L288" s="228"/>
      <c r="M288" s="297">
        <v>88.722466960352421</v>
      </c>
      <c r="N288" s="1842"/>
      <c r="O288" s="297">
        <v>94.895168641750232</v>
      </c>
      <c r="P288" s="151"/>
      <c r="Q288" s="2350"/>
      <c r="R288" s="2186"/>
      <c r="S288" s="2111"/>
      <c r="T288" s="100"/>
      <c r="U288" s="2349"/>
      <c r="V288" s="2187"/>
      <c r="W288" s="2111"/>
      <c r="X288" s="92"/>
      <c r="Y288" s="702">
        <v>67.532467532467535</v>
      </c>
      <c r="Z288" s="92"/>
      <c r="AA288" s="100"/>
      <c r="AB288" s="100"/>
      <c r="AC288" s="100"/>
      <c r="AD288" s="100"/>
      <c r="AE288" s="100"/>
      <c r="AF288" s="100"/>
      <c r="AG288" s="100">
        <v>100</v>
      </c>
      <c r="AH288" s="100">
        <v>0</v>
      </c>
      <c r="AI288" s="100">
        <v>0</v>
      </c>
      <c r="AJ288" s="100">
        <v>0</v>
      </c>
      <c r="AK288" s="100"/>
      <c r="AL288" s="100"/>
      <c r="AM288" s="100"/>
      <c r="AN288" s="276" t="s">
        <v>1190</v>
      </c>
      <c r="AO288" s="99"/>
      <c r="AP288" s="547"/>
      <c r="AQ288" s="547"/>
      <c r="AR288" s="99"/>
      <c r="AS288" s="277" t="s">
        <v>1192</v>
      </c>
      <c r="AT288" s="277" t="s">
        <v>1193</v>
      </c>
      <c r="AU288" s="187"/>
      <c r="AW288" s="11"/>
    </row>
    <row r="289" spans="2:49" ht="19.350000000000001" customHeight="1">
      <c r="B289" s="1754"/>
      <c r="C289" s="10009"/>
      <c r="D289" s="10009"/>
      <c r="E289" s="10009"/>
      <c r="F289" s="931" t="s">
        <v>1196</v>
      </c>
      <c r="G289" s="109" t="s">
        <v>156</v>
      </c>
      <c r="H289" s="297">
        <v>90.950226244343895</v>
      </c>
      <c r="I289" s="297"/>
      <c r="J289" s="297">
        <v>92.043681747269886</v>
      </c>
      <c r="K289" s="92"/>
      <c r="L289" s="228"/>
      <c r="M289" s="297">
        <v>87.224669603524234</v>
      </c>
      <c r="N289" s="1842"/>
      <c r="O289" s="297">
        <v>93.25432999088423</v>
      </c>
      <c r="P289" s="151"/>
      <c r="Q289" s="2350"/>
      <c r="R289" s="2186"/>
      <c r="S289" s="2111"/>
      <c r="T289" s="100"/>
      <c r="U289" s="2349"/>
      <c r="V289" s="2187"/>
      <c r="W289" s="2111"/>
      <c r="X289" s="92"/>
      <c r="Y289" s="702">
        <v>74.458874458874462</v>
      </c>
      <c r="Z289" s="92"/>
      <c r="AA289" s="100"/>
      <c r="AB289" s="100"/>
      <c r="AC289" s="100"/>
      <c r="AD289" s="100"/>
      <c r="AE289" s="100"/>
      <c r="AF289" s="100"/>
      <c r="AG289" s="100">
        <v>100</v>
      </c>
      <c r="AH289" s="100">
        <v>0</v>
      </c>
      <c r="AI289" s="100">
        <v>0</v>
      </c>
      <c r="AJ289" s="100">
        <v>0</v>
      </c>
      <c r="AK289" s="100"/>
      <c r="AL289" s="100"/>
      <c r="AM289" s="100"/>
      <c r="AN289" s="276"/>
      <c r="AO289" s="99"/>
      <c r="AP289" s="547"/>
      <c r="AQ289" s="547"/>
      <c r="AR289" s="99"/>
      <c r="AS289" s="277" t="s">
        <v>1192</v>
      </c>
      <c r="AT289" s="277" t="s">
        <v>1193</v>
      </c>
      <c r="AU289" s="187"/>
    </row>
    <row r="290" spans="2:49" ht="19.350000000000001" customHeight="1">
      <c r="B290" s="1754"/>
      <c r="C290" s="10009"/>
      <c r="D290" s="10009"/>
      <c r="E290" s="10009"/>
      <c r="F290" s="931" t="s">
        <v>1198</v>
      </c>
      <c r="G290" s="109" t="s">
        <v>156</v>
      </c>
      <c r="H290" s="297">
        <v>90.497737556561091</v>
      </c>
      <c r="I290" s="297"/>
      <c r="J290" s="297">
        <v>91.513260530421221</v>
      </c>
      <c r="K290" s="92"/>
      <c r="L290" s="228"/>
      <c r="M290" s="297">
        <v>87.224669603524234</v>
      </c>
      <c r="N290" s="1842"/>
      <c r="O290" s="297">
        <v>93.25432999088423</v>
      </c>
      <c r="P290" s="151"/>
      <c r="Q290" s="2350"/>
      <c r="R290" s="2186"/>
      <c r="S290" s="2111"/>
      <c r="T290" s="100"/>
      <c r="U290" s="2349"/>
      <c r="V290" s="2187"/>
      <c r="W290" s="2111"/>
      <c r="X290" s="92"/>
      <c r="Y290" s="702">
        <v>67.099567099567111</v>
      </c>
      <c r="Z290" s="92"/>
      <c r="AA290" s="100"/>
      <c r="AB290" s="100"/>
      <c r="AC290" s="100"/>
      <c r="AD290" s="100"/>
      <c r="AE290" s="100"/>
      <c r="AF290" s="100"/>
      <c r="AG290" s="100">
        <v>100</v>
      </c>
      <c r="AH290" s="100">
        <v>0</v>
      </c>
      <c r="AI290" s="100">
        <v>0</v>
      </c>
      <c r="AJ290" s="100">
        <v>0</v>
      </c>
      <c r="AK290" s="100"/>
      <c r="AL290" s="100"/>
      <c r="AM290" s="100"/>
      <c r="AN290" s="276"/>
      <c r="AO290" s="99"/>
      <c r="AP290" s="546"/>
      <c r="AQ290" s="547"/>
      <c r="AR290" s="796"/>
      <c r="AS290" s="277" t="s">
        <v>1192</v>
      </c>
      <c r="AT290" s="277" t="s">
        <v>1193</v>
      </c>
      <c r="AU290" s="187"/>
    </row>
    <row r="291" spans="2:49" ht="19.350000000000001" customHeight="1">
      <c r="B291" s="1747"/>
      <c r="C291" s="10009" t="s">
        <v>1200</v>
      </c>
      <c r="D291" s="10009"/>
      <c r="E291" s="10009"/>
      <c r="F291" s="10009"/>
      <c r="G291" s="109" t="s">
        <v>156</v>
      </c>
      <c r="H291" s="354">
        <f>IFERROR(H292/H293*100,"-")</f>
        <v>8.5199979057591637</v>
      </c>
      <c r="I291" s="95"/>
      <c r="J291" s="354">
        <f>IFERROR(J292/J293*100,"-")</f>
        <v>3.7333833254205868</v>
      </c>
      <c r="K291" s="92"/>
      <c r="L291" s="356" t="str">
        <f>IFERROR(L292/L293*100,"-")</f>
        <v>-</v>
      </c>
      <c r="M291" s="356">
        <v>8.5199979057591637</v>
      </c>
      <c r="N291" s="1759"/>
      <c r="O291" s="356">
        <v>3.7333833254205868</v>
      </c>
      <c r="P291" s="1759"/>
      <c r="Q291" s="2065" t="str">
        <f>IFERROR(Q292/Q293*100,"-")</f>
        <v>-</v>
      </c>
      <c r="R291" s="2226"/>
      <c r="S291" s="456"/>
      <c r="T291" s="356"/>
      <c r="U291" s="2065"/>
      <c r="V291" s="2241"/>
      <c r="W291" s="456">
        <f>IFERROR(W292/W293*100,"-")</f>
        <v>19.923664122137406</v>
      </c>
      <c r="X291" s="293"/>
      <c r="Y291" s="356">
        <f>IFERROR(Y292/Y293*100,"-")</f>
        <v>18.666666666666668</v>
      </c>
      <c r="Z291" s="293"/>
      <c r="AA291" s="356" t="str">
        <f>IFERROR(AA292/AA293*100,"-")</f>
        <v>-</v>
      </c>
      <c r="AB291" s="356" t="str">
        <f t="shared" ref="AB291:AM291" si="62">IFERROR(AB292/AB293*100,"-")</f>
        <v>-</v>
      </c>
      <c r="AC291" s="356" t="str">
        <f t="shared" si="62"/>
        <v>-</v>
      </c>
      <c r="AD291" s="356">
        <f t="shared" si="62"/>
        <v>17.166666666666668</v>
      </c>
      <c r="AE291" s="356" t="str">
        <f t="shared" si="62"/>
        <v>-</v>
      </c>
      <c r="AF291" s="356" t="str">
        <f t="shared" si="62"/>
        <v>-</v>
      </c>
      <c r="AG291" s="356">
        <f t="shared" si="62"/>
        <v>38.583333333333329</v>
      </c>
      <c r="AH291" s="356" t="str">
        <f t="shared" si="62"/>
        <v>-</v>
      </c>
      <c r="AI291" s="356" t="str">
        <f t="shared" si="62"/>
        <v>-</v>
      </c>
      <c r="AJ291" s="356" t="str">
        <f t="shared" si="62"/>
        <v>-</v>
      </c>
      <c r="AK291" s="356" t="str">
        <f t="shared" si="62"/>
        <v>-</v>
      </c>
      <c r="AL291" s="356" t="str">
        <f t="shared" si="62"/>
        <v>-</v>
      </c>
      <c r="AM291" s="356" t="str">
        <f t="shared" si="62"/>
        <v>-</v>
      </c>
      <c r="AN291" s="276" t="s">
        <v>1202</v>
      </c>
      <c r="AO291" s="873"/>
      <c r="AP291" s="547"/>
      <c r="AQ291" s="547"/>
      <c r="AR291" s="873"/>
      <c r="AS291" s="277" t="s">
        <v>1204</v>
      </c>
      <c r="AT291" s="265"/>
      <c r="AU291" s="187"/>
    </row>
    <row r="292" spans="2:49" ht="19.350000000000001" customHeight="1">
      <c r="B292" s="1905"/>
      <c r="C292" s="1906"/>
      <c r="D292" s="1907" t="s">
        <v>1205</v>
      </c>
      <c r="E292" s="1397"/>
      <c r="F292" s="1908"/>
      <c r="G292" s="873" t="s">
        <v>33</v>
      </c>
      <c r="H292" s="916">
        <v>48.819588000000003</v>
      </c>
      <c r="I292" s="874"/>
      <c r="J292" s="916">
        <v>55.568705999999999</v>
      </c>
      <c r="K292" s="875"/>
      <c r="L292" s="876"/>
      <c r="M292" s="874">
        <v>48.819588000000003</v>
      </c>
      <c r="N292" s="1909" t="s">
        <v>1209</v>
      </c>
      <c r="O292" s="874">
        <v>55.568705999999999</v>
      </c>
      <c r="P292" s="1910" t="s">
        <v>1209</v>
      </c>
      <c r="Q292" s="5301"/>
      <c r="R292" s="2267"/>
      <c r="S292" s="2113"/>
      <c r="T292" s="335"/>
      <c r="U292" s="2369"/>
      <c r="V292" s="2268"/>
      <c r="W292" s="4996">
        <v>52.2</v>
      </c>
      <c r="X292" s="877">
        <v>0</v>
      </c>
      <c r="Y292" s="802">
        <v>56</v>
      </c>
      <c r="Z292" s="877">
        <v>0</v>
      </c>
      <c r="AA292" s="335"/>
      <c r="AB292" s="335"/>
      <c r="AC292" s="335"/>
      <c r="AD292" s="335">
        <v>51.5</v>
      </c>
      <c r="AE292" s="335"/>
      <c r="AF292" s="335"/>
      <c r="AG292" s="335">
        <v>46.3</v>
      </c>
      <c r="AH292" s="918"/>
      <c r="AI292" s="918"/>
      <c r="AJ292" s="918"/>
      <c r="AK292" s="335"/>
      <c r="AL292" s="335"/>
      <c r="AM292" s="335"/>
      <c r="AN292" s="544"/>
      <c r="AO292" s="109"/>
      <c r="AP292" s="547"/>
      <c r="AQ292" s="547"/>
      <c r="AR292" s="109"/>
      <c r="AS292" s="277" t="s">
        <v>1204</v>
      </c>
      <c r="AT292" s="265"/>
      <c r="AU292" s="187" t="s">
        <v>1207</v>
      </c>
    </row>
    <row r="293" spans="2:49" ht="19.350000000000001" customHeight="1">
      <c r="B293" s="1747"/>
      <c r="C293" s="1911"/>
      <c r="D293" s="920" t="s">
        <v>1215</v>
      </c>
      <c r="E293" s="921"/>
      <c r="F293" s="1385"/>
      <c r="G293" s="109" t="s">
        <v>33</v>
      </c>
      <c r="H293" s="923">
        <v>573</v>
      </c>
      <c r="I293" s="297"/>
      <c r="J293" s="923">
        <v>1488.427551</v>
      </c>
      <c r="K293" s="92"/>
      <c r="L293" s="228"/>
      <c r="M293" s="297">
        <v>573</v>
      </c>
      <c r="N293" s="1842" t="s">
        <v>1218</v>
      </c>
      <c r="O293" s="297">
        <v>1488.427551</v>
      </c>
      <c r="P293" s="151" t="s">
        <v>1218</v>
      </c>
      <c r="Q293" s="2350"/>
      <c r="R293" s="2186"/>
      <c r="S293" s="2111"/>
      <c r="T293" s="100"/>
      <c r="U293" s="2349"/>
      <c r="V293" s="2187"/>
      <c r="W293" s="2131">
        <v>262</v>
      </c>
      <c r="X293" s="293">
        <v>0</v>
      </c>
      <c r="Y293" s="702">
        <v>300</v>
      </c>
      <c r="Z293" s="293">
        <v>0</v>
      </c>
      <c r="AA293" s="100"/>
      <c r="AB293" s="100"/>
      <c r="AC293" s="100"/>
      <c r="AD293" s="100">
        <v>300</v>
      </c>
      <c r="AE293" s="100"/>
      <c r="AF293" s="100"/>
      <c r="AG293" s="100">
        <v>120</v>
      </c>
      <c r="AH293" s="918"/>
      <c r="AI293" s="918"/>
      <c r="AJ293" s="918"/>
      <c r="AK293" s="100"/>
      <c r="AL293" s="100"/>
      <c r="AM293" s="100"/>
      <c r="AN293" s="276"/>
      <c r="AO293" s="109"/>
      <c r="AP293" s="547"/>
      <c r="AQ293" s="547"/>
      <c r="AR293" s="109"/>
      <c r="AS293" s="277" t="s">
        <v>1204</v>
      </c>
      <c r="AT293" s="427"/>
      <c r="AU293" s="187" t="s">
        <v>1207</v>
      </c>
    </row>
    <row r="294" spans="2:49" ht="19.350000000000001" customHeight="1" thickBot="1">
      <c r="B294" s="1747"/>
      <c r="C294" s="10013" t="s">
        <v>1221</v>
      </c>
      <c r="D294" s="10013"/>
      <c r="E294" s="10013"/>
      <c r="F294" s="10014"/>
      <c r="G294" s="109" t="s">
        <v>156</v>
      </c>
      <c r="H294" s="391">
        <f>IFERROR(H295/H296*100,"-")</f>
        <v>0</v>
      </c>
      <c r="I294" s="928"/>
      <c r="J294" s="391">
        <f>IFERROR(J295/J296*100,"-")</f>
        <v>0</v>
      </c>
      <c r="K294" s="929"/>
      <c r="L294" s="391" t="str">
        <f>IFERROR(L295/L296*100,"-")</f>
        <v>-</v>
      </c>
      <c r="M294" s="391">
        <v>0</v>
      </c>
      <c r="N294" s="1912" t="s">
        <v>1780</v>
      </c>
      <c r="O294" s="391">
        <v>0</v>
      </c>
      <c r="P294" s="1912" t="s">
        <v>1780</v>
      </c>
      <c r="Q294" s="2090" t="str">
        <f>IFERROR(Q295/Q296*100,"-")</f>
        <v>-</v>
      </c>
      <c r="R294" s="2270"/>
      <c r="S294" s="2117"/>
      <c r="T294" s="391"/>
      <c r="U294" s="2090"/>
      <c r="V294" s="2216"/>
      <c r="W294" s="2117">
        <f>IFERROR(W295/W296*100,"-")</f>
        <v>0</v>
      </c>
      <c r="X294" s="929"/>
      <c r="Y294" s="391">
        <f>IFERROR(Y295/Y296*100,"-")</f>
        <v>0</v>
      </c>
      <c r="Z294" s="929"/>
      <c r="AA294" s="391">
        <f t="shared" ref="AA294:AM294" si="63">IFERROR(AA295/AA296*100,"-")</f>
        <v>0</v>
      </c>
      <c r="AB294" s="391" t="str">
        <f t="shared" si="63"/>
        <v>-</v>
      </c>
      <c r="AC294" s="391" t="str">
        <f t="shared" si="63"/>
        <v>-</v>
      </c>
      <c r="AD294" s="335"/>
      <c r="AE294" s="335"/>
      <c r="AF294" s="335"/>
      <c r="AG294" s="1913"/>
      <c r="AH294" s="391">
        <f t="shared" si="63"/>
        <v>0</v>
      </c>
      <c r="AI294" s="391">
        <f t="shared" si="63"/>
        <v>0</v>
      </c>
      <c r="AJ294" s="391">
        <f t="shared" si="63"/>
        <v>0</v>
      </c>
      <c r="AK294" s="391" t="str">
        <f t="shared" si="63"/>
        <v>-</v>
      </c>
      <c r="AL294" s="391" t="str">
        <f t="shared" si="63"/>
        <v>-</v>
      </c>
      <c r="AM294" s="391" t="str">
        <f t="shared" si="63"/>
        <v>-</v>
      </c>
      <c r="AN294" s="276" t="s">
        <v>1223</v>
      </c>
      <c r="AO294" s="109" t="s">
        <v>737</v>
      </c>
      <c r="AP294" s="547"/>
      <c r="AQ294" s="547"/>
      <c r="AR294" s="299" t="s">
        <v>193</v>
      </c>
      <c r="AS294" s="277" t="s">
        <v>1225</v>
      </c>
      <c r="AT294" s="427"/>
      <c r="AU294" s="221"/>
      <c r="AV294" s="18"/>
    </row>
    <row r="295" spans="2:49" ht="19.350000000000001" customHeight="1">
      <c r="B295" s="1747"/>
      <c r="C295" s="1914"/>
      <c r="D295" s="931" t="s">
        <v>1226</v>
      </c>
      <c r="E295" s="931"/>
      <c r="F295" s="931"/>
      <c r="G295" s="109" t="s">
        <v>33</v>
      </c>
      <c r="H295" s="933"/>
      <c r="I295" s="290"/>
      <c r="J295" s="933"/>
      <c r="K295" s="284"/>
      <c r="L295" s="228"/>
      <c r="M295" s="933"/>
      <c r="N295" s="934" t="s">
        <v>1780</v>
      </c>
      <c r="O295" s="933"/>
      <c r="P295" s="930" t="s">
        <v>1780</v>
      </c>
      <c r="Q295" s="2350"/>
      <c r="R295" s="2186"/>
      <c r="S295" s="2111"/>
      <c r="T295" s="100"/>
      <c r="U295" s="2349"/>
      <c r="V295" s="2187"/>
      <c r="W295" s="2111"/>
      <c r="X295" s="284"/>
      <c r="Y295" s="100"/>
      <c r="Z295" s="284"/>
      <c r="AA295" s="100"/>
      <c r="AB295" s="100"/>
      <c r="AC295" s="100"/>
      <c r="AD295" s="766"/>
      <c r="AE295" s="100"/>
      <c r="AF295" s="100"/>
      <c r="AG295" s="100"/>
      <c r="AH295" s="100"/>
      <c r="AI295" s="100"/>
      <c r="AJ295" s="100"/>
      <c r="AK295" s="100"/>
      <c r="AL295" s="100"/>
      <c r="AM295" s="100"/>
      <c r="AN295" s="276"/>
      <c r="AO295" s="109" t="s">
        <v>737</v>
      </c>
      <c r="AP295" s="547"/>
      <c r="AQ295" s="547"/>
      <c r="AR295" s="299" t="s">
        <v>193</v>
      </c>
      <c r="AS295" s="277" t="s">
        <v>1225</v>
      </c>
      <c r="AT295" s="265"/>
      <c r="AU295" s="187"/>
      <c r="AV295" s="18"/>
    </row>
    <row r="296" spans="2:49" ht="19.350000000000001" customHeight="1">
      <c r="B296" s="1747"/>
      <c r="C296" s="1915"/>
      <c r="D296" s="10015" t="s">
        <v>1031</v>
      </c>
      <c r="E296" s="10015"/>
      <c r="F296" s="10015"/>
      <c r="G296" s="109" t="s">
        <v>33</v>
      </c>
      <c r="H296" s="937">
        <f>IFERROR(H196,"-")</f>
        <v>6507</v>
      </c>
      <c r="I296" s="938"/>
      <c r="J296" s="937">
        <f>IFERROR(J196,"-")</f>
        <v>8712</v>
      </c>
      <c r="K296" s="939"/>
      <c r="L296" s="937">
        <f>IFERROR(L196,"-")</f>
        <v>0</v>
      </c>
      <c r="M296" s="937">
        <v>3601</v>
      </c>
      <c r="N296" s="934" t="s">
        <v>1780</v>
      </c>
      <c r="O296" s="937">
        <v>4502</v>
      </c>
      <c r="P296" s="930" t="s">
        <v>1780</v>
      </c>
      <c r="Q296" s="5308">
        <f>IFERROR(Q196,"-")</f>
        <v>0</v>
      </c>
      <c r="R296" s="5336">
        <f>R262</f>
        <v>183</v>
      </c>
      <c r="S296" s="5712"/>
      <c r="T296" s="5337">
        <f t="shared" ref="T296:V296" si="64">T262</f>
        <v>231</v>
      </c>
      <c r="U296" s="5775"/>
      <c r="V296" s="2343">
        <f t="shared" si="64"/>
        <v>234</v>
      </c>
      <c r="W296" s="5004">
        <f>IFERROR(W196,"-")</f>
        <v>183</v>
      </c>
      <c r="X296" s="941"/>
      <c r="Y296" s="937">
        <f>IFERROR(Y196,"-")</f>
        <v>231</v>
      </c>
      <c r="Z296" s="941"/>
      <c r="AA296" s="937">
        <f t="shared" ref="AA296:AM296" si="65">IFERROR(AA196,"-")</f>
        <v>249</v>
      </c>
      <c r="AB296" s="940">
        <f t="shared" si="65"/>
        <v>0</v>
      </c>
      <c r="AC296" s="937">
        <f t="shared" si="65"/>
        <v>0</v>
      </c>
      <c r="AD296" s="100">
        <f t="shared" si="65"/>
        <v>196</v>
      </c>
      <c r="AE296" s="940">
        <f t="shared" si="65"/>
        <v>0</v>
      </c>
      <c r="AF296" s="937">
        <f t="shared" si="65"/>
        <v>0</v>
      </c>
      <c r="AG296" s="937">
        <f t="shared" si="65"/>
        <v>27</v>
      </c>
      <c r="AH296" s="940">
        <f t="shared" si="65"/>
        <v>16</v>
      </c>
      <c r="AI296" s="937">
        <f t="shared" si="65"/>
        <v>22</v>
      </c>
      <c r="AJ296" s="937">
        <f t="shared" si="65"/>
        <v>26</v>
      </c>
      <c r="AK296" s="940">
        <f t="shared" si="65"/>
        <v>0</v>
      </c>
      <c r="AL296" s="937">
        <f t="shared" si="65"/>
        <v>0</v>
      </c>
      <c r="AM296" s="937">
        <f t="shared" si="65"/>
        <v>0</v>
      </c>
      <c r="AN296" s="276"/>
      <c r="AO296" s="109" t="s">
        <v>737</v>
      </c>
      <c r="AP296" s="547"/>
      <c r="AQ296" s="547"/>
      <c r="AR296" s="299" t="s">
        <v>193</v>
      </c>
      <c r="AS296" s="277" t="s">
        <v>1225</v>
      </c>
      <c r="AT296" s="265"/>
      <c r="AU296" s="187"/>
      <c r="AV296" s="18"/>
    </row>
    <row r="297" spans="2:49" ht="19.350000000000001" customHeight="1" thickBot="1">
      <c r="B297" s="1916"/>
      <c r="C297" s="1917" t="s">
        <v>1229</v>
      </c>
      <c r="D297" s="1918"/>
      <c r="E297" s="1918"/>
      <c r="F297" s="1918"/>
      <c r="G297" s="873" t="s">
        <v>156</v>
      </c>
      <c r="H297" s="946"/>
      <c r="I297" s="874"/>
      <c r="J297" s="946"/>
      <c r="K297" s="875"/>
      <c r="L297" s="876"/>
      <c r="M297" s="1919"/>
      <c r="N297" s="1920"/>
      <c r="O297" s="1919"/>
      <c r="P297" s="919"/>
      <c r="Q297" s="5301"/>
      <c r="R297" s="2267"/>
      <c r="S297" s="2113"/>
      <c r="T297" s="335"/>
      <c r="U297" s="2369"/>
      <c r="V297" s="2268"/>
      <c r="W297" s="2113"/>
      <c r="X297" s="877"/>
      <c r="Y297" s="335"/>
      <c r="Z297" s="877"/>
      <c r="AA297" s="335"/>
      <c r="AB297" s="335"/>
      <c r="AC297" s="335"/>
      <c r="AD297" s="335"/>
      <c r="AE297" s="335"/>
      <c r="AF297" s="335"/>
      <c r="AG297" s="335"/>
      <c r="AH297" s="918"/>
      <c r="AI297" s="918"/>
      <c r="AJ297" s="918"/>
      <c r="AK297" s="335"/>
      <c r="AL297" s="335"/>
      <c r="AM297" s="335"/>
      <c r="AN297" s="544"/>
      <c r="AO297" s="873"/>
      <c r="AP297" s="547"/>
      <c r="AQ297" s="547"/>
      <c r="AR297" s="873"/>
      <c r="AS297" s="277"/>
      <c r="AT297" s="336" t="s">
        <v>1233</v>
      </c>
      <c r="AU297" s="187"/>
    </row>
    <row r="298" spans="2:49" ht="27" thickBot="1">
      <c r="B298" s="1921"/>
      <c r="C298" s="123" t="s">
        <v>1234</v>
      </c>
      <c r="D298" s="124"/>
      <c r="E298" s="124"/>
      <c r="F298" s="124"/>
      <c r="G298" s="124"/>
      <c r="H298" s="78"/>
      <c r="I298" s="1732"/>
      <c r="J298" s="1732"/>
      <c r="K298" s="1732"/>
      <c r="L298" s="1732"/>
      <c r="M298" s="1732"/>
      <c r="N298" s="1733"/>
      <c r="O298" s="1734"/>
      <c r="P298" s="1733"/>
      <c r="Q298" s="1734"/>
      <c r="R298" s="5323"/>
      <c r="S298" s="1733"/>
      <c r="T298" s="148"/>
      <c r="U298" s="148"/>
      <c r="V298" s="2176"/>
      <c r="W298" s="1733"/>
      <c r="X298" s="1734"/>
      <c r="Y298" s="148"/>
      <c r="Z298" s="148"/>
      <c r="AA298" s="148"/>
      <c r="AB298" s="1733"/>
      <c r="AC298" s="148"/>
      <c r="AD298" s="148"/>
      <c r="AE298" s="1733"/>
      <c r="AF298" s="148"/>
      <c r="AG298" s="148"/>
      <c r="AH298" s="1733"/>
      <c r="AI298" s="148"/>
      <c r="AJ298" s="148"/>
      <c r="AK298" s="1733"/>
      <c r="AL298" s="148"/>
      <c r="AM298" s="148"/>
      <c r="AN298" s="148"/>
      <c r="AO298" s="148"/>
      <c r="AP298" s="148"/>
      <c r="AQ298" s="80"/>
      <c r="AR298" s="80"/>
      <c r="AS298" s="80"/>
      <c r="AT298" s="80"/>
      <c r="AU298" s="1922"/>
      <c r="AV298" s="11"/>
      <c r="AW298"/>
    </row>
    <row r="299" spans="2:49" ht="20.100000000000001" customHeight="1" thickBot="1">
      <c r="B299" s="1923"/>
      <c r="C299" s="10016" t="s">
        <v>2137</v>
      </c>
      <c r="D299" s="10016"/>
      <c r="E299" s="10016"/>
      <c r="F299" s="1924" t="s">
        <v>1238</v>
      </c>
      <c r="G299" s="436" t="s">
        <v>154</v>
      </c>
      <c r="H299" s="527"/>
      <c r="I299" s="527"/>
      <c r="J299" s="527"/>
      <c r="K299" s="527"/>
      <c r="L299" s="761"/>
      <c r="M299" s="1925">
        <v>0.14000000000000001</v>
      </c>
      <c r="N299" s="1926"/>
      <c r="O299" s="1925">
        <v>0.11</v>
      </c>
      <c r="P299" s="1926"/>
      <c r="Q299" s="5307"/>
      <c r="R299" s="2498"/>
      <c r="S299" s="2459"/>
      <c r="T299" s="766"/>
      <c r="U299" s="4958"/>
      <c r="V299" s="2403"/>
      <c r="W299" s="2459"/>
      <c r="X299" s="1927"/>
      <c r="Y299" s="766"/>
      <c r="Z299" s="1927"/>
      <c r="AA299" s="766"/>
      <c r="AB299" s="766">
        <v>0</v>
      </c>
      <c r="AC299" s="766">
        <v>0</v>
      </c>
      <c r="AD299" s="100">
        <v>0</v>
      </c>
      <c r="AE299" s="766"/>
      <c r="AF299" s="766"/>
      <c r="AG299" s="766"/>
      <c r="AH299" s="766">
        <v>0</v>
      </c>
      <c r="AI299" s="766">
        <v>0</v>
      </c>
      <c r="AJ299" s="766">
        <v>0</v>
      </c>
      <c r="AK299" s="766"/>
      <c r="AL299" s="766"/>
      <c r="AM299" s="766"/>
      <c r="AN299" s="533"/>
      <c r="AO299" s="1928"/>
      <c r="AP299" s="547"/>
      <c r="AQ299" s="547"/>
      <c r="AR299" s="873"/>
      <c r="AS299" s="277" t="s">
        <v>2138</v>
      </c>
      <c r="AT299" s="265"/>
      <c r="AU299" s="187" t="s">
        <v>1245</v>
      </c>
    </row>
    <row r="300" spans="2:49" ht="20.100000000000001" customHeight="1" thickBot="1">
      <c r="B300" s="1754"/>
      <c r="C300" s="10016"/>
      <c r="D300" s="10016"/>
      <c r="E300" s="10016"/>
      <c r="F300" s="266" t="s">
        <v>1242</v>
      </c>
      <c r="G300" s="136" t="s">
        <v>154</v>
      </c>
      <c r="H300" s="540"/>
      <c r="I300" s="540"/>
      <c r="J300" s="540"/>
      <c r="K300" s="540"/>
      <c r="L300" s="228"/>
      <c r="M300" s="540"/>
      <c r="N300" s="1929"/>
      <c r="O300" s="540"/>
      <c r="P300" s="1929"/>
      <c r="Q300" s="2350"/>
      <c r="R300" s="2186"/>
      <c r="S300" s="2111"/>
      <c r="T300" s="100"/>
      <c r="U300" s="2349"/>
      <c r="V300" s="2187"/>
      <c r="W300" s="2111"/>
      <c r="X300" s="293"/>
      <c r="Y300" s="100"/>
      <c r="Z300" s="293"/>
      <c r="AA300" s="100"/>
      <c r="AB300" s="100">
        <v>0</v>
      </c>
      <c r="AC300" s="100">
        <v>0</v>
      </c>
      <c r="AD300" s="100">
        <f>1/(209*12*AD$196)*1000000</f>
        <v>2.0343065455847413</v>
      </c>
      <c r="AE300" s="100"/>
      <c r="AF300" s="100"/>
      <c r="AG300" s="100"/>
      <c r="AH300" s="100">
        <v>0</v>
      </c>
      <c r="AI300" s="100">
        <v>0</v>
      </c>
      <c r="AJ300" s="100">
        <v>0</v>
      </c>
      <c r="AK300" s="100"/>
      <c r="AL300" s="100"/>
      <c r="AM300" s="100"/>
      <c r="AN300" s="367" t="s">
        <v>1322</v>
      </c>
      <c r="AO300" s="109"/>
      <c r="AP300" s="547"/>
      <c r="AQ300" s="547"/>
      <c r="AR300" s="109"/>
      <c r="AS300" s="277" t="s">
        <v>2138</v>
      </c>
      <c r="AT300" s="265"/>
      <c r="AU300" s="187" t="s">
        <v>1245</v>
      </c>
    </row>
    <row r="301" spans="2:49" ht="20.100000000000001" customHeight="1" thickBot="1">
      <c r="B301" s="1754"/>
      <c r="C301" s="10016"/>
      <c r="D301" s="10016"/>
      <c r="E301" s="10016"/>
      <c r="F301" s="266" t="s">
        <v>1246</v>
      </c>
      <c r="G301" s="136" t="s">
        <v>154</v>
      </c>
      <c r="H301" s="540"/>
      <c r="I301" s="540"/>
      <c r="J301" s="540"/>
      <c r="K301" s="540"/>
      <c r="L301" s="228"/>
      <c r="M301" s="540"/>
      <c r="N301" s="1929"/>
      <c r="O301" s="540"/>
      <c r="P301" s="1929"/>
      <c r="Q301" s="2350"/>
      <c r="R301" s="2186"/>
      <c r="S301" s="2111"/>
      <c r="T301" s="100"/>
      <c r="U301" s="2349"/>
      <c r="V301" s="2187"/>
      <c r="W301" s="2111"/>
      <c r="X301" s="293"/>
      <c r="Y301" s="100"/>
      <c r="Z301" s="293"/>
      <c r="AA301" s="100"/>
      <c r="AB301" s="100">
        <v>0</v>
      </c>
      <c r="AC301" s="100">
        <v>0</v>
      </c>
      <c r="AD301" s="100">
        <v>0</v>
      </c>
      <c r="AE301" s="100"/>
      <c r="AF301" s="100"/>
      <c r="AG301" s="100"/>
      <c r="AH301" s="100">
        <v>0</v>
      </c>
      <c r="AI301" s="100">
        <v>0</v>
      </c>
      <c r="AJ301" s="100">
        <v>0</v>
      </c>
      <c r="AK301" s="100"/>
      <c r="AL301" s="100"/>
      <c r="AM301" s="100"/>
      <c r="AN301" s="276"/>
      <c r="AO301" s="109"/>
      <c r="AP301" s="547"/>
      <c r="AQ301" s="547"/>
      <c r="AR301" s="109"/>
      <c r="AS301" s="277" t="s">
        <v>976</v>
      </c>
      <c r="AT301" s="265"/>
      <c r="AU301" s="187" t="s">
        <v>1245</v>
      </c>
    </row>
    <row r="302" spans="2:49" ht="20.100000000000001" customHeight="1">
      <c r="B302" s="1754"/>
      <c r="C302" s="10016"/>
      <c r="D302" s="10016"/>
      <c r="E302" s="10016"/>
      <c r="F302" s="266" t="s">
        <v>1248</v>
      </c>
      <c r="G302" s="136" t="s">
        <v>154</v>
      </c>
      <c r="H302" s="540"/>
      <c r="I302" s="540"/>
      <c r="J302" s="540"/>
      <c r="K302" s="540"/>
      <c r="L302" s="228"/>
      <c r="M302" s="540"/>
      <c r="N302" s="1929"/>
      <c r="O302" s="540"/>
      <c r="P302" s="1929"/>
      <c r="Q302" s="2350"/>
      <c r="R302" s="2186"/>
      <c r="S302" s="2111"/>
      <c r="T302" s="100"/>
      <c r="U302" s="2349"/>
      <c r="V302" s="2187"/>
      <c r="W302" s="2111"/>
      <c r="X302" s="293"/>
      <c r="Y302" s="100"/>
      <c r="Z302" s="293"/>
      <c r="AA302" s="100"/>
      <c r="AB302" s="100">
        <v>0</v>
      </c>
      <c r="AC302" s="100">
        <v>0</v>
      </c>
      <c r="AD302" s="100">
        <v>0</v>
      </c>
      <c r="AE302" s="100"/>
      <c r="AF302" s="100"/>
      <c r="AG302" s="100"/>
      <c r="AH302" s="100">
        <v>0</v>
      </c>
      <c r="AI302" s="100">
        <v>0</v>
      </c>
      <c r="AJ302" s="100">
        <v>0</v>
      </c>
      <c r="AK302" s="100"/>
      <c r="AL302" s="100"/>
      <c r="AM302" s="100"/>
      <c r="AN302" s="367" t="s">
        <v>1322</v>
      </c>
      <c r="AO302" s="109"/>
      <c r="AP302" s="547"/>
      <c r="AQ302" s="547"/>
      <c r="AR302" s="109"/>
      <c r="AS302" s="277" t="s">
        <v>976</v>
      </c>
      <c r="AT302" s="265"/>
      <c r="AU302" s="187" t="s">
        <v>1241</v>
      </c>
    </row>
    <row r="303" spans="2:49" ht="20.100000000000001" customHeight="1">
      <c r="B303" s="1747"/>
      <c r="C303" s="10009" t="s">
        <v>1250</v>
      </c>
      <c r="D303" s="10009"/>
      <c r="E303" s="10009"/>
      <c r="F303" s="10009"/>
      <c r="G303" s="109" t="s">
        <v>557</v>
      </c>
      <c r="H303" s="297">
        <v>7</v>
      </c>
      <c r="I303" s="297">
        <v>1.1068943706514865E-3</v>
      </c>
      <c r="J303" s="297">
        <v>7</v>
      </c>
      <c r="K303" s="92">
        <v>8.2537436623039738E-4</v>
      </c>
      <c r="L303" s="228"/>
      <c r="M303" s="297">
        <v>4</v>
      </c>
      <c r="N303" s="1842" t="s">
        <v>1254</v>
      </c>
      <c r="O303" s="297">
        <v>5</v>
      </c>
      <c r="P303" s="151" t="s">
        <v>1255</v>
      </c>
      <c r="Q303" s="2350"/>
      <c r="R303" s="2186"/>
      <c r="S303" s="2111"/>
      <c r="T303" s="100"/>
      <c r="U303" s="2349"/>
      <c r="V303" s="2187"/>
      <c r="W303" s="2111">
        <v>0</v>
      </c>
      <c r="X303" s="293">
        <v>0</v>
      </c>
      <c r="Y303" s="100">
        <v>0</v>
      </c>
      <c r="Z303" s="293">
        <v>0</v>
      </c>
      <c r="AA303" s="100">
        <f>AD303+AG303+AJ303+AM303</f>
        <v>0</v>
      </c>
      <c r="AB303" s="100">
        <v>0</v>
      </c>
      <c r="AC303" s="100">
        <v>0</v>
      </c>
      <c r="AD303" s="100">
        <v>0</v>
      </c>
      <c r="AE303" s="100"/>
      <c r="AF303" s="100"/>
      <c r="AG303" s="100"/>
      <c r="AH303" s="100">
        <v>0</v>
      </c>
      <c r="AI303" s="100">
        <v>0</v>
      </c>
      <c r="AJ303" s="100">
        <v>0</v>
      </c>
      <c r="AK303" s="100"/>
      <c r="AL303" s="100"/>
      <c r="AM303" s="100"/>
      <c r="AN303" s="276" t="s">
        <v>1250</v>
      </c>
      <c r="AO303" s="109"/>
      <c r="AP303" s="547"/>
      <c r="AQ303" s="547"/>
      <c r="AR303" s="109"/>
      <c r="AS303" s="277" t="s">
        <v>1253</v>
      </c>
      <c r="AT303" s="265"/>
      <c r="AU303" s="187"/>
    </row>
    <row r="304" spans="2:49" ht="20.100000000000001" customHeight="1">
      <c r="B304" s="1747"/>
      <c r="C304" s="10009" t="s">
        <v>1258</v>
      </c>
      <c r="D304" s="10009"/>
      <c r="E304" s="10009"/>
      <c r="F304" s="10009"/>
      <c r="G304" s="109" t="s">
        <v>557</v>
      </c>
      <c r="H304" s="297"/>
      <c r="I304" s="297"/>
      <c r="J304" s="297"/>
      <c r="K304" s="92"/>
      <c r="L304" s="228"/>
      <c r="M304" s="297"/>
      <c r="N304" s="1842"/>
      <c r="O304" s="297"/>
      <c r="P304" s="151"/>
      <c r="Q304" s="2350"/>
      <c r="R304" s="2186"/>
      <c r="S304" s="2111"/>
      <c r="T304" s="100"/>
      <c r="U304" s="2349"/>
      <c r="V304" s="2187"/>
      <c r="W304" s="2111"/>
      <c r="X304" s="293"/>
      <c r="Y304" s="100"/>
      <c r="Z304" s="293"/>
      <c r="AA304" s="100"/>
      <c r="AB304" s="100">
        <v>0</v>
      </c>
      <c r="AC304" s="100">
        <v>0</v>
      </c>
      <c r="AD304" s="100">
        <v>0</v>
      </c>
      <c r="AE304" s="100"/>
      <c r="AF304" s="100"/>
      <c r="AG304" s="100"/>
      <c r="AH304" s="100">
        <v>0</v>
      </c>
      <c r="AI304" s="100">
        <v>0</v>
      </c>
      <c r="AJ304" s="100">
        <v>0</v>
      </c>
      <c r="AK304" s="100"/>
      <c r="AL304" s="100"/>
      <c r="AM304" s="100"/>
      <c r="AN304" s="276" t="s">
        <v>1260</v>
      </c>
      <c r="AO304" s="109"/>
      <c r="AP304" s="547"/>
      <c r="AQ304" s="547"/>
      <c r="AR304" s="109"/>
      <c r="AS304" s="277" t="s">
        <v>1240</v>
      </c>
      <c r="AT304" s="265"/>
      <c r="AU304" s="187"/>
    </row>
    <row r="305" spans="2:48" ht="20.100000000000001" customHeight="1">
      <c r="B305" s="1747"/>
      <c r="C305" s="10009" t="s">
        <v>1261</v>
      </c>
      <c r="D305" s="10009"/>
      <c r="E305" s="10009"/>
      <c r="F305" s="10010"/>
      <c r="G305" s="109" t="s">
        <v>557</v>
      </c>
      <c r="H305" s="297">
        <v>0</v>
      </c>
      <c r="I305" s="297"/>
      <c r="J305" s="297">
        <v>0</v>
      </c>
      <c r="K305" s="92"/>
      <c r="L305" s="228"/>
      <c r="M305" s="297">
        <v>0</v>
      </c>
      <c r="N305" s="1842">
        <v>0</v>
      </c>
      <c r="O305" s="297">
        <v>0</v>
      </c>
      <c r="P305" s="151">
        <v>0</v>
      </c>
      <c r="Q305" s="2350"/>
      <c r="R305" s="2186"/>
      <c r="S305" s="2111"/>
      <c r="T305" s="100"/>
      <c r="U305" s="2349"/>
      <c r="V305" s="2187"/>
      <c r="W305" s="2111">
        <v>0</v>
      </c>
      <c r="X305" s="293">
        <v>0</v>
      </c>
      <c r="Y305" s="100">
        <v>0</v>
      </c>
      <c r="Z305" s="293">
        <v>0</v>
      </c>
      <c r="AA305" s="100">
        <f>AD305+AG305+AJ305+AM305</f>
        <v>0</v>
      </c>
      <c r="AB305" s="100">
        <v>0</v>
      </c>
      <c r="AC305" s="100">
        <v>0</v>
      </c>
      <c r="AD305" s="100">
        <v>0</v>
      </c>
      <c r="AE305" s="100"/>
      <c r="AF305" s="100"/>
      <c r="AG305" s="100"/>
      <c r="AH305" s="100">
        <v>0</v>
      </c>
      <c r="AI305" s="100">
        <v>0</v>
      </c>
      <c r="AJ305" s="100">
        <v>0</v>
      </c>
      <c r="AK305" s="100"/>
      <c r="AL305" s="100"/>
      <c r="AM305" s="100"/>
      <c r="AN305" s="276" t="s">
        <v>1261</v>
      </c>
      <c r="AO305" s="109"/>
      <c r="AP305" s="547"/>
      <c r="AQ305" s="547"/>
      <c r="AR305" s="109"/>
      <c r="AS305" s="277" t="s">
        <v>1264</v>
      </c>
      <c r="AT305" s="265"/>
      <c r="AU305" s="187"/>
    </row>
    <row r="306" spans="2:48" ht="20.100000000000001" customHeight="1">
      <c r="B306" s="1747"/>
      <c r="C306" s="10017"/>
      <c r="D306" s="920" t="s">
        <v>1266</v>
      </c>
      <c r="E306" s="721"/>
      <c r="F306" s="1385"/>
      <c r="G306" s="109" t="s">
        <v>156</v>
      </c>
      <c r="H306" s="297"/>
      <c r="I306" s="297"/>
      <c r="J306" s="297"/>
      <c r="K306" s="92"/>
      <c r="L306" s="228"/>
      <c r="M306" s="297"/>
      <c r="N306" s="1842"/>
      <c r="O306" s="297"/>
      <c r="P306" s="151"/>
      <c r="Q306" s="2350"/>
      <c r="R306" s="2186"/>
      <c r="S306" s="2111"/>
      <c r="T306" s="100"/>
      <c r="U306" s="2349"/>
      <c r="V306" s="2187"/>
      <c r="W306" s="2111"/>
      <c r="X306" s="293"/>
      <c r="Y306" s="100"/>
      <c r="Z306" s="293"/>
      <c r="AA306" s="100"/>
      <c r="AB306" s="100"/>
      <c r="AC306" s="100"/>
      <c r="AD306" s="100"/>
      <c r="AE306" s="100"/>
      <c r="AF306" s="100"/>
      <c r="AG306" s="100"/>
      <c r="AH306" s="100">
        <v>0</v>
      </c>
      <c r="AI306" s="100">
        <v>0</v>
      </c>
      <c r="AJ306" s="100">
        <v>0</v>
      </c>
      <c r="AK306" s="100"/>
      <c r="AL306" s="100"/>
      <c r="AM306" s="100"/>
      <c r="AN306" s="276"/>
      <c r="AO306" s="109"/>
      <c r="AP306" s="547"/>
      <c r="AQ306" s="547"/>
      <c r="AR306" s="109"/>
      <c r="AS306" s="277" t="s">
        <v>2139</v>
      </c>
      <c r="AT306" s="265"/>
      <c r="AU306" s="187" t="s">
        <v>1207</v>
      </c>
    </row>
    <row r="307" spans="2:48" ht="20.100000000000001" customHeight="1">
      <c r="B307" s="1747"/>
      <c r="C307" s="10018"/>
      <c r="D307" s="920" t="s">
        <v>1269</v>
      </c>
      <c r="E307" s="1234"/>
      <c r="F307" s="1385"/>
      <c r="G307" s="109" t="s">
        <v>156</v>
      </c>
      <c r="H307" s="297"/>
      <c r="I307" s="297"/>
      <c r="J307" s="297"/>
      <c r="K307" s="92"/>
      <c r="L307" s="228"/>
      <c r="M307" s="297"/>
      <c r="N307" s="1842"/>
      <c r="O307" s="297"/>
      <c r="P307" s="151"/>
      <c r="Q307" s="2350"/>
      <c r="R307" s="2186"/>
      <c r="S307" s="2111"/>
      <c r="T307" s="100"/>
      <c r="U307" s="2349"/>
      <c r="V307" s="2187"/>
      <c r="W307" s="2111"/>
      <c r="X307" s="293"/>
      <c r="Y307" s="100"/>
      <c r="Z307" s="293"/>
      <c r="AA307" s="100"/>
      <c r="AB307" s="100"/>
      <c r="AC307" s="100"/>
      <c r="AD307" s="100"/>
      <c r="AE307" s="100"/>
      <c r="AF307" s="100"/>
      <c r="AG307" s="100"/>
      <c r="AH307" s="100">
        <v>0</v>
      </c>
      <c r="AI307" s="100">
        <v>0</v>
      </c>
      <c r="AJ307" s="100">
        <v>0</v>
      </c>
      <c r="AK307" s="100"/>
      <c r="AL307" s="100"/>
      <c r="AM307" s="100"/>
      <c r="AN307" s="276"/>
      <c r="AO307" s="109"/>
      <c r="AP307" s="547"/>
      <c r="AQ307" s="547"/>
      <c r="AR307" s="109"/>
      <c r="AS307" s="981" t="s">
        <v>2139</v>
      </c>
      <c r="AT307" s="427"/>
      <c r="AU307" s="187" t="s">
        <v>1207</v>
      </c>
    </row>
    <row r="308" spans="2:48" ht="20.100000000000001" customHeight="1">
      <c r="B308" s="1747"/>
      <c r="C308" s="10013" t="s">
        <v>1271</v>
      </c>
      <c r="D308" s="10013"/>
      <c r="E308" s="10013"/>
      <c r="F308" s="10014"/>
      <c r="G308" s="109" t="s">
        <v>1272</v>
      </c>
      <c r="H308" s="1930">
        <f>H309/H310*1000000</f>
        <v>0.88830875502718343</v>
      </c>
      <c r="I308" s="1930"/>
      <c r="J308" s="1930">
        <f t="shared" ref="J308:O308" si="66">J309/J310*1000000</f>
        <v>0.83212470785765746</v>
      </c>
      <c r="K308" s="929"/>
      <c r="L308" s="1931"/>
      <c r="M308" s="1930">
        <f t="shared" si="66"/>
        <v>1.3171859594378248</v>
      </c>
      <c r="N308" s="934"/>
      <c r="O308" s="1930">
        <f t="shared" si="66"/>
        <v>1.7836022204049773</v>
      </c>
      <c r="P308" s="930"/>
      <c r="Q308" s="5309"/>
      <c r="R308" s="5324"/>
      <c r="S308" s="5316"/>
      <c r="T308" s="1932"/>
      <c r="U308" s="5776"/>
      <c r="V308" s="5325"/>
      <c r="W308" s="5316"/>
      <c r="X308" s="929"/>
      <c r="Y308" s="1932">
        <f>Y309/Y310*1000000</f>
        <v>0</v>
      </c>
      <c r="Z308" s="929"/>
      <c r="AA308" s="1932"/>
      <c r="AB308" s="1932"/>
      <c r="AC308" s="1932"/>
      <c r="AD308" s="100"/>
      <c r="AE308" s="1932"/>
      <c r="AF308" s="1932"/>
      <c r="AG308" s="1932"/>
      <c r="AH308" s="1932">
        <v>0</v>
      </c>
      <c r="AI308" s="1932">
        <v>0</v>
      </c>
      <c r="AJ308" s="1932">
        <v>0</v>
      </c>
      <c r="AK308" s="1932"/>
      <c r="AL308" s="1932"/>
      <c r="AM308" s="1932"/>
      <c r="AN308" s="276" t="s">
        <v>1275</v>
      </c>
      <c r="AO308" s="109"/>
      <c r="AP308" s="547"/>
      <c r="AQ308" s="547"/>
      <c r="AR308" s="109"/>
      <c r="AS308" s="981" t="s">
        <v>1277</v>
      </c>
      <c r="AT308" s="427"/>
      <c r="AU308" s="974"/>
    </row>
    <row r="309" spans="2:48" ht="20.100000000000001" customHeight="1">
      <c r="B309" s="1747"/>
      <c r="C309" s="10000"/>
      <c r="D309" s="931" t="s">
        <v>2140</v>
      </c>
      <c r="E309" s="931"/>
      <c r="F309" s="931"/>
      <c r="G309" s="109" t="s">
        <v>557</v>
      </c>
      <c r="H309" s="290">
        <v>7</v>
      </c>
      <c r="I309" s="290"/>
      <c r="J309" s="290">
        <v>7</v>
      </c>
      <c r="K309" s="284"/>
      <c r="L309" s="228"/>
      <c r="M309" s="290">
        <v>4</v>
      </c>
      <c r="N309" s="1345" t="s">
        <v>1282</v>
      </c>
      <c r="O309" s="290">
        <v>5</v>
      </c>
      <c r="P309" s="1346" t="s">
        <v>1282</v>
      </c>
      <c r="Q309" s="2350"/>
      <c r="R309" s="2186"/>
      <c r="S309" s="2111"/>
      <c r="T309" s="100"/>
      <c r="U309" s="2349"/>
      <c r="V309" s="2187"/>
      <c r="W309" s="2111">
        <v>0</v>
      </c>
      <c r="X309" s="284">
        <v>0</v>
      </c>
      <c r="Y309" s="100">
        <v>0</v>
      </c>
      <c r="Z309" s="284">
        <v>0</v>
      </c>
      <c r="AA309" s="100">
        <f>AD309+AG309+AJ309+AM309</f>
        <v>0</v>
      </c>
      <c r="AB309" s="100">
        <v>0</v>
      </c>
      <c r="AC309" s="100">
        <v>0</v>
      </c>
      <c r="AD309" s="100">
        <v>0</v>
      </c>
      <c r="AE309" s="100"/>
      <c r="AF309" s="100"/>
      <c r="AG309" s="100"/>
      <c r="AH309" s="100">
        <v>0</v>
      </c>
      <c r="AI309" s="100">
        <v>0</v>
      </c>
      <c r="AJ309" s="100">
        <v>0</v>
      </c>
      <c r="AK309" s="100"/>
      <c r="AL309" s="100"/>
      <c r="AM309" s="100"/>
      <c r="AN309" s="276"/>
      <c r="AO309" s="109"/>
      <c r="AP309" s="547"/>
      <c r="AQ309" s="547"/>
      <c r="AR309" s="109"/>
      <c r="AS309" s="981" t="s">
        <v>1277</v>
      </c>
      <c r="AT309" s="265"/>
      <c r="AU309" s="982"/>
    </row>
    <row r="310" spans="2:48" ht="20.100000000000001" customHeight="1">
      <c r="B310" s="1747"/>
      <c r="C310" s="10001"/>
      <c r="D310" s="10015" t="s">
        <v>1286</v>
      </c>
      <c r="E310" s="10015"/>
      <c r="F310" s="10015"/>
      <c r="G310" s="109" t="s">
        <v>1018</v>
      </c>
      <c r="H310" s="937">
        <v>7880142.9800000004</v>
      </c>
      <c r="I310" s="937"/>
      <c r="J310" s="937">
        <v>8412200.6400000006</v>
      </c>
      <c r="K310" s="939"/>
      <c r="L310" s="228"/>
      <c r="M310" s="938">
        <v>3036776.98</v>
      </c>
      <c r="N310" s="1345" t="s">
        <v>1854</v>
      </c>
      <c r="O310" s="938">
        <v>2803315.64</v>
      </c>
      <c r="P310" s="1346" t="s">
        <v>1855</v>
      </c>
      <c r="Q310" s="2350"/>
      <c r="R310" s="2186"/>
      <c r="S310" s="2111"/>
      <c r="T310" s="100"/>
      <c r="U310" s="2349"/>
      <c r="V310" s="2187"/>
      <c r="W310" s="2131">
        <v>458964</v>
      </c>
      <c r="X310" s="941" t="s">
        <v>1293</v>
      </c>
      <c r="Y310" s="702">
        <v>539220</v>
      </c>
      <c r="Z310" s="941" t="s">
        <v>1294</v>
      </c>
      <c r="AA310" s="100"/>
      <c r="AB310" s="100">
        <f>209*12*AB$196</f>
        <v>0</v>
      </c>
      <c r="AC310" s="100">
        <f>209*12*AC$196</f>
        <v>0</v>
      </c>
      <c r="AD310" s="100">
        <f>209*12*AD$196</f>
        <v>491568</v>
      </c>
      <c r="AE310" s="100"/>
      <c r="AF310" s="100"/>
      <c r="AG310" s="100"/>
      <c r="AH310" s="100">
        <v>0</v>
      </c>
      <c r="AI310" s="100">
        <v>0</v>
      </c>
      <c r="AJ310" s="100">
        <v>0</v>
      </c>
      <c r="AK310" s="100"/>
      <c r="AL310" s="100"/>
      <c r="AM310" s="100"/>
      <c r="AN310" s="276" t="s">
        <v>1288</v>
      </c>
      <c r="AO310" s="109"/>
      <c r="AP310" s="547"/>
      <c r="AQ310" s="547"/>
      <c r="AR310" s="109"/>
      <c r="AS310" s="981" t="s">
        <v>1277</v>
      </c>
      <c r="AT310" s="265"/>
      <c r="AU310" s="982"/>
    </row>
    <row r="311" spans="2:48" ht="20.100000000000001" customHeight="1">
      <c r="B311" s="1747"/>
      <c r="C311" s="9987" t="s">
        <v>1302</v>
      </c>
      <c r="D311" s="9988"/>
      <c r="E311" s="9988"/>
      <c r="F311" s="9989"/>
      <c r="G311" s="109" t="s">
        <v>1272</v>
      </c>
      <c r="H311" s="937"/>
      <c r="I311" s="937"/>
      <c r="J311" s="937"/>
      <c r="K311" s="939"/>
      <c r="L311" s="228"/>
      <c r="M311" s="938"/>
      <c r="N311" s="1345" t="s">
        <v>209</v>
      </c>
      <c r="O311" s="938"/>
      <c r="P311" s="1346" t="s">
        <v>209</v>
      </c>
      <c r="Q311" s="2350"/>
      <c r="R311" s="2186"/>
      <c r="S311" s="2111"/>
      <c r="T311" s="100"/>
      <c r="U311" s="2349"/>
      <c r="V311" s="2187"/>
      <c r="W311" s="2111"/>
      <c r="X311" s="939"/>
      <c r="Y311" s="100"/>
      <c r="Z311" s="939"/>
      <c r="AA311" s="100"/>
      <c r="AB311" s="100"/>
      <c r="AC311" s="100"/>
      <c r="AD311" s="100"/>
      <c r="AE311" s="100"/>
      <c r="AF311" s="100"/>
      <c r="AG311" s="100"/>
      <c r="AH311" s="100"/>
      <c r="AI311" s="100"/>
      <c r="AJ311" s="100"/>
      <c r="AK311" s="100"/>
      <c r="AL311" s="100"/>
      <c r="AM311" s="100"/>
      <c r="AN311" s="276" t="s">
        <v>1304</v>
      </c>
      <c r="AO311" s="109" t="s">
        <v>206</v>
      </c>
      <c r="AP311" s="547"/>
      <c r="AQ311" s="547"/>
      <c r="AR311" s="299" t="s">
        <v>193</v>
      </c>
      <c r="AS311" s="277" t="s">
        <v>1306</v>
      </c>
      <c r="AT311" s="265"/>
      <c r="AU311" s="982"/>
      <c r="AV311" s="18"/>
    </row>
    <row r="312" spans="2:48" ht="20.100000000000001" customHeight="1">
      <c r="B312" s="1747"/>
      <c r="C312" s="10000"/>
      <c r="D312" s="10012" t="s">
        <v>2141</v>
      </c>
      <c r="E312" s="9988"/>
      <c r="F312" s="9989"/>
      <c r="G312" s="109" t="s">
        <v>557</v>
      </c>
      <c r="H312" s="937"/>
      <c r="I312" s="937"/>
      <c r="J312" s="937"/>
      <c r="K312" s="939"/>
      <c r="L312" s="228"/>
      <c r="M312" s="938"/>
      <c r="N312" s="1345" t="s">
        <v>209</v>
      </c>
      <c r="O312" s="938"/>
      <c r="P312" s="1346" t="s">
        <v>209</v>
      </c>
      <c r="Q312" s="2350"/>
      <c r="R312" s="2186"/>
      <c r="S312" s="2111"/>
      <c r="T312" s="100"/>
      <c r="U312" s="2349"/>
      <c r="V312" s="2187"/>
      <c r="W312" s="2111"/>
      <c r="X312" s="939"/>
      <c r="Y312" s="100"/>
      <c r="Z312" s="939"/>
      <c r="AA312" s="100"/>
      <c r="AB312" s="100"/>
      <c r="AC312" s="100"/>
      <c r="AD312" s="100"/>
      <c r="AE312" s="100"/>
      <c r="AF312" s="100"/>
      <c r="AG312" s="100"/>
      <c r="AH312" s="100"/>
      <c r="AI312" s="100"/>
      <c r="AJ312" s="100"/>
      <c r="AK312" s="100"/>
      <c r="AL312" s="100"/>
      <c r="AM312" s="100"/>
      <c r="AN312" s="276"/>
      <c r="AO312" s="109" t="s">
        <v>206</v>
      </c>
      <c r="AP312" s="547"/>
      <c r="AQ312" s="547"/>
      <c r="AR312" s="299" t="s">
        <v>193</v>
      </c>
      <c r="AS312" s="277" t="s">
        <v>1306</v>
      </c>
      <c r="AT312" s="265"/>
      <c r="AU312" s="982"/>
      <c r="AV312" s="18"/>
    </row>
    <row r="313" spans="2:48" ht="20.100000000000001" customHeight="1">
      <c r="B313" s="1747"/>
      <c r="C313" s="10001"/>
      <c r="D313" s="10012" t="s">
        <v>2142</v>
      </c>
      <c r="E313" s="9988"/>
      <c r="F313" s="9989"/>
      <c r="G313" s="109" t="s">
        <v>1018</v>
      </c>
      <c r="H313" s="937"/>
      <c r="I313" s="937"/>
      <c r="J313" s="937"/>
      <c r="K313" s="939"/>
      <c r="L313" s="228"/>
      <c r="M313" s="938"/>
      <c r="N313" s="1345" t="s">
        <v>209</v>
      </c>
      <c r="O313" s="938"/>
      <c r="P313" s="1346" t="s">
        <v>209</v>
      </c>
      <c r="Q313" s="2350"/>
      <c r="R313" s="2186"/>
      <c r="S313" s="2111"/>
      <c r="T313" s="100"/>
      <c r="U313" s="2349"/>
      <c r="V313" s="2187"/>
      <c r="W313" s="2111"/>
      <c r="X313" s="939"/>
      <c r="Y313" s="100"/>
      <c r="Z313" s="939"/>
      <c r="AA313" s="100"/>
      <c r="AB313" s="100"/>
      <c r="AC313" s="100"/>
      <c r="AD313" s="100"/>
      <c r="AE313" s="100"/>
      <c r="AF313" s="100"/>
      <c r="AG313" s="100"/>
      <c r="AH313" s="100"/>
      <c r="AI313" s="100"/>
      <c r="AJ313" s="100"/>
      <c r="AK313" s="100"/>
      <c r="AL313" s="100"/>
      <c r="AM313" s="100"/>
      <c r="AN313" s="276"/>
      <c r="AO313" s="109" t="s">
        <v>206</v>
      </c>
      <c r="AP313" s="547"/>
      <c r="AQ313" s="547"/>
      <c r="AR313" s="299" t="s">
        <v>193</v>
      </c>
      <c r="AS313" s="277" t="s">
        <v>1306</v>
      </c>
      <c r="AT313" s="265"/>
      <c r="AU313" s="982"/>
      <c r="AV313" s="18"/>
    </row>
    <row r="314" spans="2:48" ht="20.100000000000001" customHeight="1">
      <c r="B314" s="1747"/>
      <c r="C314" s="9987" t="s">
        <v>1311</v>
      </c>
      <c r="D314" s="9988"/>
      <c r="E314" s="9988"/>
      <c r="F314" s="9989"/>
      <c r="G314" s="109" t="s">
        <v>1312</v>
      </c>
      <c r="H314" s="937"/>
      <c r="I314" s="937"/>
      <c r="J314" s="937"/>
      <c r="K314" s="939"/>
      <c r="L314" s="228"/>
      <c r="M314" s="938"/>
      <c r="N314" s="1345" t="s">
        <v>209</v>
      </c>
      <c r="O314" s="938"/>
      <c r="P314" s="1346" t="s">
        <v>209</v>
      </c>
      <c r="Q314" s="2350"/>
      <c r="R314" s="2186"/>
      <c r="S314" s="2111"/>
      <c r="T314" s="100"/>
      <c r="U314" s="2349"/>
      <c r="V314" s="2187"/>
      <c r="W314" s="2111"/>
      <c r="X314" s="939"/>
      <c r="Y314" s="100"/>
      <c r="Z314" s="939"/>
      <c r="AA314" s="100"/>
      <c r="AB314" s="100"/>
      <c r="AC314" s="100"/>
      <c r="AD314" s="100"/>
      <c r="AE314" s="100"/>
      <c r="AF314" s="100"/>
      <c r="AG314" s="100"/>
      <c r="AH314" s="100"/>
      <c r="AI314" s="100"/>
      <c r="AJ314" s="100"/>
      <c r="AK314" s="100"/>
      <c r="AL314" s="100"/>
      <c r="AM314" s="100"/>
      <c r="AN314" s="276" t="s">
        <v>1315</v>
      </c>
      <c r="AO314" s="109" t="s">
        <v>206</v>
      </c>
      <c r="AP314" s="547"/>
      <c r="AQ314" s="547"/>
      <c r="AR314" s="299" t="s">
        <v>193</v>
      </c>
      <c r="AS314" s="277" t="s">
        <v>1317</v>
      </c>
      <c r="AT314" s="265"/>
      <c r="AU314" s="982"/>
      <c r="AV314" s="18"/>
    </row>
    <row r="315" spans="2:48" ht="20.100000000000001" customHeight="1">
      <c r="B315" s="1747"/>
      <c r="C315" s="10000"/>
      <c r="D315" s="10012" t="s">
        <v>1318</v>
      </c>
      <c r="E315" s="9988"/>
      <c r="F315" s="9989"/>
      <c r="G315" s="109" t="s">
        <v>557</v>
      </c>
      <c r="H315" s="937"/>
      <c r="I315" s="937"/>
      <c r="J315" s="937"/>
      <c r="K315" s="939"/>
      <c r="L315" s="228"/>
      <c r="M315" s="938"/>
      <c r="N315" s="1345" t="s">
        <v>209</v>
      </c>
      <c r="O315" s="938"/>
      <c r="P315" s="1346" t="s">
        <v>209</v>
      </c>
      <c r="Q315" s="2350"/>
      <c r="R315" s="2186"/>
      <c r="S315" s="2111"/>
      <c r="T315" s="100"/>
      <c r="U315" s="2349"/>
      <c r="V315" s="2187"/>
      <c r="W315" s="2111"/>
      <c r="X315" s="939"/>
      <c r="Y315" s="100"/>
      <c r="Z315" s="939"/>
      <c r="AA315" s="100"/>
      <c r="AB315" s="100"/>
      <c r="AC315" s="100"/>
      <c r="AD315" s="100"/>
      <c r="AE315" s="100"/>
      <c r="AF315" s="100"/>
      <c r="AG315" s="100"/>
      <c r="AH315" s="100"/>
      <c r="AI315" s="100"/>
      <c r="AJ315" s="100"/>
      <c r="AK315" s="100"/>
      <c r="AL315" s="100"/>
      <c r="AM315" s="100"/>
      <c r="AN315" s="276"/>
      <c r="AO315" s="109" t="s">
        <v>206</v>
      </c>
      <c r="AP315" s="547"/>
      <c r="AQ315" s="547"/>
      <c r="AR315" s="299" t="s">
        <v>193</v>
      </c>
      <c r="AS315" s="277" t="s">
        <v>1317</v>
      </c>
      <c r="AT315" s="265"/>
      <c r="AU315" s="982"/>
      <c r="AV315" s="18"/>
    </row>
    <row r="316" spans="2:48" ht="20.100000000000001" customHeight="1">
      <c r="B316" s="1747"/>
      <c r="C316" s="10001"/>
      <c r="D316" s="10012" t="s">
        <v>1286</v>
      </c>
      <c r="E316" s="9988"/>
      <c r="F316" s="9989"/>
      <c r="G316" s="109" t="s">
        <v>1018</v>
      </c>
      <c r="H316" s="937">
        <f>H310</f>
        <v>7880142.9800000004</v>
      </c>
      <c r="I316" s="937"/>
      <c r="J316" s="937">
        <f>J310</f>
        <v>8412200.6400000006</v>
      </c>
      <c r="K316" s="939"/>
      <c r="L316" s="228"/>
      <c r="M316" s="938">
        <f>M310</f>
        <v>3036776.98</v>
      </c>
      <c r="N316" s="1345" t="s">
        <v>209</v>
      </c>
      <c r="O316" s="938">
        <f>O310</f>
        <v>2803315.64</v>
      </c>
      <c r="P316" s="1346" t="s">
        <v>209</v>
      </c>
      <c r="Q316" s="2350"/>
      <c r="R316" s="5326"/>
      <c r="S316" s="5317"/>
      <c r="T316" s="1933"/>
      <c r="U316" s="5777"/>
      <c r="V316" s="2187"/>
      <c r="W316" s="5317">
        <f>W310</f>
        <v>458964</v>
      </c>
      <c r="X316" s="939"/>
      <c r="Y316" s="1933">
        <f>Y310</f>
        <v>539220</v>
      </c>
      <c r="Z316" s="939"/>
      <c r="AA316" s="100"/>
      <c r="AB316" s="1933">
        <f>AB310</f>
        <v>0</v>
      </c>
      <c r="AC316" s="1933">
        <f>AC310</f>
        <v>0</v>
      </c>
      <c r="AD316" s="100"/>
      <c r="AE316" s="1933">
        <f>AE310</f>
        <v>0</v>
      </c>
      <c r="AF316" s="1933">
        <f>AF310</f>
        <v>0</v>
      </c>
      <c r="AG316" s="100"/>
      <c r="AH316" s="1933">
        <f>AH310</f>
        <v>0</v>
      </c>
      <c r="AI316" s="1933">
        <f>AI310</f>
        <v>0</v>
      </c>
      <c r="AJ316" s="100"/>
      <c r="AK316" s="1933">
        <f>AK310</f>
        <v>0</v>
      </c>
      <c r="AL316" s="1933">
        <f>AL310</f>
        <v>0</v>
      </c>
      <c r="AM316" s="100"/>
      <c r="AN316" s="276"/>
      <c r="AO316" s="109" t="s">
        <v>206</v>
      </c>
      <c r="AP316" s="547"/>
      <c r="AQ316" s="547"/>
      <c r="AR316" s="299" t="s">
        <v>193</v>
      </c>
      <c r="AS316" s="277" t="s">
        <v>1317</v>
      </c>
      <c r="AT316" s="265"/>
      <c r="AU316" s="982"/>
      <c r="AV316" s="18"/>
    </row>
    <row r="317" spans="2:48" ht="20.100000000000001" customHeight="1">
      <c r="B317" s="1747"/>
      <c r="C317" s="9987" t="s">
        <v>1320</v>
      </c>
      <c r="D317" s="9988"/>
      <c r="E317" s="9988"/>
      <c r="F317" s="9989"/>
      <c r="G317" s="109" t="s">
        <v>1858</v>
      </c>
      <c r="H317" s="937"/>
      <c r="I317" s="937"/>
      <c r="J317" s="937"/>
      <c r="K317" s="939"/>
      <c r="L317" s="228"/>
      <c r="M317" s="938"/>
      <c r="N317" s="1345" t="s">
        <v>209</v>
      </c>
      <c r="O317" s="938"/>
      <c r="P317" s="1346" t="s">
        <v>209</v>
      </c>
      <c r="Q317" s="2350"/>
      <c r="R317" s="2186"/>
      <c r="S317" s="2111"/>
      <c r="T317" s="100"/>
      <c r="U317" s="2349"/>
      <c r="V317" s="2187"/>
      <c r="W317" s="2111"/>
      <c r="X317" s="939"/>
      <c r="Y317" s="100"/>
      <c r="Z317" s="939"/>
      <c r="AA317" s="100"/>
      <c r="AB317" s="100"/>
      <c r="AC317" s="100"/>
      <c r="AD317" s="356"/>
      <c r="AE317" s="100"/>
      <c r="AF317" s="100"/>
      <c r="AG317" s="100"/>
      <c r="AH317" s="100"/>
      <c r="AI317" s="100"/>
      <c r="AJ317" s="100"/>
      <c r="AK317" s="100"/>
      <c r="AL317" s="100"/>
      <c r="AM317" s="100"/>
      <c r="AN317" s="276" t="s">
        <v>1322</v>
      </c>
      <c r="AO317" s="109" t="s">
        <v>206</v>
      </c>
      <c r="AP317" s="547"/>
      <c r="AQ317" s="547"/>
      <c r="AR317" s="299" t="s">
        <v>193</v>
      </c>
      <c r="AS317" s="277" t="s">
        <v>1244</v>
      </c>
      <c r="AT317" s="265"/>
      <c r="AU317" s="982"/>
      <c r="AV317" s="18"/>
    </row>
    <row r="318" spans="2:48" ht="20.100000000000001" customHeight="1">
      <c r="B318" s="1747"/>
      <c r="C318" s="10000"/>
      <c r="D318" s="10012" t="s">
        <v>1318</v>
      </c>
      <c r="E318" s="9988"/>
      <c r="F318" s="9989"/>
      <c r="G318" s="109" t="s">
        <v>557</v>
      </c>
      <c r="H318" s="937"/>
      <c r="I318" s="937"/>
      <c r="J318" s="937"/>
      <c r="K318" s="939"/>
      <c r="L318" s="228"/>
      <c r="M318" s="938"/>
      <c r="N318" s="1345" t="s">
        <v>209</v>
      </c>
      <c r="O318" s="938"/>
      <c r="P318" s="1346" t="s">
        <v>209</v>
      </c>
      <c r="Q318" s="2350"/>
      <c r="R318" s="2186"/>
      <c r="S318" s="2111"/>
      <c r="T318" s="100"/>
      <c r="U318" s="2349"/>
      <c r="V318" s="2187"/>
      <c r="W318" s="2111"/>
      <c r="X318" s="939"/>
      <c r="Y318" s="100"/>
      <c r="Z318" s="939"/>
      <c r="AA318" s="100"/>
      <c r="AB318" s="100"/>
      <c r="AC318" s="100"/>
      <c r="AD318" s="335"/>
      <c r="AE318" s="100"/>
      <c r="AF318" s="100"/>
      <c r="AG318" s="100"/>
      <c r="AH318" s="100"/>
      <c r="AI318" s="100"/>
      <c r="AJ318" s="100"/>
      <c r="AK318" s="100"/>
      <c r="AL318" s="100"/>
      <c r="AM318" s="100"/>
      <c r="AN318" s="276"/>
      <c r="AO318" s="109" t="s">
        <v>206</v>
      </c>
      <c r="AP318" s="547"/>
      <c r="AQ318" s="547"/>
      <c r="AR318" s="299" t="s">
        <v>193</v>
      </c>
      <c r="AS318" s="277" t="s">
        <v>1244</v>
      </c>
      <c r="AT318" s="265"/>
      <c r="AU318" s="982"/>
      <c r="AV318" s="18"/>
    </row>
    <row r="319" spans="2:48" ht="20.100000000000001" customHeight="1">
      <c r="B319" s="1747"/>
      <c r="C319" s="10001"/>
      <c r="D319" s="10012" t="s">
        <v>1286</v>
      </c>
      <c r="E319" s="9988"/>
      <c r="F319" s="9989"/>
      <c r="G319" s="109" t="s">
        <v>1018</v>
      </c>
      <c r="H319" s="937">
        <f>H310</f>
        <v>7880142.9800000004</v>
      </c>
      <c r="I319" s="937"/>
      <c r="J319" s="937">
        <f>J310</f>
        <v>8412200.6400000006</v>
      </c>
      <c r="K319" s="939"/>
      <c r="L319" s="228"/>
      <c r="M319" s="938">
        <f>M310</f>
        <v>3036776.98</v>
      </c>
      <c r="N319" s="1345" t="s">
        <v>209</v>
      </c>
      <c r="O319" s="938">
        <f>O310</f>
        <v>2803315.64</v>
      </c>
      <c r="P319" s="1346" t="s">
        <v>209</v>
      </c>
      <c r="Q319" s="2350"/>
      <c r="R319" s="5326"/>
      <c r="S319" s="5317"/>
      <c r="T319" s="1933"/>
      <c r="U319" s="5777"/>
      <c r="V319" s="2187"/>
      <c r="W319" s="5317">
        <f>W310</f>
        <v>458964</v>
      </c>
      <c r="X319" s="939"/>
      <c r="Y319" s="1933">
        <f>Y310</f>
        <v>539220</v>
      </c>
      <c r="Z319" s="939"/>
      <c r="AA319" s="100"/>
      <c r="AB319" s="1933">
        <f>AB310</f>
        <v>0</v>
      </c>
      <c r="AC319" s="1933">
        <f>AC310</f>
        <v>0</v>
      </c>
      <c r="AD319" s="100"/>
      <c r="AE319" s="1933">
        <f>AE310</f>
        <v>0</v>
      </c>
      <c r="AF319" s="1933">
        <f>AF310</f>
        <v>0</v>
      </c>
      <c r="AG319" s="100"/>
      <c r="AH319" s="1933">
        <f>AH310</f>
        <v>0</v>
      </c>
      <c r="AI319" s="1933">
        <f>AI310</f>
        <v>0</v>
      </c>
      <c r="AJ319" s="100"/>
      <c r="AK319" s="1933">
        <f>AK310</f>
        <v>0</v>
      </c>
      <c r="AL319" s="1933">
        <f>AL310</f>
        <v>0</v>
      </c>
      <c r="AM319" s="100"/>
      <c r="AN319" s="276"/>
      <c r="AO319" s="109" t="s">
        <v>206</v>
      </c>
      <c r="AP319" s="547"/>
      <c r="AQ319" s="547"/>
      <c r="AR319" s="299" t="s">
        <v>193</v>
      </c>
      <c r="AS319" s="277" t="s">
        <v>1244</v>
      </c>
      <c r="AT319" s="265"/>
      <c r="AU319" s="982"/>
      <c r="AV319" s="18"/>
    </row>
    <row r="320" spans="2:48" ht="20.100000000000001" customHeight="1">
      <c r="B320" s="1747"/>
      <c r="C320" s="10009" t="s">
        <v>1325</v>
      </c>
      <c r="D320" s="10009"/>
      <c r="E320" s="10009"/>
      <c r="F320" s="10009"/>
      <c r="G320" s="109" t="s">
        <v>557</v>
      </c>
      <c r="H320" s="381">
        <v>0</v>
      </c>
      <c r="I320" s="381"/>
      <c r="J320" s="381">
        <v>0</v>
      </c>
      <c r="K320" s="92"/>
      <c r="L320" s="228"/>
      <c r="M320" s="297">
        <v>0</v>
      </c>
      <c r="N320" s="1934"/>
      <c r="O320" s="297">
        <v>0</v>
      </c>
      <c r="P320" s="151"/>
      <c r="Q320" s="2350"/>
      <c r="R320" s="2186"/>
      <c r="S320" s="2111"/>
      <c r="T320" s="100"/>
      <c r="U320" s="2349"/>
      <c r="V320" s="2187"/>
      <c r="W320" s="2111"/>
      <c r="X320" s="293"/>
      <c r="Y320" s="100">
        <v>0</v>
      </c>
      <c r="Z320" s="293"/>
      <c r="AA320" s="100">
        <f>AD320+AG320+AJ320+AM320</f>
        <v>0</v>
      </c>
      <c r="AB320" s="100">
        <v>0</v>
      </c>
      <c r="AC320" s="100">
        <v>0</v>
      </c>
      <c r="AD320" s="335">
        <v>0</v>
      </c>
      <c r="AE320" s="100"/>
      <c r="AF320" s="100"/>
      <c r="AG320" s="100"/>
      <c r="AH320" s="100">
        <v>0</v>
      </c>
      <c r="AI320" s="100">
        <v>0</v>
      </c>
      <c r="AJ320" s="100">
        <v>0</v>
      </c>
      <c r="AK320" s="100"/>
      <c r="AL320" s="100"/>
      <c r="AM320" s="100"/>
      <c r="AN320" s="276" t="s">
        <v>1327</v>
      </c>
      <c r="AO320" s="109"/>
      <c r="AP320" s="547"/>
      <c r="AQ320" s="547"/>
      <c r="AR320" s="986"/>
      <c r="AS320" s="277" t="s">
        <v>1329</v>
      </c>
      <c r="AT320" s="265"/>
      <c r="AU320" s="982"/>
    </row>
    <row r="321" spans="2:48" ht="20.100000000000001" customHeight="1">
      <c r="B321" s="1747"/>
      <c r="C321" s="10009" t="s">
        <v>1331</v>
      </c>
      <c r="D321" s="10009"/>
      <c r="E321" s="10009"/>
      <c r="F321" s="10009"/>
      <c r="G321" s="109" t="s">
        <v>557</v>
      </c>
      <c r="H321" s="381"/>
      <c r="I321" s="381"/>
      <c r="J321" s="381"/>
      <c r="K321" s="92"/>
      <c r="L321" s="228"/>
      <c r="M321" s="297"/>
      <c r="N321" s="1934"/>
      <c r="O321" s="297"/>
      <c r="P321" s="151"/>
      <c r="Q321" s="2350"/>
      <c r="R321" s="2186"/>
      <c r="S321" s="2111"/>
      <c r="T321" s="100"/>
      <c r="U321" s="2349"/>
      <c r="V321" s="2187"/>
      <c r="W321" s="2111"/>
      <c r="X321" s="293"/>
      <c r="Y321" s="100"/>
      <c r="Z321" s="293"/>
      <c r="AA321" s="100"/>
      <c r="AB321" s="100">
        <v>0</v>
      </c>
      <c r="AC321" s="100">
        <v>0</v>
      </c>
      <c r="AD321" s="100">
        <v>0</v>
      </c>
      <c r="AE321" s="100"/>
      <c r="AF321" s="100"/>
      <c r="AG321" s="100"/>
      <c r="AH321" s="100">
        <v>0</v>
      </c>
      <c r="AI321" s="100">
        <v>0</v>
      </c>
      <c r="AJ321" s="100">
        <v>0</v>
      </c>
      <c r="AK321" s="100"/>
      <c r="AL321" s="100"/>
      <c r="AM321" s="100"/>
      <c r="AN321" s="276"/>
      <c r="AO321" s="109"/>
      <c r="AP321" s="547"/>
      <c r="AQ321" s="547"/>
      <c r="AR321" s="109"/>
      <c r="AS321" s="277"/>
      <c r="AT321" s="265" t="s">
        <v>1333</v>
      </c>
      <c r="AU321" s="982"/>
    </row>
    <row r="322" spans="2:48" ht="20.100000000000001" customHeight="1">
      <c r="B322" s="1902"/>
      <c r="C322" s="10010" t="s">
        <v>2143</v>
      </c>
      <c r="D322" s="10010"/>
      <c r="E322" s="10010"/>
      <c r="F322" s="10010"/>
      <c r="G322" s="122" t="s">
        <v>557</v>
      </c>
      <c r="H322" s="988"/>
      <c r="I322" s="988"/>
      <c r="J322" s="988"/>
      <c r="K322" s="350"/>
      <c r="L322" s="351"/>
      <c r="M322" s="352"/>
      <c r="N322" s="1904"/>
      <c r="O322" s="352"/>
      <c r="P322" s="1771"/>
      <c r="Q322" s="5304"/>
      <c r="R322" s="2288"/>
      <c r="S322" s="2122"/>
      <c r="T322" s="494"/>
      <c r="U322" s="2373"/>
      <c r="V322" s="2289"/>
      <c r="W322" s="2122"/>
      <c r="X322" s="426"/>
      <c r="Y322" s="494"/>
      <c r="Z322" s="426"/>
      <c r="AA322" s="494"/>
      <c r="AB322" s="494">
        <v>0</v>
      </c>
      <c r="AC322" s="494">
        <v>0</v>
      </c>
      <c r="AD322" s="494">
        <v>0</v>
      </c>
      <c r="AE322" s="494"/>
      <c r="AF322" s="494"/>
      <c r="AG322" s="494"/>
      <c r="AH322" s="494">
        <v>0</v>
      </c>
      <c r="AI322" s="494">
        <v>0</v>
      </c>
      <c r="AJ322" s="494">
        <v>0</v>
      </c>
      <c r="AK322" s="494"/>
      <c r="AL322" s="494"/>
      <c r="AM322" s="494"/>
      <c r="AN322" s="1164" t="s">
        <v>2144</v>
      </c>
      <c r="AO322" s="109"/>
      <c r="AP322" s="547"/>
      <c r="AQ322" s="547"/>
      <c r="AR322" s="109"/>
      <c r="AS322" s="277"/>
      <c r="AT322" s="265" t="s">
        <v>1336</v>
      </c>
      <c r="AU322" s="982"/>
    </row>
    <row r="323" spans="2:48" ht="20.100000000000001" customHeight="1">
      <c r="B323" s="1747"/>
      <c r="C323" s="10011" t="s">
        <v>1337</v>
      </c>
      <c r="D323" s="9599"/>
      <c r="E323" s="9599"/>
      <c r="F323" s="9600"/>
      <c r="G323" s="109" t="s">
        <v>156</v>
      </c>
      <c r="H323" s="381"/>
      <c r="I323" s="381"/>
      <c r="J323" s="381"/>
      <c r="K323" s="92"/>
      <c r="L323" s="228"/>
      <c r="M323" s="1818"/>
      <c r="N323" s="1819"/>
      <c r="O323" s="1894"/>
      <c r="P323" s="1895"/>
      <c r="Q323" s="2350"/>
      <c r="R323" s="2342" t="s">
        <v>1829</v>
      </c>
      <c r="S323" s="2116"/>
      <c r="T323" s="378">
        <f t="shared" ref="T323" si="67">T324/T325*100</f>
        <v>100</v>
      </c>
      <c r="U323" s="2352"/>
      <c r="V323" s="2343">
        <f>V324/V325*100</f>
        <v>100</v>
      </c>
      <c r="W323" s="2111"/>
      <c r="X323" s="293"/>
      <c r="Y323" s="100"/>
      <c r="Z323" s="293"/>
      <c r="AA323" s="100"/>
      <c r="AB323" s="100"/>
      <c r="AC323" s="100">
        <f>AC324/AC325*100</f>
        <v>100</v>
      </c>
      <c r="AD323" s="100">
        <f>AD324/AD325*100</f>
        <v>100</v>
      </c>
      <c r="AE323" s="100"/>
      <c r="AF323" s="100"/>
      <c r="AG323" s="100"/>
      <c r="AH323" s="918"/>
      <c r="AI323" s="918"/>
      <c r="AJ323" s="918"/>
      <c r="AK323" s="100"/>
      <c r="AL323" s="100"/>
      <c r="AM323" s="100"/>
      <c r="AN323" s="457" t="s">
        <v>1339</v>
      </c>
      <c r="AO323" s="109"/>
      <c r="AP323" s="547"/>
      <c r="AQ323" s="547"/>
      <c r="AR323" s="109"/>
      <c r="AS323" s="277" t="s">
        <v>1341</v>
      </c>
      <c r="AT323" s="265"/>
      <c r="AU323" s="982"/>
    </row>
    <row r="324" spans="2:48" ht="20.100000000000001" customHeight="1">
      <c r="B324" s="1747"/>
      <c r="C324" s="10000"/>
      <c r="D324" s="10002" t="s">
        <v>2145</v>
      </c>
      <c r="E324" s="10003"/>
      <c r="F324" s="10004"/>
      <c r="G324" s="109" t="s">
        <v>742</v>
      </c>
      <c r="H324" s="381">
        <v>429</v>
      </c>
      <c r="I324" s="381"/>
      <c r="J324" s="381">
        <v>595</v>
      </c>
      <c r="K324" s="92"/>
      <c r="L324" s="228"/>
      <c r="M324" s="297">
        <v>1</v>
      </c>
      <c r="N324" s="1842" t="s">
        <v>1344</v>
      </c>
      <c r="O324" s="297">
        <v>1</v>
      </c>
      <c r="P324" s="151" t="s">
        <v>1344</v>
      </c>
      <c r="Q324" s="2350"/>
      <c r="R324" s="2186">
        <f t="shared" ref="R324:R325" si="68">W324</f>
        <v>0</v>
      </c>
      <c r="S324" s="2111"/>
      <c r="T324" s="100">
        <f t="shared" ref="T324:T325" si="69">Y324</f>
        <v>167</v>
      </c>
      <c r="U324" s="2349"/>
      <c r="V324" s="2187">
        <f t="shared" ref="V324:V325" si="70">AA324</f>
        <v>221</v>
      </c>
      <c r="W324" s="2111">
        <v>0</v>
      </c>
      <c r="X324" s="294" t="s">
        <v>1991</v>
      </c>
      <c r="Y324" s="100">
        <v>167</v>
      </c>
      <c r="Z324" s="293">
        <v>0</v>
      </c>
      <c r="AA324" s="100">
        <f>AD324+AG324+AJ324+AM324</f>
        <v>221</v>
      </c>
      <c r="AB324" s="100"/>
      <c r="AC324" s="100">
        <v>221</v>
      </c>
      <c r="AD324" s="100">
        <v>221</v>
      </c>
      <c r="AE324" s="100"/>
      <c r="AF324" s="100"/>
      <c r="AG324" s="100"/>
      <c r="AH324" s="918"/>
      <c r="AI324" s="918"/>
      <c r="AJ324" s="918"/>
      <c r="AK324" s="100"/>
      <c r="AL324" s="100"/>
      <c r="AM324" s="100"/>
      <c r="AN324" s="276"/>
      <c r="AO324" s="109"/>
      <c r="AP324" s="547"/>
      <c r="AQ324" s="547"/>
      <c r="AR324" s="109"/>
      <c r="AS324" s="277" t="s">
        <v>2146</v>
      </c>
      <c r="AT324" s="265"/>
      <c r="AU324" s="982"/>
    </row>
    <row r="325" spans="2:48" ht="20.100000000000001" customHeight="1">
      <c r="B325" s="1747"/>
      <c r="C325" s="10001"/>
      <c r="D325" s="931" t="s">
        <v>2147</v>
      </c>
      <c r="E325" s="931"/>
      <c r="F325" s="931"/>
      <c r="G325" s="122" t="s">
        <v>742</v>
      </c>
      <c r="H325" s="988">
        <v>943</v>
      </c>
      <c r="I325" s="988"/>
      <c r="J325" s="988">
        <v>1135</v>
      </c>
      <c r="K325" s="350"/>
      <c r="L325" s="351"/>
      <c r="M325" s="352">
        <v>0</v>
      </c>
      <c r="N325" s="1904">
        <v>0</v>
      </c>
      <c r="O325" s="352">
        <v>0</v>
      </c>
      <c r="P325" s="1771">
        <v>0</v>
      </c>
      <c r="Q325" s="5304"/>
      <c r="R325" s="2288">
        <f t="shared" si="68"/>
        <v>0</v>
      </c>
      <c r="S325" s="2122"/>
      <c r="T325" s="494">
        <f t="shared" si="69"/>
        <v>167</v>
      </c>
      <c r="U325" s="2373"/>
      <c r="V325" s="2187">
        <f t="shared" si="70"/>
        <v>221</v>
      </c>
      <c r="W325" s="2122">
        <v>0</v>
      </c>
      <c r="X325" s="5791" t="s">
        <v>1346</v>
      </c>
      <c r="Y325" s="494">
        <v>167</v>
      </c>
      <c r="Z325" s="426">
        <v>0</v>
      </c>
      <c r="AA325" s="100">
        <f>AD325+AG325+AJ325+AM325</f>
        <v>221</v>
      </c>
      <c r="AB325" s="494"/>
      <c r="AC325" s="494">
        <f>156+9+40+16</f>
        <v>221</v>
      </c>
      <c r="AD325" s="494">
        <f>159+14+48</f>
        <v>221</v>
      </c>
      <c r="AE325" s="494"/>
      <c r="AF325" s="494"/>
      <c r="AG325" s="494"/>
      <c r="AH325" s="918"/>
      <c r="AI325" s="918"/>
      <c r="AJ325" s="918"/>
      <c r="AK325" s="494"/>
      <c r="AL325" s="494"/>
      <c r="AM325" s="494"/>
      <c r="AN325" s="714"/>
      <c r="AO325" s="109"/>
      <c r="AP325" s="547"/>
      <c r="AQ325" s="547"/>
      <c r="AR325" s="109"/>
      <c r="AS325" s="277" t="s">
        <v>2146</v>
      </c>
      <c r="AT325" s="265"/>
      <c r="AU325" s="982"/>
    </row>
    <row r="326" spans="2:48" ht="20.100000000000001" customHeight="1">
      <c r="B326" s="1747"/>
      <c r="C326" s="10005" t="s">
        <v>1352</v>
      </c>
      <c r="D326" s="10003"/>
      <c r="E326" s="10003"/>
      <c r="F326" s="10004"/>
      <c r="G326" s="122" t="s">
        <v>156</v>
      </c>
      <c r="H326" s="352"/>
      <c r="I326" s="352"/>
      <c r="J326" s="352"/>
      <c r="K326" s="350"/>
      <c r="L326" s="351"/>
      <c r="M326" s="352"/>
      <c r="N326" s="1904" t="s">
        <v>1780</v>
      </c>
      <c r="O326" s="352"/>
      <c r="P326" s="1771" t="s">
        <v>1780</v>
      </c>
      <c r="Q326" s="5304"/>
      <c r="R326" s="2288"/>
      <c r="S326" s="2122"/>
      <c r="T326" s="494"/>
      <c r="U326" s="2373"/>
      <c r="V326" s="2289"/>
      <c r="W326" s="2122"/>
      <c r="X326" s="426"/>
      <c r="Y326" s="494"/>
      <c r="Z326" s="426"/>
      <c r="AA326" s="494"/>
      <c r="AB326" s="494"/>
      <c r="AC326" s="494"/>
      <c r="AD326" s="494"/>
      <c r="AE326" s="494"/>
      <c r="AF326" s="494"/>
      <c r="AG326" s="494"/>
      <c r="AH326" s="494"/>
      <c r="AI326" s="494"/>
      <c r="AJ326" s="494"/>
      <c r="AK326" s="494"/>
      <c r="AL326" s="494"/>
      <c r="AM326" s="494"/>
      <c r="AN326" s="714" t="s">
        <v>1354</v>
      </c>
      <c r="AO326" s="109" t="s">
        <v>1649</v>
      </c>
      <c r="AP326" s="547"/>
      <c r="AQ326" s="547"/>
      <c r="AR326" s="299" t="s">
        <v>193</v>
      </c>
      <c r="AS326" s="277" t="s">
        <v>1357</v>
      </c>
      <c r="AT326" s="265"/>
      <c r="AU326" s="982"/>
      <c r="AV326" s="18"/>
    </row>
    <row r="327" spans="2:48" ht="20.100000000000001" customHeight="1">
      <c r="B327" s="1747"/>
      <c r="C327" s="10000"/>
      <c r="D327" s="10006" t="s">
        <v>2148</v>
      </c>
      <c r="E327" s="10007"/>
      <c r="F327" s="10008"/>
      <c r="G327" s="122" t="s">
        <v>1011</v>
      </c>
      <c r="H327" s="352"/>
      <c r="I327" s="352"/>
      <c r="J327" s="352"/>
      <c r="K327" s="350"/>
      <c r="L327" s="351"/>
      <c r="M327" s="352"/>
      <c r="N327" s="1904"/>
      <c r="O327" s="352"/>
      <c r="P327" s="1771"/>
      <c r="Q327" s="5304"/>
      <c r="R327" s="2288"/>
      <c r="S327" s="2122"/>
      <c r="T327" s="494"/>
      <c r="U327" s="2373"/>
      <c r="V327" s="2289"/>
      <c r="W327" s="2122"/>
      <c r="X327" s="426"/>
      <c r="Y327" s="494"/>
      <c r="Z327" s="426"/>
      <c r="AA327" s="494"/>
      <c r="AB327" s="494"/>
      <c r="AC327" s="494"/>
      <c r="AD327" s="494"/>
      <c r="AE327" s="494"/>
      <c r="AF327" s="494"/>
      <c r="AG327" s="494"/>
      <c r="AH327" s="494"/>
      <c r="AI327" s="494"/>
      <c r="AJ327" s="494"/>
      <c r="AK327" s="494"/>
      <c r="AL327" s="494"/>
      <c r="AM327" s="494"/>
      <c r="AN327" s="714"/>
      <c r="AO327" s="109" t="s">
        <v>1649</v>
      </c>
      <c r="AP327" s="547"/>
      <c r="AQ327" s="547"/>
      <c r="AR327" s="299" t="s">
        <v>193</v>
      </c>
      <c r="AS327" s="277" t="s">
        <v>1357</v>
      </c>
      <c r="AT327" s="265"/>
      <c r="AU327" s="982"/>
      <c r="AV327" s="18"/>
    </row>
    <row r="328" spans="2:48" ht="20.100000000000001" customHeight="1">
      <c r="B328" s="1747"/>
      <c r="C328" s="10001"/>
      <c r="D328" s="10002" t="s">
        <v>2149</v>
      </c>
      <c r="E328" s="10003"/>
      <c r="F328" s="10004"/>
      <c r="G328" s="122" t="s">
        <v>1011</v>
      </c>
      <c r="H328" s="352"/>
      <c r="I328" s="352"/>
      <c r="J328" s="352"/>
      <c r="K328" s="350"/>
      <c r="L328" s="351"/>
      <c r="M328" s="352"/>
      <c r="N328" s="1904"/>
      <c r="O328" s="352"/>
      <c r="P328" s="1771"/>
      <c r="Q328" s="5304"/>
      <c r="R328" s="2288"/>
      <c r="S328" s="2122"/>
      <c r="T328" s="494"/>
      <c r="U328" s="2373"/>
      <c r="V328" s="2289"/>
      <c r="W328" s="2122"/>
      <c r="X328" s="426"/>
      <c r="Y328" s="494"/>
      <c r="Z328" s="426"/>
      <c r="AA328" s="494"/>
      <c r="AB328" s="494"/>
      <c r="AC328" s="494"/>
      <c r="AD328" s="494"/>
      <c r="AE328" s="494"/>
      <c r="AF328" s="494"/>
      <c r="AG328" s="494"/>
      <c r="AH328" s="494"/>
      <c r="AI328" s="494"/>
      <c r="AJ328" s="494"/>
      <c r="AK328" s="494"/>
      <c r="AL328" s="494"/>
      <c r="AM328" s="494"/>
      <c r="AN328" s="714"/>
      <c r="AO328" s="109" t="s">
        <v>1649</v>
      </c>
      <c r="AP328" s="547"/>
      <c r="AQ328" s="547"/>
      <c r="AR328" s="299" t="s">
        <v>193</v>
      </c>
      <c r="AS328" s="277" t="s">
        <v>1357</v>
      </c>
      <c r="AT328" s="265"/>
      <c r="AU328" s="982"/>
      <c r="AV328" s="18"/>
    </row>
    <row r="329" spans="2:48" ht="20.100000000000001" customHeight="1">
      <c r="B329" s="1747"/>
      <c r="C329" s="10005" t="s">
        <v>1362</v>
      </c>
      <c r="D329" s="10003"/>
      <c r="E329" s="10003"/>
      <c r="F329" s="10004"/>
      <c r="G329" s="122" t="s">
        <v>156</v>
      </c>
      <c r="H329" s="352"/>
      <c r="I329" s="352"/>
      <c r="J329" s="352"/>
      <c r="K329" s="350"/>
      <c r="L329" s="351"/>
      <c r="M329" s="352"/>
      <c r="N329" s="1904"/>
      <c r="O329" s="352"/>
      <c r="P329" s="1771"/>
      <c r="Q329" s="5304"/>
      <c r="R329" s="2288"/>
      <c r="S329" s="2122"/>
      <c r="T329" s="494"/>
      <c r="U329" s="2373"/>
      <c r="V329" s="2289"/>
      <c r="W329" s="2122"/>
      <c r="X329" s="426"/>
      <c r="Y329" s="494"/>
      <c r="Z329" s="426"/>
      <c r="AA329" s="494"/>
      <c r="AB329" s="494"/>
      <c r="AC329" s="494"/>
      <c r="AD329" s="494"/>
      <c r="AE329" s="494"/>
      <c r="AF329" s="494"/>
      <c r="AG329" s="494"/>
      <c r="AH329" s="494"/>
      <c r="AI329" s="494"/>
      <c r="AJ329" s="494"/>
      <c r="AK329" s="494"/>
      <c r="AL329" s="494"/>
      <c r="AM329" s="494"/>
      <c r="AN329" s="714" t="s">
        <v>1364</v>
      </c>
      <c r="AO329" s="109" t="s">
        <v>1649</v>
      </c>
      <c r="AP329" s="547"/>
      <c r="AQ329" s="547"/>
      <c r="AR329" s="299" t="s">
        <v>193</v>
      </c>
      <c r="AS329" s="277" t="s">
        <v>1366</v>
      </c>
      <c r="AT329" s="265"/>
      <c r="AU329" s="982"/>
      <c r="AV329" s="18"/>
    </row>
    <row r="330" spans="2:48" ht="20.100000000000001" customHeight="1">
      <c r="B330" s="1747"/>
      <c r="C330" s="10000"/>
      <c r="D330" s="10002" t="s">
        <v>1367</v>
      </c>
      <c r="E330" s="10003"/>
      <c r="F330" s="10004"/>
      <c r="G330" s="122" t="s">
        <v>1011</v>
      </c>
      <c r="H330" s="352"/>
      <c r="I330" s="352"/>
      <c r="J330" s="352"/>
      <c r="K330" s="350"/>
      <c r="L330" s="351"/>
      <c r="M330" s="352"/>
      <c r="N330" s="1904"/>
      <c r="O330" s="352"/>
      <c r="P330" s="1771"/>
      <c r="Q330" s="5304"/>
      <c r="R330" s="2288"/>
      <c r="S330" s="2122"/>
      <c r="T330" s="494"/>
      <c r="U330" s="2373"/>
      <c r="V330" s="2289"/>
      <c r="W330" s="2122"/>
      <c r="X330" s="426"/>
      <c r="Y330" s="494"/>
      <c r="Z330" s="426"/>
      <c r="AA330" s="494"/>
      <c r="AB330" s="494"/>
      <c r="AC330" s="494"/>
      <c r="AD330" s="494"/>
      <c r="AE330" s="494"/>
      <c r="AF330" s="494"/>
      <c r="AG330" s="494"/>
      <c r="AH330" s="494"/>
      <c r="AI330" s="494"/>
      <c r="AJ330" s="494"/>
      <c r="AK330" s="494"/>
      <c r="AL330" s="494"/>
      <c r="AM330" s="494"/>
      <c r="AN330" s="714"/>
      <c r="AO330" s="109" t="s">
        <v>1649</v>
      </c>
      <c r="AP330" s="547"/>
      <c r="AQ330" s="547"/>
      <c r="AR330" s="299" t="s">
        <v>193</v>
      </c>
      <c r="AS330" s="277" t="s">
        <v>1366</v>
      </c>
      <c r="AT330" s="265"/>
      <c r="AU330" s="982"/>
      <c r="AV330" s="18"/>
    </row>
    <row r="331" spans="2:48" ht="20.100000000000001" customHeight="1">
      <c r="B331" s="1747"/>
      <c r="C331" s="10001"/>
      <c r="D331" s="10002" t="s">
        <v>1369</v>
      </c>
      <c r="E331" s="10003"/>
      <c r="F331" s="10004"/>
      <c r="G331" s="122" t="s">
        <v>1011</v>
      </c>
      <c r="H331" s="352"/>
      <c r="I331" s="352"/>
      <c r="J331" s="352"/>
      <c r="K331" s="350"/>
      <c r="L331" s="351"/>
      <c r="M331" s="352"/>
      <c r="N331" s="1904"/>
      <c r="O331" s="352"/>
      <c r="P331" s="1771"/>
      <c r="Q331" s="5304"/>
      <c r="R331" s="2288"/>
      <c r="S331" s="2122"/>
      <c r="T331" s="494"/>
      <c r="U331" s="2373"/>
      <c r="V331" s="2289"/>
      <c r="W331" s="2122"/>
      <c r="X331" s="426"/>
      <c r="Y331" s="494"/>
      <c r="Z331" s="426"/>
      <c r="AA331" s="494"/>
      <c r="AB331" s="494"/>
      <c r="AC331" s="494"/>
      <c r="AD331" s="494"/>
      <c r="AE331" s="494"/>
      <c r="AF331" s="494"/>
      <c r="AG331" s="494"/>
      <c r="AH331" s="494"/>
      <c r="AI331" s="494"/>
      <c r="AJ331" s="494"/>
      <c r="AK331" s="494"/>
      <c r="AL331" s="494"/>
      <c r="AM331" s="494"/>
      <c r="AN331" s="714"/>
      <c r="AO331" s="109" t="s">
        <v>1649</v>
      </c>
      <c r="AP331" s="547"/>
      <c r="AQ331" s="547"/>
      <c r="AR331" s="299" t="s">
        <v>193</v>
      </c>
      <c r="AS331" s="277" t="s">
        <v>1366</v>
      </c>
      <c r="AT331" s="265"/>
      <c r="AU331" s="982"/>
      <c r="AV331" s="18"/>
    </row>
    <row r="332" spans="2:48" ht="20.100000000000001" customHeight="1">
      <c r="B332" s="1747"/>
      <c r="C332" s="9997" t="s">
        <v>1371</v>
      </c>
      <c r="D332" s="9998"/>
      <c r="E332" s="9998"/>
      <c r="F332" s="9999"/>
      <c r="G332" s="122" t="s">
        <v>156</v>
      </c>
      <c r="H332" s="352"/>
      <c r="I332" s="352"/>
      <c r="J332" s="352"/>
      <c r="K332" s="350"/>
      <c r="L332" s="351"/>
      <c r="M332" s="352"/>
      <c r="N332" s="1904"/>
      <c r="O332" s="352"/>
      <c r="P332" s="1771"/>
      <c r="Q332" s="5304"/>
      <c r="R332" s="2288"/>
      <c r="S332" s="2122"/>
      <c r="T332" s="494"/>
      <c r="U332" s="2373"/>
      <c r="V332" s="2289"/>
      <c r="W332" s="2122"/>
      <c r="X332" s="426"/>
      <c r="Y332" s="494"/>
      <c r="Z332" s="426"/>
      <c r="AA332" s="494">
        <f>AA333/AA334*100</f>
        <v>100</v>
      </c>
      <c r="AB332" s="494"/>
      <c r="AC332" s="494"/>
      <c r="AD332" s="494">
        <f>AD333/AD334*100</f>
        <v>100</v>
      </c>
      <c r="AE332" s="494">
        <f>AE333/AE334*100</f>
        <v>100</v>
      </c>
      <c r="AF332" s="494">
        <f>AF333/AF334*100</f>
        <v>100</v>
      </c>
      <c r="AG332" s="494">
        <f>AG333/AG334*100</f>
        <v>100</v>
      </c>
      <c r="AH332" s="494">
        <v>0</v>
      </c>
      <c r="AI332" s="494">
        <v>0</v>
      </c>
      <c r="AJ332" s="494">
        <v>0</v>
      </c>
      <c r="AK332" s="494"/>
      <c r="AL332" s="494"/>
      <c r="AM332" s="494"/>
      <c r="AN332" s="714" t="s">
        <v>1373</v>
      </c>
      <c r="AO332" s="109"/>
      <c r="AP332" s="547"/>
      <c r="AQ332" s="547"/>
      <c r="AR332" s="986"/>
      <c r="AS332" s="277" t="s">
        <v>2150</v>
      </c>
      <c r="AT332" s="265"/>
      <c r="AU332" s="982"/>
    </row>
    <row r="333" spans="2:48" ht="20.100000000000001" customHeight="1">
      <c r="B333" s="1747"/>
      <c r="C333" s="10000"/>
      <c r="D333" s="10002" t="s">
        <v>1384</v>
      </c>
      <c r="E333" s="10003"/>
      <c r="F333" s="10004"/>
      <c r="G333" s="122" t="s">
        <v>1011</v>
      </c>
      <c r="H333" s="352"/>
      <c r="I333" s="352"/>
      <c r="J333" s="352"/>
      <c r="K333" s="350"/>
      <c r="L333" s="351"/>
      <c r="M333" s="352"/>
      <c r="N333" s="1904"/>
      <c r="O333" s="352"/>
      <c r="P333" s="1771"/>
      <c r="Q333" s="5304"/>
      <c r="R333" s="2288"/>
      <c r="S333" s="2122"/>
      <c r="T333" s="494"/>
      <c r="U333" s="2373"/>
      <c r="V333" s="2187"/>
      <c r="W333" s="2122"/>
      <c r="X333" s="426"/>
      <c r="Y333" s="494"/>
      <c r="Z333" s="426"/>
      <c r="AA333" s="100">
        <f>AD333+AG333+AJ333+AM333</f>
        <v>5</v>
      </c>
      <c r="AB333" s="494"/>
      <c r="AC333" s="494"/>
      <c r="AD333" s="494">
        <v>3</v>
      </c>
      <c r="AE333" s="494">
        <v>3</v>
      </c>
      <c r="AF333" s="494">
        <v>3</v>
      </c>
      <c r="AG333" s="494">
        <v>2</v>
      </c>
      <c r="AH333" s="494">
        <v>0</v>
      </c>
      <c r="AI333" s="494">
        <v>0</v>
      </c>
      <c r="AJ333" s="494">
        <v>0</v>
      </c>
      <c r="AK333" s="494"/>
      <c r="AL333" s="494"/>
      <c r="AM333" s="494"/>
      <c r="AN333" s="714"/>
      <c r="AO333" s="109"/>
      <c r="AP333" s="547"/>
      <c r="AQ333" s="547"/>
      <c r="AR333" s="109"/>
      <c r="AS333" s="277" t="s">
        <v>2150</v>
      </c>
      <c r="AT333" s="265"/>
      <c r="AU333" s="982"/>
    </row>
    <row r="334" spans="2:48" ht="20.100000000000001" customHeight="1">
      <c r="B334" s="1747"/>
      <c r="C334" s="10001"/>
      <c r="D334" s="10002" t="s">
        <v>1369</v>
      </c>
      <c r="E334" s="10003"/>
      <c r="F334" s="10004"/>
      <c r="G334" s="122" t="s">
        <v>1011</v>
      </c>
      <c r="H334" s="352"/>
      <c r="I334" s="352"/>
      <c r="J334" s="352"/>
      <c r="K334" s="350"/>
      <c r="L334" s="351"/>
      <c r="M334" s="352"/>
      <c r="N334" s="1904"/>
      <c r="O334" s="352"/>
      <c r="P334" s="1771"/>
      <c r="Q334" s="5304"/>
      <c r="R334" s="2288"/>
      <c r="S334" s="2122"/>
      <c r="T334" s="494"/>
      <c r="U334" s="2373"/>
      <c r="V334" s="2187"/>
      <c r="W334" s="2122"/>
      <c r="X334" s="426"/>
      <c r="Y334" s="494"/>
      <c r="Z334" s="426"/>
      <c r="AA334" s="100">
        <f>AD334+AG334+AJ334+AM334</f>
        <v>5</v>
      </c>
      <c r="AB334" s="494"/>
      <c r="AC334" s="494"/>
      <c r="AD334" s="494">
        <v>3</v>
      </c>
      <c r="AE334" s="494">
        <v>3</v>
      </c>
      <c r="AF334" s="494">
        <v>3</v>
      </c>
      <c r="AG334" s="494">
        <v>2</v>
      </c>
      <c r="AH334" s="494">
        <v>0</v>
      </c>
      <c r="AI334" s="494">
        <v>0</v>
      </c>
      <c r="AJ334" s="494">
        <v>0</v>
      </c>
      <c r="AK334" s="494"/>
      <c r="AL334" s="494"/>
      <c r="AM334" s="494"/>
      <c r="AN334" s="714"/>
      <c r="AO334" s="109"/>
      <c r="AP334" s="547"/>
      <c r="AQ334" s="547"/>
      <c r="AR334" s="109"/>
      <c r="AS334" s="277" t="s">
        <v>2150</v>
      </c>
      <c r="AT334" s="265"/>
      <c r="AU334" s="982"/>
    </row>
    <row r="335" spans="2:48" ht="20.100000000000001" customHeight="1">
      <c r="B335" s="1747"/>
      <c r="C335" s="9997" t="s">
        <v>1378</v>
      </c>
      <c r="D335" s="9998"/>
      <c r="E335" s="9998"/>
      <c r="F335" s="9999"/>
      <c r="G335" s="122" t="s">
        <v>156</v>
      </c>
      <c r="H335" s="352"/>
      <c r="I335" s="352"/>
      <c r="J335" s="352"/>
      <c r="K335" s="350"/>
      <c r="L335" s="351"/>
      <c r="M335" s="352"/>
      <c r="N335" s="1904"/>
      <c r="O335" s="352"/>
      <c r="P335" s="1771"/>
      <c r="Q335" s="5304"/>
      <c r="R335" s="2288"/>
      <c r="S335" s="2122"/>
      <c r="T335" s="494"/>
      <c r="U335" s="2373"/>
      <c r="V335" s="2289"/>
      <c r="W335" s="2122"/>
      <c r="X335" s="426"/>
      <c r="Y335" s="494"/>
      <c r="Z335" s="426"/>
      <c r="AA335" s="494"/>
      <c r="AB335" s="494"/>
      <c r="AC335" s="494"/>
      <c r="AD335" s="494"/>
      <c r="AE335" s="494"/>
      <c r="AF335" s="494"/>
      <c r="AG335" s="494"/>
      <c r="AH335" s="494"/>
      <c r="AI335" s="494"/>
      <c r="AJ335" s="494"/>
      <c r="AK335" s="494"/>
      <c r="AL335" s="494"/>
      <c r="AM335" s="494"/>
      <c r="AN335" s="714" t="s">
        <v>1380</v>
      </c>
      <c r="AO335" s="109" t="s">
        <v>1649</v>
      </c>
      <c r="AP335" s="547"/>
      <c r="AQ335" s="547"/>
      <c r="AR335" s="299" t="s">
        <v>193</v>
      </c>
      <c r="AS335" s="277" t="s">
        <v>1375</v>
      </c>
      <c r="AT335" s="265"/>
      <c r="AU335" s="982"/>
      <c r="AV335" s="18"/>
    </row>
    <row r="336" spans="2:48" ht="20.100000000000001" customHeight="1">
      <c r="B336" s="1747"/>
      <c r="C336" s="1935"/>
      <c r="D336" s="10002" t="s">
        <v>1382</v>
      </c>
      <c r="E336" s="10003"/>
      <c r="F336" s="10004"/>
      <c r="G336" s="122" t="s">
        <v>1011</v>
      </c>
      <c r="H336" s="352"/>
      <c r="I336" s="352"/>
      <c r="J336" s="352"/>
      <c r="K336" s="350"/>
      <c r="L336" s="351"/>
      <c r="M336" s="352"/>
      <c r="N336" s="1904"/>
      <c r="O336" s="352"/>
      <c r="P336" s="1771"/>
      <c r="Q336" s="5304"/>
      <c r="R336" s="2288"/>
      <c r="S336" s="2122"/>
      <c r="T336" s="494"/>
      <c r="U336" s="2373"/>
      <c r="V336" s="2289"/>
      <c r="W336" s="2122"/>
      <c r="X336" s="426"/>
      <c r="Y336" s="494"/>
      <c r="Z336" s="426"/>
      <c r="AA336" s="494"/>
      <c r="AB336" s="494"/>
      <c r="AC336" s="494"/>
      <c r="AD336" s="494"/>
      <c r="AE336" s="494"/>
      <c r="AF336" s="494"/>
      <c r="AG336" s="494"/>
      <c r="AH336" s="494"/>
      <c r="AI336" s="494"/>
      <c r="AJ336" s="494"/>
      <c r="AK336" s="494"/>
      <c r="AL336" s="494"/>
      <c r="AM336" s="494"/>
      <c r="AN336" s="714"/>
      <c r="AO336" s="109" t="s">
        <v>1649</v>
      </c>
      <c r="AP336" s="547"/>
      <c r="AQ336" s="547"/>
      <c r="AR336" s="299" t="s">
        <v>193</v>
      </c>
      <c r="AS336" s="277" t="s">
        <v>1390</v>
      </c>
      <c r="AT336" s="265"/>
      <c r="AU336" s="982"/>
      <c r="AV336" s="18"/>
    </row>
    <row r="337" spans="1:49" ht="20.100000000000001" customHeight="1">
      <c r="B337" s="1747"/>
      <c r="C337" s="1936" t="s">
        <v>1386</v>
      </c>
      <c r="D337" s="924"/>
      <c r="E337" s="924"/>
      <c r="F337" s="1210"/>
      <c r="G337" s="122" t="s">
        <v>557</v>
      </c>
      <c r="H337" s="352"/>
      <c r="I337" s="352"/>
      <c r="J337" s="352"/>
      <c r="K337" s="350"/>
      <c r="L337" s="351"/>
      <c r="M337" s="352"/>
      <c r="N337" s="1904"/>
      <c r="O337" s="352"/>
      <c r="P337" s="1771"/>
      <c r="Q337" s="5304"/>
      <c r="R337" s="2288"/>
      <c r="S337" s="2122"/>
      <c r="T337" s="494"/>
      <c r="U337" s="2373"/>
      <c r="V337" s="2289"/>
      <c r="W337" s="2122"/>
      <c r="X337" s="426"/>
      <c r="Y337" s="494"/>
      <c r="Z337" s="426"/>
      <c r="AA337" s="494"/>
      <c r="AB337" s="494"/>
      <c r="AC337" s="494"/>
      <c r="AD337" s="494"/>
      <c r="AE337" s="494"/>
      <c r="AF337" s="494"/>
      <c r="AG337" s="494"/>
      <c r="AH337" s="494"/>
      <c r="AI337" s="494"/>
      <c r="AJ337" s="494"/>
      <c r="AK337" s="494"/>
      <c r="AL337" s="494"/>
      <c r="AM337" s="494"/>
      <c r="AN337" s="714" t="s">
        <v>1388</v>
      </c>
      <c r="AO337" s="109"/>
      <c r="AP337" s="547"/>
      <c r="AQ337" s="547"/>
      <c r="AR337" s="299" t="s">
        <v>193</v>
      </c>
      <c r="AS337" s="277" t="s">
        <v>2151</v>
      </c>
      <c r="AT337" s="265"/>
      <c r="AU337" s="982"/>
      <c r="AV337" s="18"/>
    </row>
    <row r="338" spans="1:49" ht="20.100000000000001" customHeight="1" thickBot="1">
      <c r="B338" s="1747"/>
      <c r="C338" s="9987" t="s">
        <v>1391</v>
      </c>
      <c r="D338" s="9988"/>
      <c r="E338" s="9988"/>
      <c r="F338" s="9989"/>
      <c r="G338" s="122" t="s">
        <v>156</v>
      </c>
      <c r="H338" s="352"/>
      <c r="I338" s="352"/>
      <c r="J338" s="352"/>
      <c r="K338" s="350"/>
      <c r="L338" s="351"/>
      <c r="M338" s="352"/>
      <c r="N338" s="1904"/>
      <c r="O338" s="352"/>
      <c r="P338" s="1771"/>
      <c r="Q338" s="5304"/>
      <c r="R338" s="2288"/>
      <c r="S338" s="2122"/>
      <c r="T338" s="494"/>
      <c r="U338" s="2373"/>
      <c r="V338" s="2289"/>
      <c r="W338" s="2122"/>
      <c r="X338" s="426"/>
      <c r="Y338" s="494"/>
      <c r="Z338" s="426"/>
      <c r="AA338" s="494"/>
      <c r="AB338" s="494"/>
      <c r="AC338" s="494"/>
      <c r="AD338" s="494"/>
      <c r="AE338" s="494"/>
      <c r="AF338" s="494"/>
      <c r="AG338" s="494"/>
      <c r="AH338" s="494"/>
      <c r="AI338" s="494"/>
      <c r="AJ338" s="494"/>
      <c r="AK338" s="494"/>
      <c r="AL338" s="494"/>
      <c r="AM338" s="494"/>
      <c r="AN338" s="714" t="s">
        <v>1393</v>
      </c>
      <c r="AO338" s="109" t="s">
        <v>1649</v>
      </c>
      <c r="AP338" s="547"/>
      <c r="AQ338" s="547"/>
      <c r="AR338" s="299" t="s">
        <v>193</v>
      </c>
      <c r="AS338" s="277" t="s">
        <v>1395</v>
      </c>
      <c r="AT338" s="265"/>
      <c r="AU338" s="982"/>
      <c r="AV338" s="18"/>
    </row>
    <row r="339" spans="1:49" ht="27" thickBot="1">
      <c r="B339" s="123" t="s">
        <v>1396</v>
      </c>
      <c r="C339" s="124"/>
      <c r="D339" s="124"/>
      <c r="E339" s="124"/>
      <c r="F339" s="124"/>
      <c r="G339" s="78"/>
      <c r="H339" s="1732"/>
      <c r="I339" s="1732"/>
      <c r="J339" s="1732"/>
      <c r="K339" s="1732"/>
      <c r="L339" s="1732"/>
      <c r="M339" s="1733"/>
      <c r="N339" s="1734"/>
      <c r="O339" s="1733"/>
      <c r="P339" s="1734"/>
      <c r="Q339" s="1733"/>
      <c r="R339" s="2175"/>
      <c r="S339" s="148"/>
      <c r="T339" s="148"/>
      <c r="U339" s="148"/>
      <c r="V339" s="2176"/>
      <c r="W339" s="148"/>
      <c r="X339" s="148"/>
      <c r="Y339" s="148"/>
      <c r="Z339" s="148"/>
      <c r="AA339" s="148"/>
      <c r="AB339" s="148"/>
      <c r="AC339" s="148"/>
      <c r="AD339" s="148"/>
      <c r="AE339" s="148"/>
      <c r="AF339" s="148"/>
      <c r="AG339" s="148"/>
      <c r="AH339" s="148"/>
      <c r="AI339" s="148"/>
      <c r="AJ339" s="148"/>
      <c r="AK339" s="148"/>
      <c r="AL339" s="148"/>
      <c r="AM339" s="148"/>
      <c r="AN339" s="80"/>
      <c r="AO339" s="129"/>
      <c r="AP339" s="129"/>
      <c r="AQ339" s="129"/>
      <c r="AR339" s="129"/>
      <c r="AS339" s="328"/>
      <c r="AT339" s="328"/>
      <c r="AU339" s="1006"/>
    </row>
    <row r="340" spans="1:49" ht="20.100000000000001" customHeight="1" thickBot="1">
      <c r="B340" s="1937"/>
      <c r="C340" s="9990" t="s">
        <v>1398</v>
      </c>
      <c r="D340" s="9790"/>
      <c r="E340" s="9790"/>
      <c r="F340" s="9991"/>
      <c r="G340" s="1011" t="s">
        <v>233</v>
      </c>
      <c r="H340" s="1938"/>
      <c r="I340" s="1939"/>
      <c r="J340" s="1938"/>
      <c r="K340" s="1940"/>
      <c r="L340" s="761"/>
      <c r="M340" s="1941"/>
      <c r="N340" s="1942"/>
      <c r="O340" s="1941"/>
      <c r="P340" s="1943"/>
      <c r="Q340" s="5307"/>
      <c r="R340" s="2498"/>
      <c r="S340" s="2459"/>
      <c r="T340" s="766"/>
      <c r="U340" s="4958"/>
      <c r="V340" s="2403"/>
      <c r="W340" s="2459"/>
      <c r="X340" s="764"/>
      <c r="Y340" s="766"/>
      <c r="Z340" s="764"/>
      <c r="AA340" s="766"/>
      <c r="AB340" s="766"/>
      <c r="AC340" s="766"/>
      <c r="AD340" s="766"/>
      <c r="AE340" s="766"/>
      <c r="AF340" s="766"/>
      <c r="AG340" s="766"/>
      <c r="AH340" s="766"/>
      <c r="AI340" s="766"/>
      <c r="AJ340" s="766"/>
      <c r="AK340" s="766"/>
      <c r="AL340" s="766"/>
      <c r="AM340" s="766"/>
      <c r="AN340" s="1021" t="s">
        <v>1400</v>
      </c>
      <c r="AO340" s="758" t="s">
        <v>189</v>
      </c>
      <c r="AP340" s="534"/>
      <c r="AQ340" s="534"/>
      <c r="AR340" s="299" t="s">
        <v>193</v>
      </c>
      <c r="AS340" s="277" t="s">
        <v>1402</v>
      </c>
      <c r="AT340" s="277"/>
      <c r="AU340" s="982"/>
      <c r="AV340" s="18"/>
    </row>
    <row r="341" spans="1:49" ht="20.100000000000001" customHeight="1">
      <c r="B341" s="1944"/>
      <c r="C341" s="1945" t="s">
        <v>1403</v>
      </c>
      <c r="D341" s="1946"/>
      <c r="E341" s="1947"/>
      <c r="F341" s="1948"/>
      <c r="G341" s="1024" t="s">
        <v>1404</v>
      </c>
      <c r="H341" s="1025">
        <v>500000001.58999997</v>
      </c>
      <c r="I341" s="1026"/>
      <c r="J341" s="1025">
        <v>2.86</v>
      </c>
      <c r="K341" s="1027"/>
      <c r="L341" s="876"/>
      <c r="M341" s="960">
        <v>1.59</v>
      </c>
      <c r="N341" s="1949">
        <v>0</v>
      </c>
      <c r="O341" s="960">
        <v>2.86</v>
      </c>
      <c r="P341" s="1950">
        <v>0</v>
      </c>
      <c r="Q341" s="5301"/>
      <c r="R341" s="2267">
        <f>W341</f>
        <v>0</v>
      </c>
      <c r="S341" s="2113"/>
      <c r="T341" s="335">
        <f>Y341</f>
        <v>0</v>
      </c>
      <c r="U341" s="2369"/>
      <c r="V341" s="2268">
        <f>AA341</f>
        <v>0</v>
      </c>
      <c r="W341" s="2113">
        <v>0</v>
      </c>
      <c r="X341" s="342">
        <v>0</v>
      </c>
      <c r="Y341" s="335">
        <v>0</v>
      </c>
      <c r="Z341" s="342">
        <v>0</v>
      </c>
      <c r="AA341" s="335"/>
      <c r="AB341" s="335">
        <v>0</v>
      </c>
      <c r="AC341" s="335">
        <v>0</v>
      </c>
      <c r="AD341" s="335">
        <v>2.2499999999999999E-2</v>
      </c>
      <c r="AE341" s="335">
        <v>0</v>
      </c>
      <c r="AF341" s="335">
        <v>0</v>
      </c>
      <c r="AG341" s="335">
        <v>0</v>
      </c>
      <c r="AH341" s="335">
        <v>0</v>
      </c>
      <c r="AI341" s="335">
        <v>0</v>
      </c>
      <c r="AJ341" s="335">
        <v>0</v>
      </c>
      <c r="AK341" s="335">
        <v>0</v>
      </c>
      <c r="AL341" s="335">
        <v>0</v>
      </c>
      <c r="AM341" s="335">
        <v>0</v>
      </c>
      <c r="AN341" s="1032" t="s">
        <v>1407</v>
      </c>
      <c r="AO341" s="1034"/>
      <c r="AP341" s="878"/>
      <c r="AQ341" s="878"/>
      <c r="AR341" s="1034"/>
      <c r="AS341" s="277" t="s">
        <v>1409</v>
      </c>
      <c r="AT341" s="265"/>
      <c r="AU341" s="982"/>
    </row>
    <row r="342" spans="1:49" ht="20.100000000000001" customHeight="1">
      <c r="B342" s="1754"/>
      <c r="C342" s="9992" t="s">
        <v>1413</v>
      </c>
      <c r="D342" s="9992"/>
      <c r="E342" s="9992"/>
      <c r="F342" s="9992"/>
      <c r="G342" s="109" t="s">
        <v>1595</v>
      </c>
      <c r="H342" s="92"/>
      <c r="I342" s="92"/>
      <c r="J342" s="92"/>
      <c r="K342" s="95"/>
      <c r="L342" s="228"/>
      <c r="M342" s="293">
        <v>0</v>
      </c>
      <c r="N342" s="294"/>
      <c r="O342" s="92">
        <v>0</v>
      </c>
      <c r="P342" s="607"/>
      <c r="Q342" s="2350"/>
      <c r="R342" s="2186"/>
      <c r="S342" s="2111"/>
      <c r="T342" s="100"/>
      <c r="U342" s="2349"/>
      <c r="V342" s="2187"/>
      <c r="W342" s="2111"/>
      <c r="X342" s="293"/>
      <c r="Y342" s="100"/>
      <c r="Z342" s="293"/>
      <c r="AA342" s="100"/>
      <c r="AB342" s="100"/>
      <c r="AC342" s="100"/>
      <c r="AD342" s="100"/>
      <c r="AE342" s="100"/>
      <c r="AF342" s="100"/>
      <c r="AG342" s="100"/>
      <c r="AH342" s="100">
        <v>0</v>
      </c>
      <c r="AI342" s="100">
        <v>0</v>
      </c>
      <c r="AJ342" s="100">
        <v>0</v>
      </c>
      <c r="AK342" s="100">
        <v>0</v>
      </c>
      <c r="AL342" s="100">
        <v>0</v>
      </c>
      <c r="AM342" s="100">
        <v>0</v>
      </c>
      <c r="AN342" s="276"/>
      <c r="AO342" s="162"/>
      <c r="AP342" s="547"/>
      <c r="AQ342" s="547"/>
      <c r="AR342" s="162"/>
      <c r="AS342" s="277"/>
      <c r="AT342" s="277" t="s">
        <v>1416</v>
      </c>
      <c r="AU342" s="982"/>
    </row>
    <row r="343" spans="1:49" ht="20.100000000000001" customHeight="1">
      <c r="B343" s="1951"/>
      <c r="C343" s="9993" t="s">
        <v>1419</v>
      </c>
      <c r="D343" s="9993"/>
      <c r="E343" s="9993"/>
      <c r="F343" s="286" t="s">
        <v>1018</v>
      </c>
      <c r="G343" s="162" t="s">
        <v>1018</v>
      </c>
      <c r="H343" s="298">
        <v>890</v>
      </c>
      <c r="I343" s="92"/>
      <c r="J343" s="298">
        <v>404</v>
      </c>
      <c r="K343" s="95"/>
      <c r="L343" s="228"/>
      <c r="M343" s="293">
        <v>890</v>
      </c>
      <c r="N343" s="294">
        <v>0</v>
      </c>
      <c r="O343" s="293">
        <v>404</v>
      </c>
      <c r="P343" s="613">
        <v>0</v>
      </c>
      <c r="Q343" s="2350"/>
      <c r="R343" s="2186">
        <f t="shared" ref="R343:R344" si="71">W343</f>
        <v>0</v>
      </c>
      <c r="S343" s="2111"/>
      <c r="T343" s="100">
        <f t="shared" ref="T343:T344" si="72">Y343</f>
        <v>0</v>
      </c>
      <c r="U343" s="2349"/>
      <c r="V343" s="2187">
        <f t="shared" ref="V343:V344" si="73">AA343</f>
        <v>0</v>
      </c>
      <c r="W343" s="2111">
        <v>0</v>
      </c>
      <c r="X343" s="484">
        <v>0</v>
      </c>
      <c r="Y343" s="100">
        <v>0</v>
      </c>
      <c r="Z343" s="484">
        <v>0</v>
      </c>
      <c r="AA343" s="100">
        <f>AD343+AG343+AJ343+AM343</f>
        <v>0</v>
      </c>
      <c r="AB343" s="100">
        <v>0</v>
      </c>
      <c r="AC343" s="100">
        <v>0</v>
      </c>
      <c r="AD343" s="100"/>
      <c r="AE343" s="100">
        <v>0</v>
      </c>
      <c r="AF343" s="100">
        <v>0</v>
      </c>
      <c r="AG343" s="100">
        <v>0</v>
      </c>
      <c r="AH343" s="100">
        <v>0</v>
      </c>
      <c r="AI343" s="100">
        <v>0</v>
      </c>
      <c r="AJ343" s="100">
        <v>0</v>
      </c>
      <c r="AK343" s="100">
        <v>0</v>
      </c>
      <c r="AL343" s="100">
        <v>0</v>
      </c>
      <c r="AM343" s="100">
        <v>0</v>
      </c>
      <c r="AN343" s="1046" t="s">
        <v>1422</v>
      </c>
      <c r="AO343" s="162"/>
      <c r="AP343" s="547"/>
      <c r="AQ343" s="547"/>
      <c r="AR343" s="162"/>
      <c r="AS343" s="277" t="s">
        <v>1425</v>
      </c>
      <c r="AT343" s="265"/>
      <c r="AU343" s="982"/>
    </row>
    <row r="344" spans="1:49" ht="20.100000000000001" customHeight="1">
      <c r="B344" s="1951"/>
      <c r="C344" s="9993"/>
      <c r="D344" s="9993"/>
      <c r="E344" s="9993"/>
      <c r="F344" s="286" t="s">
        <v>1428</v>
      </c>
      <c r="G344" s="162" t="s">
        <v>742</v>
      </c>
      <c r="H344" s="298">
        <v>196</v>
      </c>
      <c r="I344" s="92"/>
      <c r="J344" s="298">
        <v>129</v>
      </c>
      <c r="K344" s="95"/>
      <c r="L344" s="228"/>
      <c r="M344" s="293">
        <v>196</v>
      </c>
      <c r="N344" s="294">
        <v>0</v>
      </c>
      <c r="O344" s="293">
        <v>129</v>
      </c>
      <c r="P344" s="613">
        <v>0</v>
      </c>
      <c r="Q344" s="2350"/>
      <c r="R344" s="2186">
        <f t="shared" si="71"/>
        <v>0</v>
      </c>
      <c r="S344" s="2111"/>
      <c r="T344" s="100">
        <f t="shared" si="72"/>
        <v>0</v>
      </c>
      <c r="U344" s="2349"/>
      <c r="V344" s="2187">
        <f t="shared" si="73"/>
        <v>0</v>
      </c>
      <c r="W344" s="2111">
        <v>0</v>
      </c>
      <c r="X344" s="484">
        <v>0</v>
      </c>
      <c r="Y344" s="100">
        <v>0</v>
      </c>
      <c r="Z344" s="484">
        <v>0</v>
      </c>
      <c r="AA344" s="100">
        <f>AD344+AG344+AJ344+AM344</f>
        <v>0</v>
      </c>
      <c r="AB344" s="100">
        <v>0</v>
      </c>
      <c r="AC344" s="100">
        <v>0</v>
      </c>
      <c r="AD344" s="100"/>
      <c r="AE344" s="100">
        <v>0</v>
      </c>
      <c r="AF344" s="100">
        <v>0</v>
      </c>
      <c r="AG344" s="100">
        <v>0</v>
      </c>
      <c r="AH344" s="100">
        <v>0</v>
      </c>
      <c r="AI344" s="100">
        <v>0</v>
      </c>
      <c r="AJ344" s="100">
        <v>0</v>
      </c>
      <c r="AK344" s="100">
        <v>0</v>
      </c>
      <c r="AL344" s="100">
        <v>0</v>
      </c>
      <c r="AM344" s="100">
        <v>0</v>
      </c>
      <c r="AN344" s="1046" t="s">
        <v>1430</v>
      </c>
      <c r="AO344" s="162"/>
      <c r="AP344" s="547"/>
      <c r="AQ344" s="547"/>
      <c r="AR344" s="162"/>
      <c r="AS344" s="981" t="s">
        <v>1431</v>
      </c>
      <c r="AT344" s="427"/>
      <c r="AU344" s="974"/>
    </row>
    <row r="345" spans="1:49" ht="20.100000000000001" customHeight="1" thickBot="1">
      <c r="B345" s="1951"/>
      <c r="C345" s="9994" t="s">
        <v>1433</v>
      </c>
      <c r="D345" s="9995"/>
      <c r="E345" s="9995"/>
      <c r="F345" s="9996"/>
      <c r="G345" s="109" t="s">
        <v>156</v>
      </c>
      <c r="H345" s="92"/>
      <c r="I345" s="92"/>
      <c r="J345" s="92"/>
      <c r="K345" s="92"/>
      <c r="L345" s="228"/>
      <c r="M345" s="293"/>
      <c r="N345" s="294"/>
      <c r="O345" s="293"/>
      <c r="P345" s="151"/>
      <c r="Q345" s="2350"/>
      <c r="R345" s="2186"/>
      <c r="S345" s="2111"/>
      <c r="T345" s="100"/>
      <c r="U345" s="2349"/>
      <c r="V345" s="2187"/>
      <c r="W345" s="2111"/>
      <c r="X345" s="293"/>
      <c r="Y345" s="100"/>
      <c r="Z345" s="293"/>
      <c r="AA345" s="100"/>
      <c r="AB345" s="100"/>
      <c r="AC345" s="100"/>
      <c r="AD345" s="100"/>
      <c r="AE345" s="100"/>
      <c r="AF345" s="100"/>
      <c r="AG345" s="100"/>
      <c r="AH345" s="100"/>
      <c r="AI345" s="100"/>
      <c r="AJ345" s="100"/>
      <c r="AK345" s="100"/>
      <c r="AL345" s="100"/>
      <c r="AM345" s="100"/>
      <c r="AN345" s="276"/>
      <c r="AO345" s="109" t="s">
        <v>189</v>
      </c>
      <c r="AP345" s="547"/>
      <c r="AQ345" s="547"/>
      <c r="AR345" s="299" t="s">
        <v>193</v>
      </c>
      <c r="AS345" s="277"/>
      <c r="AT345" s="277" t="s">
        <v>1436</v>
      </c>
      <c r="AU345" s="982"/>
      <c r="AV345" s="18"/>
    </row>
    <row r="346" spans="1:49" ht="27.75" thickTop="1" thickBot="1">
      <c r="A346" s="50"/>
      <c r="B346" s="1742" t="s">
        <v>1437</v>
      </c>
      <c r="C346" s="629"/>
      <c r="D346" s="629"/>
      <c r="E346" s="629"/>
      <c r="F346" s="629"/>
      <c r="G346" s="630"/>
      <c r="H346" s="1743"/>
      <c r="I346" s="1743"/>
      <c r="J346" s="1743"/>
      <c r="K346" s="1743"/>
      <c r="L346" s="1743"/>
      <c r="M346" s="1744"/>
      <c r="N346" s="1745"/>
      <c r="O346" s="1744"/>
      <c r="P346" s="1745"/>
      <c r="Q346" s="1744"/>
      <c r="R346" s="4574"/>
      <c r="S346" s="633"/>
      <c r="T346" s="633"/>
      <c r="U346" s="633"/>
      <c r="V346" s="4575"/>
      <c r="W346" s="633"/>
      <c r="X346" s="633"/>
      <c r="Y346" s="633"/>
      <c r="Z346" s="633"/>
      <c r="AA346" s="633"/>
      <c r="AB346" s="633"/>
      <c r="AC346" s="633"/>
      <c r="AD346" s="633"/>
      <c r="AE346" s="633"/>
      <c r="AF346" s="633"/>
      <c r="AG346" s="633"/>
      <c r="AH346" s="633"/>
      <c r="AI346" s="633"/>
      <c r="AJ346" s="633"/>
      <c r="AK346" s="633"/>
      <c r="AL346" s="633"/>
      <c r="AM346" s="633"/>
      <c r="AN346" s="634"/>
      <c r="AO346" s="633"/>
      <c r="AP346" s="633"/>
      <c r="AQ346" s="633"/>
      <c r="AR346" s="633"/>
      <c r="AS346" s="1055"/>
      <c r="AT346" s="1055"/>
      <c r="AU346" s="635"/>
      <c r="AW346" s="54"/>
    </row>
    <row r="347" spans="1:49" ht="25.9" hidden="1" customHeight="1" outlineLevel="1" thickBot="1">
      <c r="B347" s="123" t="s">
        <v>1439</v>
      </c>
      <c r="C347" s="124"/>
      <c r="D347" s="124"/>
      <c r="E347" s="124"/>
      <c r="F347" s="124"/>
      <c r="G347" s="78"/>
      <c r="H347" s="1732"/>
      <c r="I347" s="1732"/>
      <c r="J347" s="1732"/>
      <c r="K347" s="1732"/>
      <c r="L347" s="1732"/>
      <c r="M347" s="1733"/>
      <c r="N347" s="1734"/>
      <c r="O347" s="1733"/>
      <c r="P347" s="1734"/>
      <c r="Q347" s="1733"/>
      <c r="R347" s="2175"/>
      <c r="S347" s="148"/>
      <c r="T347" s="148"/>
      <c r="U347" s="148"/>
      <c r="V347" s="2176"/>
      <c r="W347" s="148"/>
      <c r="X347" s="148"/>
      <c r="Y347" s="148"/>
      <c r="Z347" s="148"/>
      <c r="AA347" s="148"/>
      <c r="AB347" s="148"/>
      <c r="AC347" s="148"/>
      <c r="AD347" s="148"/>
      <c r="AE347" s="148"/>
      <c r="AF347" s="148"/>
      <c r="AG347" s="148"/>
      <c r="AH347" s="148"/>
      <c r="AI347" s="148"/>
      <c r="AJ347" s="148"/>
      <c r="AK347" s="148"/>
      <c r="AL347" s="148"/>
      <c r="AM347" s="148"/>
      <c r="AN347" s="80"/>
      <c r="AO347" s="80"/>
      <c r="AP347" s="80"/>
      <c r="AQ347" s="80"/>
      <c r="AR347" s="80"/>
      <c r="AS347" s="1952"/>
      <c r="AT347" s="130"/>
      <c r="AU347" s="1953"/>
    </row>
    <row r="348" spans="1:49" ht="20.100000000000001" hidden="1" customHeight="1" outlineLevel="1">
      <c r="B348" s="1865"/>
      <c r="C348" s="9986" t="s">
        <v>1441</v>
      </c>
      <c r="D348" s="9986"/>
      <c r="E348" s="9986"/>
      <c r="F348" s="1954" t="s">
        <v>1445</v>
      </c>
      <c r="G348" s="1928" t="s">
        <v>732</v>
      </c>
      <c r="H348" s="333">
        <v>5</v>
      </c>
      <c r="I348" s="333"/>
      <c r="J348" s="333">
        <v>7</v>
      </c>
      <c r="K348" s="332"/>
      <c r="L348" s="761"/>
      <c r="M348" s="1955">
        <v>5</v>
      </c>
      <c r="N348" s="1956">
        <v>0</v>
      </c>
      <c r="O348" s="1955">
        <v>7</v>
      </c>
      <c r="P348" s="1194">
        <v>0</v>
      </c>
      <c r="Q348" s="5307"/>
      <c r="R348" s="2498"/>
      <c r="S348" s="2459"/>
      <c r="T348" s="766"/>
      <c r="U348" s="4958"/>
      <c r="V348" s="2403"/>
      <c r="W348" s="2459">
        <v>0</v>
      </c>
      <c r="X348" s="1927">
        <v>0</v>
      </c>
      <c r="Y348" s="766">
        <v>0</v>
      </c>
      <c r="Z348" s="1927">
        <v>0</v>
      </c>
      <c r="AA348" s="766"/>
      <c r="AB348" s="766">
        <v>0</v>
      </c>
      <c r="AC348" s="766">
        <v>0</v>
      </c>
      <c r="AD348" s="766"/>
      <c r="AE348" s="766">
        <v>0</v>
      </c>
      <c r="AF348" s="766">
        <v>0</v>
      </c>
      <c r="AG348" s="766"/>
      <c r="AH348" s="766">
        <v>0</v>
      </c>
      <c r="AI348" s="766">
        <v>0</v>
      </c>
      <c r="AJ348" s="766"/>
      <c r="AK348" s="766">
        <v>0</v>
      </c>
      <c r="AL348" s="766">
        <v>0</v>
      </c>
      <c r="AM348" s="766"/>
      <c r="AN348" s="533" t="s">
        <v>1447</v>
      </c>
      <c r="AO348" s="1928" t="s">
        <v>37</v>
      </c>
      <c r="AP348" s="547"/>
      <c r="AQ348" s="547"/>
      <c r="AR348" s="299" t="s">
        <v>193</v>
      </c>
      <c r="AS348" s="277" t="s">
        <v>1449</v>
      </c>
      <c r="AT348" s="277" t="s">
        <v>1450</v>
      </c>
      <c r="AU348" s="982"/>
      <c r="AV348" s="18"/>
    </row>
    <row r="349" spans="1:49" ht="20.100000000000001" hidden="1" customHeight="1" outlineLevel="1" thickBot="1">
      <c r="B349" s="1865"/>
      <c r="C349" s="9986"/>
      <c r="D349" s="9986"/>
      <c r="E349" s="9986"/>
      <c r="F349" s="253" t="s">
        <v>1451</v>
      </c>
      <c r="G349" s="109" t="s">
        <v>732</v>
      </c>
      <c r="H349" s="298">
        <v>3</v>
      </c>
      <c r="I349" s="298"/>
      <c r="J349" s="298">
        <v>4</v>
      </c>
      <c r="K349" s="355"/>
      <c r="L349" s="228"/>
      <c r="M349" s="448">
        <v>3</v>
      </c>
      <c r="N349" s="1202">
        <v>0</v>
      </c>
      <c r="O349" s="448">
        <v>4</v>
      </c>
      <c r="P349" s="1347">
        <v>0</v>
      </c>
      <c r="Q349" s="2350"/>
      <c r="R349" s="2186"/>
      <c r="S349" s="2111"/>
      <c r="T349" s="100"/>
      <c r="U349" s="2349"/>
      <c r="V349" s="2187"/>
      <c r="W349" s="2111">
        <v>0</v>
      </c>
      <c r="X349" s="293">
        <v>0</v>
      </c>
      <c r="Y349" s="100">
        <v>0</v>
      </c>
      <c r="Z349" s="293">
        <v>0</v>
      </c>
      <c r="AA349" s="100"/>
      <c r="AB349" s="100">
        <v>0</v>
      </c>
      <c r="AC349" s="100">
        <v>0</v>
      </c>
      <c r="AD349" s="100"/>
      <c r="AE349" s="100">
        <v>0</v>
      </c>
      <c r="AF349" s="100">
        <v>0</v>
      </c>
      <c r="AG349" s="100"/>
      <c r="AH349" s="100">
        <v>0</v>
      </c>
      <c r="AI349" s="100">
        <v>0</v>
      </c>
      <c r="AJ349" s="100"/>
      <c r="AK349" s="100">
        <v>0</v>
      </c>
      <c r="AL349" s="100">
        <v>0</v>
      </c>
      <c r="AM349" s="100"/>
      <c r="AN349" s="276" t="s">
        <v>1453</v>
      </c>
      <c r="AO349" s="109" t="s">
        <v>37</v>
      </c>
      <c r="AP349" s="547"/>
      <c r="AQ349" s="547"/>
      <c r="AR349" s="299" t="s">
        <v>193</v>
      </c>
      <c r="AS349" s="277" t="s">
        <v>1455</v>
      </c>
      <c r="AT349" s="277" t="s">
        <v>1450</v>
      </c>
      <c r="AU349" s="982"/>
      <c r="AV349" s="18"/>
    </row>
    <row r="350" spans="1:49" ht="20.100000000000001" hidden="1" customHeight="1" outlineLevel="1" thickBot="1">
      <c r="B350" s="1865"/>
      <c r="C350" s="9986"/>
      <c r="D350" s="9986"/>
      <c r="E350" s="9986"/>
      <c r="F350" s="253" t="s">
        <v>1456</v>
      </c>
      <c r="G350" s="109" t="s">
        <v>732</v>
      </c>
      <c r="H350" s="298">
        <v>0</v>
      </c>
      <c r="I350" s="298"/>
      <c r="J350" s="298">
        <v>1</v>
      </c>
      <c r="K350" s="355"/>
      <c r="L350" s="228"/>
      <c r="M350" s="448">
        <v>0</v>
      </c>
      <c r="N350" s="1202">
        <v>0</v>
      </c>
      <c r="O350" s="448">
        <v>1</v>
      </c>
      <c r="P350" s="1347">
        <v>0</v>
      </c>
      <c r="Q350" s="2350"/>
      <c r="R350" s="2186"/>
      <c r="S350" s="2111"/>
      <c r="T350" s="100"/>
      <c r="U350" s="2349"/>
      <c r="V350" s="2187"/>
      <c r="W350" s="2111">
        <v>0</v>
      </c>
      <c r="X350" s="293">
        <v>0</v>
      </c>
      <c r="Y350" s="100">
        <v>0</v>
      </c>
      <c r="Z350" s="293">
        <v>0</v>
      </c>
      <c r="AA350" s="100"/>
      <c r="AB350" s="100">
        <v>0</v>
      </c>
      <c r="AC350" s="100">
        <v>0</v>
      </c>
      <c r="AD350" s="100"/>
      <c r="AE350" s="100">
        <v>0</v>
      </c>
      <c r="AF350" s="100">
        <v>0</v>
      </c>
      <c r="AG350" s="100"/>
      <c r="AH350" s="100">
        <v>0</v>
      </c>
      <c r="AI350" s="100">
        <v>0</v>
      </c>
      <c r="AJ350" s="100"/>
      <c r="AK350" s="100">
        <v>0</v>
      </c>
      <c r="AL350" s="100">
        <v>0</v>
      </c>
      <c r="AM350" s="100"/>
      <c r="AN350" s="276" t="s">
        <v>1458</v>
      </c>
      <c r="AO350" s="109" t="s">
        <v>37</v>
      </c>
      <c r="AP350" s="547"/>
      <c r="AQ350" s="547"/>
      <c r="AR350" s="299" t="s">
        <v>193</v>
      </c>
      <c r="AS350" s="277" t="s">
        <v>1460</v>
      </c>
      <c r="AT350" s="277" t="s">
        <v>1450</v>
      </c>
      <c r="AU350" s="982"/>
      <c r="AV350" s="18"/>
    </row>
    <row r="351" spans="1:49" ht="20.100000000000001" hidden="1" customHeight="1" outlineLevel="1" thickBot="1">
      <c r="B351" s="1865"/>
      <c r="C351" s="9974" t="s">
        <v>1461</v>
      </c>
      <c r="D351" s="9974"/>
      <c r="E351" s="9974"/>
      <c r="F351" s="253" t="s">
        <v>1445</v>
      </c>
      <c r="G351" s="109" t="s">
        <v>154</v>
      </c>
      <c r="H351" s="298">
        <v>60</v>
      </c>
      <c r="I351" s="298"/>
      <c r="J351" s="298">
        <v>57.142857142857139</v>
      </c>
      <c r="K351" s="355"/>
      <c r="L351" s="228"/>
      <c r="M351" s="284">
        <v>60</v>
      </c>
      <c r="N351" s="935"/>
      <c r="O351" s="284">
        <v>57.142857142857139</v>
      </c>
      <c r="P351" s="1431"/>
      <c r="Q351" s="2350"/>
      <c r="R351" s="2186"/>
      <c r="S351" s="2111"/>
      <c r="T351" s="100"/>
      <c r="U351" s="2349"/>
      <c r="V351" s="2187"/>
      <c r="W351" s="2111"/>
      <c r="X351" s="293"/>
      <c r="Y351" s="100"/>
      <c r="Z351" s="293"/>
      <c r="AA351" s="100"/>
      <c r="AB351" s="100"/>
      <c r="AC351" s="100"/>
      <c r="AD351" s="100"/>
      <c r="AE351" s="100"/>
      <c r="AF351" s="100"/>
      <c r="AG351" s="100"/>
      <c r="AH351" s="100"/>
      <c r="AI351" s="100"/>
      <c r="AJ351" s="100"/>
      <c r="AK351" s="100"/>
      <c r="AL351" s="100"/>
      <c r="AM351" s="100"/>
      <c r="AN351" s="276" t="s">
        <v>1463</v>
      </c>
      <c r="AO351" s="109" t="s">
        <v>37</v>
      </c>
      <c r="AP351" s="547"/>
      <c r="AQ351" s="547"/>
      <c r="AR351" s="299" t="s">
        <v>193</v>
      </c>
      <c r="AS351" s="277" t="s">
        <v>1465</v>
      </c>
      <c r="AT351" s="277" t="s">
        <v>1450</v>
      </c>
      <c r="AU351" s="982"/>
      <c r="AV351" s="18"/>
    </row>
    <row r="352" spans="1:49" ht="20.100000000000001" hidden="1" customHeight="1" outlineLevel="1" thickBot="1">
      <c r="B352" s="1865"/>
      <c r="C352" s="9974"/>
      <c r="D352" s="9974"/>
      <c r="E352" s="9974"/>
      <c r="F352" s="1863" t="s">
        <v>1466</v>
      </c>
      <c r="G352" s="711" t="s">
        <v>154</v>
      </c>
      <c r="H352" s="92"/>
      <c r="I352" s="1957"/>
      <c r="J352" s="92"/>
      <c r="K352" s="1958"/>
      <c r="L352" s="592"/>
      <c r="M352" s="1959">
        <v>100</v>
      </c>
      <c r="N352" s="1960"/>
      <c r="O352" s="1959">
        <v>100</v>
      </c>
      <c r="P352" s="1663"/>
      <c r="Q352" s="5305"/>
      <c r="R352" s="2244"/>
      <c r="S352" s="2130"/>
      <c r="T352" s="593"/>
      <c r="U352" s="2364"/>
      <c r="V352" s="2245"/>
      <c r="W352" s="2130"/>
      <c r="X352" s="594"/>
      <c r="Y352" s="593"/>
      <c r="Z352" s="594"/>
      <c r="AA352" s="593"/>
      <c r="AB352" s="593"/>
      <c r="AC352" s="593"/>
      <c r="AD352" s="593"/>
      <c r="AE352" s="593"/>
      <c r="AF352" s="593"/>
      <c r="AG352" s="593"/>
      <c r="AH352" s="593"/>
      <c r="AI352" s="593"/>
      <c r="AJ352" s="593"/>
      <c r="AK352" s="593"/>
      <c r="AL352" s="593"/>
      <c r="AM352" s="593"/>
      <c r="AN352" s="595"/>
      <c r="AO352" s="711" t="s">
        <v>37</v>
      </c>
      <c r="AP352" s="547"/>
      <c r="AQ352" s="547"/>
      <c r="AR352" s="299" t="s">
        <v>193</v>
      </c>
      <c r="AS352" s="277" t="s">
        <v>1465</v>
      </c>
      <c r="AT352" s="277" t="s">
        <v>1450</v>
      </c>
      <c r="AU352" s="982"/>
      <c r="AV352" s="18"/>
    </row>
    <row r="353" spans="2:48" ht="25.9" hidden="1" customHeight="1" outlineLevel="1" thickBot="1">
      <c r="B353" s="123" t="s">
        <v>1468</v>
      </c>
      <c r="C353" s="124"/>
      <c r="D353" s="124"/>
      <c r="E353" s="124"/>
      <c r="F353" s="124"/>
      <c r="G353" s="78"/>
      <c r="H353" s="1732"/>
      <c r="I353" s="1732"/>
      <c r="J353" s="1732"/>
      <c r="K353" s="1732"/>
      <c r="L353" s="1732"/>
      <c r="M353" s="1733"/>
      <c r="N353" s="1734"/>
      <c r="O353" s="1733"/>
      <c r="P353" s="1734"/>
      <c r="Q353" s="1733"/>
      <c r="R353" s="2175"/>
      <c r="S353" s="148"/>
      <c r="T353" s="148"/>
      <c r="U353" s="148"/>
      <c r="V353" s="2176"/>
      <c r="W353" s="148"/>
      <c r="X353" s="148"/>
      <c r="Y353" s="148"/>
      <c r="Z353" s="148"/>
      <c r="AA353" s="148"/>
      <c r="AB353" s="148"/>
      <c r="AC353" s="148"/>
      <c r="AD353" s="148"/>
      <c r="AE353" s="148"/>
      <c r="AF353" s="148"/>
      <c r="AG353" s="148"/>
      <c r="AH353" s="148"/>
      <c r="AI353" s="148"/>
      <c r="AJ353" s="148"/>
      <c r="AK353" s="148"/>
      <c r="AL353" s="148"/>
      <c r="AM353" s="148"/>
      <c r="AN353" s="80"/>
      <c r="AO353" s="80"/>
      <c r="AP353" s="80"/>
      <c r="AQ353" s="80"/>
      <c r="AR353" s="80"/>
      <c r="AS353" s="1952"/>
      <c r="AT353" s="130"/>
      <c r="AU353" s="1953"/>
    </row>
    <row r="354" spans="2:48" ht="20.100000000000001" hidden="1" customHeight="1" outlineLevel="1" thickBot="1">
      <c r="B354" s="1961"/>
      <c r="C354" s="9943" t="s">
        <v>1469</v>
      </c>
      <c r="D354" s="9943"/>
      <c r="E354" s="9943"/>
      <c r="F354" s="1962" t="s">
        <v>2152</v>
      </c>
      <c r="G354" s="758" t="s">
        <v>1471</v>
      </c>
      <c r="H354" s="333">
        <v>15</v>
      </c>
      <c r="I354" s="759"/>
      <c r="J354" s="333">
        <v>11</v>
      </c>
      <c r="K354" s="441"/>
      <c r="L354" s="761"/>
      <c r="M354" s="1955">
        <v>15</v>
      </c>
      <c r="N354" s="1956">
        <v>0</v>
      </c>
      <c r="O354" s="1955">
        <v>11</v>
      </c>
      <c r="P354" s="1194">
        <v>0</v>
      </c>
      <c r="Q354" s="5307"/>
      <c r="R354" s="2498"/>
      <c r="S354" s="2459"/>
      <c r="T354" s="766"/>
      <c r="U354" s="4958"/>
      <c r="V354" s="2403"/>
      <c r="W354" s="2459">
        <v>0</v>
      </c>
      <c r="X354" s="764">
        <v>0</v>
      </c>
      <c r="Y354" s="766">
        <v>0</v>
      </c>
      <c r="Z354" s="764">
        <v>0</v>
      </c>
      <c r="AA354" s="766"/>
      <c r="AB354" s="766">
        <v>0</v>
      </c>
      <c r="AC354" s="766">
        <v>0</v>
      </c>
      <c r="AD354" s="766"/>
      <c r="AE354" s="766">
        <v>0</v>
      </c>
      <c r="AF354" s="766">
        <v>0</v>
      </c>
      <c r="AG354" s="766"/>
      <c r="AH354" s="766">
        <v>0</v>
      </c>
      <c r="AI354" s="766">
        <v>0</v>
      </c>
      <c r="AJ354" s="766"/>
      <c r="AK354" s="766">
        <v>0</v>
      </c>
      <c r="AL354" s="766">
        <v>0</v>
      </c>
      <c r="AM354" s="766"/>
      <c r="AN354" s="262" t="s">
        <v>1473</v>
      </c>
      <c r="AO354" s="758" t="s">
        <v>37</v>
      </c>
      <c r="AP354" s="534"/>
      <c r="AQ354" s="534"/>
      <c r="AR354" s="299" t="s">
        <v>193</v>
      </c>
      <c r="AS354" s="277" t="s">
        <v>2153</v>
      </c>
      <c r="AT354" s="277" t="s">
        <v>1450</v>
      </c>
      <c r="AU354" s="982"/>
      <c r="AV354" s="18"/>
    </row>
    <row r="355" spans="2:48" ht="20.100000000000001" hidden="1" customHeight="1" outlineLevel="1" thickBot="1">
      <c r="B355" s="1848"/>
      <c r="C355" s="9943"/>
      <c r="D355" s="9943"/>
      <c r="E355" s="9943"/>
      <c r="F355" s="286" t="s">
        <v>2154</v>
      </c>
      <c r="G355" s="162" t="s">
        <v>1471</v>
      </c>
      <c r="H355" s="298">
        <v>6</v>
      </c>
      <c r="I355" s="605"/>
      <c r="J355" s="298">
        <v>6</v>
      </c>
      <c r="K355" s="95"/>
      <c r="L355" s="228"/>
      <c r="M355" s="448">
        <v>6</v>
      </c>
      <c r="N355" s="1202">
        <v>0</v>
      </c>
      <c r="O355" s="448">
        <v>6</v>
      </c>
      <c r="P355" s="1347">
        <v>0</v>
      </c>
      <c r="Q355" s="2350"/>
      <c r="R355" s="2186"/>
      <c r="S355" s="2111"/>
      <c r="T355" s="100"/>
      <c r="U355" s="2349"/>
      <c r="V355" s="2187"/>
      <c r="W355" s="2111">
        <v>0</v>
      </c>
      <c r="X355" s="484">
        <v>0</v>
      </c>
      <c r="Y355" s="100">
        <v>0</v>
      </c>
      <c r="Z355" s="484">
        <v>0</v>
      </c>
      <c r="AA355" s="100"/>
      <c r="AB355" s="100">
        <v>0</v>
      </c>
      <c r="AC355" s="100">
        <v>0</v>
      </c>
      <c r="AD355" s="100"/>
      <c r="AE355" s="100">
        <v>0</v>
      </c>
      <c r="AF355" s="100">
        <v>0</v>
      </c>
      <c r="AG355" s="100"/>
      <c r="AH355" s="100">
        <v>0</v>
      </c>
      <c r="AI355" s="100">
        <v>0</v>
      </c>
      <c r="AJ355" s="100"/>
      <c r="AK355" s="100">
        <v>0</v>
      </c>
      <c r="AL355" s="100">
        <v>0</v>
      </c>
      <c r="AM355" s="100"/>
      <c r="AN355" s="367" t="s">
        <v>1478</v>
      </c>
      <c r="AO355" s="162" t="s">
        <v>37</v>
      </c>
      <c r="AP355" s="547"/>
      <c r="AQ355" s="547"/>
      <c r="AR355" s="299" t="s">
        <v>193</v>
      </c>
      <c r="AS355" s="277" t="s">
        <v>1480</v>
      </c>
      <c r="AT355" s="265"/>
      <c r="AU355" s="982"/>
      <c r="AV355" s="18"/>
    </row>
    <row r="356" spans="2:48" ht="20.100000000000001" hidden="1" customHeight="1" outlineLevel="1" thickBot="1">
      <c r="B356" s="1848"/>
      <c r="C356" s="9933" t="s">
        <v>1481</v>
      </c>
      <c r="D356" s="9933"/>
      <c r="E356" s="9933"/>
      <c r="F356" s="286" t="s">
        <v>2155</v>
      </c>
      <c r="G356" s="162" t="s">
        <v>1476</v>
      </c>
      <c r="H356" s="298">
        <v>34</v>
      </c>
      <c r="I356" s="605"/>
      <c r="J356" s="298">
        <v>24</v>
      </c>
      <c r="K356" s="95"/>
      <c r="L356" s="228"/>
      <c r="M356" s="448">
        <v>34</v>
      </c>
      <c r="N356" s="1202">
        <v>0</v>
      </c>
      <c r="O356" s="448">
        <v>24</v>
      </c>
      <c r="P356" s="1347">
        <v>0</v>
      </c>
      <c r="Q356" s="2350"/>
      <c r="R356" s="2186"/>
      <c r="S356" s="2111"/>
      <c r="T356" s="100"/>
      <c r="U356" s="2349"/>
      <c r="V356" s="2187"/>
      <c r="W356" s="2111">
        <v>0</v>
      </c>
      <c r="X356" s="484">
        <v>0</v>
      </c>
      <c r="Y356" s="100">
        <v>0</v>
      </c>
      <c r="Z356" s="484">
        <v>0</v>
      </c>
      <c r="AA356" s="100"/>
      <c r="AB356" s="100">
        <v>0</v>
      </c>
      <c r="AC356" s="100">
        <v>0</v>
      </c>
      <c r="AD356" s="100"/>
      <c r="AE356" s="100">
        <v>0</v>
      </c>
      <c r="AF356" s="100">
        <v>0</v>
      </c>
      <c r="AG356" s="100"/>
      <c r="AH356" s="100">
        <v>0</v>
      </c>
      <c r="AI356" s="100">
        <v>0</v>
      </c>
      <c r="AJ356" s="100"/>
      <c r="AK356" s="100">
        <v>0</v>
      </c>
      <c r="AL356" s="100">
        <v>0</v>
      </c>
      <c r="AM356" s="100"/>
      <c r="AN356" s="367" t="s">
        <v>1485</v>
      </c>
      <c r="AO356" s="162" t="s">
        <v>37</v>
      </c>
      <c r="AP356" s="547"/>
      <c r="AQ356" s="547"/>
      <c r="AR356" s="299" t="s">
        <v>193</v>
      </c>
      <c r="AS356" s="277" t="s">
        <v>1487</v>
      </c>
      <c r="AT356" s="265"/>
      <c r="AU356" s="982"/>
      <c r="AV356" s="18"/>
    </row>
    <row r="357" spans="2:48" ht="20.100000000000001" hidden="1" customHeight="1" outlineLevel="1" thickBot="1">
      <c r="B357" s="1848"/>
      <c r="C357" s="9933"/>
      <c r="D357" s="9933"/>
      <c r="E357" s="9933"/>
      <c r="F357" s="286" t="s">
        <v>2156</v>
      </c>
      <c r="G357" s="162" t="s">
        <v>1476</v>
      </c>
      <c r="H357" s="605"/>
      <c r="I357" s="605"/>
      <c r="J357" s="605"/>
      <c r="K357" s="95"/>
      <c r="L357" s="228"/>
      <c r="M357" s="448">
        <v>0</v>
      </c>
      <c r="N357" s="1202"/>
      <c r="O357" s="448">
        <v>0</v>
      </c>
      <c r="P357" s="1347"/>
      <c r="Q357" s="2350"/>
      <c r="R357" s="2186"/>
      <c r="S357" s="2111"/>
      <c r="T357" s="100"/>
      <c r="U357" s="2349"/>
      <c r="V357" s="2187"/>
      <c r="W357" s="2111"/>
      <c r="X357" s="484"/>
      <c r="Y357" s="100"/>
      <c r="Z357" s="484"/>
      <c r="AA357" s="100"/>
      <c r="AB357" s="100"/>
      <c r="AC357" s="100"/>
      <c r="AD357" s="100"/>
      <c r="AE357" s="100"/>
      <c r="AF357" s="100"/>
      <c r="AG357" s="100"/>
      <c r="AH357" s="100"/>
      <c r="AI357" s="100"/>
      <c r="AJ357" s="100"/>
      <c r="AK357" s="100"/>
      <c r="AL357" s="100"/>
      <c r="AM357" s="100"/>
      <c r="AN357" s="367" t="s">
        <v>1490</v>
      </c>
      <c r="AO357" s="162" t="s">
        <v>37</v>
      </c>
      <c r="AP357" s="547"/>
      <c r="AQ357" s="547"/>
      <c r="AR357" s="299" t="s">
        <v>193</v>
      </c>
      <c r="AS357" s="277" t="s">
        <v>1492</v>
      </c>
      <c r="AT357" s="265"/>
      <c r="AU357" s="982"/>
      <c r="AV357" s="18"/>
    </row>
    <row r="358" spans="2:48" s="139" customFormat="1" ht="20.100000000000001" hidden="1" customHeight="1" outlineLevel="1" thickBot="1">
      <c r="B358" s="1754"/>
      <c r="C358" s="9974" t="s">
        <v>1493</v>
      </c>
      <c r="D358" s="9974"/>
      <c r="E358" s="9974"/>
      <c r="F358" s="253" t="s">
        <v>2157</v>
      </c>
      <c r="G358" s="109" t="s">
        <v>154</v>
      </c>
      <c r="H358" s="298">
        <v>90</v>
      </c>
      <c r="I358" s="605"/>
      <c r="J358" s="298">
        <v>93.55</v>
      </c>
      <c r="K358" s="95"/>
      <c r="L358" s="228"/>
      <c r="M358" s="448">
        <v>90</v>
      </c>
      <c r="N358" s="1202">
        <v>0</v>
      </c>
      <c r="O358" s="448">
        <v>93.55</v>
      </c>
      <c r="P358" s="1347">
        <v>0</v>
      </c>
      <c r="Q358" s="2350"/>
      <c r="R358" s="2186"/>
      <c r="S358" s="2111"/>
      <c r="T358" s="100"/>
      <c r="U358" s="2349"/>
      <c r="V358" s="2187"/>
      <c r="W358" s="2111">
        <v>0</v>
      </c>
      <c r="X358" s="293">
        <v>0</v>
      </c>
      <c r="Y358" s="100">
        <v>0</v>
      </c>
      <c r="Z358" s="293">
        <v>0</v>
      </c>
      <c r="AA358" s="100"/>
      <c r="AB358" s="100">
        <v>0</v>
      </c>
      <c r="AC358" s="100">
        <v>0</v>
      </c>
      <c r="AD358" s="100"/>
      <c r="AE358" s="100">
        <v>0</v>
      </c>
      <c r="AF358" s="100">
        <v>0</v>
      </c>
      <c r="AG358" s="100"/>
      <c r="AH358" s="100">
        <v>0</v>
      </c>
      <c r="AI358" s="100">
        <v>0</v>
      </c>
      <c r="AJ358" s="100"/>
      <c r="AK358" s="100">
        <v>0</v>
      </c>
      <c r="AL358" s="100">
        <v>0</v>
      </c>
      <c r="AM358" s="100"/>
      <c r="AN358" s="276" t="s">
        <v>1497</v>
      </c>
      <c r="AO358" s="162" t="s">
        <v>37</v>
      </c>
      <c r="AP358" s="547"/>
      <c r="AQ358" s="547"/>
      <c r="AR358" s="299" t="s">
        <v>193</v>
      </c>
      <c r="AS358" s="277" t="s">
        <v>1499</v>
      </c>
      <c r="AT358" s="265"/>
      <c r="AU358" s="982"/>
      <c r="AV358" s="18"/>
    </row>
    <row r="359" spans="2:48" s="139" customFormat="1" ht="20.100000000000001" hidden="1" customHeight="1" outlineLevel="1" thickBot="1">
      <c r="B359" s="1754"/>
      <c r="C359" s="9974"/>
      <c r="D359" s="9974"/>
      <c r="E359" s="9974"/>
      <c r="F359" s="253" t="s">
        <v>2158</v>
      </c>
      <c r="G359" s="109" t="s">
        <v>154</v>
      </c>
      <c r="H359" s="298">
        <v>97.77</v>
      </c>
      <c r="I359" s="605"/>
      <c r="J359" s="298">
        <v>100</v>
      </c>
      <c r="K359" s="95"/>
      <c r="L359" s="228"/>
      <c r="M359" s="448">
        <v>97.77</v>
      </c>
      <c r="N359" s="1202">
        <v>0</v>
      </c>
      <c r="O359" s="448">
        <v>100</v>
      </c>
      <c r="P359" s="1347">
        <v>0</v>
      </c>
      <c r="Q359" s="2350"/>
      <c r="R359" s="2186"/>
      <c r="S359" s="2111"/>
      <c r="T359" s="100"/>
      <c r="U359" s="2349"/>
      <c r="V359" s="2187"/>
      <c r="W359" s="2111">
        <v>0</v>
      </c>
      <c r="X359" s="293">
        <v>0</v>
      </c>
      <c r="Y359" s="100">
        <v>0</v>
      </c>
      <c r="Z359" s="293">
        <v>0</v>
      </c>
      <c r="AA359" s="100"/>
      <c r="AB359" s="100">
        <v>0</v>
      </c>
      <c r="AC359" s="100">
        <v>0</v>
      </c>
      <c r="AD359" s="100"/>
      <c r="AE359" s="100">
        <v>0</v>
      </c>
      <c r="AF359" s="100">
        <v>0</v>
      </c>
      <c r="AG359" s="100"/>
      <c r="AH359" s="100">
        <v>0</v>
      </c>
      <c r="AI359" s="100">
        <v>0</v>
      </c>
      <c r="AJ359" s="100"/>
      <c r="AK359" s="100">
        <v>0</v>
      </c>
      <c r="AL359" s="100">
        <v>0</v>
      </c>
      <c r="AM359" s="100"/>
      <c r="AN359" s="276" t="s">
        <v>1502</v>
      </c>
      <c r="AO359" s="162" t="s">
        <v>37</v>
      </c>
      <c r="AP359" s="547"/>
      <c r="AQ359" s="547"/>
      <c r="AR359" s="299" t="s">
        <v>193</v>
      </c>
      <c r="AS359" s="277" t="s">
        <v>1504</v>
      </c>
      <c r="AT359" s="265"/>
      <c r="AU359" s="982"/>
      <c r="AV359" s="18"/>
    </row>
    <row r="360" spans="2:48" s="139" customFormat="1" ht="20.100000000000001" hidden="1" customHeight="1" outlineLevel="1" thickBot="1">
      <c r="B360" s="1754"/>
      <c r="C360" s="9974"/>
      <c r="D360" s="9974"/>
      <c r="E360" s="9974"/>
      <c r="F360" s="253" t="s">
        <v>2159</v>
      </c>
      <c r="G360" s="109" t="s">
        <v>154</v>
      </c>
      <c r="H360" s="298">
        <v>100</v>
      </c>
      <c r="I360" s="605"/>
      <c r="J360" s="298">
        <v>100</v>
      </c>
      <c r="K360" s="95"/>
      <c r="L360" s="228"/>
      <c r="M360" s="293">
        <v>100</v>
      </c>
      <c r="N360" s="294">
        <v>0</v>
      </c>
      <c r="O360" s="293">
        <v>100</v>
      </c>
      <c r="P360" s="613">
        <v>0</v>
      </c>
      <c r="Q360" s="2350"/>
      <c r="R360" s="2186"/>
      <c r="S360" s="2111"/>
      <c r="T360" s="100"/>
      <c r="U360" s="2349"/>
      <c r="V360" s="2187"/>
      <c r="W360" s="2111">
        <v>0</v>
      </c>
      <c r="X360" s="293">
        <v>0</v>
      </c>
      <c r="Y360" s="100">
        <v>0</v>
      </c>
      <c r="Z360" s="293">
        <v>0</v>
      </c>
      <c r="AA360" s="100"/>
      <c r="AB360" s="100">
        <v>0</v>
      </c>
      <c r="AC360" s="100">
        <v>0</v>
      </c>
      <c r="AD360" s="100"/>
      <c r="AE360" s="100">
        <v>0</v>
      </c>
      <c r="AF360" s="100">
        <v>0</v>
      </c>
      <c r="AG360" s="100"/>
      <c r="AH360" s="100">
        <v>0</v>
      </c>
      <c r="AI360" s="100">
        <v>0</v>
      </c>
      <c r="AJ360" s="100"/>
      <c r="AK360" s="100">
        <v>0</v>
      </c>
      <c r="AL360" s="100">
        <v>0</v>
      </c>
      <c r="AM360" s="100"/>
      <c r="AN360" s="276" t="s">
        <v>1507</v>
      </c>
      <c r="AO360" s="162" t="s">
        <v>37</v>
      </c>
      <c r="AP360" s="547"/>
      <c r="AQ360" s="547"/>
      <c r="AR360" s="299" t="s">
        <v>193</v>
      </c>
      <c r="AS360" s="277" t="s">
        <v>1509</v>
      </c>
      <c r="AT360" s="265"/>
      <c r="AU360" s="982"/>
      <c r="AV360" s="18"/>
    </row>
    <row r="361" spans="2:48" s="139" customFormat="1" ht="20.100000000000001" hidden="1" customHeight="1" outlineLevel="1" thickBot="1">
      <c r="B361" s="1754"/>
      <c r="C361" s="9974"/>
      <c r="D361" s="9974"/>
      <c r="E361" s="9974"/>
      <c r="F361" s="253" t="s">
        <v>2160</v>
      </c>
      <c r="G361" s="109" t="s">
        <v>154</v>
      </c>
      <c r="H361" s="298">
        <v>100</v>
      </c>
      <c r="I361" s="605"/>
      <c r="J361" s="298">
        <v>100</v>
      </c>
      <c r="K361" s="95"/>
      <c r="L361" s="228"/>
      <c r="M361" s="293">
        <v>100</v>
      </c>
      <c r="N361" s="294">
        <v>0</v>
      </c>
      <c r="O361" s="293">
        <v>100</v>
      </c>
      <c r="P361" s="613">
        <v>0</v>
      </c>
      <c r="Q361" s="2350"/>
      <c r="R361" s="2186"/>
      <c r="S361" s="2111"/>
      <c r="T361" s="100"/>
      <c r="U361" s="2349"/>
      <c r="V361" s="2187"/>
      <c r="W361" s="2111">
        <v>0</v>
      </c>
      <c r="X361" s="293">
        <v>0</v>
      </c>
      <c r="Y361" s="100">
        <v>0</v>
      </c>
      <c r="Z361" s="293">
        <v>0</v>
      </c>
      <c r="AA361" s="100"/>
      <c r="AB361" s="100">
        <v>0</v>
      </c>
      <c r="AC361" s="100">
        <v>0</v>
      </c>
      <c r="AD361" s="100"/>
      <c r="AE361" s="100">
        <v>0</v>
      </c>
      <c r="AF361" s="100">
        <v>0</v>
      </c>
      <c r="AG361" s="100"/>
      <c r="AH361" s="100">
        <v>0</v>
      </c>
      <c r="AI361" s="100">
        <v>0</v>
      </c>
      <c r="AJ361" s="100"/>
      <c r="AK361" s="100">
        <v>0</v>
      </c>
      <c r="AL361" s="100">
        <v>0</v>
      </c>
      <c r="AM361" s="100"/>
      <c r="AN361" s="276" t="s">
        <v>1512</v>
      </c>
      <c r="AO361" s="162" t="s">
        <v>37</v>
      </c>
      <c r="AP361" s="547"/>
      <c r="AQ361" s="547"/>
      <c r="AR361" s="299" t="s">
        <v>193</v>
      </c>
      <c r="AS361" s="277" t="s">
        <v>1514</v>
      </c>
      <c r="AT361" s="265"/>
      <c r="AU361" s="982"/>
      <c r="AV361" s="18"/>
    </row>
    <row r="362" spans="2:48" s="139" customFormat="1" ht="20.100000000000001" hidden="1" customHeight="1" outlineLevel="1" thickBot="1">
      <c r="B362" s="1754"/>
      <c r="C362" s="9974"/>
      <c r="D362" s="9974"/>
      <c r="E362" s="9974"/>
      <c r="F362" s="253" t="s">
        <v>2161</v>
      </c>
      <c r="G362" s="109" t="s">
        <v>154</v>
      </c>
      <c r="H362" s="298">
        <v>94.44</v>
      </c>
      <c r="I362" s="605"/>
      <c r="J362" s="298">
        <v>100</v>
      </c>
      <c r="K362" s="95"/>
      <c r="L362" s="228"/>
      <c r="M362" s="448">
        <v>94.44</v>
      </c>
      <c r="N362" s="1202">
        <v>0</v>
      </c>
      <c r="O362" s="448">
        <v>100</v>
      </c>
      <c r="P362" s="1347">
        <v>0</v>
      </c>
      <c r="Q362" s="2350"/>
      <c r="R362" s="2186"/>
      <c r="S362" s="2111"/>
      <c r="T362" s="100"/>
      <c r="U362" s="2349"/>
      <c r="V362" s="2187"/>
      <c r="W362" s="2111">
        <v>0</v>
      </c>
      <c r="X362" s="293">
        <v>0</v>
      </c>
      <c r="Y362" s="100">
        <v>0</v>
      </c>
      <c r="Z362" s="293">
        <v>0</v>
      </c>
      <c r="AA362" s="100"/>
      <c r="AB362" s="100">
        <v>0</v>
      </c>
      <c r="AC362" s="100">
        <v>0</v>
      </c>
      <c r="AD362" s="100"/>
      <c r="AE362" s="100">
        <v>0</v>
      </c>
      <c r="AF362" s="100">
        <v>0</v>
      </c>
      <c r="AG362" s="100"/>
      <c r="AH362" s="100">
        <v>0</v>
      </c>
      <c r="AI362" s="100">
        <v>0</v>
      </c>
      <c r="AJ362" s="100"/>
      <c r="AK362" s="100">
        <v>0</v>
      </c>
      <c r="AL362" s="100">
        <v>0</v>
      </c>
      <c r="AM362" s="100"/>
      <c r="AN362" s="276" t="s">
        <v>1517</v>
      </c>
      <c r="AO362" s="162" t="s">
        <v>37</v>
      </c>
      <c r="AP362" s="547"/>
      <c r="AQ362" s="547"/>
      <c r="AR362" s="299" t="s">
        <v>193</v>
      </c>
      <c r="AS362" s="277" t="s">
        <v>1519</v>
      </c>
      <c r="AT362" s="265"/>
      <c r="AU362" s="982"/>
      <c r="AV362" s="18"/>
    </row>
    <row r="363" spans="2:48" s="139" customFormat="1" ht="20.100000000000001" hidden="1" customHeight="1" outlineLevel="1" thickBot="1">
      <c r="B363" s="1747"/>
      <c r="C363" s="9974" t="s">
        <v>1520</v>
      </c>
      <c r="D363" s="9974"/>
      <c r="E363" s="9974"/>
      <c r="F363" s="9974"/>
      <c r="G363" s="109" t="s">
        <v>742</v>
      </c>
      <c r="H363" s="298">
        <v>3</v>
      </c>
      <c r="I363" s="605"/>
      <c r="J363" s="298">
        <v>4</v>
      </c>
      <c r="K363" s="95"/>
      <c r="L363" s="228"/>
      <c r="M363" s="448">
        <v>3</v>
      </c>
      <c r="N363" s="1202">
        <v>0</v>
      </c>
      <c r="O363" s="448">
        <v>4</v>
      </c>
      <c r="P363" s="1347">
        <v>0</v>
      </c>
      <c r="Q363" s="2350"/>
      <c r="R363" s="2186"/>
      <c r="S363" s="2111"/>
      <c r="T363" s="100"/>
      <c r="U363" s="2349"/>
      <c r="V363" s="2187"/>
      <c r="W363" s="2111">
        <v>0</v>
      </c>
      <c r="X363" s="293">
        <v>0</v>
      </c>
      <c r="Y363" s="100">
        <v>0</v>
      </c>
      <c r="Z363" s="293">
        <v>0</v>
      </c>
      <c r="AA363" s="100"/>
      <c r="AB363" s="100">
        <v>0</v>
      </c>
      <c r="AC363" s="100">
        <v>0</v>
      </c>
      <c r="AD363" s="100"/>
      <c r="AE363" s="100">
        <v>0</v>
      </c>
      <c r="AF363" s="100">
        <v>0</v>
      </c>
      <c r="AG363" s="100"/>
      <c r="AH363" s="100">
        <v>0</v>
      </c>
      <c r="AI363" s="100">
        <v>0</v>
      </c>
      <c r="AJ363" s="100"/>
      <c r="AK363" s="100">
        <v>0</v>
      </c>
      <c r="AL363" s="100">
        <v>0</v>
      </c>
      <c r="AM363" s="100"/>
      <c r="AN363" s="276" t="s">
        <v>1520</v>
      </c>
      <c r="AO363" s="162" t="s">
        <v>37</v>
      </c>
      <c r="AP363" s="547"/>
      <c r="AQ363" s="547"/>
      <c r="AR363" s="299" t="s">
        <v>193</v>
      </c>
      <c r="AS363" s="981" t="s">
        <v>1522</v>
      </c>
      <c r="AT363" s="427"/>
      <c r="AU363" s="974"/>
      <c r="AV363" s="18"/>
    </row>
    <row r="364" spans="2:48" s="139" customFormat="1" ht="20.100000000000001" hidden="1" customHeight="1" outlineLevel="1" thickBot="1">
      <c r="B364" s="1902"/>
      <c r="C364" s="9974" t="s">
        <v>1523</v>
      </c>
      <c r="D364" s="9974"/>
      <c r="E364" s="9974"/>
      <c r="F364" s="9974"/>
      <c r="G364" s="109" t="s">
        <v>742</v>
      </c>
      <c r="H364" s="298">
        <v>3</v>
      </c>
      <c r="I364" s="605"/>
      <c r="J364" s="298">
        <v>4</v>
      </c>
      <c r="K364" s="95"/>
      <c r="L364" s="228"/>
      <c r="M364" s="448">
        <v>3</v>
      </c>
      <c r="N364" s="1202">
        <v>0</v>
      </c>
      <c r="O364" s="448">
        <v>4</v>
      </c>
      <c r="P364" s="1347">
        <v>0</v>
      </c>
      <c r="Q364" s="2350"/>
      <c r="R364" s="2186"/>
      <c r="S364" s="2111"/>
      <c r="T364" s="100"/>
      <c r="U364" s="2349"/>
      <c r="V364" s="2187"/>
      <c r="W364" s="2111">
        <v>0</v>
      </c>
      <c r="X364" s="293">
        <v>0</v>
      </c>
      <c r="Y364" s="100">
        <v>0</v>
      </c>
      <c r="Z364" s="293">
        <v>0</v>
      </c>
      <c r="AA364" s="100"/>
      <c r="AB364" s="100">
        <v>0</v>
      </c>
      <c r="AC364" s="100">
        <v>0</v>
      </c>
      <c r="AD364" s="100"/>
      <c r="AE364" s="100">
        <v>0</v>
      </c>
      <c r="AF364" s="100">
        <v>0</v>
      </c>
      <c r="AG364" s="100"/>
      <c r="AH364" s="100">
        <v>0</v>
      </c>
      <c r="AI364" s="100">
        <v>0</v>
      </c>
      <c r="AJ364" s="100"/>
      <c r="AK364" s="100">
        <v>0</v>
      </c>
      <c r="AL364" s="100">
        <v>0</v>
      </c>
      <c r="AM364" s="100"/>
      <c r="AN364" s="276" t="s">
        <v>1523</v>
      </c>
      <c r="AO364" s="165" t="s">
        <v>37</v>
      </c>
      <c r="AP364" s="1101"/>
      <c r="AQ364" s="1102"/>
      <c r="AR364" s="299" t="s">
        <v>193</v>
      </c>
      <c r="AS364" s="1103" t="s">
        <v>1525</v>
      </c>
      <c r="AT364" s="427"/>
      <c r="AU364" s="974"/>
      <c r="AV364" s="18"/>
    </row>
    <row r="365" spans="2:48" s="139" customFormat="1" ht="20.100000000000001" hidden="1" customHeight="1" outlineLevel="1" thickBot="1">
      <c r="B365" s="1747"/>
      <c r="C365" s="9975" t="s">
        <v>1526</v>
      </c>
      <c r="D365" s="9976"/>
      <c r="E365" s="9976"/>
      <c r="F365" s="9976"/>
      <c r="G365" s="122" t="s">
        <v>156</v>
      </c>
      <c r="H365" s="1963"/>
      <c r="I365" s="1963"/>
      <c r="J365" s="1963"/>
      <c r="K365" s="1646"/>
      <c r="L365" s="351"/>
      <c r="M365" s="1964"/>
      <c r="N365" s="1348" t="s">
        <v>1780</v>
      </c>
      <c r="O365" s="1964"/>
      <c r="P365" s="1349" t="s">
        <v>1780</v>
      </c>
      <c r="Q365" s="5304"/>
      <c r="R365" s="2288"/>
      <c r="S365" s="2122"/>
      <c r="T365" s="494"/>
      <c r="U365" s="2373"/>
      <c r="V365" s="2289"/>
      <c r="W365" s="2122"/>
      <c r="X365" s="426"/>
      <c r="Y365" s="494"/>
      <c r="Z365" s="426"/>
      <c r="AA365" s="494"/>
      <c r="AB365" s="494"/>
      <c r="AC365" s="494"/>
      <c r="AD365" s="494"/>
      <c r="AE365" s="494"/>
      <c r="AF365" s="494"/>
      <c r="AG365" s="494"/>
      <c r="AH365" s="494"/>
      <c r="AI365" s="494"/>
      <c r="AJ365" s="494"/>
      <c r="AK365" s="494"/>
      <c r="AL365" s="494"/>
      <c r="AM365" s="494"/>
      <c r="AN365" s="714" t="s">
        <v>1528</v>
      </c>
      <c r="AO365" s="162" t="s">
        <v>37</v>
      </c>
      <c r="AP365" s="546"/>
      <c r="AQ365" s="773"/>
      <c r="AR365" s="299" t="s">
        <v>193</v>
      </c>
      <c r="AS365" s="1116" t="s">
        <v>1529</v>
      </c>
      <c r="AT365" s="427"/>
      <c r="AU365" s="974"/>
      <c r="AV365" s="18"/>
    </row>
    <row r="366" spans="2:48" s="139" customFormat="1" ht="20.100000000000001" hidden="1" customHeight="1" outlineLevel="1" thickBot="1">
      <c r="B366" s="1965"/>
      <c r="C366" s="1966"/>
      <c r="D366" s="9977" t="s">
        <v>1530</v>
      </c>
      <c r="E366" s="9978"/>
      <c r="F366" s="9979"/>
      <c r="G366" s="109" t="s">
        <v>742</v>
      </c>
      <c r="H366" s="605"/>
      <c r="I366" s="605"/>
      <c r="J366" s="605"/>
      <c r="K366" s="95"/>
      <c r="L366" s="228"/>
      <c r="M366" s="1964"/>
      <c r="N366" s="1348" t="s">
        <v>1780</v>
      </c>
      <c r="O366" s="1964"/>
      <c r="P366" s="1349" t="s">
        <v>1780</v>
      </c>
      <c r="Q366" s="2350"/>
      <c r="R366" s="2186"/>
      <c r="S366" s="2111"/>
      <c r="T366" s="100"/>
      <c r="U366" s="2349"/>
      <c r="V366" s="2187"/>
      <c r="W366" s="2111"/>
      <c r="X366" s="293"/>
      <c r="Y366" s="100"/>
      <c r="Z366" s="293"/>
      <c r="AA366" s="100"/>
      <c r="AB366" s="100"/>
      <c r="AC366" s="100"/>
      <c r="AD366" s="100"/>
      <c r="AE366" s="100"/>
      <c r="AF366" s="100"/>
      <c r="AG366" s="100"/>
      <c r="AH366" s="100"/>
      <c r="AI366" s="100"/>
      <c r="AJ366" s="100"/>
      <c r="AK366" s="100"/>
      <c r="AL366" s="100"/>
      <c r="AM366" s="100"/>
      <c r="AN366" s="276"/>
      <c r="AO366" s="165" t="s">
        <v>37</v>
      </c>
      <c r="AP366" s="546"/>
      <c r="AQ366" s="773"/>
      <c r="AR366" s="299" t="s">
        <v>193</v>
      </c>
      <c r="AS366" s="1967" t="s">
        <v>2162</v>
      </c>
      <c r="AT366" s="265"/>
      <c r="AU366" s="982"/>
      <c r="AV366" s="18"/>
    </row>
    <row r="367" spans="2:48" s="139" customFormat="1" ht="20.100000000000001" hidden="1" customHeight="1" outlineLevel="1" thickBot="1">
      <c r="B367" s="1968"/>
      <c r="C367" s="1969"/>
      <c r="D367" s="9980" t="s">
        <v>1532</v>
      </c>
      <c r="E367" s="9981"/>
      <c r="F367" s="9982"/>
      <c r="G367" s="711" t="s">
        <v>742</v>
      </c>
      <c r="H367" s="1970">
        <f>H363</f>
        <v>3</v>
      </c>
      <c r="I367" s="1971"/>
      <c r="J367" s="1970">
        <f>J363</f>
        <v>4</v>
      </c>
      <c r="K367" s="238"/>
      <c r="L367" s="592"/>
      <c r="M367" s="749">
        <f>M363</f>
        <v>3</v>
      </c>
      <c r="N367" s="1960" t="s">
        <v>1780</v>
      </c>
      <c r="O367" s="749">
        <f>O363</f>
        <v>4</v>
      </c>
      <c r="P367" s="1663" t="s">
        <v>1780</v>
      </c>
      <c r="Q367" s="5310"/>
      <c r="R367" s="5327"/>
      <c r="S367" s="1972"/>
      <c r="T367" s="592"/>
      <c r="U367" s="5305"/>
      <c r="V367" s="2245"/>
      <c r="W367" s="1972">
        <f>W363</f>
        <v>0</v>
      </c>
      <c r="X367" s="594"/>
      <c r="Y367" s="592">
        <f>Y363</f>
        <v>0</v>
      </c>
      <c r="Z367" s="594"/>
      <c r="AA367" s="593"/>
      <c r="AB367" s="592">
        <f>AB363</f>
        <v>0</v>
      </c>
      <c r="AC367" s="592">
        <f>AC363</f>
        <v>0</v>
      </c>
      <c r="AD367" s="593"/>
      <c r="AE367" s="592">
        <f>AE363</f>
        <v>0</v>
      </c>
      <c r="AF367" s="592">
        <f>AF363</f>
        <v>0</v>
      </c>
      <c r="AG367" s="593"/>
      <c r="AH367" s="592">
        <f>AH363</f>
        <v>0</v>
      </c>
      <c r="AI367" s="592">
        <f>AI363</f>
        <v>0</v>
      </c>
      <c r="AJ367" s="593"/>
      <c r="AK367" s="592">
        <f>AK363</f>
        <v>0</v>
      </c>
      <c r="AL367" s="592">
        <f>AL363</f>
        <v>0</v>
      </c>
      <c r="AM367" s="593"/>
      <c r="AN367" s="595"/>
      <c r="AO367" s="1172" t="s">
        <v>37</v>
      </c>
      <c r="AP367" s="1973"/>
      <c r="AQ367" s="1129"/>
      <c r="AR367" s="1130" t="s">
        <v>193</v>
      </c>
      <c r="AS367" s="1974" t="s">
        <v>2162</v>
      </c>
      <c r="AT367" s="1131"/>
      <c r="AU367" s="1975"/>
      <c r="AV367" s="18"/>
    </row>
    <row r="368" spans="2:48" ht="25.9" hidden="1" customHeight="1" outlineLevel="1" thickBot="1">
      <c r="B368" s="1976" t="s">
        <v>1534</v>
      </c>
      <c r="C368" s="1132"/>
      <c r="D368" s="1132"/>
      <c r="E368" s="1132"/>
      <c r="F368" s="1132"/>
      <c r="G368" s="518"/>
      <c r="H368" s="1977"/>
      <c r="I368" s="1977"/>
      <c r="J368" s="1977"/>
      <c r="K368" s="1977"/>
      <c r="L368" s="1977"/>
      <c r="M368" s="1978"/>
      <c r="N368" s="599"/>
      <c r="O368" s="1978"/>
      <c r="P368" s="599"/>
      <c r="Q368" s="1978"/>
      <c r="R368" s="5328"/>
      <c r="S368" s="1979"/>
      <c r="T368" s="1979"/>
      <c r="U368" s="1979"/>
      <c r="V368" s="5329"/>
      <c r="W368" s="1979"/>
      <c r="X368" s="1979"/>
      <c r="Y368" s="1979"/>
      <c r="Z368" s="1979"/>
      <c r="AA368" s="1979"/>
      <c r="AB368" s="1979"/>
      <c r="AC368" s="1979"/>
      <c r="AD368" s="1979"/>
      <c r="AE368" s="1979"/>
      <c r="AF368" s="1979"/>
      <c r="AG368" s="1979"/>
      <c r="AH368" s="1979"/>
      <c r="AI368" s="1979"/>
      <c r="AJ368" s="1979"/>
      <c r="AK368" s="1979"/>
      <c r="AL368" s="1979"/>
      <c r="AM368" s="1979"/>
      <c r="AN368" s="1133"/>
      <c r="AO368" s="1135"/>
      <c r="AP368" s="1135"/>
      <c r="AQ368" s="1135"/>
      <c r="AR368" s="1135"/>
      <c r="AS368" s="1136"/>
      <c r="AT368" s="1136"/>
      <c r="AU368" s="1137"/>
    </row>
    <row r="369" spans="2:48" ht="20.100000000000001" hidden="1" customHeight="1" outlineLevel="1" thickBot="1">
      <c r="B369" s="1980"/>
      <c r="C369" s="9983" t="s">
        <v>1468</v>
      </c>
      <c r="D369" s="9983"/>
      <c r="E369" s="9984"/>
      <c r="F369" s="1962" t="s">
        <v>1536</v>
      </c>
      <c r="G369" s="758" t="s">
        <v>175</v>
      </c>
      <c r="H369" s="333">
        <v>975</v>
      </c>
      <c r="I369" s="759"/>
      <c r="J369" s="333">
        <v>2044</v>
      </c>
      <c r="K369" s="760"/>
      <c r="L369" s="761"/>
      <c r="M369" s="826">
        <v>975</v>
      </c>
      <c r="N369" s="1901">
        <v>0</v>
      </c>
      <c r="O369" s="826">
        <v>2044</v>
      </c>
      <c r="P369" s="1874">
        <v>0</v>
      </c>
      <c r="Q369" s="5307"/>
      <c r="R369" s="2498"/>
      <c r="S369" s="2459"/>
      <c r="T369" s="766"/>
      <c r="U369" s="4958"/>
      <c r="V369" s="2403"/>
      <c r="W369" s="2459">
        <v>0</v>
      </c>
      <c r="X369" s="764">
        <v>0</v>
      </c>
      <c r="Y369" s="766">
        <v>0</v>
      </c>
      <c r="Z369" s="764">
        <v>0</v>
      </c>
      <c r="AA369" s="766"/>
      <c r="AB369" s="766">
        <v>0</v>
      </c>
      <c r="AC369" s="766">
        <v>0</v>
      </c>
      <c r="AD369" s="766"/>
      <c r="AE369" s="766">
        <v>0</v>
      </c>
      <c r="AF369" s="766">
        <v>0</v>
      </c>
      <c r="AG369" s="766"/>
      <c r="AH369" s="766">
        <v>0</v>
      </c>
      <c r="AI369" s="766">
        <v>0</v>
      </c>
      <c r="AJ369" s="766"/>
      <c r="AK369" s="766">
        <v>0</v>
      </c>
      <c r="AL369" s="766">
        <v>0</v>
      </c>
      <c r="AM369" s="766"/>
      <c r="AN369" s="262" t="s">
        <v>1538</v>
      </c>
      <c r="AO369" s="1981" t="s">
        <v>37</v>
      </c>
      <c r="AP369" s="1982"/>
      <c r="AQ369" s="1983"/>
      <c r="AR369" s="299" t="s">
        <v>193</v>
      </c>
      <c r="AS369" s="981" t="s">
        <v>1540</v>
      </c>
      <c r="AT369" s="427"/>
      <c r="AU369" s="974"/>
      <c r="AV369" s="18"/>
    </row>
    <row r="370" spans="2:48" ht="20.100000000000001" hidden="1" customHeight="1" outlineLevel="1" thickBot="1">
      <c r="B370" s="1984"/>
      <c r="C370" s="9946"/>
      <c r="D370" s="9946"/>
      <c r="E370" s="9947"/>
      <c r="F370" s="886" t="s">
        <v>1451</v>
      </c>
      <c r="G370" s="165" t="s">
        <v>175</v>
      </c>
      <c r="H370" s="1808">
        <v>181</v>
      </c>
      <c r="I370" s="1963"/>
      <c r="J370" s="1808">
        <v>227</v>
      </c>
      <c r="K370" s="1985"/>
      <c r="L370" s="351"/>
      <c r="M370" s="350">
        <v>181</v>
      </c>
      <c r="N370" s="1771">
        <v>0</v>
      </c>
      <c r="O370" s="350">
        <v>227</v>
      </c>
      <c r="P370" s="1986">
        <v>0</v>
      </c>
      <c r="Q370" s="5304"/>
      <c r="R370" s="2288"/>
      <c r="S370" s="2122"/>
      <c r="T370" s="494"/>
      <c r="U370" s="2373"/>
      <c r="V370" s="2289"/>
      <c r="W370" s="2122">
        <v>0</v>
      </c>
      <c r="X370" s="1987">
        <v>0</v>
      </c>
      <c r="Y370" s="494">
        <v>0</v>
      </c>
      <c r="Z370" s="1987">
        <v>0</v>
      </c>
      <c r="AA370" s="494"/>
      <c r="AB370" s="494">
        <v>0</v>
      </c>
      <c r="AC370" s="494">
        <v>0</v>
      </c>
      <c r="AD370" s="494"/>
      <c r="AE370" s="494">
        <v>0</v>
      </c>
      <c r="AF370" s="494">
        <v>0</v>
      </c>
      <c r="AG370" s="494"/>
      <c r="AH370" s="494">
        <v>0</v>
      </c>
      <c r="AI370" s="494">
        <v>0</v>
      </c>
      <c r="AJ370" s="494"/>
      <c r="AK370" s="494">
        <v>0</v>
      </c>
      <c r="AL370" s="494">
        <v>0</v>
      </c>
      <c r="AM370" s="494"/>
      <c r="AN370" s="1164" t="s">
        <v>1542</v>
      </c>
      <c r="AO370" s="165" t="s">
        <v>37</v>
      </c>
      <c r="AP370" s="1102"/>
      <c r="AQ370" s="1101"/>
      <c r="AR370" s="299" t="s">
        <v>193</v>
      </c>
      <c r="AS370" s="277" t="s">
        <v>1544</v>
      </c>
      <c r="AT370" s="265"/>
      <c r="AU370" s="982"/>
      <c r="AV370" s="18"/>
    </row>
    <row r="371" spans="2:48" ht="20.100000000000001" hidden="1" customHeight="1" outlineLevel="1" thickBot="1">
      <c r="B371" s="1847"/>
      <c r="C371" s="9985" t="s">
        <v>2163</v>
      </c>
      <c r="D371" s="9934"/>
      <c r="E371" s="9934"/>
      <c r="F371" s="9934"/>
      <c r="G371" s="162" t="s">
        <v>154</v>
      </c>
      <c r="H371" s="298">
        <v>0</v>
      </c>
      <c r="I371" s="605"/>
      <c r="J371" s="298">
        <v>0</v>
      </c>
      <c r="K371" s="772"/>
      <c r="L371" s="228"/>
      <c r="M371" s="92">
        <v>0</v>
      </c>
      <c r="N371" s="151"/>
      <c r="O371" s="92">
        <v>0</v>
      </c>
      <c r="P371" s="607"/>
      <c r="Q371" s="2350"/>
      <c r="R371" s="2186"/>
      <c r="S371" s="2111"/>
      <c r="T371" s="100"/>
      <c r="U371" s="2349"/>
      <c r="V371" s="2187"/>
      <c r="W371" s="2111"/>
      <c r="X371" s="484"/>
      <c r="Y371" s="100">
        <v>0</v>
      </c>
      <c r="Z371" s="484"/>
      <c r="AA371" s="100"/>
      <c r="AB371" s="100"/>
      <c r="AC371" s="100">
        <v>0</v>
      </c>
      <c r="AD371" s="100"/>
      <c r="AE371" s="100"/>
      <c r="AF371" s="100">
        <v>0</v>
      </c>
      <c r="AG371" s="100"/>
      <c r="AH371" s="100"/>
      <c r="AI371" s="100">
        <v>0</v>
      </c>
      <c r="AJ371" s="100"/>
      <c r="AK371" s="100"/>
      <c r="AL371" s="100">
        <v>0</v>
      </c>
      <c r="AM371" s="100"/>
      <c r="AN371" s="367" t="s">
        <v>1547</v>
      </c>
      <c r="AO371" s="162" t="s">
        <v>37</v>
      </c>
      <c r="AP371" s="773"/>
      <c r="AQ371" s="547"/>
      <c r="AR371" s="299" t="s">
        <v>193</v>
      </c>
      <c r="AS371" s="277" t="s">
        <v>1549</v>
      </c>
      <c r="AT371" s="265"/>
      <c r="AU371" s="982"/>
      <c r="AV371" s="18"/>
    </row>
    <row r="372" spans="2:48" ht="20.100000000000001" hidden="1" customHeight="1" outlineLevel="1" thickBot="1">
      <c r="B372" s="1847"/>
      <c r="C372" s="9966"/>
      <c r="D372" s="9967"/>
      <c r="E372" s="9968"/>
      <c r="F372" s="286" t="s">
        <v>2164</v>
      </c>
      <c r="G372" s="162" t="s">
        <v>33</v>
      </c>
      <c r="H372" s="298">
        <v>0</v>
      </c>
      <c r="I372" s="605"/>
      <c r="J372" s="298">
        <v>0</v>
      </c>
      <c r="K372" s="772"/>
      <c r="L372" s="228"/>
      <c r="M372" s="92">
        <v>0</v>
      </c>
      <c r="N372" s="151">
        <v>0</v>
      </c>
      <c r="O372" s="92">
        <v>0</v>
      </c>
      <c r="P372" s="607">
        <v>0</v>
      </c>
      <c r="Q372" s="2350"/>
      <c r="R372" s="2186"/>
      <c r="S372" s="2111"/>
      <c r="T372" s="100"/>
      <c r="U372" s="2349"/>
      <c r="V372" s="2187"/>
      <c r="W372" s="2111">
        <v>0</v>
      </c>
      <c r="X372" s="484">
        <v>0</v>
      </c>
      <c r="Y372" s="100">
        <v>0</v>
      </c>
      <c r="Z372" s="484">
        <v>0</v>
      </c>
      <c r="AA372" s="100"/>
      <c r="AB372" s="100">
        <v>0</v>
      </c>
      <c r="AC372" s="100">
        <v>0</v>
      </c>
      <c r="AD372" s="100"/>
      <c r="AE372" s="100">
        <v>0</v>
      </c>
      <c r="AF372" s="100">
        <v>0</v>
      </c>
      <c r="AG372" s="100"/>
      <c r="AH372" s="100">
        <v>0</v>
      </c>
      <c r="AI372" s="100">
        <v>0</v>
      </c>
      <c r="AJ372" s="100"/>
      <c r="AK372" s="100">
        <v>0</v>
      </c>
      <c r="AL372" s="100">
        <v>0</v>
      </c>
      <c r="AM372" s="100"/>
      <c r="AN372" s="367"/>
      <c r="AO372" s="165" t="s">
        <v>37</v>
      </c>
      <c r="AP372" s="773"/>
      <c r="AQ372" s="1101"/>
      <c r="AR372" s="299" t="s">
        <v>193</v>
      </c>
      <c r="AS372" s="277" t="s">
        <v>2165</v>
      </c>
      <c r="AT372" s="265"/>
      <c r="AU372" s="982"/>
      <c r="AV372" s="18"/>
    </row>
    <row r="373" spans="2:48" ht="20.100000000000001" hidden="1" customHeight="1" outlineLevel="1" thickBot="1">
      <c r="B373" s="1984"/>
      <c r="C373" s="9969"/>
      <c r="D373" s="9970"/>
      <c r="E373" s="9971"/>
      <c r="F373" s="1988" t="s">
        <v>2166</v>
      </c>
      <c r="G373" s="1172" t="s">
        <v>33</v>
      </c>
      <c r="H373" s="1970">
        <v>650</v>
      </c>
      <c r="I373" s="1971"/>
      <c r="J373" s="1970">
        <v>690</v>
      </c>
      <c r="K373" s="1989"/>
      <c r="L373" s="592"/>
      <c r="M373" s="749">
        <v>650</v>
      </c>
      <c r="N373" s="1837" t="s">
        <v>1554</v>
      </c>
      <c r="O373" s="749">
        <v>690</v>
      </c>
      <c r="P373" s="851" t="s">
        <v>1554</v>
      </c>
      <c r="Q373" s="5305"/>
      <c r="R373" s="2244"/>
      <c r="S373" s="2130"/>
      <c r="T373" s="593"/>
      <c r="U373" s="2364"/>
      <c r="V373" s="2245"/>
      <c r="W373" s="2130">
        <v>0</v>
      </c>
      <c r="X373" s="1990">
        <v>0</v>
      </c>
      <c r="Y373" s="593">
        <v>0</v>
      </c>
      <c r="Z373" s="1990">
        <v>0</v>
      </c>
      <c r="AA373" s="593"/>
      <c r="AB373" s="593">
        <v>0</v>
      </c>
      <c r="AC373" s="593">
        <v>0</v>
      </c>
      <c r="AD373" s="593"/>
      <c r="AE373" s="593">
        <v>0</v>
      </c>
      <c r="AF373" s="593">
        <v>0</v>
      </c>
      <c r="AG373" s="593"/>
      <c r="AH373" s="593">
        <v>0</v>
      </c>
      <c r="AI373" s="593">
        <v>0</v>
      </c>
      <c r="AJ373" s="593"/>
      <c r="AK373" s="593">
        <v>0</v>
      </c>
      <c r="AL373" s="593">
        <v>0</v>
      </c>
      <c r="AM373" s="593"/>
      <c r="AN373" s="1179"/>
      <c r="AO373" s="1181" t="s">
        <v>37</v>
      </c>
      <c r="AP373" s="1182"/>
      <c r="AQ373" s="597"/>
      <c r="AR373" s="1130" t="s">
        <v>193</v>
      </c>
      <c r="AS373" s="1991" t="s">
        <v>2165</v>
      </c>
      <c r="AT373" s="1992"/>
      <c r="AU373" s="1184"/>
      <c r="AV373" s="18"/>
    </row>
    <row r="374" spans="2:48" ht="25.9" hidden="1" customHeight="1" outlineLevel="1" thickBot="1">
      <c r="B374" s="123" t="s">
        <v>1555</v>
      </c>
      <c r="C374" s="1132"/>
      <c r="D374" s="1132"/>
      <c r="E374" s="1132"/>
      <c r="F374" s="1132"/>
      <c r="G374" s="518"/>
      <c r="H374" s="1977"/>
      <c r="I374" s="1977"/>
      <c r="J374" s="1977"/>
      <c r="K374" s="1977"/>
      <c r="L374" s="1977"/>
      <c r="M374" s="1978"/>
      <c r="N374" s="599"/>
      <c r="O374" s="1978"/>
      <c r="P374" s="599"/>
      <c r="Q374" s="1978"/>
      <c r="R374" s="5328"/>
      <c r="S374" s="1979"/>
      <c r="T374" s="1979"/>
      <c r="U374" s="1979"/>
      <c r="V374" s="5329"/>
      <c r="W374" s="1979"/>
      <c r="X374" s="1979"/>
      <c r="Y374" s="1979"/>
      <c r="Z374" s="1979"/>
      <c r="AA374" s="1979"/>
      <c r="AB374" s="1979"/>
      <c r="AC374" s="1979"/>
      <c r="AD374" s="1979"/>
      <c r="AE374" s="1979"/>
      <c r="AF374" s="1979"/>
      <c r="AG374" s="1979"/>
      <c r="AH374" s="1979"/>
      <c r="AI374" s="1979"/>
      <c r="AJ374" s="1979"/>
      <c r="AK374" s="1979"/>
      <c r="AL374" s="1979"/>
      <c r="AM374" s="1979"/>
      <c r="AN374" s="1133"/>
      <c r="AO374" s="1135"/>
      <c r="AP374" s="1135"/>
      <c r="AQ374" s="1135"/>
      <c r="AR374" s="1185"/>
      <c r="AS374" s="1136"/>
      <c r="AT374" s="1136"/>
      <c r="AU374" s="1137"/>
    </row>
    <row r="375" spans="2:48" s="139" customFormat="1" ht="20.100000000000001" hidden="1" customHeight="1" outlineLevel="1" thickBot="1">
      <c r="B375" s="1993"/>
      <c r="C375" s="9972" t="s">
        <v>1557</v>
      </c>
      <c r="D375" s="9953"/>
      <c r="E375" s="9953"/>
      <c r="F375" s="9953"/>
      <c r="G375" s="758" t="s">
        <v>156</v>
      </c>
      <c r="H375" s="331">
        <f>IFERROR(H376/H377*100,"-")</f>
        <v>40.019095388033222</v>
      </c>
      <c r="I375" s="1994"/>
      <c r="J375" s="331">
        <f>IFERROR(J376/J377*100,"-")</f>
        <v>48.507536747687816</v>
      </c>
      <c r="K375" s="1994"/>
      <c r="L375" s="334" t="str">
        <f>IFERROR(L376/L377*100,"-")</f>
        <v>-</v>
      </c>
      <c r="M375" s="334">
        <f>IFERROR(M376/M377*100,"-")</f>
        <v>40.019095388033222</v>
      </c>
      <c r="N375" s="1995"/>
      <c r="O375" s="334">
        <f>IFERROR(O376/O377*100,"-")</f>
        <v>48.507536747687816</v>
      </c>
      <c r="P375" s="1995"/>
      <c r="Q375" s="442" t="str">
        <f>IFERROR(Q376/Q377*100,"-")</f>
        <v>-</v>
      </c>
      <c r="R375" s="5330"/>
      <c r="S375" s="5318"/>
      <c r="T375" s="1996"/>
      <c r="U375" s="5778"/>
      <c r="V375" s="5331"/>
      <c r="W375" s="5318" t="str">
        <f>IFERROR(W376/W377*100,"-")</f>
        <v>-</v>
      </c>
      <c r="X375" s="1997"/>
      <c r="Y375" s="1996" t="str">
        <f>IFERROR(Y376/Y377*100,"-")</f>
        <v>-</v>
      </c>
      <c r="Z375" s="1997"/>
      <c r="AA375" s="1996" t="str">
        <f t="shared" ref="AA375:AM375" si="74">IFERROR(AA376/AA377*100,"-")</f>
        <v>-</v>
      </c>
      <c r="AB375" s="1996" t="str">
        <f t="shared" si="74"/>
        <v>-</v>
      </c>
      <c r="AC375" s="1996" t="str">
        <f t="shared" si="74"/>
        <v>-</v>
      </c>
      <c r="AD375" s="1996" t="str">
        <f t="shared" si="74"/>
        <v>-</v>
      </c>
      <c r="AE375" s="1996" t="str">
        <f t="shared" si="74"/>
        <v>-</v>
      </c>
      <c r="AF375" s="1996" t="str">
        <f t="shared" si="74"/>
        <v>-</v>
      </c>
      <c r="AG375" s="1996" t="str">
        <f t="shared" si="74"/>
        <v>-</v>
      </c>
      <c r="AH375" s="1996" t="str">
        <f t="shared" si="74"/>
        <v>-</v>
      </c>
      <c r="AI375" s="1996" t="str">
        <f t="shared" si="74"/>
        <v>-</v>
      </c>
      <c r="AJ375" s="1996" t="str">
        <f t="shared" si="74"/>
        <v>-</v>
      </c>
      <c r="AK375" s="1996" t="str">
        <f t="shared" si="74"/>
        <v>-</v>
      </c>
      <c r="AL375" s="1996" t="str">
        <f t="shared" si="74"/>
        <v>-</v>
      </c>
      <c r="AM375" s="1996" t="str">
        <f t="shared" si="74"/>
        <v>-</v>
      </c>
      <c r="AN375" s="1194" t="s">
        <v>1559</v>
      </c>
      <c r="AO375" s="758" t="s">
        <v>37</v>
      </c>
      <c r="AP375" s="534"/>
      <c r="AQ375" s="534"/>
      <c r="AR375" s="299" t="s">
        <v>193</v>
      </c>
      <c r="AS375" s="277" t="s">
        <v>1561</v>
      </c>
      <c r="AT375" s="154"/>
      <c r="AU375" s="1195"/>
      <c r="AV375" s="10"/>
    </row>
    <row r="376" spans="2:48" s="139" customFormat="1" ht="20.100000000000001" hidden="1" customHeight="1" outlineLevel="1" thickBot="1">
      <c r="B376" s="1998"/>
      <c r="C376" s="9973"/>
      <c r="D376" s="1196" t="s">
        <v>1562</v>
      </c>
      <c r="E376" s="678"/>
      <c r="F376" s="253"/>
      <c r="G376" s="109" t="s">
        <v>1563</v>
      </c>
      <c r="H376" s="298">
        <v>16330477</v>
      </c>
      <c r="I376" s="1166"/>
      <c r="J376" s="298">
        <v>23148659</v>
      </c>
      <c r="K376" s="1167"/>
      <c r="L376" s="228"/>
      <c r="M376" s="304">
        <v>16330477</v>
      </c>
      <c r="N376" s="1999">
        <v>0.40019095388033221</v>
      </c>
      <c r="O376" s="304">
        <v>23148659</v>
      </c>
      <c r="P376" s="2000">
        <v>0.48507536747687818</v>
      </c>
      <c r="Q376" s="2350"/>
      <c r="R376" s="2186"/>
      <c r="S376" s="2111"/>
      <c r="T376" s="100"/>
      <c r="U376" s="2349"/>
      <c r="V376" s="2187"/>
      <c r="W376" s="2111">
        <v>0</v>
      </c>
      <c r="X376" s="304">
        <v>0</v>
      </c>
      <c r="Y376" s="100">
        <v>0</v>
      </c>
      <c r="Z376" s="304">
        <v>0</v>
      </c>
      <c r="AA376" s="100"/>
      <c r="AB376" s="100">
        <v>0</v>
      </c>
      <c r="AC376" s="100">
        <v>0</v>
      </c>
      <c r="AD376" s="100"/>
      <c r="AE376" s="100">
        <v>0</v>
      </c>
      <c r="AF376" s="100">
        <v>0</v>
      </c>
      <c r="AG376" s="100"/>
      <c r="AH376" s="100">
        <v>0</v>
      </c>
      <c r="AI376" s="100">
        <v>0</v>
      </c>
      <c r="AJ376" s="100"/>
      <c r="AK376" s="100">
        <v>0</v>
      </c>
      <c r="AL376" s="100">
        <v>0</v>
      </c>
      <c r="AM376" s="100"/>
      <c r="AN376" s="1202"/>
      <c r="AO376" s="162" t="s">
        <v>37</v>
      </c>
      <c r="AP376" s="547"/>
      <c r="AQ376" s="547"/>
      <c r="AR376" s="299" t="s">
        <v>193</v>
      </c>
      <c r="AS376" s="277" t="s">
        <v>1561</v>
      </c>
      <c r="AT376" s="154"/>
      <c r="AU376" s="1195"/>
      <c r="AV376" s="10"/>
    </row>
    <row r="377" spans="2:48" s="139" customFormat="1" ht="20.100000000000001" hidden="1" customHeight="1" outlineLevel="1" thickBot="1">
      <c r="B377" s="1998"/>
      <c r="C377" s="9973"/>
      <c r="D377" s="1196" t="s">
        <v>1567</v>
      </c>
      <c r="E377" s="2001"/>
      <c r="F377" s="253"/>
      <c r="G377" s="109" t="s">
        <v>1563</v>
      </c>
      <c r="H377" s="298">
        <v>40806712</v>
      </c>
      <c r="I377" s="1166"/>
      <c r="J377" s="298">
        <v>47721778</v>
      </c>
      <c r="K377" s="1167"/>
      <c r="L377" s="228"/>
      <c r="M377" s="304">
        <v>40806712</v>
      </c>
      <c r="N377" s="1999">
        <v>0</v>
      </c>
      <c r="O377" s="304">
        <v>47721778</v>
      </c>
      <c r="P377" s="2000">
        <v>0</v>
      </c>
      <c r="Q377" s="2350"/>
      <c r="R377" s="2186"/>
      <c r="S377" s="2111"/>
      <c r="T377" s="100"/>
      <c r="U377" s="2349"/>
      <c r="V377" s="2187"/>
      <c r="W377" s="2111">
        <v>0</v>
      </c>
      <c r="X377" s="304">
        <v>0</v>
      </c>
      <c r="Y377" s="100">
        <v>0</v>
      </c>
      <c r="Z377" s="304">
        <v>0</v>
      </c>
      <c r="AA377" s="100"/>
      <c r="AB377" s="100">
        <v>0</v>
      </c>
      <c r="AC377" s="100">
        <v>0</v>
      </c>
      <c r="AD377" s="100"/>
      <c r="AE377" s="100">
        <v>0</v>
      </c>
      <c r="AF377" s="100">
        <v>0</v>
      </c>
      <c r="AG377" s="100"/>
      <c r="AH377" s="100">
        <v>0</v>
      </c>
      <c r="AI377" s="100">
        <v>0</v>
      </c>
      <c r="AJ377" s="100"/>
      <c r="AK377" s="100">
        <v>0</v>
      </c>
      <c r="AL377" s="100">
        <v>0</v>
      </c>
      <c r="AM377" s="100"/>
      <c r="AN377" s="276"/>
      <c r="AO377" s="162" t="s">
        <v>37</v>
      </c>
      <c r="AP377" s="547"/>
      <c r="AQ377" s="547"/>
      <c r="AR377" s="299" t="s">
        <v>193</v>
      </c>
      <c r="AS377" s="277" t="s">
        <v>1561</v>
      </c>
      <c r="AT377" s="154"/>
      <c r="AU377" s="1195"/>
      <c r="AV377" s="10"/>
    </row>
    <row r="378" spans="2:48" s="139" customFormat="1" ht="20.100000000000001" hidden="1" customHeight="1" outlineLevel="1" thickBot="1">
      <c r="B378" s="1998"/>
      <c r="C378" s="9973" t="s">
        <v>1569</v>
      </c>
      <c r="D378" s="9936"/>
      <c r="E378" s="9936"/>
      <c r="F378" s="9936"/>
      <c r="G378" s="109" t="s">
        <v>156</v>
      </c>
      <c r="H378" s="2002">
        <f>IFERROR(H379/H380*100,"-")</f>
        <v>0</v>
      </c>
      <c r="I378" s="2003"/>
      <c r="J378" s="2002">
        <f>IFERROR(J379/J380*100,"-")</f>
        <v>0</v>
      </c>
      <c r="K378" s="2003"/>
      <c r="L378" s="2002" t="str">
        <f>IFERROR(L379/L380*100,"-")</f>
        <v>-</v>
      </c>
      <c r="M378" s="2002">
        <f>IFERROR(M379/M380*100,"-")</f>
        <v>0</v>
      </c>
      <c r="N378" s="2004"/>
      <c r="O378" s="2002">
        <f>IFERROR(O379/O380*100,"-")</f>
        <v>0</v>
      </c>
      <c r="P378" s="2004"/>
      <c r="Q378" s="5311" t="str">
        <f>IFERROR(Q379/Q380*100,"-")</f>
        <v>-</v>
      </c>
      <c r="R378" s="5332"/>
      <c r="S378" s="5319"/>
      <c r="T378" s="2005"/>
      <c r="U378" s="5779"/>
      <c r="V378" s="5333"/>
      <c r="W378" s="5319" t="str">
        <f>IFERROR(W379/W380*100,"-")</f>
        <v>-</v>
      </c>
      <c r="X378" s="1316"/>
      <c r="Y378" s="2005" t="str">
        <f>IFERROR(Y379/Y380*100,"-")</f>
        <v>-</v>
      </c>
      <c r="Z378" s="1316"/>
      <c r="AA378" s="2005" t="str">
        <f t="shared" ref="AA378:AM378" si="75">IFERROR(AA379/AA380*100,"-")</f>
        <v>-</v>
      </c>
      <c r="AB378" s="2005" t="str">
        <f t="shared" si="75"/>
        <v>-</v>
      </c>
      <c r="AC378" s="2005" t="str">
        <f t="shared" si="75"/>
        <v>-</v>
      </c>
      <c r="AD378" s="2005" t="str">
        <f t="shared" si="75"/>
        <v>-</v>
      </c>
      <c r="AE378" s="2005" t="str">
        <f t="shared" si="75"/>
        <v>-</v>
      </c>
      <c r="AF378" s="2005" t="str">
        <f t="shared" si="75"/>
        <v>-</v>
      </c>
      <c r="AG378" s="2005" t="str">
        <f t="shared" si="75"/>
        <v>-</v>
      </c>
      <c r="AH378" s="2005" t="str">
        <f t="shared" si="75"/>
        <v>-</v>
      </c>
      <c r="AI378" s="2005" t="str">
        <f t="shared" si="75"/>
        <v>-</v>
      </c>
      <c r="AJ378" s="2005" t="str">
        <f t="shared" si="75"/>
        <v>-</v>
      </c>
      <c r="AK378" s="2005" t="str">
        <f t="shared" si="75"/>
        <v>-</v>
      </c>
      <c r="AL378" s="2005" t="str">
        <f t="shared" si="75"/>
        <v>-</v>
      </c>
      <c r="AM378" s="2005" t="str">
        <f t="shared" si="75"/>
        <v>-</v>
      </c>
      <c r="AN378" s="1202" t="s">
        <v>1571</v>
      </c>
      <c r="AO378" s="162" t="s">
        <v>37</v>
      </c>
      <c r="AP378" s="547"/>
      <c r="AQ378" s="547"/>
      <c r="AR378" s="299" t="s">
        <v>193</v>
      </c>
      <c r="AS378" s="277" t="s">
        <v>1573</v>
      </c>
      <c r="AT378" s="154"/>
      <c r="AU378" s="1195"/>
      <c r="AV378" s="10"/>
    </row>
    <row r="379" spans="2:48" s="139" customFormat="1" ht="20.100000000000001" hidden="1" customHeight="1" outlineLevel="1" thickBot="1">
      <c r="B379" s="1998"/>
      <c r="C379" s="2006"/>
      <c r="D379" s="9936" t="s">
        <v>1574</v>
      </c>
      <c r="E379" s="9936"/>
      <c r="F379" s="9936"/>
      <c r="G379" s="109" t="s">
        <v>1563</v>
      </c>
      <c r="H379" s="973">
        <v>0</v>
      </c>
      <c r="I379" s="973"/>
      <c r="J379" s="973">
        <v>0</v>
      </c>
      <c r="K379" s="2003"/>
      <c r="L379" s="1814"/>
      <c r="M379" s="980">
        <v>0</v>
      </c>
      <c r="N379" s="979">
        <v>0</v>
      </c>
      <c r="O379" s="980">
        <v>0</v>
      </c>
      <c r="P379" s="1418">
        <v>0</v>
      </c>
      <c r="Q379" s="5302"/>
      <c r="R379" s="2339"/>
      <c r="S379" s="2120"/>
      <c r="T379" s="474"/>
      <c r="U379" s="2376"/>
      <c r="V379" s="2340"/>
      <c r="W379" s="2120">
        <v>0</v>
      </c>
      <c r="X379" s="2007">
        <v>0</v>
      </c>
      <c r="Y379" s="474">
        <v>0</v>
      </c>
      <c r="Z379" s="2007">
        <v>0</v>
      </c>
      <c r="AA379" s="474"/>
      <c r="AB379" s="474">
        <v>0</v>
      </c>
      <c r="AC379" s="474">
        <v>0</v>
      </c>
      <c r="AD379" s="474"/>
      <c r="AE379" s="474">
        <v>0</v>
      </c>
      <c r="AF379" s="474">
        <v>0</v>
      </c>
      <c r="AG379" s="474"/>
      <c r="AH379" s="474">
        <v>0</v>
      </c>
      <c r="AI379" s="474">
        <v>0</v>
      </c>
      <c r="AJ379" s="474"/>
      <c r="AK379" s="474">
        <v>0</v>
      </c>
      <c r="AL379" s="474">
        <v>0</v>
      </c>
      <c r="AM379" s="474"/>
      <c r="AN379" s="1202"/>
      <c r="AO379" s="162" t="s">
        <v>37</v>
      </c>
      <c r="AP379" s="547"/>
      <c r="AQ379" s="547"/>
      <c r="AR379" s="299" t="s">
        <v>193</v>
      </c>
      <c r="AS379" s="277" t="s">
        <v>1573</v>
      </c>
      <c r="AT379" s="154"/>
      <c r="AU379" s="1195"/>
      <c r="AV379" s="10"/>
    </row>
    <row r="380" spans="2:48" s="139" customFormat="1" ht="20.100000000000001" hidden="1" customHeight="1" outlineLevel="1" thickBot="1">
      <c r="B380" s="1998"/>
      <c r="C380" s="2006"/>
      <c r="D380" s="9941" t="s">
        <v>1567</v>
      </c>
      <c r="E380" s="9941"/>
      <c r="F380" s="9941"/>
      <c r="G380" s="109" t="s">
        <v>1563</v>
      </c>
      <c r="H380" s="1165">
        <v>40806712</v>
      </c>
      <c r="I380" s="1166"/>
      <c r="J380" s="1165">
        <v>47721778</v>
      </c>
      <c r="K380" s="1167"/>
      <c r="L380" s="228"/>
      <c r="M380" s="304">
        <v>40806712</v>
      </c>
      <c r="N380" s="1999">
        <v>0</v>
      </c>
      <c r="O380" s="304">
        <v>47721778</v>
      </c>
      <c r="P380" s="2000">
        <v>0</v>
      </c>
      <c r="Q380" s="2350"/>
      <c r="R380" s="2186"/>
      <c r="S380" s="2111"/>
      <c r="T380" s="100"/>
      <c r="U380" s="2349"/>
      <c r="V380" s="2187"/>
      <c r="W380" s="2111">
        <v>0</v>
      </c>
      <c r="X380" s="382">
        <v>0</v>
      </c>
      <c r="Y380" s="100">
        <v>0</v>
      </c>
      <c r="Z380" s="382">
        <v>0</v>
      </c>
      <c r="AA380" s="100"/>
      <c r="AB380" s="100">
        <v>0</v>
      </c>
      <c r="AC380" s="100">
        <v>0</v>
      </c>
      <c r="AD380" s="100"/>
      <c r="AE380" s="100">
        <v>0</v>
      </c>
      <c r="AF380" s="100">
        <v>0</v>
      </c>
      <c r="AG380" s="100"/>
      <c r="AH380" s="100">
        <v>0</v>
      </c>
      <c r="AI380" s="100">
        <v>0</v>
      </c>
      <c r="AJ380" s="100"/>
      <c r="AK380" s="100">
        <v>0</v>
      </c>
      <c r="AL380" s="100">
        <v>0</v>
      </c>
      <c r="AM380" s="100"/>
      <c r="AN380" s="276"/>
      <c r="AO380" s="162" t="s">
        <v>37</v>
      </c>
      <c r="AP380" s="547"/>
      <c r="AQ380" s="547"/>
      <c r="AR380" s="299" t="s">
        <v>193</v>
      </c>
      <c r="AS380" s="277" t="s">
        <v>1573</v>
      </c>
      <c r="AT380" s="154"/>
      <c r="AU380" s="1195"/>
      <c r="AV380" s="10"/>
    </row>
    <row r="381" spans="2:48" s="139" customFormat="1" ht="20.100000000000001" hidden="1" customHeight="1" outlineLevel="1" thickBot="1">
      <c r="B381" s="1998"/>
      <c r="C381" s="9957" t="s">
        <v>1577</v>
      </c>
      <c r="D381" s="9958"/>
      <c r="E381" s="9958"/>
      <c r="F381" s="9958"/>
      <c r="G381" s="873" t="s">
        <v>156</v>
      </c>
      <c r="H381" s="2008">
        <f>IFERROR(H382/H383*100,"-")</f>
        <v>0</v>
      </c>
      <c r="I381" s="2009"/>
      <c r="J381" s="2008">
        <f>IFERROR(J382/J383*100,"-")</f>
        <v>0</v>
      </c>
      <c r="K381" s="2009"/>
      <c r="L381" s="2008" t="str">
        <f>IFERROR(L382/L383*100,"-")</f>
        <v>-</v>
      </c>
      <c r="M381" s="2008">
        <f>IFERROR(M382/M383*100,"-")</f>
        <v>0</v>
      </c>
      <c r="N381" s="2010"/>
      <c r="O381" s="2008">
        <f>IFERROR(O382/O383*100,"-")</f>
        <v>0</v>
      </c>
      <c r="P381" s="2010"/>
      <c r="Q381" s="5312" t="str">
        <f>IFERROR(Q382/Q383*100,"-")</f>
        <v>-</v>
      </c>
      <c r="R381" s="5334"/>
      <c r="S381" s="5320"/>
      <c r="T381" s="2011"/>
      <c r="U381" s="5780"/>
      <c r="V381" s="5335"/>
      <c r="W381" s="5320" t="str">
        <f>IFERROR(W382/W383*100,"-")</f>
        <v>-</v>
      </c>
      <c r="X381" s="2012"/>
      <c r="Y381" s="2011" t="str">
        <f>IFERROR(Y382/Y383*100,"-")</f>
        <v>-</v>
      </c>
      <c r="Z381" s="2012"/>
      <c r="AA381" s="2011" t="str">
        <f t="shared" ref="AA381:AM381" si="76">IFERROR(AA382/AA383*100,"-")</f>
        <v>-</v>
      </c>
      <c r="AB381" s="2011" t="str">
        <f t="shared" si="76"/>
        <v>-</v>
      </c>
      <c r="AC381" s="2011" t="str">
        <f t="shared" si="76"/>
        <v>-</v>
      </c>
      <c r="AD381" s="2011" t="str">
        <f t="shared" si="76"/>
        <v>-</v>
      </c>
      <c r="AE381" s="2011" t="str">
        <f t="shared" si="76"/>
        <v>-</v>
      </c>
      <c r="AF381" s="2011" t="str">
        <f t="shared" si="76"/>
        <v>-</v>
      </c>
      <c r="AG381" s="2011" t="str">
        <f t="shared" si="76"/>
        <v>-</v>
      </c>
      <c r="AH381" s="2011" t="str">
        <f t="shared" si="76"/>
        <v>-</v>
      </c>
      <c r="AI381" s="2011" t="str">
        <f t="shared" si="76"/>
        <v>-</v>
      </c>
      <c r="AJ381" s="2011" t="str">
        <f t="shared" si="76"/>
        <v>-</v>
      </c>
      <c r="AK381" s="2011" t="str">
        <f t="shared" si="76"/>
        <v>-</v>
      </c>
      <c r="AL381" s="2011" t="str">
        <f t="shared" si="76"/>
        <v>-</v>
      </c>
      <c r="AM381" s="2011" t="str">
        <f t="shared" si="76"/>
        <v>-</v>
      </c>
      <c r="AN381" s="1230" t="s">
        <v>1579</v>
      </c>
      <c r="AO381" s="1034" t="s">
        <v>37</v>
      </c>
      <c r="AP381" s="878"/>
      <c r="AQ381" s="878"/>
      <c r="AR381" s="299" t="s">
        <v>193</v>
      </c>
      <c r="AS381" s="277" t="s">
        <v>1581</v>
      </c>
      <c r="AT381" s="154"/>
      <c r="AU381" s="1195"/>
      <c r="AV381" s="10"/>
    </row>
    <row r="382" spans="2:48" s="139" customFormat="1" ht="20.100000000000001" hidden="1" customHeight="1" outlineLevel="1" thickBot="1">
      <c r="B382" s="1998"/>
      <c r="C382" s="2006"/>
      <c r="D382" s="9936" t="s">
        <v>1582</v>
      </c>
      <c r="E382" s="9936"/>
      <c r="F382" s="9936"/>
      <c r="G382" s="109" t="s">
        <v>1563</v>
      </c>
      <c r="H382" s="973">
        <v>0</v>
      </c>
      <c r="I382" s="973"/>
      <c r="J382" s="973">
        <v>0</v>
      </c>
      <c r="K382" s="2003"/>
      <c r="L382" s="1814"/>
      <c r="M382" s="980">
        <v>0</v>
      </c>
      <c r="N382" s="979"/>
      <c r="O382" s="980">
        <v>0</v>
      </c>
      <c r="P382" s="1418"/>
      <c r="Q382" s="5302"/>
      <c r="R382" s="2339"/>
      <c r="S382" s="2120"/>
      <c r="T382" s="474"/>
      <c r="U382" s="2376"/>
      <c r="V382" s="2340"/>
      <c r="W382" s="2120">
        <v>0</v>
      </c>
      <c r="X382" s="2013">
        <v>0</v>
      </c>
      <c r="Y382" s="474">
        <v>0</v>
      </c>
      <c r="Z382" s="2007">
        <v>0</v>
      </c>
      <c r="AA382" s="474"/>
      <c r="AB382" s="474">
        <v>0</v>
      </c>
      <c r="AC382" s="474">
        <v>0</v>
      </c>
      <c r="AD382" s="474"/>
      <c r="AE382" s="474">
        <v>0</v>
      </c>
      <c r="AF382" s="474">
        <v>0</v>
      </c>
      <c r="AG382" s="474"/>
      <c r="AH382" s="474">
        <v>0</v>
      </c>
      <c r="AI382" s="474">
        <v>0</v>
      </c>
      <c r="AJ382" s="474"/>
      <c r="AK382" s="474">
        <v>0</v>
      </c>
      <c r="AL382" s="474">
        <v>0</v>
      </c>
      <c r="AM382" s="474"/>
      <c r="AN382" s="1202"/>
      <c r="AO382" s="162" t="s">
        <v>37</v>
      </c>
      <c r="AP382" s="547"/>
      <c r="AQ382" s="547"/>
      <c r="AR382" s="299" t="s">
        <v>193</v>
      </c>
      <c r="AS382" s="277" t="s">
        <v>1581</v>
      </c>
      <c r="AT382" s="154"/>
      <c r="AU382" s="1195"/>
      <c r="AV382" s="10"/>
    </row>
    <row r="383" spans="2:48" s="139" customFormat="1" ht="20.100000000000001" hidden="1" customHeight="1" outlineLevel="1" thickBot="1">
      <c r="B383" s="1998"/>
      <c r="C383" s="2014"/>
      <c r="D383" s="9941" t="s">
        <v>1584</v>
      </c>
      <c r="E383" s="9941"/>
      <c r="F383" s="9941"/>
      <c r="G383" s="109" t="s">
        <v>1563</v>
      </c>
      <c r="H383" s="1165">
        <v>29176998</v>
      </c>
      <c r="I383" s="1166"/>
      <c r="J383" s="1165">
        <v>29176998</v>
      </c>
      <c r="K383" s="1167"/>
      <c r="L383" s="228"/>
      <c r="M383" s="304">
        <v>29176998</v>
      </c>
      <c r="N383" s="2015"/>
      <c r="O383" s="425">
        <v>29176998</v>
      </c>
      <c r="P383" s="2016"/>
      <c r="Q383" s="5304"/>
      <c r="R383" s="2288"/>
      <c r="S383" s="2122"/>
      <c r="T383" s="494"/>
      <c r="U383" s="2373"/>
      <c r="V383" s="2289"/>
      <c r="W383" s="2122">
        <v>0</v>
      </c>
      <c r="X383" s="2017">
        <v>0</v>
      </c>
      <c r="Y383" s="494">
        <v>0</v>
      </c>
      <c r="Z383" s="989">
        <v>0</v>
      </c>
      <c r="AA383" s="494"/>
      <c r="AB383" s="494">
        <v>0</v>
      </c>
      <c r="AC383" s="494">
        <v>0</v>
      </c>
      <c r="AD383" s="494"/>
      <c r="AE383" s="494">
        <v>0</v>
      </c>
      <c r="AF383" s="494">
        <v>0</v>
      </c>
      <c r="AG383" s="494"/>
      <c r="AH383" s="494">
        <v>0</v>
      </c>
      <c r="AI383" s="494">
        <v>0</v>
      </c>
      <c r="AJ383" s="494"/>
      <c r="AK383" s="494">
        <v>0</v>
      </c>
      <c r="AL383" s="494">
        <v>0</v>
      </c>
      <c r="AM383" s="494"/>
      <c r="AN383" s="714"/>
      <c r="AO383" s="165" t="s">
        <v>37</v>
      </c>
      <c r="AP383" s="1101"/>
      <c r="AQ383" s="1101"/>
      <c r="AR383" s="299" t="s">
        <v>193</v>
      </c>
      <c r="AS383" s="277" t="s">
        <v>1581</v>
      </c>
      <c r="AT383" s="1231"/>
      <c r="AU383" s="1232"/>
      <c r="AV383" s="10"/>
    </row>
    <row r="384" spans="2:48" s="139" customFormat="1" ht="20.100000000000001" hidden="1" customHeight="1" outlineLevel="1" thickBot="1">
      <c r="B384" s="1998"/>
      <c r="C384" s="2018" t="s">
        <v>1586</v>
      </c>
      <c r="D384" s="2019"/>
      <c r="E384" s="2019"/>
      <c r="F384" s="2019"/>
      <c r="G384" s="1234" t="s">
        <v>156</v>
      </c>
      <c r="H384" s="2020" t="s">
        <v>169</v>
      </c>
      <c r="I384" s="2020"/>
      <c r="J384" s="2020" t="s">
        <v>169</v>
      </c>
      <c r="K384" s="2021"/>
      <c r="L384" s="2022"/>
      <c r="M384" s="2023" t="s">
        <v>169</v>
      </c>
      <c r="N384" s="1999" t="s">
        <v>1869</v>
      </c>
      <c r="O384" s="304" t="s">
        <v>169</v>
      </c>
      <c r="P384" s="2000" t="s">
        <v>1869</v>
      </c>
      <c r="Q384" s="2022"/>
      <c r="R384" s="2186"/>
      <c r="S384" s="2111"/>
      <c r="T384" s="100"/>
      <c r="U384" s="2349"/>
      <c r="V384" s="2187"/>
      <c r="W384" s="2111">
        <v>0</v>
      </c>
      <c r="X384" s="271">
        <v>0</v>
      </c>
      <c r="Y384" s="100">
        <v>0</v>
      </c>
      <c r="Z384" s="382">
        <v>0</v>
      </c>
      <c r="AA384" s="100"/>
      <c r="AB384" s="100">
        <v>0</v>
      </c>
      <c r="AC384" s="100">
        <v>0</v>
      </c>
      <c r="AD384" s="100"/>
      <c r="AE384" s="100">
        <v>0</v>
      </c>
      <c r="AF384" s="100">
        <v>0</v>
      </c>
      <c r="AG384" s="100"/>
      <c r="AH384" s="100">
        <v>0</v>
      </c>
      <c r="AI384" s="100">
        <v>0</v>
      </c>
      <c r="AJ384" s="100"/>
      <c r="AK384" s="100">
        <v>0</v>
      </c>
      <c r="AL384" s="100">
        <v>0</v>
      </c>
      <c r="AM384" s="100"/>
      <c r="AN384" s="276"/>
      <c r="AO384" s="285" t="s">
        <v>37</v>
      </c>
      <c r="AP384" s="547"/>
      <c r="AQ384" s="546"/>
      <c r="AR384" s="299" t="s">
        <v>193</v>
      </c>
      <c r="AS384" s="1243" t="s">
        <v>1588</v>
      </c>
      <c r="AT384" s="265"/>
      <c r="AU384" s="1244"/>
      <c r="AV384" s="10"/>
    </row>
    <row r="385" spans="2:48" s="139" customFormat="1" ht="20.100000000000001" hidden="1" customHeight="1" outlineLevel="1" thickBot="1">
      <c r="B385" s="1998"/>
      <c r="C385" s="9935" t="s">
        <v>1589</v>
      </c>
      <c r="D385" s="9959"/>
      <c r="E385" s="9959"/>
      <c r="F385" s="9959"/>
      <c r="G385" s="109" t="s">
        <v>156</v>
      </c>
      <c r="H385" s="1790">
        <f>IFERROR(((H386-H387+H388)/H386)*100,"-")</f>
        <v>0.59523809523809523</v>
      </c>
      <c r="I385" s="2025"/>
      <c r="J385" s="1790">
        <f>IFERROR(((J386-J387+J388)/J386)*100,"-")</f>
        <v>32.335329341317362</v>
      </c>
      <c r="K385" s="2003"/>
      <c r="L385" s="2002" t="str">
        <f>IFERROR(((L386-L387+L388)/L386)*100,"-")</f>
        <v>-</v>
      </c>
      <c r="M385" s="2002">
        <f>IFERROR(((M386-M387+M388)/M386)*100,"-")</f>
        <v>0.59523809523809523</v>
      </c>
      <c r="N385" s="2010"/>
      <c r="O385" s="2008">
        <f>IFERROR(((O386-O387+O388)/O386)*100,"-")</f>
        <v>32.335329341317362</v>
      </c>
      <c r="P385" s="2010"/>
      <c r="Q385" s="5312" t="str">
        <f>IFERROR(((Q386-Q387+Q388)/Q386)*100,"-")</f>
        <v>-</v>
      </c>
      <c r="R385" s="5334"/>
      <c r="S385" s="5320"/>
      <c r="T385" s="2011"/>
      <c r="U385" s="5780"/>
      <c r="V385" s="5335"/>
      <c r="W385" s="5320" t="str">
        <f>IFERROR(((W386-W387+W388)/W386)*100,"-")</f>
        <v>-</v>
      </c>
      <c r="X385" s="2012"/>
      <c r="Y385" s="2011" t="str">
        <f>IFERROR(((Y386-Y387+Y388)/Y386)*100,"-")</f>
        <v>-</v>
      </c>
      <c r="Z385" s="2012"/>
      <c r="AA385" s="2011" t="str">
        <f t="shared" ref="AA385:AM385" si="77">IFERROR(((AA386-AA387+AA388)/AA386)*100,"-")</f>
        <v>-</v>
      </c>
      <c r="AB385" s="2011" t="str">
        <f t="shared" si="77"/>
        <v>-</v>
      </c>
      <c r="AC385" s="2011" t="str">
        <f t="shared" si="77"/>
        <v>-</v>
      </c>
      <c r="AD385" s="2011" t="str">
        <f t="shared" si="77"/>
        <v>-</v>
      </c>
      <c r="AE385" s="2011" t="str">
        <f t="shared" si="77"/>
        <v>-</v>
      </c>
      <c r="AF385" s="2011" t="str">
        <f t="shared" si="77"/>
        <v>-</v>
      </c>
      <c r="AG385" s="2011" t="str">
        <f t="shared" si="77"/>
        <v>-</v>
      </c>
      <c r="AH385" s="2011" t="str">
        <f t="shared" si="77"/>
        <v>-</v>
      </c>
      <c r="AI385" s="2011" t="str">
        <f t="shared" si="77"/>
        <v>-</v>
      </c>
      <c r="AJ385" s="2011" t="str">
        <f t="shared" si="77"/>
        <v>-</v>
      </c>
      <c r="AK385" s="2011" t="str">
        <f t="shared" si="77"/>
        <v>-</v>
      </c>
      <c r="AL385" s="2011" t="str">
        <f t="shared" si="77"/>
        <v>-</v>
      </c>
      <c r="AM385" s="2011" t="str">
        <f t="shared" si="77"/>
        <v>-</v>
      </c>
      <c r="AN385" s="1230" t="s">
        <v>1591</v>
      </c>
      <c r="AO385" s="1034" t="s">
        <v>37</v>
      </c>
      <c r="AP385" s="878"/>
      <c r="AQ385" s="878"/>
      <c r="AR385" s="299" t="s">
        <v>193</v>
      </c>
      <c r="AS385" s="277" t="s">
        <v>1593</v>
      </c>
      <c r="AT385" s="154"/>
      <c r="AU385" s="982"/>
      <c r="AV385" s="10"/>
    </row>
    <row r="386" spans="2:48" s="139" customFormat="1" ht="20.100000000000001" hidden="1" customHeight="1" outlineLevel="1" thickBot="1">
      <c r="B386" s="1998"/>
      <c r="C386" s="9960"/>
      <c r="D386" s="9962" t="s">
        <v>2167</v>
      </c>
      <c r="E386" s="9962"/>
      <c r="F386" s="9962"/>
      <c r="G386" s="109" t="s">
        <v>1595</v>
      </c>
      <c r="H386" s="1165">
        <v>25200</v>
      </c>
      <c r="I386" s="1166"/>
      <c r="J386" s="1165">
        <v>25050</v>
      </c>
      <c r="K386" s="940"/>
      <c r="L386" s="1814"/>
      <c r="M386" s="980">
        <v>25200</v>
      </c>
      <c r="N386" s="979"/>
      <c r="O386" s="980">
        <v>25050</v>
      </c>
      <c r="P386" s="1418"/>
      <c r="Q386" s="5302"/>
      <c r="R386" s="2339"/>
      <c r="S386" s="2120"/>
      <c r="T386" s="474"/>
      <c r="U386" s="2376"/>
      <c r="V386" s="2340"/>
      <c r="W386" s="2120">
        <v>0</v>
      </c>
      <c r="X386" s="2007">
        <v>0</v>
      </c>
      <c r="Y386" s="474">
        <v>0</v>
      </c>
      <c r="Z386" s="2007">
        <v>0</v>
      </c>
      <c r="AA386" s="474"/>
      <c r="AB386" s="474">
        <v>0</v>
      </c>
      <c r="AC386" s="474">
        <v>0</v>
      </c>
      <c r="AD386" s="474"/>
      <c r="AE386" s="474">
        <v>0</v>
      </c>
      <c r="AF386" s="474">
        <v>0</v>
      </c>
      <c r="AG386" s="474"/>
      <c r="AH386" s="474">
        <v>0</v>
      </c>
      <c r="AI386" s="474">
        <v>0</v>
      </c>
      <c r="AJ386" s="474"/>
      <c r="AK386" s="474">
        <v>0</v>
      </c>
      <c r="AL386" s="474">
        <v>0</v>
      </c>
      <c r="AM386" s="474"/>
      <c r="AN386" s="1202"/>
      <c r="AO386" s="162" t="s">
        <v>37</v>
      </c>
      <c r="AP386" s="547"/>
      <c r="AQ386" s="547"/>
      <c r="AR386" s="299" t="s">
        <v>193</v>
      </c>
      <c r="AS386" s="277" t="s">
        <v>1598</v>
      </c>
      <c r="AT386" s="154"/>
      <c r="AU386" s="1195"/>
      <c r="AV386" s="10"/>
    </row>
    <row r="387" spans="2:48" s="139" customFormat="1" ht="20.100000000000001" hidden="1" customHeight="1" outlineLevel="1" thickBot="1">
      <c r="B387" s="1998"/>
      <c r="C387" s="9960"/>
      <c r="D387" s="9963" t="s">
        <v>2168</v>
      </c>
      <c r="E387" s="9963"/>
      <c r="F387" s="9963"/>
      <c r="G387" s="109" t="s">
        <v>1595</v>
      </c>
      <c r="H387" s="1165">
        <v>25050</v>
      </c>
      <c r="I387" s="1166"/>
      <c r="J387" s="1165">
        <v>16950</v>
      </c>
      <c r="K387" s="1167"/>
      <c r="L387" s="228"/>
      <c r="M387" s="304">
        <v>25050</v>
      </c>
      <c r="N387" s="1999"/>
      <c r="O387" s="304">
        <v>16950</v>
      </c>
      <c r="P387" s="2000"/>
      <c r="Q387" s="2350"/>
      <c r="R387" s="2186"/>
      <c r="S387" s="2111"/>
      <c r="T387" s="100"/>
      <c r="U387" s="2349"/>
      <c r="V387" s="2187"/>
      <c r="W387" s="2111">
        <v>0</v>
      </c>
      <c r="X387" s="382">
        <v>0</v>
      </c>
      <c r="Y387" s="100">
        <v>0</v>
      </c>
      <c r="Z387" s="382">
        <v>0</v>
      </c>
      <c r="AA387" s="100"/>
      <c r="AB387" s="100">
        <v>0</v>
      </c>
      <c r="AC387" s="100">
        <v>0</v>
      </c>
      <c r="AD387" s="100"/>
      <c r="AE387" s="100">
        <v>0</v>
      </c>
      <c r="AF387" s="100">
        <v>0</v>
      </c>
      <c r="AG387" s="100"/>
      <c r="AH387" s="100">
        <v>0</v>
      </c>
      <c r="AI387" s="100">
        <v>0</v>
      </c>
      <c r="AJ387" s="100"/>
      <c r="AK387" s="100">
        <v>0</v>
      </c>
      <c r="AL387" s="100">
        <v>0</v>
      </c>
      <c r="AM387" s="100"/>
      <c r="AN387" s="276"/>
      <c r="AO387" s="162" t="s">
        <v>37</v>
      </c>
      <c r="AP387" s="547"/>
      <c r="AQ387" s="547"/>
      <c r="AR387" s="299" t="s">
        <v>193</v>
      </c>
      <c r="AS387" s="277" t="s">
        <v>1598</v>
      </c>
      <c r="AT387" s="154"/>
      <c r="AU387" s="1195"/>
      <c r="AV387" s="10"/>
    </row>
    <row r="388" spans="2:48" s="139" customFormat="1" ht="20.100000000000001" hidden="1" customHeight="1" outlineLevel="1" thickBot="1">
      <c r="B388" s="2026"/>
      <c r="C388" s="9961"/>
      <c r="D388" s="9964" t="s">
        <v>2169</v>
      </c>
      <c r="E388" s="9965"/>
      <c r="F388" s="9965"/>
      <c r="G388" s="1261" t="s">
        <v>1595</v>
      </c>
      <c r="H388" s="1173">
        <v>0</v>
      </c>
      <c r="I388" s="1174"/>
      <c r="J388" s="1173">
        <v>0</v>
      </c>
      <c r="K388" s="1175"/>
      <c r="L388" s="592"/>
      <c r="M388" s="2027">
        <v>0</v>
      </c>
      <c r="N388" s="2028"/>
      <c r="O388" s="2027">
        <v>0</v>
      </c>
      <c r="P388" s="2029"/>
      <c r="Q388" s="5305"/>
      <c r="R388" s="2244"/>
      <c r="S388" s="2130"/>
      <c r="T388" s="593"/>
      <c r="U388" s="2364"/>
      <c r="V388" s="2245"/>
      <c r="W388" s="2130">
        <v>0</v>
      </c>
      <c r="X388" s="2030">
        <v>0</v>
      </c>
      <c r="Y388" s="593">
        <v>0</v>
      </c>
      <c r="Z388" s="2030">
        <v>0</v>
      </c>
      <c r="AA388" s="593"/>
      <c r="AB388" s="593">
        <v>0</v>
      </c>
      <c r="AC388" s="593">
        <v>0</v>
      </c>
      <c r="AD388" s="593"/>
      <c r="AE388" s="593">
        <v>0</v>
      </c>
      <c r="AF388" s="593">
        <v>0</v>
      </c>
      <c r="AG388" s="593"/>
      <c r="AH388" s="593">
        <v>0</v>
      </c>
      <c r="AI388" s="593">
        <v>0</v>
      </c>
      <c r="AJ388" s="593"/>
      <c r="AK388" s="593">
        <v>0</v>
      </c>
      <c r="AL388" s="593">
        <v>0</v>
      </c>
      <c r="AM388" s="593"/>
      <c r="AN388" s="595"/>
      <c r="AO388" s="165" t="s">
        <v>37</v>
      </c>
      <c r="AP388" s="1101"/>
      <c r="AQ388" s="1101"/>
      <c r="AR388" s="299" t="s">
        <v>193</v>
      </c>
      <c r="AS388" s="981" t="s">
        <v>1598</v>
      </c>
      <c r="AT388" s="1231"/>
      <c r="AU388" s="1232"/>
      <c r="AV388" s="10"/>
    </row>
    <row r="389" spans="2:48" ht="25.9" hidden="1" customHeight="1" outlineLevel="1" thickBot="1">
      <c r="B389" s="1710" t="s">
        <v>1604</v>
      </c>
      <c r="C389" s="1132"/>
      <c r="D389" s="1132"/>
      <c r="E389" s="1132"/>
      <c r="F389" s="1132"/>
      <c r="G389" s="518"/>
      <c r="H389" s="1977"/>
      <c r="I389" s="1977"/>
      <c r="J389" s="1977"/>
      <c r="K389" s="1977"/>
      <c r="L389" s="1977"/>
      <c r="M389" s="1978"/>
      <c r="N389" s="599"/>
      <c r="O389" s="1978"/>
      <c r="P389" s="599"/>
      <c r="Q389" s="1978"/>
      <c r="R389" s="5328"/>
      <c r="S389" s="1979"/>
      <c r="T389" s="1979"/>
      <c r="U389" s="1979"/>
      <c r="V389" s="5329"/>
      <c r="W389" s="1979"/>
      <c r="X389" s="1979"/>
      <c r="Y389" s="1979"/>
      <c r="Z389" s="1979"/>
      <c r="AA389" s="1979"/>
      <c r="AB389" s="1979"/>
      <c r="AC389" s="1979"/>
      <c r="AD389" s="1979"/>
      <c r="AE389" s="1979"/>
      <c r="AF389" s="1979"/>
      <c r="AG389" s="1979"/>
      <c r="AH389" s="1979"/>
      <c r="AI389" s="1979"/>
      <c r="AJ389" s="1979"/>
      <c r="AK389" s="1979"/>
      <c r="AL389" s="1979"/>
      <c r="AM389" s="1979"/>
      <c r="AN389" s="1133"/>
      <c r="AO389" s="1274"/>
      <c r="AP389" s="129"/>
      <c r="AQ389" s="129"/>
      <c r="AR389" s="1274"/>
      <c r="AS389" s="328"/>
      <c r="AT389" s="328"/>
      <c r="AU389" s="1006"/>
    </row>
    <row r="390" spans="2:48" s="139" customFormat="1" ht="20.100000000000001" hidden="1" customHeight="1" outlineLevel="1" thickBot="1">
      <c r="B390" s="2031"/>
      <c r="C390" s="9952" t="s">
        <v>1605</v>
      </c>
      <c r="D390" s="9953"/>
      <c r="E390" s="9953"/>
      <c r="F390" s="9953"/>
      <c r="G390" s="758" t="s">
        <v>156</v>
      </c>
      <c r="H390" s="334">
        <f>IFERROR(H391/H392*100,"-")</f>
        <v>0</v>
      </c>
      <c r="I390" s="1994"/>
      <c r="J390" s="334">
        <f>IFERROR(J391/J392*100,"-")</f>
        <v>0</v>
      </c>
      <c r="K390" s="1994"/>
      <c r="L390" s="334" t="str">
        <f>IFERROR(L391/L392*100,"-")</f>
        <v>-</v>
      </c>
      <c r="M390" s="334">
        <f>IFERROR(M391/M392*100,"-")</f>
        <v>0</v>
      </c>
      <c r="N390" s="1995"/>
      <c r="O390" s="334">
        <f>IFERROR(O391/O392*100,"-")</f>
        <v>0</v>
      </c>
      <c r="P390" s="1995"/>
      <c r="Q390" s="442" t="str">
        <f>IFERROR(Q391/Q392*100,"-")</f>
        <v>-</v>
      </c>
      <c r="R390" s="5330"/>
      <c r="S390" s="5318"/>
      <c r="T390" s="1996"/>
      <c r="U390" s="5778"/>
      <c r="V390" s="5331"/>
      <c r="W390" s="5318" t="str">
        <f>IFERROR(W391/W392*100,"-")</f>
        <v>-</v>
      </c>
      <c r="X390" s="1997"/>
      <c r="Y390" s="1996" t="str">
        <f>IFERROR(Y391/Y392*100,"-")</f>
        <v>-</v>
      </c>
      <c r="Z390" s="1997"/>
      <c r="AA390" s="1996" t="str">
        <f t="shared" ref="AA390:AM390" si="78">IFERROR(AA391/AA392*100,"-")</f>
        <v>-</v>
      </c>
      <c r="AB390" s="1996" t="str">
        <f t="shared" si="78"/>
        <v>-</v>
      </c>
      <c r="AC390" s="1996" t="str">
        <f t="shared" si="78"/>
        <v>-</v>
      </c>
      <c r="AD390" s="1996" t="str">
        <f t="shared" si="78"/>
        <v>-</v>
      </c>
      <c r="AE390" s="1996" t="str">
        <f t="shared" si="78"/>
        <v>-</v>
      </c>
      <c r="AF390" s="1996" t="str">
        <f t="shared" si="78"/>
        <v>-</v>
      </c>
      <c r="AG390" s="1996" t="str">
        <f t="shared" si="78"/>
        <v>-</v>
      </c>
      <c r="AH390" s="1996" t="str">
        <f t="shared" si="78"/>
        <v>-</v>
      </c>
      <c r="AI390" s="1996" t="str">
        <f t="shared" si="78"/>
        <v>-</v>
      </c>
      <c r="AJ390" s="1996" t="str">
        <f t="shared" si="78"/>
        <v>-</v>
      </c>
      <c r="AK390" s="1996" t="str">
        <f t="shared" si="78"/>
        <v>-</v>
      </c>
      <c r="AL390" s="1996" t="str">
        <f t="shared" si="78"/>
        <v>-</v>
      </c>
      <c r="AM390" s="1996" t="str">
        <f t="shared" si="78"/>
        <v>-</v>
      </c>
      <c r="AN390" s="1194" t="s">
        <v>1607</v>
      </c>
      <c r="AO390" s="162" t="s">
        <v>37</v>
      </c>
      <c r="AP390" s="534"/>
      <c r="AQ390" s="534"/>
      <c r="AR390" s="299" t="s">
        <v>193</v>
      </c>
      <c r="AS390" s="277" t="s">
        <v>1609</v>
      </c>
      <c r="AT390" s="154"/>
      <c r="AU390" s="1195"/>
      <c r="AV390" s="10"/>
    </row>
    <row r="391" spans="2:48" s="139" customFormat="1" ht="20.100000000000001" hidden="1" customHeight="1" outlineLevel="1" thickBot="1">
      <c r="B391" s="2031"/>
      <c r="C391" s="9935"/>
      <c r="D391" s="9954" t="s">
        <v>1610</v>
      </c>
      <c r="E391" s="9955"/>
      <c r="F391" s="9956"/>
      <c r="G391" s="109" t="s">
        <v>33</v>
      </c>
      <c r="H391" s="92">
        <v>0</v>
      </c>
      <c r="I391" s="1166"/>
      <c r="J391" s="92">
        <v>0</v>
      </c>
      <c r="K391" s="1167"/>
      <c r="L391" s="228"/>
      <c r="M391" s="304">
        <v>0</v>
      </c>
      <c r="N391" s="2000"/>
      <c r="O391" s="304">
        <v>0</v>
      </c>
      <c r="P391" s="2000"/>
      <c r="Q391" s="2350"/>
      <c r="R391" s="2186"/>
      <c r="S391" s="2111"/>
      <c r="T391" s="100"/>
      <c r="U391" s="2349"/>
      <c r="V391" s="2187"/>
      <c r="W391" s="2111">
        <v>0</v>
      </c>
      <c r="X391" s="304">
        <v>0</v>
      </c>
      <c r="Y391" s="100">
        <v>0</v>
      </c>
      <c r="Z391" s="304">
        <v>0</v>
      </c>
      <c r="AA391" s="100"/>
      <c r="AB391" s="100">
        <v>0</v>
      </c>
      <c r="AC391" s="100">
        <v>0</v>
      </c>
      <c r="AD391" s="100"/>
      <c r="AE391" s="100">
        <v>0</v>
      </c>
      <c r="AF391" s="100">
        <v>0</v>
      </c>
      <c r="AG391" s="100"/>
      <c r="AH391" s="100">
        <v>0</v>
      </c>
      <c r="AI391" s="100">
        <v>0</v>
      </c>
      <c r="AJ391" s="100"/>
      <c r="AK391" s="100">
        <v>0</v>
      </c>
      <c r="AL391" s="100">
        <v>0</v>
      </c>
      <c r="AM391" s="100"/>
      <c r="AN391" s="1202"/>
      <c r="AO391" s="162" t="s">
        <v>37</v>
      </c>
      <c r="AP391" s="547"/>
      <c r="AQ391" s="547"/>
      <c r="AR391" s="299" t="s">
        <v>193</v>
      </c>
      <c r="AS391" s="277" t="s">
        <v>1609</v>
      </c>
      <c r="AT391" s="154"/>
      <c r="AU391" s="1195"/>
      <c r="AV391" s="10"/>
    </row>
    <row r="392" spans="2:48" s="139" customFormat="1" ht="20.100000000000001" hidden="1" customHeight="1" outlineLevel="1" thickBot="1">
      <c r="B392" s="2031"/>
      <c r="C392" s="9935"/>
      <c r="D392" s="9954" t="s">
        <v>1612</v>
      </c>
      <c r="E392" s="9955"/>
      <c r="F392" s="9956"/>
      <c r="G392" s="109" t="s">
        <v>33</v>
      </c>
      <c r="H392" s="298">
        <v>396981</v>
      </c>
      <c r="I392" s="1166"/>
      <c r="J392" s="298">
        <v>569297</v>
      </c>
      <c r="K392" s="1167"/>
      <c r="L392" s="228"/>
      <c r="M392" s="304">
        <v>396981</v>
      </c>
      <c r="N392" s="2000"/>
      <c r="O392" s="304">
        <v>569297</v>
      </c>
      <c r="P392" s="2000"/>
      <c r="Q392" s="2350"/>
      <c r="R392" s="2186"/>
      <c r="S392" s="2111"/>
      <c r="T392" s="100"/>
      <c r="U392" s="2349"/>
      <c r="V392" s="2187"/>
      <c r="W392" s="2111">
        <v>0</v>
      </c>
      <c r="X392" s="304">
        <v>0</v>
      </c>
      <c r="Y392" s="100">
        <v>0</v>
      </c>
      <c r="Z392" s="304">
        <v>0</v>
      </c>
      <c r="AA392" s="100"/>
      <c r="AB392" s="100">
        <v>0</v>
      </c>
      <c r="AC392" s="100">
        <v>0</v>
      </c>
      <c r="AD392" s="100"/>
      <c r="AE392" s="100">
        <v>0</v>
      </c>
      <c r="AF392" s="100">
        <v>0</v>
      </c>
      <c r="AG392" s="100"/>
      <c r="AH392" s="100">
        <v>0</v>
      </c>
      <c r="AI392" s="100">
        <v>0</v>
      </c>
      <c r="AJ392" s="100"/>
      <c r="AK392" s="100">
        <v>0</v>
      </c>
      <c r="AL392" s="100">
        <v>0</v>
      </c>
      <c r="AM392" s="100"/>
      <c r="AN392" s="276"/>
      <c r="AO392" s="162" t="s">
        <v>37</v>
      </c>
      <c r="AP392" s="547"/>
      <c r="AQ392" s="547"/>
      <c r="AR392" s="299" t="s">
        <v>193</v>
      </c>
      <c r="AS392" s="277" t="s">
        <v>1609</v>
      </c>
      <c r="AT392" s="154"/>
      <c r="AU392" s="1195"/>
      <c r="AV392" s="10"/>
    </row>
    <row r="393" spans="2:48" s="139" customFormat="1" ht="20.100000000000001" hidden="1" customHeight="1" outlineLevel="1" thickBot="1">
      <c r="B393" s="2031"/>
      <c r="C393" s="9935" t="s">
        <v>1614</v>
      </c>
      <c r="D393" s="9936"/>
      <c r="E393" s="9936"/>
      <c r="F393" s="9936"/>
      <c r="G393" s="162" t="s">
        <v>156</v>
      </c>
      <c r="H393" s="354">
        <f>IFERROR(H394/H395*100,"-")</f>
        <v>7.2726885424496288</v>
      </c>
      <c r="I393" s="2003"/>
      <c r="J393" s="354">
        <f>IFERROR(J394/J395*100,"-")</f>
        <v>3.880341856150396</v>
      </c>
      <c r="K393" s="2003"/>
      <c r="L393" s="356" t="str">
        <f>IFERROR(L394/L395*100,"-")</f>
        <v>-</v>
      </c>
      <c r="M393" s="356">
        <f>IFERROR(M394/M395*100,"-")</f>
        <v>7.2726885424496288</v>
      </c>
      <c r="N393" s="2004"/>
      <c r="O393" s="356">
        <f>IFERROR(O394/O395*100,"-")</f>
        <v>3.880341856150396</v>
      </c>
      <c r="P393" s="2004"/>
      <c r="Q393" s="2065" t="str">
        <f>IFERROR(Q394/Q395*100,"-")</f>
        <v>-</v>
      </c>
      <c r="R393" s="2342"/>
      <c r="S393" s="2116"/>
      <c r="T393" s="378"/>
      <c r="U393" s="2352"/>
      <c r="V393" s="2343"/>
      <c r="W393" s="2116" t="str">
        <f>IFERROR(W394/W395*100,"-")</f>
        <v>-</v>
      </c>
      <c r="X393" s="1316"/>
      <c r="Y393" s="378" t="str">
        <f>IFERROR(Y394/Y395*100,"-")</f>
        <v>-</v>
      </c>
      <c r="Z393" s="1316"/>
      <c r="AA393" s="378" t="str">
        <f t="shared" ref="AA393:AM393" si="79">IFERROR(AA394/AA395*100,"-")</f>
        <v>-</v>
      </c>
      <c r="AB393" s="378" t="str">
        <f t="shared" si="79"/>
        <v>-</v>
      </c>
      <c r="AC393" s="378" t="str">
        <f t="shared" si="79"/>
        <v>-</v>
      </c>
      <c r="AD393" s="378" t="str">
        <f t="shared" si="79"/>
        <v>-</v>
      </c>
      <c r="AE393" s="378" t="str">
        <f t="shared" si="79"/>
        <v>-</v>
      </c>
      <c r="AF393" s="378" t="str">
        <f t="shared" si="79"/>
        <v>-</v>
      </c>
      <c r="AG393" s="378" t="str">
        <f t="shared" si="79"/>
        <v>-</v>
      </c>
      <c r="AH393" s="378" t="str">
        <f t="shared" si="79"/>
        <v>-</v>
      </c>
      <c r="AI393" s="378" t="str">
        <f t="shared" si="79"/>
        <v>-</v>
      </c>
      <c r="AJ393" s="378" t="str">
        <f t="shared" si="79"/>
        <v>-</v>
      </c>
      <c r="AK393" s="378" t="str">
        <f t="shared" si="79"/>
        <v>-</v>
      </c>
      <c r="AL393" s="378" t="str">
        <f t="shared" si="79"/>
        <v>-</v>
      </c>
      <c r="AM393" s="378" t="str">
        <f t="shared" si="79"/>
        <v>-</v>
      </c>
      <c r="AN393" s="1202" t="s">
        <v>1616</v>
      </c>
      <c r="AO393" s="1034" t="s">
        <v>37</v>
      </c>
      <c r="AP393" s="547"/>
      <c r="AQ393" s="547"/>
      <c r="AR393" s="299" t="s">
        <v>193</v>
      </c>
      <c r="AS393" s="277" t="s">
        <v>1618</v>
      </c>
      <c r="AT393" s="154"/>
      <c r="AU393" s="1195"/>
      <c r="AV393" s="10"/>
    </row>
    <row r="394" spans="2:48" s="139" customFormat="1" ht="20.100000000000001" hidden="1" customHeight="1" outlineLevel="1" thickBot="1">
      <c r="B394" s="2031"/>
      <c r="C394" s="2014"/>
      <c r="D394" s="9936" t="s">
        <v>1619</v>
      </c>
      <c r="E394" s="9936"/>
      <c r="F394" s="9936"/>
      <c r="G394" s="109" t="s">
        <v>33</v>
      </c>
      <c r="H394" s="1316">
        <v>23899</v>
      </c>
      <c r="I394" s="973"/>
      <c r="J394" s="1316">
        <v>27419</v>
      </c>
      <c r="K394" s="2003"/>
      <c r="L394" s="1814"/>
      <c r="M394" s="980">
        <v>23899</v>
      </c>
      <c r="N394" s="1418"/>
      <c r="O394" s="980">
        <v>27419</v>
      </c>
      <c r="P394" s="1418"/>
      <c r="Q394" s="5302"/>
      <c r="R394" s="2339"/>
      <c r="S394" s="2120"/>
      <c r="T394" s="474"/>
      <c r="U394" s="2376"/>
      <c r="V394" s="2340"/>
      <c r="W394" s="2120">
        <v>0</v>
      </c>
      <c r="X394" s="2013">
        <v>0</v>
      </c>
      <c r="Y394" s="474">
        <v>0</v>
      </c>
      <c r="Z394" s="2007">
        <v>0</v>
      </c>
      <c r="AA394" s="474"/>
      <c r="AB394" s="474">
        <v>0</v>
      </c>
      <c r="AC394" s="474">
        <v>0</v>
      </c>
      <c r="AD394" s="474"/>
      <c r="AE394" s="474">
        <v>0</v>
      </c>
      <c r="AF394" s="474">
        <v>0</v>
      </c>
      <c r="AG394" s="474"/>
      <c r="AH394" s="474">
        <v>0</v>
      </c>
      <c r="AI394" s="474">
        <v>0</v>
      </c>
      <c r="AJ394" s="474"/>
      <c r="AK394" s="474">
        <v>0</v>
      </c>
      <c r="AL394" s="474">
        <v>0</v>
      </c>
      <c r="AM394" s="474"/>
      <c r="AN394" s="1202"/>
      <c r="AO394" s="1034" t="s">
        <v>37</v>
      </c>
      <c r="AP394" s="547"/>
      <c r="AQ394" s="547"/>
      <c r="AR394" s="299" t="s">
        <v>193</v>
      </c>
      <c r="AS394" s="277" t="s">
        <v>2170</v>
      </c>
      <c r="AT394" s="154"/>
      <c r="AU394" s="1195"/>
      <c r="AV394" s="10"/>
    </row>
    <row r="395" spans="2:48" s="139" customFormat="1" ht="20.100000000000001" hidden="1" customHeight="1" outlineLevel="1" thickBot="1">
      <c r="B395" s="2031"/>
      <c r="C395" s="2014"/>
      <c r="D395" s="9941" t="s">
        <v>1621</v>
      </c>
      <c r="E395" s="9941"/>
      <c r="F395" s="9941"/>
      <c r="G395" s="109" t="s">
        <v>33</v>
      </c>
      <c r="H395" s="1165">
        <v>328613</v>
      </c>
      <c r="I395" s="1166"/>
      <c r="J395" s="1165">
        <v>706613</v>
      </c>
      <c r="K395" s="1167"/>
      <c r="L395" s="228"/>
      <c r="M395" s="304">
        <v>328613</v>
      </c>
      <c r="N395" s="2000"/>
      <c r="O395" s="304">
        <v>706613</v>
      </c>
      <c r="P395" s="2000"/>
      <c r="Q395" s="2350"/>
      <c r="R395" s="2186"/>
      <c r="S395" s="2111"/>
      <c r="T395" s="100"/>
      <c r="U395" s="2349"/>
      <c r="V395" s="2187"/>
      <c r="W395" s="2111">
        <v>0</v>
      </c>
      <c r="X395" s="2032" t="s">
        <v>2171</v>
      </c>
      <c r="Y395" s="100">
        <v>0</v>
      </c>
      <c r="Z395" s="383" t="s">
        <v>2171</v>
      </c>
      <c r="AA395" s="100"/>
      <c r="AB395" s="100">
        <v>0</v>
      </c>
      <c r="AC395" s="100">
        <v>0</v>
      </c>
      <c r="AD395" s="100"/>
      <c r="AE395" s="100">
        <v>0</v>
      </c>
      <c r="AF395" s="100">
        <v>0</v>
      </c>
      <c r="AG395" s="100"/>
      <c r="AH395" s="100">
        <v>0</v>
      </c>
      <c r="AI395" s="100">
        <v>0</v>
      </c>
      <c r="AJ395" s="100"/>
      <c r="AK395" s="100">
        <v>0</v>
      </c>
      <c r="AL395" s="100">
        <v>0</v>
      </c>
      <c r="AM395" s="100"/>
      <c r="AN395" s="276"/>
      <c r="AO395" s="1034" t="s">
        <v>37</v>
      </c>
      <c r="AP395" s="547"/>
      <c r="AQ395" s="547"/>
      <c r="AR395" s="299" t="s">
        <v>193</v>
      </c>
      <c r="AS395" s="277" t="s">
        <v>2170</v>
      </c>
      <c r="AT395" s="154"/>
      <c r="AU395" s="1195"/>
      <c r="AV395" s="10"/>
    </row>
    <row r="396" spans="2:48" s="139" customFormat="1" ht="20.100000000000001" hidden="1" customHeight="1" outlineLevel="1" thickBot="1">
      <c r="B396" s="2031"/>
      <c r="C396" s="9935" t="s">
        <v>1623</v>
      </c>
      <c r="D396" s="9936"/>
      <c r="E396" s="9936"/>
      <c r="F396" s="9936"/>
      <c r="G396" s="162" t="s">
        <v>156</v>
      </c>
      <c r="H396" s="354">
        <f>IFERROR(H397/H398*100,"-")</f>
        <v>10.767786647595091</v>
      </c>
      <c r="I396" s="2003"/>
      <c r="J396" s="354">
        <f>IFERROR(J397/J398*100,"-")</f>
        <v>14.159225569556872</v>
      </c>
      <c r="K396" s="2003"/>
      <c r="L396" s="356" t="str">
        <f>IFERROR(L397/L398*100,"-")</f>
        <v>-</v>
      </c>
      <c r="M396" s="356">
        <f>IFERROR(M397/M398*100,"-")</f>
        <v>10.767786647595091</v>
      </c>
      <c r="N396" s="2004"/>
      <c r="O396" s="356">
        <f>IFERROR(O397/O398*100,"-")</f>
        <v>14.159225569556872</v>
      </c>
      <c r="P396" s="2004"/>
      <c r="Q396" s="2065" t="str">
        <f>IFERROR(Q397/Q398*100,"-")</f>
        <v>-</v>
      </c>
      <c r="R396" s="2342"/>
      <c r="S396" s="2116"/>
      <c r="T396" s="378"/>
      <c r="U396" s="2352"/>
      <c r="V396" s="2343"/>
      <c r="W396" s="2116" t="str">
        <f>IFERROR(W397/W398*100,"-")</f>
        <v>-</v>
      </c>
      <c r="X396" s="1316"/>
      <c r="Y396" s="378" t="str">
        <f>IFERROR(Y397/Y398*100,"-")</f>
        <v>-</v>
      </c>
      <c r="Z396" s="1316"/>
      <c r="AA396" s="378" t="str">
        <f t="shared" ref="AA396:AM396" si="80">IFERROR(AA397/AA398*100,"-")</f>
        <v>-</v>
      </c>
      <c r="AB396" s="378" t="str">
        <f t="shared" si="80"/>
        <v>-</v>
      </c>
      <c r="AC396" s="378" t="str">
        <f t="shared" si="80"/>
        <v>-</v>
      </c>
      <c r="AD396" s="378" t="str">
        <f t="shared" si="80"/>
        <v>-</v>
      </c>
      <c r="AE396" s="378" t="str">
        <f t="shared" si="80"/>
        <v>-</v>
      </c>
      <c r="AF396" s="378" t="str">
        <f t="shared" si="80"/>
        <v>-</v>
      </c>
      <c r="AG396" s="378" t="str">
        <f t="shared" si="80"/>
        <v>-</v>
      </c>
      <c r="AH396" s="378" t="str">
        <f t="shared" si="80"/>
        <v>-</v>
      </c>
      <c r="AI396" s="378" t="str">
        <f t="shared" si="80"/>
        <v>-</v>
      </c>
      <c r="AJ396" s="378" t="str">
        <f t="shared" si="80"/>
        <v>-</v>
      </c>
      <c r="AK396" s="378" t="str">
        <f t="shared" si="80"/>
        <v>-</v>
      </c>
      <c r="AL396" s="378" t="str">
        <f t="shared" si="80"/>
        <v>-</v>
      </c>
      <c r="AM396" s="378" t="str">
        <f t="shared" si="80"/>
        <v>-</v>
      </c>
      <c r="AN396" s="1202" t="s">
        <v>1625</v>
      </c>
      <c r="AO396" s="1034" t="s">
        <v>37</v>
      </c>
      <c r="AP396" s="547"/>
      <c r="AQ396" s="547"/>
      <c r="AR396" s="299" t="s">
        <v>193</v>
      </c>
      <c r="AS396" s="277" t="s">
        <v>1627</v>
      </c>
      <c r="AT396" s="154"/>
      <c r="AU396" s="1195"/>
      <c r="AV396" s="10"/>
    </row>
    <row r="397" spans="2:48" s="139" customFormat="1" ht="20.100000000000001" hidden="1" customHeight="1" outlineLevel="1" thickBot="1">
      <c r="B397" s="2031"/>
      <c r="C397" s="2014"/>
      <c r="D397" s="9936" t="s">
        <v>1628</v>
      </c>
      <c r="E397" s="9936"/>
      <c r="F397" s="9936"/>
      <c r="G397" s="109" t="s">
        <v>33</v>
      </c>
      <c r="H397" s="1316">
        <v>52997</v>
      </c>
      <c r="I397" s="973"/>
      <c r="J397" s="1316">
        <v>101802</v>
      </c>
      <c r="K397" s="2003"/>
      <c r="L397" s="1814"/>
      <c r="M397" s="980">
        <v>52997</v>
      </c>
      <c r="N397" s="1418"/>
      <c r="O397" s="980">
        <v>101802</v>
      </c>
      <c r="P397" s="1418"/>
      <c r="Q397" s="5302"/>
      <c r="R397" s="2339"/>
      <c r="S397" s="2120"/>
      <c r="T397" s="474"/>
      <c r="U397" s="2376"/>
      <c r="V397" s="2340"/>
      <c r="W397" s="2120">
        <v>0</v>
      </c>
      <c r="X397" s="2007">
        <v>0</v>
      </c>
      <c r="Y397" s="474">
        <v>0</v>
      </c>
      <c r="Z397" s="2007">
        <v>0</v>
      </c>
      <c r="AA397" s="474"/>
      <c r="AB397" s="474">
        <v>0</v>
      </c>
      <c r="AC397" s="474">
        <v>0</v>
      </c>
      <c r="AD397" s="474"/>
      <c r="AE397" s="474">
        <v>0</v>
      </c>
      <c r="AF397" s="474">
        <v>0</v>
      </c>
      <c r="AG397" s="474"/>
      <c r="AH397" s="474">
        <v>0</v>
      </c>
      <c r="AI397" s="474">
        <v>0</v>
      </c>
      <c r="AJ397" s="474"/>
      <c r="AK397" s="474">
        <v>0</v>
      </c>
      <c r="AL397" s="474">
        <v>0</v>
      </c>
      <c r="AM397" s="474"/>
      <c r="AN397" s="1202"/>
      <c r="AO397" s="1034" t="s">
        <v>37</v>
      </c>
      <c r="AP397" s="547"/>
      <c r="AQ397" s="547"/>
      <c r="AR397" s="299" t="s">
        <v>193</v>
      </c>
      <c r="AS397" s="277" t="s">
        <v>1627</v>
      </c>
      <c r="AT397" s="154"/>
      <c r="AU397" s="1195"/>
      <c r="AV397" s="10"/>
    </row>
    <row r="398" spans="2:48" s="139" customFormat="1" ht="20.100000000000001" hidden="1" customHeight="1" outlineLevel="1" thickBot="1">
      <c r="B398" s="2033"/>
      <c r="C398" s="2034"/>
      <c r="D398" s="9942" t="s">
        <v>1630</v>
      </c>
      <c r="E398" s="9942"/>
      <c r="F398" s="9942"/>
      <c r="G398" s="109" t="s">
        <v>33</v>
      </c>
      <c r="H398" s="2035">
        <v>492181</v>
      </c>
      <c r="I398" s="2036"/>
      <c r="J398" s="2035">
        <v>718980</v>
      </c>
      <c r="K398" s="2037"/>
      <c r="L398" s="351"/>
      <c r="M398" s="425">
        <v>492181</v>
      </c>
      <c r="N398" s="2016"/>
      <c r="O398" s="425">
        <v>718980</v>
      </c>
      <c r="P398" s="2016"/>
      <c r="Q398" s="5304"/>
      <c r="R398" s="2288"/>
      <c r="S398" s="2122"/>
      <c r="T398" s="494"/>
      <c r="U398" s="2373"/>
      <c r="V398" s="2289"/>
      <c r="W398" s="2122">
        <v>0</v>
      </c>
      <c r="X398" s="989">
        <v>0</v>
      </c>
      <c r="Y398" s="494">
        <v>0</v>
      </c>
      <c r="Z398" s="989">
        <v>0</v>
      </c>
      <c r="AA398" s="494"/>
      <c r="AB398" s="494">
        <v>0</v>
      </c>
      <c r="AC398" s="494">
        <v>0</v>
      </c>
      <c r="AD398" s="494"/>
      <c r="AE398" s="494">
        <v>0</v>
      </c>
      <c r="AF398" s="494">
        <v>0</v>
      </c>
      <c r="AG398" s="494"/>
      <c r="AH398" s="494">
        <v>0</v>
      </c>
      <c r="AI398" s="494">
        <v>0</v>
      </c>
      <c r="AJ398" s="494"/>
      <c r="AK398" s="494">
        <v>0</v>
      </c>
      <c r="AL398" s="494">
        <v>0</v>
      </c>
      <c r="AM398" s="494"/>
      <c r="AN398" s="714"/>
      <c r="AO398" s="1153" t="s">
        <v>37</v>
      </c>
      <c r="AP398" s="1101"/>
      <c r="AQ398" s="1101"/>
      <c r="AR398" s="299" t="s">
        <v>193</v>
      </c>
      <c r="AS398" s="277" t="s">
        <v>1627</v>
      </c>
      <c r="AT398" s="1231"/>
      <c r="AU398" s="1232"/>
      <c r="AV398" s="10"/>
    </row>
    <row r="399" spans="2:48" ht="27" collapsed="1" thickBot="1">
      <c r="B399" s="123" t="s">
        <v>1632</v>
      </c>
      <c r="C399" s="124"/>
      <c r="D399" s="124"/>
      <c r="E399" s="124"/>
      <c r="F399" s="124"/>
      <c r="G399" s="78"/>
      <c r="H399" s="1732"/>
      <c r="I399" s="1732"/>
      <c r="J399" s="1732"/>
      <c r="K399" s="1732"/>
      <c r="L399" s="1732"/>
      <c r="M399" s="1733"/>
      <c r="N399" s="1734"/>
      <c r="O399" s="1733"/>
      <c r="P399" s="1734"/>
      <c r="Q399" s="1733"/>
      <c r="R399" s="2175"/>
      <c r="S399" s="148"/>
      <c r="T399" s="148"/>
      <c r="U399" s="148"/>
      <c r="V399" s="2176"/>
      <c r="W399" s="148"/>
      <c r="X399" s="148"/>
      <c r="Y399" s="148"/>
      <c r="Z399" s="148"/>
      <c r="AA399" s="148"/>
      <c r="AB399" s="148"/>
      <c r="AC399" s="148"/>
      <c r="AD399" s="148"/>
      <c r="AE399" s="148"/>
      <c r="AF399" s="148"/>
      <c r="AG399" s="148"/>
      <c r="AH399" s="148"/>
      <c r="AI399" s="148"/>
      <c r="AJ399" s="148"/>
      <c r="AK399" s="148"/>
      <c r="AL399" s="148"/>
      <c r="AM399" s="148"/>
      <c r="AN399" s="80"/>
      <c r="AO399" s="1274"/>
      <c r="AP399" s="129"/>
      <c r="AQ399" s="129"/>
      <c r="AR399" s="1274"/>
      <c r="AS399" s="328"/>
      <c r="AT399" s="328"/>
      <c r="AU399" s="1006"/>
    </row>
    <row r="400" spans="2:48" ht="20.100000000000001" customHeight="1">
      <c r="B400" s="2038"/>
      <c r="C400" s="9943" t="s">
        <v>1633</v>
      </c>
      <c r="D400" s="9944"/>
      <c r="E400" s="9944"/>
      <c r="F400" s="1962" t="s">
        <v>1636</v>
      </c>
      <c r="G400" s="758" t="s">
        <v>1636</v>
      </c>
      <c r="H400" s="826">
        <v>4945.55</v>
      </c>
      <c r="I400" s="826"/>
      <c r="J400" s="826">
        <v>5592</v>
      </c>
      <c r="K400" s="441"/>
      <c r="L400" s="761"/>
      <c r="M400" s="1927">
        <v>2892.3</v>
      </c>
      <c r="N400" s="2039" t="s">
        <v>1641</v>
      </c>
      <c r="O400" s="1927">
        <v>4113</v>
      </c>
      <c r="P400" s="2039" t="s">
        <v>1642</v>
      </c>
      <c r="Q400" s="5307"/>
      <c r="R400" s="2186">
        <f>W400</f>
        <v>244</v>
      </c>
      <c r="S400" s="2111"/>
      <c r="T400" s="100">
        <f>Y400</f>
        <v>288</v>
      </c>
      <c r="U400" s="2349"/>
      <c r="V400" s="2187">
        <f>AA400</f>
        <v>236.75</v>
      </c>
      <c r="W400" s="4957">
        <v>244</v>
      </c>
      <c r="X400" s="2039" t="s">
        <v>2172</v>
      </c>
      <c r="Y400" s="765">
        <v>288</v>
      </c>
      <c r="Z400" s="2039" t="s">
        <v>2173</v>
      </c>
      <c r="AA400" s="766">
        <f>AD400+AG400+AJ400+AM400</f>
        <v>236.75</v>
      </c>
      <c r="AB400" s="766"/>
      <c r="AC400" s="766"/>
      <c r="AD400" s="766">
        <v>204</v>
      </c>
      <c r="AE400" s="766"/>
      <c r="AF400" s="766"/>
      <c r="AG400" s="766">
        <v>32.75</v>
      </c>
      <c r="AH400" s="2040"/>
      <c r="AI400" s="2040"/>
      <c r="AJ400" s="2040"/>
      <c r="AK400" s="766"/>
      <c r="AL400" s="766"/>
      <c r="AM400" s="766"/>
      <c r="AN400" s="262" t="s">
        <v>1638</v>
      </c>
      <c r="AO400" s="758"/>
      <c r="AP400" s="534"/>
      <c r="AQ400" s="534"/>
      <c r="AR400" s="758"/>
      <c r="AS400" s="620" t="s">
        <v>1640</v>
      </c>
      <c r="AT400" s="277" t="s">
        <v>1024</v>
      </c>
      <c r="AU400" s="1195"/>
    </row>
    <row r="401" spans="2:48" ht="20.100000000000001" customHeight="1">
      <c r="B401" s="1761"/>
      <c r="C401" s="9933"/>
      <c r="D401" s="9934"/>
      <c r="E401" s="9934"/>
      <c r="F401" s="286" t="s">
        <v>2174</v>
      </c>
      <c r="G401" s="162" t="s">
        <v>732</v>
      </c>
      <c r="H401" s="92">
        <v>1627</v>
      </c>
      <c r="I401" s="92"/>
      <c r="J401" s="92">
        <v>1875</v>
      </c>
      <c r="K401" s="95"/>
      <c r="L401" s="228"/>
      <c r="M401" s="293">
        <v>1031</v>
      </c>
      <c r="N401" s="613" t="s">
        <v>1646</v>
      </c>
      <c r="O401" s="293">
        <v>1186</v>
      </c>
      <c r="P401" s="613" t="s">
        <v>1646</v>
      </c>
      <c r="Q401" s="2350"/>
      <c r="R401" s="2186">
        <f>W401</f>
        <v>123</v>
      </c>
      <c r="S401" s="2111"/>
      <c r="T401" s="100">
        <f>Y401</f>
        <v>161</v>
      </c>
      <c r="U401" s="2349"/>
      <c r="V401" s="2187">
        <f>AA401</f>
        <v>231</v>
      </c>
      <c r="W401" s="2131">
        <v>123</v>
      </c>
      <c r="X401" s="613" t="s">
        <v>2175</v>
      </c>
      <c r="Y401" s="702">
        <v>161</v>
      </c>
      <c r="Z401" s="613" t="s">
        <v>2176</v>
      </c>
      <c r="AA401" s="100">
        <f>AD401+AG401+AJ401+AM401</f>
        <v>231</v>
      </c>
      <c r="AB401" s="100"/>
      <c r="AC401" s="100"/>
      <c r="AD401" s="100">
        <v>204</v>
      </c>
      <c r="AE401" s="100"/>
      <c r="AF401" s="100"/>
      <c r="AG401" s="100">
        <v>27</v>
      </c>
      <c r="AH401" s="697"/>
      <c r="AI401" s="697"/>
      <c r="AJ401" s="697"/>
      <c r="AK401" s="100"/>
      <c r="AL401" s="100"/>
      <c r="AM401" s="100"/>
      <c r="AN401" s="367" t="s">
        <v>1644</v>
      </c>
      <c r="AO401" s="162"/>
      <c r="AP401" s="547"/>
      <c r="AQ401" s="547"/>
      <c r="AR401" s="162"/>
      <c r="AS401" s="620" t="s">
        <v>1645</v>
      </c>
      <c r="AT401" s="277" t="s">
        <v>1024</v>
      </c>
      <c r="AU401" s="982"/>
    </row>
    <row r="402" spans="2:48" ht="20.100000000000001" customHeight="1">
      <c r="B402" s="1761"/>
      <c r="C402" s="9945"/>
      <c r="D402" s="9946"/>
      <c r="E402" s="9947"/>
      <c r="F402" s="613" t="s">
        <v>1650</v>
      </c>
      <c r="G402" s="162" t="s">
        <v>1476</v>
      </c>
      <c r="H402" s="92">
        <v>0</v>
      </c>
      <c r="I402" s="92"/>
      <c r="J402" s="92">
        <v>0</v>
      </c>
      <c r="K402" s="95"/>
      <c r="L402" s="228"/>
      <c r="M402" s="293">
        <v>0</v>
      </c>
      <c r="N402" s="613">
        <v>0</v>
      </c>
      <c r="O402" s="293">
        <v>0</v>
      </c>
      <c r="P402" s="613">
        <v>0</v>
      </c>
      <c r="Q402" s="2350"/>
      <c r="R402" s="2186">
        <f t="shared" ref="R402:R404" si="81">W402</f>
        <v>0</v>
      </c>
      <c r="S402" s="2111"/>
      <c r="T402" s="100">
        <f t="shared" ref="T402:T404" si="82">Y402</f>
        <v>0</v>
      </c>
      <c r="U402" s="2349"/>
      <c r="V402" s="2187">
        <f t="shared" ref="V402:V404" si="83">AA402</f>
        <v>0</v>
      </c>
      <c r="W402" s="2111">
        <v>0</v>
      </c>
      <c r="X402" s="484">
        <v>0</v>
      </c>
      <c r="Y402" s="100">
        <v>0</v>
      </c>
      <c r="Z402" s="484">
        <v>0</v>
      </c>
      <c r="AA402" s="100">
        <f>AD402+AG402+AJ402+AM402</f>
        <v>0</v>
      </c>
      <c r="AB402" s="100"/>
      <c r="AC402" s="100"/>
      <c r="AD402" s="100"/>
      <c r="AE402" s="100"/>
      <c r="AF402" s="100"/>
      <c r="AG402" s="100">
        <v>0</v>
      </c>
      <c r="AH402" s="100">
        <v>0</v>
      </c>
      <c r="AI402" s="100">
        <v>0</v>
      </c>
      <c r="AJ402" s="100">
        <v>0</v>
      </c>
      <c r="AK402" s="100">
        <v>0</v>
      </c>
      <c r="AL402" s="100">
        <v>0</v>
      </c>
      <c r="AM402" s="100">
        <v>0</v>
      </c>
      <c r="AN402" s="367" t="s">
        <v>1652</v>
      </c>
      <c r="AO402" s="162"/>
      <c r="AP402" s="547"/>
      <c r="AQ402" s="547"/>
      <c r="AR402" s="162"/>
      <c r="AS402" s="277" t="s">
        <v>1654</v>
      </c>
      <c r="AT402" s="277" t="s">
        <v>1655</v>
      </c>
      <c r="AU402" s="982"/>
    </row>
    <row r="403" spans="2:48" ht="20.100000000000001" customHeight="1">
      <c r="B403" s="1761"/>
      <c r="C403" s="9948"/>
      <c r="D403" s="9946"/>
      <c r="E403" s="9947"/>
      <c r="F403" s="613" t="s">
        <v>2177</v>
      </c>
      <c r="G403" s="162" t="s">
        <v>1476</v>
      </c>
      <c r="H403" s="92">
        <v>0</v>
      </c>
      <c r="I403" s="92"/>
      <c r="J403" s="92">
        <v>0</v>
      </c>
      <c r="K403" s="95"/>
      <c r="L403" s="228"/>
      <c r="M403" s="293">
        <v>0</v>
      </c>
      <c r="N403" s="613">
        <v>0</v>
      </c>
      <c r="O403" s="293">
        <v>0</v>
      </c>
      <c r="P403" s="613">
        <v>0</v>
      </c>
      <c r="Q403" s="2350"/>
      <c r="R403" s="2186">
        <f t="shared" si="81"/>
        <v>0</v>
      </c>
      <c r="S403" s="2111"/>
      <c r="T403" s="100">
        <f t="shared" si="82"/>
        <v>0</v>
      </c>
      <c r="U403" s="2349"/>
      <c r="V403" s="2187">
        <f t="shared" si="83"/>
        <v>0</v>
      </c>
      <c r="W403" s="2111">
        <v>0</v>
      </c>
      <c r="X403" s="484">
        <v>0</v>
      </c>
      <c r="Y403" s="100">
        <v>0</v>
      </c>
      <c r="Z403" s="484">
        <v>0</v>
      </c>
      <c r="AA403" s="100">
        <f>AD403+AG403+AJ403+AM403</f>
        <v>0</v>
      </c>
      <c r="AB403" s="100"/>
      <c r="AC403" s="100"/>
      <c r="AD403" s="100"/>
      <c r="AE403" s="100"/>
      <c r="AF403" s="100"/>
      <c r="AG403" s="100">
        <v>0</v>
      </c>
      <c r="AH403" s="100">
        <v>0</v>
      </c>
      <c r="AI403" s="100">
        <v>0</v>
      </c>
      <c r="AJ403" s="100">
        <v>0</v>
      </c>
      <c r="AK403" s="100">
        <v>0</v>
      </c>
      <c r="AL403" s="100">
        <v>0</v>
      </c>
      <c r="AM403" s="100">
        <v>0</v>
      </c>
      <c r="AN403" s="367" t="s">
        <v>1658</v>
      </c>
      <c r="AO403" s="162"/>
      <c r="AP403" s="547"/>
      <c r="AQ403" s="547"/>
      <c r="AR403" s="162"/>
      <c r="AS403" s="277" t="s">
        <v>1660</v>
      </c>
      <c r="AT403" s="265"/>
      <c r="AU403" s="982"/>
    </row>
    <row r="404" spans="2:48" ht="20.100000000000001" customHeight="1">
      <c r="B404" s="1965"/>
      <c r="C404" s="9948"/>
      <c r="D404" s="9946"/>
      <c r="E404" s="9947"/>
      <c r="F404" s="613" t="s">
        <v>1661</v>
      </c>
      <c r="G404" s="162" t="s">
        <v>1476</v>
      </c>
      <c r="H404" s="92">
        <v>0</v>
      </c>
      <c r="I404" s="92"/>
      <c r="J404" s="92">
        <v>0</v>
      </c>
      <c r="K404" s="95"/>
      <c r="L404" s="228"/>
      <c r="M404" s="293">
        <v>0</v>
      </c>
      <c r="N404" s="613">
        <v>0</v>
      </c>
      <c r="O404" s="293">
        <v>0</v>
      </c>
      <c r="P404" s="613">
        <v>0</v>
      </c>
      <c r="Q404" s="2350"/>
      <c r="R404" s="2186">
        <f t="shared" si="81"/>
        <v>0</v>
      </c>
      <c r="S404" s="2111"/>
      <c r="T404" s="100">
        <f t="shared" si="82"/>
        <v>0</v>
      </c>
      <c r="U404" s="2349"/>
      <c r="V404" s="2187">
        <f t="shared" si="83"/>
        <v>0</v>
      </c>
      <c r="W404" s="2111">
        <v>0</v>
      </c>
      <c r="X404" s="484">
        <v>0</v>
      </c>
      <c r="Y404" s="100">
        <v>0</v>
      </c>
      <c r="Z404" s="484">
        <v>0</v>
      </c>
      <c r="AA404" s="100">
        <f>AD404+AG404+AJ404+AM404</f>
        <v>0</v>
      </c>
      <c r="AB404" s="100"/>
      <c r="AC404" s="100"/>
      <c r="AD404" s="100"/>
      <c r="AE404" s="100"/>
      <c r="AF404" s="100"/>
      <c r="AG404" s="100">
        <v>0</v>
      </c>
      <c r="AH404" s="100">
        <v>0</v>
      </c>
      <c r="AI404" s="100">
        <v>0</v>
      </c>
      <c r="AJ404" s="100">
        <v>0</v>
      </c>
      <c r="AK404" s="100">
        <v>0</v>
      </c>
      <c r="AL404" s="100">
        <v>0</v>
      </c>
      <c r="AM404" s="100">
        <v>0</v>
      </c>
      <c r="AN404" s="367" t="s">
        <v>1663</v>
      </c>
      <c r="AO404" s="162"/>
      <c r="AP404" s="547"/>
      <c r="AQ404" s="547"/>
      <c r="AR404" s="162"/>
      <c r="AS404" s="277" t="s">
        <v>1665</v>
      </c>
      <c r="AT404" s="265"/>
      <c r="AU404" s="982" t="s">
        <v>1667</v>
      </c>
    </row>
    <row r="405" spans="2:48" ht="20.100000000000001" customHeight="1">
      <c r="B405" s="2041"/>
      <c r="C405" s="9948"/>
      <c r="D405" s="9946"/>
      <c r="E405" s="9947"/>
      <c r="F405" s="613" t="s">
        <v>1668</v>
      </c>
      <c r="G405" s="162" t="s">
        <v>557</v>
      </c>
      <c r="H405" s="92"/>
      <c r="I405" s="92"/>
      <c r="J405" s="92"/>
      <c r="K405" s="95"/>
      <c r="L405" s="228"/>
      <c r="M405" s="293"/>
      <c r="N405" s="613"/>
      <c r="O405" s="293"/>
      <c r="P405" s="613"/>
      <c r="Q405" s="2350"/>
      <c r="R405" s="2186"/>
      <c r="S405" s="2111"/>
      <c r="T405" s="100"/>
      <c r="U405" s="2349"/>
      <c r="V405" s="2187"/>
      <c r="W405" s="2111"/>
      <c r="X405" s="484"/>
      <c r="Y405" s="100"/>
      <c r="Z405" s="484"/>
      <c r="AA405" s="100"/>
      <c r="AB405" s="100"/>
      <c r="AC405" s="100"/>
      <c r="AD405" s="100"/>
      <c r="AE405" s="100"/>
      <c r="AF405" s="100"/>
      <c r="AG405" s="100">
        <v>0</v>
      </c>
      <c r="AH405" s="100">
        <v>0</v>
      </c>
      <c r="AI405" s="100">
        <v>0</v>
      </c>
      <c r="AJ405" s="100">
        <v>0</v>
      </c>
      <c r="AK405" s="100">
        <v>0</v>
      </c>
      <c r="AL405" s="100">
        <v>0</v>
      </c>
      <c r="AM405" s="100">
        <v>0</v>
      </c>
      <c r="AN405" s="367"/>
      <c r="AO405" s="162"/>
      <c r="AP405" s="547"/>
      <c r="AQ405" s="547"/>
      <c r="AR405" s="162"/>
      <c r="AS405" s="277"/>
      <c r="AT405" s="265" t="s">
        <v>2178</v>
      </c>
      <c r="AU405" s="982"/>
    </row>
    <row r="406" spans="2:48" ht="20.100000000000001" customHeight="1">
      <c r="B406" s="1965"/>
      <c r="C406" s="9948"/>
      <c r="D406" s="9946"/>
      <c r="E406" s="9947"/>
      <c r="F406" s="2042" t="s">
        <v>2179</v>
      </c>
      <c r="G406" s="162" t="s">
        <v>557</v>
      </c>
      <c r="H406" s="540">
        <v>0</v>
      </c>
      <c r="I406" s="539"/>
      <c r="J406" s="540">
        <v>0</v>
      </c>
      <c r="K406" s="1851"/>
      <c r="L406" s="228"/>
      <c r="M406" s="293">
        <v>0</v>
      </c>
      <c r="N406" s="613">
        <v>0</v>
      </c>
      <c r="O406" s="293">
        <v>0</v>
      </c>
      <c r="P406" s="613">
        <v>0</v>
      </c>
      <c r="Q406" s="2350"/>
      <c r="R406" s="2186">
        <f t="shared" ref="R406:R407" si="84">W406</f>
        <v>0</v>
      </c>
      <c r="S406" s="2111"/>
      <c r="T406" s="100">
        <f t="shared" ref="T406:T407" si="85">Y406</f>
        <v>0</v>
      </c>
      <c r="U406" s="2349"/>
      <c r="V406" s="2187">
        <f t="shared" ref="V406:V407" si="86">AA406</f>
        <v>0</v>
      </c>
      <c r="W406" s="2111">
        <v>0</v>
      </c>
      <c r="X406" s="484">
        <v>0</v>
      </c>
      <c r="Y406" s="100">
        <v>0</v>
      </c>
      <c r="Z406" s="484">
        <v>0</v>
      </c>
      <c r="AA406" s="100">
        <f>AD406+AG406+AJ406+AM406</f>
        <v>0</v>
      </c>
      <c r="AB406" s="100"/>
      <c r="AC406" s="100"/>
      <c r="AD406" s="100"/>
      <c r="AE406" s="100"/>
      <c r="AF406" s="100"/>
      <c r="AG406" s="100">
        <v>0</v>
      </c>
      <c r="AH406" s="100">
        <v>0</v>
      </c>
      <c r="AI406" s="100">
        <v>0</v>
      </c>
      <c r="AJ406" s="100">
        <v>0</v>
      </c>
      <c r="AK406" s="100">
        <v>0</v>
      </c>
      <c r="AL406" s="100">
        <v>0</v>
      </c>
      <c r="AM406" s="100">
        <v>0</v>
      </c>
      <c r="AN406" s="367" t="s">
        <v>1663</v>
      </c>
      <c r="AO406" s="162"/>
      <c r="AP406" s="547"/>
      <c r="AQ406" s="547"/>
      <c r="AR406" s="162"/>
      <c r="AS406" s="277" t="s">
        <v>1677</v>
      </c>
      <c r="AT406" s="265"/>
      <c r="AU406" s="982"/>
    </row>
    <row r="407" spans="2:48" ht="20.100000000000001" customHeight="1">
      <c r="B407" s="1965"/>
      <c r="C407" s="9948"/>
      <c r="D407" s="9946"/>
      <c r="E407" s="9947"/>
      <c r="F407" s="613" t="s">
        <v>1679</v>
      </c>
      <c r="G407" s="162" t="s">
        <v>233</v>
      </c>
      <c r="H407" s="92">
        <v>0</v>
      </c>
      <c r="I407" s="92"/>
      <c r="J407" s="92">
        <v>0</v>
      </c>
      <c r="K407" s="95"/>
      <c r="L407" s="228"/>
      <c r="M407" s="293">
        <v>0</v>
      </c>
      <c r="N407" s="613">
        <v>0</v>
      </c>
      <c r="O407" s="293">
        <v>0</v>
      </c>
      <c r="P407" s="613">
        <v>0</v>
      </c>
      <c r="Q407" s="2350"/>
      <c r="R407" s="2186">
        <f t="shared" si="84"/>
        <v>0</v>
      </c>
      <c r="S407" s="2111"/>
      <c r="T407" s="100">
        <f t="shared" si="85"/>
        <v>0</v>
      </c>
      <c r="U407" s="2349"/>
      <c r="V407" s="2187">
        <f t="shared" si="86"/>
        <v>0</v>
      </c>
      <c r="W407" s="2111">
        <v>0</v>
      </c>
      <c r="X407" s="484">
        <v>0</v>
      </c>
      <c r="Y407" s="100">
        <v>0</v>
      </c>
      <c r="Z407" s="484">
        <v>0</v>
      </c>
      <c r="AA407" s="100">
        <f>AD407+AG407+AJ407+AM407</f>
        <v>0</v>
      </c>
      <c r="AB407" s="100"/>
      <c r="AC407" s="100"/>
      <c r="AD407" s="100"/>
      <c r="AE407" s="100"/>
      <c r="AF407" s="100"/>
      <c r="AG407" s="100">
        <v>0</v>
      </c>
      <c r="AH407" s="100">
        <v>0</v>
      </c>
      <c r="AI407" s="100">
        <v>0</v>
      </c>
      <c r="AJ407" s="100">
        <v>0</v>
      </c>
      <c r="AK407" s="100">
        <v>0</v>
      </c>
      <c r="AL407" s="100">
        <v>0</v>
      </c>
      <c r="AM407" s="100">
        <v>0</v>
      </c>
      <c r="AN407" s="367" t="s">
        <v>1680</v>
      </c>
      <c r="AO407" s="162"/>
      <c r="AP407" s="547"/>
      <c r="AQ407" s="547"/>
      <c r="AR407" s="162"/>
      <c r="AS407" s="277" t="s">
        <v>1357</v>
      </c>
      <c r="AT407" s="265"/>
      <c r="AU407" s="982"/>
    </row>
    <row r="408" spans="2:48" ht="20.100000000000001" customHeight="1">
      <c r="B408" s="1965"/>
      <c r="C408" s="9948"/>
      <c r="D408" s="9946"/>
      <c r="E408" s="9947"/>
      <c r="F408" s="613" t="s">
        <v>1683</v>
      </c>
      <c r="G408" s="162" t="s">
        <v>156</v>
      </c>
      <c r="H408" s="92"/>
      <c r="I408" s="92"/>
      <c r="J408" s="92"/>
      <c r="K408" s="95"/>
      <c r="L408" s="228"/>
      <c r="M408" s="293"/>
      <c r="N408" s="613"/>
      <c r="O408" s="293"/>
      <c r="P408" s="613"/>
      <c r="Q408" s="2350"/>
      <c r="R408" s="2186"/>
      <c r="S408" s="2111"/>
      <c r="T408" s="100"/>
      <c r="U408" s="2349"/>
      <c r="V408" s="2187"/>
      <c r="W408" s="2111"/>
      <c r="X408" s="484"/>
      <c r="Y408" s="100"/>
      <c r="Z408" s="484"/>
      <c r="AA408" s="100"/>
      <c r="AB408" s="100"/>
      <c r="AC408" s="100"/>
      <c r="AD408" s="100"/>
      <c r="AE408" s="100"/>
      <c r="AF408" s="100"/>
      <c r="AG408" s="100">
        <v>0</v>
      </c>
      <c r="AH408" s="100">
        <v>0</v>
      </c>
      <c r="AI408" s="100">
        <v>0</v>
      </c>
      <c r="AJ408" s="100">
        <v>0</v>
      </c>
      <c r="AK408" s="100">
        <v>0</v>
      </c>
      <c r="AL408" s="100">
        <v>0</v>
      </c>
      <c r="AM408" s="100">
        <v>0</v>
      </c>
      <c r="AN408" s="367" t="s">
        <v>1685</v>
      </c>
      <c r="AO408" s="162"/>
      <c r="AP408" s="547"/>
      <c r="AQ408" s="547"/>
      <c r="AR408" s="162"/>
      <c r="AS408" s="277"/>
      <c r="AT408" s="265" t="s">
        <v>1687</v>
      </c>
      <c r="AU408" s="982"/>
    </row>
    <row r="409" spans="2:48" ht="20.100000000000001" customHeight="1">
      <c r="B409" s="2043"/>
      <c r="C409" s="9948"/>
      <c r="D409" s="9946"/>
      <c r="E409" s="9947"/>
      <c r="F409" s="613" t="s">
        <v>1688</v>
      </c>
      <c r="G409" s="162" t="s">
        <v>557</v>
      </c>
      <c r="H409" s="92"/>
      <c r="I409" s="92"/>
      <c r="J409" s="92"/>
      <c r="K409" s="95"/>
      <c r="L409" s="228"/>
      <c r="M409" s="92"/>
      <c r="N409" s="613"/>
      <c r="O409" s="92"/>
      <c r="P409" s="613"/>
      <c r="Q409" s="2350"/>
      <c r="R409" s="2186"/>
      <c r="S409" s="2111"/>
      <c r="T409" s="100"/>
      <c r="U409" s="2349"/>
      <c r="V409" s="2187"/>
      <c r="W409" s="2111"/>
      <c r="X409" s="484"/>
      <c r="Y409" s="100"/>
      <c r="Z409" s="484"/>
      <c r="AA409" s="100"/>
      <c r="AB409" s="100"/>
      <c r="AC409" s="100"/>
      <c r="AD409" s="100"/>
      <c r="AE409" s="100"/>
      <c r="AF409" s="100"/>
      <c r="AG409" s="100">
        <v>0</v>
      </c>
      <c r="AH409" s="100">
        <v>0</v>
      </c>
      <c r="AI409" s="100">
        <v>0</v>
      </c>
      <c r="AJ409" s="100">
        <v>0</v>
      </c>
      <c r="AK409" s="100">
        <v>0</v>
      </c>
      <c r="AL409" s="100">
        <v>0</v>
      </c>
      <c r="AM409" s="100">
        <v>0</v>
      </c>
      <c r="AN409" s="367"/>
      <c r="AO409" s="162"/>
      <c r="AP409" s="547"/>
      <c r="AQ409" s="547"/>
      <c r="AR409" s="162"/>
      <c r="AS409" s="277"/>
      <c r="AT409" s="265" t="s">
        <v>1692</v>
      </c>
      <c r="AU409" s="982"/>
    </row>
    <row r="410" spans="2:48" ht="20.100000000000001" customHeight="1">
      <c r="B410" s="2041"/>
      <c r="C410" s="9949"/>
      <c r="D410" s="9950"/>
      <c r="E410" s="9951"/>
      <c r="F410" s="613" t="s">
        <v>1693</v>
      </c>
      <c r="G410" s="162" t="s">
        <v>557</v>
      </c>
      <c r="H410" s="92"/>
      <c r="I410" s="92"/>
      <c r="J410" s="92"/>
      <c r="K410" s="95"/>
      <c r="L410" s="228"/>
      <c r="M410" s="92"/>
      <c r="N410" s="613"/>
      <c r="O410" s="92"/>
      <c r="P410" s="613"/>
      <c r="Q410" s="2350"/>
      <c r="R410" s="2186"/>
      <c r="S410" s="2111"/>
      <c r="T410" s="100"/>
      <c r="U410" s="2349"/>
      <c r="V410" s="2187"/>
      <c r="W410" s="2111"/>
      <c r="X410" s="484"/>
      <c r="Y410" s="100"/>
      <c r="Z410" s="484"/>
      <c r="AA410" s="100"/>
      <c r="AB410" s="100"/>
      <c r="AC410" s="100"/>
      <c r="AD410" s="100"/>
      <c r="AE410" s="100"/>
      <c r="AF410" s="100"/>
      <c r="AG410" s="100">
        <v>0</v>
      </c>
      <c r="AH410" s="100">
        <v>0</v>
      </c>
      <c r="AI410" s="100">
        <v>0</v>
      </c>
      <c r="AJ410" s="100">
        <v>0</v>
      </c>
      <c r="AK410" s="100">
        <v>0</v>
      </c>
      <c r="AL410" s="100">
        <v>0</v>
      </c>
      <c r="AM410" s="100">
        <v>0</v>
      </c>
      <c r="AN410" s="367"/>
      <c r="AO410" s="162"/>
      <c r="AP410" s="547"/>
      <c r="AQ410" s="547"/>
      <c r="AR410" s="162"/>
      <c r="AS410" s="277"/>
      <c r="AT410" s="265" t="s">
        <v>1697</v>
      </c>
      <c r="AU410" s="982"/>
    </row>
    <row r="411" spans="2:48" ht="20.100000000000001" customHeight="1">
      <c r="B411" s="1761"/>
      <c r="C411" s="9933" t="s">
        <v>1698</v>
      </c>
      <c r="D411" s="9934"/>
      <c r="E411" s="9934"/>
      <c r="F411" s="286" t="s">
        <v>2180</v>
      </c>
      <c r="G411" s="162" t="s">
        <v>1476</v>
      </c>
      <c r="H411" s="92">
        <v>19</v>
      </c>
      <c r="I411" s="92"/>
      <c r="J411" s="92">
        <v>20</v>
      </c>
      <c r="K411" s="95"/>
      <c r="L411" s="228"/>
      <c r="M411" s="293">
        <v>19</v>
      </c>
      <c r="N411" s="613" t="s">
        <v>1870</v>
      </c>
      <c r="O411" s="293">
        <v>20</v>
      </c>
      <c r="P411" s="613" t="s">
        <v>1871</v>
      </c>
      <c r="Q411" s="2350"/>
      <c r="R411" s="2186">
        <f t="shared" ref="R411:R412" si="87">W411</f>
        <v>0</v>
      </c>
      <c r="S411" s="2111"/>
      <c r="T411" s="100">
        <f t="shared" ref="T411:T412" si="88">Y411</f>
        <v>0</v>
      </c>
      <c r="U411" s="2349"/>
      <c r="V411" s="2187">
        <f t="shared" ref="V411:V412" si="89">AA411</f>
        <v>0</v>
      </c>
      <c r="W411" s="2111">
        <v>0</v>
      </c>
      <c r="X411" s="484">
        <v>0</v>
      </c>
      <c r="Y411" s="100">
        <v>0</v>
      </c>
      <c r="Z411" s="484">
        <v>0</v>
      </c>
      <c r="AA411" s="100">
        <f>AD411+AG411+AJ411+AM411</f>
        <v>0</v>
      </c>
      <c r="AB411" s="100"/>
      <c r="AC411" s="100">
        <v>0</v>
      </c>
      <c r="AD411" s="100">
        <v>0</v>
      </c>
      <c r="AE411" s="100"/>
      <c r="AF411" s="100"/>
      <c r="AG411" s="100">
        <v>0</v>
      </c>
      <c r="AH411" s="100">
        <v>0</v>
      </c>
      <c r="AI411" s="100">
        <v>0</v>
      </c>
      <c r="AJ411" s="100">
        <v>0</v>
      </c>
      <c r="AK411" s="100">
        <v>0</v>
      </c>
      <c r="AL411" s="100">
        <v>0</v>
      </c>
      <c r="AM411" s="100">
        <v>0</v>
      </c>
      <c r="AN411" s="367" t="s">
        <v>1702</v>
      </c>
      <c r="AO411" s="162"/>
      <c r="AP411" s="547"/>
      <c r="AQ411" s="547"/>
      <c r="AR411" s="162"/>
      <c r="AS411" s="277" t="s">
        <v>1704</v>
      </c>
      <c r="AT411" s="265"/>
      <c r="AU411" s="982"/>
    </row>
    <row r="412" spans="2:48" ht="20.100000000000001" customHeight="1">
      <c r="B412" s="1965"/>
      <c r="C412" s="9933"/>
      <c r="D412" s="9934"/>
      <c r="E412" s="9934"/>
      <c r="F412" s="286" t="s">
        <v>2181</v>
      </c>
      <c r="G412" s="162" t="s">
        <v>1476</v>
      </c>
      <c r="H412" s="92">
        <v>15</v>
      </c>
      <c r="I412" s="92"/>
      <c r="J412" s="92">
        <v>13</v>
      </c>
      <c r="K412" s="95"/>
      <c r="L412" s="228"/>
      <c r="M412" s="293">
        <v>15</v>
      </c>
      <c r="N412" s="613" t="s">
        <v>1872</v>
      </c>
      <c r="O412" s="293">
        <v>13</v>
      </c>
      <c r="P412" s="613" t="s">
        <v>1872</v>
      </c>
      <c r="Q412" s="2350"/>
      <c r="R412" s="2186">
        <f t="shared" si="87"/>
        <v>0</v>
      </c>
      <c r="S412" s="2111"/>
      <c r="T412" s="100">
        <f t="shared" si="88"/>
        <v>0</v>
      </c>
      <c r="U412" s="2349"/>
      <c r="V412" s="2187">
        <f t="shared" si="89"/>
        <v>0</v>
      </c>
      <c r="W412" s="2111">
        <v>0</v>
      </c>
      <c r="X412" s="484">
        <v>0</v>
      </c>
      <c r="Y412" s="100">
        <v>0</v>
      </c>
      <c r="Z412" s="484">
        <v>0</v>
      </c>
      <c r="AA412" s="100">
        <f>AD412+AG412+AJ412+AM412</f>
        <v>0</v>
      </c>
      <c r="AB412" s="100"/>
      <c r="AC412" s="100">
        <v>0</v>
      </c>
      <c r="AD412" s="100">
        <v>0</v>
      </c>
      <c r="AE412" s="100"/>
      <c r="AF412" s="100"/>
      <c r="AG412" s="100">
        <v>0</v>
      </c>
      <c r="AH412" s="100">
        <v>0</v>
      </c>
      <c r="AI412" s="100">
        <v>0</v>
      </c>
      <c r="AJ412" s="100">
        <v>0</v>
      </c>
      <c r="AK412" s="100">
        <v>0</v>
      </c>
      <c r="AL412" s="100">
        <v>0</v>
      </c>
      <c r="AM412" s="100">
        <v>0</v>
      </c>
      <c r="AN412" s="367" t="s">
        <v>1708</v>
      </c>
      <c r="AO412" s="162"/>
      <c r="AP412" s="547"/>
      <c r="AQ412" s="547"/>
      <c r="AR412" s="162"/>
      <c r="AS412" s="277" t="s">
        <v>1710</v>
      </c>
      <c r="AT412" s="265" t="s">
        <v>1711</v>
      </c>
      <c r="AU412" s="982"/>
    </row>
    <row r="413" spans="2:48" ht="20.100000000000001" customHeight="1">
      <c r="B413" s="1754"/>
      <c r="C413" s="2044" t="s">
        <v>1712</v>
      </c>
      <c r="D413" s="253"/>
      <c r="E413" s="253"/>
      <c r="F413" s="253"/>
      <c r="G413" s="109" t="s">
        <v>557</v>
      </c>
      <c r="H413" s="228"/>
      <c r="I413" s="92"/>
      <c r="J413" s="228"/>
      <c r="K413" s="95"/>
      <c r="L413" s="228"/>
      <c r="M413" s="293"/>
      <c r="N413" s="613"/>
      <c r="O413" s="92"/>
      <c r="P413" s="607"/>
      <c r="Q413" s="2350"/>
      <c r="R413" s="2186"/>
      <c r="S413" s="2111"/>
      <c r="T413" s="100"/>
      <c r="U413" s="2349"/>
      <c r="V413" s="2187"/>
      <c r="W413" s="2111"/>
      <c r="X413" s="293"/>
      <c r="Y413" s="100"/>
      <c r="Z413" s="293"/>
      <c r="AA413" s="100"/>
      <c r="AB413" s="100"/>
      <c r="AC413" s="100">
        <v>0</v>
      </c>
      <c r="AD413" s="100">
        <v>0</v>
      </c>
      <c r="AE413" s="100"/>
      <c r="AF413" s="100"/>
      <c r="AG413" s="100">
        <v>0</v>
      </c>
      <c r="AH413" s="100">
        <v>0</v>
      </c>
      <c r="AI413" s="100">
        <v>0</v>
      </c>
      <c r="AJ413" s="100">
        <v>0</v>
      </c>
      <c r="AK413" s="100">
        <v>0</v>
      </c>
      <c r="AL413" s="100">
        <v>0</v>
      </c>
      <c r="AM413" s="100">
        <v>0</v>
      </c>
      <c r="AN413" s="276"/>
      <c r="AO413" s="162"/>
      <c r="AP413" s="547"/>
      <c r="AQ413" s="547"/>
      <c r="AR413" s="162"/>
      <c r="AS413" s="277"/>
      <c r="AT413" s="277" t="s">
        <v>1711</v>
      </c>
      <c r="AU413" s="982"/>
    </row>
    <row r="414" spans="2:48" ht="20.100000000000001" customHeight="1">
      <c r="B414" s="1754"/>
      <c r="C414" s="2044" t="s">
        <v>1722</v>
      </c>
      <c r="D414" s="253"/>
      <c r="E414" s="253"/>
      <c r="F414" s="253"/>
      <c r="G414" s="109" t="s">
        <v>557</v>
      </c>
      <c r="H414" s="92"/>
      <c r="I414" s="92"/>
      <c r="J414" s="92"/>
      <c r="K414" s="95"/>
      <c r="L414" s="228"/>
      <c r="M414" s="293"/>
      <c r="N414" s="613"/>
      <c r="O414" s="92"/>
      <c r="P414" s="607"/>
      <c r="Q414" s="2350"/>
      <c r="R414" s="2186"/>
      <c r="S414" s="2111"/>
      <c r="T414" s="100"/>
      <c r="U414" s="2349"/>
      <c r="V414" s="2187"/>
      <c r="W414" s="2111"/>
      <c r="X414" s="293"/>
      <c r="Y414" s="100"/>
      <c r="Z414" s="293"/>
      <c r="AA414" s="100"/>
      <c r="AB414" s="100"/>
      <c r="AC414" s="100"/>
      <c r="AD414" s="100"/>
      <c r="AE414" s="100"/>
      <c r="AF414" s="100"/>
      <c r="AG414" s="100">
        <v>0</v>
      </c>
      <c r="AH414" s="100">
        <v>0</v>
      </c>
      <c r="AI414" s="100">
        <v>0</v>
      </c>
      <c r="AJ414" s="100">
        <v>0</v>
      </c>
      <c r="AK414" s="100">
        <v>0</v>
      </c>
      <c r="AL414" s="100">
        <v>0</v>
      </c>
      <c r="AM414" s="100">
        <v>0</v>
      </c>
      <c r="AN414" s="276"/>
      <c r="AO414" s="162"/>
      <c r="AP414" s="547"/>
      <c r="AQ414" s="547"/>
      <c r="AR414" s="162"/>
      <c r="AS414" s="277"/>
      <c r="AT414" s="277" t="s">
        <v>1678</v>
      </c>
      <c r="AU414" s="982"/>
    </row>
    <row r="415" spans="2:48" s="139" customFormat="1" ht="20.100000000000001" customHeight="1">
      <c r="B415" s="2031"/>
      <c r="C415" s="9935" t="s">
        <v>1727</v>
      </c>
      <c r="D415" s="9936"/>
      <c r="E415" s="9936"/>
      <c r="F415" s="9936"/>
      <c r="G415" s="109" t="s">
        <v>156</v>
      </c>
      <c r="H415" s="785">
        <f>IFERROR(H416/H417*100,"-")</f>
        <v>58.624031007751945</v>
      </c>
      <c r="I415" s="2003"/>
      <c r="J415" s="785">
        <f>IFERROR(J416/J417*100,"-")</f>
        <v>61.320316132031614</v>
      </c>
      <c r="K415" s="785" t="str">
        <f t="shared" ref="K415:L415" si="90">IFERROR(K416/K417*100,"-")</f>
        <v>-</v>
      </c>
      <c r="L415" s="785" t="str">
        <f t="shared" si="90"/>
        <v>-</v>
      </c>
      <c r="M415" s="785">
        <f>IFERROR(M416/M417*100,"-")</f>
        <v>99.899193548387103</v>
      </c>
      <c r="N415" s="2004"/>
      <c r="O415" s="785">
        <f>IFERROR(O416/O417*100,"-")</f>
        <v>100</v>
      </c>
      <c r="P415" s="2004"/>
      <c r="Q415" s="2368" t="str">
        <f>IFERROR(Q416/Q417*100,"-")</f>
        <v>-</v>
      </c>
      <c r="R415" s="2265">
        <f>IFERROR(R416/R417*100,"-")</f>
        <v>96.899224806201545</v>
      </c>
      <c r="S415" s="2138"/>
      <c r="T415" s="785">
        <f>IFERROR(T416/T417*100,"-")</f>
        <v>99.375</v>
      </c>
      <c r="U415" s="2368"/>
      <c r="V415" s="2266">
        <f>IFERROR(V416/V417*100,"-")</f>
        <v>98.958333333333343</v>
      </c>
      <c r="W415" s="2138">
        <f>IFERROR(W416/W417*100,"-")</f>
        <v>96.899224806201545</v>
      </c>
      <c r="X415" s="1316"/>
      <c r="Y415" s="785">
        <f>IFERROR(Y416/Y417*100,"-")</f>
        <v>99.375</v>
      </c>
      <c r="Z415" s="1316"/>
      <c r="AA415" s="785">
        <f>IFERROR(AA416/AA417*100,"-")</f>
        <v>98.958333333333343</v>
      </c>
      <c r="AB415" s="785" t="str">
        <f t="shared" ref="AB415:AM415" si="91">IFERROR(AB416/AB417*100,"-")</f>
        <v>-</v>
      </c>
      <c r="AC415" s="785" t="str">
        <f t="shared" si="91"/>
        <v>-</v>
      </c>
      <c r="AD415" s="785">
        <f t="shared" si="91"/>
        <v>98.952879581151834</v>
      </c>
      <c r="AE415" s="785" t="str">
        <f t="shared" si="91"/>
        <v>-</v>
      </c>
      <c r="AF415" s="785" t="str">
        <f t="shared" si="91"/>
        <v>-</v>
      </c>
      <c r="AG415" s="785">
        <f t="shared" si="91"/>
        <v>100</v>
      </c>
      <c r="AH415" s="785" t="str">
        <f t="shared" si="91"/>
        <v>-</v>
      </c>
      <c r="AI415" s="785" t="str">
        <f t="shared" si="91"/>
        <v>-</v>
      </c>
      <c r="AJ415" s="785" t="str">
        <f t="shared" si="91"/>
        <v>-</v>
      </c>
      <c r="AK415" s="785" t="str">
        <f t="shared" si="91"/>
        <v>-</v>
      </c>
      <c r="AL415" s="785" t="str">
        <f t="shared" si="91"/>
        <v>-</v>
      </c>
      <c r="AM415" s="785" t="str">
        <f t="shared" si="91"/>
        <v>-</v>
      </c>
      <c r="AN415" s="1202" t="s">
        <v>1729</v>
      </c>
      <c r="AO415" s="162"/>
      <c r="AP415" s="547"/>
      <c r="AQ415" s="547"/>
      <c r="AR415" s="162"/>
      <c r="AS415" s="277" t="s">
        <v>1732</v>
      </c>
      <c r="AT415" s="154"/>
      <c r="AU415" s="1195"/>
      <c r="AV415" s="10"/>
    </row>
    <row r="416" spans="2:48" s="139" customFormat="1" ht="20.100000000000001" customHeight="1">
      <c r="B416" s="2033"/>
      <c r="C416" s="2014"/>
      <c r="D416" s="9936" t="s">
        <v>1733</v>
      </c>
      <c r="E416" s="9936"/>
      <c r="F416" s="9936"/>
      <c r="G416" s="109" t="s">
        <v>742</v>
      </c>
      <c r="H416" s="973">
        <v>1210</v>
      </c>
      <c r="I416" s="973"/>
      <c r="J416" s="973">
        <v>1319</v>
      </c>
      <c r="K416" s="2003"/>
      <c r="L416" s="1814"/>
      <c r="M416" s="980">
        <v>991</v>
      </c>
      <c r="N416" s="1418" t="s">
        <v>1873</v>
      </c>
      <c r="O416" s="980">
        <v>1023</v>
      </c>
      <c r="P416" s="1418" t="s">
        <v>1874</v>
      </c>
      <c r="Q416" s="5302"/>
      <c r="R416" s="2339">
        <f t="shared" ref="R416:R417" si="92">W416</f>
        <v>125</v>
      </c>
      <c r="S416" s="2120"/>
      <c r="T416" s="474">
        <f t="shared" ref="T416:T417" si="93">Y416</f>
        <v>159</v>
      </c>
      <c r="U416" s="2376"/>
      <c r="V416" s="2340">
        <f t="shared" ref="V416:V417" si="94">AA416</f>
        <v>190</v>
      </c>
      <c r="W416" s="2120">
        <v>125</v>
      </c>
      <c r="X416" s="1323" t="s">
        <v>2182</v>
      </c>
      <c r="Y416" s="474">
        <v>159</v>
      </c>
      <c r="Z416" s="1323" t="s">
        <v>2183</v>
      </c>
      <c r="AA416" s="474">
        <f>AD416+AG416+AJ416+AM416</f>
        <v>190</v>
      </c>
      <c r="AB416" s="474"/>
      <c r="AC416" s="474"/>
      <c r="AD416" s="474">
        <v>189</v>
      </c>
      <c r="AE416" s="474"/>
      <c r="AF416" s="474"/>
      <c r="AG416" s="474">
        <v>1</v>
      </c>
      <c r="AH416" s="1324"/>
      <c r="AI416" s="1324"/>
      <c r="AJ416" s="1324"/>
      <c r="AK416" s="474"/>
      <c r="AL416" s="474"/>
      <c r="AM416" s="474"/>
      <c r="AN416" s="1202"/>
      <c r="AO416" s="162"/>
      <c r="AP416" s="547"/>
      <c r="AQ416" s="547"/>
      <c r="AR416" s="162"/>
      <c r="AS416" s="981" t="s">
        <v>2184</v>
      </c>
      <c r="AT416" s="1231"/>
      <c r="AU416" s="1232"/>
      <c r="AV416" s="10"/>
    </row>
    <row r="417" spans="2:48" s="139" customFormat="1" ht="20.100000000000001" customHeight="1" thickBot="1">
      <c r="B417" s="2045"/>
      <c r="C417" s="2046"/>
      <c r="D417" s="9937" t="s">
        <v>1737</v>
      </c>
      <c r="E417" s="9937"/>
      <c r="F417" s="9937"/>
      <c r="G417" s="711" t="s">
        <v>742</v>
      </c>
      <c r="H417" s="2047">
        <v>2064</v>
      </c>
      <c r="I417" s="2047"/>
      <c r="J417" s="2047">
        <v>2151</v>
      </c>
      <c r="K417" s="2048"/>
      <c r="L417" s="2049"/>
      <c r="M417" s="2027">
        <v>992</v>
      </c>
      <c r="N417" s="2029" t="s">
        <v>1875</v>
      </c>
      <c r="O417" s="2027">
        <v>1023</v>
      </c>
      <c r="P417" s="2029" t="s">
        <v>1875</v>
      </c>
      <c r="Q417" s="5305"/>
      <c r="R417" s="2248">
        <f t="shared" si="92"/>
        <v>129</v>
      </c>
      <c r="S417" s="5772"/>
      <c r="T417" s="241">
        <f t="shared" si="93"/>
        <v>160</v>
      </c>
      <c r="U417" s="2351"/>
      <c r="V417" s="2191">
        <f t="shared" si="94"/>
        <v>192</v>
      </c>
      <c r="W417" s="2130">
        <v>129</v>
      </c>
      <c r="X417" s="1335" t="s">
        <v>2185</v>
      </c>
      <c r="Y417" s="593">
        <v>160</v>
      </c>
      <c r="Z417" s="1335" t="s">
        <v>2186</v>
      </c>
      <c r="AA417" s="593">
        <f>AD417+AG417+AJ417+AM417</f>
        <v>192</v>
      </c>
      <c r="AB417" s="593"/>
      <c r="AC417" s="593"/>
      <c r="AD417" s="593">
        <v>191</v>
      </c>
      <c r="AE417" s="593"/>
      <c r="AF417" s="593"/>
      <c r="AG417" s="593">
        <v>1</v>
      </c>
      <c r="AH417" s="1336"/>
      <c r="AI417" s="1336"/>
      <c r="AJ417" s="1336"/>
      <c r="AK417" s="593"/>
      <c r="AL417" s="593"/>
      <c r="AM417" s="593"/>
      <c r="AN417" s="595"/>
      <c r="AO417" s="1338"/>
      <c r="AP417" s="597"/>
      <c r="AQ417" s="1129"/>
      <c r="AR417" s="1338"/>
      <c r="AS417" s="2050" t="s">
        <v>2184</v>
      </c>
      <c r="AT417" s="1992"/>
      <c r="AU417" s="1184"/>
      <c r="AV417" s="10"/>
    </row>
  </sheetData>
  <autoFilter ref="A13:AZ417" xr:uid="{0431C659-58E9-4501-97D1-E1E83D5BEA91}">
    <filterColumn colId="2" showButton="0"/>
    <filterColumn colId="3" showButton="0"/>
    <filterColumn colId="4" showButton="0"/>
  </autoFilter>
  <mergeCells count="312">
    <mergeCell ref="B12:B13"/>
    <mergeCell ref="C12:F13"/>
    <mergeCell ref="G12:G13"/>
    <mergeCell ref="H12:L12"/>
    <mergeCell ref="M12:Q12"/>
    <mergeCell ref="W12:AA12"/>
    <mergeCell ref="AP12:AP13"/>
    <mergeCell ref="AQ12:AQ13"/>
    <mergeCell ref="AR12:AR13"/>
    <mergeCell ref="AS12:AU12"/>
    <mergeCell ref="C16:F16"/>
    <mergeCell ref="C17:F17"/>
    <mergeCell ref="AB12:AD12"/>
    <mergeCell ref="AE12:AG12"/>
    <mergeCell ref="AH12:AJ12"/>
    <mergeCell ref="AK12:AM12"/>
    <mergeCell ref="AN12:AN13"/>
    <mergeCell ref="AO12:AO13"/>
    <mergeCell ref="C24:F24"/>
    <mergeCell ref="C29:F29"/>
    <mergeCell ref="C30:F30"/>
    <mergeCell ref="C31:F31"/>
    <mergeCell ref="C32:F32"/>
    <mergeCell ref="C33:F33"/>
    <mergeCell ref="C18:F18"/>
    <mergeCell ref="C19:F19"/>
    <mergeCell ref="C20:F20"/>
    <mergeCell ref="C21:F21"/>
    <mergeCell ref="C22:F22"/>
    <mergeCell ref="C23:F23"/>
    <mergeCell ref="C41:F41"/>
    <mergeCell ref="C42:F42"/>
    <mergeCell ref="C43:F43"/>
    <mergeCell ref="C44:F44"/>
    <mergeCell ref="C45:F45"/>
    <mergeCell ref="C46:F46"/>
    <mergeCell ref="C34:F34"/>
    <mergeCell ref="C35:F35"/>
    <mergeCell ref="C36:F36"/>
    <mergeCell ref="C37:F37"/>
    <mergeCell ref="C38:F38"/>
    <mergeCell ref="C39:F39"/>
    <mergeCell ref="C54:F54"/>
    <mergeCell ref="C55:F55"/>
    <mergeCell ref="C56:F56"/>
    <mergeCell ref="C57:F57"/>
    <mergeCell ref="C58:F58"/>
    <mergeCell ref="C59:F59"/>
    <mergeCell ref="C47:F47"/>
    <mergeCell ref="C48:F48"/>
    <mergeCell ref="C50:F50"/>
    <mergeCell ref="C51:F51"/>
    <mergeCell ref="C52:F52"/>
    <mergeCell ref="C53:F53"/>
    <mergeCell ref="AN84:AN85"/>
    <mergeCell ref="D85:F85"/>
    <mergeCell ref="C66:C68"/>
    <mergeCell ref="C69:C72"/>
    <mergeCell ref="C73:C74"/>
    <mergeCell ref="D73:F73"/>
    <mergeCell ref="D74:F74"/>
    <mergeCell ref="C77:F77"/>
    <mergeCell ref="C60:F60"/>
    <mergeCell ref="C61:F61"/>
    <mergeCell ref="C62:F62"/>
    <mergeCell ref="C63:C65"/>
    <mergeCell ref="D63:F63"/>
    <mergeCell ref="D64:F64"/>
    <mergeCell ref="D65:F65"/>
    <mergeCell ref="C86:E88"/>
    <mergeCell ref="C90:F90"/>
    <mergeCell ref="C91:C92"/>
    <mergeCell ref="D91:F91"/>
    <mergeCell ref="D92:F92"/>
    <mergeCell ref="C93:F93"/>
    <mergeCell ref="C78:C79"/>
    <mergeCell ref="C81:C82"/>
    <mergeCell ref="C83:F83"/>
    <mergeCell ref="C84:C85"/>
    <mergeCell ref="D84:F84"/>
    <mergeCell ref="C100:C102"/>
    <mergeCell ref="D101:F101"/>
    <mergeCell ref="D102:F102"/>
    <mergeCell ref="C103:F103"/>
    <mergeCell ref="C104:C105"/>
    <mergeCell ref="D104:F104"/>
    <mergeCell ref="D105:F105"/>
    <mergeCell ref="C94:C95"/>
    <mergeCell ref="D94:F94"/>
    <mergeCell ref="D95:F95"/>
    <mergeCell ref="C97:C98"/>
    <mergeCell ref="D97:F97"/>
    <mergeCell ref="D98:F98"/>
    <mergeCell ref="C111:F111"/>
    <mergeCell ref="C112:C113"/>
    <mergeCell ref="C114:E116"/>
    <mergeCell ref="C118:F118"/>
    <mergeCell ref="C119:C122"/>
    <mergeCell ref="C123:F123"/>
    <mergeCell ref="C106:F106"/>
    <mergeCell ref="C107:F107"/>
    <mergeCell ref="C108:F108"/>
    <mergeCell ref="C109:C110"/>
    <mergeCell ref="D109:F109"/>
    <mergeCell ref="D110:F110"/>
    <mergeCell ref="C129:C130"/>
    <mergeCell ref="D129:F129"/>
    <mergeCell ref="D130:F130"/>
    <mergeCell ref="C131:F131"/>
    <mergeCell ref="D132:F132"/>
    <mergeCell ref="C133:F133"/>
    <mergeCell ref="C124:C125"/>
    <mergeCell ref="D124:F124"/>
    <mergeCell ref="D125:F125"/>
    <mergeCell ref="C126:F126"/>
    <mergeCell ref="C127:F127"/>
    <mergeCell ref="C128:F128"/>
    <mergeCell ref="C134:C139"/>
    <mergeCell ref="D137:F137"/>
    <mergeCell ref="D138:F138"/>
    <mergeCell ref="D139:F139"/>
    <mergeCell ref="C141:F141"/>
    <mergeCell ref="C142:C147"/>
    <mergeCell ref="D142:F142"/>
    <mergeCell ref="D143:D144"/>
    <mergeCell ref="E143:F143"/>
    <mergeCell ref="E144:F144"/>
    <mergeCell ref="C150:C151"/>
    <mergeCell ref="D150:F150"/>
    <mergeCell ref="D151:F151"/>
    <mergeCell ref="C152:F152"/>
    <mergeCell ref="C153:C154"/>
    <mergeCell ref="C155:F155"/>
    <mergeCell ref="D145:F145"/>
    <mergeCell ref="D146:D147"/>
    <mergeCell ref="E146:F146"/>
    <mergeCell ref="E147:F147"/>
    <mergeCell ref="C148:F148"/>
    <mergeCell ref="C149:F149"/>
    <mergeCell ref="C156:C157"/>
    <mergeCell ref="D156:F156"/>
    <mergeCell ref="D157:F157"/>
    <mergeCell ref="C158:F158"/>
    <mergeCell ref="C159:F159"/>
    <mergeCell ref="C160:C167"/>
    <mergeCell ref="D160:F160"/>
    <mergeCell ref="D161:F161"/>
    <mergeCell ref="D162:F162"/>
    <mergeCell ref="D163:F163"/>
    <mergeCell ref="C172:F172"/>
    <mergeCell ref="C173:F173"/>
    <mergeCell ref="C174:F174"/>
    <mergeCell ref="D175:F175"/>
    <mergeCell ref="D176:F176"/>
    <mergeCell ref="D177:F177"/>
    <mergeCell ref="D164:F164"/>
    <mergeCell ref="D165:F165"/>
    <mergeCell ref="D166:F166"/>
    <mergeCell ref="D167:F167"/>
    <mergeCell ref="C169:F169"/>
    <mergeCell ref="C170:F170"/>
    <mergeCell ref="D187:F187"/>
    <mergeCell ref="C189:F189"/>
    <mergeCell ref="D190:F190"/>
    <mergeCell ref="D191:F191"/>
    <mergeCell ref="D192:F192"/>
    <mergeCell ref="D193:F193"/>
    <mergeCell ref="D178:F178"/>
    <mergeCell ref="C180:F180"/>
    <mergeCell ref="C183:F183"/>
    <mergeCell ref="D184:F184"/>
    <mergeCell ref="D185:F185"/>
    <mergeCell ref="D186:F186"/>
    <mergeCell ref="C208:E209"/>
    <mergeCell ref="C210:E211"/>
    <mergeCell ref="C212:E214"/>
    <mergeCell ref="C215:F215"/>
    <mergeCell ref="C216:E218"/>
    <mergeCell ref="C224:F224"/>
    <mergeCell ref="C196:F196"/>
    <mergeCell ref="C197:C200"/>
    <mergeCell ref="D198:F198"/>
    <mergeCell ref="D200:F200"/>
    <mergeCell ref="C201:E205"/>
    <mergeCell ref="C206:E207"/>
    <mergeCell ref="AN236:AN240"/>
    <mergeCell ref="C241:E245"/>
    <mergeCell ref="AN241:AN245"/>
    <mergeCell ref="C247:E247"/>
    <mergeCell ref="C248:E248"/>
    <mergeCell ref="C249:E249"/>
    <mergeCell ref="C227:E228"/>
    <mergeCell ref="C229:E231"/>
    <mergeCell ref="C233:F233"/>
    <mergeCell ref="D234:F234"/>
    <mergeCell ref="C236:E240"/>
    <mergeCell ref="C257:F257"/>
    <mergeCell ref="C258:F258"/>
    <mergeCell ref="C260:F260"/>
    <mergeCell ref="D261:F261"/>
    <mergeCell ref="D262:F262"/>
    <mergeCell ref="C263:F263"/>
    <mergeCell ref="C250:F250"/>
    <mergeCell ref="D251:F251"/>
    <mergeCell ref="D252:F252"/>
    <mergeCell ref="C253:F253"/>
    <mergeCell ref="D254:F254"/>
    <mergeCell ref="C256:F256"/>
    <mergeCell ref="C284:E285"/>
    <mergeCell ref="AN284:AN285"/>
    <mergeCell ref="C286:E287"/>
    <mergeCell ref="C288:E290"/>
    <mergeCell ref="C291:F291"/>
    <mergeCell ref="C294:F294"/>
    <mergeCell ref="D264:F264"/>
    <mergeCell ref="C265:F265"/>
    <mergeCell ref="C269:C283"/>
    <mergeCell ref="D269:F269"/>
    <mergeCell ref="D270:F270"/>
    <mergeCell ref="D271:D273"/>
    <mergeCell ref="D274:F274"/>
    <mergeCell ref="D277:D278"/>
    <mergeCell ref="C308:F308"/>
    <mergeCell ref="C309:C310"/>
    <mergeCell ref="D310:F310"/>
    <mergeCell ref="C311:F311"/>
    <mergeCell ref="C312:C313"/>
    <mergeCell ref="D312:F312"/>
    <mergeCell ref="D313:F313"/>
    <mergeCell ref="D296:F296"/>
    <mergeCell ref="C299:E302"/>
    <mergeCell ref="C303:F303"/>
    <mergeCell ref="C304:F304"/>
    <mergeCell ref="C305:F305"/>
    <mergeCell ref="C306:C307"/>
    <mergeCell ref="C320:F320"/>
    <mergeCell ref="C321:F321"/>
    <mergeCell ref="C322:F322"/>
    <mergeCell ref="C323:F323"/>
    <mergeCell ref="C324:C325"/>
    <mergeCell ref="D324:F324"/>
    <mergeCell ref="C314:F314"/>
    <mergeCell ref="C315:C316"/>
    <mergeCell ref="D315:F315"/>
    <mergeCell ref="D316:F316"/>
    <mergeCell ref="C317:F317"/>
    <mergeCell ref="C318:C319"/>
    <mergeCell ref="D318:F318"/>
    <mergeCell ref="D319:F319"/>
    <mergeCell ref="C332:F332"/>
    <mergeCell ref="C333:C334"/>
    <mergeCell ref="D333:F333"/>
    <mergeCell ref="D334:F334"/>
    <mergeCell ref="C335:F335"/>
    <mergeCell ref="D336:F336"/>
    <mergeCell ref="C326:F326"/>
    <mergeCell ref="C327:C328"/>
    <mergeCell ref="D327:F327"/>
    <mergeCell ref="D328:F328"/>
    <mergeCell ref="C329:F329"/>
    <mergeCell ref="C330:C331"/>
    <mergeCell ref="D330:F330"/>
    <mergeCell ref="D331:F331"/>
    <mergeCell ref="C348:E350"/>
    <mergeCell ref="C351:E352"/>
    <mergeCell ref="C354:E355"/>
    <mergeCell ref="C356:E357"/>
    <mergeCell ref="C358:E362"/>
    <mergeCell ref="C363:F363"/>
    <mergeCell ref="C338:F338"/>
    <mergeCell ref="C340:F340"/>
    <mergeCell ref="C342:F342"/>
    <mergeCell ref="C343:E344"/>
    <mergeCell ref="C345:F345"/>
    <mergeCell ref="D387:F387"/>
    <mergeCell ref="D388:F388"/>
    <mergeCell ref="C372:E373"/>
    <mergeCell ref="C375:F375"/>
    <mergeCell ref="C376:C377"/>
    <mergeCell ref="C378:F378"/>
    <mergeCell ref="D379:F379"/>
    <mergeCell ref="D380:F380"/>
    <mergeCell ref="C364:F364"/>
    <mergeCell ref="C365:F365"/>
    <mergeCell ref="D366:F366"/>
    <mergeCell ref="D367:F367"/>
    <mergeCell ref="C369:E370"/>
    <mergeCell ref="C371:F371"/>
    <mergeCell ref="C411:E412"/>
    <mergeCell ref="C415:F415"/>
    <mergeCell ref="D416:F416"/>
    <mergeCell ref="D417:F417"/>
    <mergeCell ref="R12:V12"/>
    <mergeCell ref="C232:E232"/>
    <mergeCell ref="D395:F395"/>
    <mergeCell ref="C396:F396"/>
    <mergeCell ref="D397:F397"/>
    <mergeCell ref="D398:F398"/>
    <mergeCell ref="C400:E401"/>
    <mergeCell ref="C402:E410"/>
    <mergeCell ref="C390:F390"/>
    <mergeCell ref="C391:C392"/>
    <mergeCell ref="D391:F391"/>
    <mergeCell ref="D392:F392"/>
    <mergeCell ref="C393:F393"/>
    <mergeCell ref="D394:F394"/>
    <mergeCell ref="C381:F381"/>
    <mergeCell ref="D382:F382"/>
    <mergeCell ref="D383:F383"/>
    <mergeCell ref="C385:F385"/>
    <mergeCell ref="C386:C388"/>
    <mergeCell ref="D386:F386"/>
  </mergeCells>
  <phoneticPr fontId="3" type="noConversion"/>
  <pageMargins left="0.25" right="0.25" top="0.75" bottom="0.75" header="0" footer="0"/>
  <pageSetup paperSize="8" scale="21" fitToHeight="0"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1F24E-1627-4FC9-90BE-1636181B0BDF}">
  <sheetPr>
    <tabColor theme="2"/>
  </sheetPr>
  <dimension ref="A1:J65"/>
  <sheetViews>
    <sheetView workbookViewId="0"/>
  </sheetViews>
  <sheetFormatPr defaultRowHeight="15"/>
  <cols>
    <col min="1" max="1" width="28.75" style="7872" bestFit="1" customWidth="1"/>
    <col min="2" max="2" width="15.875" style="7873" bestFit="1" customWidth="1"/>
    <col min="3" max="4" width="15.875" style="7873" hidden="1" customWidth="1"/>
    <col min="5" max="5" width="2.75" style="8800" customWidth="1"/>
    <col min="6" max="6" width="28.75" style="7872" bestFit="1" customWidth="1"/>
    <col min="7" max="7" width="15.875" style="7873" bestFit="1" customWidth="1"/>
    <col min="8" max="8" width="3" style="8800" customWidth="1"/>
    <col min="9" max="9" width="28.75" style="7872" bestFit="1" customWidth="1"/>
    <col min="10" max="10" width="15.875" style="7873" bestFit="1" customWidth="1"/>
    <col min="11" max="16384" width="9" style="7872"/>
  </cols>
  <sheetData>
    <row r="1" spans="1:10">
      <c r="A1" s="7871" t="s">
        <v>2187</v>
      </c>
      <c r="F1" s="7871" t="s">
        <v>2187</v>
      </c>
      <c r="I1" s="7871" t="s">
        <v>2187</v>
      </c>
    </row>
    <row r="2" spans="1:10">
      <c r="A2" s="9136" t="s">
        <v>3676</v>
      </c>
      <c r="F2" s="9136" t="s">
        <v>3677</v>
      </c>
      <c r="I2" s="9136" t="s">
        <v>3678</v>
      </c>
    </row>
    <row r="4" spans="1:10">
      <c r="A4" s="7871" t="s">
        <v>2188</v>
      </c>
      <c r="B4" s="7873" t="s">
        <v>21</v>
      </c>
      <c r="C4" s="7873" t="s">
        <v>20</v>
      </c>
      <c r="D4" s="7873" t="s">
        <v>18</v>
      </c>
      <c r="F4" s="7871" t="s">
        <v>2188</v>
      </c>
      <c r="I4" s="7871" t="s">
        <v>2188</v>
      </c>
    </row>
    <row r="5" spans="1:10">
      <c r="A5" s="7874" t="s">
        <v>2189</v>
      </c>
      <c r="B5" s="7875" t="s">
        <v>2190</v>
      </c>
      <c r="C5" s="7876"/>
      <c r="D5" s="7876"/>
      <c r="F5" s="7874" t="s">
        <v>2189</v>
      </c>
      <c r="G5" s="7875" t="s">
        <v>2190</v>
      </c>
      <c r="I5" s="7874" t="s">
        <v>2189</v>
      </c>
      <c r="J5" s="7875" t="s">
        <v>2190</v>
      </c>
    </row>
    <row r="6" spans="1:10">
      <c r="A6" s="7877" t="s">
        <v>2191</v>
      </c>
      <c r="B6" s="7875">
        <v>1289.4000000000001</v>
      </c>
      <c r="C6" s="7876"/>
      <c r="D6" s="7876"/>
      <c r="F6" s="7877" t="s">
        <v>2191</v>
      </c>
      <c r="G6" s="7875">
        <v>1267.3</v>
      </c>
      <c r="I6" s="7877" t="s">
        <v>2191</v>
      </c>
      <c r="J6" s="7875">
        <v>1185.5</v>
      </c>
    </row>
    <row r="7" spans="1:10">
      <c r="A7" s="7878" t="s">
        <v>2192</v>
      </c>
      <c r="B7" s="7875">
        <v>180.84</v>
      </c>
      <c r="C7" s="7876">
        <f>G7</f>
        <v>181.44</v>
      </c>
      <c r="D7" s="7876">
        <f>J7</f>
        <v>186.26</v>
      </c>
      <c r="F7" s="7878" t="s">
        <v>2192</v>
      </c>
      <c r="G7" s="7875">
        <v>181.44</v>
      </c>
      <c r="I7" s="7878" t="s">
        <v>2192</v>
      </c>
      <c r="J7" s="7875">
        <v>186.26</v>
      </c>
    </row>
    <row r="9" spans="1:10">
      <c r="A9" s="7871" t="s">
        <v>2193</v>
      </c>
      <c r="F9" s="7871" t="s">
        <v>2193</v>
      </c>
      <c r="I9" s="7871" t="s">
        <v>2193</v>
      </c>
    </row>
    <row r="10" spans="1:10">
      <c r="A10" s="7874" t="s">
        <v>2189</v>
      </c>
      <c r="B10" s="7875" t="s">
        <v>2190</v>
      </c>
      <c r="C10" s="7876"/>
      <c r="D10" s="7876"/>
      <c r="F10" s="7874" t="s">
        <v>2189</v>
      </c>
      <c r="G10" s="7875" t="s">
        <v>2190</v>
      </c>
      <c r="I10" s="7874" t="s">
        <v>2189</v>
      </c>
      <c r="J10" s="7875" t="s">
        <v>2190</v>
      </c>
    </row>
    <row r="11" spans="1:10">
      <c r="A11" s="7877" t="s">
        <v>2194</v>
      </c>
      <c r="B11" s="7879">
        <v>912.66</v>
      </c>
      <c r="C11" s="7880"/>
      <c r="D11" s="7880"/>
      <c r="F11" s="7877" t="s">
        <v>2194</v>
      </c>
      <c r="G11" s="7879">
        <v>953.18</v>
      </c>
      <c r="I11" s="7877" t="s">
        <v>2194</v>
      </c>
      <c r="J11" s="7879">
        <v>1030.24</v>
      </c>
    </row>
    <row r="12" spans="1:10">
      <c r="A12" s="7877" t="s">
        <v>2195</v>
      </c>
      <c r="B12" s="7879">
        <v>1426.59</v>
      </c>
      <c r="C12" s="7880"/>
      <c r="D12" s="7880"/>
      <c r="F12" s="7877" t="s">
        <v>2195</v>
      </c>
      <c r="G12" s="7879">
        <v>1351.2</v>
      </c>
      <c r="I12" s="7877" t="s">
        <v>2195</v>
      </c>
      <c r="J12" s="7879">
        <v>1342.34</v>
      </c>
    </row>
    <row r="13" spans="1:10">
      <c r="A13" s="7877" t="s">
        <v>2196</v>
      </c>
      <c r="B13" s="7879">
        <v>1641.79</v>
      </c>
      <c r="C13" s="7880"/>
      <c r="D13" s="7880"/>
      <c r="F13" s="7877" t="s">
        <v>2196</v>
      </c>
      <c r="G13" s="7879">
        <v>1527.67</v>
      </c>
      <c r="I13" s="7877" t="s">
        <v>2196</v>
      </c>
      <c r="J13" s="7879">
        <v>1600.25</v>
      </c>
    </row>
    <row r="14" spans="1:10">
      <c r="A14" s="7877" t="s">
        <v>2197</v>
      </c>
      <c r="B14" s="7879">
        <v>974.64</v>
      </c>
      <c r="C14" s="7880"/>
      <c r="D14" s="7880"/>
      <c r="F14" s="7877" t="s">
        <v>2197</v>
      </c>
      <c r="G14" s="7879">
        <v>935.38</v>
      </c>
      <c r="I14" s="7877" t="s">
        <v>2197</v>
      </c>
      <c r="J14" s="7879">
        <v>930.61</v>
      </c>
    </row>
    <row r="15" spans="1:10">
      <c r="A15" s="7877" t="s">
        <v>2198</v>
      </c>
      <c r="B15" s="7879">
        <v>1526.82</v>
      </c>
      <c r="C15" s="7880"/>
      <c r="D15" s="7880"/>
      <c r="F15" s="7877" t="s">
        <v>2198</v>
      </c>
      <c r="G15" s="7879">
        <v>1372.87</v>
      </c>
      <c r="I15" s="7877" t="s">
        <v>2198</v>
      </c>
      <c r="J15" s="7879">
        <v>1297.47</v>
      </c>
    </row>
    <row r="16" spans="1:10">
      <c r="A16" s="7877" t="s">
        <v>2199</v>
      </c>
      <c r="B16" s="7879">
        <v>880.08</v>
      </c>
      <c r="C16" s="7880"/>
      <c r="D16" s="7880"/>
      <c r="F16" s="7877" t="s">
        <v>2199</v>
      </c>
      <c r="G16" s="7879">
        <v>858.41</v>
      </c>
      <c r="I16" s="7877" t="s">
        <v>2199</v>
      </c>
      <c r="J16" s="7879">
        <v>858.89</v>
      </c>
    </row>
    <row r="17" spans="1:10">
      <c r="A17" s="7877" t="s">
        <v>2200</v>
      </c>
      <c r="B17" s="7879">
        <v>816.45</v>
      </c>
      <c r="C17" s="7880"/>
      <c r="D17" s="7880"/>
      <c r="F17" s="7877" t="s">
        <v>2200</v>
      </c>
      <c r="G17" s="7879">
        <v>804.23</v>
      </c>
      <c r="I17" s="7877" t="s">
        <v>2200</v>
      </c>
      <c r="J17" s="7879">
        <v>809.64</v>
      </c>
    </row>
    <row r="18" spans="1:10">
      <c r="A18" s="7877" t="s">
        <v>2201</v>
      </c>
      <c r="B18" s="7879">
        <v>165.06</v>
      </c>
      <c r="C18" s="7880"/>
      <c r="D18" s="7880"/>
      <c r="F18" s="7877" t="s">
        <v>2201</v>
      </c>
      <c r="G18" s="7879">
        <v>162.55000000000001</v>
      </c>
      <c r="I18" s="7877" t="s">
        <v>2201</v>
      </c>
      <c r="J18" s="7879">
        <v>152.03</v>
      </c>
    </row>
    <row r="19" spans="1:10">
      <c r="A19" s="7877" t="s">
        <v>2202</v>
      </c>
      <c r="B19" s="7879">
        <v>41.98</v>
      </c>
      <c r="C19" s="7880"/>
      <c r="D19" s="7880"/>
      <c r="F19" s="7877" t="s">
        <v>2202</v>
      </c>
      <c r="G19" s="7879">
        <v>41.27</v>
      </c>
      <c r="I19" s="7877" t="s">
        <v>2202</v>
      </c>
      <c r="J19" s="7879">
        <v>42.84</v>
      </c>
    </row>
    <row r="20" spans="1:10">
      <c r="A20" s="7877" t="s">
        <v>2203</v>
      </c>
      <c r="B20" s="7879">
        <v>0.38</v>
      </c>
      <c r="C20" s="7880"/>
      <c r="D20" s="7880"/>
      <c r="F20" s="7877" t="s">
        <v>2203</v>
      </c>
      <c r="G20" s="7879">
        <v>0.37</v>
      </c>
      <c r="I20" s="7877" t="s">
        <v>2203</v>
      </c>
      <c r="J20" s="7879">
        <v>0.41</v>
      </c>
    </row>
    <row r="21" spans="1:10">
      <c r="A21" s="7877" t="s">
        <v>2204</v>
      </c>
      <c r="B21" s="7879">
        <v>2.84</v>
      </c>
      <c r="C21" s="7880"/>
      <c r="D21" s="7880"/>
      <c r="F21" s="7877" t="s">
        <v>2204</v>
      </c>
      <c r="G21" s="7879">
        <v>2.75</v>
      </c>
      <c r="I21" s="7877" t="s">
        <v>2204</v>
      </c>
      <c r="J21" s="7879">
        <v>2.71</v>
      </c>
    </row>
    <row r="22" spans="1:10">
      <c r="A22" s="7877" t="s">
        <v>2205</v>
      </c>
      <c r="B22" s="7879">
        <v>37.619999999999997</v>
      </c>
      <c r="C22" s="7880"/>
      <c r="D22" s="7880"/>
      <c r="F22" s="7877" t="s">
        <v>2205</v>
      </c>
      <c r="G22" s="7879">
        <v>36.659999999999997</v>
      </c>
      <c r="I22" s="7877" t="s">
        <v>2205</v>
      </c>
      <c r="J22" s="7879">
        <v>35.57</v>
      </c>
    </row>
    <row r="23" spans="1:10">
      <c r="A23" s="7877" t="s">
        <v>2206</v>
      </c>
      <c r="B23" s="7879">
        <v>976.86</v>
      </c>
      <c r="C23" s="7880"/>
      <c r="D23" s="7880"/>
      <c r="F23" s="7877" t="s">
        <v>2206</v>
      </c>
      <c r="G23" s="7879">
        <v>943.11</v>
      </c>
      <c r="I23" s="7877" t="s">
        <v>2206</v>
      </c>
      <c r="J23" s="7879">
        <v>877.14</v>
      </c>
    </row>
    <row r="24" spans="1:10">
      <c r="A24" s="7878" t="s">
        <v>2207</v>
      </c>
      <c r="B24" s="7879">
        <v>8.36</v>
      </c>
      <c r="C24" s="7880">
        <f>G24</f>
        <v>8.09</v>
      </c>
      <c r="D24" s="7880">
        <f>J24</f>
        <v>8.31</v>
      </c>
      <c r="F24" s="7878" t="s">
        <v>2207</v>
      </c>
      <c r="G24" s="7879">
        <v>8.09</v>
      </c>
      <c r="I24" s="7878" t="s">
        <v>2207</v>
      </c>
      <c r="J24" s="7879">
        <v>8.31</v>
      </c>
    </row>
    <row r="25" spans="1:10">
      <c r="A25" s="7877" t="s">
        <v>2208</v>
      </c>
      <c r="B25" s="7879">
        <v>279.85000000000002</v>
      </c>
      <c r="C25" s="7880"/>
      <c r="D25" s="7880"/>
      <c r="F25" s="7877" t="s">
        <v>2208</v>
      </c>
      <c r="G25" s="7879">
        <v>286.49</v>
      </c>
      <c r="I25" s="7877" t="s">
        <v>2208</v>
      </c>
      <c r="J25" s="7879">
        <v>283.85000000000002</v>
      </c>
    </row>
    <row r="26" spans="1:10">
      <c r="A26" s="7877" t="s">
        <v>2209</v>
      </c>
      <c r="B26" s="7879">
        <v>23.19</v>
      </c>
      <c r="C26" s="7880"/>
      <c r="D26" s="7880"/>
      <c r="F26" s="7877" t="s">
        <v>2209</v>
      </c>
      <c r="G26" s="7879">
        <v>22.7</v>
      </c>
      <c r="I26" s="7877" t="s">
        <v>2209</v>
      </c>
      <c r="J26" s="7879">
        <v>23.23</v>
      </c>
    </row>
    <row r="27" spans="1:10">
      <c r="A27" s="7878" t="s">
        <v>2210</v>
      </c>
      <c r="B27" s="7879">
        <v>5.32</v>
      </c>
      <c r="C27" s="7880">
        <f>G27</f>
        <v>5.37</v>
      </c>
      <c r="D27" s="7880">
        <f>J27</f>
        <v>5.21</v>
      </c>
      <c r="F27" s="7878" t="s">
        <v>2210</v>
      </c>
      <c r="G27" s="7879">
        <v>5.37</v>
      </c>
      <c r="I27" s="7878" t="s">
        <v>2210</v>
      </c>
      <c r="J27" s="7879">
        <v>5.21</v>
      </c>
    </row>
    <row r="28" spans="1:10">
      <c r="A28" s="7877" t="s">
        <v>2211</v>
      </c>
      <c r="B28" s="7879">
        <v>976.86</v>
      </c>
      <c r="C28" s="7880"/>
      <c r="D28" s="7880"/>
      <c r="F28" s="7877" t="s">
        <v>2211</v>
      </c>
      <c r="G28" s="7879">
        <v>943.11</v>
      </c>
      <c r="I28" s="7877" t="s">
        <v>2211</v>
      </c>
      <c r="J28" s="7879">
        <v>877.14</v>
      </c>
    </row>
    <row r="29" spans="1:10">
      <c r="A29" s="7877" t="s">
        <v>2212</v>
      </c>
      <c r="B29" s="7879">
        <v>15.5</v>
      </c>
      <c r="C29" s="7880"/>
      <c r="D29" s="7880"/>
      <c r="F29" s="7877" t="s">
        <v>2212</v>
      </c>
      <c r="G29" s="7879">
        <v>15.31</v>
      </c>
      <c r="I29" s="7877" t="s">
        <v>2212</v>
      </c>
      <c r="J29" s="7879">
        <v>15.93</v>
      </c>
    </row>
    <row r="30" spans="1:10">
      <c r="A30" s="7877" t="s">
        <v>2213</v>
      </c>
      <c r="B30" s="7879">
        <v>4.57</v>
      </c>
      <c r="C30" s="7880"/>
      <c r="D30" s="7880"/>
      <c r="F30" s="7877" t="s">
        <v>2213</v>
      </c>
      <c r="G30" s="7879">
        <v>5.59</v>
      </c>
      <c r="I30" s="7877" t="s">
        <v>2213</v>
      </c>
      <c r="J30" s="7879">
        <v>6.65</v>
      </c>
    </row>
    <row r="31" spans="1:10">
      <c r="A31" s="7877" t="s">
        <v>2214</v>
      </c>
      <c r="B31" s="7879">
        <v>11.75</v>
      </c>
      <c r="C31" s="7880"/>
      <c r="D31" s="7880"/>
      <c r="F31" s="7877" t="s">
        <v>2214</v>
      </c>
      <c r="G31" s="7879">
        <v>12.29</v>
      </c>
      <c r="I31" s="7877" t="s">
        <v>2214</v>
      </c>
      <c r="J31" s="7879">
        <v>13.83</v>
      </c>
    </row>
    <row r="32" spans="1:10">
      <c r="A32" s="7877" t="s">
        <v>2215</v>
      </c>
      <c r="B32" s="7879">
        <v>0.32</v>
      </c>
      <c r="C32" s="7880"/>
      <c r="D32" s="7880"/>
      <c r="F32" s="7877" t="s">
        <v>2215</v>
      </c>
      <c r="G32" s="7879">
        <v>0.31</v>
      </c>
      <c r="I32" s="7877" t="s">
        <v>2216</v>
      </c>
      <c r="J32" s="7879">
        <v>57.94</v>
      </c>
    </row>
    <row r="33" spans="1:10">
      <c r="A33" s="7877" t="s">
        <v>2217</v>
      </c>
      <c r="B33" s="7879">
        <v>160.11000000000001</v>
      </c>
      <c r="C33" s="7880"/>
      <c r="D33" s="7880"/>
      <c r="F33" s="7877" t="s">
        <v>2217</v>
      </c>
      <c r="G33" s="7879">
        <v>157.78</v>
      </c>
      <c r="I33" s="7877" t="s">
        <v>2218</v>
      </c>
      <c r="J33" s="7879">
        <v>212.78</v>
      </c>
    </row>
    <row r="34" spans="1:10">
      <c r="A34" s="7877" t="s">
        <v>2219</v>
      </c>
      <c r="B34" s="7879">
        <v>9.69</v>
      </c>
      <c r="C34" s="7880"/>
      <c r="D34" s="7880"/>
      <c r="F34" s="7877" t="s">
        <v>2219</v>
      </c>
      <c r="G34" s="7879">
        <v>9.57</v>
      </c>
      <c r="I34" s="7877" t="s">
        <v>2220</v>
      </c>
      <c r="J34" s="7879">
        <v>11.54</v>
      </c>
    </row>
    <row r="35" spans="1:10">
      <c r="A35" s="7877" t="s">
        <v>2221</v>
      </c>
      <c r="B35" s="7879">
        <v>3.98</v>
      </c>
      <c r="C35" s="7880"/>
      <c r="D35" s="7880"/>
      <c r="F35" s="7877" t="s">
        <v>2221</v>
      </c>
      <c r="G35" s="7879">
        <v>3.47</v>
      </c>
      <c r="I35" s="7877" t="s">
        <v>2222</v>
      </c>
      <c r="J35" s="7879">
        <v>131.04</v>
      </c>
    </row>
    <row r="36" spans="1:10">
      <c r="A36" s="7877" t="s">
        <v>2223</v>
      </c>
      <c r="B36" s="7879">
        <v>0.1</v>
      </c>
      <c r="C36" s="7880"/>
      <c r="D36" s="7880"/>
      <c r="F36" s="7877" t="s">
        <v>2223</v>
      </c>
      <c r="G36" s="7879">
        <v>0.11</v>
      </c>
      <c r="I36" s="7877" t="s">
        <v>2224</v>
      </c>
      <c r="J36" s="7879">
        <v>180.48</v>
      </c>
    </row>
    <row r="37" spans="1:10">
      <c r="A37" s="7877" t="s">
        <v>2225</v>
      </c>
      <c r="B37" s="7879">
        <v>0.61</v>
      </c>
      <c r="C37" s="7880"/>
      <c r="D37" s="7880"/>
      <c r="F37" s="7877" t="s">
        <v>2225</v>
      </c>
      <c r="G37" s="7879">
        <v>0.6</v>
      </c>
      <c r="I37" s="7877" t="s">
        <v>2226</v>
      </c>
      <c r="J37" s="7879">
        <v>134.29</v>
      </c>
    </row>
    <row r="38" spans="1:10">
      <c r="A38" s="7877" t="s">
        <v>2216</v>
      </c>
      <c r="B38" s="7879">
        <v>75.97</v>
      </c>
      <c r="C38" s="7880"/>
      <c r="D38" s="7880"/>
      <c r="F38" s="7877" t="s">
        <v>2216</v>
      </c>
      <c r="G38" s="7879">
        <v>65.150000000000006</v>
      </c>
      <c r="I38" s="7877" t="s">
        <v>2227</v>
      </c>
      <c r="J38" s="7879">
        <v>15.85</v>
      </c>
    </row>
    <row r="39" spans="1:10">
      <c r="A39" s="7877" t="s">
        <v>2218</v>
      </c>
      <c r="B39" s="7879">
        <v>265.73</v>
      </c>
      <c r="C39" s="7880"/>
      <c r="D39" s="7880"/>
      <c r="F39" s="7877" t="s">
        <v>2218</v>
      </c>
      <c r="G39" s="7879">
        <v>239.72</v>
      </c>
      <c r="I39" s="7877" t="s">
        <v>2228</v>
      </c>
      <c r="J39" s="7879">
        <v>3.64</v>
      </c>
    </row>
    <row r="40" spans="1:10">
      <c r="A40" s="7877" t="s">
        <v>2220</v>
      </c>
      <c r="B40" s="7879">
        <v>1.6</v>
      </c>
      <c r="C40" s="7880"/>
      <c r="D40" s="7880"/>
      <c r="F40" s="7877" t="s">
        <v>2220</v>
      </c>
      <c r="G40" s="7879">
        <v>7.17</v>
      </c>
      <c r="I40" s="7877" t="s">
        <v>2229</v>
      </c>
      <c r="J40" s="7879">
        <v>292.11</v>
      </c>
    </row>
    <row r="41" spans="1:10">
      <c r="A41" s="7877" t="s">
        <v>2230</v>
      </c>
      <c r="B41" s="7879">
        <v>1.46</v>
      </c>
      <c r="C41" s="7880"/>
      <c r="D41" s="7880"/>
      <c r="F41" s="7877" t="s">
        <v>2230</v>
      </c>
      <c r="G41" s="7879">
        <v>1.48</v>
      </c>
      <c r="I41" s="7877" t="s">
        <v>2231</v>
      </c>
      <c r="J41" s="7879">
        <v>53.98</v>
      </c>
    </row>
    <row r="42" spans="1:10">
      <c r="A42" s="7877" t="s">
        <v>2232</v>
      </c>
      <c r="B42" s="7879">
        <v>0.33</v>
      </c>
      <c r="C42" s="7880"/>
      <c r="D42" s="7880"/>
      <c r="F42" s="7877" t="s">
        <v>2232</v>
      </c>
      <c r="G42" s="7879">
        <v>0.26</v>
      </c>
      <c r="I42" s="7877" t="s">
        <v>2233</v>
      </c>
      <c r="J42" s="7879">
        <v>315.76</v>
      </c>
    </row>
    <row r="43" spans="1:10">
      <c r="A43" s="7877" t="s">
        <v>2222</v>
      </c>
      <c r="B43" s="7879">
        <v>129</v>
      </c>
      <c r="C43" s="7880"/>
      <c r="D43" s="7880"/>
      <c r="F43" s="7877" t="s">
        <v>2222</v>
      </c>
      <c r="G43" s="7879">
        <v>121.17</v>
      </c>
      <c r="I43" s="7877" t="s">
        <v>2234</v>
      </c>
      <c r="J43" s="7879">
        <v>325.52999999999997</v>
      </c>
    </row>
    <row r="44" spans="1:10">
      <c r="A44" s="7877" t="s">
        <v>2224</v>
      </c>
      <c r="B44" s="7879">
        <v>191.38</v>
      </c>
      <c r="C44" s="7880"/>
      <c r="D44" s="7880"/>
      <c r="F44" s="7877" t="s">
        <v>2224</v>
      </c>
      <c r="G44" s="7879">
        <v>181.7</v>
      </c>
      <c r="I44" s="7877" t="s">
        <v>2235</v>
      </c>
      <c r="J44" s="7879">
        <v>381.71</v>
      </c>
    </row>
    <row r="45" spans="1:10">
      <c r="A45" s="7877" t="s">
        <v>2226</v>
      </c>
      <c r="B45" s="7879">
        <v>126.41</v>
      </c>
      <c r="C45" s="7880"/>
      <c r="D45" s="7880"/>
      <c r="F45" s="7877" t="s">
        <v>2226</v>
      </c>
      <c r="G45" s="7879">
        <v>128.12</v>
      </c>
      <c r="I45" s="7877" t="s">
        <v>2236</v>
      </c>
      <c r="J45" s="7879">
        <v>1672.07</v>
      </c>
    </row>
    <row r="46" spans="1:10">
      <c r="A46" s="7877" t="s">
        <v>2227</v>
      </c>
      <c r="B46" s="7879">
        <v>14.57</v>
      </c>
      <c r="C46" s="7880"/>
      <c r="D46" s="7880"/>
      <c r="F46" s="7877" t="s">
        <v>2227</v>
      </c>
      <c r="G46" s="7879">
        <v>16.899999999999999</v>
      </c>
      <c r="I46" s="7877" t="s">
        <v>2237</v>
      </c>
      <c r="J46" s="7879">
        <v>3918.75</v>
      </c>
    </row>
    <row r="47" spans="1:10">
      <c r="A47" s="7877" t="s">
        <v>2228</v>
      </c>
      <c r="B47" s="7879">
        <v>3.73</v>
      </c>
      <c r="C47" s="7880"/>
      <c r="D47" s="7880"/>
      <c r="F47" s="7877" t="s">
        <v>2228</v>
      </c>
      <c r="G47" s="7879">
        <v>3.38</v>
      </c>
      <c r="I47" s="7877" t="s">
        <v>2238</v>
      </c>
      <c r="J47" s="7879">
        <v>3144.23</v>
      </c>
    </row>
    <row r="48" spans="1:10">
      <c r="A48" s="7877" t="s">
        <v>2229</v>
      </c>
      <c r="B48" s="7879">
        <v>329.11</v>
      </c>
      <c r="C48" s="7880"/>
      <c r="D48" s="7880"/>
      <c r="F48" s="7877" t="s">
        <v>2229</v>
      </c>
      <c r="G48" s="7879">
        <v>288.7</v>
      </c>
      <c r="I48" s="7877" t="s">
        <v>2239</v>
      </c>
      <c r="J48" s="7879">
        <v>322.75</v>
      </c>
    </row>
    <row r="49" spans="1:10">
      <c r="A49" s="7877" t="s">
        <v>2231</v>
      </c>
      <c r="B49" s="7879">
        <v>57.76</v>
      </c>
      <c r="C49" s="7880"/>
      <c r="D49" s="7880"/>
      <c r="F49" s="7877" t="s">
        <v>2231</v>
      </c>
      <c r="G49" s="7879">
        <v>55.85</v>
      </c>
      <c r="I49" s="7878" t="s">
        <v>2240</v>
      </c>
      <c r="J49" s="7879">
        <v>89.81</v>
      </c>
    </row>
    <row r="50" spans="1:10">
      <c r="A50" s="7877" t="s">
        <v>2241</v>
      </c>
      <c r="B50" s="7879">
        <v>287.02</v>
      </c>
      <c r="C50" s="7880"/>
      <c r="D50" s="7880"/>
      <c r="F50" s="7877" t="s">
        <v>2241</v>
      </c>
      <c r="G50" s="7879">
        <v>272.94</v>
      </c>
      <c r="I50" s="7877" t="s">
        <v>2242</v>
      </c>
      <c r="J50" s="7879">
        <v>74.45</v>
      </c>
    </row>
    <row r="51" spans="1:10">
      <c r="A51" s="7877" t="s">
        <v>2233</v>
      </c>
      <c r="B51" s="7879">
        <v>343.85</v>
      </c>
      <c r="C51" s="7880"/>
      <c r="D51" s="7880"/>
      <c r="F51" s="7877" t="s">
        <v>2233</v>
      </c>
      <c r="G51" s="7879">
        <v>337.07</v>
      </c>
      <c r="I51" s="7877" t="s">
        <v>2243</v>
      </c>
      <c r="J51" s="7879">
        <v>75.459999999999994</v>
      </c>
    </row>
    <row r="52" spans="1:10">
      <c r="A52" s="7877" t="s">
        <v>2234</v>
      </c>
      <c r="B52" s="7879">
        <v>353.95</v>
      </c>
      <c r="C52" s="7880"/>
      <c r="D52" s="7880"/>
      <c r="F52" s="7877" t="s">
        <v>2234</v>
      </c>
      <c r="G52" s="7879">
        <v>346.81</v>
      </c>
    </row>
    <row r="53" spans="1:10">
      <c r="A53" s="7877" t="s">
        <v>2235</v>
      </c>
      <c r="B53" s="7879">
        <v>355.5</v>
      </c>
      <c r="C53" s="7880"/>
      <c r="D53" s="7880"/>
      <c r="F53" s="7877" t="s">
        <v>2235</v>
      </c>
      <c r="G53" s="7879">
        <v>360.23</v>
      </c>
    </row>
    <row r="54" spans="1:10">
      <c r="A54" s="7877" t="s">
        <v>2236</v>
      </c>
      <c r="B54" s="7879">
        <v>1817.59</v>
      </c>
      <c r="C54" s="7880"/>
      <c r="D54" s="7880"/>
      <c r="F54" s="7877" t="s">
        <v>2236</v>
      </c>
      <c r="G54" s="7879">
        <v>1786.82</v>
      </c>
    </row>
    <row r="55" spans="1:10">
      <c r="A55" s="7877" t="s">
        <v>2237</v>
      </c>
      <c r="B55" s="7879">
        <v>4195.22</v>
      </c>
      <c r="C55" s="7880"/>
      <c r="D55" s="7880"/>
      <c r="F55" s="7877" t="s">
        <v>2237</v>
      </c>
      <c r="G55" s="7879">
        <v>4139.2</v>
      </c>
    </row>
    <row r="56" spans="1:10">
      <c r="A56" s="7877" t="s">
        <v>2238</v>
      </c>
      <c r="B56" s="7879">
        <v>3420.25</v>
      </c>
      <c r="C56" s="7880"/>
      <c r="D56" s="7880"/>
      <c r="F56" s="7877" t="s">
        <v>2238</v>
      </c>
      <c r="G56" s="7879">
        <v>3361.27</v>
      </c>
    </row>
    <row r="57" spans="1:10">
      <c r="A57" s="7877" t="s">
        <v>2239</v>
      </c>
      <c r="B57" s="7879">
        <v>351.07</v>
      </c>
      <c r="C57" s="7880"/>
      <c r="D57" s="7880"/>
      <c r="F57" s="7877" t="s">
        <v>2239</v>
      </c>
      <c r="G57" s="7879">
        <v>345.06</v>
      </c>
    </row>
    <row r="58" spans="1:10">
      <c r="A58" s="7878" t="s">
        <v>2240</v>
      </c>
      <c r="B58" s="7879">
        <v>43.69</v>
      </c>
      <c r="C58" s="7880">
        <f>G58</f>
        <v>67.72</v>
      </c>
      <c r="D58" s="7880">
        <f>J49</f>
        <v>89.81</v>
      </c>
      <c r="F58" s="7878" t="s">
        <v>2240</v>
      </c>
      <c r="G58" s="7879">
        <v>67.72</v>
      </c>
    </row>
    <row r="59" spans="1:10">
      <c r="A59" s="7877" t="s">
        <v>2244</v>
      </c>
      <c r="B59" s="7879">
        <v>3349.18</v>
      </c>
      <c r="C59" s="7880"/>
      <c r="D59" s="7880"/>
      <c r="F59" s="7877" t="s">
        <v>2244</v>
      </c>
      <c r="G59" s="7879">
        <v>3291.52</v>
      </c>
    </row>
    <row r="60" spans="1:10">
      <c r="A60" s="7877" t="s">
        <v>2242</v>
      </c>
      <c r="B60" s="7879">
        <v>69.47</v>
      </c>
      <c r="C60" s="7880"/>
      <c r="D60" s="7880"/>
      <c r="F60" s="7877" t="s">
        <v>2242</v>
      </c>
      <c r="G60" s="7879">
        <v>74.83</v>
      </c>
    </row>
    <row r="61" spans="1:10">
      <c r="A61" s="7877" t="s">
        <v>2243</v>
      </c>
      <c r="B61" s="7879">
        <v>41.69</v>
      </c>
      <c r="C61" s="7880"/>
      <c r="D61" s="7880"/>
      <c r="F61" s="7877" t="s">
        <v>2243</v>
      </c>
      <c r="G61" s="7879">
        <v>51.19</v>
      </c>
    </row>
    <row r="62" spans="1:10">
      <c r="A62" s="7877" t="s">
        <v>2245</v>
      </c>
      <c r="B62" s="7879">
        <v>8.2100000000000009</v>
      </c>
      <c r="C62" s="7880"/>
      <c r="D62" s="7880"/>
      <c r="F62" s="7877" t="s">
        <v>2245</v>
      </c>
      <c r="G62" s="7879">
        <v>10.27</v>
      </c>
    </row>
    <row r="63" spans="1:10">
      <c r="A63" s="7877" t="s">
        <v>2246</v>
      </c>
      <c r="B63" s="7879">
        <v>270.61</v>
      </c>
      <c r="C63" s="7880"/>
      <c r="D63" s="7880"/>
      <c r="F63" s="7877" t="s">
        <v>2246</v>
      </c>
      <c r="G63" s="7879">
        <v>262.5</v>
      </c>
    </row>
    <row r="64" spans="1:10">
      <c r="A64" s="7877" t="s">
        <v>2247</v>
      </c>
      <c r="B64" s="7879">
        <v>22.89</v>
      </c>
      <c r="C64" s="7880"/>
      <c r="D64" s="7880"/>
      <c r="F64" s="7877" t="s">
        <v>2247</v>
      </c>
      <c r="G64" s="7879">
        <v>23.65</v>
      </c>
    </row>
    <row r="65" spans="1:7">
      <c r="A65" s="7877" t="s">
        <v>2248</v>
      </c>
      <c r="B65" s="7879">
        <v>588.1</v>
      </c>
      <c r="C65" s="7880"/>
      <c r="D65" s="7880"/>
      <c r="F65" s="7877" t="s">
        <v>2248</v>
      </c>
      <c r="G65" s="7879">
        <v>576.49</v>
      </c>
    </row>
  </sheetData>
  <sheetProtection algorithmName="SHA-512" hashValue="7c2WFLnNWgAhbDlj8Djz+AK8lT8YSdiV5KmkWkLunpRsorybfqAKjAOwXYrNXEOz7QlHb0hvC3CpBGP6OE6yKw==" saltValue="P26Nbwvg79XFNnMhZ+Rb/w==" spinCount="100000" sheet="1" objects="1" scenarios="1"/>
  <phoneticPr fontId="3"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A1EB5-A647-4607-BA92-5E889099E928}">
  <sheetPr>
    <tabColor rgb="FFFFC000"/>
    <outlinePr summaryBelow="0"/>
    <pageSetUpPr fitToPage="1"/>
  </sheetPr>
  <dimension ref="A1:BT462"/>
  <sheetViews>
    <sheetView topLeftCell="A11" workbookViewId="0"/>
  </sheetViews>
  <sheetFormatPr defaultColWidth="13" defaultRowHeight="24" customHeight="1" outlineLevelRow="3"/>
  <cols>
    <col min="1" max="1" width="1.75" style="11" customWidth="1"/>
    <col min="2" max="2" width="7.75" style="11" customWidth="1"/>
    <col min="3" max="3" width="36" style="11" customWidth="1"/>
    <col min="4" max="4" width="12.75" style="11" customWidth="1"/>
    <col min="5" max="5" width="23.75" style="11" customWidth="1"/>
    <col min="6" max="6" width="16.375" style="11" customWidth="1"/>
    <col min="7" max="7" width="6.125" style="22" hidden="1" customWidth="1"/>
    <col min="8" max="8" width="28.75" style="22" hidden="1" customWidth="1"/>
    <col min="9" max="9" width="25.375" style="22" hidden="1" customWidth="1"/>
    <col min="10" max="10" width="45.375" style="22" hidden="1" customWidth="1"/>
    <col min="11" max="11" width="20.375" style="11" customWidth="1"/>
    <col min="12" max="17" width="15.75" style="37" hidden="1" customWidth="1"/>
    <col min="18" max="18" width="15.75" style="24" hidden="1" customWidth="1"/>
    <col min="19" max="19" width="15.75" style="46" hidden="1" customWidth="1"/>
    <col min="20" max="20" width="15.75" style="24" hidden="1" customWidth="1"/>
    <col min="21" max="21" width="15.75" style="46" hidden="1" customWidth="1"/>
    <col min="22" max="22" width="15.75" style="24" hidden="1" customWidth="1"/>
    <col min="23" max="23" width="15.75" style="37" hidden="1" customWidth="1"/>
    <col min="24" max="40" width="15.75" style="11" hidden="1" customWidth="1"/>
    <col min="41" max="46" width="19.25" style="11" customWidth="1"/>
    <col min="47" max="61" width="15.75" style="11" hidden="1" customWidth="1"/>
    <col min="62" max="63" width="50.75" style="24" customWidth="1"/>
    <col min="64" max="66" width="36" style="11" customWidth="1"/>
    <col min="67" max="67" width="20.75" style="11" customWidth="1"/>
    <col min="68" max="70" width="11.75" style="11" customWidth="1"/>
    <col min="71" max="71" width="35.125" style="10" customWidth="1"/>
    <col min="72" max="72" width="32.125" style="11" customWidth="1"/>
    <col min="73" max="73" width="13" style="11" customWidth="1"/>
    <col min="74" max="16384" width="13" style="11"/>
  </cols>
  <sheetData>
    <row r="1" spans="1:72" ht="24" hidden="1" customHeight="1">
      <c r="A1" s="1"/>
      <c r="B1" s="2"/>
      <c r="C1" s="2"/>
      <c r="D1" s="2"/>
      <c r="E1" s="2"/>
      <c r="F1" s="3"/>
      <c r="G1" s="4"/>
      <c r="H1" s="5"/>
      <c r="I1" s="5"/>
      <c r="J1" s="5"/>
      <c r="K1" s="3"/>
      <c r="L1" s="6"/>
      <c r="M1" s="6"/>
      <c r="N1" s="6"/>
      <c r="O1" s="6"/>
      <c r="P1" s="6"/>
      <c r="Q1" s="6"/>
      <c r="R1" s="7"/>
      <c r="S1" s="5"/>
      <c r="T1" s="7"/>
      <c r="U1" s="5"/>
      <c r="V1" s="7"/>
      <c r="W1" s="6"/>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8"/>
      <c r="BK1" s="8"/>
      <c r="BL1" s="7"/>
      <c r="BM1" s="7"/>
      <c r="BN1" s="3"/>
      <c r="BO1" s="7"/>
      <c r="BP1" s="9"/>
      <c r="BQ1" s="9"/>
      <c r="BR1" s="9"/>
    </row>
    <row r="2" spans="1:72" s="19" customFormat="1" ht="24" hidden="1" customHeight="1">
      <c r="A2" s="12"/>
      <c r="B2" s="13"/>
      <c r="C2" s="14"/>
      <c r="D2" s="2"/>
      <c r="E2" s="2"/>
      <c r="F2" s="3"/>
      <c r="G2" s="4"/>
      <c r="H2" s="13" t="s">
        <v>2249</v>
      </c>
      <c r="I2" s="3"/>
      <c r="J2" s="3"/>
      <c r="K2" s="3"/>
      <c r="L2" s="6"/>
      <c r="M2" s="6"/>
      <c r="N2" s="6"/>
      <c r="O2" s="6"/>
      <c r="P2" s="6"/>
      <c r="Q2" s="6"/>
      <c r="R2" s="7"/>
      <c r="S2" s="5"/>
      <c r="T2" s="7"/>
      <c r="U2" s="5"/>
      <c r="V2" s="7"/>
      <c r="W2" s="6"/>
      <c r="X2" s="16"/>
      <c r="Y2" s="16"/>
      <c r="Z2" s="16"/>
      <c r="AA2" s="16"/>
      <c r="AB2" s="16"/>
      <c r="AC2" s="16"/>
      <c r="AD2" s="16"/>
      <c r="AE2" s="16"/>
      <c r="AF2" s="3"/>
      <c r="AG2" s="3"/>
      <c r="AH2" s="3"/>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8"/>
      <c r="BK2" s="8"/>
      <c r="BL2" s="16"/>
      <c r="BM2" s="16"/>
      <c r="BN2" s="15"/>
      <c r="BO2" s="16"/>
      <c r="BP2" s="17"/>
      <c r="BQ2" s="17"/>
      <c r="BR2" s="17"/>
      <c r="BS2" s="18"/>
    </row>
    <row r="3" spans="1:72" ht="24" hidden="1" customHeight="1">
      <c r="B3" s="20"/>
      <c r="C3" s="20"/>
      <c r="D3" s="20"/>
      <c r="E3" s="20"/>
      <c r="F3" s="3"/>
      <c r="G3" s="4"/>
      <c r="H3" s="3"/>
      <c r="I3" s="3"/>
      <c r="J3" s="3"/>
      <c r="K3" s="3"/>
      <c r="L3" s="6"/>
      <c r="M3" s="6"/>
      <c r="N3" s="6"/>
      <c r="O3" s="6"/>
      <c r="P3" s="6"/>
      <c r="Q3" s="6"/>
      <c r="R3" s="7"/>
      <c r="S3" s="5"/>
      <c r="T3" s="7"/>
      <c r="U3" s="5"/>
      <c r="V3" s="7"/>
      <c r="W3" s="6"/>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8"/>
      <c r="BK3" s="8"/>
      <c r="BL3" s="7"/>
      <c r="BM3" s="7"/>
      <c r="BN3" s="3"/>
      <c r="BO3" s="7"/>
      <c r="BP3" s="20"/>
      <c r="BQ3" s="20"/>
      <c r="BR3" s="20"/>
      <c r="BS3" s="18"/>
    </row>
    <row r="4" spans="1:72" ht="24" hidden="1" customHeight="1">
      <c r="B4" s="22"/>
      <c r="C4" s="22"/>
      <c r="D4" s="22"/>
      <c r="E4" s="22"/>
      <c r="F4" s="22"/>
      <c r="H4" s="21"/>
      <c r="I4" s="21"/>
      <c r="L4" s="23"/>
      <c r="M4" s="23"/>
      <c r="N4" s="23"/>
      <c r="O4" s="23"/>
      <c r="P4" s="23"/>
      <c r="Q4" s="23"/>
      <c r="R4" s="11"/>
      <c r="S4" s="1718"/>
      <c r="T4" s="11"/>
      <c r="U4" s="1718"/>
      <c r="V4" s="11"/>
      <c r="W4" s="23"/>
      <c r="BS4" s="18"/>
    </row>
    <row r="5" spans="1:72" ht="24" hidden="1" customHeight="1">
      <c r="B5" s="22"/>
      <c r="C5" s="22"/>
      <c r="D5" s="22"/>
      <c r="E5" s="22"/>
      <c r="F5" s="22"/>
      <c r="H5" s="1700" t="s">
        <v>2250</v>
      </c>
      <c r="I5" s="4477"/>
      <c r="J5" s="4478"/>
      <c r="K5" s="4479"/>
      <c r="R5" s="32"/>
      <c r="T5" s="30"/>
      <c r="U5" s="31"/>
      <c r="V5" s="30"/>
      <c r="W5" s="29"/>
      <c r="X5" s="32"/>
      <c r="Y5" s="32"/>
      <c r="Z5" s="32"/>
      <c r="AA5" s="32"/>
      <c r="AB5" s="32"/>
      <c r="AC5" s="32"/>
      <c r="AD5" s="32"/>
      <c r="AE5" s="32"/>
      <c r="AF5" s="32"/>
      <c r="AG5" s="32"/>
      <c r="AH5" s="32"/>
      <c r="AI5" s="32"/>
      <c r="AJ5" s="32"/>
      <c r="AK5" s="32"/>
      <c r="AL5" s="32"/>
      <c r="AM5" s="32"/>
      <c r="AN5" s="32"/>
      <c r="AX5" s="32"/>
      <c r="AY5" s="32"/>
      <c r="AZ5" s="32"/>
      <c r="BA5" s="32"/>
      <c r="BB5" s="32"/>
      <c r="BC5" s="32"/>
      <c r="BD5" s="32"/>
      <c r="BE5" s="32"/>
      <c r="BF5" s="32"/>
      <c r="BG5" s="32"/>
      <c r="BH5" s="32"/>
      <c r="BI5" s="32"/>
      <c r="BJ5" s="33"/>
      <c r="BK5" s="33"/>
      <c r="BL5" s="32"/>
      <c r="BM5" s="32"/>
      <c r="BN5" s="32"/>
      <c r="BO5" s="32"/>
      <c r="BP5" s="32"/>
      <c r="BQ5" s="32"/>
      <c r="BR5" s="32"/>
      <c r="BS5" s="18"/>
      <c r="BT5" s="24"/>
    </row>
    <row r="6" spans="1:72" ht="24" hidden="1" customHeight="1">
      <c r="B6" s="22"/>
      <c r="C6" s="22"/>
      <c r="D6" s="22"/>
      <c r="E6" s="22"/>
      <c r="F6" s="22"/>
      <c r="H6" s="4480" t="s">
        <v>2251</v>
      </c>
      <c r="J6" s="35"/>
      <c r="K6" s="4481"/>
      <c r="R6" s="32"/>
      <c r="T6" s="30"/>
      <c r="U6" s="31"/>
      <c r="V6" s="30"/>
      <c r="W6" s="29"/>
      <c r="X6" s="32"/>
      <c r="Y6" s="32"/>
      <c r="Z6" s="32"/>
      <c r="AA6" s="32"/>
      <c r="AB6" s="32"/>
      <c r="AC6" s="32"/>
      <c r="AD6" s="32"/>
      <c r="AE6" s="32"/>
      <c r="AF6" s="32"/>
      <c r="AG6" s="32"/>
      <c r="AH6" s="32"/>
      <c r="AI6" s="32"/>
      <c r="AJ6" s="32"/>
      <c r="AK6" s="32"/>
      <c r="AL6" s="32"/>
      <c r="AM6" s="32"/>
      <c r="AN6" s="32"/>
      <c r="AX6" s="32"/>
      <c r="AY6" s="32"/>
      <c r="AZ6" s="32"/>
      <c r="BA6" s="32"/>
      <c r="BB6" s="32"/>
      <c r="BC6" s="32"/>
      <c r="BD6" s="32"/>
      <c r="BE6" s="32"/>
      <c r="BF6" s="32"/>
      <c r="BG6" s="32"/>
      <c r="BH6" s="32"/>
      <c r="BI6" s="32"/>
      <c r="BJ6" s="33"/>
      <c r="BK6" s="33"/>
      <c r="BL6" s="32"/>
      <c r="BM6" s="32"/>
      <c r="BN6" s="32"/>
      <c r="BO6" s="32"/>
      <c r="BP6" s="32"/>
      <c r="BQ6" s="32"/>
      <c r="BR6" s="32"/>
      <c r="BS6" s="18"/>
      <c r="BT6" s="24"/>
    </row>
    <row r="7" spans="1:72" ht="24" hidden="1" customHeight="1">
      <c r="B7" s="22"/>
      <c r="C7" s="22"/>
      <c r="D7" s="22"/>
      <c r="E7" s="22"/>
      <c r="F7" s="22"/>
      <c r="H7" s="1701" t="s">
        <v>2252</v>
      </c>
      <c r="J7" s="31"/>
      <c r="K7" s="4481"/>
      <c r="R7" s="32"/>
      <c r="T7" s="30"/>
      <c r="U7" s="31"/>
      <c r="V7" s="30"/>
      <c r="W7" s="29"/>
      <c r="X7" s="32"/>
      <c r="Y7" s="32"/>
      <c r="Z7" s="32"/>
      <c r="AA7" s="32"/>
      <c r="AB7" s="32"/>
      <c r="AC7" s="32"/>
      <c r="AD7" s="32"/>
      <c r="AG7" s="32"/>
      <c r="AH7" s="32"/>
      <c r="AI7" s="32"/>
      <c r="AJ7" s="32"/>
      <c r="AK7" s="32"/>
      <c r="AL7" s="32"/>
      <c r="AM7" s="32"/>
      <c r="AN7" s="32"/>
      <c r="AX7" s="32"/>
      <c r="AY7" s="32"/>
      <c r="AZ7" s="32"/>
      <c r="BA7" s="32"/>
      <c r="BB7" s="32"/>
      <c r="BC7" s="32"/>
      <c r="BD7" s="32"/>
      <c r="BE7" s="32"/>
      <c r="BF7" s="32"/>
      <c r="BG7" s="32"/>
      <c r="BH7" s="32"/>
      <c r="BI7" s="32"/>
      <c r="BJ7" s="33"/>
      <c r="BK7" s="33"/>
      <c r="BL7" s="32"/>
      <c r="BM7" s="32"/>
      <c r="BN7" s="32"/>
      <c r="BO7" s="32"/>
      <c r="BP7" s="32"/>
      <c r="BQ7" s="32"/>
      <c r="BR7" s="32"/>
      <c r="BS7" s="18"/>
      <c r="BT7" s="24"/>
    </row>
    <row r="8" spans="1:72" ht="24" hidden="1" customHeight="1">
      <c r="B8" s="22"/>
      <c r="C8" s="22"/>
      <c r="D8" s="22"/>
      <c r="E8" s="22"/>
      <c r="F8" s="22"/>
      <c r="H8" s="1701" t="s">
        <v>2253</v>
      </c>
      <c r="J8" s="37"/>
      <c r="K8" s="4481"/>
      <c r="R8" s="32"/>
      <c r="T8" s="30"/>
      <c r="U8" s="31"/>
      <c r="V8" s="30"/>
      <c r="W8" s="29"/>
      <c r="X8" s="32"/>
      <c r="Y8" s="32"/>
      <c r="Z8" s="32"/>
      <c r="AA8" s="32"/>
      <c r="AB8" s="32"/>
      <c r="AC8" s="32"/>
      <c r="AD8" s="32"/>
      <c r="AE8" s="32"/>
      <c r="AF8" s="32"/>
      <c r="AG8" s="32"/>
      <c r="AH8" s="32"/>
      <c r="AI8" s="32"/>
      <c r="AJ8" s="32"/>
      <c r="AK8" s="32"/>
      <c r="AL8" s="32"/>
      <c r="AM8" s="32"/>
      <c r="AN8" s="32"/>
      <c r="AX8" s="32"/>
      <c r="AY8" s="32"/>
      <c r="AZ8" s="32"/>
      <c r="BA8" s="32"/>
      <c r="BB8" s="32"/>
      <c r="BC8" s="32"/>
      <c r="BD8" s="32"/>
      <c r="BE8" s="32"/>
      <c r="BF8" s="32"/>
      <c r="BG8" s="32"/>
      <c r="BH8" s="32"/>
      <c r="BI8" s="32"/>
      <c r="BJ8" s="33"/>
      <c r="BK8" s="33"/>
      <c r="BL8" s="32"/>
      <c r="BM8" s="32"/>
      <c r="BN8" s="32"/>
      <c r="BO8" s="32"/>
      <c r="BP8" s="32"/>
      <c r="BQ8" s="32"/>
      <c r="BR8" s="32"/>
      <c r="BS8" s="18"/>
      <c r="BT8" s="24"/>
    </row>
    <row r="9" spans="1:72" ht="24" hidden="1" customHeight="1">
      <c r="B9" s="22"/>
      <c r="C9" s="22"/>
      <c r="D9" s="22"/>
      <c r="E9" s="22"/>
      <c r="F9" s="22"/>
      <c r="H9" s="1702" t="s">
        <v>2254</v>
      </c>
      <c r="I9" s="4482"/>
      <c r="J9" s="4483"/>
      <c r="K9" s="4484"/>
      <c r="N9" s="38"/>
      <c r="O9" s="35" t="s">
        <v>2255</v>
      </c>
      <c r="R9" s="32"/>
      <c r="T9" s="38"/>
      <c r="U9" s="35" t="s">
        <v>2255</v>
      </c>
      <c r="V9" s="30"/>
      <c r="W9" s="29"/>
      <c r="X9" s="32"/>
      <c r="Y9" s="32"/>
      <c r="Z9" s="38"/>
      <c r="AA9" s="35" t="s">
        <v>2255</v>
      </c>
      <c r="AB9" s="32"/>
      <c r="AC9" s="32"/>
      <c r="AD9" s="38"/>
      <c r="AE9" s="35" t="s">
        <v>2255</v>
      </c>
      <c r="AF9" s="32"/>
      <c r="AG9" s="32"/>
      <c r="AH9" s="32"/>
      <c r="AI9" s="32"/>
      <c r="AJ9" s="32"/>
      <c r="AK9" s="32"/>
      <c r="AL9" s="32"/>
      <c r="AM9" s="32"/>
      <c r="AN9" s="32"/>
      <c r="AQ9" s="38"/>
      <c r="AR9" s="35" t="s">
        <v>2255</v>
      </c>
      <c r="AT9" s="35"/>
      <c r="AW9" s="38"/>
      <c r="AX9" s="35" t="s">
        <v>2255</v>
      </c>
      <c r="AY9" s="32"/>
      <c r="AZ9" s="32"/>
      <c r="BA9" s="32"/>
      <c r="BB9" s="38"/>
      <c r="BC9" s="35" t="s">
        <v>2255</v>
      </c>
      <c r="BD9" s="32"/>
      <c r="BE9" s="32"/>
      <c r="BF9" s="32"/>
      <c r="BG9" s="38"/>
      <c r="BH9" s="35" t="s">
        <v>2255</v>
      </c>
      <c r="BI9" s="32"/>
      <c r="BJ9" s="33"/>
      <c r="BK9" s="33"/>
      <c r="BL9" s="32"/>
      <c r="BM9" s="32"/>
      <c r="BN9" s="32"/>
      <c r="BO9" s="32"/>
      <c r="BP9" s="32"/>
      <c r="BQ9" s="32"/>
      <c r="BR9" s="32"/>
      <c r="BS9" s="18"/>
      <c r="BT9" s="24"/>
    </row>
    <row r="10" spans="1:72" ht="24" hidden="1" customHeight="1" thickBot="1">
      <c r="C10" s="43"/>
      <c r="D10" s="43"/>
      <c r="E10" s="43"/>
      <c r="F10" s="44"/>
      <c r="G10" s="45"/>
      <c r="H10" s="46"/>
      <c r="I10" s="46"/>
      <c r="J10" s="46"/>
      <c r="K10" s="44"/>
      <c r="L10" s="47"/>
      <c r="M10" s="47"/>
      <c r="N10" s="47"/>
      <c r="O10" s="47"/>
      <c r="P10" s="47"/>
      <c r="Q10" s="47"/>
      <c r="R10" s="11"/>
      <c r="S10" s="1718"/>
      <c r="T10" s="11"/>
      <c r="U10" s="1718"/>
      <c r="V10" s="48"/>
      <c r="W10" s="47"/>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9"/>
      <c r="BK10" s="49"/>
      <c r="BL10" s="24"/>
      <c r="BM10" s="24"/>
      <c r="BN10" s="24"/>
      <c r="BO10" s="24"/>
      <c r="BP10" s="43"/>
      <c r="BQ10" s="43"/>
      <c r="BR10" s="43"/>
      <c r="BS10" s="18"/>
      <c r="BT10" s="24"/>
    </row>
    <row r="11" spans="1:72" ht="24" customHeight="1" thickTop="1">
      <c r="A11" s="50"/>
      <c r="B11" s="10160" t="s">
        <v>1</v>
      </c>
      <c r="C11" s="9750"/>
      <c r="D11" s="9750"/>
      <c r="E11" s="9750"/>
      <c r="F11" s="9751"/>
      <c r="G11" s="9669" t="s">
        <v>2256</v>
      </c>
      <c r="H11" s="9750"/>
      <c r="I11" s="9750"/>
      <c r="J11" s="9751"/>
      <c r="K11" s="51"/>
      <c r="L11" s="9752" t="s">
        <v>2257</v>
      </c>
      <c r="M11" s="9753"/>
      <c r="N11" s="9753"/>
      <c r="O11" s="9753"/>
      <c r="P11" s="9753"/>
      <c r="Q11" s="9754"/>
      <c r="R11" s="9761" t="s">
        <v>2258</v>
      </c>
      <c r="S11" s="9762"/>
      <c r="T11" s="9762"/>
      <c r="U11" s="9762"/>
      <c r="V11" s="9762"/>
      <c r="W11" s="9762"/>
      <c r="X11" s="9756" t="s">
        <v>2259</v>
      </c>
      <c r="Y11" s="9757"/>
      <c r="Z11" s="9757"/>
      <c r="AA11" s="9757"/>
      <c r="AB11" s="9758"/>
      <c r="AC11" s="9757" t="s">
        <v>2260</v>
      </c>
      <c r="AD11" s="9757"/>
      <c r="AE11" s="10157"/>
      <c r="AF11" s="10159" t="s">
        <v>2080</v>
      </c>
      <c r="AG11" s="9757"/>
      <c r="AH11" s="10157"/>
      <c r="AI11" s="10159" t="s">
        <v>2261</v>
      </c>
      <c r="AJ11" s="9757"/>
      <c r="AK11" s="10157"/>
      <c r="AL11" s="10159" t="s">
        <v>2262</v>
      </c>
      <c r="AM11" s="9757"/>
      <c r="AN11" s="9758"/>
      <c r="AO11" s="9756" t="s">
        <v>141</v>
      </c>
      <c r="AP11" s="9757"/>
      <c r="AQ11" s="9757"/>
      <c r="AR11" s="9757"/>
      <c r="AS11" s="9757"/>
      <c r="AT11" s="9758"/>
      <c r="AU11" s="9756" t="s">
        <v>144</v>
      </c>
      <c r="AV11" s="9757"/>
      <c r="AW11" s="9757"/>
      <c r="AX11" s="9757"/>
      <c r="AY11" s="9758"/>
      <c r="AZ11" s="9756" t="s">
        <v>147</v>
      </c>
      <c r="BA11" s="9757"/>
      <c r="BB11" s="9757"/>
      <c r="BC11" s="9757"/>
      <c r="BD11" s="9758"/>
      <c r="BE11" s="9756" t="s">
        <v>2263</v>
      </c>
      <c r="BF11" s="9757"/>
      <c r="BG11" s="9757"/>
      <c r="BH11" s="9757"/>
      <c r="BI11" s="9758"/>
      <c r="BJ11" s="52"/>
      <c r="BK11" s="52"/>
      <c r="BL11" s="4766"/>
      <c r="BM11" s="4767"/>
      <c r="BN11" s="4768"/>
      <c r="BO11" s="53"/>
      <c r="BP11" s="9667" t="s">
        <v>2264</v>
      </c>
      <c r="BQ11" s="9759"/>
      <c r="BR11" s="9760"/>
      <c r="BS11" s="18"/>
      <c r="BT11" s="54"/>
    </row>
    <row r="12" spans="1:72" ht="24" customHeight="1" thickBot="1">
      <c r="A12" s="50"/>
      <c r="B12" s="4485" t="s">
        <v>647</v>
      </c>
      <c r="C12" s="4486" t="s">
        <v>12</v>
      </c>
      <c r="D12" s="4487" t="s">
        <v>13</v>
      </c>
      <c r="E12" s="4487" t="s">
        <v>14</v>
      </c>
      <c r="F12" s="4487" t="s">
        <v>15</v>
      </c>
      <c r="G12" s="4487" t="s">
        <v>2265</v>
      </c>
      <c r="H12" s="4487" t="s">
        <v>2266</v>
      </c>
      <c r="I12" s="4487" t="s">
        <v>2267</v>
      </c>
      <c r="J12" s="4487" t="s">
        <v>2268</v>
      </c>
      <c r="K12" s="4488" t="s">
        <v>2269</v>
      </c>
      <c r="L12" s="57">
        <v>2021</v>
      </c>
      <c r="M12" s="58" t="s">
        <v>2270</v>
      </c>
      <c r="N12" s="57">
        <v>2022</v>
      </c>
      <c r="O12" s="58" t="s">
        <v>2270</v>
      </c>
      <c r="P12" s="57">
        <v>2023</v>
      </c>
      <c r="Q12" s="58" t="s">
        <v>2270</v>
      </c>
      <c r="R12" s="57">
        <v>2021</v>
      </c>
      <c r="S12" s="58" t="s">
        <v>2270</v>
      </c>
      <c r="T12" s="57">
        <v>2022</v>
      </c>
      <c r="U12" s="58" t="s">
        <v>2270</v>
      </c>
      <c r="V12" s="57">
        <v>2023</v>
      </c>
      <c r="W12" s="4769" t="s">
        <v>2270</v>
      </c>
      <c r="X12" s="2165">
        <v>2021</v>
      </c>
      <c r="Y12" s="58" t="s">
        <v>2270</v>
      </c>
      <c r="Z12" s="59">
        <v>2022</v>
      </c>
      <c r="AA12" s="58" t="s">
        <v>2270</v>
      </c>
      <c r="AB12" s="2166">
        <v>2023</v>
      </c>
      <c r="AC12" s="2104">
        <v>2021</v>
      </c>
      <c r="AD12" s="59">
        <v>2022</v>
      </c>
      <c r="AE12" s="59">
        <v>2023</v>
      </c>
      <c r="AF12" s="59">
        <v>2021</v>
      </c>
      <c r="AG12" s="59">
        <v>2022</v>
      </c>
      <c r="AH12" s="59">
        <v>2023</v>
      </c>
      <c r="AI12" s="59">
        <v>2021</v>
      </c>
      <c r="AJ12" s="59">
        <v>2022</v>
      </c>
      <c r="AK12" s="59">
        <v>2023</v>
      </c>
      <c r="AL12" s="59">
        <v>2021</v>
      </c>
      <c r="AM12" s="59">
        <v>2022</v>
      </c>
      <c r="AN12" s="2166">
        <v>2023</v>
      </c>
      <c r="AO12" s="2165">
        <v>2021</v>
      </c>
      <c r="AP12" s="58" t="s">
        <v>2270</v>
      </c>
      <c r="AQ12" s="59">
        <v>2022</v>
      </c>
      <c r="AR12" s="58" t="s">
        <v>2270</v>
      </c>
      <c r="AS12" s="4770">
        <v>2023</v>
      </c>
      <c r="AT12" s="4771" t="s">
        <v>2270</v>
      </c>
      <c r="AU12" s="2165">
        <v>2021</v>
      </c>
      <c r="AV12" s="58" t="s">
        <v>2270</v>
      </c>
      <c r="AW12" s="59">
        <v>2022</v>
      </c>
      <c r="AX12" s="58" t="s">
        <v>2270</v>
      </c>
      <c r="AY12" s="2166">
        <v>2023</v>
      </c>
      <c r="AZ12" s="2165">
        <v>2021</v>
      </c>
      <c r="BA12" s="58" t="s">
        <v>2270</v>
      </c>
      <c r="BB12" s="59">
        <v>2022</v>
      </c>
      <c r="BC12" s="58" t="s">
        <v>2270</v>
      </c>
      <c r="BD12" s="2166">
        <v>2023</v>
      </c>
      <c r="BE12" s="2165">
        <v>2021</v>
      </c>
      <c r="BF12" s="58" t="s">
        <v>2270</v>
      </c>
      <c r="BG12" s="59">
        <v>2022</v>
      </c>
      <c r="BH12" s="58" t="s">
        <v>2270</v>
      </c>
      <c r="BI12" s="2494">
        <v>2023</v>
      </c>
      <c r="BJ12" s="60" t="s">
        <v>6</v>
      </c>
      <c r="BK12" s="60" t="s">
        <v>2271</v>
      </c>
      <c r="BL12" s="4772" t="s">
        <v>2272</v>
      </c>
      <c r="BM12" s="4773" t="s">
        <v>2273</v>
      </c>
      <c r="BN12" s="4774" t="s">
        <v>2274</v>
      </c>
      <c r="BO12" s="61" t="s">
        <v>2275</v>
      </c>
      <c r="BP12" s="62" t="s">
        <v>2276</v>
      </c>
      <c r="BQ12" s="63" t="s">
        <v>24</v>
      </c>
      <c r="BR12" s="64" t="s">
        <v>25</v>
      </c>
      <c r="BS12" s="18"/>
      <c r="BT12" s="54"/>
    </row>
    <row r="13" spans="1:72" ht="24" customHeight="1" thickTop="1" thickBot="1">
      <c r="A13" s="50"/>
      <c r="B13" s="65"/>
      <c r="C13" s="66"/>
      <c r="D13" s="66"/>
      <c r="E13" s="66"/>
      <c r="F13" s="67"/>
      <c r="G13" s="68" t="s">
        <v>27</v>
      </c>
      <c r="H13" s="69"/>
      <c r="I13" s="69"/>
      <c r="J13" s="69"/>
      <c r="K13" s="67"/>
      <c r="L13" s="70"/>
      <c r="M13" s="70"/>
      <c r="N13" s="70"/>
      <c r="O13" s="70"/>
      <c r="P13" s="70"/>
      <c r="Q13" s="70"/>
      <c r="R13" s="67"/>
      <c r="S13" s="1728"/>
      <c r="T13" s="67"/>
      <c r="U13" s="1728"/>
      <c r="V13" s="67"/>
      <c r="W13" s="70"/>
      <c r="X13" s="2167"/>
      <c r="Y13" s="71"/>
      <c r="Z13" s="71"/>
      <c r="AA13" s="71"/>
      <c r="AB13" s="2168"/>
      <c r="AC13" s="71"/>
      <c r="AD13" s="71"/>
      <c r="AE13" s="71"/>
      <c r="AF13" s="71"/>
      <c r="AG13" s="71"/>
      <c r="AH13" s="71"/>
      <c r="AI13" s="71"/>
      <c r="AJ13" s="71"/>
      <c r="AK13" s="71"/>
      <c r="AL13" s="71"/>
      <c r="AM13" s="71"/>
      <c r="AN13" s="2168"/>
      <c r="AO13" s="2167"/>
      <c r="AP13" s="71"/>
      <c r="AQ13" s="71"/>
      <c r="AR13" s="71"/>
      <c r="AS13" s="71"/>
      <c r="AT13" s="4775"/>
      <c r="AU13" s="2167"/>
      <c r="AV13" s="71"/>
      <c r="AW13" s="71"/>
      <c r="AX13" s="71"/>
      <c r="AY13" s="2168"/>
      <c r="AZ13" s="2167"/>
      <c r="BA13" s="71"/>
      <c r="BB13" s="71"/>
      <c r="BC13" s="71"/>
      <c r="BD13" s="2168"/>
      <c r="BE13" s="2167"/>
      <c r="BF13" s="71"/>
      <c r="BG13" s="71"/>
      <c r="BH13" s="71"/>
      <c r="BI13" s="2495"/>
      <c r="BJ13" s="72"/>
      <c r="BK13" s="72"/>
      <c r="BL13" s="73"/>
      <c r="BM13" s="73"/>
      <c r="BN13" s="73"/>
      <c r="BO13" s="73" t="s">
        <v>28</v>
      </c>
      <c r="BP13" s="74"/>
      <c r="BQ13" s="74"/>
      <c r="BR13" s="75"/>
      <c r="BS13" s="18"/>
      <c r="BT13" s="54"/>
    </row>
    <row r="14" spans="1:72" ht="24" customHeight="1" outlineLevel="1" thickBot="1">
      <c r="B14" s="76" t="s">
        <v>29</v>
      </c>
      <c r="C14" s="77"/>
      <c r="D14" s="77"/>
      <c r="E14" s="77"/>
      <c r="F14" s="78"/>
      <c r="G14" s="79" t="s">
        <v>30</v>
      </c>
      <c r="H14" s="80"/>
      <c r="I14" s="80"/>
      <c r="J14" s="80"/>
      <c r="K14" s="78"/>
      <c r="L14" s="81"/>
      <c r="M14" s="81"/>
      <c r="N14" s="81"/>
      <c r="O14" s="81"/>
      <c r="P14" s="81"/>
      <c r="Q14" s="81"/>
      <c r="R14" s="77"/>
      <c r="S14" s="1729"/>
      <c r="T14" s="77"/>
      <c r="U14" s="1729"/>
      <c r="V14" s="77"/>
      <c r="W14" s="81"/>
      <c r="X14" s="2169"/>
      <c r="Y14" s="82"/>
      <c r="Z14" s="82"/>
      <c r="AA14" s="82"/>
      <c r="AB14" s="2170"/>
      <c r="AC14" s="82"/>
      <c r="AD14" s="82"/>
      <c r="AE14" s="82"/>
      <c r="AF14" s="82"/>
      <c r="AG14" s="82"/>
      <c r="AH14" s="82"/>
      <c r="AI14" s="82"/>
      <c r="AJ14" s="82"/>
      <c r="AK14" s="82"/>
      <c r="AL14" s="82"/>
      <c r="AM14" s="82"/>
      <c r="AN14" s="2170"/>
      <c r="AO14" s="2169"/>
      <c r="AP14" s="82"/>
      <c r="AQ14" s="82"/>
      <c r="AR14" s="82"/>
      <c r="AS14" s="82"/>
      <c r="AT14" s="4776"/>
      <c r="AU14" s="2169"/>
      <c r="AV14" s="82"/>
      <c r="AW14" s="82"/>
      <c r="AX14" s="82"/>
      <c r="AY14" s="2170"/>
      <c r="AZ14" s="2169"/>
      <c r="BA14" s="82"/>
      <c r="BB14" s="82"/>
      <c r="BC14" s="82"/>
      <c r="BD14" s="2170"/>
      <c r="BE14" s="2169"/>
      <c r="BF14" s="82"/>
      <c r="BG14" s="82"/>
      <c r="BH14" s="82"/>
      <c r="BI14" s="2170"/>
      <c r="BJ14" s="77"/>
      <c r="BK14" s="77"/>
      <c r="BL14" s="82"/>
      <c r="BM14" s="82"/>
      <c r="BN14" s="82"/>
      <c r="BO14" s="82"/>
      <c r="BP14" s="82"/>
      <c r="BQ14" s="82"/>
      <c r="BR14" s="83"/>
      <c r="BS14" s="18"/>
    </row>
    <row r="15" spans="1:72" ht="24" customHeight="1" outlineLevel="1">
      <c r="A15" s="50"/>
      <c r="B15" s="84"/>
      <c r="C15" s="85" t="s">
        <v>32</v>
      </c>
      <c r="D15" s="86"/>
      <c r="E15" s="86"/>
      <c r="F15" s="87" t="s">
        <v>33</v>
      </c>
      <c r="G15" s="88"/>
      <c r="H15" s="89" t="s">
        <v>34</v>
      </c>
      <c r="I15" s="89"/>
      <c r="J15" s="90"/>
      <c r="K15" s="91" t="s">
        <v>35</v>
      </c>
      <c r="L15" s="92">
        <v>620645.63070700003</v>
      </c>
      <c r="M15" s="92"/>
      <c r="N15" s="92">
        <v>682681.904094</v>
      </c>
      <c r="O15" s="93"/>
      <c r="P15" s="94"/>
      <c r="Q15" s="95"/>
      <c r="R15" s="96"/>
      <c r="S15" s="2548"/>
      <c r="T15" s="96"/>
      <c r="U15" s="2548"/>
      <c r="V15" s="96"/>
      <c r="W15" s="2346"/>
      <c r="X15" s="2171"/>
      <c r="Y15" s="97"/>
      <c r="Z15" s="97"/>
      <c r="AA15" s="97"/>
      <c r="AB15" s="2172"/>
      <c r="AC15" s="2105"/>
      <c r="AD15" s="97"/>
      <c r="AE15" s="97"/>
      <c r="AF15" s="97"/>
      <c r="AG15" s="97"/>
      <c r="AH15" s="97"/>
      <c r="AI15" s="97"/>
      <c r="AJ15" s="97"/>
      <c r="AK15" s="97"/>
      <c r="AL15" s="97"/>
      <c r="AM15" s="97"/>
      <c r="AN15" s="2172"/>
      <c r="AO15" s="2341"/>
      <c r="AP15" s="97"/>
      <c r="AQ15" s="97"/>
      <c r="AR15" s="97"/>
      <c r="AS15" s="2345"/>
      <c r="AT15" s="4777"/>
      <c r="AU15" s="2341"/>
      <c r="AV15" s="97"/>
      <c r="AW15" s="97"/>
      <c r="AX15" s="97"/>
      <c r="AY15" s="2172"/>
      <c r="AZ15" s="2341"/>
      <c r="BA15" s="97"/>
      <c r="BB15" s="97"/>
      <c r="BC15" s="97"/>
      <c r="BD15" s="2172"/>
      <c r="BE15" s="2341"/>
      <c r="BF15" s="97"/>
      <c r="BG15" s="97"/>
      <c r="BH15" s="97"/>
      <c r="BI15" s="2172"/>
      <c r="BJ15" s="2465"/>
      <c r="BK15" s="98"/>
      <c r="BL15" s="99"/>
      <c r="BM15" s="100"/>
      <c r="BN15" s="100"/>
      <c r="BO15" s="99"/>
      <c r="BP15" s="101"/>
      <c r="BQ15" s="101"/>
      <c r="BR15" s="102"/>
      <c r="BS15" s="18"/>
      <c r="BT15" s="54"/>
    </row>
    <row r="16" spans="1:72" ht="24" customHeight="1" outlineLevel="1">
      <c r="B16" s="84"/>
      <c r="C16" s="103" t="s">
        <v>38</v>
      </c>
      <c r="D16" s="104"/>
      <c r="E16" s="104"/>
      <c r="F16" s="105" t="s">
        <v>33</v>
      </c>
      <c r="G16" s="106"/>
      <c r="H16" s="107" t="s">
        <v>39</v>
      </c>
      <c r="I16" s="107"/>
      <c r="J16" s="108"/>
      <c r="K16" s="109" t="s">
        <v>35</v>
      </c>
      <c r="L16" s="92">
        <v>3164846.7449019998</v>
      </c>
      <c r="M16" s="92"/>
      <c r="N16" s="92">
        <v>2918786.482394</v>
      </c>
      <c r="O16" s="93"/>
      <c r="P16" s="94"/>
      <c r="Q16" s="95"/>
      <c r="R16" s="96"/>
      <c r="S16" s="2548"/>
      <c r="T16" s="96"/>
      <c r="U16" s="2548"/>
      <c r="V16" s="96"/>
      <c r="W16" s="2346"/>
      <c r="X16" s="2171"/>
      <c r="Y16" s="97"/>
      <c r="Z16" s="97"/>
      <c r="AA16" s="97"/>
      <c r="AB16" s="2172"/>
      <c r="AC16" s="2105"/>
      <c r="AD16" s="97"/>
      <c r="AE16" s="97"/>
      <c r="AF16" s="97"/>
      <c r="AG16" s="97"/>
      <c r="AH16" s="97"/>
      <c r="AI16" s="97"/>
      <c r="AJ16" s="97"/>
      <c r="AK16" s="97"/>
      <c r="AL16" s="97"/>
      <c r="AM16" s="97"/>
      <c r="AN16" s="2172"/>
      <c r="AO16" s="2341"/>
      <c r="AP16" s="97"/>
      <c r="AQ16" s="97"/>
      <c r="AR16" s="97"/>
      <c r="AS16" s="2345"/>
      <c r="AT16" s="4777"/>
      <c r="AU16" s="2341"/>
      <c r="AV16" s="97"/>
      <c r="AW16" s="97"/>
      <c r="AX16" s="97"/>
      <c r="AY16" s="2172"/>
      <c r="AZ16" s="2341"/>
      <c r="BA16" s="97"/>
      <c r="BB16" s="97"/>
      <c r="BC16" s="97"/>
      <c r="BD16" s="2172"/>
      <c r="BE16" s="2341"/>
      <c r="BF16" s="97"/>
      <c r="BG16" s="97"/>
      <c r="BH16" s="97"/>
      <c r="BI16" s="2172"/>
      <c r="BJ16" s="2465"/>
      <c r="BK16" s="98"/>
      <c r="BL16" s="99"/>
      <c r="BM16" s="100"/>
      <c r="BN16" s="100"/>
      <c r="BO16" s="99"/>
      <c r="BP16" s="110"/>
      <c r="BQ16" s="111"/>
      <c r="BR16" s="112"/>
      <c r="BS16" s="18"/>
    </row>
    <row r="17" spans="2:71" ht="24" customHeight="1" outlineLevel="1">
      <c r="B17" s="113"/>
      <c r="C17" s="103" t="s">
        <v>40</v>
      </c>
      <c r="D17" s="104"/>
      <c r="E17" s="104"/>
      <c r="F17" s="105" t="s">
        <v>33</v>
      </c>
      <c r="G17" s="106"/>
      <c r="H17" s="107" t="s">
        <v>41</v>
      </c>
      <c r="I17" s="107"/>
      <c r="J17" s="108"/>
      <c r="K17" s="109" t="s">
        <v>35</v>
      </c>
      <c r="L17" s="92">
        <v>3785492.3756090002</v>
      </c>
      <c r="M17" s="92"/>
      <c r="N17" s="92">
        <v>3601468.3864879999</v>
      </c>
      <c r="O17" s="93"/>
      <c r="P17" s="94"/>
      <c r="Q17" s="95"/>
      <c r="R17" s="96"/>
      <c r="S17" s="2548"/>
      <c r="T17" s="96"/>
      <c r="U17" s="2548"/>
      <c r="V17" s="96"/>
      <c r="W17" s="2346"/>
      <c r="X17" s="2171"/>
      <c r="Y17" s="97"/>
      <c r="Z17" s="97"/>
      <c r="AA17" s="97"/>
      <c r="AB17" s="2172"/>
      <c r="AC17" s="2105"/>
      <c r="AD17" s="97"/>
      <c r="AE17" s="97"/>
      <c r="AF17" s="97"/>
      <c r="AG17" s="97"/>
      <c r="AH17" s="97"/>
      <c r="AI17" s="97"/>
      <c r="AJ17" s="97"/>
      <c r="AK17" s="97"/>
      <c r="AL17" s="97"/>
      <c r="AM17" s="97"/>
      <c r="AN17" s="2172"/>
      <c r="AO17" s="2341"/>
      <c r="AP17" s="97"/>
      <c r="AQ17" s="97"/>
      <c r="AR17" s="97"/>
      <c r="AS17" s="2345"/>
      <c r="AT17" s="4777"/>
      <c r="AU17" s="2341"/>
      <c r="AV17" s="97"/>
      <c r="AW17" s="97"/>
      <c r="AX17" s="97"/>
      <c r="AY17" s="2172"/>
      <c r="AZ17" s="2341"/>
      <c r="BA17" s="97"/>
      <c r="BB17" s="97"/>
      <c r="BC17" s="97"/>
      <c r="BD17" s="2172"/>
      <c r="BE17" s="2341"/>
      <c r="BF17" s="97"/>
      <c r="BG17" s="97"/>
      <c r="BH17" s="97"/>
      <c r="BI17" s="2172"/>
      <c r="BJ17" s="2465"/>
      <c r="BK17" s="98"/>
      <c r="BL17" s="99"/>
      <c r="BM17" s="100"/>
      <c r="BN17" s="100"/>
      <c r="BO17" s="99"/>
      <c r="BP17" s="110"/>
      <c r="BQ17" s="114" t="s">
        <v>42</v>
      </c>
      <c r="BR17" s="112"/>
      <c r="BS17" s="18"/>
    </row>
    <row r="18" spans="2:71" ht="24" customHeight="1" outlineLevel="1">
      <c r="B18" s="84"/>
      <c r="C18" s="103" t="s">
        <v>43</v>
      </c>
      <c r="D18" s="104"/>
      <c r="E18" s="104"/>
      <c r="F18" s="105" t="s">
        <v>33</v>
      </c>
      <c r="G18" s="106"/>
      <c r="H18" s="107" t="s">
        <v>44</v>
      </c>
      <c r="I18" s="107"/>
      <c r="J18" s="108"/>
      <c r="K18" s="109" t="s">
        <v>35</v>
      </c>
      <c r="L18" s="92">
        <v>975423.22236100002</v>
      </c>
      <c r="M18" s="92"/>
      <c r="N18" s="92">
        <v>1238638.1151690001</v>
      </c>
      <c r="O18" s="93"/>
      <c r="P18" s="94"/>
      <c r="Q18" s="95"/>
      <c r="R18" s="96"/>
      <c r="S18" s="2548"/>
      <c r="T18" s="96"/>
      <c r="U18" s="2548"/>
      <c r="V18" s="96"/>
      <c r="W18" s="2346"/>
      <c r="X18" s="2171"/>
      <c r="Y18" s="97"/>
      <c r="Z18" s="97"/>
      <c r="AA18" s="97"/>
      <c r="AB18" s="2172"/>
      <c r="AC18" s="2105"/>
      <c r="AD18" s="97"/>
      <c r="AE18" s="97"/>
      <c r="AF18" s="97"/>
      <c r="AG18" s="97"/>
      <c r="AH18" s="97"/>
      <c r="AI18" s="97"/>
      <c r="AJ18" s="97"/>
      <c r="AK18" s="97"/>
      <c r="AL18" s="97"/>
      <c r="AM18" s="97"/>
      <c r="AN18" s="2172"/>
      <c r="AO18" s="2341"/>
      <c r="AP18" s="97"/>
      <c r="AQ18" s="97"/>
      <c r="AR18" s="97"/>
      <c r="AS18" s="2345"/>
      <c r="AT18" s="4777"/>
      <c r="AU18" s="2341"/>
      <c r="AV18" s="97"/>
      <c r="AW18" s="97"/>
      <c r="AX18" s="97"/>
      <c r="AY18" s="2172"/>
      <c r="AZ18" s="2341"/>
      <c r="BA18" s="97"/>
      <c r="BB18" s="97"/>
      <c r="BC18" s="97"/>
      <c r="BD18" s="2172"/>
      <c r="BE18" s="2341"/>
      <c r="BF18" s="97"/>
      <c r="BG18" s="97"/>
      <c r="BH18" s="97"/>
      <c r="BI18" s="2172"/>
      <c r="BJ18" s="2465"/>
      <c r="BK18" s="98"/>
      <c r="BL18" s="99"/>
      <c r="BM18" s="100"/>
      <c r="BN18" s="100"/>
      <c r="BO18" s="99"/>
      <c r="BP18" s="110"/>
      <c r="BQ18" s="111"/>
      <c r="BR18" s="112"/>
      <c r="BS18" s="18"/>
    </row>
    <row r="19" spans="2:71" ht="24" customHeight="1" outlineLevel="1">
      <c r="B19" s="84"/>
      <c r="C19" s="103" t="s">
        <v>45</v>
      </c>
      <c r="D19" s="104"/>
      <c r="E19" s="104"/>
      <c r="F19" s="105" t="s">
        <v>33</v>
      </c>
      <c r="G19" s="106"/>
      <c r="H19" s="107" t="s">
        <v>46</v>
      </c>
      <c r="I19" s="107"/>
      <c r="J19" s="108"/>
      <c r="K19" s="109" t="s">
        <v>35</v>
      </c>
      <c r="L19" s="92">
        <v>2508783.7857059999</v>
      </c>
      <c r="M19" s="92"/>
      <c r="N19" s="92">
        <v>1969740.930624</v>
      </c>
      <c r="O19" s="93"/>
      <c r="P19" s="94"/>
      <c r="Q19" s="95"/>
      <c r="R19" s="96"/>
      <c r="S19" s="2548"/>
      <c r="T19" s="96"/>
      <c r="U19" s="2548"/>
      <c r="V19" s="96"/>
      <c r="W19" s="2346"/>
      <c r="X19" s="2171"/>
      <c r="Y19" s="97"/>
      <c r="Z19" s="97"/>
      <c r="AA19" s="97"/>
      <c r="AB19" s="2172"/>
      <c r="AC19" s="2105"/>
      <c r="AD19" s="97"/>
      <c r="AE19" s="97"/>
      <c r="AF19" s="97"/>
      <c r="AG19" s="97"/>
      <c r="AH19" s="97"/>
      <c r="AI19" s="97"/>
      <c r="AJ19" s="97"/>
      <c r="AK19" s="97"/>
      <c r="AL19" s="97"/>
      <c r="AM19" s="97"/>
      <c r="AN19" s="2172"/>
      <c r="AO19" s="2341"/>
      <c r="AP19" s="97"/>
      <c r="AQ19" s="97"/>
      <c r="AR19" s="97"/>
      <c r="AS19" s="2345"/>
      <c r="AT19" s="4777"/>
      <c r="AU19" s="2341"/>
      <c r="AV19" s="97"/>
      <c r="AW19" s="97"/>
      <c r="AX19" s="97"/>
      <c r="AY19" s="2172"/>
      <c r="AZ19" s="2341"/>
      <c r="BA19" s="97"/>
      <c r="BB19" s="97"/>
      <c r="BC19" s="97"/>
      <c r="BD19" s="2172"/>
      <c r="BE19" s="2341"/>
      <c r="BF19" s="97"/>
      <c r="BG19" s="97"/>
      <c r="BH19" s="97"/>
      <c r="BI19" s="2172"/>
      <c r="BJ19" s="2465"/>
      <c r="BK19" s="98"/>
      <c r="BL19" s="99"/>
      <c r="BM19" s="100"/>
      <c r="BN19" s="100"/>
      <c r="BO19" s="99"/>
      <c r="BP19" s="110"/>
      <c r="BQ19" s="111"/>
      <c r="BR19" s="112"/>
      <c r="BS19" s="18"/>
    </row>
    <row r="20" spans="2:71" ht="24" customHeight="1" outlineLevel="1">
      <c r="B20" s="113"/>
      <c r="C20" s="103" t="s">
        <v>47</v>
      </c>
      <c r="D20" s="104"/>
      <c r="E20" s="104"/>
      <c r="F20" s="105" t="s">
        <v>33</v>
      </c>
      <c r="G20" s="106"/>
      <c r="H20" s="107" t="s">
        <v>48</v>
      </c>
      <c r="I20" s="107"/>
      <c r="J20" s="108"/>
      <c r="K20" s="109" t="s">
        <v>35</v>
      </c>
      <c r="L20" s="92">
        <v>3484207.0080670002</v>
      </c>
      <c r="M20" s="92"/>
      <c r="N20" s="92">
        <v>3208379.0457930001</v>
      </c>
      <c r="O20" s="93"/>
      <c r="P20" s="94"/>
      <c r="Q20" s="95"/>
      <c r="R20" s="96"/>
      <c r="S20" s="2548"/>
      <c r="T20" s="96"/>
      <c r="U20" s="2548"/>
      <c r="V20" s="96"/>
      <c r="W20" s="2346"/>
      <c r="X20" s="2171"/>
      <c r="Y20" s="97"/>
      <c r="Z20" s="97"/>
      <c r="AA20" s="97"/>
      <c r="AB20" s="2172"/>
      <c r="AC20" s="2105"/>
      <c r="AD20" s="97"/>
      <c r="AE20" s="97"/>
      <c r="AF20" s="97"/>
      <c r="AG20" s="97"/>
      <c r="AH20" s="97"/>
      <c r="AI20" s="97"/>
      <c r="AJ20" s="97"/>
      <c r="AK20" s="97"/>
      <c r="AL20" s="97"/>
      <c r="AM20" s="97"/>
      <c r="AN20" s="2172"/>
      <c r="AO20" s="2341"/>
      <c r="AP20" s="97"/>
      <c r="AQ20" s="97"/>
      <c r="AR20" s="97"/>
      <c r="AS20" s="2345"/>
      <c r="AT20" s="4777"/>
      <c r="AU20" s="2341"/>
      <c r="AV20" s="97"/>
      <c r="AW20" s="97"/>
      <c r="AX20" s="97"/>
      <c r="AY20" s="2172"/>
      <c r="AZ20" s="2341"/>
      <c r="BA20" s="97"/>
      <c r="BB20" s="97"/>
      <c r="BC20" s="97"/>
      <c r="BD20" s="2172"/>
      <c r="BE20" s="2341"/>
      <c r="BF20" s="97"/>
      <c r="BG20" s="97"/>
      <c r="BH20" s="97"/>
      <c r="BI20" s="2172"/>
      <c r="BJ20" s="2465"/>
      <c r="BK20" s="98"/>
      <c r="BL20" s="99"/>
      <c r="BM20" s="100"/>
      <c r="BN20" s="100"/>
      <c r="BO20" s="99"/>
      <c r="BP20" s="110"/>
      <c r="BQ20" s="114" t="s">
        <v>42</v>
      </c>
      <c r="BR20" s="112"/>
      <c r="BS20" s="18"/>
    </row>
    <row r="21" spans="2:71" ht="24" customHeight="1" outlineLevel="1">
      <c r="B21" s="84"/>
      <c r="C21" s="103" t="s">
        <v>49</v>
      </c>
      <c r="D21" s="104"/>
      <c r="E21" s="104"/>
      <c r="F21" s="105" t="s">
        <v>33</v>
      </c>
      <c r="G21" s="106"/>
      <c r="H21" s="115" t="s">
        <v>50</v>
      </c>
      <c r="I21" s="107"/>
      <c r="J21" s="108"/>
      <c r="K21" s="109" t="s">
        <v>35</v>
      </c>
      <c r="L21" s="92">
        <v>225247.92629500001</v>
      </c>
      <c r="M21" s="92"/>
      <c r="N21" s="92">
        <v>376320.42445200001</v>
      </c>
      <c r="O21" s="93"/>
      <c r="P21" s="94"/>
      <c r="Q21" s="95"/>
      <c r="R21" s="96"/>
      <c r="S21" s="2548"/>
      <c r="T21" s="96"/>
      <c r="U21" s="2548"/>
      <c r="V21" s="96"/>
      <c r="W21" s="2346"/>
      <c r="X21" s="2171"/>
      <c r="Y21" s="97"/>
      <c r="Z21" s="97"/>
      <c r="AA21" s="97"/>
      <c r="AB21" s="2172"/>
      <c r="AC21" s="2105"/>
      <c r="AD21" s="97"/>
      <c r="AE21" s="97"/>
      <c r="AF21" s="97"/>
      <c r="AG21" s="97"/>
      <c r="AH21" s="97"/>
      <c r="AI21" s="97"/>
      <c r="AJ21" s="97"/>
      <c r="AK21" s="97"/>
      <c r="AL21" s="97"/>
      <c r="AM21" s="97"/>
      <c r="AN21" s="2172"/>
      <c r="AO21" s="2341"/>
      <c r="AP21" s="97"/>
      <c r="AQ21" s="97"/>
      <c r="AR21" s="97"/>
      <c r="AS21" s="2345"/>
      <c r="AT21" s="4777"/>
      <c r="AU21" s="2341"/>
      <c r="AV21" s="97"/>
      <c r="AW21" s="97"/>
      <c r="AX21" s="97"/>
      <c r="AY21" s="2172"/>
      <c r="AZ21" s="2341"/>
      <c r="BA21" s="97"/>
      <c r="BB21" s="97"/>
      <c r="BC21" s="97"/>
      <c r="BD21" s="2172"/>
      <c r="BE21" s="2341"/>
      <c r="BF21" s="97"/>
      <c r="BG21" s="97"/>
      <c r="BH21" s="97"/>
      <c r="BI21" s="2172"/>
      <c r="BJ21" s="2465"/>
      <c r="BK21" s="98"/>
      <c r="BL21" s="99"/>
      <c r="BM21" s="100"/>
      <c r="BN21" s="100"/>
      <c r="BO21" s="99"/>
      <c r="BP21" s="110"/>
      <c r="BQ21" s="111"/>
      <c r="BR21" s="112"/>
      <c r="BS21" s="18"/>
    </row>
    <row r="22" spans="2:71" ht="24" customHeight="1" outlineLevel="1">
      <c r="B22" s="113"/>
      <c r="C22" s="103" t="s">
        <v>51</v>
      </c>
      <c r="D22" s="104"/>
      <c r="E22" s="104"/>
      <c r="F22" s="105" t="s">
        <v>33</v>
      </c>
      <c r="G22" s="106"/>
      <c r="H22" s="116" t="s">
        <v>52</v>
      </c>
      <c r="I22" s="107"/>
      <c r="J22" s="108"/>
      <c r="K22" s="109" t="s">
        <v>35</v>
      </c>
      <c r="L22" s="92">
        <v>301285.36754200002</v>
      </c>
      <c r="M22" s="92"/>
      <c r="N22" s="92">
        <v>393089.34069500002</v>
      </c>
      <c r="O22" s="93"/>
      <c r="P22" s="94"/>
      <c r="Q22" s="95"/>
      <c r="R22" s="96"/>
      <c r="S22" s="2548"/>
      <c r="T22" s="96"/>
      <c r="U22" s="2548"/>
      <c r="V22" s="96"/>
      <c r="W22" s="2346"/>
      <c r="X22" s="2171"/>
      <c r="Y22" s="97"/>
      <c r="Z22" s="97"/>
      <c r="AA22" s="97"/>
      <c r="AB22" s="2172"/>
      <c r="AC22" s="2105"/>
      <c r="AD22" s="97"/>
      <c r="AE22" s="97"/>
      <c r="AF22" s="97"/>
      <c r="AG22" s="97"/>
      <c r="AH22" s="97"/>
      <c r="AI22" s="97"/>
      <c r="AJ22" s="97"/>
      <c r="AK22" s="97"/>
      <c r="AL22" s="97"/>
      <c r="AM22" s="97"/>
      <c r="AN22" s="2172"/>
      <c r="AO22" s="2341"/>
      <c r="AP22" s="97"/>
      <c r="AQ22" s="97"/>
      <c r="AR22" s="97"/>
      <c r="AS22" s="2345"/>
      <c r="AT22" s="4777"/>
      <c r="AU22" s="2341"/>
      <c r="AV22" s="97"/>
      <c r="AW22" s="97"/>
      <c r="AX22" s="97"/>
      <c r="AY22" s="2172"/>
      <c r="AZ22" s="2341"/>
      <c r="BA22" s="97"/>
      <c r="BB22" s="97"/>
      <c r="BC22" s="97"/>
      <c r="BD22" s="2172"/>
      <c r="BE22" s="2341"/>
      <c r="BF22" s="97"/>
      <c r="BG22" s="97"/>
      <c r="BH22" s="97"/>
      <c r="BI22" s="2172"/>
      <c r="BJ22" s="2465"/>
      <c r="BK22" s="98"/>
      <c r="BL22" s="99"/>
      <c r="BM22" s="100"/>
      <c r="BN22" s="100"/>
      <c r="BO22" s="99"/>
      <c r="BP22" s="110"/>
      <c r="BQ22" s="114" t="s">
        <v>42</v>
      </c>
      <c r="BR22" s="112"/>
      <c r="BS22" s="18"/>
    </row>
    <row r="23" spans="2:71" ht="24" customHeight="1" outlineLevel="1" thickBot="1">
      <c r="B23" s="84"/>
      <c r="C23" s="117" t="s">
        <v>53</v>
      </c>
      <c r="D23" s="118"/>
      <c r="E23" s="118"/>
      <c r="F23" s="119" t="s">
        <v>33</v>
      </c>
      <c r="G23" s="106"/>
      <c r="H23" s="120" t="s">
        <v>54</v>
      </c>
      <c r="I23" s="120"/>
      <c r="J23" s="121"/>
      <c r="K23" s="122" t="s">
        <v>35</v>
      </c>
      <c r="L23" s="92">
        <v>3785492.3756090002</v>
      </c>
      <c r="M23" s="92"/>
      <c r="N23" s="92">
        <v>3601468.3864879999</v>
      </c>
      <c r="O23" s="93"/>
      <c r="P23" s="94"/>
      <c r="Q23" s="95"/>
      <c r="R23" s="96"/>
      <c r="S23" s="2548"/>
      <c r="T23" s="96"/>
      <c r="U23" s="2548"/>
      <c r="V23" s="96"/>
      <c r="W23" s="2346"/>
      <c r="X23" s="2171"/>
      <c r="Y23" s="97"/>
      <c r="Z23" s="97"/>
      <c r="AA23" s="97"/>
      <c r="AB23" s="2172"/>
      <c r="AC23" s="2105"/>
      <c r="AD23" s="97"/>
      <c r="AE23" s="97"/>
      <c r="AF23" s="97"/>
      <c r="AG23" s="97"/>
      <c r="AH23" s="97"/>
      <c r="AI23" s="97"/>
      <c r="AJ23" s="97"/>
      <c r="AK23" s="97"/>
      <c r="AL23" s="97"/>
      <c r="AM23" s="97"/>
      <c r="AN23" s="2172"/>
      <c r="AO23" s="2341"/>
      <c r="AP23" s="97"/>
      <c r="AQ23" s="97"/>
      <c r="AR23" s="97"/>
      <c r="AS23" s="2345"/>
      <c r="AT23" s="4777"/>
      <c r="AU23" s="2341"/>
      <c r="AV23" s="97"/>
      <c r="AW23" s="97"/>
      <c r="AX23" s="97"/>
      <c r="AY23" s="2172"/>
      <c r="AZ23" s="2341"/>
      <c r="BA23" s="97"/>
      <c r="BB23" s="97"/>
      <c r="BC23" s="97"/>
      <c r="BD23" s="2172"/>
      <c r="BE23" s="2341"/>
      <c r="BF23" s="97"/>
      <c r="BG23" s="97"/>
      <c r="BH23" s="97"/>
      <c r="BI23" s="2172"/>
      <c r="BJ23" s="2465"/>
      <c r="BK23" s="98"/>
      <c r="BL23" s="99"/>
      <c r="BM23" s="100"/>
      <c r="BN23" s="100"/>
      <c r="BO23" s="99"/>
      <c r="BP23" s="110"/>
      <c r="BQ23" s="111"/>
      <c r="BR23" s="112"/>
      <c r="BS23" s="18"/>
    </row>
    <row r="24" spans="2:71" ht="24" customHeight="1" outlineLevel="1" thickBot="1">
      <c r="B24" s="123" t="s">
        <v>55</v>
      </c>
      <c r="C24" s="124"/>
      <c r="D24" s="124"/>
      <c r="E24" s="124"/>
      <c r="F24" s="78"/>
      <c r="G24" s="125" t="s">
        <v>56</v>
      </c>
      <c r="H24" s="126"/>
      <c r="I24" s="126"/>
      <c r="J24" s="126"/>
      <c r="K24" s="78"/>
      <c r="L24" s="127"/>
      <c r="M24" s="127"/>
      <c r="N24" s="127"/>
      <c r="O24" s="127"/>
      <c r="P24" s="127"/>
      <c r="Q24" s="127"/>
      <c r="R24" s="127"/>
      <c r="S24" s="4778"/>
      <c r="T24" s="127"/>
      <c r="U24" s="4778"/>
      <c r="V24" s="127"/>
      <c r="W24" s="127"/>
      <c r="X24" s="2173"/>
      <c r="Y24" s="128"/>
      <c r="Z24" s="128"/>
      <c r="AA24" s="128"/>
      <c r="AB24" s="2174"/>
      <c r="AC24" s="128"/>
      <c r="AD24" s="128"/>
      <c r="AE24" s="128"/>
      <c r="AF24" s="128"/>
      <c r="AG24" s="128"/>
      <c r="AH24" s="128"/>
      <c r="AI24" s="128"/>
      <c r="AJ24" s="128"/>
      <c r="AK24" s="128"/>
      <c r="AL24" s="128"/>
      <c r="AM24" s="128"/>
      <c r="AN24" s="2174"/>
      <c r="AO24" s="2173"/>
      <c r="AP24" s="128"/>
      <c r="AQ24" s="128"/>
      <c r="AR24" s="128"/>
      <c r="AS24" s="128"/>
      <c r="AT24" s="4779"/>
      <c r="AU24" s="2173"/>
      <c r="AV24" s="128"/>
      <c r="AW24" s="128"/>
      <c r="AX24" s="128"/>
      <c r="AY24" s="2174"/>
      <c r="AZ24" s="2173"/>
      <c r="BA24" s="128"/>
      <c r="BB24" s="128"/>
      <c r="BC24" s="128"/>
      <c r="BD24" s="2174"/>
      <c r="BE24" s="2173"/>
      <c r="BF24" s="128"/>
      <c r="BG24" s="128"/>
      <c r="BH24" s="128"/>
      <c r="BI24" s="2174"/>
      <c r="BJ24" s="80"/>
      <c r="BK24" s="80"/>
      <c r="BL24" s="129"/>
      <c r="BM24" s="129"/>
      <c r="BN24" s="129"/>
      <c r="BO24" s="129"/>
      <c r="BP24" s="130"/>
      <c r="BQ24" s="130"/>
      <c r="BR24" s="131"/>
      <c r="BS24" s="18"/>
    </row>
    <row r="25" spans="2:71" s="139" customFormat="1" ht="24" customHeight="1" outlineLevel="1">
      <c r="B25" s="113"/>
      <c r="C25" s="85" t="s">
        <v>1747</v>
      </c>
      <c r="D25" s="86"/>
      <c r="E25" s="86"/>
      <c r="F25" s="132" t="s">
        <v>33</v>
      </c>
      <c r="G25" s="133"/>
      <c r="H25" s="134" t="s">
        <v>58</v>
      </c>
      <c r="I25" s="134"/>
      <c r="J25" s="135"/>
      <c r="K25" s="136" t="s">
        <v>35</v>
      </c>
      <c r="L25" s="92">
        <v>736315</v>
      </c>
      <c r="M25" s="95"/>
      <c r="N25" s="92">
        <v>1281306</v>
      </c>
      <c r="O25" s="93"/>
      <c r="P25" s="137"/>
      <c r="Q25" s="95"/>
      <c r="R25" s="96"/>
      <c r="S25" s="2548"/>
      <c r="T25" s="96"/>
      <c r="U25" s="2548"/>
      <c r="V25" s="96"/>
      <c r="W25" s="2346"/>
      <c r="X25" s="2171"/>
      <c r="Y25" s="97"/>
      <c r="Z25" s="97"/>
      <c r="AA25" s="97"/>
      <c r="AB25" s="2172"/>
      <c r="AC25" s="2105"/>
      <c r="AD25" s="97"/>
      <c r="AE25" s="97"/>
      <c r="AF25" s="97"/>
      <c r="AG25" s="97"/>
      <c r="AH25" s="97"/>
      <c r="AI25" s="97"/>
      <c r="AJ25" s="97"/>
      <c r="AK25" s="97"/>
      <c r="AL25" s="97"/>
      <c r="AM25" s="97"/>
      <c r="AN25" s="2172"/>
      <c r="AO25" s="2341"/>
      <c r="AP25" s="97"/>
      <c r="AQ25" s="97"/>
      <c r="AR25" s="97"/>
      <c r="AS25" s="2345"/>
      <c r="AT25" s="4777"/>
      <c r="AU25" s="2341"/>
      <c r="AV25" s="97"/>
      <c r="AW25" s="97"/>
      <c r="AX25" s="97"/>
      <c r="AY25" s="2172"/>
      <c r="AZ25" s="2341"/>
      <c r="BA25" s="97"/>
      <c r="BB25" s="97"/>
      <c r="BC25" s="97"/>
      <c r="BD25" s="2172"/>
      <c r="BE25" s="2341"/>
      <c r="BF25" s="97"/>
      <c r="BG25" s="97"/>
      <c r="BH25" s="97"/>
      <c r="BI25" s="2172"/>
      <c r="BJ25" s="2465"/>
      <c r="BK25" s="98"/>
      <c r="BL25" s="99"/>
      <c r="BM25" s="138"/>
      <c r="BN25" s="138"/>
      <c r="BO25" s="99"/>
      <c r="BP25" s="110"/>
      <c r="BQ25" s="114" t="s">
        <v>42</v>
      </c>
      <c r="BR25" s="112"/>
      <c r="BS25" s="10"/>
    </row>
    <row r="26" spans="2:71" s="139" customFormat="1" ht="24" customHeight="1" outlineLevel="1">
      <c r="B26" s="113"/>
      <c r="C26" s="103" t="s">
        <v>61</v>
      </c>
      <c r="D26" s="104"/>
      <c r="E26" s="104"/>
      <c r="F26" s="105" t="s">
        <v>33</v>
      </c>
      <c r="G26" s="133"/>
      <c r="H26" s="140" t="s">
        <v>62</v>
      </c>
      <c r="I26" s="140"/>
      <c r="J26" s="141"/>
      <c r="K26" s="109" t="s">
        <v>35</v>
      </c>
      <c r="L26" s="92">
        <v>-241446</v>
      </c>
      <c r="M26" s="95"/>
      <c r="N26" s="92">
        <v>-76766</v>
      </c>
      <c r="O26" s="93"/>
      <c r="P26" s="94"/>
      <c r="Q26" s="95"/>
      <c r="R26" s="96"/>
      <c r="S26" s="2548"/>
      <c r="T26" s="96"/>
      <c r="U26" s="2548"/>
      <c r="V26" s="96"/>
      <c r="W26" s="2346"/>
      <c r="X26" s="2171"/>
      <c r="Y26" s="97"/>
      <c r="Z26" s="97"/>
      <c r="AA26" s="97"/>
      <c r="AB26" s="2172"/>
      <c r="AC26" s="2105"/>
      <c r="AD26" s="97"/>
      <c r="AE26" s="97"/>
      <c r="AF26" s="97"/>
      <c r="AG26" s="97"/>
      <c r="AH26" s="97"/>
      <c r="AI26" s="97"/>
      <c r="AJ26" s="97"/>
      <c r="AK26" s="97"/>
      <c r="AL26" s="97"/>
      <c r="AM26" s="97"/>
      <c r="AN26" s="2172"/>
      <c r="AO26" s="2341"/>
      <c r="AP26" s="97"/>
      <c r="AQ26" s="97"/>
      <c r="AR26" s="97"/>
      <c r="AS26" s="2345"/>
      <c r="AT26" s="4777"/>
      <c r="AU26" s="2341"/>
      <c r="AV26" s="97"/>
      <c r="AW26" s="97"/>
      <c r="AX26" s="97"/>
      <c r="AY26" s="2172"/>
      <c r="AZ26" s="2341"/>
      <c r="BA26" s="97"/>
      <c r="BB26" s="97"/>
      <c r="BC26" s="97"/>
      <c r="BD26" s="2172"/>
      <c r="BE26" s="2341"/>
      <c r="BF26" s="97"/>
      <c r="BG26" s="97"/>
      <c r="BH26" s="97"/>
      <c r="BI26" s="2172"/>
      <c r="BJ26" s="2465"/>
      <c r="BK26" s="98"/>
      <c r="BL26" s="99"/>
      <c r="BM26" s="138"/>
      <c r="BN26" s="138"/>
      <c r="BO26" s="99"/>
      <c r="BP26" s="110"/>
      <c r="BQ26" s="114" t="s">
        <v>42</v>
      </c>
      <c r="BR26" s="112"/>
      <c r="BS26" s="10"/>
    </row>
    <row r="27" spans="2:71" s="139" customFormat="1" ht="24" customHeight="1" outlineLevel="1">
      <c r="B27" s="113"/>
      <c r="C27" s="103" t="s">
        <v>75</v>
      </c>
      <c r="D27" s="104"/>
      <c r="E27" s="104"/>
      <c r="F27" s="105" t="s">
        <v>33</v>
      </c>
      <c r="G27" s="133"/>
      <c r="H27" s="140" t="s">
        <v>76</v>
      </c>
      <c r="I27" s="140"/>
      <c r="J27" s="141"/>
      <c r="K27" s="109" t="s">
        <v>35</v>
      </c>
      <c r="L27" s="92">
        <v>-338788</v>
      </c>
      <c r="M27" s="95"/>
      <c r="N27" s="92">
        <v>-214508</v>
      </c>
      <c r="O27" s="93"/>
      <c r="P27" s="94"/>
      <c r="Q27" s="95"/>
      <c r="R27" s="96"/>
      <c r="S27" s="2548"/>
      <c r="T27" s="96"/>
      <c r="U27" s="2548"/>
      <c r="V27" s="96"/>
      <c r="W27" s="2346"/>
      <c r="X27" s="2171"/>
      <c r="Y27" s="97"/>
      <c r="Z27" s="97"/>
      <c r="AA27" s="97"/>
      <c r="AB27" s="2172"/>
      <c r="AC27" s="2105"/>
      <c r="AD27" s="97"/>
      <c r="AE27" s="97"/>
      <c r="AF27" s="97"/>
      <c r="AG27" s="97"/>
      <c r="AH27" s="97"/>
      <c r="AI27" s="97"/>
      <c r="AJ27" s="97"/>
      <c r="AK27" s="97"/>
      <c r="AL27" s="97"/>
      <c r="AM27" s="97"/>
      <c r="AN27" s="2172"/>
      <c r="AO27" s="2341"/>
      <c r="AP27" s="97"/>
      <c r="AQ27" s="97"/>
      <c r="AR27" s="97"/>
      <c r="AS27" s="2345"/>
      <c r="AT27" s="4777"/>
      <c r="AU27" s="2341"/>
      <c r="AV27" s="97"/>
      <c r="AW27" s="97"/>
      <c r="AX27" s="97"/>
      <c r="AY27" s="2172"/>
      <c r="AZ27" s="2341"/>
      <c r="BA27" s="97"/>
      <c r="BB27" s="97"/>
      <c r="BC27" s="97"/>
      <c r="BD27" s="2172"/>
      <c r="BE27" s="2341"/>
      <c r="BF27" s="97"/>
      <c r="BG27" s="97"/>
      <c r="BH27" s="97"/>
      <c r="BI27" s="2172"/>
      <c r="BJ27" s="2465"/>
      <c r="BK27" s="98"/>
      <c r="BL27" s="99"/>
      <c r="BM27" s="138"/>
      <c r="BN27" s="138"/>
      <c r="BO27" s="99"/>
      <c r="BP27" s="110"/>
      <c r="BQ27" s="114" t="s">
        <v>42</v>
      </c>
      <c r="BR27" s="112"/>
      <c r="BS27" s="10"/>
    </row>
    <row r="28" spans="2:71" ht="24" customHeight="1" outlineLevel="1">
      <c r="B28" s="84"/>
      <c r="C28" s="103" t="s">
        <v>1748</v>
      </c>
      <c r="D28" s="104"/>
      <c r="E28" s="104"/>
      <c r="F28" s="105" t="s">
        <v>33</v>
      </c>
      <c r="G28" s="142"/>
      <c r="H28" s="140" t="s">
        <v>60</v>
      </c>
      <c r="I28" s="140"/>
      <c r="J28" s="141"/>
      <c r="K28" s="109" t="s">
        <v>35</v>
      </c>
      <c r="L28" s="92">
        <v>546924</v>
      </c>
      <c r="M28" s="95"/>
      <c r="N28" s="92">
        <v>836913</v>
      </c>
      <c r="O28" s="93"/>
      <c r="P28" s="94"/>
      <c r="Q28" s="95"/>
      <c r="R28" s="96"/>
      <c r="S28" s="2548"/>
      <c r="T28" s="96"/>
      <c r="U28" s="2548"/>
      <c r="V28" s="96"/>
      <c r="W28" s="2346"/>
      <c r="X28" s="2171"/>
      <c r="Y28" s="97"/>
      <c r="Z28" s="97"/>
      <c r="AA28" s="97"/>
      <c r="AB28" s="2172"/>
      <c r="AC28" s="2105"/>
      <c r="AD28" s="97"/>
      <c r="AE28" s="97"/>
      <c r="AF28" s="97"/>
      <c r="AG28" s="97"/>
      <c r="AH28" s="97"/>
      <c r="AI28" s="97"/>
      <c r="AJ28" s="97"/>
      <c r="AK28" s="97"/>
      <c r="AL28" s="97"/>
      <c r="AM28" s="97"/>
      <c r="AN28" s="2172"/>
      <c r="AO28" s="2341"/>
      <c r="AP28" s="97"/>
      <c r="AQ28" s="97"/>
      <c r="AR28" s="97"/>
      <c r="AS28" s="2345"/>
      <c r="AT28" s="4777"/>
      <c r="AU28" s="2341"/>
      <c r="AV28" s="97"/>
      <c r="AW28" s="97"/>
      <c r="AX28" s="97"/>
      <c r="AY28" s="2172"/>
      <c r="AZ28" s="2341"/>
      <c r="BA28" s="97"/>
      <c r="BB28" s="97"/>
      <c r="BC28" s="97"/>
      <c r="BD28" s="2172"/>
      <c r="BE28" s="2341"/>
      <c r="BF28" s="97"/>
      <c r="BG28" s="97"/>
      <c r="BH28" s="97"/>
      <c r="BI28" s="2172"/>
      <c r="BJ28" s="2465"/>
      <c r="BK28" s="98"/>
      <c r="BL28" s="99"/>
      <c r="BM28" s="138"/>
      <c r="BN28" s="138"/>
      <c r="BO28" s="99"/>
      <c r="BP28" s="110"/>
      <c r="BQ28" s="111"/>
      <c r="BR28" s="112"/>
      <c r="BS28" s="18"/>
    </row>
    <row r="29" spans="2:71" ht="24" customHeight="1" outlineLevel="1">
      <c r="B29" s="84"/>
      <c r="C29" s="103" t="s">
        <v>1749</v>
      </c>
      <c r="D29" s="104"/>
      <c r="E29" s="104"/>
      <c r="F29" s="105" t="s">
        <v>33</v>
      </c>
      <c r="G29" s="142"/>
      <c r="H29" s="140" t="s">
        <v>1750</v>
      </c>
      <c r="I29" s="140"/>
      <c r="J29" s="141"/>
      <c r="K29" s="109" t="s">
        <v>35</v>
      </c>
      <c r="L29" s="92">
        <v>189391</v>
      </c>
      <c r="M29" s="95"/>
      <c r="N29" s="92">
        <v>444392</v>
      </c>
      <c r="O29" s="93"/>
      <c r="P29" s="94"/>
      <c r="Q29" s="95"/>
      <c r="R29" s="96"/>
      <c r="S29" s="2548"/>
      <c r="T29" s="96"/>
      <c r="U29" s="2548"/>
      <c r="V29" s="96"/>
      <c r="W29" s="2346"/>
      <c r="X29" s="2171"/>
      <c r="Y29" s="97"/>
      <c r="Z29" s="97"/>
      <c r="AA29" s="97"/>
      <c r="AB29" s="2172"/>
      <c r="AC29" s="2105"/>
      <c r="AD29" s="97"/>
      <c r="AE29" s="97"/>
      <c r="AF29" s="97"/>
      <c r="AG29" s="97"/>
      <c r="AH29" s="97"/>
      <c r="AI29" s="97"/>
      <c r="AJ29" s="97"/>
      <c r="AK29" s="97"/>
      <c r="AL29" s="97"/>
      <c r="AM29" s="97"/>
      <c r="AN29" s="2172"/>
      <c r="AO29" s="2341"/>
      <c r="AP29" s="97"/>
      <c r="AQ29" s="97"/>
      <c r="AR29" s="97"/>
      <c r="AS29" s="2345"/>
      <c r="AT29" s="4777"/>
      <c r="AU29" s="2341"/>
      <c r="AV29" s="97"/>
      <c r="AW29" s="97"/>
      <c r="AX29" s="97"/>
      <c r="AY29" s="2172"/>
      <c r="AZ29" s="2341"/>
      <c r="BA29" s="97"/>
      <c r="BB29" s="97"/>
      <c r="BC29" s="97"/>
      <c r="BD29" s="2172"/>
      <c r="BE29" s="2341"/>
      <c r="BF29" s="97"/>
      <c r="BG29" s="97"/>
      <c r="BH29" s="97"/>
      <c r="BI29" s="2172"/>
      <c r="BJ29" s="2465"/>
      <c r="BK29" s="98"/>
      <c r="BL29" s="99"/>
      <c r="BM29" s="138"/>
      <c r="BN29" s="138"/>
      <c r="BO29" s="99"/>
      <c r="BP29" s="110"/>
      <c r="BQ29" s="111"/>
      <c r="BR29" s="112"/>
      <c r="BS29" s="18"/>
    </row>
    <row r="30" spans="2:71" ht="24" customHeight="1" outlineLevel="1">
      <c r="B30" s="113"/>
      <c r="C30" s="103" t="s">
        <v>1751</v>
      </c>
      <c r="D30" s="104"/>
      <c r="E30" s="104"/>
      <c r="F30" s="105" t="s">
        <v>33</v>
      </c>
      <c r="G30" s="142"/>
      <c r="H30" s="140" t="s">
        <v>1752</v>
      </c>
      <c r="I30" s="140"/>
      <c r="J30" s="141"/>
      <c r="K30" s="109" t="s">
        <v>35</v>
      </c>
      <c r="L30" s="92">
        <v>430837</v>
      </c>
      <c r="M30" s="95"/>
      <c r="N30" s="92">
        <v>521158</v>
      </c>
      <c r="O30" s="93"/>
      <c r="P30" s="94"/>
      <c r="Q30" s="95"/>
      <c r="R30" s="96"/>
      <c r="S30" s="2548"/>
      <c r="T30" s="96"/>
      <c r="U30" s="2548"/>
      <c r="V30" s="96"/>
      <c r="W30" s="2346"/>
      <c r="X30" s="2171"/>
      <c r="Y30" s="97"/>
      <c r="Z30" s="97"/>
      <c r="AA30" s="97"/>
      <c r="AB30" s="2172"/>
      <c r="AC30" s="2105"/>
      <c r="AD30" s="97"/>
      <c r="AE30" s="97"/>
      <c r="AF30" s="97"/>
      <c r="AG30" s="97"/>
      <c r="AH30" s="97"/>
      <c r="AI30" s="97"/>
      <c r="AJ30" s="97"/>
      <c r="AK30" s="97"/>
      <c r="AL30" s="97"/>
      <c r="AM30" s="97"/>
      <c r="AN30" s="2172"/>
      <c r="AO30" s="2341"/>
      <c r="AP30" s="97"/>
      <c r="AQ30" s="97"/>
      <c r="AR30" s="97"/>
      <c r="AS30" s="2345"/>
      <c r="AT30" s="4777"/>
      <c r="AU30" s="2341"/>
      <c r="AV30" s="97"/>
      <c r="AW30" s="97"/>
      <c r="AX30" s="97"/>
      <c r="AY30" s="2172"/>
      <c r="AZ30" s="2341"/>
      <c r="BA30" s="97"/>
      <c r="BB30" s="97"/>
      <c r="BC30" s="97"/>
      <c r="BD30" s="2172"/>
      <c r="BE30" s="2341"/>
      <c r="BF30" s="97"/>
      <c r="BG30" s="97"/>
      <c r="BH30" s="97"/>
      <c r="BI30" s="2172"/>
      <c r="BJ30" s="2465"/>
      <c r="BK30" s="98"/>
      <c r="BL30" s="99"/>
      <c r="BM30" s="138"/>
      <c r="BN30" s="138"/>
      <c r="BO30" s="99"/>
      <c r="BP30" s="110"/>
      <c r="BQ30" s="114" t="s">
        <v>42</v>
      </c>
      <c r="BR30" s="112"/>
      <c r="BS30" s="18"/>
    </row>
    <row r="31" spans="2:71" ht="24" customHeight="1" outlineLevel="1">
      <c r="B31" s="84"/>
      <c r="C31" s="103" t="s">
        <v>67</v>
      </c>
      <c r="D31" s="104"/>
      <c r="E31" s="104"/>
      <c r="F31" s="105" t="s">
        <v>33</v>
      </c>
      <c r="G31" s="142"/>
      <c r="H31" s="140" t="s">
        <v>68</v>
      </c>
      <c r="I31" s="140"/>
      <c r="J31" s="141"/>
      <c r="K31" s="109" t="s">
        <v>35</v>
      </c>
      <c r="L31" s="92">
        <v>-3052</v>
      </c>
      <c r="M31" s="95"/>
      <c r="N31" s="92">
        <v>-16104</v>
      </c>
      <c r="O31" s="93"/>
      <c r="P31" s="94"/>
      <c r="Q31" s="95"/>
      <c r="R31" s="96"/>
      <c r="S31" s="2548"/>
      <c r="T31" s="96"/>
      <c r="U31" s="2548"/>
      <c r="V31" s="96"/>
      <c r="W31" s="2346"/>
      <c r="X31" s="2171"/>
      <c r="Y31" s="97"/>
      <c r="Z31" s="97"/>
      <c r="AA31" s="97"/>
      <c r="AB31" s="2172"/>
      <c r="AC31" s="2105"/>
      <c r="AD31" s="97"/>
      <c r="AE31" s="97"/>
      <c r="AF31" s="97"/>
      <c r="AG31" s="97"/>
      <c r="AH31" s="97"/>
      <c r="AI31" s="97"/>
      <c r="AJ31" s="97"/>
      <c r="AK31" s="97"/>
      <c r="AL31" s="97"/>
      <c r="AM31" s="97"/>
      <c r="AN31" s="2172"/>
      <c r="AO31" s="2341"/>
      <c r="AP31" s="97"/>
      <c r="AQ31" s="97"/>
      <c r="AR31" s="97"/>
      <c r="AS31" s="2345"/>
      <c r="AT31" s="4777"/>
      <c r="AU31" s="2341"/>
      <c r="AV31" s="97"/>
      <c r="AW31" s="97"/>
      <c r="AX31" s="97"/>
      <c r="AY31" s="2172"/>
      <c r="AZ31" s="2341"/>
      <c r="BA31" s="97"/>
      <c r="BB31" s="97"/>
      <c r="BC31" s="97"/>
      <c r="BD31" s="2172"/>
      <c r="BE31" s="2341"/>
      <c r="BF31" s="97"/>
      <c r="BG31" s="97"/>
      <c r="BH31" s="97"/>
      <c r="BI31" s="2172"/>
      <c r="BJ31" s="2465"/>
      <c r="BK31" s="98"/>
      <c r="BL31" s="99"/>
      <c r="BM31" s="138"/>
      <c r="BN31" s="138"/>
      <c r="BO31" s="99"/>
      <c r="BP31" s="110"/>
      <c r="BQ31" s="111"/>
      <c r="BR31" s="112"/>
      <c r="BS31" s="18"/>
    </row>
    <row r="32" spans="2:71" ht="24" customHeight="1" outlineLevel="1">
      <c r="B32" s="84"/>
      <c r="C32" s="103" t="s">
        <v>63</v>
      </c>
      <c r="D32" s="104"/>
      <c r="E32" s="104"/>
      <c r="F32" s="105" t="s">
        <v>33</v>
      </c>
      <c r="G32" s="142"/>
      <c r="H32" s="140" t="s">
        <v>64</v>
      </c>
      <c r="I32" s="140"/>
      <c r="J32" s="141"/>
      <c r="K32" s="109" t="s">
        <v>35</v>
      </c>
      <c r="L32" s="92">
        <v>67643</v>
      </c>
      <c r="M32" s="95"/>
      <c r="N32" s="92">
        <v>99661</v>
      </c>
      <c r="O32" s="93"/>
      <c r="P32" s="94"/>
      <c r="Q32" s="95"/>
      <c r="R32" s="96"/>
      <c r="S32" s="2548"/>
      <c r="T32" s="96"/>
      <c r="U32" s="2548"/>
      <c r="V32" s="96"/>
      <c r="W32" s="2346"/>
      <c r="X32" s="2171"/>
      <c r="Y32" s="97"/>
      <c r="Z32" s="97"/>
      <c r="AA32" s="97"/>
      <c r="AB32" s="2172"/>
      <c r="AC32" s="2105"/>
      <c r="AD32" s="97"/>
      <c r="AE32" s="97"/>
      <c r="AF32" s="97"/>
      <c r="AG32" s="97"/>
      <c r="AH32" s="97"/>
      <c r="AI32" s="97"/>
      <c r="AJ32" s="97"/>
      <c r="AK32" s="97"/>
      <c r="AL32" s="97"/>
      <c r="AM32" s="97"/>
      <c r="AN32" s="2172"/>
      <c r="AO32" s="2341"/>
      <c r="AP32" s="97"/>
      <c r="AQ32" s="97"/>
      <c r="AR32" s="97"/>
      <c r="AS32" s="2345"/>
      <c r="AT32" s="4777"/>
      <c r="AU32" s="2341"/>
      <c r="AV32" s="97"/>
      <c r="AW32" s="97"/>
      <c r="AX32" s="97"/>
      <c r="AY32" s="2172"/>
      <c r="AZ32" s="2341"/>
      <c r="BA32" s="97"/>
      <c r="BB32" s="97"/>
      <c r="BC32" s="97"/>
      <c r="BD32" s="2172"/>
      <c r="BE32" s="2341"/>
      <c r="BF32" s="97"/>
      <c r="BG32" s="97"/>
      <c r="BH32" s="97"/>
      <c r="BI32" s="2172"/>
      <c r="BJ32" s="2465"/>
      <c r="BK32" s="98"/>
      <c r="BL32" s="99"/>
      <c r="BM32" s="138"/>
      <c r="BN32" s="138"/>
      <c r="BO32" s="99"/>
      <c r="BP32" s="110"/>
      <c r="BQ32" s="111"/>
      <c r="BR32" s="112"/>
      <c r="BS32" s="18"/>
    </row>
    <row r="33" spans="2:71" ht="24" customHeight="1" outlineLevel="1">
      <c r="B33" s="84"/>
      <c r="C33" s="103" t="s">
        <v>65</v>
      </c>
      <c r="D33" s="104"/>
      <c r="E33" s="104"/>
      <c r="F33" s="105" t="s">
        <v>33</v>
      </c>
      <c r="G33" s="142"/>
      <c r="H33" s="140" t="s">
        <v>66</v>
      </c>
      <c r="I33" s="140"/>
      <c r="J33" s="141"/>
      <c r="K33" s="109" t="s">
        <v>35</v>
      </c>
      <c r="L33" s="92">
        <v>-193588</v>
      </c>
      <c r="M33" s="95"/>
      <c r="N33" s="92">
        <v>-232593</v>
      </c>
      <c r="O33" s="93"/>
      <c r="P33" s="94"/>
      <c r="Q33" s="95"/>
      <c r="R33" s="96"/>
      <c r="S33" s="2548"/>
      <c r="T33" s="96"/>
      <c r="U33" s="2548"/>
      <c r="V33" s="96"/>
      <c r="W33" s="2346"/>
      <c r="X33" s="2171"/>
      <c r="Y33" s="97"/>
      <c r="Z33" s="97"/>
      <c r="AA33" s="97"/>
      <c r="AB33" s="2172"/>
      <c r="AC33" s="2105"/>
      <c r="AD33" s="97"/>
      <c r="AE33" s="97"/>
      <c r="AF33" s="97"/>
      <c r="AG33" s="97"/>
      <c r="AH33" s="97"/>
      <c r="AI33" s="97"/>
      <c r="AJ33" s="97"/>
      <c r="AK33" s="97"/>
      <c r="AL33" s="97"/>
      <c r="AM33" s="97"/>
      <c r="AN33" s="2172"/>
      <c r="AO33" s="2341"/>
      <c r="AP33" s="97"/>
      <c r="AQ33" s="97"/>
      <c r="AR33" s="97"/>
      <c r="AS33" s="2345"/>
      <c r="AT33" s="4777"/>
      <c r="AU33" s="2341"/>
      <c r="AV33" s="97"/>
      <c r="AW33" s="97"/>
      <c r="AX33" s="97"/>
      <c r="AY33" s="2172"/>
      <c r="AZ33" s="2341"/>
      <c r="BA33" s="97"/>
      <c r="BB33" s="97"/>
      <c r="BC33" s="97"/>
      <c r="BD33" s="2172"/>
      <c r="BE33" s="2341"/>
      <c r="BF33" s="97"/>
      <c r="BG33" s="97"/>
      <c r="BH33" s="97"/>
      <c r="BI33" s="2172"/>
      <c r="BJ33" s="2465"/>
      <c r="BK33" s="98"/>
      <c r="BL33" s="99"/>
      <c r="BM33" s="138"/>
      <c r="BN33" s="138"/>
      <c r="BO33" s="99"/>
      <c r="BP33" s="110"/>
      <c r="BQ33" s="110"/>
      <c r="BR33" s="112"/>
      <c r="BS33" s="18"/>
    </row>
    <row r="34" spans="2:71" ht="24" customHeight="1" outlineLevel="1">
      <c r="B34" s="84"/>
      <c r="C34" s="103" t="s">
        <v>69</v>
      </c>
      <c r="D34" s="104"/>
      <c r="E34" s="104"/>
      <c r="F34" s="105" t="s">
        <v>33</v>
      </c>
      <c r="G34" s="142"/>
      <c r="H34" s="143" t="s">
        <v>70</v>
      </c>
      <c r="I34" s="143"/>
      <c r="J34" s="144"/>
      <c r="K34" s="109" t="s">
        <v>35</v>
      </c>
      <c r="L34" s="92">
        <v>-2865</v>
      </c>
      <c r="M34" s="95"/>
      <c r="N34" s="92">
        <v>-11841</v>
      </c>
      <c r="O34" s="93"/>
      <c r="P34" s="94"/>
      <c r="Q34" s="95"/>
      <c r="R34" s="96"/>
      <c r="S34" s="2548"/>
      <c r="T34" s="96"/>
      <c r="U34" s="2548"/>
      <c r="V34" s="96"/>
      <c r="W34" s="2346"/>
      <c r="X34" s="2171"/>
      <c r="Y34" s="97"/>
      <c r="Z34" s="97"/>
      <c r="AA34" s="97"/>
      <c r="AB34" s="2172"/>
      <c r="AC34" s="2105"/>
      <c r="AD34" s="97"/>
      <c r="AE34" s="97"/>
      <c r="AF34" s="97"/>
      <c r="AG34" s="97"/>
      <c r="AH34" s="97"/>
      <c r="AI34" s="97"/>
      <c r="AJ34" s="97"/>
      <c r="AK34" s="97"/>
      <c r="AL34" s="97"/>
      <c r="AM34" s="97"/>
      <c r="AN34" s="2172"/>
      <c r="AO34" s="2341"/>
      <c r="AP34" s="97"/>
      <c r="AQ34" s="97"/>
      <c r="AR34" s="97"/>
      <c r="AS34" s="2345"/>
      <c r="AT34" s="4777"/>
      <c r="AU34" s="2341"/>
      <c r="AV34" s="97"/>
      <c r="AW34" s="97"/>
      <c r="AX34" s="97"/>
      <c r="AY34" s="2172"/>
      <c r="AZ34" s="2341"/>
      <c r="BA34" s="97"/>
      <c r="BB34" s="97"/>
      <c r="BC34" s="97"/>
      <c r="BD34" s="2172"/>
      <c r="BE34" s="2341"/>
      <c r="BF34" s="97"/>
      <c r="BG34" s="97"/>
      <c r="BH34" s="97"/>
      <c r="BI34" s="2172"/>
      <c r="BJ34" s="2465"/>
      <c r="BK34" s="98"/>
      <c r="BL34" s="99"/>
      <c r="BM34" s="138"/>
      <c r="BN34" s="138"/>
      <c r="BO34" s="99"/>
      <c r="BP34" s="110"/>
      <c r="BQ34" s="110"/>
      <c r="BR34" s="112"/>
      <c r="BS34" s="18"/>
    </row>
    <row r="35" spans="2:71" ht="24" customHeight="1" outlineLevel="1">
      <c r="B35" s="84"/>
      <c r="C35" s="103" t="s">
        <v>71</v>
      </c>
      <c r="D35" s="104"/>
      <c r="E35" s="104"/>
      <c r="F35" s="132" t="s">
        <v>33</v>
      </c>
      <c r="G35" s="142"/>
      <c r="H35" s="143" t="s">
        <v>72</v>
      </c>
      <c r="I35" s="143"/>
      <c r="J35" s="144"/>
      <c r="K35" s="136" t="s">
        <v>35</v>
      </c>
      <c r="L35" s="92">
        <v>-373308</v>
      </c>
      <c r="M35" s="95"/>
      <c r="N35" s="92">
        <v>-237643</v>
      </c>
      <c r="O35" s="93"/>
      <c r="P35" s="94"/>
      <c r="Q35" s="95"/>
      <c r="R35" s="96"/>
      <c r="S35" s="2548"/>
      <c r="T35" s="96"/>
      <c r="U35" s="2548"/>
      <c r="V35" s="96"/>
      <c r="W35" s="2346"/>
      <c r="X35" s="2171"/>
      <c r="Y35" s="97"/>
      <c r="Z35" s="97"/>
      <c r="AA35" s="97"/>
      <c r="AB35" s="2172"/>
      <c r="AC35" s="2105"/>
      <c r="AD35" s="97"/>
      <c r="AE35" s="97"/>
      <c r="AF35" s="97"/>
      <c r="AG35" s="97"/>
      <c r="AH35" s="97"/>
      <c r="AI35" s="97"/>
      <c r="AJ35" s="97"/>
      <c r="AK35" s="97"/>
      <c r="AL35" s="97"/>
      <c r="AM35" s="97"/>
      <c r="AN35" s="2172"/>
      <c r="AO35" s="2341"/>
      <c r="AP35" s="97"/>
      <c r="AQ35" s="97"/>
      <c r="AR35" s="97"/>
      <c r="AS35" s="2345"/>
      <c r="AT35" s="4777"/>
      <c r="AU35" s="2341"/>
      <c r="AV35" s="97"/>
      <c r="AW35" s="97"/>
      <c r="AX35" s="97"/>
      <c r="AY35" s="2172"/>
      <c r="AZ35" s="2341"/>
      <c r="BA35" s="97"/>
      <c r="BB35" s="97"/>
      <c r="BC35" s="97"/>
      <c r="BD35" s="2172"/>
      <c r="BE35" s="2341"/>
      <c r="BF35" s="97"/>
      <c r="BG35" s="97"/>
      <c r="BH35" s="97"/>
      <c r="BI35" s="2172"/>
      <c r="BJ35" s="2465"/>
      <c r="BK35" s="98"/>
      <c r="BL35" s="99"/>
      <c r="BM35" s="138"/>
      <c r="BN35" s="138"/>
      <c r="BO35" s="99"/>
      <c r="BP35" s="110"/>
      <c r="BQ35" s="110"/>
      <c r="BR35" s="112"/>
      <c r="BS35" s="18"/>
    </row>
    <row r="36" spans="2:71" ht="24" customHeight="1" outlineLevel="1">
      <c r="B36" s="113"/>
      <c r="C36" s="103" t="s">
        <v>102</v>
      </c>
      <c r="D36" s="104"/>
      <c r="E36" s="104"/>
      <c r="F36" s="105" t="s">
        <v>33</v>
      </c>
      <c r="G36" s="142"/>
      <c r="H36" s="143" t="s">
        <v>74</v>
      </c>
      <c r="I36" s="143"/>
      <c r="J36" s="144"/>
      <c r="K36" s="109" t="s">
        <v>35</v>
      </c>
      <c r="L36" s="92">
        <v>34520</v>
      </c>
      <c r="M36" s="95"/>
      <c r="N36" s="92">
        <v>23136</v>
      </c>
      <c r="O36" s="93"/>
      <c r="P36" s="94"/>
      <c r="Q36" s="95"/>
      <c r="R36" s="96"/>
      <c r="S36" s="2548"/>
      <c r="T36" s="96"/>
      <c r="U36" s="2548"/>
      <c r="V36" s="96"/>
      <c r="W36" s="2346"/>
      <c r="X36" s="2171"/>
      <c r="Y36" s="97"/>
      <c r="Z36" s="97"/>
      <c r="AA36" s="97"/>
      <c r="AB36" s="2172"/>
      <c r="AC36" s="2105"/>
      <c r="AD36" s="97"/>
      <c r="AE36" s="97"/>
      <c r="AF36" s="97"/>
      <c r="AG36" s="97"/>
      <c r="AH36" s="97"/>
      <c r="AI36" s="97"/>
      <c r="AJ36" s="97"/>
      <c r="AK36" s="97"/>
      <c r="AL36" s="97"/>
      <c r="AM36" s="97"/>
      <c r="AN36" s="2172"/>
      <c r="AO36" s="2341"/>
      <c r="AP36" s="97"/>
      <c r="AQ36" s="97"/>
      <c r="AR36" s="97"/>
      <c r="AS36" s="2345"/>
      <c r="AT36" s="4777"/>
      <c r="AU36" s="2341"/>
      <c r="AV36" s="97"/>
      <c r="AW36" s="97"/>
      <c r="AX36" s="97"/>
      <c r="AY36" s="2172"/>
      <c r="AZ36" s="2341"/>
      <c r="BA36" s="97"/>
      <c r="BB36" s="97"/>
      <c r="BC36" s="97"/>
      <c r="BD36" s="2172"/>
      <c r="BE36" s="2341"/>
      <c r="BF36" s="97"/>
      <c r="BG36" s="97"/>
      <c r="BH36" s="97"/>
      <c r="BI36" s="2172"/>
      <c r="BJ36" s="2465"/>
      <c r="BK36" s="98"/>
      <c r="BL36" s="99"/>
      <c r="BM36" s="138"/>
      <c r="BN36" s="138"/>
      <c r="BO36" s="99"/>
      <c r="BP36" s="110"/>
      <c r="BQ36" s="114" t="s">
        <v>42</v>
      </c>
      <c r="BR36" s="112"/>
      <c r="BS36" s="18"/>
    </row>
    <row r="37" spans="2:71" ht="24" customHeight="1" outlineLevel="1">
      <c r="B37" s="84"/>
      <c r="C37" s="103" t="s">
        <v>77</v>
      </c>
      <c r="D37" s="104"/>
      <c r="E37" s="104"/>
      <c r="F37" s="105" t="s">
        <v>33</v>
      </c>
      <c r="G37" s="142"/>
      <c r="H37" s="143" t="s">
        <v>78</v>
      </c>
      <c r="I37" s="143"/>
      <c r="J37" s="144"/>
      <c r="K37" s="109" t="s">
        <v>35</v>
      </c>
      <c r="L37" s="92">
        <v>35285</v>
      </c>
      <c r="M37" s="95"/>
      <c r="N37" s="92">
        <v>-22562</v>
      </c>
      <c r="O37" s="93"/>
      <c r="P37" s="94"/>
      <c r="Q37" s="95"/>
      <c r="R37" s="96"/>
      <c r="S37" s="2548"/>
      <c r="T37" s="96"/>
      <c r="U37" s="2548"/>
      <c r="V37" s="96"/>
      <c r="W37" s="2346"/>
      <c r="X37" s="2171"/>
      <c r="Y37" s="97"/>
      <c r="Z37" s="97"/>
      <c r="AA37" s="97"/>
      <c r="AB37" s="2172"/>
      <c r="AC37" s="2105"/>
      <c r="AD37" s="97"/>
      <c r="AE37" s="97"/>
      <c r="AF37" s="97"/>
      <c r="AG37" s="97"/>
      <c r="AH37" s="97"/>
      <c r="AI37" s="97"/>
      <c r="AJ37" s="97"/>
      <c r="AK37" s="97"/>
      <c r="AL37" s="97"/>
      <c r="AM37" s="97"/>
      <c r="AN37" s="2172"/>
      <c r="AO37" s="2341"/>
      <c r="AP37" s="97"/>
      <c r="AQ37" s="97"/>
      <c r="AR37" s="97"/>
      <c r="AS37" s="2345"/>
      <c r="AT37" s="4777"/>
      <c r="AU37" s="2341"/>
      <c r="AV37" s="97"/>
      <c r="AW37" s="97"/>
      <c r="AX37" s="97"/>
      <c r="AY37" s="2172"/>
      <c r="AZ37" s="2341"/>
      <c r="BA37" s="97"/>
      <c r="BB37" s="97"/>
      <c r="BC37" s="97"/>
      <c r="BD37" s="2172"/>
      <c r="BE37" s="2341"/>
      <c r="BF37" s="97"/>
      <c r="BG37" s="97"/>
      <c r="BH37" s="97"/>
      <c r="BI37" s="2172"/>
      <c r="BJ37" s="2465"/>
      <c r="BK37" s="98"/>
      <c r="BL37" s="99"/>
      <c r="BM37" s="138"/>
      <c r="BN37" s="138"/>
      <c r="BO37" s="99"/>
      <c r="BP37" s="110"/>
      <c r="BQ37" s="110"/>
      <c r="BR37" s="112"/>
      <c r="BS37" s="18"/>
    </row>
    <row r="38" spans="2:71" ht="24" customHeight="1" outlineLevel="1" thickBot="1">
      <c r="B38" s="84"/>
      <c r="C38" s="117" t="s">
        <v>79</v>
      </c>
      <c r="D38" s="118"/>
      <c r="E38" s="118"/>
      <c r="F38" s="105" t="s">
        <v>33</v>
      </c>
      <c r="G38" s="142"/>
      <c r="H38" s="145" t="s">
        <v>80</v>
      </c>
      <c r="I38" s="145"/>
      <c r="J38" s="146"/>
      <c r="K38" s="109" t="s">
        <v>35</v>
      </c>
      <c r="L38" s="92">
        <v>-303503</v>
      </c>
      <c r="M38" s="95"/>
      <c r="N38" s="92">
        <v>-237069</v>
      </c>
      <c r="O38" s="93"/>
      <c r="P38" s="94"/>
      <c r="Q38" s="95"/>
      <c r="R38" s="96"/>
      <c r="S38" s="2548"/>
      <c r="T38" s="96"/>
      <c r="U38" s="2548"/>
      <c r="V38" s="96"/>
      <c r="W38" s="2346"/>
      <c r="X38" s="2171"/>
      <c r="Y38" s="97"/>
      <c r="Z38" s="97"/>
      <c r="AA38" s="97"/>
      <c r="AB38" s="2172"/>
      <c r="AC38" s="2105"/>
      <c r="AD38" s="97"/>
      <c r="AE38" s="97"/>
      <c r="AF38" s="97"/>
      <c r="AG38" s="97"/>
      <c r="AH38" s="97"/>
      <c r="AI38" s="97"/>
      <c r="AJ38" s="97"/>
      <c r="AK38" s="97"/>
      <c r="AL38" s="97"/>
      <c r="AM38" s="97"/>
      <c r="AN38" s="2172"/>
      <c r="AO38" s="2341"/>
      <c r="AP38" s="97"/>
      <c r="AQ38" s="97"/>
      <c r="AR38" s="97"/>
      <c r="AS38" s="2345"/>
      <c r="AT38" s="4777"/>
      <c r="AU38" s="2341"/>
      <c r="AV38" s="97"/>
      <c r="AW38" s="97"/>
      <c r="AX38" s="97"/>
      <c r="AY38" s="2172"/>
      <c r="AZ38" s="2341"/>
      <c r="BA38" s="97"/>
      <c r="BB38" s="97"/>
      <c r="BC38" s="97"/>
      <c r="BD38" s="2172"/>
      <c r="BE38" s="2341"/>
      <c r="BF38" s="97"/>
      <c r="BG38" s="97"/>
      <c r="BH38" s="97"/>
      <c r="BI38" s="2172"/>
      <c r="BJ38" s="2465"/>
      <c r="BK38" s="98"/>
      <c r="BL38" s="99"/>
      <c r="BM38" s="138"/>
      <c r="BN38" s="138"/>
      <c r="BO38" s="99"/>
      <c r="BP38" s="110"/>
      <c r="BQ38" s="110"/>
      <c r="BR38" s="112"/>
      <c r="BS38" s="18"/>
    </row>
    <row r="39" spans="2:71" ht="24" customHeight="1" outlineLevel="1" thickBot="1">
      <c r="B39" s="123" t="s">
        <v>81</v>
      </c>
      <c r="C39" s="124"/>
      <c r="D39" s="124"/>
      <c r="E39" s="124"/>
      <c r="F39" s="78"/>
      <c r="G39" s="125" t="s">
        <v>82</v>
      </c>
      <c r="H39" s="126"/>
      <c r="I39" s="126"/>
      <c r="J39" s="126"/>
      <c r="K39" s="78"/>
      <c r="L39" s="147"/>
      <c r="M39" s="147"/>
      <c r="N39" s="147"/>
      <c r="O39" s="147"/>
      <c r="P39" s="147"/>
      <c r="Q39" s="147"/>
      <c r="R39" s="4780"/>
      <c r="S39" s="1729"/>
      <c r="T39" s="4780"/>
      <c r="U39" s="1729"/>
      <c r="V39" s="4780"/>
      <c r="W39" s="147"/>
      <c r="X39" s="2175"/>
      <c r="Y39" s="148"/>
      <c r="Z39" s="148"/>
      <c r="AA39" s="148"/>
      <c r="AB39" s="2176"/>
      <c r="AC39" s="148"/>
      <c r="AD39" s="148"/>
      <c r="AE39" s="148"/>
      <c r="AF39" s="148"/>
      <c r="AG39" s="148"/>
      <c r="AH39" s="148"/>
      <c r="AI39" s="148"/>
      <c r="AJ39" s="148"/>
      <c r="AK39" s="148"/>
      <c r="AL39" s="148"/>
      <c r="AM39" s="148"/>
      <c r="AN39" s="2176"/>
      <c r="AO39" s="2175"/>
      <c r="AP39" s="148"/>
      <c r="AQ39" s="148"/>
      <c r="AR39" s="148"/>
      <c r="AS39" s="148"/>
      <c r="AT39" s="4781"/>
      <c r="AU39" s="2175"/>
      <c r="AV39" s="148"/>
      <c r="AW39" s="148"/>
      <c r="AX39" s="148"/>
      <c r="AY39" s="2176"/>
      <c r="AZ39" s="2175"/>
      <c r="BA39" s="148"/>
      <c r="BB39" s="148"/>
      <c r="BC39" s="148"/>
      <c r="BD39" s="2176"/>
      <c r="BE39" s="2175"/>
      <c r="BF39" s="148"/>
      <c r="BG39" s="148"/>
      <c r="BH39" s="148"/>
      <c r="BI39" s="2176"/>
      <c r="BJ39" s="80"/>
      <c r="BK39" s="80"/>
      <c r="BL39" s="129"/>
      <c r="BM39" s="129"/>
      <c r="BN39" s="129"/>
      <c r="BO39" s="129"/>
      <c r="BP39" s="130"/>
      <c r="BQ39" s="130"/>
      <c r="BR39" s="131"/>
      <c r="BS39" s="18"/>
    </row>
    <row r="40" spans="2:71" ht="24" customHeight="1" outlineLevel="1">
      <c r="B40" s="84"/>
      <c r="C40" s="85" t="s">
        <v>32</v>
      </c>
      <c r="D40" s="86"/>
      <c r="E40" s="86"/>
      <c r="F40" s="105" t="s">
        <v>33</v>
      </c>
      <c r="G40" s="142"/>
      <c r="H40" s="104" t="s">
        <v>83</v>
      </c>
      <c r="I40" s="104"/>
      <c r="J40" s="104"/>
      <c r="K40" s="109" t="s">
        <v>35</v>
      </c>
      <c r="L40" s="149"/>
      <c r="M40" s="149"/>
      <c r="N40" s="150"/>
      <c r="O40" s="150"/>
      <c r="P40" s="150"/>
      <c r="Q40" s="95"/>
      <c r="R40" s="92">
        <v>447740</v>
      </c>
      <c r="S40" s="151"/>
      <c r="T40" s="92">
        <v>563407</v>
      </c>
      <c r="U40" s="152"/>
      <c r="V40" s="94"/>
      <c r="W40" s="2053"/>
      <c r="X40" s="2182"/>
      <c r="Y40" s="93"/>
      <c r="Z40" s="153"/>
      <c r="AA40" s="93"/>
      <c r="AB40" s="2183"/>
      <c r="AC40" s="1238"/>
      <c r="AD40" s="153"/>
      <c r="AE40" s="153"/>
      <c r="AF40" s="153"/>
      <c r="AG40" s="153"/>
      <c r="AH40" s="153"/>
      <c r="AI40" s="153"/>
      <c r="AJ40" s="153"/>
      <c r="AK40" s="153"/>
      <c r="AL40" s="153"/>
      <c r="AM40" s="153"/>
      <c r="AN40" s="2183"/>
      <c r="AO40" s="2182"/>
      <c r="AP40" s="93"/>
      <c r="AQ40" s="153"/>
      <c r="AR40" s="93"/>
      <c r="AS40" s="1241"/>
      <c r="AT40" s="4782"/>
      <c r="AU40" s="2182"/>
      <c r="AV40" s="93"/>
      <c r="AW40" s="153"/>
      <c r="AX40" s="93"/>
      <c r="AY40" s="2183"/>
      <c r="AZ40" s="2182"/>
      <c r="BA40" s="93"/>
      <c r="BB40" s="153"/>
      <c r="BC40" s="93"/>
      <c r="BD40" s="2183"/>
      <c r="BE40" s="2182"/>
      <c r="BF40" s="93"/>
      <c r="BG40" s="153"/>
      <c r="BH40" s="93"/>
      <c r="BI40" s="2183"/>
      <c r="BJ40" s="2465"/>
      <c r="BK40" s="98"/>
      <c r="BL40" s="99"/>
      <c r="BM40" s="138"/>
      <c r="BN40" s="138"/>
      <c r="BO40" s="99"/>
      <c r="BP40" s="110"/>
      <c r="BQ40" s="154"/>
      <c r="BR40" s="112"/>
      <c r="BS40" s="18"/>
    </row>
    <row r="41" spans="2:71" ht="24" customHeight="1" outlineLevel="1">
      <c r="B41" s="84"/>
      <c r="C41" s="103" t="s">
        <v>38</v>
      </c>
      <c r="D41" s="104"/>
      <c r="E41" s="104"/>
      <c r="F41" s="105" t="s">
        <v>33</v>
      </c>
      <c r="G41" s="142"/>
      <c r="H41" s="104" t="s">
        <v>84</v>
      </c>
      <c r="I41" s="104"/>
      <c r="J41" s="104"/>
      <c r="K41" s="109" t="s">
        <v>35</v>
      </c>
      <c r="L41" s="150"/>
      <c r="M41" s="150"/>
      <c r="N41" s="150"/>
      <c r="O41" s="150"/>
      <c r="P41" s="150"/>
      <c r="Q41" s="95"/>
      <c r="R41" s="92">
        <v>1571781</v>
      </c>
      <c r="S41" s="151"/>
      <c r="T41" s="92">
        <v>1429245</v>
      </c>
      <c r="U41" s="152"/>
      <c r="V41" s="94"/>
      <c r="W41" s="2053"/>
      <c r="X41" s="2182"/>
      <c r="Y41" s="93"/>
      <c r="Z41" s="153"/>
      <c r="AA41" s="93"/>
      <c r="AB41" s="2183"/>
      <c r="AC41" s="1238"/>
      <c r="AD41" s="153"/>
      <c r="AE41" s="153"/>
      <c r="AF41" s="153"/>
      <c r="AG41" s="153"/>
      <c r="AH41" s="153"/>
      <c r="AI41" s="153"/>
      <c r="AJ41" s="153"/>
      <c r="AK41" s="153"/>
      <c r="AL41" s="153"/>
      <c r="AM41" s="153"/>
      <c r="AN41" s="2183"/>
      <c r="AO41" s="2182"/>
      <c r="AP41" s="93"/>
      <c r="AQ41" s="153"/>
      <c r="AR41" s="93"/>
      <c r="AS41" s="1241"/>
      <c r="AT41" s="4782"/>
      <c r="AU41" s="2182"/>
      <c r="AV41" s="93"/>
      <c r="AW41" s="153"/>
      <c r="AX41" s="93"/>
      <c r="AY41" s="2183"/>
      <c r="AZ41" s="2182"/>
      <c r="BA41" s="93"/>
      <c r="BB41" s="153"/>
      <c r="BC41" s="93"/>
      <c r="BD41" s="2183"/>
      <c r="BE41" s="2182"/>
      <c r="BF41" s="93"/>
      <c r="BG41" s="153"/>
      <c r="BH41" s="93"/>
      <c r="BI41" s="2183"/>
      <c r="BJ41" s="2465"/>
      <c r="BK41" s="98"/>
      <c r="BL41" s="99"/>
      <c r="BM41" s="138"/>
      <c r="BN41" s="138"/>
      <c r="BO41" s="99"/>
      <c r="BP41" s="110"/>
      <c r="BQ41" s="154"/>
      <c r="BR41" s="112"/>
      <c r="BS41" s="18"/>
    </row>
    <row r="42" spans="2:71" ht="24" customHeight="1" outlineLevel="1">
      <c r="B42" s="113"/>
      <c r="C42" s="103" t="s">
        <v>40</v>
      </c>
      <c r="D42" s="104"/>
      <c r="E42" s="104"/>
      <c r="F42" s="105" t="s">
        <v>33</v>
      </c>
      <c r="G42" s="142"/>
      <c r="H42" s="104" t="s">
        <v>85</v>
      </c>
      <c r="I42" s="104"/>
      <c r="J42" s="104"/>
      <c r="K42" s="109" t="s">
        <v>35</v>
      </c>
      <c r="L42" s="150"/>
      <c r="M42" s="150"/>
      <c r="N42" s="150"/>
      <c r="O42" s="150"/>
      <c r="P42" s="150"/>
      <c r="Q42" s="95"/>
      <c r="R42" s="92">
        <v>2019522</v>
      </c>
      <c r="S42" s="151"/>
      <c r="T42" s="92">
        <v>1992652</v>
      </c>
      <c r="U42" s="152"/>
      <c r="V42" s="94"/>
      <c r="W42" s="2053"/>
      <c r="X42" s="2182"/>
      <c r="Y42" s="93"/>
      <c r="Z42" s="153"/>
      <c r="AA42" s="93"/>
      <c r="AB42" s="2183"/>
      <c r="AC42" s="1238"/>
      <c r="AD42" s="153"/>
      <c r="AE42" s="153"/>
      <c r="AF42" s="153"/>
      <c r="AG42" s="153"/>
      <c r="AH42" s="153"/>
      <c r="AI42" s="153"/>
      <c r="AJ42" s="153"/>
      <c r="AK42" s="153"/>
      <c r="AL42" s="153"/>
      <c r="AM42" s="153"/>
      <c r="AN42" s="2183"/>
      <c r="AO42" s="2182"/>
      <c r="AP42" s="93"/>
      <c r="AQ42" s="153"/>
      <c r="AR42" s="93"/>
      <c r="AS42" s="1241"/>
      <c r="AT42" s="4782"/>
      <c r="AU42" s="2182"/>
      <c r="AV42" s="93"/>
      <c r="AW42" s="153"/>
      <c r="AX42" s="93"/>
      <c r="AY42" s="2183"/>
      <c r="AZ42" s="2182"/>
      <c r="BA42" s="93"/>
      <c r="BB42" s="153"/>
      <c r="BC42" s="93"/>
      <c r="BD42" s="2183"/>
      <c r="BE42" s="2182"/>
      <c r="BF42" s="93"/>
      <c r="BG42" s="153"/>
      <c r="BH42" s="93"/>
      <c r="BI42" s="2183"/>
      <c r="BJ42" s="2465"/>
      <c r="BK42" s="98"/>
      <c r="BL42" s="99"/>
      <c r="BM42" s="138"/>
      <c r="BN42" s="138"/>
      <c r="BO42" s="99"/>
      <c r="BP42" s="110"/>
      <c r="BQ42" s="154" t="s">
        <v>42</v>
      </c>
      <c r="BR42" s="112"/>
      <c r="BS42" s="18"/>
    </row>
    <row r="43" spans="2:71" ht="24" customHeight="1" outlineLevel="1">
      <c r="B43" s="84"/>
      <c r="C43" s="103" t="s">
        <v>43</v>
      </c>
      <c r="D43" s="104"/>
      <c r="E43" s="104"/>
      <c r="F43" s="105" t="s">
        <v>33</v>
      </c>
      <c r="G43" s="142"/>
      <c r="H43" s="104" t="s">
        <v>86</v>
      </c>
      <c r="I43" s="104"/>
      <c r="J43" s="104"/>
      <c r="K43" s="109" t="s">
        <v>35</v>
      </c>
      <c r="L43" s="149"/>
      <c r="M43" s="149"/>
      <c r="N43" s="150"/>
      <c r="O43" s="150"/>
      <c r="P43" s="150"/>
      <c r="Q43" s="95"/>
      <c r="R43" s="92">
        <v>326149</v>
      </c>
      <c r="S43" s="151"/>
      <c r="T43" s="92">
        <v>618778</v>
      </c>
      <c r="U43" s="152"/>
      <c r="V43" s="94"/>
      <c r="W43" s="2053"/>
      <c r="X43" s="2182"/>
      <c r="Y43" s="93"/>
      <c r="Z43" s="153"/>
      <c r="AA43" s="93"/>
      <c r="AB43" s="2183"/>
      <c r="AC43" s="1238"/>
      <c r="AD43" s="153"/>
      <c r="AE43" s="153"/>
      <c r="AF43" s="153"/>
      <c r="AG43" s="153"/>
      <c r="AH43" s="153"/>
      <c r="AI43" s="153"/>
      <c r="AJ43" s="153"/>
      <c r="AK43" s="153"/>
      <c r="AL43" s="153"/>
      <c r="AM43" s="153"/>
      <c r="AN43" s="2183"/>
      <c r="AO43" s="2182"/>
      <c r="AP43" s="93"/>
      <c r="AQ43" s="153"/>
      <c r="AR43" s="93"/>
      <c r="AS43" s="1241"/>
      <c r="AT43" s="4782"/>
      <c r="AU43" s="2182"/>
      <c r="AV43" s="93"/>
      <c r="AW43" s="153"/>
      <c r="AX43" s="93"/>
      <c r="AY43" s="2183"/>
      <c r="AZ43" s="2182"/>
      <c r="BA43" s="93"/>
      <c r="BB43" s="153"/>
      <c r="BC43" s="93"/>
      <c r="BD43" s="2183"/>
      <c r="BE43" s="2182"/>
      <c r="BF43" s="93"/>
      <c r="BG43" s="153"/>
      <c r="BH43" s="93"/>
      <c r="BI43" s="2183"/>
      <c r="BJ43" s="2465"/>
      <c r="BK43" s="98"/>
      <c r="BL43" s="99"/>
      <c r="BM43" s="138"/>
      <c r="BN43" s="138"/>
      <c r="BO43" s="99"/>
      <c r="BP43" s="110"/>
      <c r="BQ43" s="154"/>
      <c r="BR43" s="112"/>
      <c r="BS43" s="18"/>
    </row>
    <row r="44" spans="2:71" ht="24" customHeight="1" outlineLevel="1">
      <c r="B44" s="84"/>
      <c r="C44" s="103" t="s">
        <v>45</v>
      </c>
      <c r="D44" s="104"/>
      <c r="E44" s="104"/>
      <c r="F44" s="105" t="s">
        <v>33</v>
      </c>
      <c r="G44" s="142"/>
      <c r="H44" s="104" t="s">
        <v>87</v>
      </c>
      <c r="I44" s="104"/>
      <c r="J44" s="104"/>
      <c r="K44" s="109" t="s">
        <v>35</v>
      </c>
      <c r="L44" s="150"/>
      <c r="M44" s="150"/>
      <c r="N44" s="150"/>
      <c r="O44" s="150"/>
      <c r="P44" s="150"/>
      <c r="Q44" s="95"/>
      <c r="R44" s="92">
        <v>1296392</v>
      </c>
      <c r="S44" s="151"/>
      <c r="T44" s="92">
        <v>804577</v>
      </c>
      <c r="U44" s="152"/>
      <c r="V44" s="94"/>
      <c r="W44" s="2053"/>
      <c r="X44" s="2182"/>
      <c r="Y44" s="93"/>
      <c r="Z44" s="153"/>
      <c r="AA44" s="93"/>
      <c r="AB44" s="2183"/>
      <c r="AC44" s="1238"/>
      <c r="AD44" s="153"/>
      <c r="AE44" s="153"/>
      <c r="AF44" s="153"/>
      <c r="AG44" s="153"/>
      <c r="AH44" s="153"/>
      <c r="AI44" s="153"/>
      <c r="AJ44" s="153"/>
      <c r="AK44" s="153"/>
      <c r="AL44" s="153"/>
      <c r="AM44" s="153"/>
      <c r="AN44" s="2183"/>
      <c r="AO44" s="2182"/>
      <c r="AP44" s="93"/>
      <c r="AQ44" s="153"/>
      <c r="AR44" s="93"/>
      <c r="AS44" s="1241"/>
      <c r="AT44" s="4782"/>
      <c r="AU44" s="2182"/>
      <c r="AV44" s="93"/>
      <c r="AW44" s="153"/>
      <c r="AX44" s="93"/>
      <c r="AY44" s="2183"/>
      <c r="AZ44" s="2182"/>
      <c r="BA44" s="93"/>
      <c r="BB44" s="153"/>
      <c r="BC44" s="93"/>
      <c r="BD44" s="2183"/>
      <c r="BE44" s="2182"/>
      <c r="BF44" s="93"/>
      <c r="BG44" s="153"/>
      <c r="BH44" s="93"/>
      <c r="BI44" s="2183"/>
      <c r="BJ44" s="2465"/>
      <c r="BK44" s="98"/>
      <c r="BL44" s="99"/>
      <c r="BM44" s="138"/>
      <c r="BN44" s="138"/>
      <c r="BO44" s="99"/>
      <c r="BP44" s="110"/>
      <c r="BQ44" s="154"/>
      <c r="BR44" s="112"/>
      <c r="BS44" s="18"/>
    </row>
    <row r="45" spans="2:71" ht="24" customHeight="1" outlineLevel="1">
      <c r="B45" s="113"/>
      <c r="C45" s="103" t="s">
        <v>47</v>
      </c>
      <c r="D45" s="104"/>
      <c r="E45" s="104"/>
      <c r="F45" s="132" t="s">
        <v>33</v>
      </c>
      <c r="G45" s="106"/>
      <c r="H45" s="104" t="s">
        <v>88</v>
      </c>
      <c r="I45" s="104"/>
      <c r="J45" s="104"/>
      <c r="K45" s="136" t="s">
        <v>35</v>
      </c>
      <c r="L45" s="150"/>
      <c r="M45" s="150"/>
      <c r="N45" s="150"/>
      <c r="O45" s="150"/>
      <c r="P45" s="150"/>
      <c r="Q45" s="95"/>
      <c r="R45" s="92">
        <v>1622540</v>
      </c>
      <c r="S45" s="151"/>
      <c r="T45" s="92">
        <v>1423355</v>
      </c>
      <c r="U45" s="152"/>
      <c r="V45" s="94"/>
      <c r="W45" s="2053"/>
      <c r="X45" s="2182"/>
      <c r="Y45" s="93"/>
      <c r="Z45" s="153"/>
      <c r="AA45" s="93"/>
      <c r="AB45" s="2183"/>
      <c r="AC45" s="1238"/>
      <c r="AD45" s="153"/>
      <c r="AE45" s="153"/>
      <c r="AF45" s="153"/>
      <c r="AG45" s="153"/>
      <c r="AH45" s="153"/>
      <c r="AI45" s="153"/>
      <c r="AJ45" s="153"/>
      <c r="AK45" s="153"/>
      <c r="AL45" s="153"/>
      <c r="AM45" s="153"/>
      <c r="AN45" s="2183"/>
      <c r="AO45" s="2182"/>
      <c r="AP45" s="93"/>
      <c r="AQ45" s="153"/>
      <c r="AR45" s="93"/>
      <c r="AS45" s="1241"/>
      <c r="AT45" s="4782"/>
      <c r="AU45" s="2182"/>
      <c r="AV45" s="93"/>
      <c r="AW45" s="153"/>
      <c r="AX45" s="93"/>
      <c r="AY45" s="2183"/>
      <c r="AZ45" s="2182"/>
      <c r="BA45" s="93"/>
      <c r="BB45" s="153"/>
      <c r="BC45" s="93"/>
      <c r="BD45" s="2183"/>
      <c r="BE45" s="2182"/>
      <c r="BF45" s="93"/>
      <c r="BG45" s="153"/>
      <c r="BH45" s="93"/>
      <c r="BI45" s="2183"/>
      <c r="BJ45" s="2465"/>
      <c r="BK45" s="98"/>
      <c r="BL45" s="99"/>
      <c r="BM45" s="138"/>
      <c r="BN45" s="138"/>
      <c r="BO45" s="99"/>
      <c r="BP45" s="110"/>
      <c r="BQ45" s="154" t="s">
        <v>42</v>
      </c>
      <c r="BR45" s="112"/>
      <c r="BS45" s="18"/>
    </row>
    <row r="46" spans="2:71" ht="24" customHeight="1" outlineLevel="1">
      <c r="B46" s="113"/>
      <c r="C46" s="103" t="s">
        <v>51</v>
      </c>
      <c r="D46" s="104"/>
      <c r="E46" s="104"/>
      <c r="F46" s="105" t="s">
        <v>33</v>
      </c>
      <c r="G46" s="106"/>
      <c r="H46" s="104" t="s">
        <v>89</v>
      </c>
      <c r="I46" s="104"/>
      <c r="J46" s="104"/>
      <c r="K46" s="109" t="s">
        <v>35</v>
      </c>
      <c r="L46" s="150"/>
      <c r="M46" s="150"/>
      <c r="N46" s="150"/>
      <c r="O46" s="150"/>
      <c r="P46" s="150"/>
      <c r="Q46" s="95"/>
      <c r="R46" s="92">
        <v>396981</v>
      </c>
      <c r="S46" s="151"/>
      <c r="T46" s="92">
        <v>569297</v>
      </c>
      <c r="U46" s="152"/>
      <c r="V46" s="94"/>
      <c r="W46" s="2053"/>
      <c r="X46" s="2182"/>
      <c r="Y46" s="93"/>
      <c r="Z46" s="153"/>
      <c r="AA46" s="93"/>
      <c r="AB46" s="2183"/>
      <c r="AC46" s="1238"/>
      <c r="AD46" s="153"/>
      <c r="AE46" s="153"/>
      <c r="AF46" s="153"/>
      <c r="AG46" s="153"/>
      <c r="AH46" s="153"/>
      <c r="AI46" s="153"/>
      <c r="AJ46" s="153"/>
      <c r="AK46" s="153"/>
      <c r="AL46" s="153"/>
      <c r="AM46" s="153"/>
      <c r="AN46" s="2183"/>
      <c r="AO46" s="2182"/>
      <c r="AP46" s="93"/>
      <c r="AQ46" s="153"/>
      <c r="AR46" s="93"/>
      <c r="AS46" s="1241"/>
      <c r="AT46" s="4782"/>
      <c r="AU46" s="2182"/>
      <c r="AV46" s="93"/>
      <c r="AW46" s="153"/>
      <c r="AX46" s="93"/>
      <c r="AY46" s="2183"/>
      <c r="AZ46" s="2182"/>
      <c r="BA46" s="93"/>
      <c r="BB46" s="153"/>
      <c r="BC46" s="93"/>
      <c r="BD46" s="2183"/>
      <c r="BE46" s="2182"/>
      <c r="BF46" s="93"/>
      <c r="BG46" s="153"/>
      <c r="BH46" s="93"/>
      <c r="BI46" s="2183"/>
      <c r="BJ46" s="2465"/>
      <c r="BK46" s="98"/>
      <c r="BL46" s="99"/>
      <c r="BM46" s="138"/>
      <c r="BN46" s="138"/>
      <c r="BO46" s="99"/>
      <c r="BP46" s="110"/>
      <c r="BQ46" s="154" t="s">
        <v>42</v>
      </c>
      <c r="BR46" s="112"/>
      <c r="BS46" s="18"/>
    </row>
    <row r="47" spans="2:71" ht="24" customHeight="1" outlineLevel="1" thickBot="1">
      <c r="B47" s="84"/>
      <c r="C47" s="117" t="s">
        <v>53</v>
      </c>
      <c r="D47" s="118"/>
      <c r="E47" s="118"/>
      <c r="F47" s="105" t="s">
        <v>33</v>
      </c>
      <c r="G47" s="106"/>
      <c r="H47" s="104" t="s">
        <v>90</v>
      </c>
      <c r="I47" s="104"/>
      <c r="J47" s="104"/>
      <c r="K47" s="109" t="s">
        <v>35</v>
      </c>
      <c r="L47" s="150"/>
      <c r="M47" s="150"/>
      <c r="N47" s="150"/>
      <c r="O47" s="150"/>
      <c r="P47" s="150"/>
      <c r="Q47" s="95"/>
      <c r="R47" s="92">
        <v>2019522</v>
      </c>
      <c r="S47" s="151"/>
      <c r="T47" s="92">
        <v>1992652</v>
      </c>
      <c r="U47" s="152"/>
      <c r="V47" s="94"/>
      <c r="W47" s="2053"/>
      <c r="X47" s="2182"/>
      <c r="Y47" s="93"/>
      <c r="Z47" s="153"/>
      <c r="AA47" s="93"/>
      <c r="AB47" s="2183"/>
      <c r="AC47" s="1238"/>
      <c r="AD47" s="153"/>
      <c r="AE47" s="153"/>
      <c r="AF47" s="153"/>
      <c r="AG47" s="153"/>
      <c r="AH47" s="153"/>
      <c r="AI47" s="153"/>
      <c r="AJ47" s="153"/>
      <c r="AK47" s="153"/>
      <c r="AL47" s="153"/>
      <c r="AM47" s="153"/>
      <c r="AN47" s="2183"/>
      <c r="AO47" s="2182"/>
      <c r="AP47" s="93"/>
      <c r="AQ47" s="153"/>
      <c r="AR47" s="93"/>
      <c r="AS47" s="1241"/>
      <c r="AT47" s="4782"/>
      <c r="AU47" s="2182"/>
      <c r="AV47" s="93"/>
      <c r="AW47" s="153"/>
      <c r="AX47" s="93"/>
      <c r="AY47" s="2183"/>
      <c r="AZ47" s="2182"/>
      <c r="BA47" s="93"/>
      <c r="BB47" s="153"/>
      <c r="BC47" s="93"/>
      <c r="BD47" s="2183"/>
      <c r="BE47" s="2182"/>
      <c r="BF47" s="93"/>
      <c r="BG47" s="153"/>
      <c r="BH47" s="93"/>
      <c r="BI47" s="2183"/>
      <c r="BJ47" s="2465"/>
      <c r="BK47" s="98"/>
      <c r="BL47" s="99"/>
      <c r="BM47" s="138"/>
      <c r="BN47" s="138"/>
      <c r="BO47" s="99"/>
      <c r="BP47" s="110"/>
      <c r="BQ47" s="154"/>
      <c r="BR47" s="112"/>
      <c r="BS47" s="18"/>
    </row>
    <row r="48" spans="2:71" ht="24" customHeight="1" outlineLevel="1" thickBot="1">
      <c r="B48" s="123" t="s">
        <v>91</v>
      </c>
      <c r="C48" s="124"/>
      <c r="D48" s="124"/>
      <c r="E48" s="124"/>
      <c r="F48" s="78"/>
      <c r="G48" s="155" t="s">
        <v>1753</v>
      </c>
      <c r="H48" s="126"/>
      <c r="I48" s="126"/>
      <c r="J48" s="126"/>
      <c r="K48" s="78"/>
      <c r="L48" s="77"/>
      <c r="M48" s="77"/>
      <c r="N48" s="77"/>
      <c r="O48" s="77"/>
      <c r="P48" s="77"/>
      <c r="Q48" s="77"/>
      <c r="R48" s="156"/>
      <c r="S48" s="156"/>
      <c r="T48" s="156"/>
      <c r="U48" s="156"/>
      <c r="V48" s="156"/>
      <c r="W48" s="77"/>
      <c r="X48" s="2178"/>
      <c r="Y48" s="156"/>
      <c r="Z48" s="156"/>
      <c r="AA48" s="156"/>
      <c r="AB48" s="2179"/>
      <c r="AC48" s="156"/>
      <c r="AD48" s="156"/>
      <c r="AE48" s="156"/>
      <c r="AF48" s="128"/>
      <c r="AG48" s="128"/>
      <c r="AH48" s="128"/>
      <c r="AI48" s="128"/>
      <c r="AJ48" s="128"/>
      <c r="AK48" s="128"/>
      <c r="AL48" s="128"/>
      <c r="AM48" s="128"/>
      <c r="AN48" s="2174"/>
      <c r="AO48" s="2173"/>
      <c r="AP48" s="128"/>
      <c r="AQ48" s="128"/>
      <c r="AR48" s="128"/>
      <c r="AS48" s="128"/>
      <c r="AT48" s="4779"/>
      <c r="AU48" s="2173"/>
      <c r="AV48" s="128"/>
      <c r="AW48" s="128"/>
      <c r="AX48" s="128"/>
      <c r="AY48" s="2174"/>
      <c r="AZ48" s="2173"/>
      <c r="BA48" s="128"/>
      <c r="BB48" s="128"/>
      <c r="BC48" s="128"/>
      <c r="BD48" s="2174"/>
      <c r="BE48" s="2173"/>
      <c r="BF48" s="128"/>
      <c r="BG48" s="128"/>
      <c r="BH48" s="128"/>
      <c r="BI48" s="2174"/>
      <c r="BJ48" s="80"/>
      <c r="BK48" s="80"/>
      <c r="BL48" s="129"/>
      <c r="BM48" s="129"/>
      <c r="BN48" s="129"/>
      <c r="BO48" s="129"/>
      <c r="BP48" s="130"/>
      <c r="BQ48" s="130"/>
      <c r="BR48" s="131"/>
      <c r="BS48" s="18"/>
    </row>
    <row r="49" spans="2:71" ht="24" customHeight="1" outlineLevel="1">
      <c r="B49" s="113"/>
      <c r="C49" s="85" t="s">
        <v>1747</v>
      </c>
      <c r="D49" s="86"/>
      <c r="E49" s="86"/>
      <c r="F49" s="105" t="s">
        <v>33</v>
      </c>
      <c r="G49" s="106"/>
      <c r="H49" s="104" t="s">
        <v>93</v>
      </c>
      <c r="I49" s="104"/>
      <c r="J49" s="104"/>
      <c r="K49" s="109" t="s">
        <v>35</v>
      </c>
      <c r="L49" s="157"/>
      <c r="M49" s="157"/>
      <c r="N49" s="158"/>
      <c r="O49" s="158"/>
      <c r="P49" s="158"/>
      <c r="Q49" s="95"/>
      <c r="R49" s="92">
        <v>328613</v>
      </c>
      <c r="S49" s="151"/>
      <c r="T49" s="92">
        <v>706613</v>
      </c>
      <c r="U49" s="152"/>
      <c r="V49" s="94"/>
      <c r="W49" s="2053"/>
      <c r="X49" s="2182"/>
      <c r="Y49" s="93"/>
      <c r="Z49" s="153"/>
      <c r="AA49" s="93"/>
      <c r="AB49" s="2183"/>
      <c r="AC49" s="1238"/>
      <c r="AD49" s="153"/>
      <c r="AE49" s="153"/>
      <c r="AF49" s="153"/>
      <c r="AG49" s="153"/>
      <c r="AH49" s="153"/>
      <c r="AI49" s="153"/>
      <c r="AJ49" s="153"/>
      <c r="AK49" s="153"/>
      <c r="AL49" s="153"/>
      <c r="AM49" s="153"/>
      <c r="AN49" s="2183"/>
      <c r="AO49" s="2182"/>
      <c r="AP49" s="93"/>
      <c r="AQ49" s="153"/>
      <c r="AR49" s="93"/>
      <c r="AS49" s="1241"/>
      <c r="AT49" s="4782"/>
      <c r="AU49" s="2182"/>
      <c r="AV49" s="93"/>
      <c r="AW49" s="153"/>
      <c r="AX49" s="93"/>
      <c r="AY49" s="2183"/>
      <c r="AZ49" s="2182"/>
      <c r="BA49" s="93"/>
      <c r="BB49" s="153"/>
      <c r="BC49" s="93"/>
      <c r="BD49" s="2183"/>
      <c r="BE49" s="2182"/>
      <c r="BF49" s="93"/>
      <c r="BG49" s="153"/>
      <c r="BH49" s="93"/>
      <c r="BI49" s="2183"/>
      <c r="BJ49" s="2465"/>
      <c r="BK49" s="98"/>
      <c r="BL49" s="99"/>
      <c r="BM49" s="138"/>
      <c r="BN49" s="138"/>
      <c r="BO49" s="99"/>
      <c r="BP49" s="111"/>
      <c r="BQ49" s="154" t="s">
        <v>42</v>
      </c>
      <c r="BR49" s="159"/>
      <c r="BS49" s="18"/>
    </row>
    <row r="50" spans="2:71" ht="24" customHeight="1" outlineLevel="1">
      <c r="B50" s="84"/>
      <c r="C50" s="103" t="s">
        <v>1748</v>
      </c>
      <c r="D50" s="104"/>
      <c r="E50" s="104"/>
      <c r="F50" s="105" t="s">
        <v>33</v>
      </c>
      <c r="G50" s="106"/>
      <c r="H50" s="104" t="s">
        <v>95</v>
      </c>
      <c r="I50" s="104"/>
      <c r="J50" s="104"/>
      <c r="K50" s="109" t="s">
        <v>35</v>
      </c>
      <c r="L50" s="158"/>
      <c r="M50" s="158"/>
      <c r="N50" s="158"/>
      <c r="O50" s="158"/>
      <c r="P50" s="158"/>
      <c r="Q50" s="95"/>
      <c r="R50" s="92">
        <v>249246</v>
      </c>
      <c r="S50" s="151"/>
      <c r="T50" s="92">
        <v>431234</v>
      </c>
      <c r="U50" s="152"/>
      <c r="V50" s="94"/>
      <c r="W50" s="2053"/>
      <c r="X50" s="2182"/>
      <c r="Y50" s="93"/>
      <c r="Z50" s="153"/>
      <c r="AA50" s="93"/>
      <c r="AB50" s="2183"/>
      <c r="AC50" s="1238"/>
      <c r="AD50" s="153"/>
      <c r="AE50" s="153"/>
      <c r="AF50" s="153"/>
      <c r="AG50" s="153"/>
      <c r="AH50" s="153"/>
      <c r="AI50" s="153"/>
      <c r="AJ50" s="153"/>
      <c r="AK50" s="153"/>
      <c r="AL50" s="153"/>
      <c r="AM50" s="153"/>
      <c r="AN50" s="2183"/>
      <c r="AO50" s="2182"/>
      <c r="AP50" s="93"/>
      <c r="AQ50" s="153"/>
      <c r="AR50" s="93"/>
      <c r="AS50" s="1241"/>
      <c r="AT50" s="4782"/>
      <c r="AU50" s="2182"/>
      <c r="AV50" s="93"/>
      <c r="AW50" s="153"/>
      <c r="AX50" s="93"/>
      <c r="AY50" s="2183"/>
      <c r="AZ50" s="2182"/>
      <c r="BA50" s="93"/>
      <c r="BB50" s="153"/>
      <c r="BC50" s="93"/>
      <c r="BD50" s="2183"/>
      <c r="BE50" s="2182"/>
      <c r="BF50" s="93"/>
      <c r="BG50" s="153"/>
      <c r="BH50" s="93"/>
      <c r="BI50" s="2183"/>
      <c r="BJ50" s="2465"/>
      <c r="BK50" s="98"/>
      <c r="BL50" s="99"/>
      <c r="BM50" s="138"/>
      <c r="BN50" s="138"/>
      <c r="BO50" s="99"/>
      <c r="BP50" s="111"/>
      <c r="BQ50" s="154"/>
      <c r="BR50" s="159"/>
      <c r="BS50" s="18"/>
    </row>
    <row r="51" spans="2:71" ht="24" customHeight="1" outlineLevel="1">
      <c r="B51" s="113"/>
      <c r="C51" s="103" t="s">
        <v>1749</v>
      </c>
      <c r="D51" s="104"/>
      <c r="E51" s="104"/>
      <c r="F51" s="105" t="s">
        <v>33</v>
      </c>
      <c r="G51" s="106"/>
      <c r="H51" s="104" t="s">
        <v>1754</v>
      </c>
      <c r="I51" s="104"/>
      <c r="J51" s="104"/>
      <c r="K51" s="109" t="s">
        <v>35</v>
      </c>
      <c r="L51" s="158"/>
      <c r="M51" s="158"/>
      <c r="N51" s="158"/>
      <c r="O51" s="158"/>
      <c r="P51" s="158"/>
      <c r="Q51" s="95"/>
      <c r="R51" s="92">
        <v>79366</v>
      </c>
      <c r="S51" s="151"/>
      <c r="T51" s="92">
        <v>275379</v>
      </c>
      <c r="U51" s="152"/>
      <c r="V51" s="94"/>
      <c r="W51" s="2053"/>
      <c r="X51" s="2182"/>
      <c r="Y51" s="93"/>
      <c r="Z51" s="153"/>
      <c r="AA51" s="93"/>
      <c r="AB51" s="2183"/>
      <c r="AC51" s="1238"/>
      <c r="AD51" s="153"/>
      <c r="AE51" s="153"/>
      <c r="AF51" s="153"/>
      <c r="AG51" s="153"/>
      <c r="AH51" s="153"/>
      <c r="AI51" s="153"/>
      <c r="AJ51" s="153"/>
      <c r="AK51" s="153"/>
      <c r="AL51" s="153"/>
      <c r="AM51" s="153"/>
      <c r="AN51" s="2183"/>
      <c r="AO51" s="2182"/>
      <c r="AP51" s="93"/>
      <c r="AQ51" s="153"/>
      <c r="AR51" s="93"/>
      <c r="AS51" s="1241"/>
      <c r="AT51" s="4782"/>
      <c r="AU51" s="2182"/>
      <c r="AV51" s="93"/>
      <c r="AW51" s="153"/>
      <c r="AX51" s="93"/>
      <c r="AY51" s="2183"/>
      <c r="AZ51" s="2182"/>
      <c r="BA51" s="93"/>
      <c r="BB51" s="153"/>
      <c r="BC51" s="93"/>
      <c r="BD51" s="2183"/>
      <c r="BE51" s="2182"/>
      <c r="BF51" s="93"/>
      <c r="BG51" s="153"/>
      <c r="BH51" s="93"/>
      <c r="BI51" s="2183"/>
      <c r="BJ51" s="2465"/>
      <c r="BK51" s="98"/>
      <c r="BL51" s="99"/>
      <c r="BM51" s="138"/>
      <c r="BN51" s="138"/>
      <c r="BO51" s="99"/>
      <c r="BP51" s="111"/>
      <c r="BQ51" s="154"/>
      <c r="BR51" s="159"/>
      <c r="BS51" s="18"/>
    </row>
    <row r="52" spans="2:71" ht="24" customHeight="1" outlineLevel="1">
      <c r="B52" s="113"/>
      <c r="C52" s="103" t="s">
        <v>1751</v>
      </c>
      <c r="D52" s="104"/>
      <c r="E52" s="104"/>
      <c r="F52" s="105" t="s">
        <v>33</v>
      </c>
      <c r="G52" s="106"/>
      <c r="H52" s="104" t="s">
        <v>1755</v>
      </c>
      <c r="I52" s="104"/>
      <c r="J52" s="104"/>
      <c r="K52" s="109" t="s">
        <v>35</v>
      </c>
      <c r="L52" s="157"/>
      <c r="M52" s="157"/>
      <c r="N52" s="158"/>
      <c r="O52" s="158"/>
      <c r="P52" s="158"/>
      <c r="Q52" s="95"/>
      <c r="R52" s="92">
        <v>242935</v>
      </c>
      <c r="S52" s="151"/>
      <c r="T52" s="92">
        <v>287746</v>
      </c>
      <c r="U52" s="152"/>
      <c r="V52" s="94"/>
      <c r="W52" s="2053"/>
      <c r="X52" s="2182"/>
      <c r="Y52" s="93"/>
      <c r="Z52" s="153"/>
      <c r="AA52" s="93"/>
      <c r="AB52" s="2183"/>
      <c r="AC52" s="1238"/>
      <c r="AD52" s="153"/>
      <c r="AE52" s="153"/>
      <c r="AF52" s="153"/>
      <c r="AG52" s="153"/>
      <c r="AH52" s="153"/>
      <c r="AI52" s="153"/>
      <c r="AJ52" s="153"/>
      <c r="AK52" s="153"/>
      <c r="AL52" s="153"/>
      <c r="AM52" s="153"/>
      <c r="AN52" s="2183"/>
      <c r="AO52" s="2182"/>
      <c r="AP52" s="93"/>
      <c r="AQ52" s="153"/>
      <c r="AR52" s="93"/>
      <c r="AS52" s="1241"/>
      <c r="AT52" s="4782"/>
      <c r="AU52" s="2182"/>
      <c r="AV52" s="93"/>
      <c r="AW52" s="153"/>
      <c r="AX52" s="93"/>
      <c r="AY52" s="2183"/>
      <c r="AZ52" s="2182"/>
      <c r="BA52" s="93"/>
      <c r="BB52" s="153"/>
      <c r="BC52" s="93"/>
      <c r="BD52" s="2183"/>
      <c r="BE52" s="2182"/>
      <c r="BF52" s="93"/>
      <c r="BG52" s="153"/>
      <c r="BH52" s="93"/>
      <c r="BI52" s="2183"/>
      <c r="BJ52" s="2465"/>
      <c r="BK52" s="98"/>
      <c r="BL52" s="99"/>
      <c r="BM52" s="138"/>
      <c r="BN52" s="138"/>
      <c r="BO52" s="99"/>
      <c r="BP52" s="111"/>
      <c r="BQ52" s="154" t="s">
        <v>42</v>
      </c>
      <c r="BR52" s="159"/>
      <c r="BS52" s="18"/>
    </row>
    <row r="53" spans="2:71" ht="24" customHeight="1" outlineLevel="1">
      <c r="B53" s="113"/>
      <c r="C53" s="103" t="s">
        <v>96</v>
      </c>
      <c r="D53" s="104"/>
      <c r="E53" s="104"/>
      <c r="F53" s="105" t="s">
        <v>33</v>
      </c>
      <c r="G53" s="106"/>
      <c r="H53" s="104" t="s">
        <v>97</v>
      </c>
      <c r="I53" s="104"/>
      <c r="J53" s="104"/>
      <c r="K53" s="109" t="s">
        <v>35</v>
      </c>
      <c r="L53" s="158"/>
      <c r="M53" s="158"/>
      <c r="N53" s="158"/>
      <c r="O53" s="158"/>
      <c r="P53" s="158"/>
      <c r="Q53" s="95"/>
      <c r="R53" s="92">
        <v>-163568</v>
      </c>
      <c r="S53" s="151"/>
      <c r="T53" s="92">
        <v>-12368</v>
      </c>
      <c r="U53" s="152"/>
      <c r="V53" s="94"/>
      <c r="W53" s="2053"/>
      <c r="X53" s="2182"/>
      <c r="Y53" s="93"/>
      <c r="Z53" s="153"/>
      <c r="AA53" s="93"/>
      <c r="AB53" s="2183"/>
      <c r="AC53" s="1238"/>
      <c r="AD53" s="153"/>
      <c r="AE53" s="153"/>
      <c r="AF53" s="153"/>
      <c r="AG53" s="153"/>
      <c r="AH53" s="153"/>
      <c r="AI53" s="153"/>
      <c r="AJ53" s="153"/>
      <c r="AK53" s="153"/>
      <c r="AL53" s="153"/>
      <c r="AM53" s="153"/>
      <c r="AN53" s="2183"/>
      <c r="AO53" s="2182"/>
      <c r="AP53" s="93"/>
      <c r="AQ53" s="153"/>
      <c r="AR53" s="93"/>
      <c r="AS53" s="1241"/>
      <c r="AT53" s="4782"/>
      <c r="AU53" s="2182"/>
      <c r="AV53" s="93"/>
      <c r="AW53" s="153"/>
      <c r="AX53" s="93"/>
      <c r="AY53" s="2183"/>
      <c r="AZ53" s="2182"/>
      <c r="BA53" s="93"/>
      <c r="BB53" s="153"/>
      <c r="BC53" s="93"/>
      <c r="BD53" s="2183"/>
      <c r="BE53" s="2182"/>
      <c r="BF53" s="93"/>
      <c r="BG53" s="153"/>
      <c r="BH53" s="93"/>
      <c r="BI53" s="2183"/>
      <c r="BJ53" s="2465"/>
      <c r="BK53" s="98"/>
      <c r="BL53" s="99"/>
      <c r="BM53" s="138"/>
      <c r="BN53" s="138"/>
      <c r="BO53" s="99"/>
      <c r="BP53" s="111"/>
      <c r="BQ53" s="154" t="s">
        <v>42</v>
      </c>
      <c r="BR53" s="159"/>
      <c r="BS53" s="18"/>
    </row>
    <row r="54" spans="2:71" ht="24" customHeight="1" outlineLevel="1">
      <c r="B54" s="113"/>
      <c r="C54" s="103" t="s">
        <v>67</v>
      </c>
      <c r="D54" s="104"/>
      <c r="E54" s="104"/>
      <c r="F54" s="105" t="s">
        <v>33</v>
      </c>
      <c r="G54" s="106"/>
      <c r="H54" s="104" t="s">
        <v>98</v>
      </c>
      <c r="I54" s="104"/>
      <c r="J54" s="104"/>
      <c r="K54" s="109" t="s">
        <v>35</v>
      </c>
      <c r="L54" s="157"/>
      <c r="M54" s="157"/>
      <c r="N54" s="158"/>
      <c r="O54" s="158"/>
      <c r="P54" s="158"/>
      <c r="Q54" s="95"/>
      <c r="R54" s="92">
        <v>-86679</v>
      </c>
      <c r="S54" s="151"/>
      <c r="T54" s="92">
        <v>-117859</v>
      </c>
      <c r="U54" s="152"/>
      <c r="V54" s="94"/>
      <c r="W54" s="2053"/>
      <c r="X54" s="2182"/>
      <c r="Y54" s="93"/>
      <c r="Z54" s="153"/>
      <c r="AA54" s="93"/>
      <c r="AB54" s="2183"/>
      <c r="AC54" s="1238"/>
      <c r="AD54" s="153"/>
      <c r="AE54" s="153"/>
      <c r="AF54" s="153"/>
      <c r="AG54" s="153"/>
      <c r="AH54" s="153"/>
      <c r="AI54" s="153"/>
      <c r="AJ54" s="153"/>
      <c r="AK54" s="153"/>
      <c r="AL54" s="153"/>
      <c r="AM54" s="153"/>
      <c r="AN54" s="2183"/>
      <c r="AO54" s="2182"/>
      <c r="AP54" s="93"/>
      <c r="AQ54" s="153"/>
      <c r="AR54" s="93"/>
      <c r="AS54" s="1241"/>
      <c r="AT54" s="4782"/>
      <c r="AU54" s="2182"/>
      <c r="AV54" s="93"/>
      <c r="AW54" s="153"/>
      <c r="AX54" s="93"/>
      <c r="AY54" s="2183"/>
      <c r="AZ54" s="2182"/>
      <c r="BA54" s="93"/>
      <c r="BB54" s="153"/>
      <c r="BC54" s="93"/>
      <c r="BD54" s="2183"/>
      <c r="BE54" s="2182"/>
      <c r="BF54" s="93"/>
      <c r="BG54" s="153"/>
      <c r="BH54" s="93"/>
      <c r="BI54" s="2183"/>
      <c r="BJ54" s="2465"/>
      <c r="BK54" s="98"/>
      <c r="BL54" s="99"/>
      <c r="BM54" s="138"/>
      <c r="BN54" s="138"/>
      <c r="BO54" s="99"/>
      <c r="BP54" s="111"/>
      <c r="BQ54" s="154"/>
      <c r="BR54" s="159"/>
      <c r="BS54" s="18"/>
    </row>
    <row r="55" spans="2:71" ht="24" customHeight="1" outlineLevel="1">
      <c r="B55" s="84"/>
      <c r="C55" s="103" t="s">
        <v>63</v>
      </c>
      <c r="D55" s="104"/>
      <c r="E55" s="104"/>
      <c r="F55" s="105" t="s">
        <v>33</v>
      </c>
      <c r="G55" s="106"/>
      <c r="H55" s="104" t="s">
        <v>99</v>
      </c>
      <c r="I55" s="104"/>
      <c r="J55" s="104"/>
      <c r="K55" s="109" t="s">
        <v>35</v>
      </c>
      <c r="L55" s="158"/>
      <c r="M55" s="158"/>
      <c r="N55" s="158"/>
      <c r="O55" s="158"/>
      <c r="P55" s="158"/>
      <c r="Q55" s="95"/>
      <c r="R55" s="92">
        <v>48059</v>
      </c>
      <c r="S55" s="151"/>
      <c r="T55" s="92">
        <v>79083</v>
      </c>
      <c r="U55" s="152"/>
      <c r="V55" s="94"/>
      <c r="W55" s="2053"/>
      <c r="X55" s="2182"/>
      <c r="Y55" s="93"/>
      <c r="Z55" s="153"/>
      <c r="AA55" s="93"/>
      <c r="AB55" s="2183"/>
      <c r="AC55" s="1238"/>
      <c r="AD55" s="153"/>
      <c r="AE55" s="153"/>
      <c r="AF55" s="153"/>
      <c r="AG55" s="153"/>
      <c r="AH55" s="153"/>
      <c r="AI55" s="153"/>
      <c r="AJ55" s="153"/>
      <c r="AK55" s="153"/>
      <c r="AL55" s="153"/>
      <c r="AM55" s="153"/>
      <c r="AN55" s="2183"/>
      <c r="AO55" s="2182"/>
      <c r="AP55" s="93"/>
      <c r="AQ55" s="153"/>
      <c r="AR55" s="93"/>
      <c r="AS55" s="1241"/>
      <c r="AT55" s="4782"/>
      <c r="AU55" s="2182"/>
      <c r="AV55" s="93"/>
      <c r="AW55" s="153"/>
      <c r="AX55" s="93"/>
      <c r="AY55" s="2183"/>
      <c r="AZ55" s="2182"/>
      <c r="BA55" s="93"/>
      <c r="BB55" s="153"/>
      <c r="BC55" s="93"/>
      <c r="BD55" s="2183"/>
      <c r="BE55" s="2182"/>
      <c r="BF55" s="93"/>
      <c r="BG55" s="153"/>
      <c r="BH55" s="93"/>
      <c r="BI55" s="2183"/>
      <c r="BJ55" s="2465"/>
      <c r="BK55" s="98"/>
      <c r="BL55" s="99"/>
      <c r="BM55" s="138"/>
      <c r="BN55" s="138"/>
      <c r="BO55" s="99"/>
      <c r="BP55" s="111"/>
      <c r="BQ55" s="154"/>
      <c r="BR55" s="159"/>
      <c r="BS55" s="18"/>
    </row>
    <row r="56" spans="2:71" ht="24" customHeight="1" outlineLevel="1">
      <c r="B56" s="84"/>
      <c r="C56" s="103" t="s">
        <v>65</v>
      </c>
      <c r="D56" s="104"/>
      <c r="E56" s="104"/>
      <c r="F56" s="105" t="s">
        <v>33</v>
      </c>
      <c r="G56" s="106"/>
      <c r="H56" s="104" t="s">
        <v>100</v>
      </c>
      <c r="I56" s="104"/>
      <c r="J56" s="104"/>
      <c r="K56" s="109" t="s">
        <v>35</v>
      </c>
      <c r="L56" s="158"/>
      <c r="M56" s="158"/>
      <c r="N56" s="158"/>
      <c r="O56" s="158"/>
      <c r="P56" s="158"/>
      <c r="Q56" s="95"/>
      <c r="R56" s="92">
        <v>71382</v>
      </c>
      <c r="S56" s="151"/>
      <c r="T56" s="92">
        <v>84869</v>
      </c>
      <c r="U56" s="152"/>
      <c r="V56" s="94"/>
      <c r="W56" s="2053"/>
      <c r="X56" s="2182"/>
      <c r="Y56" s="93"/>
      <c r="Z56" s="153"/>
      <c r="AA56" s="93"/>
      <c r="AB56" s="2183"/>
      <c r="AC56" s="1238"/>
      <c r="AD56" s="153"/>
      <c r="AE56" s="153"/>
      <c r="AF56" s="153"/>
      <c r="AG56" s="153"/>
      <c r="AH56" s="153"/>
      <c r="AI56" s="153"/>
      <c r="AJ56" s="153"/>
      <c r="AK56" s="153"/>
      <c r="AL56" s="153"/>
      <c r="AM56" s="153"/>
      <c r="AN56" s="2183"/>
      <c r="AO56" s="2182"/>
      <c r="AP56" s="93"/>
      <c r="AQ56" s="153"/>
      <c r="AR56" s="93"/>
      <c r="AS56" s="1241"/>
      <c r="AT56" s="4782"/>
      <c r="AU56" s="2182"/>
      <c r="AV56" s="93"/>
      <c r="AW56" s="153"/>
      <c r="AX56" s="93"/>
      <c r="AY56" s="2183"/>
      <c r="AZ56" s="2182"/>
      <c r="BA56" s="93"/>
      <c r="BB56" s="153"/>
      <c r="BC56" s="93"/>
      <c r="BD56" s="2183"/>
      <c r="BE56" s="2182"/>
      <c r="BF56" s="93"/>
      <c r="BG56" s="153"/>
      <c r="BH56" s="93"/>
      <c r="BI56" s="2183"/>
      <c r="BJ56" s="2465"/>
      <c r="BK56" s="98"/>
      <c r="BL56" s="99"/>
      <c r="BM56" s="138"/>
      <c r="BN56" s="138"/>
      <c r="BO56" s="99"/>
      <c r="BP56" s="111"/>
      <c r="BQ56" s="154"/>
      <c r="BR56" s="159"/>
      <c r="BS56" s="18"/>
    </row>
    <row r="57" spans="2:71" ht="24" customHeight="1" outlineLevel="1">
      <c r="B57" s="113"/>
      <c r="C57" s="103" t="s">
        <v>71</v>
      </c>
      <c r="D57" s="104"/>
      <c r="E57" s="104"/>
      <c r="F57" s="105" t="s">
        <v>33</v>
      </c>
      <c r="G57" s="106"/>
      <c r="H57" s="104" t="s">
        <v>101</v>
      </c>
      <c r="I57" s="104"/>
      <c r="J57" s="104"/>
      <c r="K57" s="109" t="s">
        <v>35</v>
      </c>
      <c r="L57" s="157"/>
      <c r="M57" s="157"/>
      <c r="N57" s="158"/>
      <c r="O57" s="158"/>
      <c r="P57" s="158"/>
      <c r="Q57" s="95"/>
      <c r="R57" s="92">
        <v>-273570</v>
      </c>
      <c r="S57" s="151"/>
      <c r="T57" s="92">
        <v>-136013</v>
      </c>
      <c r="U57" s="152"/>
      <c r="V57" s="94"/>
      <c r="W57" s="2053"/>
      <c r="X57" s="2182"/>
      <c r="Y57" s="93"/>
      <c r="Z57" s="153"/>
      <c r="AA57" s="93"/>
      <c r="AB57" s="2183"/>
      <c r="AC57" s="1238"/>
      <c r="AD57" s="153"/>
      <c r="AE57" s="153"/>
      <c r="AF57" s="153"/>
      <c r="AG57" s="153"/>
      <c r="AH57" s="153"/>
      <c r="AI57" s="153"/>
      <c r="AJ57" s="153"/>
      <c r="AK57" s="153"/>
      <c r="AL57" s="153"/>
      <c r="AM57" s="153"/>
      <c r="AN57" s="2183"/>
      <c r="AO57" s="2182"/>
      <c r="AP57" s="93"/>
      <c r="AQ57" s="153"/>
      <c r="AR57" s="93"/>
      <c r="AS57" s="1241"/>
      <c r="AT57" s="4782"/>
      <c r="AU57" s="2182"/>
      <c r="AV57" s="93"/>
      <c r="AW57" s="153"/>
      <c r="AX57" s="93"/>
      <c r="AY57" s="2183"/>
      <c r="AZ57" s="2182"/>
      <c r="BA57" s="93"/>
      <c r="BB57" s="153"/>
      <c r="BC57" s="93"/>
      <c r="BD57" s="2183"/>
      <c r="BE57" s="2182"/>
      <c r="BF57" s="93"/>
      <c r="BG57" s="153"/>
      <c r="BH57" s="93"/>
      <c r="BI57" s="2183"/>
      <c r="BJ57" s="2465"/>
      <c r="BK57" s="98"/>
      <c r="BL57" s="99"/>
      <c r="BM57" s="138"/>
      <c r="BN57" s="138"/>
      <c r="BO57" s="99"/>
      <c r="BP57" s="111"/>
      <c r="BQ57" s="154"/>
      <c r="BR57" s="159"/>
      <c r="BS57" s="18"/>
    </row>
    <row r="58" spans="2:71" ht="24" customHeight="1" outlineLevel="1">
      <c r="B58" s="113"/>
      <c r="C58" s="160" t="s">
        <v>102</v>
      </c>
      <c r="D58" s="161"/>
      <c r="E58" s="161"/>
      <c r="F58" s="105" t="s">
        <v>33</v>
      </c>
      <c r="G58" s="106"/>
      <c r="H58" s="104" t="s">
        <v>103</v>
      </c>
      <c r="I58" s="104"/>
      <c r="J58" s="104"/>
      <c r="K58" s="162" t="s">
        <v>35</v>
      </c>
      <c r="L58" s="158"/>
      <c r="M58" s="158"/>
      <c r="N58" s="158"/>
      <c r="O58" s="158"/>
      <c r="P58" s="158"/>
      <c r="Q58" s="95"/>
      <c r="R58" s="92">
        <v>-12516</v>
      </c>
      <c r="S58" s="151"/>
      <c r="T58" s="92">
        <v>-15207</v>
      </c>
      <c r="U58" s="152"/>
      <c r="V58" s="94"/>
      <c r="W58" s="2053"/>
      <c r="X58" s="2182"/>
      <c r="Y58" s="93"/>
      <c r="Z58" s="153"/>
      <c r="AA58" s="93"/>
      <c r="AB58" s="2183"/>
      <c r="AC58" s="1238"/>
      <c r="AD58" s="153"/>
      <c r="AE58" s="153"/>
      <c r="AF58" s="153"/>
      <c r="AG58" s="153"/>
      <c r="AH58" s="153"/>
      <c r="AI58" s="153"/>
      <c r="AJ58" s="153"/>
      <c r="AK58" s="153"/>
      <c r="AL58" s="153"/>
      <c r="AM58" s="153"/>
      <c r="AN58" s="2183"/>
      <c r="AO58" s="2182"/>
      <c r="AP58" s="93"/>
      <c r="AQ58" s="153"/>
      <c r="AR58" s="93"/>
      <c r="AS58" s="1241"/>
      <c r="AT58" s="4782"/>
      <c r="AU58" s="2182"/>
      <c r="AV58" s="93"/>
      <c r="AW58" s="153"/>
      <c r="AX58" s="93"/>
      <c r="AY58" s="2183"/>
      <c r="AZ58" s="2182"/>
      <c r="BA58" s="93"/>
      <c r="BB58" s="153"/>
      <c r="BC58" s="93"/>
      <c r="BD58" s="2183"/>
      <c r="BE58" s="2182"/>
      <c r="BF58" s="93"/>
      <c r="BG58" s="153"/>
      <c r="BH58" s="93"/>
      <c r="BI58" s="2183"/>
      <c r="BJ58" s="2465"/>
      <c r="BK58" s="163"/>
      <c r="BL58" s="99"/>
      <c r="BM58" s="138"/>
      <c r="BN58" s="138"/>
      <c r="BO58" s="99"/>
      <c r="BP58" s="111"/>
      <c r="BQ58" s="154" t="s">
        <v>42</v>
      </c>
      <c r="BR58" s="159"/>
      <c r="BS58" s="18"/>
    </row>
    <row r="59" spans="2:71" ht="24" customHeight="1" outlineLevel="1">
      <c r="B59" s="113"/>
      <c r="C59" s="160" t="s">
        <v>104</v>
      </c>
      <c r="D59" s="161"/>
      <c r="E59" s="161"/>
      <c r="F59" s="105" t="s">
        <v>33</v>
      </c>
      <c r="G59" s="106"/>
      <c r="H59" s="104" t="s">
        <v>105</v>
      </c>
      <c r="I59" s="104"/>
      <c r="J59" s="104"/>
      <c r="K59" s="162" t="s">
        <v>35</v>
      </c>
      <c r="L59" s="158"/>
      <c r="M59" s="158"/>
      <c r="N59" s="158"/>
      <c r="O59" s="158"/>
      <c r="P59" s="158"/>
      <c r="Q59" s="95"/>
      <c r="R59" s="92">
        <v>-261054</v>
      </c>
      <c r="S59" s="151"/>
      <c r="T59" s="92">
        <v>-120806</v>
      </c>
      <c r="U59" s="152"/>
      <c r="V59" s="94"/>
      <c r="W59" s="2053"/>
      <c r="X59" s="2182"/>
      <c r="Y59" s="93"/>
      <c r="Z59" s="153"/>
      <c r="AA59" s="93"/>
      <c r="AB59" s="2183"/>
      <c r="AC59" s="1238"/>
      <c r="AD59" s="153"/>
      <c r="AE59" s="153"/>
      <c r="AF59" s="153"/>
      <c r="AG59" s="153"/>
      <c r="AH59" s="153"/>
      <c r="AI59" s="153"/>
      <c r="AJ59" s="153"/>
      <c r="AK59" s="153"/>
      <c r="AL59" s="153"/>
      <c r="AM59" s="153"/>
      <c r="AN59" s="2183"/>
      <c r="AO59" s="2182"/>
      <c r="AP59" s="93"/>
      <c r="AQ59" s="153"/>
      <c r="AR59" s="93"/>
      <c r="AS59" s="1241"/>
      <c r="AT59" s="4782"/>
      <c r="AU59" s="2182"/>
      <c r="AV59" s="93"/>
      <c r="AW59" s="153"/>
      <c r="AX59" s="93"/>
      <c r="AY59" s="2183"/>
      <c r="AZ59" s="2182"/>
      <c r="BA59" s="93"/>
      <c r="BB59" s="153"/>
      <c r="BC59" s="93"/>
      <c r="BD59" s="2183"/>
      <c r="BE59" s="2182"/>
      <c r="BF59" s="93"/>
      <c r="BG59" s="153"/>
      <c r="BH59" s="93"/>
      <c r="BI59" s="2183"/>
      <c r="BJ59" s="2465"/>
      <c r="BK59" s="163"/>
      <c r="BL59" s="99"/>
      <c r="BM59" s="138"/>
      <c r="BN59" s="138"/>
      <c r="BO59" s="99"/>
      <c r="BP59" s="111"/>
      <c r="BQ59" s="154" t="s">
        <v>42</v>
      </c>
      <c r="BR59" s="159"/>
      <c r="BS59" s="18"/>
    </row>
    <row r="60" spans="2:71" ht="24" customHeight="1" outlineLevel="1">
      <c r="B60" s="113"/>
      <c r="C60" s="160" t="s">
        <v>77</v>
      </c>
      <c r="D60" s="161"/>
      <c r="E60" s="161"/>
      <c r="F60" s="105" t="s">
        <v>33</v>
      </c>
      <c r="G60" s="106"/>
      <c r="H60" s="104" t="s">
        <v>106</v>
      </c>
      <c r="I60" s="104"/>
      <c r="J60" s="104"/>
      <c r="K60" s="164" t="s">
        <v>35</v>
      </c>
      <c r="L60" s="158"/>
      <c r="M60" s="158"/>
      <c r="N60" s="158"/>
      <c r="O60" s="158"/>
      <c r="P60" s="158"/>
      <c r="Q60" s="95"/>
      <c r="R60" s="92">
        <v>-1271</v>
      </c>
      <c r="S60" s="151"/>
      <c r="T60" s="92">
        <v>1690</v>
      </c>
      <c r="U60" s="152"/>
      <c r="V60" s="94"/>
      <c r="W60" s="2053"/>
      <c r="X60" s="2182"/>
      <c r="Y60" s="93"/>
      <c r="Z60" s="153"/>
      <c r="AA60" s="93"/>
      <c r="AB60" s="2183"/>
      <c r="AC60" s="1238"/>
      <c r="AD60" s="153"/>
      <c r="AE60" s="153"/>
      <c r="AF60" s="153"/>
      <c r="AG60" s="153"/>
      <c r="AH60" s="153"/>
      <c r="AI60" s="153"/>
      <c r="AJ60" s="153"/>
      <c r="AK60" s="153"/>
      <c r="AL60" s="153"/>
      <c r="AM60" s="153"/>
      <c r="AN60" s="2183"/>
      <c r="AO60" s="2182"/>
      <c r="AP60" s="93"/>
      <c r="AQ60" s="153"/>
      <c r="AR60" s="93"/>
      <c r="AS60" s="1241"/>
      <c r="AT60" s="4782"/>
      <c r="AU60" s="2182"/>
      <c r="AV60" s="93"/>
      <c r="AW60" s="153"/>
      <c r="AX60" s="93"/>
      <c r="AY60" s="2183"/>
      <c r="AZ60" s="2182"/>
      <c r="BA60" s="93"/>
      <c r="BB60" s="153"/>
      <c r="BC60" s="93"/>
      <c r="BD60" s="2183"/>
      <c r="BE60" s="2182"/>
      <c r="BF60" s="93"/>
      <c r="BG60" s="153"/>
      <c r="BH60" s="93"/>
      <c r="BI60" s="2183"/>
      <c r="BJ60" s="2465"/>
      <c r="BK60" s="163"/>
      <c r="BL60" s="99"/>
      <c r="BM60" s="138"/>
      <c r="BN60" s="138"/>
      <c r="BO60" s="99"/>
      <c r="BP60" s="111"/>
      <c r="BQ60" s="154"/>
      <c r="BR60" s="159"/>
      <c r="BS60" s="18"/>
    </row>
    <row r="61" spans="2:71" ht="24" customHeight="1" outlineLevel="1">
      <c r="B61" s="113"/>
      <c r="C61" s="160" t="s">
        <v>79</v>
      </c>
      <c r="D61" s="161"/>
      <c r="E61" s="161"/>
      <c r="F61" s="105" t="s">
        <v>33</v>
      </c>
      <c r="G61" s="106"/>
      <c r="H61" s="104" t="s">
        <v>107</v>
      </c>
      <c r="I61" s="104"/>
      <c r="J61" s="104"/>
      <c r="K61" s="165" t="s">
        <v>35</v>
      </c>
      <c r="L61" s="158"/>
      <c r="M61" s="158"/>
      <c r="N61" s="158"/>
      <c r="O61" s="158"/>
      <c r="P61" s="158"/>
      <c r="Q61" s="95"/>
      <c r="R61" s="92">
        <v>-262325</v>
      </c>
      <c r="S61" s="151"/>
      <c r="T61" s="92">
        <v>-119117</v>
      </c>
      <c r="U61" s="152"/>
      <c r="V61" s="94"/>
      <c r="W61" s="2053"/>
      <c r="X61" s="2182"/>
      <c r="Y61" s="93"/>
      <c r="Z61" s="153"/>
      <c r="AA61" s="93"/>
      <c r="AB61" s="2183"/>
      <c r="AC61" s="1238"/>
      <c r="AD61" s="153"/>
      <c r="AE61" s="153"/>
      <c r="AF61" s="153"/>
      <c r="AG61" s="153"/>
      <c r="AH61" s="153"/>
      <c r="AI61" s="153"/>
      <c r="AJ61" s="153"/>
      <c r="AK61" s="153"/>
      <c r="AL61" s="153"/>
      <c r="AM61" s="153"/>
      <c r="AN61" s="2183"/>
      <c r="AO61" s="2182"/>
      <c r="AP61" s="93"/>
      <c r="AQ61" s="153"/>
      <c r="AR61" s="93"/>
      <c r="AS61" s="1241"/>
      <c r="AT61" s="4782"/>
      <c r="AU61" s="2182"/>
      <c r="AV61" s="93"/>
      <c r="AW61" s="153"/>
      <c r="AX61" s="93"/>
      <c r="AY61" s="2183"/>
      <c r="AZ61" s="2182"/>
      <c r="BA61" s="93"/>
      <c r="BB61" s="153"/>
      <c r="BC61" s="93"/>
      <c r="BD61" s="2183"/>
      <c r="BE61" s="2182"/>
      <c r="BF61" s="93"/>
      <c r="BG61" s="153"/>
      <c r="BH61" s="93"/>
      <c r="BI61" s="2183"/>
      <c r="BJ61" s="2465"/>
      <c r="BK61" s="163"/>
      <c r="BL61" s="99"/>
      <c r="BM61" s="138"/>
      <c r="BN61" s="138"/>
      <c r="BO61" s="99"/>
      <c r="BP61" s="111"/>
      <c r="BQ61" s="154"/>
      <c r="BR61" s="159"/>
      <c r="BS61" s="18"/>
    </row>
    <row r="62" spans="2:71" ht="24" customHeight="1" outlineLevel="1">
      <c r="B62" s="113"/>
      <c r="C62" s="166" t="s">
        <v>124</v>
      </c>
      <c r="D62" s="167"/>
      <c r="E62" s="167"/>
      <c r="F62" s="2371" t="s">
        <v>168</v>
      </c>
      <c r="G62" s="168"/>
      <c r="H62" s="167" t="s">
        <v>1756</v>
      </c>
      <c r="I62" s="167"/>
      <c r="J62" s="167"/>
      <c r="K62" s="169"/>
      <c r="L62" s="170"/>
      <c r="M62" s="170"/>
      <c r="N62" s="171"/>
      <c r="O62" s="171"/>
      <c r="P62" s="171"/>
      <c r="Q62" s="171"/>
      <c r="R62" s="172"/>
      <c r="S62" s="2549"/>
      <c r="T62" s="172"/>
      <c r="U62" s="2549"/>
      <c r="V62" s="172"/>
      <c r="W62" s="4783"/>
      <c r="X62" s="2377"/>
      <c r="Y62" s="172"/>
      <c r="Z62" s="173"/>
      <c r="AA62" s="172"/>
      <c r="AB62" s="2181"/>
      <c r="AC62" s="2106"/>
      <c r="AD62" s="173"/>
      <c r="AE62" s="173"/>
      <c r="AF62" s="173"/>
      <c r="AG62" s="173"/>
      <c r="AH62" s="173"/>
      <c r="AI62" s="173"/>
      <c r="AJ62" s="173"/>
      <c r="AK62" s="173"/>
      <c r="AL62" s="173"/>
      <c r="AM62" s="173"/>
      <c r="AN62" s="2181"/>
      <c r="AO62" s="2377"/>
      <c r="AP62" s="172"/>
      <c r="AQ62" s="173"/>
      <c r="AR62" s="172"/>
      <c r="AS62" s="2347"/>
      <c r="AT62" s="4784"/>
      <c r="AU62" s="2377"/>
      <c r="AV62" s="172"/>
      <c r="AW62" s="174"/>
      <c r="AX62" s="172"/>
      <c r="AY62" s="2181"/>
      <c r="AZ62" s="2377"/>
      <c r="BA62" s="172"/>
      <c r="BB62" s="174"/>
      <c r="BC62" s="172"/>
      <c r="BD62" s="2181"/>
      <c r="BE62" s="2377"/>
      <c r="BF62" s="172"/>
      <c r="BG62" s="173"/>
      <c r="BH62" s="172"/>
      <c r="BI62" s="2181"/>
      <c r="BJ62" s="2465"/>
      <c r="BK62" s="163"/>
      <c r="BL62" s="99"/>
      <c r="BM62" s="138"/>
      <c r="BN62" s="138"/>
      <c r="BO62" s="99"/>
      <c r="BP62" s="111"/>
      <c r="BQ62" s="154"/>
      <c r="BR62" s="159"/>
      <c r="BS62" s="18"/>
    </row>
    <row r="63" spans="2:71" ht="24" customHeight="1" outlineLevel="1">
      <c r="B63" s="84"/>
      <c r="C63" s="175"/>
      <c r="D63" s="9749" t="s">
        <v>126</v>
      </c>
      <c r="E63" s="9649"/>
      <c r="F63" s="105" t="s">
        <v>628</v>
      </c>
      <c r="G63" s="106"/>
      <c r="H63" s="176"/>
      <c r="I63" s="177" t="s">
        <v>127</v>
      </c>
      <c r="J63" s="178"/>
      <c r="K63" s="179" t="s">
        <v>128</v>
      </c>
      <c r="L63" s="157"/>
      <c r="M63" s="157"/>
      <c r="N63" s="158"/>
      <c r="O63" s="158"/>
      <c r="P63" s="158"/>
      <c r="Q63" s="95"/>
      <c r="R63" s="93"/>
      <c r="S63" s="152"/>
      <c r="T63" s="93" t="s">
        <v>2089</v>
      </c>
      <c r="U63" s="152"/>
      <c r="V63" s="94"/>
      <c r="W63" s="2053"/>
      <c r="X63" s="2182"/>
      <c r="Y63" s="93"/>
      <c r="Z63" s="153" t="s">
        <v>2277</v>
      </c>
      <c r="AA63" s="93"/>
      <c r="AB63" s="2183"/>
      <c r="AC63" s="1238"/>
      <c r="AD63" s="153" t="s">
        <v>2277</v>
      </c>
      <c r="AE63" s="153"/>
      <c r="AF63" s="153"/>
      <c r="AG63" s="153" t="s">
        <v>2277</v>
      </c>
      <c r="AH63" s="153"/>
      <c r="AI63" s="153"/>
      <c r="AJ63" s="153" t="s">
        <v>2277</v>
      </c>
      <c r="AK63" s="153"/>
      <c r="AL63" s="153"/>
      <c r="AM63" s="153" t="s">
        <v>2277</v>
      </c>
      <c r="AN63" s="2183"/>
      <c r="AO63" s="2182"/>
      <c r="AP63" s="93"/>
      <c r="AQ63" s="153" t="s">
        <v>640</v>
      </c>
      <c r="AR63" s="93"/>
      <c r="AS63" s="1241"/>
      <c r="AT63" s="4782"/>
      <c r="AU63" s="2182"/>
      <c r="AV63" s="93"/>
      <c r="AW63" s="180" t="s">
        <v>2278</v>
      </c>
      <c r="AX63" s="93"/>
      <c r="AY63" s="2183"/>
      <c r="AZ63" s="2182"/>
      <c r="BA63" s="93"/>
      <c r="BB63" s="180" t="s">
        <v>2279</v>
      </c>
      <c r="BC63" s="93"/>
      <c r="BD63" s="2183"/>
      <c r="BE63" s="2182"/>
      <c r="BF63" s="93"/>
      <c r="BG63" s="153"/>
      <c r="BH63" s="93"/>
      <c r="BI63" s="2183"/>
      <c r="BJ63" s="2465" t="s">
        <v>130</v>
      </c>
      <c r="BK63" s="181" t="s">
        <v>131</v>
      </c>
      <c r="BL63" s="99"/>
      <c r="BM63" s="138"/>
      <c r="BN63" s="138"/>
      <c r="BO63" s="99"/>
      <c r="BP63" s="111"/>
      <c r="BQ63" s="154" t="s">
        <v>132</v>
      </c>
      <c r="BR63" s="159"/>
      <c r="BS63" s="18"/>
    </row>
    <row r="64" spans="2:71" ht="24" customHeight="1" outlineLevel="1">
      <c r="B64" s="113"/>
      <c r="C64" s="182"/>
      <c r="D64" s="9749" t="s">
        <v>152</v>
      </c>
      <c r="E64" s="9649"/>
      <c r="F64" s="105" t="s">
        <v>156</v>
      </c>
      <c r="G64" s="106"/>
      <c r="H64" s="183"/>
      <c r="I64" s="184" t="s">
        <v>153</v>
      </c>
      <c r="J64" s="140"/>
      <c r="K64" s="185" t="s">
        <v>1758</v>
      </c>
      <c r="L64" s="158"/>
      <c r="M64" s="158"/>
      <c r="N64" s="158"/>
      <c r="O64" s="158"/>
      <c r="P64" s="158"/>
      <c r="Q64" s="95"/>
      <c r="R64" s="93"/>
      <c r="S64" s="152"/>
      <c r="T64" s="93" t="s">
        <v>1759</v>
      </c>
      <c r="U64" s="152"/>
      <c r="V64" s="94"/>
      <c r="W64" s="2053"/>
      <c r="X64" s="2182"/>
      <c r="Y64" s="93"/>
      <c r="Z64" s="153" t="s">
        <v>161</v>
      </c>
      <c r="AA64" s="93"/>
      <c r="AB64" s="2183"/>
      <c r="AC64" s="1238"/>
      <c r="AD64" s="153" t="s">
        <v>161</v>
      </c>
      <c r="AE64" s="153"/>
      <c r="AF64" s="153"/>
      <c r="AG64" s="153" t="s">
        <v>161</v>
      </c>
      <c r="AH64" s="153"/>
      <c r="AI64" s="153"/>
      <c r="AJ64" s="153" t="s">
        <v>161</v>
      </c>
      <c r="AK64" s="153"/>
      <c r="AL64" s="153"/>
      <c r="AM64" s="153" t="s">
        <v>161</v>
      </c>
      <c r="AN64" s="2183"/>
      <c r="AO64" s="2182"/>
      <c r="AP64" s="93"/>
      <c r="AQ64" s="153" t="s">
        <v>640</v>
      </c>
      <c r="AR64" s="93"/>
      <c r="AS64" s="1241"/>
      <c r="AT64" s="4782"/>
      <c r="AU64" s="2182"/>
      <c r="AV64" s="93"/>
      <c r="AW64" s="153" t="s">
        <v>161</v>
      </c>
      <c r="AX64" s="93"/>
      <c r="AY64" s="2183"/>
      <c r="AZ64" s="2182"/>
      <c r="BA64" s="93"/>
      <c r="BB64" s="153" t="s">
        <v>161</v>
      </c>
      <c r="BC64" s="93"/>
      <c r="BD64" s="2183"/>
      <c r="BE64" s="2182"/>
      <c r="BF64" s="93"/>
      <c r="BG64" s="153"/>
      <c r="BH64" s="93"/>
      <c r="BI64" s="2183"/>
      <c r="BJ64" s="2465" t="s">
        <v>130</v>
      </c>
      <c r="BK64" s="181" t="s">
        <v>131</v>
      </c>
      <c r="BL64" s="99"/>
      <c r="BM64" s="138"/>
      <c r="BN64" s="138"/>
      <c r="BO64" s="99"/>
      <c r="BP64" s="186"/>
      <c r="BQ64" s="154" t="s">
        <v>132</v>
      </c>
      <c r="BR64" s="187"/>
      <c r="BS64" s="18"/>
    </row>
    <row r="65" spans="1:72" ht="24" customHeight="1" outlineLevel="1">
      <c r="B65" s="113"/>
      <c r="C65" s="188"/>
      <c r="D65" s="9749" t="s">
        <v>162</v>
      </c>
      <c r="E65" s="9649"/>
      <c r="F65" s="105" t="s">
        <v>1760</v>
      </c>
      <c r="G65" s="106"/>
      <c r="H65" s="189"/>
      <c r="I65" s="184" t="s">
        <v>163</v>
      </c>
      <c r="J65" s="140"/>
      <c r="K65" s="190" t="s">
        <v>1761</v>
      </c>
      <c r="L65" s="158"/>
      <c r="M65" s="158"/>
      <c r="N65" s="158"/>
      <c r="O65" s="158"/>
      <c r="P65" s="158"/>
      <c r="Q65" s="95"/>
      <c r="R65" s="93"/>
      <c r="S65" s="152"/>
      <c r="T65" s="93" t="s">
        <v>1762</v>
      </c>
      <c r="U65" s="152"/>
      <c r="V65" s="94"/>
      <c r="W65" s="2053"/>
      <c r="X65" s="2182"/>
      <c r="Y65" s="93"/>
      <c r="Z65" s="153" t="s">
        <v>1762</v>
      </c>
      <c r="AA65" s="93"/>
      <c r="AB65" s="2183"/>
      <c r="AC65" s="1238"/>
      <c r="AD65" s="153" t="s">
        <v>1762</v>
      </c>
      <c r="AE65" s="153"/>
      <c r="AF65" s="153"/>
      <c r="AG65" s="153" t="s">
        <v>1762</v>
      </c>
      <c r="AH65" s="153"/>
      <c r="AI65" s="153"/>
      <c r="AJ65" s="153" t="s">
        <v>1762</v>
      </c>
      <c r="AK65" s="153"/>
      <c r="AL65" s="153"/>
      <c r="AM65" s="153" t="s">
        <v>1762</v>
      </c>
      <c r="AN65" s="2183"/>
      <c r="AO65" s="2182"/>
      <c r="AP65" s="93"/>
      <c r="AQ65" s="153" t="s">
        <v>640</v>
      </c>
      <c r="AR65" s="93"/>
      <c r="AS65" s="1241"/>
      <c r="AT65" s="4782"/>
      <c r="AU65" s="2182"/>
      <c r="AV65" s="93"/>
      <c r="AW65" s="153" t="s">
        <v>1762</v>
      </c>
      <c r="AX65" s="93"/>
      <c r="AY65" s="2183"/>
      <c r="AZ65" s="2182"/>
      <c r="BA65" s="93"/>
      <c r="BB65" s="153" t="s">
        <v>2280</v>
      </c>
      <c r="BC65" s="93"/>
      <c r="BD65" s="2183"/>
      <c r="BE65" s="2182"/>
      <c r="BF65" s="93"/>
      <c r="BG65" s="153"/>
      <c r="BH65" s="93"/>
      <c r="BI65" s="2183"/>
      <c r="BJ65" s="2465" t="s">
        <v>165</v>
      </c>
      <c r="BK65" s="181" t="s">
        <v>131</v>
      </c>
      <c r="BL65" s="99"/>
      <c r="BM65" s="138"/>
      <c r="BN65" s="138"/>
      <c r="BO65" s="99"/>
      <c r="BP65" s="186"/>
      <c r="BQ65" s="154" t="s">
        <v>132</v>
      </c>
      <c r="BR65" s="187"/>
      <c r="BS65" s="18"/>
    </row>
    <row r="66" spans="1:72" ht="24" customHeight="1" outlineLevel="1">
      <c r="B66" s="113"/>
      <c r="C66" s="166" t="s">
        <v>171</v>
      </c>
      <c r="D66" s="167"/>
      <c r="E66" s="167"/>
      <c r="F66" s="2371" t="s">
        <v>168</v>
      </c>
      <c r="G66" s="168"/>
      <c r="H66" s="167" t="s">
        <v>1763</v>
      </c>
      <c r="I66" s="167"/>
      <c r="J66" s="167"/>
      <c r="K66" s="169" t="s">
        <v>168</v>
      </c>
      <c r="L66" s="191"/>
      <c r="M66" s="191"/>
      <c r="N66" s="191"/>
      <c r="O66" s="191"/>
      <c r="P66" s="191"/>
      <c r="Q66" s="171"/>
      <c r="R66" s="192"/>
      <c r="S66" s="192"/>
      <c r="T66" s="192"/>
      <c r="U66" s="192"/>
      <c r="V66" s="192"/>
      <c r="W66" s="4783"/>
      <c r="X66" s="2184"/>
      <c r="Y66" s="192"/>
      <c r="Z66" s="192"/>
      <c r="AA66" s="192"/>
      <c r="AB66" s="2185"/>
      <c r="AC66" s="2519"/>
      <c r="AD66" s="192"/>
      <c r="AE66" s="192"/>
      <c r="AF66" s="173"/>
      <c r="AG66" s="173"/>
      <c r="AH66" s="173"/>
      <c r="AI66" s="173"/>
      <c r="AJ66" s="173"/>
      <c r="AK66" s="173"/>
      <c r="AL66" s="173"/>
      <c r="AM66" s="173"/>
      <c r="AN66" s="2181"/>
      <c r="AO66" s="2377"/>
      <c r="AP66" s="172"/>
      <c r="AQ66" s="173"/>
      <c r="AR66" s="172"/>
      <c r="AS66" s="2347"/>
      <c r="AT66" s="4784"/>
      <c r="AU66" s="2377"/>
      <c r="AV66" s="172"/>
      <c r="AW66" s="173"/>
      <c r="AX66" s="172"/>
      <c r="AY66" s="2181"/>
      <c r="AZ66" s="2377"/>
      <c r="BA66" s="172"/>
      <c r="BB66" s="173"/>
      <c r="BC66" s="172"/>
      <c r="BD66" s="2181"/>
      <c r="BE66" s="2377"/>
      <c r="BF66" s="172"/>
      <c r="BG66" s="173"/>
      <c r="BH66" s="172"/>
      <c r="BI66" s="2181"/>
      <c r="BJ66" s="2465"/>
      <c r="BK66" s="163"/>
      <c r="BL66" s="99"/>
      <c r="BM66" s="138"/>
      <c r="BN66" s="138"/>
      <c r="BO66" s="99"/>
      <c r="BP66" s="186"/>
      <c r="BQ66" s="154" t="s">
        <v>173</v>
      </c>
      <c r="BR66" s="187"/>
      <c r="BS66" s="18"/>
    </row>
    <row r="67" spans="1:72" ht="24" customHeight="1" outlineLevel="1">
      <c r="B67" s="113"/>
      <c r="C67" s="193"/>
      <c r="D67" s="194" t="s">
        <v>174</v>
      </c>
      <c r="E67" s="195"/>
      <c r="F67" s="105" t="s">
        <v>33</v>
      </c>
      <c r="G67" s="106"/>
      <c r="H67" s="11"/>
      <c r="I67" s="184" t="s">
        <v>176</v>
      </c>
      <c r="J67" s="140"/>
      <c r="K67" s="190" t="s">
        <v>35</v>
      </c>
      <c r="L67" s="157"/>
      <c r="M67" s="157"/>
      <c r="N67" s="158"/>
      <c r="O67" s="158"/>
      <c r="P67" s="158"/>
      <c r="Q67" s="95"/>
      <c r="R67" s="94"/>
      <c r="S67" s="152"/>
      <c r="T67" s="94"/>
      <c r="U67" s="152"/>
      <c r="V67" s="94"/>
      <c r="W67" s="2053"/>
      <c r="X67" s="2182"/>
      <c r="Y67" s="93"/>
      <c r="Z67" s="153"/>
      <c r="AA67" s="93"/>
      <c r="AB67" s="2183"/>
      <c r="AC67" s="1238"/>
      <c r="AD67" s="153"/>
      <c r="AE67" s="153"/>
      <c r="AF67" s="153"/>
      <c r="AG67" s="153"/>
      <c r="AH67" s="153"/>
      <c r="AI67" s="153"/>
      <c r="AJ67" s="153"/>
      <c r="AK67" s="153"/>
      <c r="AL67" s="153"/>
      <c r="AM67" s="153"/>
      <c r="AN67" s="2183"/>
      <c r="AO67" s="2182"/>
      <c r="AP67" s="93"/>
      <c r="AQ67" s="153"/>
      <c r="AR67" s="93"/>
      <c r="AS67" s="1241"/>
      <c r="AT67" s="4782"/>
      <c r="AU67" s="2182"/>
      <c r="AV67" s="93"/>
      <c r="AW67" s="153"/>
      <c r="AX67" s="93"/>
      <c r="AY67" s="2183"/>
      <c r="AZ67" s="2182"/>
      <c r="BA67" s="93"/>
      <c r="BB67" s="153"/>
      <c r="BC67" s="93"/>
      <c r="BD67" s="2183"/>
      <c r="BE67" s="2182"/>
      <c r="BF67" s="93"/>
      <c r="BG67" s="153"/>
      <c r="BH67" s="93"/>
      <c r="BI67" s="2183"/>
      <c r="BJ67" s="2465"/>
      <c r="BK67" s="163"/>
      <c r="BL67" s="99"/>
      <c r="BM67" s="138"/>
      <c r="BN67" s="138"/>
      <c r="BO67" s="99"/>
      <c r="BP67" s="186"/>
      <c r="BQ67" s="154" t="s">
        <v>173</v>
      </c>
      <c r="BR67" s="187"/>
      <c r="BS67" s="18"/>
    </row>
    <row r="68" spans="1:72" ht="24" customHeight="1" outlineLevel="1">
      <c r="B68" s="113"/>
      <c r="C68" s="182"/>
      <c r="D68" s="196" t="s">
        <v>180</v>
      </c>
      <c r="E68" s="196"/>
      <c r="F68" s="105" t="s">
        <v>33</v>
      </c>
      <c r="G68" s="106"/>
      <c r="H68" s="183"/>
      <c r="I68" s="184" t="s">
        <v>181</v>
      </c>
      <c r="J68" s="140"/>
      <c r="K68" s="190" t="s">
        <v>35</v>
      </c>
      <c r="L68" s="158"/>
      <c r="M68" s="158"/>
      <c r="N68" s="158"/>
      <c r="O68" s="158"/>
      <c r="P68" s="158"/>
      <c r="Q68" s="95"/>
      <c r="R68" s="94"/>
      <c r="S68" s="152"/>
      <c r="T68" s="94"/>
      <c r="U68" s="152"/>
      <c r="V68" s="94"/>
      <c r="W68" s="2053"/>
      <c r="X68" s="2182"/>
      <c r="Y68" s="93"/>
      <c r="Z68" s="153"/>
      <c r="AA68" s="93"/>
      <c r="AB68" s="2183"/>
      <c r="AC68" s="1238"/>
      <c r="AD68" s="153"/>
      <c r="AE68" s="153"/>
      <c r="AF68" s="153"/>
      <c r="AG68" s="153"/>
      <c r="AH68" s="153"/>
      <c r="AI68" s="153"/>
      <c r="AJ68" s="153"/>
      <c r="AK68" s="153"/>
      <c r="AL68" s="153"/>
      <c r="AM68" s="153"/>
      <c r="AN68" s="2183"/>
      <c r="AO68" s="2182"/>
      <c r="AP68" s="93"/>
      <c r="AQ68" s="153"/>
      <c r="AR68" s="93"/>
      <c r="AS68" s="1241"/>
      <c r="AT68" s="4782"/>
      <c r="AU68" s="2182"/>
      <c r="AV68" s="93"/>
      <c r="AW68" s="153"/>
      <c r="AX68" s="93"/>
      <c r="AY68" s="2183"/>
      <c r="AZ68" s="2182"/>
      <c r="BA68" s="93"/>
      <c r="BB68" s="153"/>
      <c r="BC68" s="93"/>
      <c r="BD68" s="2183"/>
      <c r="BE68" s="2182"/>
      <c r="BF68" s="93"/>
      <c r="BG68" s="153"/>
      <c r="BH68" s="93"/>
      <c r="BI68" s="2183"/>
      <c r="BJ68" s="2465"/>
      <c r="BK68" s="163"/>
      <c r="BL68" s="99"/>
      <c r="BM68" s="138"/>
      <c r="BN68" s="138"/>
      <c r="BO68" s="99"/>
      <c r="BP68" s="186"/>
      <c r="BQ68" s="154" t="s">
        <v>173</v>
      </c>
      <c r="BR68" s="187"/>
      <c r="BS68" s="18"/>
    </row>
    <row r="69" spans="1:72" ht="24" customHeight="1" outlineLevel="1">
      <c r="B69" s="113"/>
      <c r="C69" s="188"/>
      <c r="D69" s="196" t="s">
        <v>183</v>
      </c>
      <c r="E69" s="197"/>
      <c r="F69" s="105" t="s">
        <v>33</v>
      </c>
      <c r="G69" s="106"/>
      <c r="H69" s="189"/>
      <c r="I69" s="198" t="s">
        <v>184</v>
      </c>
      <c r="J69" s="178"/>
      <c r="K69" s="190" t="s">
        <v>35</v>
      </c>
      <c r="L69" s="158"/>
      <c r="M69" s="158"/>
      <c r="N69" s="158"/>
      <c r="O69" s="158"/>
      <c r="P69" s="158"/>
      <c r="Q69" s="95"/>
      <c r="R69" s="94"/>
      <c r="S69" s="152"/>
      <c r="T69" s="94"/>
      <c r="U69" s="152"/>
      <c r="V69" s="94"/>
      <c r="W69" s="2053"/>
      <c r="X69" s="2182"/>
      <c r="Y69" s="93"/>
      <c r="Z69" s="153"/>
      <c r="AA69" s="93"/>
      <c r="AB69" s="2183"/>
      <c r="AC69" s="1238"/>
      <c r="AD69" s="153"/>
      <c r="AE69" s="153"/>
      <c r="AF69" s="153"/>
      <c r="AG69" s="153"/>
      <c r="AH69" s="153"/>
      <c r="AI69" s="153"/>
      <c r="AJ69" s="153"/>
      <c r="AK69" s="153"/>
      <c r="AL69" s="153"/>
      <c r="AM69" s="153"/>
      <c r="AN69" s="2183"/>
      <c r="AO69" s="2182"/>
      <c r="AP69" s="93"/>
      <c r="AQ69" s="153"/>
      <c r="AR69" s="93"/>
      <c r="AS69" s="1241"/>
      <c r="AT69" s="4782"/>
      <c r="AU69" s="2182"/>
      <c r="AV69" s="93"/>
      <c r="AW69" s="153"/>
      <c r="AX69" s="93"/>
      <c r="AY69" s="2183"/>
      <c r="AZ69" s="2182"/>
      <c r="BA69" s="93"/>
      <c r="BB69" s="153"/>
      <c r="BC69" s="93"/>
      <c r="BD69" s="2183"/>
      <c r="BE69" s="2182"/>
      <c r="BF69" s="93"/>
      <c r="BG69" s="153"/>
      <c r="BH69" s="93"/>
      <c r="BI69" s="2183"/>
      <c r="BJ69" s="2465"/>
      <c r="BK69" s="98"/>
      <c r="BL69" s="99"/>
      <c r="BM69" s="138"/>
      <c r="BN69" s="138"/>
      <c r="BO69" s="99"/>
      <c r="BP69" s="186"/>
      <c r="BQ69" s="154" t="s">
        <v>173</v>
      </c>
      <c r="BR69" s="187"/>
      <c r="BS69" s="18"/>
    </row>
    <row r="70" spans="1:72" ht="24" customHeight="1" outlineLevel="1">
      <c r="B70" s="113"/>
      <c r="C70" s="166" t="s">
        <v>1764</v>
      </c>
      <c r="D70" s="167"/>
      <c r="E70" s="167"/>
      <c r="F70" s="2371" t="s">
        <v>168</v>
      </c>
      <c r="G70" s="168"/>
      <c r="H70" s="167" t="s">
        <v>1765</v>
      </c>
      <c r="I70" s="167"/>
      <c r="J70" s="167"/>
      <c r="K70" s="169" t="s">
        <v>168</v>
      </c>
      <c r="L70" s="191"/>
      <c r="M70" s="191"/>
      <c r="N70" s="191"/>
      <c r="O70" s="191"/>
      <c r="P70" s="191"/>
      <c r="Q70" s="171"/>
      <c r="R70" s="192"/>
      <c r="S70" s="192"/>
      <c r="T70" s="192">
        <v>100</v>
      </c>
      <c r="U70" s="192"/>
      <c r="V70" s="192"/>
      <c r="W70" s="4783"/>
      <c r="X70" s="2184"/>
      <c r="Y70" s="192"/>
      <c r="Z70" s="192"/>
      <c r="AA70" s="192"/>
      <c r="AB70" s="2185"/>
      <c r="AC70" s="2519"/>
      <c r="AD70" s="192"/>
      <c r="AE70" s="192"/>
      <c r="AF70" s="173"/>
      <c r="AG70" s="173"/>
      <c r="AH70" s="173"/>
      <c r="AI70" s="173"/>
      <c r="AJ70" s="173"/>
      <c r="AK70" s="173"/>
      <c r="AL70" s="173"/>
      <c r="AM70" s="173"/>
      <c r="AN70" s="2181"/>
      <c r="AO70" s="2377"/>
      <c r="AP70" s="172"/>
      <c r="AQ70" s="173"/>
      <c r="AR70" s="172"/>
      <c r="AS70" s="2347"/>
      <c r="AT70" s="4784"/>
      <c r="AU70" s="2377"/>
      <c r="AV70" s="172"/>
      <c r="AW70" s="173"/>
      <c r="AX70" s="172"/>
      <c r="AY70" s="2181"/>
      <c r="AZ70" s="2377"/>
      <c r="BA70" s="172"/>
      <c r="BB70" s="173"/>
      <c r="BC70" s="172"/>
      <c r="BD70" s="2181"/>
      <c r="BE70" s="2377"/>
      <c r="BF70" s="172"/>
      <c r="BG70" s="173"/>
      <c r="BH70" s="172"/>
      <c r="BI70" s="2181"/>
      <c r="BJ70" s="2465"/>
      <c r="BK70" s="98"/>
      <c r="BL70" s="99"/>
      <c r="BM70" s="138"/>
      <c r="BN70" s="138"/>
      <c r="BO70" s="99"/>
      <c r="BP70" s="186"/>
      <c r="BQ70" s="154" t="s">
        <v>853</v>
      </c>
      <c r="BR70" s="187"/>
      <c r="BS70" s="18"/>
    </row>
    <row r="71" spans="1:72" ht="24" customHeight="1" outlineLevel="1">
      <c r="B71" s="113"/>
      <c r="C71" s="193"/>
      <c r="D71" s="199" t="s">
        <v>1767</v>
      </c>
      <c r="E71" s="200"/>
      <c r="F71" s="105" t="s">
        <v>742</v>
      </c>
      <c r="G71" s="106"/>
      <c r="H71" s="11"/>
      <c r="I71" s="201" t="s">
        <v>1768</v>
      </c>
      <c r="J71" s="202"/>
      <c r="K71" s="190" t="s">
        <v>734</v>
      </c>
      <c r="L71" s="158"/>
      <c r="M71" s="158"/>
      <c r="N71" s="158"/>
      <c r="O71" s="158"/>
      <c r="P71" s="158"/>
      <c r="Q71" s="95"/>
      <c r="R71" s="94"/>
      <c r="S71" s="152"/>
      <c r="T71" s="93">
        <v>8</v>
      </c>
      <c r="U71" s="152"/>
      <c r="V71" s="94"/>
      <c r="W71" s="2053"/>
      <c r="X71" s="2182"/>
      <c r="Y71" s="93"/>
      <c r="Z71" s="153"/>
      <c r="AA71" s="93"/>
      <c r="AB71" s="2183"/>
      <c r="AC71" s="1238"/>
      <c r="AD71" s="153"/>
      <c r="AE71" s="153"/>
      <c r="AF71" s="153"/>
      <c r="AG71" s="153"/>
      <c r="AH71" s="153"/>
      <c r="AI71" s="153"/>
      <c r="AJ71" s="153"/>
      <c r="AK71" s="153"/>
      <c r="AL71" s="153"/>
      <c r="AM71" s="153"/>
      <c r="AN71" s="2183"/>
      <c r="AO71" s="2182"/>
      <c r="AP71" s="93"/>
      <c r="AQ71" s="153">
        <v>1</v>
      </c>
      <c r="AR71" s="93"/>
      <c r="AS71" s="1241"/>
      <c r="AT71" s="4782"/>
      <c r="AU71" s="2182"/>
      <c r="AV71" s="93"/>
      <c r="AW71" s="153">
        <v>5</v>
      </c>
      <c r="AX71" s="93"/>
      <c r="AY71" s="2183"/>
      <c r="AZ71" s="2182"/>
      <c r="BA71" s="93"/>
      <c r="BB71" s="153">
        <v>7</v>
      </c>
      <c r="BC71" s="93"/>
      <c r="BD71" s="2183"/>
      <c r="BE71" s="2182"/>
      <c r="BF71" s="93"/>
      <c r="BG71" s="153">
        <v>1</v>
      </c>
      <c r="BH71" s="93"/>
      <c r="BI71" s="2183"/>
      <c r="BJ71" s="2465"/>
      <c r="BK71" s="98"/>
      <c r="BL71" s="99"/>
      <c r="BM71" s="138"/>
      <c r="BN71" s="138"/>
      <c r="BO71" s="99"/>
      <c r="BP71" s="186"/>
      <c r="BQ71" s="154" t="s">
        <v>853</v>
      </c>
      <c r="BR71" s="187"/>
      <c r="BS71" s="18"/>
    </row>
    <row r="72" spans="1:72" ht="24" customHeight="1" outlineLevel="1">
      <c r="B72" s="113"/>
      <c r="C72" s="203"/>
      <c r="D72" s="204" t="s">
        <v>1769</v>
      </c>
      <c r="E72" s="205"/>
      <c r="F72" s="105" t="s">
        <v>742</v>
      </c>
      <c r="G72" s="106"/>
      <c r="H72" s="206"/>
      <c r="I72" s="207" t="s">
        <v>1770</v>
      </c>
      <c r="J72" s="208"/>
      <c r="K72" s="190" t="s">
        <v>734</v>
      </c>
      <c r="L72" s="158"/>
      <c r="M72" s="158"/>
      <c r="N72" s="158"/>
      <c r="O72" s="158"/>
      <c r="P72" s="158"/>
      <c r="Q72" s="95"/>
      <c r="R72" s="94"/>
      <c r="S72" s="152"/>
      <c r="T72" s="93">
        <v>8</v>
      </c>
      <c r="U72" s="152"/>
      <c r="V72" s="94"/>
      <c r="W72" s="2053"/>
      <c r="X72" s="2182"/>
      <c r="Y72" s="93"/>
      <c r="Z72" s="153"/>
      <c r="AA72" s="93"/>
      <c r="AB72" s="2183"/>
      <c r="AC72" s="1238"/>
      <c r="AD72" s="153"/>
      <c r="AE72" s="153"/>
      <c r="AF72" s="153"/>
      <c r="AG72" s="153"/>
      <c r="AH72" s="153"/>
      <c r="AI72" s="153"/>
      <c r="AJ72" s="153"/>
      <c r="AK72" s="153"/>
      <c r="AL72" s="153"/>
      <c r="AM72" s="153"/>
      <c r="AN72" s="2183"/>
      <c r="AO72" s="2182"/>
      <c r="AP72" s="93"/>
      <c r="AQ72" s="153">
        <v>0</v>
      </c>
      <c r="AR72" s="93"/>
      <c r="AS72" s="1241"/>
      <c r="AT72" s="4782"/>
      <c r="AU72" s="2182"/>
      <c r="AV72" s="93"/>
      <c r="AW72" s="153">
        <v>1</v>
      </c>
      <c r="AX72" s="93"/>
      <c r="AY72" s="2183"/>
      <c r="AZ72" s="2182"/>
      <c r="BA72" s="93"/>
      <c r="BB72" s="153">
        <v>3</v>
      </c>
      <c r="BC72" s="93"/>
      <c r="BD72" s="2183"/>
      <c r="BE72" s="2182"/>
      <c r="BF72" s="93"/>
      <c r="BG72" s="153">
        <v>1</v>
      </c>
      <c r="BH72" s="93"/>
      <c r="BI72" s="2183"/>
      <c r="BJ72" s="2465"/>
      <c r="BK72" s="98"/>
      <c r="BL72" s="99"/>
      <c r="BM72" s="138"/>
      <c r="BN72" s="138"/>
      <c r="BO72" s="99"/>
      <c r="BP72" s="186"/>
      <c r="BQ72" s="154" t="s">
        <v>853</v>
      </c>
      <c r="BR72" s="159"/>
      <c r="BS72" s="18"/>
    </row>
    <row r="73" spans="1:72" ht="24" customHeight="1" outlineLevel="1">
      <c r="B73" s="113"/>
      <c r="C73" s="203"/>
      <c r="D73" s="204" t="s">
        <v>1771</v>
      </c>
      <c r="E73" s="205"/>
      <c r="F73" s="105" t="s">
        <v>156</v>
      </c>
      <c r="G73" s="106"/>
      <c r="H73" s="206"/>
      <c r="I73" s="210" t="s">
        <v>1772</v>
      </c>
      <c r="J73" s="211"/>
      <c r="K73" s="190" t="s">
        <v>156</v>
      </c>
      <c r="L73" s="158"/>
      <c r="M73" s="158"/>
      <c r="N73" s="158"/>
      <c r="O73" s="158"/>
      <c r="P73" s="158"/>
      <c r="Q73" s="95"/>
      <c r="R73" s="94"/>
      <c r="S73" s="152"/>
      <c r="T73" s="93">
        <v>100</v>
      </c>
      <c r="U73" s="152"/>
      <c r="V73" s="94"/>
      <c r="W73" s="2053"/>
      <c r="X73" s="2182"/>
      <c r="Y73" s="93"/>
      <c r="Z73" s="153"/>
      <c r="AA73" s="93"/>
      <c r="AB73" s="2183"/>
      <c r="AC73" s="1238"/>
      <c r="AD73" s="153"/>
      <c r="AE73" s="153"/>
      <c r="AF73" s="153"/>
      <c r="AG73" s="153"/>
      <c r="AH73" s="153"/>
      <c r="AI73" s="153"/>
      <c r="AJ73" s="153"/>
      <c r="AK73" s="153"/>
      <c r="AL73" s="153"/>
      <c r="AM73" s="153"/>
      <c r="AN73" s="2183"/>
      <c r="AO73" s="2182"/>
      <c r="AP73" s="93"/>
      <c r="AQ73" s="153">
        <v>0</v>
      </c>
      <c r="AR73" s="93"/>
      <c r="AS73" s="1241"/>
      <c r="AT73" s="4782"/>
      <c r="AU73" s="2182"/>
      <c r="AV73" s="93"/>
      <c r="AW73" s="153">
        <v>25</v>
      </c>
      <c r="AX73" s="93"/>
      <c r="AY73" s="2183"/>
      <c r="AZ73" s="2182"/>
      <c r="BA73" s="93"/>
      <c r="BB73" s="153">
        <v>43</v>
      </c>
      <c r="BC73" s="93"/>
      <c r="BD73" s="2183"/>
      <c r="BE73" s="2182"/>
      <c r="BF73" s="93"/>
      <c r="BG73" s="153">
        <v>100</v>
      </c>
      <c r="BH73" s="93"/>
      <c r="BI73" s="2183"/>
      <c r="BJ73" s="2465"/>
      <c r="BK73" s="98"/>
      <c r="BL73" s="99"/>
      <c r="BM73" s="138"/>
      <c r="BN73" s="138"/>
      <c r="BO73" s="99"/>
      <c r="BP73" s="186"/>
      <c r="BQ73" s="154" t="s">
        <v>853</v>
      </c>
      <c r="BR73" s="187"/>
      <c r="BS73" s="18"/>
    </row>
    <row r="74" spans="1:72" ht="24" customHeight="1" outlineLevel="1">
      <c r="B74" s="113"/>
      <c r="C74" s="213"/>
      <c r="D74" s="204" t="s">
        <v>863</v>
      </c>
      <c r="E74" s="205"/>
      <c r="F74" s="105" t="s">
        <v>156</v>
      </c>
      <c r="G74" s="106"/>
      <c r="H74" s="116"/>
      <c r="I74" s="214" t="s">
        <v>1773</v>
      </c>
      <c r="J74" s="211"/>
      <c r="K74" s="99" t="s">
        <v>156</v>
      </c>
      <c r="L74" s="158"/>
      <c r="M74" s="158"/>
      <c r="N74" s="158"/>
      <c r="O74" s="158"/>
      <c r="P74" s="158"/>
      <c r="Q74" s="95"/>
      <c r="R74" s="94"/>
      <c r="S74" s="152"/>
      <c r="T74" s="93">
        <v>0.2</v>
      </c>
      <c r="U74" s="152"/>
      <c r="V74" s="94"/>
      <c r="W74" s="2053"/>
      <c r="X74" s="2182"/>
      <c r="Y74" s="93"/>
      <c r="Z74" s="153"/>
      <c r="AA74" s="93"/>
      <c r="AB74" s="2183"/>
      <c r="AC74" s="1238"/>
      <c r="AD74" s="153"/>
      <c r="AE74" s="153"/>
      <c r="AF74" s="153"/>
      <c r="AG74" s="153"/>
      <c r="AH74" s="153"/>
      <c r="AI74" s="153"/>
      <c r="AJ74" s="153"/>
      <c r="AK74" s="153"/>
      <c r="AL74" s="153"/>
      <c r="AM74" s="153"/>
      <c r="AN74" s="2183"/>
      <c r="AO74" s="2182"/>
      <c r="AP74" s="93"/>
      <c r="AQ74" s="153">
        <v>0</v>
      </c>
      <c r="AR74" s="93"/>
      <c r="AS74" s="1241"/>
      <c r="AT74" s="4782"/>
      <c r="AU74" s="2182"/>
      <c r="AV74" s="93"/>
      <c r="AW74" s="153">
        <v>0.04</v>
      </c>
      <c r="AX74" s="93"/>
      <c r="AY74" s="2183"/>
      <c r="AZ74" s="2182"/>
      <c r="BA74" s="93"/>
      <c r="BB74" s="153">
        <v>0.7</v>
      </c>
      <c r="BC74" s="93"/>
      <c r="BD74" s="2183"/>
      <c r="BE74" s="2182"/>
      <c r="BF74" s="93"/>
      <c r="BG74" s="153">
        <v>0.4</v>
      </c>
      <c r="BH74" s="93"/>
      <c r="BI74" s="2183"/>
      <c r="BJ74" s="2465" t="s">
        <v>1774</v>
      </c>
      <c r="BK74" s="98" t="s">
        <v>1775</v>
      </c>
      <c r="BL74" s="99"/>
      <c r="BM74" s="138"/>
      <c r="BN74" s="138"/>
      <c r="BO74" s="99"/>
      <c r="BP74" s="111"/>
      <c r="BQ74" s="154" t="s">
        <v>853</v>
      </c>
      <c r="BR74" s="187"/>
      <c r="BS74" s="18"/>
    </row>
    <row r="75" spans="1:72" ht="24" customHeight="1" outlineLevel="1">
      <c r="B75" s="113"/>
      <c r="C75" s="166" t="s">
        <v>187</v>
      </c>
      <c r="D75" s="167"/>
      <c r="E75" s="167"/>
      <c r="F75" s="2371" t="s">
        <v>168</v>
      </c>
      <c r="G75" s="168"/>
      <c r="H75" s="167" t="s">
        <v>1776</v>
      </c>
      <c r="I75" s="167"/>
      <c r="J75" s="167"/>
      <c r="K75" s="169" t="s">
        <v>168</v>
      </c>
      <c r="L75" s="191"/>
      <c r="M75" s="191"/>
      <c r="N75" s="191"/>
      <c r="O75" s="191"/>
      <c r="P75" s="191"/>
      <c r="Q75" s="171"/>
      <c r="R75" s="192"/>
      <c r="S75" s="192"/>
      <c r="T75" s="192"/>
      <c r="U75" s="192"/>
      <c r="V75" s="192"/>
      <c r="W75" s="4783"/>
      <c r="X75" s="2184"/>
      <c r="Y75" s="192"/>
      <c r="Z75" s="192"/>
      <c r="AA75" s="192"/>
      <c r="AB75" s="2185"/>
      <c r="AC75" s="2519"/>
      <c r="AD75" s="192"/>
      <c r="AE75" s="192"/>
      <c r="AF75" s="215"/>
      <c r="AG75" s="215"/>
      <c r="AH75" s="215"/>
      <c r="AI75" s="215"/>
      <c r="AJ75" s="215"/>
      <c r="AK75" s="215"/>
      <c r="AL75" s="215"/>
      <c r="AM75" s="215"/>
      <c r="AN75" s="2379"/>
      <c r="AO75" s="2378"/>
      <c r="AP75" s="216"/>
      <c r="AQ75" s="215"/>
      <c r="AR75" s="216"/>
      <c r="AS75" s="4785"/>
      <c r="AT75" s="4786"/>
      <c r="AU75" s="2378"/>
      <c r="AV75" s="216"/>
      <c r="AW75" s="215"/>
      <c r="AX75" s="216"/>
      <c r="AY75" s="2379"/>
      <c r="AZ75" s="2378"/>
      <c r="BA75" s="216"/>
      <c r="BB75" s="215"/>
      <c r="BC75" s="216"/>
      <c r="BD75" s="2379"/>
      <c r="BE75" s="2378"/>
      <c r="BF75" s="216"/>
      <c r="BG75" s="215"/>
      <c r="BH75" s="216"/>
      <c r="BI75" s="2379"/>
      <c r="BJ75" s="4787"/>
      <c r="BK75" s="217"/>
      <c r="BL75" s="99"/>
      <c r="BM75" s="218"/>
      <c r="BN75" s="218"/>
      <c r="BO75" s="219"/>
      <c r="BP75" s="220"/>
      <c r="BQ75" s="154" t="s">
        <v>190</v>
      </c>
      <c r="BR75" s="221"/>
      <c r="BS75" s="18"/>
    </row>
    <row r="76" spans="1:72" ht="24" customHeight="1" outlineLevel="1">
      <c r="B76" s="113"/>
      <c r="C76" s="193"/>
      <c r="D76" s="222" t="s">
        <v>191</v>
      </c>
      <c r="E76" s="223"/>
      <c r="F76" s="105" t="s">
        <v>156</v>
      </c>
      <c r="G76" s="106"/>
      <c r="H76" s="224"/>
      <c r="I76" s="225" t="s">
        <v>192</v>
      </c>
      <c r="J76" s="226"/>
      <c r="K76" s="219" t="s">
        <v>156</v>
      </c>
      <c r="L76" s="158"/>
      <c r="M76" s="158"/>
      <c r="N76" s="158"/>
      <c r="O76" s="158"/>
      <c r="P76" s="158"/>
      <c r="Q76" s="95"/>
      <c r="R76" s="93">
        <v>32</v>
      </c>
      <c r="S76" s="227"/>
      <c r="T76" s="93">
        <f>(51%)*100</f>
        <v>51</v>
      </c>
      <c r="U76" s="227"/>
      <c r="V76" s="94"/>
      <c r="W76" s="2053"/>
      <c r="X76" s="2188"/>
      <c r="Y76" s="227"/>
      <c r="Z76" s="94"/>
      <c r="AA76" s="227"/>
      <c r="AB76" s="2380"/>
      <c r="AC76" s="2107"/>
      <c r="AD76" s="94"/>
      <c r="AE76" s="94"/>
      <c r="AF76" s="94"/>
      <c r="AG76" s="94"/>
      <c r="AH76" s="94"/>
      <c r="AI76" s="94"/>
      <c r="AJ76" s="94"/>
      <c r="AK76" s="94"/>
      <c r="AL76" s="94"/>
      <c r="AM76" s="94"/>
      <c r="AN76" s="2380"/>
      <c r="AO76" s="2188"/>
      <c r="AP76" s="227"/>
      <c r="AQ76" s="94"/>
      <c r="AR76" s="227"/>
      <c r="AS76" s="2515"/>
      <c r="AT76" s="4788"/>
      <c r="AU76" s="2188">
        <v>44.7</v>
      </c>
      <c r="AV76" s="227"/>
      <c r="AW76" s="94"/>
      <c r="AX76" s="227"/>
      <c r="AY76" s="2380"/>
      <c r="AZ76" s="2188">
        <v>50</v>
      </c>
      <c r="BA76" s="227"/>
      <c r="BB76" s="94"/>
      <c r="BC76" s="227"/>
      <c r="BD76" s="2380"/>
      <c r="BE76" s="2188"/>
      <c r="BF76" s="227"/>
      <c r="BG76" s="94"/>
      <c r="BH76" s="227"/>
      <c r="BI76" s="2380"/>
      <c r="BJ76" s="2466"/>
      <c r="BK76" s="230"/>
      <c r="BL76" s="219"/>
      <c r="BM76" s="218"/>
      <c r="BN76" s="218"/>
      <c r="BO76" s="219"/>
      <c r="BP76" s="231"/>
      <c r="BQ76" s="154" t="s">
        <v>190</v>
      </c>
      <c r="BR76" s="221"/>
      <c r="BS76" s="18"/>
    </row>
    <row r="77" spans="1:72" ht="24" customHeight="1" outlineLevel="1" thickBot="1">
      <c r="B77" s="113"/>
      <c r="C77" s="4499"/>
      <c r="D77" s="4500" t="s">
        <v>194</v>
      </c>
      <c r="E77" s="145"/>
      <c r="F77" s="4501" t="s">
        <v>156</v>
      </c>
      <c r="G77" s="232"/>
      <c r="H77" s="233"/>
      <c r="I77" s="234" t="s">
        <v>195</v>
      </c>
      <c r="J77" s="235"/>
      <c r="K77" s="236" t="s">
        <v>156</v>
      </c>
      <c r="L77" s="237"/>
      <c r="M77" s="237"/>
      <c r="N77" s="237"/>
      <c r="O77" s="237"/>
      <c r="P77" s="237"/>
      <c r="Q77" s="238"/>
      <c r="R77" s="239">
        <v>100</v>
      </c>
      <c r="S77" s="4789"/>
      <c r="T77" s="239">
        <v>100</v>
      </c>
      <c r="U77" s="4789"/>
      <c r="V77" s="4790"/>
      <c r="W77" s="4791"/>
      <c r="X77" s="2190"/>
      <c r="Y77" s="239"/>
      <c r="Z77" s="240"/>
      <c r="AA77" s="239"/>
      <c r="AB77" s="2381"/>
      <c r="AC77" s="2108"/>
      <c r="AD77" s="240"/>
      <c r="AE77" s="240"/>
      <c r="AF77" s="240"/>
      <c r="AG77" s="240"/>
      <c r="AH77" s="240"/>
      <c r="AI77" s="240"/>
      <c r="AJ77" s="240"/>
      <c r="AK77" s="240"/>
      <c r="AL77" s="240"/>
      <c r="AM77" s="240"/>
      <c r="AN77" s="2381"/>
      <c r="AO77" s="2190">
        <v>100</v>
      </c>
      <c r="AP77" s="239"/>
      <c r="AQ77" s="240">
        <v>100</v>
      </c>
      <c r="AR77" s="239"/>
      <c r="AS77" s="2516"/>
      <c r="AT77" s="4792"/>
      <c r="AU77" s="2190"/>
      <c r="AV77" s="239"/>
      <c r="AW77" s="240"/>
      <c r="AX77" s="239"/>
      <c r="AY77" s="2381"/>
      <c r="AZ77" s="2190">
        <v>100</v>
      </c>
      <c r="BA77" s="239"/>
      <c r="BB77" s="240">
        <v>100</v>
      </c>
      <c r="BC77" s="239"/>
      <c r="BD77" s="2381"/>
      <c r="BE77" s="2190"/>
      <c r="BF77" s="239"/>
      <c r="BG77" s="240"/>
      <c r="BH77" s="239"/>
      <c r="BI77" s="2381"/>
      <c r="BJ77" s="4793"/>
      <c r="BK77" s="243"/>
      <c r="BL77" s="236"/>
      <c r="BM77" s="4503"/>
      <c r="BN77" s="4503"/>
      <c r="BO77" s="236"/>
      <c r="BP77" s="4794"/>
      <c r="BQ77" s="4795" t="s">
        <v>190</v>
      </c>
      <c r="BR77" s="4796"/>
      <c r="BS77" s="18"/>
    </row>
    <row r="78" spans="1:72" ht="24" customHeight="1" thickTop="1" thickBot="1">
      <c r="A78" s="50"/>
      <c r="B78" s="4505" t="s">
        <v>2281</v>
      </c>
      <c r="C78" s="1742" t="s">
        <v>197</v>
      </c>
      <c r="D78" s="244"/>
      <c r="E78" s="244"/>
      <c r="F78" s="245"/>
      <c r="G78" s="246" t="s">
        <v>2282</v>
      </c>
      <c r="H78" s="247"/>
      <c r="I78" s="247"/>
      <c r="J78" s="247"/>
      <c r="K78" s="247"/>
      <c r="L78" s="247"/>
      <c r="M78" s="247"/>
      <c r="N78" s="247"/>
      <c r="O78" s="247"/>
      <c r="P78" s="247"/>
      <c r="Q78" s="247"/>
      <c r="R78" s="247"/>
      <c r="S78" s="247"/>
      <c r="T78" s="247"/>
      <c r="U78" s="247"/>
      <c r="V78" s="247"/>
      <c r="W78" s="247"/>
      <c r="X78" s="2192"/>
      <c r="Y78" s="247"/>
      <c r="Z78" s="247"/>
      <c r="AA78" s="247"/>
      <c r="AB78" s="2193"/>
      <c r="AC78" s="247"/>
      <c r="AD78" s="247"/>
      <c r="AE78" s="247"/>
      <c r="AF78" s="247"/>
      <c r="AG78" s="247"/>
      <c r="AH78" s="247"/>
      <c r="AI78" s="247"/>
      <c r="AJ78" s="247"/>
      <c r="AK78" s="248"/>
      <c r="AL78" s="248"/>
      <c r="AM78" s="248"/>
      <c r="AN78" s="2383"/>
      <c r="AO78" s="2382"/>
      <c r="AP78" s="248"/>
      <c r="AQ78" s="248"/>
      <c r="AR78" s="248"/>
      <c r="AS78" s="248"/>
      <c r="AT78" s="4797"/>
      <c r="AU78" s="2382"/>
      <c r="AV78" s="248"/>
      <c r="AW78" s="248"/>
      <c r="AX78" s="248"/>
      <c r="AY78" s="2383"/>
      <c r="AZ78" s="2382"/>
      <c r="BA78" s="248"/>
      <c r="BB78" s="248"/>
      <c r="BC78" s="248"/>
      <c r="BD78" s="2383"/>
      <c r="BE78" s="2382"/>
      <c r="BF78" s="248"/>
      <c r="BG78" s="248"/>
      <c r="BH78" s="248"/>
      <c r="BI78" s="2383"/>
      <c r="BJ78" s="249"/>
      <c r="BK78" s="249"/>
      <c r="BL78" s="250"/>
      <c r="BM78" s="250"/>
      <c r="BN78" s="250"/>
      <c r="BO78" s="250"/>
      <c r="BP78" s="4798"/>
      <c r="BQ78" s="4798"/>
      <c r="BR78" s="251"/>
      <c r="BS78" s="18"/>
      <c r="BT78" s="54"/>
    </row>
    <row r="79" spans="1:72" ht="24" customHeight="1" outlineLevel="3" thickBot="1">
      <c r="B79" s="4505" t="s">
        <v>2281</v>
      </c>
      <c r="C79" s="123" t="s">
        <v>199</v>
      </c>
      <c r="D79" s="124"/>
      <c r="E79" s="124"/>
      <c r="F79" s="78"/>
      <c r="G79" s="125" t="s">
        <v>2283</v>
      </c>
      <c r="H79" s="126"/>
      <c r="I79" s="126"/>
      <c r="J79" s="126"/>
      <c r="K79" s="78"/>
      <c r="L79" s="77"/>
      <c r="M79" s="77"/>
      <c r="N79" s="77"/>
      <c r="O79" s="77"/>
      <c r="P79" s="77"/>
      <c r="Q79" s="77"/>
      <c r="R79" s="77"/>
      <c r="S79" s="77"/>
      <c r="T79" s="77"/>
      <c r="U79" s="77"/>
      <c r="V79" s="77"/>
      <c r="W79" s="77"/>
      <c r="X79" s="2194"/>
      <c r="Y79" s="78"/>
      <c r="Z79" s="78"/>
      <c r="AA79" s="78"/>
      <c r="AB79" s="2195"/>
      <c r="AC79" s="78"/>
      <c r="AD79" s="78"/>
      <c r="AE79" s="78"/>
      <c r="AF79" s="148"/>
      <c r="AG79" s="148"/>
      <c r="AH79" s="148"/>
      <c r="AI79" s="148"/>
      <c r="AJ79" s="148"/>
      <c r="AK79" s="148"/>
      <c r="AL79" s="148"/>
      <c r="AM79" s="148"/>
      <c r="AN79" s="2176"/>
      <c r="AO79" s="2175"/>
      <c r="AP79" s="148"/>
      <c r="AQ79" s="148"/>
      <c r="AR79" s="148"/>
      <c r="AS79" s="148"/>
      <c r="AT79" s="4781"/>
      <c r="AU79" s="2175"/>
      <c r="AV79" s="148"/>
      <c r="AW79" s="148"/>
      <c r="AX79" s="148"/>
      <c r="AY79" s="2176"/>
      <c r="AZ79" s="2175"/>
      <c r="BA79" s="148"/>
      <c r="BB79" s="148"/>
      <c r="BC79" s="148"/>
      <c r="BD79" s="2176"/>
      <c r="BE79" s="2175"/>
      <c r="BF79" s="148"/>
      <c r="BG79" s="148"/>
      <c r="BH79" s="148"/>
      <c r="BI79" s="2176"/>
      <c r="BJ79" s="80"/>
      <c r="BK79" s="80"/>
      <c r="BL79" s="129"/>
      <c r="BM79" s="129"/>
      <c r="BN79" s="129"/>
      <c r="BO79" s="129"/>
      <c r="BP79" s="130"/>
      <c r="BQ79" s="130"/>
      <c r="BR79" s="131"/>
      <c r="BS79" s="18"/>
    </row>
    <row r="80" spans="1:72" ht="24" customHeight="1" outlineLevel="3">
      <c r="B80" s="4505" t="s">
        <v>2281</v>
      </c>
      <c r="C80" s="10102" t="s">
        <v>648</v>
      </c>
      <c r="D80" s="9764"/>
      <c r="E80" s="10158"/>
      <c r="F80" s="252" t="s">
        <v>212</v>
      </c>
      <c r="G80" s="253"/>
      <c r="H80" s="140" t="s">
        <v>2284</v>
      </c>
      <c r="I80" s="254"/>
      <c r="J80" s="254"/>
      <c r="K80" s="255" t="s">
        <v>2285</v>
      </c>
      <c r="L80" s="256">
        <f>L81+L82</f>
        <v>60746.31</v>
      </c>
      <c r="M80" s="257"/>
      <c r="N80" s="256">
        <f>N81+N82</f>
        <v>71392.570000000007</v>
      </c>
      <c r="O80" s="258"/>
      <c r="P80" s="256">
        <f>P81+P82</f>
        <v>0</v>
      </c>
      <c r="Q80" s="256"/>
      <c r="R80" s="4799">
        <v>60746.3</v>
      </c>
      <c r="S80" s="1999"/>
      <c r="T80" s="4799">
        <v>71392.600000000006</v>
      </c>
      <c r="U80" s="4800"/>
      <c r="V80" s="256">
        <f>V81+V82</f>
        <v>0</v>
      </c>
      <c r="W80" s="4801"/>
      <c r="X80" s="2228"/>
      <c r="Y80" s="983"/>
      <c r="Z80" s="260"/>
      <c r="AA80" s="983"/>
      <c r="AB80" s="2287"/>
      <c r="AC80" s="2109"/>
      <c r="AD80" s="260"/>
      <c r="AE80" s="260"/>
      <c r="AF80" s="260"/>
      <c r="AG80" s="260"/>
      <c r="AH80" s="260"/>
      <c r="AI80" s="260"/>
      <c r="AJ80" s="260"/>
      <c r="AK80" s="260"/>
      <c r="AL80" s="260"/>
      <c r="AM80" s="260"/>
      <c r="AN80" s="2287"/>
      <c r="AO80" s="2228">
        <v>108986.20006197746</v>
      </c>
      <c r="AP80" s="261"/>
      <c r="AQ80" s="260">
        <v>92402.921378387007</v>
      </c>
      <c r="AR80" s="259"/>
      <c r="AS80" s="2349">
        <v>93808.071312774584</v>
      </c>
      <c r="AT80" s="4802"/>
      <c r="AU80" s="2186"/>
      <c r="AV80" s="259"/>
      <c r="AW80" s="100"/>
      <c r="AX80" s="259"/>
      <c r="AY80" s="2187"/>
      <c r="AZ80" s="2186"/>
      <c r="BA80" s="259"/>
      <c r="BB80" s="100"/>
      <c r="BC80" s="259"/>
      <c r="BD80" s="2187"/>
      <c r="BE80" s="2186"/>
      <c r="BF80" s="259"/>
      <c r="BG80" s="100"/>
      <c r="BH80" s="259"/>
      <c r="BI80" s="2187"/>
      <c r="BJ80" s="4803" t="s">
        <v>649</v>
      </c>
      <c r="BK80" s="263" t="s">
        <v>205</v>
      </c>
      <c r="BL80" s="99"/>
      <c r="BM80" s="138"/>
      <c r="BN80" s="138"/>
      <c r="BO80" s="99"/>
      <c r="BP80" s="264" t="s">
        <v>207</v>
      </c>
      <c r="BQ80" s="265"/>
      <c r="BR80" s="187"/>
      <c r="BS80" s="18"/>
    </row>
    <row r="81" spans="2:71" ht="24" customHeight="1" outlineLevel="3">
      <c r="B81" s="4505" t="s">
        <v>2281</v>
      </c>
      <c r="C81" s="10064"/>
      <c r="D81" s="266" t="s">
        <v>210</v>
      </c>
      <c r="E81" s="266"/>
      <c r="F81" s="132" t="s">
        <v>212</v>
      </c>
      <c r="G81" s="253"/>
      <c r="H81" s="11"/>
      <c r="I81" s="1065" t="s">
        <v>2286</v>
      </c>
      <c r="J81" s="1066"/>
      <c r="K81" s="136" t="s">
        <v>212</v>
      </c>
      <c r="L81" s="269">
        <v>7184.4009999999998</v>
      </c>
      <c r="M81" s="269"/>
      <c r="N81" s="269">
        <v>7712.27</v>
      </c>
      <c r="O81" s="270"/>
      <c r="P81" s="271"/>
      <c r="Q81" s="272"/>
      <c r="R81" s="273">
        <v>7184.4</v>
      </c>
      <c r="S81" s="1999"/>
      <c r="T81" s="273">
        <v>7712.3</v>
      </c>
      <c r="U81" s="4804" t="s">
        <v>2096</v>
      </c>
      <c r="V81" s="274"/>
      <c r="W81" s="2056"/>
      <c r="X81" s="2228"/>
      <c r="Y81" s="983"/>
      <c r="Z81" s="260"/>
      <c r="AA81" s="983"/>
      <c r="AB81" s="2287"/>
      <c r="AC81" s="2109"/>
      <c r="AD81" s="260"/>
      <c r="AE81" s="260"/>
      <c r="AF81" s="260"/>
      <c r="AG81" s="260"/>
      <c r="AH81" s="260"/>
      <c r="AI81" s="260"/>
      <c r="AJ81" s="260"/>
      <c r="AK81" s="260"/>
      <c r="AL81" s="260"/>
      <c r="AM81" s="260"/>
      <c r="AN81" s="2287"/>
      <c r="AO81" s="2228">
        <v>61780.287091847931</v>
      </c>
      <c r="AP81" s="273"/>
      <c r="AQ81" s="260">
        <v>50879.003569474</v>
      </c>
      <c r="AR81" s="275"/>
      <c r="AS81" s="2349">
        <v>50978.402199850505</v>
      </c>
      <c r="AT81" s="4805"/>
      <c r="AU81" s="2186"/>
      <c r="AV81" s="275"/>
      <c r="AW81" s="100"/>
      <c r="AX81" s="275"/>
      <c r="AY81" s="2187"/>
      <c r="AZ81" s="2186"/>
      <c r="BA81" s="275"/>
      <c r="BB81" s="100"/>
      <c r="BC81" s="275"/>
      <c r="BD81" s="2187"/>
      <c r="BE81" s="2186"/>
      <c r="BF81" s="275"/>
      <c r="BG81" s="100"/>
      <c r="BH81" s="275"/>
      <c r="BI81" s="2187"/>
      <c r="BJ81" s="2469" t="s">
        <v>2287</v>
      </c>
      <c r="BK81" s="276" t="s">
        <v>214</v>
      </c>
      <c r="BL81" s="99"/>
      <c r="BM81" s="138"/>
      <c r="BN81" s="138"/>
      <c r="BO81" s="99"/>
      <c r="BP81" s="264" t="s">
        <v>215</v>
      </c>
      <c r="BQ81" s="277" t="s">
        <v>216</v>
      </c>
      <c r="BR81" s="187"/>
      <c r="BS81" s="18"/>
    </row>
    <row r="82" spans="2:71" ht="24" customHeight="1" outlineLevel="3">
      <c r="B82" s="4505" t="s">
        <v>2281</v>
      </c>
      <c r="C82" s="10065"/>
      <c r="D82" s="266" t="s">
        <v>1779</v>
      </c>
      <c r="E82" s="266"/>
      <c r="F82" s="132" t="s">
        <v>203</v>
      </c>
      <c r="G82" s="253"/>
      <c r="H82" s="11"/>
      <c r="I82" s="1065" t="s">
        <v>2288</v>
      </c>
      <c r="J82" s="1066"/>
      <c r="K82" s="136" t="s">
        <v>203</v>
      </c>
      <c r="L82" s="269">
        <v>53561.909</v>
      </c>
      <c r="M82" s="269"/>
      <c r="N82" s="269">
        <v>63680.3</v>
      </c>
      <c r="O82" s="270"/>
      <c r="P82" s="278"/>
      <c r="Q82" s="279"/>
      <c r="R82" s="273">
        <v>53561.9</v>
      </c>
      <c r="S82" s="1999"/>
      <c r="T82" s="273">
        <v>63680.3</v>
      </c>
      <c r="U82" s="4804" t="s">
        <v>2096</v>
      </c>
      <c r="V82" s="274"/>
      <c r="W82" s="2057"/>
      <c r="X82" s="2228"/>
      <c r="Y82" s="983"/>
      <c r="Z82" s="260"/>
      <c r="AA82" s="983"/>
      <c r="AB82" s="2287"/>
      <c r="AC82" s="2109"/>
      <c r="AD82" s="260"/>
      <c r="AE82" s="260"/>
      <c r="AF82" s="260"/>
      <c r="AG82" s="260"/>
      <c r="AH82" s="260"/>
      <c r="AI82" s="260"/>
      <c r="AJ82" s="260"/>
      <c r="AK82" s="260"/>
      <c r="AL82" s="260"/>
      <c r="AM82" s="260"/>
      <c r="AN82" s="2287"/>
      <c r="AO82" s="2228">
        <v>47205.912970129539</v>
      </c>
      <c r="AP82" s="273"/>
      <c r="AQ82" s="260">
        <v>41523.917808913007</v>
      </c>
      <c r="AR82" s="275"/>
      <c r="AS82" s="2349">
        <v>42829.669112924086</v>
      </c>
      <c r="AT82" s="4805"/>
      <c r="AU82" s="2186"/>
      <c r="AV82" s="275"/>
      <c r="AW82" s="100"/>
      <c r="AX82" s="275"/>
      <c r="AY82" s="2187"/>
      <c r="AZ82" s="2186"/>
      <c r="BA82" s="275"/>
      <c r="BB82" s="100"/>
      <c r="BC82" s="275"/>
      <c r="BD82" s="2187"/>
      <c r="BE82" s="2186"/>
      <c r="BF82" s="275"/>
      <c r="BG82" s="100"/>
      <c r="BH82" s="275"/>
      <c r="BI82" s="2187"/>
      <c r="BJ82" s="2469" t="s">
        <v>2289</v>
      </c>
      <c r="BK82" s="276" t="s">
        <v>220</v>
      </c>
      <c r="BL82" s="99"/>
      <c r="BM82" s="138"/>
      <c r="BN82" s="138"/>
      <c r="BO82" s="99"/>
      <c r="BP82" s="277" t="s">
        <v>221</v>
      </c>
      <c r="BQ82" s="264" t="s">
        <v>222</v>
      </c>
      <c r="BR82" s="187"/>
      <c r="BS82" s="18"/>
    </row>
    <row r="83" spans="2:71" ht="24" customHeight="1" outlineLevel="3">
      <c r="B83" s="4505" t="s">
        <v>2281</v>
      </c>
      <c r="C83" s="1758" t="s">
        <v>223</v>
      </c>
      <c r="D83" s="104"/>
      <c r="E83" s="104"/>
      <c r="F83" s="280" t="s">
        <v>653</v>
      </c>
      <c r="G83" s="253"/>
      <c r="H83" s="143" t="s">
        <v>2290</v>
      </c>
      <c r="I83" s="143"/>
      <c r="J83" s="144"/>
      <c r="K83" s="281" t="s">
        <v>225</v>
      </c>
      <c r="L83" s="282">
        <f>L84/L85</f>
        <v>18.485668552370111</v>
      </c>
      <c r="M83" s="283"/>
      <c r="N83" s="282">
        <f>N84/N85</f>
        <v>10.103675346730824</v>
      </c>
      <c r="O83" s="284"/>
      <c r="P83" s="282" t="str">
        <f>IFERROR(P84/P85,"-")</f>
        <v>-</v>
      </c>
      <c r="Q83" s="282"/>
      <c r="R83" s="282">
        <f>R84/R85</f>
        <v>18.485668552370111</v>
      </c>
      <c r="S83" s="1759"/>
      <c r="T83" s="282">
        <f>T84/T85</f>
        <v>10.103489463114888</v>
      </c>
      <c r="U83" s="1759"/>
      <c r="V83" s="282" t="str">
        <f>IFERROR(V84/V85,"-")</f>
        <v>-</v>
      </c>
      <c r="W83" s="2353"/>
      <c r="X83" s="2196" t="str">
        <f>IFERROR(X84/X85,"-")</f>
        <v>-</v>
      </c>
      <c r="Y83" s="275"/>
      <c r="Z83" s="282" t="str">
        <f>IFERROR(Z84/Z85,"-")</f>
        <v>-</v>
      </c>
      <c r="AA83" s="275"/>
      <c r="AB83" s="2197" t="str">
        <f t="shared" ref="AB83:AN83" si="0">IFERROR(AB84/AB85,"-")</f>
        <v>-</v>
      </c>
      <c r="AC83" s="2110" t="str">
        <f t="shared" si="0"/>
        <v>-</v>
      </c>
      <c r="AD83" s="282" t="str">
        <f t="shared" si="0"/>
        <v>-</v>
      </c>
      <c r="AE83" s="282" t="str">
        <f t="shared" si="0"/>
        <v>-</v>
      </c>
      <c r="AF83" s="282" t="str">
        <f t="shared" si="0"/>
        <v>-</v>
      </c>
      <c r="AG83" s="282" t="str">
        <f t="shared" si="0"/>
        <v>-</v>
      </c>
      <c r="AH83" s="282" t="str">
        <f t="shared" si="0"/>
        <v>-</v>
      </c>
      <c r="AI83" s="282" t="str">
        <f t="shared" si="0"/>
        <v>-</v>
      </c>
      <c r="AJ83" s="282" t="str">
        <f t="shared" si="0"/>
        <v>-</v>
      </c>
      <c r="AK83" s="282" t="str">
        <f t="shared" si="0"/>
        <v>-</v>
      </c>
      <c r="AL83" s="282" t="str">
        <f t="shared" si="0"/>
        <v>-</v>
      </c>
      <c r="AM83" s="282" t="str">
        <f t="shared" si="0"/>
        <v>-</v>
      </c>
      <c r="AN83" s="2197" t="str">
        <f t="shared" si="0"/>
        <v>-</v>
      </c>
      <c r="AO83" s="2196">
        <v>41.740381297781852</v>
      </c>
      <c r="AP83" s="275"/>
      <c r="AQ83" s="282">
        <v>55.378520092735627</v>
      </c>
      <c r="AR83" s="275"/>
      <c r="AS83" s="2353">
        <v>31.43343024150273</v>
      </c>
      <c r="AT83" s="4805"/>
      <c r="AU83" s="2196" t="str">
        <f>IFERROR(AU84/AU85,"-")</f>
        <v>-</v>
      </c>
      <c r="AV83" s="275"/>
      <c r="AW83" s="282" t="str">
        <f>IFERROR(AW84/AW85,"-")</f>
        <v>-</v>
      </c>
      <c r="AX83" s="275"/>
      <c r="AY83" s="2197" t="str">
        <f>IFERROR(AY84/AY85,"-")</f>
        <v>-</v>
      </c>
      <c r="AZ83" s="2196" t="str">
        <f>IFERROR(AZ84/AZ85,"-")</f>
        <v>-</v>
      </c>
      <c r="BA83" s="275"/>
      <c r="BB83" s="282" t="str">
        <f>IFERROR(BB84/BB85,"-")</f>
        <v>-</v>
      </c>
      <c r="BC83" s="275"/>
      <c r="BD83" s="2197" t="str">
        <f>IFERROR(BD84/BD85,"-")</f>
        <v>-</v>
      </c>
      <c r="BE83" s="2196" t="str">
        <f>IFERROR(BE84/BE85,"-")</f>
        <v>-</v>
      </c>
      <c r="BF83" s="275"/>
      <c r="BG83" s="282" t="str">
        <f>IFERROR(BG84/BG85,"-")</f>
        <v>-</v>
      </c>
      <c r="BH83" s="275"/>
      <c r="BI83" s="2197" t="str">
        <f>IFERROR(BI84/BI85,"-")</f>
        <v>-</v>
      </c>
      <c r="BJ83" s="2468" t="s">
        <v>226</v>
      </c>
      <c r="BK83" s="276" t="s">
        <v>227</v>
      </c>
      <c r="BL83" s="99"/>
      <c r="BM83" s="138"/>
      <c r="BN83" s="138"/>
      <c r="BO83" s="99"/>
      <c r="BP83" s="264" t="s">
        <v>228</v>
      </c>
      <c r="BQ83" s="265"/>
      <c r="BR83" s="187"/>
      <c r="BS83" s="18"/>
    </row>
    <row r="84" spans="2:71" ht="24" customHeight="1" outlineLevel="3">
      <c r="B84" s="4505" t="s">
        <v>2281</v>
      </c>
      <c r="C84" s="10069"/>
      <c r="D84" s="161" t="s">
        <v>230</v>
      </c>
      <c r="E84" s="161"/>
      <c r="F84" s="285" t="s">
        <v>212</v>
      </c>
      <c r="G84" s="286"/>
      <c r="H84" s="287"/>
      <c r="I84" s="184" t="s">
        <v>2291</v>
      </c>
      <c r="J84" s="141"/>
      <c r="K84" s="109" t="s">
        <v>212</v>
      </c>
      <c r="L84" s="290">
        <v>60746.31</v>
      </c>
      <c r="M84" s="290"/>
      <c r="N84" s="290">
        <v>71392.570000000007</v>
      </c>
      <c r="O84" s="284"/>
      <c r="P84" s="291"/>
      <c r="Q84" s="292"/>
      <c r="R84" s="293">
        <v>60746.31</v>
      </c>
      <c r="S84" s="151">
        <v>18.485668552370111</v>
      </c>
      <c r="T84" s="293">
        <v>71392.570000000007</v>
      </c>
      <c r="U84" s="294" t="s">
        <v>2096</v>
      </c>
      <c r="V84" s="228"/>
      <c r="W84" s="2058"/>
      <c r="X84" s="2186"/>
      <c r="Y84" s="293"/>
      <c r="Z84" s="100"/>
      <c r="AA84" s="293"/>
      <c r="AB84" s="2187"/>
      <c r="AC84" s="2111"/>
      <c r="AD84" s="100"/>
      <c r="AE84" s="100"/>
      <c r="AF84" s="100"/>
      <c r="AG84" s="100"/>
      <c r="AH84" s="100"/>
      <c r="AI84" s="100"/>
      <c r="AJ84" s="100"/>
      <c r="AK84" s="100"/>
      <c r="AL84" s="100"/>
      <c r="AM84" s="100"/>
      <c r="AN84" s="2187"/>
      <c r="AO84" s="2186">
        <v>108986.20006197746</v>
      </c>
      <c r="AP84" s="293"/>
      <c r="AQ84" s="100">
        <v>92402.921378387007</v>
      </c>
      <c r="AR84" s="293"/>
      <c r="AS84" s="2349">
        <v>93808.071312774584</v>
      </c>
      <c r="AT84" s="4806"/>
      <c r="AU84" s="2186"/>
      <c r="AV84" s="293"/>
      <c r="AW84" s="100"/>
      <c r="AX84" s="293"/>
      <c r="AY84" s="2187"/>
      <c r="AZ84" s="2186"/>
      <c r="BA84" s="293"/>
      <c r="BB84" s="100"/>
      <c r="BC84" s="275"/>
      <c r="BD84" s="2187"/>
      <c r="BE84" s="2186"/>
      <c r="BF84" s="293"/>
      <c r="BG84" s="100"/>
      <c r="BH84" s="293"/>
      <c r="BI84" s="2187"/>
      <c r="BJ84" s="2469"/>
      <c r="BK84" s="276"/>
      <c r="BL84" s="99"/>
      <c r="BM84" s="138"/>
      <c r="BN84" s="138"/>
      <c r="BO84" s="99"/>
      <c r="BP84" s="264" t="s">
        <v>228</v>
      </c>
      <c r="BQ84" s="265"/>
      <c r="BR84" s="187"/>
      <c r="BS84" s="18"/>
    </row>
    <row r="85" spans="2:71" ht="24" customHeight="1" outlineLevel="3">
      <c r="B85" s="4505" t="s">
        <v>2281</v>
      </c>
      <c r="C85" s="10076"/>
      <c r="D85" s="104" t="s">
        <v>232</v>
      </c>
      <c r="E85" s="161"/>
      <c r="F85" s="295" t="s">
        <v>233</v>
      </c>
      <c r="G85" s="286"/>
      <c r="H85" s="296"/>
      <c r="I85" s="184" t="s">
        <v>2292</v>
      </c>
      <c r="J85" s="141"/>
      <c r="K85" s="281" t="s">
        <v>235</v>
      </c>
      <c r="L85" s="290">
        <v>3286.13</v>
      </c>
      <c r="M85" s="290"/>
      <c r="N85" s="290">
        <v>7066</v>
      </c>
      <c r="O85" s="284"/>
      <c r="P85" s="291"/>
      <c r="Q85" s="292"/>
      <c r="R85" s="293">
        <v>3286.13</v>
      </c>
      <c r="S85" s="151" t="s">
        <v>704</v>
      </c>
      <c r="T85" s="293">
        <v>7066.13</v>
      </c>
      <c r="U85" s="294" t="s">
        <v>704</v>
      </c>
      <c r="V85" s="228"/>
      <c r="W85" s="2058"/>
      <c r="X85" s="2186"/>
      <c r="Y85" s="293"/>
      <c r="Z85" s="100"/>
      <c r="AA85" s="293"/>
      <c r="AB85" s="2187"/>
      <c r="AC85" s="2111"/>
      <c r="AD85" s="100"/>
      <c r="AE85" s="100"/>
      <c r="AF85" s="100"/>
      <c r="AG85" s="100"/>
      <c r="AH85" s="100"/>
      <c r="AI85" s="100"/>
      <c r="AJ85" s="100"/>
      <c r="AK85" s="100"/>
      <c r="AL85" s="100"/>
      <c r="AM85" s="100"/>
      <c r="AN85" s="2187"/>
      <c r="AO85" s="2186">
        <v>2611.0494603404391</v>
      </c>
      <c r="AP85" s="293"/>
      <c r="AQ85" s="100">
        <v>1668.5697130160061</v>
      </c>
      <c r="AR85" s="293"/>
      <c r="AS85" s="2349">
        <v>2984.3408941387597</v>
      </c>
      <c r="AT85" s="4806"/>
      <c r="AU85" s="2186"/>
      <c r="AV85" s="293"/>
      <c r="AW85" s="100"/>
      <c r="AX85" s="293"/>
      <c r="AY85" s="2187"/>
      <c r="AZ85" s="2186"/>
      <c r="BA85" s="293"/>
      <c r="BB85" s="100"/>
      <c r="BC85" s="293"/>
      <c r="BD85" s="2187"/>
      <c r="BE85" s="2186"/>
      <c r="BF85" s="293"/>
      <c r="BG85" s="100"/>
      <c r="BH85" s="293"/>
      <c r="BI85" s="2187"/>
      <c r="BJ85" s="2468"/>
      <c r="BK85" s="276"/>
      <c r="BL85" s="99"/>
      <c r="BM85" s="138"/>
      <c r="BN85" s="138"/>
      <c r="BO85" s="99"/>
      <c r="BP85" s="264" t="s">
        <v>228</v>
      </c>
      <c r="BQ85" s="265"/>
      <c r="BR85" s="187"/>
      <c r="BS85" s="18"/>
    </row>
    <row r="86" spans="2:71" ht="24" customHeight="1" outlineLevel="3">
      <c r="B86" s="1754"/>
      <c r="C86" s="1849" t="s">
        <v>237</v>
      </c>
      <c r="D86" s="161"/>
      <c r="E86" s="161"/>
      <c r="F86" s="285" t="s">
        <v>212</v>
      </c>
      <c r="G86" s="286"/>
      <c r="H86" s="140" t="s">
        <v>238</v>
      </c>
      <c r="I86" s="140"/>
      <c r="J86" s="141"/>
      <c r="K86" s="109" t="s">
        <v>212</v>
      </c>
      <c r="L86" s="228"/>
      <c r="M86" s="297"/>
      <c r="N86" s="228"/>
      <c r="O86" s="95"/>
      <c r="P86" s="228"/>
      <c r="Q86" s="297"/>
      <c r="R86" s="298" t="s">
        <v>169</v>
      </c>
      <c r="S86" s="1760" t="s">
        <v>209</v>
      </c>
      <c r="T86" s="298" t="s">
        <v>169</v>
      </c>
      <c r="U86" s="1760" t="s">
        <v>209</v>
      </c>
      <c r="V86" s="228"/>
      <c r="W86" s="2060"/>
      <c r="X86" s="2186"/>
      <c r="Y86" s="92"/>
      <c r="Z86" s="100"/>
      <c r="AA86" s="92"/>
      <c r="AB86" s="2187"/>
      <c r="AC86" s="2111"/>
      <c r="AD86" s="100"/>
      <c r="AE86" s="100"/>
      <c r="AF86" s="100"/>
      <c r="AG86" s="100"/>
      <c r="AH86" s="100"/>
      <c r="AI86" s="100"/>
      <c r="AJ86" s="100"/>
      <c r="AK86" s="100"/>
      <c r="AL86" s="100"/>
      <c r="AM86" s="100"/>
      <c r="AN86" s="2187"/>
      <c r="AO86" s="2186"/>
      <c r="AP86" s="92"/>
      <c r="AQ86" s="100"/>
      <c r="AR86" s="92"/>
      <c r="AS86" s="2349"/>
      <c r="AT86" s="4807"/>
      <c r="AU86" s="2186"/>
      <c r="AV86" s="92"/>
      <c r="AW86" s="100"/>
      <c r="AX86" s="92"/>
      <c r="AY86" s="2187"/>
      <c r="AZ86" s="2186"/>
      <c r="BA86" s="92"/>
      <c r="BB86" s="100"/>
      <c r="BC86" s="92"/>
      <c r="BD86" s="2187"/>
      <c r="BE86" s="2186"/>
      <c r="BF86" s="92"/>
      <c r="BG86" s="100"/>
      <c r="BH86" s="92"/>
      <c r="BI86" s="2187"/>
      <c r="BJ86" s="2468" t="s">
        <v>239</v>
      </c>
      <c r="BK86" s="276" t="s">
        <v>240</v>
      </c>
      <c r="BL86" s="99"/>
      <c r="BM86" s="138"/>
      <c r="BN86" s="138"/>
      <c r="BO86" s="299" t="s">
        <v>193</v>
      </c>
      <c r="BP86" s="264" t="s">
        <v>241</v>
      </c>
      <c r="BQ86" s="264" t="s">
        <v>242</v>
      </c>
      <c r="BR86" s="187"/>
      <c r="BS86" s="18"/>
    </row>
    <row r="87" spans="2:71" ht="24" customHeight="1" outlineLevel="3">
      <c r="B87" s="4513"/>
      <c r="C87" s="1849" t="s">
        <v>656</v>
      </c>
      <c r="D87" s="104"/>
      <c r="E87" s="104"/>
      <c r="F87" s="105" t="s">
        <v>212</v>
      </c>
      <c r="G87" s="286"/>
      <c r="H87" s="300" t="s">
        <v>657</v>
      </c>
      <c r="I87" s="140"/>
      <c r="J87" s="141"/>
      <c r="K87" s="109" t="s">
        <v>212</v>
      </c>
      <c r="L87" s="301"/>
      <c r="M87" s="301"/>
      <c r="N87" s="301"/>
      <c r="O87" s="301"/>
      <c r="P87" s="301"/>
      <c r="Q87" s="301"/>
      <c r="R87" s="301"/>
      <c r="S87" s="301"/>
      <c r="T87" s="301"/>
      <c r="U87" s="301"/>
      <c r="V87" s="301"/>
      <c r="W87" s="2061"/>
      <c r="X87" s="2217"/>
      <c r="Y87" s="302"/>
      <c r="Z87" s="301"/>
      <c r="AA87" s="302"/>
      <c r="AB87" s="4808"/>
      <c r="AC87" s="2521"/>
      <c r="AD87" s="303"/>
      <c r="AE87" s="303"/>
      <c r="AF87" s="260"/>
      <c r="AG87" s="260"/>
      <c r="AH87" s="260"/>
      <c r="AI87" s="260"/>
      <c r="AJ87" s="260"/>
      <c r="AK87" s="260"/>
      <c r="AL87" s="260"/>
      <c r="AM87" s="260"/>
      <c r="AN87" s="2287"/>
      <c r="AO87" s="2228"/>
      <c r="AP87" s="304"/>
      <c r="AQ87" s="260"/>
      <c r="AR87" s="92"/>
      <c r="AS87" s="2349"/>
      <c r="AT87" s="4807"/>
      <c r="AU87" s="2186"/>
      <c r="AV87" s="92"/>
      <c r="AW87" s="100"/>
      <c r="AX87" s="92"/>
      <c r="AY87" s="2187"/>
      <c r="AZ87" s="2186"/>
      <c r="BA87" s="92"/>
      <c r="BB87" s="100"/>
      <c r="BC87" s="92"/>
      <c r="BD87" s="2187"/>
      <c r="BE87" s="2186"/>
      <c r="BF87" s="92"/>
      <c r="BG87" s="100"/>
      <c r="BH87" s="92"/>
      <c r="BI87" s="2187"/>
      <c r="BJ87" s="2468" t="s">
        <v>658</v>
      </c>
      <c r="BK87" s="276" t="s">
        <v>659</v>
      </c>
      <c r="BL87" s="99"/>
      <c r="BM87" s="138"/>
      <c r="BN87" s="138"/>
      <c r="BO87" s="299" t="s">
        <v>1435</v>
      </c>
      <c r="BP87" s="264" t="s">
        <v>250</v>
      </c>
      <c r="BQ87" s="264" t="s">
        <v>242</v>
      </c>
      <c r="BR87" s="187"/>
      <c r="BS87" s="18"/>
    </row>
    <row r="88" spans="2:71" ht="24" customHeight="1" outlineLevel="3">
      <c r="B88" s="4513"/>
      <c r="C88" s="4514"/>
      <c r="D88" s="306" t="s">
        <v>660</v>
      </c>
      <c r="E88" s="161"/>
      <c r="F88" s="285" t="s">
        <v>212</v>
      </c>
      <c r="G88" s="286"/>
      <c r="H88" s="307"/>
      <c r="I88" s="184" t="s">
        <v>248</v>
      </c>
      <c r="J88" s="141"/>
      <c r="K88" s="109" t="s">
        <v>212</v>
      </c>
      <c r="L88" s="92"/>
      <c r="M88" s="92" t="s">
        <v>1780</v>
      </c>
      <c r="N88" s="92"/>
      <c r="O88" s="95" t="s">
        <v>1780</v>
      </c>
      <c r="P88" s="228"/>
      <c r="Q88" s="297"/>
      <c r="R88" s="308"/>
      <c r="S88" s="151" t="s">
        <v>1780</v>
      </c>
      <c r="T88" s="228"/>
      <c r="U88" s="151" t="s">
        <v>1780</v>
      </c>
      <c r="V88" s="228"/>
      <c r="W88" s="2060"/>
      <c r="X88" s="2186"/>
      <c r="Y88" s="92"/>
      <c r="Z88" s="100"/>
      <c r="AA88" s="92"/>
      <c r="AB88" s="2187"/>
      <c r="AC88" s="2111"/>
      <c r="AD88" s="100"/>
      <c r="AE88" s="100"/>
      <c r="AF88" s="100"/>
      <c r="AG88" s="100"/>
      <c r="AH88" s="100"/>
      <c r="AI88" s="100"/>
      <c r="AJ88" s="100"/>
      <c r="AK88" s="100"/>
      <c r="AL88" s="100"/>
      <c r="AM88" s="100"/>
      <c r="AN88" s="2187"/>
      <c r="AO88" s="2186"/>
      <c r="AP88" s="92"/>
      <c r="AQ88" s="100"/>
      <c r="AR88" s="92"/>
      <c r="AS88" s="2349"/>
      <c r="AT88" s="4807"/>
      <c r="AU88" s="2186"/>
      <c r="AV88" s="92"/>
      <c r="AW88" s="100"/>
      <c r="AX88" s="92"/>
      <c r="AY88" s="2187"/>
      <c r="AZ88" s="2186"/>
      <c r="BA88" s="92"/>
      <c r="BB88" s="100"/>
      <c r="BC88" s="92"/>
      <c r="BD88" s="2187"/>
      <c r="BE88" s="2186"/>
      <c r="BF88" s="92"/>
      <c r="BG88" s="100"/>
      <c r="BH88" s="92"/>
      <c r="BI88" s="2187"/>
      <c r="BJ88" s="2468"/>
      <c r="BK88" s="276"/>
      <c r="BL88" s="309"/>
      <c r="BM88" s="138"/>
      <c r="BN88" s="138"/>
      <c r="BO88" s="299" t="s">
        <v>193</v>
      </c>
      <c r="BP88" s="264" t="s">
        <v>250</v>
      </c>
      <c r="BQ88" s="264" t="s">
        <v>242</v>
      </c>
      <c r="BR88" s="187"/>
      <c r="BS88" s="18"/>
    </row>
    <row r="89" spans="2:71" ht="24" customHeight="1" outlineLevel="3">
      <c r="B89" s="4513"/>
      <c r="C89" s="4516"/>
      <c r="D89" s="306" t="s">
        <v>230</v>
      </c>
      <c r="E89" s="161"/>
      <c r="F89" s="285" t="s">
        <v>212</v>
      </c>
      <c r="G89" s="286"/>
      <c r="H89" s="310"/>
      <c r="I89" s="184" t="s">
        <v>231</v>
      </c>
      <c r="J89" s="141"/>
      <c r="K89" s="109" t="s">
        <v>212</v>
      </c>
      <c r="L89" s="297">
        <f>L84</f>
        <v>60746.31</v>
      </c>
      <c r="M89" s="297" t="s">
        <v>1780</v>
      </c>
      <c r="N89" s="297">
        <f>N84</f>
        <v>71392.570000000007</v>
      </c>
      <c r="O89" s="95" t="s">
        <v>1780</v>
      </c>
      <c r="P89" s="228"/>
      <c r="Q89" s="297"/>
      <c r="R89" s="297">
        <f>R84</f>
        <v>60746.31</v>
      </c>
      <c r="S89" s="151" t="s">
        <v>1780</v>
      </c>
      <c r="T89" s="92">
        <f>T84</f>
        <v>71392.570000000007</v>
      </c>
      <c r="U89" s="151" t="s">
        <v>1780</v>
      </c>
      <c r="V89" s="228">
        <f>V84</f>
        <v>0</v>
      </c>
      <c r="W89" s="2060"/>
      <c r="X89" s="2198">
        <f>X84</f>
        <v>0</v>
      </c>
      <c r="Y89" s="92"/>
      <c r="Z89" s="228">
        <f>Z84</f>
        <v>0</v>
      </c>
      <c r="AA89" s="92"/>
      <c r="AB89" s="2189">
        <f>AB84</f>
        <v>0</v>
      </c>
      <c r="AC89" s="2024">
        <f>AC84</f>
        <v>0</v>
      </c>
      <c r="AD89" s="228">
        <f>AD84</f>
        <v>0</v>
      </c>
      <c r="AE89" s="228">
        <f t="shared" ref="AE89:AM89" si="1">AE84</f>
        <v>0</v>
      </c>
      <c r="AF89" s="228">
        <f t="shared" si="1"/>
        <v>0</v>
      </c>
      <c r="AG89" s="228">
        <f t="shared" si="1"/>
        <v>0</v>
      </c>
      <c r="AH89" s="228">
        <f t="shared" si="1"/>
        <v>0</v>
      </c>
      <c r="AI89" s="228">
        <f t="shared" si="1"/>
        <v>0</v>
      </c>
      <c r="AJ89" s="228">
        <f t="shared" si="1"/>
        <v>0</v>
      </c>
      <c r="AK89" s="228">
        <f t="shared" si="1"/>
        <v>0</v>
      </c>
      <c r="AL89" s="228">
        <f t="shared" si="1"/>
        <v>0</v>
      </c>
      <c r="AM89" s="228">
        <f t="shared" si="1"/>
        <v>0</v>
      </c>
      <c r="AN89" s="2189">
        <f>AN84</f>
        <v>0</v>
      </c>
      <c r="AO89" s="2198">
        <v>108986.20006197746</v>
      </c>
      <c r="AP89" s="92"/>
      <c r="AQ89" s="228">
        <v>92402.921378387007</v>
      </c>
      <c r="AR89" s="92"/>
      <c r="AS89" s="2350">
        <v>93808.071312774584</v>
      </c>
      <c r="AT89" s="4807"/>
      <c r="AU89" s="2198">
        <f>AU84</f>
        <v>0</v>
      </c>
      <c r="AV89" s="92"/>
      <c r="AW89" s="228">
        <f>AW84</f>
        <v>0</v>
      </c>
      <c r="AX89" s="92"/>
      <c r="AY89" s="2189">
        <f>AY84</f>
        <v>0</v>
      </c>
      <c r="AZ89" s="2198">
        <f>AZ84</f>
        <v>0</v>
      </c>
      <c r="BA89" s="92"/>
      <c r="BB89" s="228">
        <f>BB84</f>
        <v>0</v>
      </c>
      <c r="BC89" s="92"/>
      <c r="BD89" s="2189">
        <f>BD84</f>
        <v>0</v>
      </c>
      <c r="BE89" s="2198">
        <f>BE84</f>
        <v>0</v>
      </c>
      <c r="BF89" s="92"/>
      <c r="BG89" s="228">
        <f>BG84</f>
        <v>0</v>
      </c>
      <c r="BH89" s="92"/>
      <c r="BI89" s="2189">
        <f>BI84</f>
        <v>0</v>
      </c>
      <c r="BJ89" s="2468"/>
      <c r="BK89" s="276"/>
      <c r="BL89" s="99"/>
      <c r="BM89" s="138"/>
      <c r="BN89" s="138"/>
      <c r="BO89" s="299" t="s">
        <v>193</v>
      </c>
      <c r="BP89" s="264" t="s">
        <v>250</v>
      </c>
      <c r="BQ89" s="265"/>
      <c r="BR89" s="187"/>
      <c r="BS89" s="18"/>
    </row>
    <row r="90" spans="2:71" ht="24" customHeight="1" outlineLevel="3">
      <c r="B90" s="4505" t="s">
        <v>2281</v>
      </c>
      <c r="C90" s="4517" t="s">
        <v>661</v>
      </c>
      <c r="D90" s="4518"/>
      <c r="E90" s="4518"/>
      <c r="F90" s="4519" t="s">
        <v>168</v>
      </c>
      <c r="G90" s="311"/>
      <c r="H90" s="312" t="s">
        <v>2293</v>
      </c>
      <c r="I90" s="4520"/>
      <c r="J90" s="4521"/>
      <c r="K90" s="315" t="s">
        <v>168</v>
      </c>
      <c r="L90" s="316"/>
      <c r="M90" s="316"/>
      <c r="N90" s="316"/>
      <c r="O90" s="316"/>
      <c r="P90" s="316"/>
      <c r="Q90" s="316"/>
      <c r="R90" s="316"/>
      <c r="S90" s="316"/>
      <c r="T90" s="316"/>
      <c r="U90" s="316"/>
      <c r="V90" s="316"/>
      <c r="W90" s="2354"/>
      <c r="X90" s="2199"/>
      <c r="Y90" s="316"/>
      <c r="Z90" s="316"/>
      <c r="AA90" s="316"/>
      <c r="AB90" s="2200"/>
      <c r="AC90" s="4809"/>
      <c r="AD90" s="317"/>
      <c r="AE90" s="317"/>
      <c r="AF90" s="318"/>
      <c r="AG90" s="318"/>
      <c r="AH90" s="318"/>
      <c r="AI90" s="318"/>
      <c r="AJ90" s="318"/>
      <c r="AK90" s="318"/>
      <c r="AL90" s="318"/>
      <c r="AM90" s="318"/>
      <c r="AN90" s="2437"/>
      <c r="AO90" s="2384"/>
      <c r="AP90" s="319"/>
      <c r="AQ90" s="318"/>
      <c r="AR90" s="171"/>
      <c r="AS90" s="2370"/>
      <c r="AT90" s="4810"/>
      <c r="AU90" s="2275"/>
      <c r="AV90" s="171"/>
      <c r="AW90" s="320"/>
      <c r="AX90" s="171"/>
      <c r="AY90" s="2276"/>
      <c r="AZ90" s="2275"/>
      <c r="BA90" s="171"/>
      <c r="BB90" s="320"/>
      <c r="BC90" s="171"/>
      <c r="BD90" s="2276"/>
      <c r="BE90" s="2275"/>
      <c r="BF90" s="171"/>
      <c r="BG90" s="320"/>
      <c r="BH90" s="171"/>
      <c r="BI90" s="2276"/>
      <c r="BJ90" s="2483"/>
      <c r="BK90" s="544"/>
      <c r="BL90" s="99"/>
      <c r="BM90" s="138"/>
      <c r="BN90" s="138"/>
      <c r="BO90" s="99"/>
      <c r="BP90" s="264"/>
      <c r="BQ90" s="265" t="s">
        <v>662</v>
      </c>
      <c r="BR90" s="187"/>
      <c r="BS90" s="18"/>
    </row>
    <row r="91" spans="2:71" ht="24" customHeight="1" outlineLevel="3">
      <c r="B91" s="4505" t="s">
        <v>2281</v>
      </c>
      <c r="C91" s="4522"/>
      <c r="D91" s="306" t="s">
        <v>663</v>
      </c>
      <c r="E91" s="306"/>
      <c r="F91" s="285" t="s">
        <v>212</v>
      </c>
      <c r="G91" s="286"/>
      <c r="H91" s="287"/>
      <c r="I91" s="184" t="s">
        <v>2294</v>
      </c>
      <c r="J91" s="141"/>
      <c r="K91" s="109" t="s">
        <v>212</v>
      </c>
      <c r="L91" s="228"/>
      <c r="M91" s="297"/>
      <c r="N91" s="228"/>
      <c r="O91" s="95"/>
      <c r="P91" s="228"/>
      <c r="Q91" s="297"/>
      <c r="R91" s="308"/>
      <c r="S91" s="151"/>
      <c r="T91" s="92">
        <v>81175</v>
      </c>
      <c r="U91" s="151"/>
      <c r="V91" s="228"/>
      <c r="W91" s="2060"/>
      <c r="X91" s="2186"/>
      <c r="Y91" s="92"/>
      <c r="Z91" s="100"/>
      <c r="AA91" s="92"/>
      <c r="AB91" s="2187"/>
      <c r="AC91" s="2111"/>
      <c r="AD91" s="100"/>
      <c r="AE91" s="100"/>
      <c r="AF91" s="100"/>
      <c r="AG91" s="100"/>
      <c r="AH91" s="100"/>
      <c r="AI91" s="100"/>
      <c r="AJ91" s="100"/>
      <c r="AK91" s="100"/>
      <c r="AL91" s="100"/>
      <c r="AM91" s="100"/>
      <c r="AN91" s="2187"/>
      <c r="AO91" s="4811">
        <v>0</v>
      </c>
      <c r="AP91" s="1752" t="s">
        <v>2295</v>
      </c>
      <c r="AQ91" s="209">
        <v>0</v>
      </c>
      <c r="AR91" s="1752" t="s">
        <v>2295</v>
      </c>
      <c r="AS91" s="4812">
        <v>0</v>
      </c>
      <c r="AT91" s="4813" t="s">
        <v>2295</v>
      </c>
      <c r="AU91" s="2186"/>
      <c r="AV91" s="92"/>
      <c r="AW91" s="100"/>
      <c r="AX91" s="92"/>
      <c r="AY91" s="2187"/>
      <c r="AZ91" s="2186"/>
      <c r="BA91" s="92"/>
      <c r="BB91" s="100"/>
      <c r="BC91" s="92"/>
      <c r="BD91" s="2187"/>
      <c r="BE91" s="2186"/>
      <c r="BF91" s="92"/>
      <c r="BG91" s="100"/>
      <c r="BH91" s="92"/>
      <c r="BI91" s="2187"/>
      <c r="BJ91" s="2468"/>
      <c r="BK91" s="276"/>
      <c r="BL91" s="99"/>
      <c r="BM91" s="138"/>
      <c r="BN91" s="138"/>
      <c r="BO91" s="99"/>
      <c r="BP91" s="277"/>
      <c r="BQ91" s="265" t="s">
        <v>246</v>
      </c>
      <c r="BR91" s="187"/>
      <c r="BS91" s="18"/>
    </row>
    <row r="92" spans="2:71" ht="24" customHeight="1" outlineLevel="3">
      <c r="B92" s="4505" t="s">
        <v>2281</v>
      </c>
      <c r="C92" s="4523"/>
      <c r="D92" s="306" t="s">
        <v>665</v>
      </c>
      <c r="E92" s="306"/>
      <c r="F92" s="285" t="s">
        <v>212</v>
      </c>
      <c r="G92" s="286"/>
      <c r="H92" s="322"/>
      <c r="I92" s="184" t="s">
        <v>2296</v>
      </c>
      <c r="J92" s="141"/>
      <c r="K92" s="109" t="s">
        <v>212</v>
      </c>
      <c r="L92" s="228"/>
      <c r="M92" s="297"/>
      <c r="N92" s="228"/>
      <c r="O92" s="95"/>
      <c r="P92" s="228"/>
      <c r="Q92" s="297"/>
      <c r="R92" s="308"/>
      <c r="S92" s="151"/>
      <c r="T92" s="92">
        <v>71324</v>
      </c>
      <c r="U92" s="151"/>
      <c r="V92" s="228"/>
      <c r="W92" s="2060"/>
      <c r="X92" s="2186"/>
      <c r="Y92" s="92"/>
      <c r="Z92" s="100"/>
      <c r="AA92" s="92"/>
      <c r="AB92" s="2187"/>
      <c r="AC92" s="2111"/>
      <c r="AD92" s="100"/>
      <c r="AE92" s="100"/>
      <c r="AF92" s="100"/>
      <c r="AG92" s="100"/>
      <c r="AH92" s="100"/>
      <c r="AI92" s="100"/>
      <c r="AJ92" s="100"/>
      <c r="AK92" s="100"/>
      <c r="AL92" s="100"/>
      <c r="AM92" s="100"/>
      <c r="AN92" s="2187"/>
      <c r="AO92" s="4811">
        <v>0</v>
      </c>
      <c r="AP92" s="1752" t="s">
        <v>2295</v>
      </c>
      <c r="AQ92" s="209">
        <v>0</v>
      </c>
      <c r="AR92" s="1752" t="s">
        <v>2295</v>
      </c>
      <c r="AS92" s="4812">
        <v>0</v>
      </c>
      <c r="AT92" s="4813" t="s">
        <v>2295</v>
      </c>
      <c r="AU92" s="2186"/>
      <c r="AV92" s="92"/>
      <c r="AW92" s="100"/>
      <c r="AX92" s="92"/>
      <c r="AY92" s="2187"/>
      <c r="AZ92" s="2186"/>
      <c r="BA92" s="92"/>
      <c r="BB92" s="100"/>
      <c r="BC92" s="92"/>
      <c r="BD92" s="2187"/>
      <c r="BE92" s="2186"/>
      <c r="BF92" s="92"/>
      <c r="BG92" s="100"/>
      <c r="BH92" s="92"/>
      <c r="BI92" s="2187"/>
      <c r="BJ92" s="2468"/>
      <c r="BK92" s="276"/>
      <c r="BL92" s="99"/>
      <c r="BM92" s="138"/>
      <c r="BN92" s="138"/>
      <c r="BO92" s="99"/>
      <c r="BP92" s="277"/>
      <c r="BQ92" s="265" t="s">
        <v>246</v>
      </c>
      <c r="BR92" s="187"/>
      <c r="BS92" s="18"/>
    </row>
    <row r="93" spans="2:71" ht="24" customHeight="1" outlineLevel="3" thickBot="1">
      <c r="B93" s="4505" t="s">
        <v>2281</v>
      </c>
      <c r="C93" s="4524"/>
      <c r="D93" s="323" t="s">
        <v>312</v>
      </c>
      <c r="E93" s="324"/>
      <c r="F93" s="285" t="s">
        <v>212</v>
      </c>
      <c r="G93" s="325"/>
      <c r="H93" s="326"/>
      <c r="I93" s="327" t="s">
        <v>2293</v>
      </c>
      <c r="J93" s="287"/>
      <c r="K93" s="109" t="s">
        <v>212</v>
      </c>
      <c r="L93" s="228"/>
      <c r="M93" s="297"/>
      <c r="N93" s="228"/>
      <c r="O93" s="95"/>
      <c r="P93" s="228"/>
      <c r="Q93" s="297"/>
      <c r="R93" s="308"/>
      <c r="S93" s="151"/>
      <c r="T93" s="92">
        <v>9851</v>
      </c>
      <c r="U93" s="151"/>
      <c r="V93" s="228"/>
      <c r="W93" s="2060"/>
      <c r="X93" s="2186"/>
      <c r="Y93" s="92"/>
      <c r="Z93" s="100"/>
      <c r="AA93" s="92"/>
      <c r="AB93" s="2187"/>
      <c r="AC93" s="2111"/>
      <c r="AD93" s="100"/>
      <c r="AE93" s="100"/>
      <c r="AF93" s="100"/>
      <c r="AG93" s="100"/>
      <c r="AH93" s="100"/>
      <c r="AI93" s="100"/>
      <c r="AJ93" s="100"/>
      <c r="AK93" s="100"/>
      <c r="AL93" s="100"/>
      <c r="AM93" s="100"/>
      <c r="AN93" s="2187"/>
      <c r="AO93" s="4811">
        <v>0</v>
      </c>
      <c r="AP93" s="1752" t="s">
        <v>2295</v>
      </c>
      <c r="AQ93" s="209">
        <v>0</v>
      </c>
      <c r="AR93" s="1752" t="s">
        <v>2295</v>
      </c>
      <c r="AS93" s="4812">
        <v>0</v>
      </c>
      <c r="AT93" s="4813" t="s">
        <v>2295</v>
      </c>
      <c r="AU93" s="2186"/>
      <c r="AV93" s="92"/>
      <c r="AW93" s="100"/>
      <c r="AX93" s="92"/>
      <c r="AY93" s="2187"/>
      <c r="AZ93" s="2186"/>
      <c r="BA93" s="92"/>
      <c r="BB93" s="100"/>
      <c r="BC93" s="92"/>
      <c r="BD93" s="2187"/>
      <c r="BE93" s="2186"/>
      <c r="BF93" s="92"/>
      <c r="BG93" s="100"/>
      <c r="BH93" s="92"/>
      <c r="BI93" s="2187"/>
      <c r="BJ93" s="2468"/>
      <c r="BK93" s="276"/>
      <c r="BL93" s="99"/>
      <c r="BM93" s="138"/>
      <c r="BN93" s="138"/>
      <c r="BO93" s="99"/>
      <c r="BP93" s="277"/>
      <c r="BQ93" s="265" t="s">
        <v>246</v>
      </c>
      <c r="BR93" s="187"/>
      <c r="BS93" s="18"/>
    </row>
    <row r="94" spans="2:71" ht="24" customHeight="1" outlineLevel="3" thickBot="1">
      <c r="B94" s="4505" t="s">
        <v>2281</v>
      </c>
      <c r="C94" s="123" t="s">
        <v>252</v>
      </c>
      <c r="D94" s="124"/>
      <c r="E94" s="124"/>
      <c r="F94" s="78"/>
      <c r="G94" s="125" t="s">
        <v>2297</v>
      </c>
      <c r="H94" s="126"/>
      <c r="I94" s="126"/>
      <c r="J94" s="126"/>
      <c r="K94" s="78"/>
      <c r="L94" s="77"/>
      <c r="M94" s="77"/>
      <c r="N94" s="77"/>
      <c r="O94" s="77"/>
      <c r="P94" s="77"/>
      <c r="Q94" s="77"/>
      <c r="R94" s="77"/>
      <c r="S94" s="77"/>
      <c r="T94" s="77"/>
      <c r="U94" s="77"/>
      <c r="V94" s="77"/>
      <c r="W94" s="77"/>
      <c r="X94" s="2194"/>
      <c r="Y94" s="78"/>
      <c r="Z94" s="78"/>
      <c r="AA94" s="78"/>
      <c r="AB94" s="2195"/>
      <c r="AC94" s="78"/>
      <c r="AD94" s="78"/>
      <c r="AE94" s="78"/>
      <c r="AF94" s="148"/>
      <c r="AG94" s="148"/>
      <c r="AH94" s="148"/>
      <c r="AI94" s="148"/>
      <c r="AJ94" s="148"/>
      <c r="AK94" s="148"/>
      <c r="AL94" s="148"/>
      <c r="AM94" s="148"/>
      <c r="AN94" s="2176"/>
      <c r="AO94" s="2175"/>
      <c r="AP94" s="148"/>
      <c r="AQ94" s="148"/>
      <c r="AR94" s="148"/>
      <c r="AS94" s="148"/>
      <c r="AT94" s="4781"/>
      <c r="AU94" s="2175"/>
      <c r="AV94" s="148"/>
      <c r="AW94" s="148"/>
      <c r="AX94" s="148"/>
      <c r="AY94" s="2176"/>
      <c r="AZ94" s="2175"/>
      <c r="BA94" s="148"/>
      <c r="BB94" s="148"/>
      <c r="BC94" s="148"/>
      <c r="BD94" s="2176"/>
      <c r="BE94" s="2175"/>
      <c r="BF94" s="148"/>
      <c r="BG94" s="148"/>
      <c r="BH94" s="148"/>
      <c r="BI94" s="2176"/>
      <c r="BJ94" s="80"/>
      <c r="BK94" s="80"/>
      <c r="BL94" s="129"/>
      <c r="BM94" s="129"/>
      <c r="BN94" s="129"/>
      <c r="BO94" s="129"/>
      <c r="BP94" s="328"/>
      <c r="BQ94" s="328"/>
      <c r="BR94" s="329"/>
      <c r="BS94" s="18"/>
    </row>
    <row r="95" spans="2:71" ht="24" customHeight="1" outlineLevel="3">
      <c r="B95" s="4505" t="s">
        <v>2281</v>
      </c>
      <c r="C95" s="10154" t="s">
        <v>254</v>
      </c>
      <c r="D95" s="9755"/>
      <c r="E95" s="10155"/>
      <c r="F95" s="87" t="s">
        <v>255</v>
      </c>
      <c r="G95" s="330"/>
      <c r="H95" s="10156" t="s">
        <v>2298</v>
      </c>
      <c r="I95" s="9755"/>
      <c r="J95" s="10155"/>
      <c r="K95" s="91" t="s">
        <v>2299</v>
      </c>
      <c r="L95" s="331">
        <f>L96+L97</f>
        <v>1268.5</v>
      </c>
      <c r="M95" s="332"/>
      <c r="N95" s="331">
        <f t="shared" ref="N95:T95" si="2">N96+N97</f>
        <v>1491.8940000000002</v>
      </c>
      <c r="O95" s="333"/>
      <c r="P95" s="334">
        <f t="shared" si="2"/>
        <v>0</v>
      </c>
      <c r="Q95" s="334"/>
      <c r="R95" s="331">
        <f t="shared" si="2"/>
        <v>1268.5</v>
      </c>
      <c r="S95" s="1763"/>
      <c r="T95" s="331">
        <f t="shared" si="2"/>
        <v>1491.8940000000002</v>
      </c>
      <c r="U95" s="331"/>
      <c r="V95" s="331">
        <f>IFERROR(V96+V97,"-")</f>
        <v>0</v>
      </c>
      <c r="W95" s="442"/>
      <c r="X95" s="2201">
        <f>IFERROR(X96+X97,"-")</f>
        <v>0</v>
      </c>
      <c r="Y95" s="332"/>
      <c r="Z95" s="331">
        <f>IFERROR(Z96+Z97,"-")</f>
        <v>0</v>
      </c>
      <c r="AA95" s="332"/>
      <c r="AB95" s="2202">
        <f t="shared" ref="AB95:AN95" si="3">IFERROR(AB96+AB97,"-")</f>
        <v>0</v>
      </c>
      <c r="AC95" s="2112">
        <f t="shared" si="3"/>
        <v>0</v>
      </c>
      <c r="AD95" s="331">
        <f t="shared" si="3"/>
        <v>0</v>
      </c>
      <c r="AE95" s="331">
        <f t="shared" si="3"/>
        <v>0</v>
      </c>
      <c r="AF95" s="331">
        <f t="shared" si="3"/>
        <v>0</v>
      </c>
      <c r="AG95" s="331">
        <f t="shared" si="3"/>
        <v>0</v>
      </c>
      <c r="AH95" s="331">
        <f t="shared" si="3"/>
        <v>0</v>
      </c>
      <c r="AI95" s="331">
        <f t="shared" si="3"/>
        <v>0</v>
      </c>
      <c r="AJ95" s="331">
        <f t="shared" si="3"/>
        <v>0</v>
      </c>
      <c r="AK95" s="331">
        <f t="shared" si="3"/>
        <v>0</v>
      </c>
      <c r="AL95" s="331">
        <f t="shared" si="3"/>
        <v>0</v>
      </c>
      <c r="AM95" s="331">
        <f t="shared" si="3"/>
        <v>0</v>
      </c>
      <c r="AN95" s="2202">
        <f t="shared" si="3"/>
        <v>0</v>
      </c>
      <c r="AO95" s="2201">
        <v>293.25696436359488</v>
      </c>
      <c r="AP95" s="332"/>
      <c r="AQ95" s="331">
        <v>257.91617295420275</v>
      </c>
      <c r="AR95" s="332"/>
      <c r="AS95" s="2355">
        <v>266.00810795785208</v>
      </c>
      <c r="AT95" s="4814"/>
      <c r="AU95" s="2201">
        <f>IFERROR(AU96+AU97,"-")</f>
        <v>0</v>
      </c>
      <c r="AV95" s="332"/>
      <c r="AW95" s="331">
        <f>IFERROR(AW96+AW97,"-")</f>
        <v>0</v>
      </c>
      <c r="AX95" s="332"/>
      <c r="AY95" s="2202">
        <f>IFERROR(AY96+AY97,"-")</f>
        <v>0</v>
      </c>
      <c r="AZ95" s="2201">
        <f>IFERROR(AZ96+AZ97,"-")</f>
        <v>0</v>
      </c>
      <c r="BA95" s="332"/>
      <c r="BB95" s="331">
        <f>IFERROR(BB96+BB97,"-")</f>
        <v>0</v>
      </c>
      <c r="BC95" s="332"/>
      <c r="BD95" s="2202" t="str">
        <f>IFERROR(BD96+BD97,"-")</f>
        <v>-</v>
      </c>
      <c r="BE95" s="2201" t="str">
        <f>IFERROR(BE96+BE97,"-")</f>
        <v>-</v>
      </c>
      <c r="BF95" s="332"/>
      <c r="BG95" s="331" t="str">
        <f>IFERROR(BG96+BG97,"-")</f>
        <v>-</v>
      </c>
      <c r="BH95" s="333"/>
      <c r="BI95" s="2268" t="s">
        <v>2300</v>
      </c>
      <c r="BJ95" s="1021" t="s">
        <v>257</v>
      </c>
      <c r="BK95" s="263" t="s">
        <v>258</v>
      </c>
      <c r="BL95" s="99"/>
      <c r="BM95" s="138"/>
      <c r="BN95" s="138"/>
      <c r="BO95" s="99"/>
      <c r="BP95" s="336" t="s">
        <v>259</v>
      </c>
      <c r="BQ95" s="265" t="s">
        <v>260</v>
      </c>
      <c r="BR95" s="159" t="s">
        <v>261</v>
      </c>
      <c r="BS95" s="18"/>
    </row>
    <row r="96" spans="2:71" ht="24" customHeight="1" outlineLevel="3">
      <c r="B96" s="4505" t="s">
        <v>2281</v>
      </c>
      <c r="C96" s="4528"/>
      <c r="D96" s="9749" t="s">
        <v>262</v>
      </c>
      <c r="E96" s="9649"/>
      <c r="F96" s="87" t="s">
        <v>255</v>
      </c>
      <c r="G96" s="337"/>
      <c r="H96" s="287"/>
      <c r="I96" s="184" t="s">
        <v>2301</v>
      </c>
      <c r="J96" s="296"/>
      <c r="K96" s="91" t="s">
        <v>255</v>
      </c>
      <c r="L96" s="338">
        <v>1268.5</v>
      </c>
      <c r="M96" s="339"/>
      <c r="N96" s="338">
        <v>1491.8940000000002</v>
      </c>
      <c r="O96" s="338"/>
      <c r="P96" s="340"/>
      <c r="Q96" s="341"/>
      <c r="R96" s="4815">
        <v>1268.5</v>
      </c>
      <c r="S96" s="4816" t="s">
        <v>667</v>
      </c>
      <c r="T96" s="4815">
        <v>1491.8940000000002</v>
      </c>
      <c r="U96" s="4817" t="s">
        <v>668</v>
      </c>
      <c r="V96" s="340"/>
      <c r="W96" s="2063"/>
      <c r="X96" s="2203"/>
      <c r="Y96" s="91"/>
      <c r="Z96" s="340"/>
      <c r="AA96" s="91"/>
      <c r="AB96" s="2204"/>
      <c r="AC96" s="2520"/>
      <c r="AD96" s="340"/>
      <c r="AE96" s="340"/>
      <c r="AF96" s="335"/>
      <c r="AG96" s="335"/>
      <c r="AH96" s="335"/>
      <c r="AI96" s="335"/>
      <c r="AJ96" s="335"/>
      <c r="AK96" s="335"/>
      <c r="AL96" s="335"/>
      <c r="AM96" s="335"/>
      <c r="AN96" s="2268"/>
      <c r="AO96" s="2267">
        <v>205.80008876798826</v>
      </c>
      <c r="AP96" s="342"/>
      <c r="AQ96" s="335">
        <v>176.61219894487496</v>
      </c>
      <c r="AR96" s="342"/>
      <c r="AS96" s="2369">
        <v>177.63597829765689</v>
      </c>
      <c r="AT96" s="4818"/>
      <c r="AU96" s="2267"/>
      <c r="AV96" s="342"/>
      <c r="AW96" s="335"/>
      <c r="AX96" s="342"/>
      <c r="AY96" s="2268"/>
      <c r="AZ96" s="2267"/>
      <c r="BA96" s="342"/>
      <c r="BB96" s="335"/>
      <c r="BC96" s="342"/>
      <c r="BD96" s="2268" t="s">
        <v>169</v>
      </c>
      <c r="BE96" s="2267" t="s">
        <v>169</v>
      </c>
      <c r="BF96" s="342"/>
      <c r="BG96" s="335" t="s">
        <v>169</v>
      </c>
      <c r="BH96" s="342"/>
      <c r="BI96" s="2268"/>
      <c r="BJ96" s="1033" t="s">
        <v>264</v>
      </c>
      <c r="BK96" s="263" t="s">
        <v>265</v>
      </c>
      <c r="BL96" s="99"/>
      <c r="BM96" s="138"/>
      <c r="BN96" s="138"/>
      <c r="BO96" s="99"/>
      <c r="BP96" s="336" t="s">
        <v>266</v>
      </c>
      <c r="BQ96" s="154"/>
      <c r="BR96" s="159"/>
      <c r="BS96" s="18"/>
    </row>
    <row r="97" spans="2:71" ht="24" customHeight="1" outlineLevel="3">
      <c r="B97" s="4505" t="s">
        <v>2281</v>
      </c>
      <c r="C97" s="1945"/>
      <c r="D97" s="9749" t="s">
        <v>273</v>
      </c>
      <c r="E97" s="9649"/>
      <c r="F97" s="87" t="s">
        <v>255</v>
      </c>
      <c r="G97" s="343"/>
      <c r="H97" s="296"/>
      <c r="I97" s="344" t="s">
        <v>2302</v>
      </c>
      <c r="J97" s="296"/>
      <c r="K97" s="91" t="s">
        <v>255</v>
      </c>
      <c r="L97" s="338">
        <v>0</v>
      </c>
      <c r="M97" s="339"/>
      <c r="N97" s="338">
        <v>0</v>
      </c>
      <c r="O97" s="338"/>
      <c r="P97" s="340"/>
      <c r="Q97" s="341"/>
      <c r="R97" s="4815">
        <v>0</v>
      </c>
      <c r="S97" s="4816" t="s">
        <v>670</v>
      </c>
      <c r="T97" s="4815">
        <v>0</v>
      </c>
      <c r="U97" s="4817" t="s">
        <v>670</v>
      </c>
      <c r="V97" s="340"/>
      <c r="W97" s="2063"/>
      <c r="X97" s="2203"/>
      <c r="Y97" s="91"/>
      <c r="Z97" s="340"/>
      <c r="AA97" s="91"/>
      <c r="AB97" s="2204"/>
      <c r="AC97" s="2520"/>
      <c r="AD97" s="340"/>
      <c r="AE97" s="340"/>
      <c r="AF97" s="335"/>
      <c r="AG97" s="335"/>
      <c r="AH97" s="335"/>
      <c r="AI97" s="335"/>
      <c r="AJ97" s="335"/>
      <c r="AK97" s="335"/>
      <c r="AL97" s="335"/>
      <c r="AM97" s="335"/>
      <c r="AN97" s="2268"/>
      <c r="AO97" s="2267">
        <v>87.456875595606604</v>
      </c>
      <c r="AP97" s="342"/>
      <c r="AQ97" s="335">
        <v>81.303974009327803</v>
      </c>
      <c r="AR97" s="342"/>
      <c r="AS97" s="2369">
        <v>88.372129660195171</v>
      </c>
      <c r="AT97" s="4818"/>
      <c r="AU97" s="2267"/>
      <c r="AV97" s="342"/>
      <c r="AW97" s="335"/>
      <c r="AX97" s="342"/>
      <c r="AY97" s="2268"/>
      <c r="AZ97" s="2267"/>
      <c r="BA97" s="342"/>
      <c r="BB97" s="335"/>
      <c r="BC97" s="342"/>
      <c r="BD97" s="2268" t="s">
        <v>169</v>
      </c>
      <c r="BE97" s="2267" t="s">
        <v>169</v>
      </c>
      <c r="BF97" s="342"/>
      <c r="BG97" s="335" t="s">
        <v>169</v>
      </c>
      <c r="BH97" s="342"/>
      <c r="BI97" s="2268"/>
      <c r="BJ97" s="1033" t="s">
        <v>275</v>
      </c>
      <c r="BK97" s="263" t="s">
        <v>276</v>
      </c>
      <c r="BL97" s="99"/>
      <c r="BM97" s="138"/>
      <c r="BN97" s="138"/>
      <c r="BO97" s="99"/>
      <c r="BP97" s="336" t="s">
        <v>277</v>
      </c>
      <c r="BQ97" s="154"/>
      <c r="BR97" s="159"/>
      <c r="BS97" s="18"/>
    </row>
    <row r="98" spans="2:71" ht="24" customHeight="1" outlineLevel="3">
      <c r="B98" s="4505" t="s">
        <v>2281</v>
      </c>
      <c r="C98" s="10038" t="s">
        <v>296</v>
      </c>
      <c r="D98" s="9769"/>
      <c r="E98" s="10039"/>
      <c r="F98" s="280" t="s">
        <v>255</v>
      </c>
      <c r="G98" s="345"/>
      <c r="H98" s="143" t="s">
        <v>2303</v>
      </c>
      <c r="I98" s="143"/>
      <c r="J98" s="144"/>
      <c r="K98" s="281" t="s">
        <v>255</v>
      </c>
      <c r="L98" s="228"/>
      <c r="M98" s="92" t="s">
        <v>1780</v>
      </c>
      <c r="N98" s="228"/>
      <c r="O98" s="92" t="s">
        <v>1780</v>
      </c>
      <c r="P98" s="228"/>
      <c r="Q98" s="297"/>
      <c r="R98" s="228"/>
      <c r="S98" s="151" t="s">
        <v>1780</v>
      </c>
      <c r="T98" s="228"/>
      <c r="U98" s="151" t="s">
        <v>1780</v>
      </c>
      <c r="V98" s="228"/>
      <c r="W98" s="2060"/>
      <c r="X98" s="2186"/>
      <c r="Y98" s="293"/>
      <c r="Z98" s="100"/>
      <c r="AA98" s="293"/>
      <c r="AB98" s="2187"/>
      <c r="AC98" s="2111"/>
      <c r="AD98" s="100"/>
      <c r="AE98" s="100"/>
      <c r="AF98" s="100"/>
      <c r="AG98" s="100"/>
      <c r="AH98" s="100"/>
      <c r="AI98" s="100"/>
      <c r="AJ98" s="100"/>
      <c r="AK98" s="100"/>
      <c r="AL98" s="100"/>
      <c r="AM98" s="100"/>
      <c r="AN98" s="2187"/>
      <c r="AO98" s="2186"/>
      <c r="AP98" s="4819" t="s">
        <v>2295</v>
      </c>
      <c r="AQ98" s="100"/>
      <c r="AR98" s="4819" t="s">
        <v>2295</v>
      </c>
      <c r="AS98" s="2349"/>
      <c r="AT98" s="4820" t="s">
        <v>2295</v>
      </c>
      <c r="AU98" s="2186"/>
      <c r="AV98" s="293"/>
      <c r="AW98" s="100"/>
      <c r="AX98" s="293"/>
      <c r="AY98" s="2187"/>
      <c r="AZ98" s="2186"/>
      <c r="BA98" s="293"/>
      <c r="BB98" s="100"/>
      <c r="BC98" s="293"/>
      <c r="BD98" s="2187"/>
      <c r="BE98" s="2186"/>
      <c r="BF98" s="293"/>
      <c r="BG98" s="100"/>
      <c r="BH98" s="293"/>
      <c r="BI98" s="2187"/>
      <c r="BJ98" s="2468" t="s">
        <v>298</v>
      </c>
      <c r="BK98" s="276" t="s">
        <v>299</v>
      </c>
      <c r="BL98" s="99"/>
      <c r="BM98" s="138"/>
      <c r="BN98" s="138"/>
      <c r="BO98" s="99"/>
      <c r="BP98" s="346" t="s">
        <v>300</v>
      </c>
      <c r="BQ98" s="265"/>
      <c r="BR98" s="187"/>
      <c r="BS98" s="18"/>
    </row>
    <row r="99" spans="2:71" ht="24" customHeight="1" outlineLevel="3">
      <c r="B99" s="4505" t="s">
        <v>2281</v>
      </c>
      <c r="C99" s="4528"/>
      <c r="D99" s="9770" t="s">
        <v>303</v>
      </c>
      <c r="E99" s="10039"/>
      <c r="F99" s="280" t="s">
        <v>255</v>
      </c>
      <c r="G99" s="347"/>
      <c r="H99" s="348"/>
      <c r="I99" s="349" t="s">
        <v>2304</v>
      </c>
      <c r="J99" s="144"/>
      <c r="K99" s="281" t="s">
        <v>255</v>
      </c>
      <c r="L99" s="23"/>
      <c r="M99" s="350" t="s">
        <v>1780</v>
      </c>
      <c r="N99" s="228"/>
      <c r="O99" s="350" t="s">
        <v>1780</v>
      </c>
      <c r="P99" s="351"/>
      <c r="Q99" s="352"/>
      <c r="R99" s="351"/>
      <c r="S99" s="1771" t="s">
        <v>1780</v>
      </c>
      <c r="T99" s="351"/>
      <c r="U99" s="151" t="s">
        <v>1780</v>
      </c>
      <c r="V99" s="228"/>
      <c r="W99" s="2064"/>
      <c r="X99" s="2186"/>
      <c r="Y99" s="293"/>
      <c r="Z99" s="100"/>
      <c r="AA99" s="293"/>
      <c r="AB99" s="2187"/>
      <c r="AC99" s="2111"/>
      <c r="AD99" s="100"/>
      <c r="AE99" s="100"/>
      <c r="AF99" s="100"/>
      <c r="AG99" s="100"/>
      <c r="AH99" s="100"/>
      <c r="AI99" s="100"/>
      <c r="AJ99" s="100"/>
      <c r="AK99" s="100"/>
      <c r="AL99" s="100"/>
      <c r="AM99" s="100"/>
      <c r="AN99" s="2187"/>
      <c r="AO99" s="4811">
        <v>0</v>
      </c>
      <c r="AP99" s="4819" t="s">
        <v>2295</v>
      </c>
      <c r="AQ99" s="209">
        <v>0</v>
      </c>
      <c r="AR99" s="4819" t="s">
        <v>2295</v>
      </c>
      <c r="AS99" s="4812">
        <v>0</v>
      </c>
      <c r="AT99" s="4820" t="s">
        <v>2295</v>
      </c>
      <c r="AU99" s="2186"/>
      <c r="AV99" s="293"/>
      <c r="AW99" s="100"/>
      <c r="AX99" s="293"/>
      <c r="AY99" s="2187"/>
      <c r="AZ99" s="2186"/>
      <c r="BA99" s="293"/>
      <c r="BB99" s="100"/>
      <c r="BC99" s="293"/>
      <c r="BD99" s="2187"/>
      <c r="BE99" s="2186"/>
      <c r="BF99" s="293"/>
      <c r="BG99" s="100"/>
      <c r="BH99" s="293"/>
      <c r="BI99" s="2187"/>
      <c r="BJ99" s="2468"/>
      <c r="BK99" s="276"/>
      <c r="BL99" s="309"/>
      <c r="BM99" s="138"/>
      <c r="BN99" s="138"/>
      <c r="BO99" s="309"/>
      <c r="BP99" s="346" t="s">
        <v>300</v>
      </c>
      <c r="BQ99" s="265"/>
      <c r="BR99" s="187"/>
      <c r="BS99" s="18"/>
    </row>
    <row r="100" spans="2:71" ht="24" customHeight="1" outlineLevel="3">
      <c r="B100" s="4505" t="s">
        <v>2281</v>
      </c>
      <c r="C100" s="1945"/>
      <c r="D100" s="9770" t="s">
        <v>1781</v>
      </c>
      <c r="E100" s="10039"/>
      <c r="F100" s="280" t="s">
        <v>255</v>
      </c>
      <c r="G100" s="106"/>
      <c r="H100" s="353"/>
      <c r="I100" s="349" t="s">
        <v>2305</v>
      </c>
      <c r="J100" s="144"/>
      <c r="K100" s="280" t="s">
        <v>255</v>
      </c>
      <c r="L100" s="354">
        <f>L111+L112</f>
        <v>1096.472</v>
      </c>
      <c r="M100" s="355"/>
      <c r="N100" s="354">
        <f>N111+N112</f>
        <v>1304.46</v>
      </c>
      <c r="O100" s="298"/>
      <c r="P100" s="356">
        <f>P111+P112</f>
        <v>0</v>
      </c>
      <c r="Q100" s="356"/>
      <c r="R100" s="354">
        <f>R111+R112</f>
        <v>1096.472</v>
      </c>
      <c r="S100" s="1773"/>
      <c r="T100" s="354">
        <f>T111+T112</f>
        <v>1304.46</v>
      </c>
      <c r="U100" s="354">
        <f>U111+U112</f>
        <v>0</v>
      </c>
      <c r="V100" s="354">
        <f>V111+V112</f>
        <v>0</v>
      </c>
      <c r="W100" s="2065"/>
      <c r="X100" s="2205">
        <f>X111+X112</f>
        <v>0</v>
      </c>
      <c r="Y100" s="293"/>
      <c r="Z100" s="354">
        <f>Z111+Z112</f>
        <v>0</v>
      </c>
      <c r="AA100" s="293"/>
      <c r="AB100" s="2206">
        <f t="shared" ref="AB100:AN100" si="4">AB111+AB112</f>
        <v>0</v>
      </c>
      <c r="AC100" s="2114">
        <f t="shared" si="4"/>
        <v>0</v>
      </c>
      <c r="AD100" s="354">
        <f t="shared" si="4"/>
        <v>0</v>
      </c>
      <c r="AE100" s="354">
        <f t="shared" si="4"/>
        <v>0</v>
      </c>
      <c r="AF100" s="354">
        <f t="shared" si="4"/>
        <v>0</v>
      </c>
      <c r="AG100" s="354">
        <f t="shared" si="4"/>
        <v>0</v>
      </c>
      <c r="AH100" s="354">
        <f t="shared" si="4"/>
        <v>0</v>
      </c>
      <c r="AI100" s="354">
        <f t="shared" si="4"/>
        <v>0</v>
      </c>
      <c r="AJ100" s="354">
        <f t="shared" si="4"/>
        <v>0</v>
      </c>
      <c r="AK100" s="354">
        <f t="shared" si="4"/>
        <v>0</v>
      </c>
      <c r="AL100" s="354">
        <f t="shared" si="4"/>
        <v>0</v>
      </c>
      <c r="AM100" s="354">
        <f t="shared" si="4"/>
        <v>0</v>
      </c>
      <c r="AN100" s="2206">
        <f t="shared" si="4"/>
        <v>0</v>
      </c>
      <c r="AO100" s="2205">
        <v>293.49791169099205</v>
      </c>
      <c r="AP100" s="293"/>
      <c r="AQ100" s="354">
        <v>258.29105699154366</v>
      </c>
      <c r="AR100" s="293"/>
      <c r="AS100" s="2356">
        <v>266.38177075133683</v>
      </c>
      <c r="AT100" s="4806"/>
      <c r="AU100" s="2205">
        <f>AU111+AU112</f>
        <v>0</v>
      </c>
      <c r="AV100" s="293"/>
      <c r="AW100" s="354">
        <f>AW111+AW112</f>
        <v>0</v>
      </c>
      <c r="AX100" s="293"/>
      <c r="AY100" s="2206">
        <f>AY111+AY112</f>
        <v>0</v>
      </c>
      <c r="AZ100" s="2205">
        <f>AZ111+AZ112</f>
        <v>0</v>
      </c>
      <c r="BA100" s="293"/>
      <c r="BB100" s="354">
        <f>BB111+BB112</f>
        <v>0</v>
      </c>
      <c r="BC100" s="293"/>
      <c r="BD100" s="2206">
        <f>BD111+BD112</f>
        <v>0</v>
      </c>
      <c r="BE100" s="2205">
        <f>BE111+BE112</f>
        <v>0</v>
      </c>
      <c r="BF100" s="293"/>
      <c r="BG100" s="354">
        <f>BG111+BG112</f>
        <v>0</v>
      </c>
      <c r="BH100" s="293"/>
      <c r="BI100" s="2206">
        <f>BI111+BI112</f>
        <v>0</v>
      </c>
      <c r="BJ100" s="2468"/>
      <c r="BK100" s="276"/>
      <c r="BL100" s="99"/>
      <c r="BM100" s="138"/>
      <c r="BN100" s="138"/>
      <c r="BO100" s="99"/>
      <c r="BP100" s="346" t="s">
        <v>300</v>
      </c>
      <c r="BQ100" s="265"/>
      <c r="BR100" s="187"/>
      <c r="BS100" s="18"/>
    </row>
    <row r="101" spans="2:71" ht="24" customHeight="1" outlineLevel="3">
      <c r="B101" s="4505" t="s">
        <v>2281</v>
      </c>
      <c r="C101" s="1775" t="s">
        <v>671</v>
      </c>
      <c r="D101" s="357"/>
      <c r="E101" s="104"/>
      <c r="F101" s="132" t="s">
        <v>255</v>
      </c>
      <c r="G101" s="358"/>
      <c r="H101" s="359" t="s">
        <v>2306</v>
      </c>
      <c r="I101" s="359"/>
      <c r="J101" s="643"/>
      <c r="K101" s="136" t="s">
        <v>255</v>
      </c>
      <c r="L101" s="361">
        <v>1268.5</v>
      </c>
      <c r="M101" s="362"/>
      <c r="N101" s="361">
        <v>1491.894</v>
      </c>
      <c r="O101" s="363"/>
      <c r="P101" s="364">
        <v>0</v>
      </c>
      <c r="Q101" s="364"/>
      <c r="R101" s="364">
        <v>1268.5</v>
      </c>
      <c r="S101" s="4821"/>
      <c r="T101" s="365">
        <v>1491.894</v>
      </c>
      <c r="U101" s="4822"/>
      <c r="V101" s="365">
        <v>0</v>
      </c>
      <c r="W101" s="4823"/>
      <c r="X101" s="2207">
        <v>0</v>
      </c>
      <c r="Y101" s="136"/>
      <c r="Z101" s="365">
        <v>0</v>
      </c>
      <c r="AA101" s="136"/>
      <c r="AB101" s="2208">
        <v>0</v>
      </c>
      <c r="AC101" s="4824">
        <v>0</v>
      </c>
      <c r="AD101" s="365">
        <v>0</v>
      </c>
      <c r="AE101" s="365">
        <v>0</v>
      </c>
      <c r="AF101" s="366">
        <f t="shared" ref="AF101:AN101" si="5">AF102+AF103</f>
        <v>0</v>
      </c>
      <c r="AG101" s="366">
        <f t="shared" si="5"/>
        <v>0</v>
      </c>
      <c r="AH101" s="366">
        <f t="shared" si="5"/>
        <v>0</v>
      </c>
      <c r="AI101" s="366">
        <f t="shared" si="5"/>
        <v>0</v>
      </c>
      <c r="AJ101" s="366">
        <f t="shared" si="5"/>
        <v>0</v>
      </c>
      <c r="AK101" s="366">
        <f t="shared" si="5"/>
        <v>0</v>
      </c>
      <c r="AL101" s="366">
        <f t="shared" si="5"/>
        <v>0</v>
      </c>
      <c r="AM101" s="366">
        <f t="shared" si="5"/>
        <v>0</v>
      </c>
      <c r="AN101" s="2386">
        <f t="shared" si="5"/>
        <v>0</v>
      </c>
      <c r="AO101" s="2385">
        <v>205.80008876798826</v>
      </c>
      <c r="AP101" s="342"/>
      <c r="AQ101" s="366">
        <v>176.61219894487496</v>
      </c>
      <c r="AR101" s="342"/>
      <c r="AS101" s="4825">
        <v>177.63597829765689</v>
      </c>
      <c r="AT101" s="4818"/>
      <c r="AU101" s="2385">
        <f>AU102+AU103</f>
        <v>0</v>
      </c>
      <c r="AV101" s="342"/>
      <c r="AW101" s="366">
        <f>AW102+AW103</f>
        <v>0</v>
      </c>
      <c r="AX101" s="342"/>
      <c r="AY101" s="2386">
        <f>AY102+AY103</f>
        <v>0</v>
      </c>
      <c r="AZ101" s="2385">
        <f>AZ102+AZ103</f>
        <v>0</v>
      </c>
      <c r="BA101" s="342"/>
      <c r="BB101" s="366">
        <f>BB102+BB103</f>
        <v>0</v>
      </c>
      <c r="BC101" s="342"/>
      <c r="BD101" s="2386">
        <f>BD102+BD103</f>
        <v>0</v>
      </c>
      <c r="BE101" s="2385">
        <f>BE102+BE103</f>
        <v>0</v>
      </c>
      <c r="BF101" s="342"/>
      <c r="BG101" s="366">
        <f>BG102+BG103</f>
        <v>0</v>
      </c>
      <c r="BH101" s="342"/>
      <c r="BI101" s="2386">
        <f>BI102+BI103</f>
        <v>0</v>
      </c>
      <c r="BJ101" s="498" t="s">
        <v>672</v>
      </c>
      <c r="BK101" s="263" t="s">
        <v>265</v>
      </c>
      <c r="BL101" s="99"/>
      <c r="BM101" s="138"/>
      <c r="BN101" s="138"/>
      <c r="BO101" s="99"/>
      <c r="BP101" s="336" t="s">
        <v>269</v>
      </c>
      <c r="BQ101" s="265"/>
      <c r="BR101" s="187"/>
      <c r="BS101" s="18"/>
    </row>
    <row r="102" spans="2:71" ht="24" customHeight="1" outlineLevel="3">
      <c r="B102" s="4505" t="s">
        <v>2281</v>
      </c>
      <c r="C102" s="4529"/>
      <c r="D102" s="9598" t="s">
        <v>267</v>
      </c>
      <c r="E102" s="9600"/>
      <c r="F102" s="132" t="s">
        <v>255</v>
      </c>
      <c r="G102" s="106"/>
      <c r="H102" s="353"/>
      <c r="I102" s="349" t="s">
        <v>2307</v>
      </c>
      <c r="J102" s="144"/>
      <c r="K102" s="136" t="s">
        <v>307</v>
      </c>
      <c r="L102" s="368">
        <v>172.10000000000002</v>
      </c>
      <c r="M102" s="369" t="s">
        <v>369</v>
      </c>
      <c r="N102" s="368">
        <v>187.43400000000003</v>
      </c>
      <c r="O102" s="370" t="s">
        <v>369</v>
      </c>
      <c r="P102" s="303"/>
      <c r="Q102" s="371"/>
      <c r="R102" s="4826">
        <v>172.10000000000002</v>
      </c>
      <c r="S102" s="4827" t="s">
        <v>673</v>
      </c>
      <c r="T102" s="4826">
        <v>187.43400000000003</v>
      </c>
      <c r="U102" s="4828" t="s">
        <v>674</v>
      </c>
      <c r="V102" s="303"/>
      <c r="W102" s="2066"/>
      <c r="X102" s="2209"/>
      <c r="Y102" s="136"/>
      <c r="Z102" s="303"/>
      <c r="AA102" s="136"/>
      <c r="AB102" s="2210"/>
      <c r="AC102" s="2521"/>
      <c r="AD102" s="303"/>
      <c r="AE102" s="303"/>
      <c r="AF102" s="100"/>
      <c r="AG102" s="100"/>
      <c r="AH102" s="100"/>
      <c r="AI102" s="100"/>
      <c r="AJ102" s="100"/>
      <c r="AK102" s="100"/>
      <c r="AL102" s="100"/>
      <c r="AM102" s="100"/>
      <c r="AN102" s="2187"/>
      <c r="AO102" s="2186">
        <v>0.75905267260283249</v>
      </c>
      <c r="AP102" s="342"/>
      <c r="AQ102" s="100">
        <v>0.6251159626591356</v>
      </c>
      <c r="AR102" s="342"/>
      <c r="AS102" s="2349">
        <v>0.62633720651525715</v>
      </c>
      <c r="AT102" s="4818"/>
      <c r="AU102" s="2186"/>
      <c r="AV102" s="342"/>
      <c r="AW102" s="100"/>
      <c r="AX102" s="342"/>
      <c r="AY102" s="2187"/>
      <c r="AZ102" s="2186"/>
      <c r="BA102" s="342"/>
      <c r="BB102" s="100"/>
      <c r="BC102" s="342"/>
      <c r="BD102" s="2187"/>
      <c r="BE102" s="2186"/>
      <c r="BF102" s="342"/>
      <c r="BG102" s="100"/>
      <c r="BH102" s="342"/>
      <c r="BI102" s="2187"/>
      <c r="BJ102" s="498"/>
      <c r="BK102" s="367"/>
      <c r="BL102" s="99"/>
      <c r="BM102" s="138"/>
      <c r="BN102" s="138"/>
      <c r="BO102" s="99"/>
      <c r="BP102" s="186" t="s">
        <v>269</v>
      </c>
      <c r="BQ102" s="265"/>
      <c r="BR102" s="187"/>
      <c r="BS102" s="18"/>
    </row>
    <row r="103" spans="2:71" ht="24" customHeight="1" outlineLevel="3">
      <c r="B103" s="4505" t="s">
        <v>2281</v>
      </c>
      <c r="C103" s="4530"/>
      <c r="D103" s="9773" t="s">
        <v>270</v>
      </c>
      <c r="E103" s="9782"/>
      <c r="F103" s="295" t="s">
        <v>255</v>
      </c>
      <c r="G103" s="106"/>
      <c r="H103" s="353"/>
      <c r="I103" s="349" t="s">
        <v>2308</v>
      </c>
      <c r="J103" s="144"/>
      <c r="K103" s="372" t="s">
        <v>255</v>
      </c>
      <c r="L103" s="368">
        <v>1096.4000000000001</v>
      </c>
      <c r="M103" s="369"/>
      <c r="N103" s="368">
        <v>1304.46</v>
      </c>
      <c r="O103" s="373"/>
      <c r="P103" s="303"/>
      <c r="Q103" s="371"/>
      <c r="R103" s="4829">
        <v>1096.4000000000001</v>
      </c>
      <c r="S103" s="4830"/>
      <c r="T103" s="4826">
        <v>1304.46</v>
      </c>
      <c r="U103" s="4828" t="s">
        <v>668</v>
      </c>
      <c r="V103" s="303"/>
      <c r="W103" s="2066"/>
      <c r="X103" s="2209"/>
      <c r="Y103" s="372"/>
      <c r="Z103" s="303"/>
      <c r="AA103" s="372"/>
      <c r="AB103" s="2210"/>
      <c r="AC103" s="2521"/>
      <c r="AD103" s="303"/>
      <c r="AE103" s="303"/>
      <c r="AF103" s="100"/>
      <c r="AG103" s="100"/>
      <c r="AH103" s="100"/>
      <c r="AI103" s="100"/>
      <c r="AJ103" s="100"/>
      <c r="AK103" s="100"/>
      <c r="AL103" s="100"/>
      <c r="AM103" s="100"/>
      <c r="AN103" s="2187"/>
      <c r="AO103" s="2186">
        <v>205.04103609538544</v>
      </c>
      <c r="AP103" s="342"/>
      <c r="AQ103" s="100">
        <v>175.98708298221584</v>
      </c>
      <c r="AR103" s="342"/>
      <c r="AS103" s="2349">
        <v>177.00964109114165</v>
      </c>
      <c r="AT103" s="4818"/>
      <c r="AU103" s="2186"/>
      <c r="AV103" s="342"/>
      <c r="AW103" s="100"/>
      <c r="AX103" s="342"/>
      <c r="AY103" s="2187"/>
      <c r="AZ103" s="2186"/>
      <c r="BA103" s="342"/>
      <c r="BB103" s="100"/>
      <c r="BC103" s="342"/>
      <c r="BD103" s="2187"/>
      <c r="BE103" s="2186"/>
      <c r="BF103" s="342"/>
      <c r="BG103" s="100"/>
      <c r="BH103" s="342"/>
      <c r="BI103" s="2187"/>
      <c r="BJ103" s="498"/>
      <c r="BK103" s="367"/>
      <c r="BL103" s="99"/>
      <c r="BM103" s="138"/>
      <c r="BN103" s="138"/>
      <c r="BO103" s="99"/>
      <c r="BP103" s="186" t="s">
        <v>269</v>
      </c>
      <c r="BQ103" s="265"/>
      <c r="BR103" s="187"/>
      <c r="BS103" s="18"/>
    </row>
    <row r="104" spans="2:71" ht="24" customHeight="1" outlineLevel="3">
      <c r="B104" s="4505" t="s">
        <v>2281</v>
      </c>
      <c r="C104" s="266" t="s">
        <v>675</v>
      </c>
      <c r="D104" s="306"/>
      <c r="E104" s="161"/>
      <c r="F104" s="280" t="s">
        <v>255</v>
      </c>
      <c r="G104" s="345"/>
      <c r="H104" s="143" t="s">
        <v>2309</v>
      </c>
      <c r="I104" s="143"/>
      <c r="J104" s="144"/>
      <c r="K104" s="281" t="s">
        <v>255</v>
      </c>
      <c r="L104" s="374">
        <f>L105+L106+L107</f>
        <v>0</v>
      </c>
      <c r="M104" s="375" t="s">
        <v>209</v>
      </c>
      <c r="N104" s="374">
        <f>N105+N106+N107</f>
        <v>0</v>
      </c>
      <c r="O104" s="376" t="s">
        <v>209</v>
      </c>
      <c r="P104" s="374">
        <f>P105+P106+P107</f>
        <v>0</v>
      </c>
      <c r="Q104" s="374"/>
      <c r="R104" s="374">
        <f>R105+R106+R107</f>
        <v>0</v>
      </c>
      <c r="S104" s="4831" t="s">
        <v>209</v>
      </c>
      <c r="T104" s="4832">
        <f>T105+T106+T107</f>
        <v>0</v>
      </c>
      <c r="U104" s="4831" t="s">
        <v>209</v>
      </c>
      <c r="V104" s="377">
        <f>V105+V106+V107</f>
        <v>0</v>
      </c>
      <c r="W104" s="2067"/>
      <c r="X104" s="2211">
        <f>X105+X106+X107</f>
        <v>0</v>
      </c>
      <c r="Y104" s="281"/>
      <c r="Z104" s="377">
        <f>Z105+Z106+Z107</f>
        <v>0</v>
      </c>
      <c r="AA104" s="281"/>
      <c r="AB104" s="2212">
        <f>AB105+AB106+AB107</f>
        <v>0</v>
      </c>
      <c r="AC104" s="2522">
        <f>AC105+AC106+AC107</f>
        <v>0</v>
      </c>
      <c r="AD104" s="377">
        <f>AD105+AD106+AD107</f>
        <v>0</v>
      </c>
      <c r="AE104" s="377">
        <f>AE105+AE106+AE107</f>
        <v>0</v>
      </c>
      <c r="AF104" s="378">
        <f t="shared" ref="AF104:AN104" si="6">AF105+AF106+AF107</f>
        <v>0</v>
      </c>
      <c r="AG104" s="378">
        <f t="shared" si="6"/>
        <v>0</v>
      </c>
      <c r="AH104" s="378">
        <f t="shared" si="6"/>
        <v>0</v>
      </c>
      <c r="AI104" s="378">
        <f t="shared" si="6"/>
        <v>0</v>
      </c>
      <c r="AJ104" s="378">
        <f t="shared" si="6"/>
        <v>0</v>
      </c>
      <c r="AK104" s="378">
        <f t="shared" si="6"/>
        <v>0</v>
      </c>
      <c r="AL104" s="378">
        <f t="shared" si="6"/>
        <v>0</v>
      </c>
      <c r="AM104" s="378">
        <f t="shared" si="6"/>
        <v>0</v>
      </c>
      <c r="AN104" s="2343">
        <f t="shared" si="6"/>
        <v>0</v>
      </c>
      <c r="AO104" s="2342">
        <v>87.456875595606604</v>
      </c>
      <c r="AP104" s="342"/>
      <c r="AQ104" s="378">
        <v>81.303974009327803</v>
      </c>
      <c r="AR104" s="342"/>
      <c r="AS104" s="2352">
        <v>88.372129660195171</v>
      </c>
      <c r="AT104" s="4818"/>
      <c r="AU104" s="2342">
        <f>AU105+AU106+AU107</f>
        <v>0</v>
      </c>
      <c r="AV104" s="342"/>
      <c r="AW104" s="378">
        <f>AW105+AW106+AW107</f>
        <v>0</v>
      </c>
      <c r="AX104" s="342"/>
      <c r="AY104" s="2343">
        <f>AY105+AY106+AY107</f>
        <v>0</v>
      </c>
      <c r="AZ104" s="2342">
        <f>AZ105+AZ106+AZ107</f>
        <v>0</v>
      </c>
      <c r="BA104" s="342"/>
      <c r="BB104" s="378">
        <f>BB105+BB106+BB107</f>
        <v>0</v>
      </c>
      <c r="BC104" s="342"/>
      <c r="BD104" s="2343">
        <f>BD105+BD106+BD107</f>
        <v>0</v>
      </c>
      <c r="BE104" s="2342">
        <f>BE105+BE106+BE107</f>
        <v>0</v>
      </c>
      <c r="BF104" s="342"/>
      <c r="BG104" s="378">
        <f>BG105+BG106+BG107</f>
        <v>0</v>
      </c>
      <c r="BH104" s="342"/>
      <c r="BI104" s="2343">
        <f>BI105+BI106+BI107</f>
        <v>0</v>
      </c>
      <c r="BJ104" s="2468" t="s">
        <v>676</v>
      </c>
      <c r="BK104" s="263" t="s">
        <v>276</v>
      </c>
      <c r="BL104" s="99"/>
      <c r="BM104" s="138"/>
      <c r="BN104" s="138"/>
      <c r="BO104" s="99"/>
      <c r="BP104" s="336" t="s">
        <v>280</v>
      </c>
      <c r="BQ104" s="265"/>
      <c r="BR104" s="187"/>
      <c r="BS104" s="18"/>
    </row>
    <row r="105" spans="2:71" ht="24" customHeight="1" outlineLevel="3">
      <c r="B105" s="4505" t="s">
        <v>2281</v>
      </c>
      <c r="C105" s="4528"/>
      <c r="D105" s="306" t="s">
        <v>278</v>
      </c>
      <c r="E105" s="306"/>
      <c r="F105" s="280" t="s">
        <v>255</v>
      </c>
      <c r="G105" s="347"/>
      <c r="H105" s="348"/>
      <c r="I105" s="349" t="s">
        <v>2310</v>
      </c>
      <c r="J105" s="144"/>
      <c r="K105" s="281" t="s">
        <v>255</v>
      </c>
      <c r="L105" s="379">
        <v>0</v>
      </c>
      <c r="M105" s="380" t="s">
        <v>209</v>
      </c>
      <c r="N105" s="379">
        <v>0</v>
      </c>
      <c r="O105" s="376" t="s">
        <v>209</v>
      </c>
      <c r="P105" s="274"/>
      <c r="Q105" s="381"/>
      <c r="R105" s="382"/>
      <c r="S105" s="4833" t="s">
        <v>209</v>
      </c>
      <c r="T105" s="273"/>
      <c r="U105" s="4834" t="s">
        <v>209</v>
      </c>
      <c r="V105" s="274"/>
      <c r="W105" s="2068"/>
      <c r="X105" s="2213"/>
      <c r="Y105" s="281"/>
      <c r="Z105" s="274"/>
      <c r="AA105" s="281"/>
      <c r="AB105" s="2214"/>
      <c r="AC105" s="2162"/>
      <c r="AD105" s="274"/>
      <c r="AE105" s="274"/>
      <c r="AF105" s="100"/>
      <c r="AG105" s="100"/>
      <c r="AH105" s="100"/>
      <c r="AI105" s="100"/>
      <c r="AJ105" s="100"/>
      <c r="AK105" s="100"/>
      <c r="AL105" s="100"/>
      <c r="AM105" s="100"/>
      <c r="AN105" s="2187"/>
      <c r="AO105" s="2186">
        <v>0</v>
      </c>
      <c r="AP105" s="342" t="s">
        <v>2295</v>
      </c>
      <c r="AQ105" s="100">
        <v>0</v>
      </c>
      <c r="AR105" s="342" t="s">
        <v>2295</v>
      </c>
      <c r="AS105" s="2349">
        <v>0</v>
      </c>
      <c r="AT105" s="4818" t="s">
        <v>2295</v>
      </c>
      <c r="AU105" s="2186"/>
      <c r="AV105" s="342"/>
      <c r="AW105" s="100"/>
      <c r="AX105" s="342"/>
      <c r="AY105" s="2187"/>
      <c r="AZ105" s="2186"/>
      <c r="BA105" s="342"/>
      <c r="BB105" s="100"/>
      <c r="BC105" s="342"/>
      <c r="BD105" s="2187"/>
      <c r="BE105" s="2186"/>
      <c r="BF105" s="342"/>
      <c r="BG105" s="100"/>
      <c r="BH105" s="342"/>
      <c r="BI105" s="2187"/>
      <c r="BJ105" s="2468"/>
      <c r="BK105" s="276"/>
      <c r="BL105" s="99"/>
      <c r="BM105" s="138"/>
      <c r="BN105" s="138"/>
      <c r="BO105" s="99"/>
      <c r="BP105" s="336" t="s">
        <v>280</v>
      </c>
      <c r="BQ105" s="265"/>
      <c r="BR105" s="187"/>
      <c r="BS105" s="18"/>
    </row>
    <row r="106" spans="2:71" ht="24" customHeight="1" outlineLevel="3">
      <c r="B106" s="4505" t="s">
        <v>2281</v>
      </c>
      <c r="C106" s="4531"/>
      <c r="D106" s="9773" t="s">
        <v>281</v>
      </c>
      <c r="E106" s="9782"/>
      <c r="F106" s="280" t="s">
        <v>255</v>
      </c>
      <c r="G106" s="106"/>
      <c r="H106" s="353"/>
      <c r="I106" s="184" t="s">
        <v>2311</v>
      </c>
      <c r="J106" s="141"/>
      <c r="K106" s="281" t="s">
        <v>255</v>
      </c>
      <c r="L106" s="379">
        <v>0</v>
      </c>
      <c r="M106" s="380" t="s">
        <v>209</v>
      </c>
      <c r="N106" s="379">
        <v>0</v>
      </c>
      <c r="O106" s="376" t="s">
        <v>209</v>
      </c>
      <c r="P106" s="274"/>
      <c r="Q106" s="381"/>
      <c r="R106" s="382"/>
      <c r="S106" s="383" t="s">
        <v>670</v>
      </c>
      <c r="T106" s="273"/>
      <c r="U106" s="4804" t="s">
        <v>670</v>
      </c>
      <c r="V106" s="274"/>
      <c r="W106" s="2068"/>
      <c r="X106" s="2213"/>
      <c r="Y106" s="281"/>
      <c r="Z106" s="274"/>
      <c r="AA106" s="281"/>
      <c r="AB106" s="2214"/>
      <c r="AC106" s="2162"/>
      <c r="AD106" s="274"/>
      <c r="AE106" s="274"/>
      <c r="AF106" s="100"/>
      <c r="AG106" s="100"/>
      <c r="AH106" s="100"/>
      <c r="AI106" s="100"/>
      <c r="AJ106" s="100"/>
      <c r="AK106" s="100"/>
      <c r="AL106" s="100"/>
      <c r="AM106" s="100"/>
      <c r="AN106" s="2187"/>
      <c r="AO106" s="2186">
        <v>87.456875595606604</v>
      </c>
      <c r="AP106" s="342"/>
      <c r="AQ106" s="100">
        <v>81.303974009327803</v>
      </c>
      <c r="AR106" s="342"/>
      <c r="AS106" s="2349">
        <v>88.372129660195171</v>
      </c>
      <c r="AT106" s="4818"/>
      <c r="AU106" s="2186"/>
      <c r="AV106" s="342"/>
      <c r="AW106" s="100"/>
      <c r="AX106" s="342"/>
      <c r="AY106" s="2187"/>
      <c r="AZ106" s="2186"/>
      <c r="BA106" s="342"/>
      <c r="BB106" s="100"/>
      <c r="BC106" s="342"/>
      <c r="BD106" s="2187"/>
      <c r="BE106" s="2186"/>
      <c r="BF106" s="342"/>
      <c r="BG106" s="100"/>
      <c r="BH106" s="342"/>
      <c r="BI106" s="2187"/>
      <c r="BJ106" s="2468"/>
      <c r="BK106" s="276"/>
      <c r="BL106" s="99"/>
      <c r="BM106" s="138"/>
      <c r="BN106" s="138"/>
      <c r="BO106" s="99"/>
      <c r="BP106" s="336" t="s">
        <v>280</v>
      </c>
      <c r="BQ106" s="265"/>
      <c r="BR106" s="187"/>
      <c r="BS106" s="18"/>
    </row>
    <row r="107" spans="2:71" ht="24" customHeight="1" outlineLevel="3">
      <c r="B107" s="4505" t="s">
        <v>2281</v>
      </c>
      <c r="C107" s="1945"/>
      <c r="D107" s="9598" t="s">
        <v>283</v>
      </c>
      <c r="E107" s="9600"/>
      <c r="F107" s="280" t="s">
        <v>255</v>
      </c>
      <c r="G107" s="384"/>
      <c r="H107" s="385"/>
      <c r="I107" s="184" t="s">
        <v>2312</v>
      </c>
      <c r="J107" s="141"/>
      <c r="K107" s="281" t="s">
        <v>255</v>
      </c>
      <c r="L107" s="379">
        <v>0</v>
      </c>
      <c r="M107" s="380" t="s">
        <v>209</v>
      </c>
      <c r="N107" s="379">
        <v>0</v>
      </c>
      <c r="O107" s="376" t="s">
        <v>209</v>
      </c>
      <c r="P107" s="274"/>
      <c r="Q107" s="381"/>
      <c r="R107" s="382"/>
      <c r="S107" s="4833" t="s">
        <v>209</v>
      </c>
      <c r="T107" s="273"/>
      <c r="U107" s="4834" t="s">
        <v>209</v>
      </c>
      <c r="V107" s="274"/>
      <c r="W107" s="2068"/>
      <c r="X107" s="2213"/>
      <c r="Y107" s="281"/>
      <c r="Z107" s="274"/>
      <c r="AA107" s="281"/>
      <c r="AB107" s="2214"/>
      <c r="AC107" s="2162"/>
      <c r="AD107" s="274"/>
      <c r="AE107" s="274"/>
      <c r="AF107" s="100"/>
      <c r="AG107" s="100"/>
      <c r="AH107" s="100"/>
      <c r="AI107" s="100"/>
      <c r="AJ107" s="100"/>
      <c r="AK107" s="100"/>
      <c r="AL107" s="100"/>
      <c r="AM107" s="100"/>
      <c r="AN107" s="2187"/>
      <c r="AO107" s="2186">
        <v>0</v>
      </c>
      <c r="AP107" s="342" t="s">
        <v>2295</v>
      </c>
      <c r="AQ107" s="100">
        <v>0</v>
      </c>
      <c r="AR107" s="342" t="s">
        <v>2295</v>
      </c>
      <c r="AS107" s="2349">
        <v>0</v>
      </c>
      <c r="AT107" s="4818" t="s">
        <v>2295</v>
      </c>
      <c r="AU107" s="2186"/>
      <c r="AV107" s="342"/>
      <c r="AW107" s="100"/>
      <c r="AX107" s="342"/>
      <c r="AY107" s="2187"/>
      <c r="AZ107" s="2186"/>
      <c r="BA107" s="342"/>
      <c r="BB107" s="100"/>
      <c r="BC107" s="342"/>
      <c r="BD107" s="2187"/>
      <c r="BE107" s="2186"/>
      <c r="BF107" s="342"/>
      <c r="BG107" s="100"/>
      <c r="BH107" s="342"/>
      <c r="BI107" s="2187"/>
      <c r="BJ107" s="2468"/>
      <c r="BK107" s="276"/>
      <c r="BL107" s="99"/>
      <c r="BM107" s="138"/>
      <c r="BN107" s="138"/>
      <c r="BO107" s="99"/>
      <c r="BP107" s="336" t="s">
        <v>280</v>
      </c>
      <c r="BQ107" s="265"/>
      <c r="BR107" s="187"/>
      <c r="BS107" s="18"/>
    </row>
    <row r="108" spans="2:71" ht="24" customHeight="1" outlineLevel="3">
      <c r="B108" s="4505" t="s">
        <v>2281</v>
      </c>
      <c r="C108" s="10038" t="s">
        <v>285</v>
      </c>
      <c r="D108" s="9769"/>
      <c r="E108" s="10039"/>
      <c r="F108" s="105" t="s">
        <v>286</v>
      </c>
      <c r="G108" s="386"/>
      <c r="H108" s="140" t="s">
        <v>2313</v>
      </c>
      <c r="I108" s="140"/>
      <c r="J108" s="141"/>
      <c r="K108" s="109" t="s">
        <v>288</v>
      </c>
      <c r="L108" s="387">
        <v>0.38601637792783605</v>
      </c>
      <c r="M108" s="388"/>
      <c r="N108" s="387">
        <v>0.21113310963709983</v>
      </c>
      <c r="O108" s="389"/>
      <c r="P108" s="390" t="s">
        <v>169</v>
      </c>
      <c r="Q108" s="390"/>
      <c r="R108" s="390">
        <v>0.38601637792783605</v>
      </c>
      <c r="S108" s="4835"/>
      <c r="T108" s="390">
        <v>0.21113310963709983</v>
      </c>
      <c r="U108" s="390"/>
      <c r="V108" s="390" t="s">
        <v>169</v>
      </c>
      <c r="W108" s="4836"/>
      <c r="X108" s="2215" t="s">
        <v>169</v>
      </c>
      <c r="Y108" s="109"/>
      <c r="Z108" s="391" t="str">
        <f>IFERROR(Z109/Z110,"-")</f>
        <v>-</v>
      </c>
      <c r="AA108" s="281"/>
      <c r="AB108" s="2216" t="str">
        <f>IFERROR(AB109/AB110,"-")</f>
        <v>-</v>
      </c>
      <c r="AC108" s="2117" t="str">
        <f t="shared" ref="AC108:AE108" si="7">IFERROR(AC109/AC110,"-")</f>
        <v>-</v>
      </c>
      <c r="AD108" s="391" t="str">
        <f t="shared" si="7"/>
        <v>-</v>
      </c>
      <c r="AE108" s="391" t="str">
        <f t="shared" si="7"/>
        <v>-</v>
      </c>
      <c r="AF108" s="391" t="str">
        <f>IFERROR(AF109/AF110,"-")</f>
        <v>-</v>
      </c>
      <c r="AG108" s="391" t="str">
        <f t="shared" ref="AG108:AN108" si="8">IFERROR(AG109/AG110,"-")</f>
        <v>-</v>
      </c>
      <c r="AH108" s="391" t="str">
        <f t="shared" si="8"/>
        <v>-</v>
      </c>
      <c r="AI108" s="391" t="str">
        <f t="shared" si="8"/>
        <v>-</v>
      </c>
      <c r="AJ108" s="391" t="str">
        <f t="shared" si="8"/>
        <v>-</v>
      </c>
      <c r="AK108" s="391" t="str">
        <f t="shared" si="8"/>
        <v>-</v>
      </c>
      <c r="AL108" s="391" t="str">
        <f t="shared" si="8"/>
        <v>-</v>
      </c>
      <c r="AM108" s="391" t="str">
        <f t="shared" si="8"/>
        <v>-</v>
      </c>
      <c r="AN108" s="2216" t="str">
        <f t="shared" si="8"/>
        <v>-</v>
      </c>
      <c r="AO108" s="2270">
        <v>0.11231382967573462</v>
      </c>
      <c r="AP108" s="342"/>
      <c r="AQ108" s="391">
        <v>0.1545732077852528</v>
      </c>
      <c r="AR108" s="342"/>
      <c r="AS108" s="2090">
        <v>8.9134625498143175E-2</v>
      </c>
      <c r="AT108" s="4818"/>
      <c r="AU108" s="2270" t="str">
        <f>IFERROR(AU109/AU110,"-")</f>
        <v>-</v>
      </c>
      <c r="AV108" s="342"/>
      <c r="AW108" s="391" t="str">
        <f>IFERROR(AW109/AW110,"-")</f>
        <v>-</v>
      </c>
      <c r="AX108" s="342"/>
      <c r="AY108" s="2216" t="str">
        <f>IFERROR(AY109/AY110,"-")</f>
        <v>-</v>
      </c>
      <c r="AZ108" s="2270" t="str">
        <f>IFERROR(AZ109/AZ110,"-")</f>
        <v>-</v>
      </c>
      <c r="BA108" s="342"/>
      <c r="BB108" s="391" t="str">
        <f>IFERROR(BB109/BB110,"-")</f>
        <v>-</v>
      </c>
      <c r="BC108" s="342"/>
      <c r="BD108" s="2216" t="str">
        <f>IFERROR(BD109/BD110,"-")</f>
        <v>-</v>
      </c>
      <c r="BE108" s="2270" t="str">
        <f>IFERROR(BE109/BE110,"-")</f>
        <v>-</v>
      </c>
      <c r="BF108" s="342"/>
      <c r="BG108" s="391" t="str">
        <f>IFERROR(BG109/BG110,"-")</f>
        <v>-</v>
      </c>
      <c r="BH108" s="342"/>
      <c r="BI108" s="2216" t="str">
        <f>IFERROR(BI109/BI110,"-")</f>
        <v>-</v>
      </c>
      <c r="BJ108" s="2468" t="s">
        <v>289</v>
      </c>
      <c r="BK108" s="276" t="s">
        <v>290</v>
      </c>
      <c r="BL108" s="99"/>
      <c r="BM108" s="138"/>
      <c r="BN108" s="138"/>
      <c r="BO108" s="99"/>
      <c r="BP108" s="346" t="s">
        <v>291</v>
      </c>
      <c r="BQ108" s="346" t="s">
        <v>292</v>
      </c>
      <c r="BR108" s="187"/>
      <c r="BS108" s="18"/>
    </row>
    <row r="109" spans="2:71" ht="24" customHeight="1" outlineLevel="3">
      <c r="B109" s="4505" t="s">
        <v>2281</v>
      </c>
      <c r="C109" s="4528"/>
      <c r="D109" s="9770" t="s">
        <v>254</v>
      </c>
      <c r="E109" s="10039"/>
      <c r="F109" s="280" t="s">
        <v>255</v>
      </c>
      <c r="G109" s="106"/>
      <c r="H109" s="353"/>
      <c r="I109" s="184" t="s">
        <v>2314</v>
      </c>
      <c r="J109" s="177"/>
      <c r="K109" s="281" t="s">
        <v>255</v>
      </c>
      <c r="L109" s="392">
        <v>1268.5</v>
      </c>
      <c r="M109" s="389"/>
      <c r="N109" s="392">
        <v>1491.8940000000002</v>
      </c>
      <c r="O109" s="389"/>
      <c r="P109" s="303"/>
      <c r="Q109" s="371"/>
      <c r="R109" s="389">
        <v>1268.5</v>
      </c>
      <c r="S109" s="4837" t="s">
        <v>667</v>
      </c>
      <c r="T109" s="4826">
        <v>1491.8940000000002</v>
      </c>
      <c r="U109" s="4827" t="s">
        <v>1782</v>
      </c>
      <c r="V109" s="303"/>
      <c r="W109" s="2066"/>
      <c r="X109" s="2209"/>
      <c r="Y109" s="281"/>
      <c r="Z109" s="303"/>
      <c r="AA109" s="281"/>
      <c r="AB109" s="2210"/>
      <c r="AC109" s="2521"/>
      <c r="AD109" s="303"/>
      <c r="AE109" s="303"/>
      <c r="AF109" s="100"/>
      <c r="AG109" s="100"/>
      <c r="AH109" s="100"/>
      <c r="AI109" s="100"/>
      <c r="AJ109" s="100"/>
      <c r="AK109" s="100"/>
      <c r="AL109" s="100"/>
      <c r="AM109" s="100"/>
      <c r="AN109" s="2187"/>
      <c r="AO109" s="2186">
        <v>293.25696436359488</v>
      </c>
      <c r="AP109" s="293"/>
      <c r="AQ109" s="100">
        <v>257.91617295420275</v>
      </c>
      <c r="AR109" s="342"/>
      <c r="AS109" s="2349">
        <v>266.00810795785208</v>
      </c>
      <c r="AT109" s="4818"/>
      <c r="AU109" s="2186"/>
      <c r="AV109" s="342"/>
      <c r="AW109" s="100"/>
      <c r="AX109" s="293"/>
      <c r="AY109" s="2187"/>
      <c r="AZ109" s="2186"/>
      <c r="BA109" s="342"/>
      <c r="BB109" s="100"/>
      <c r="BC109" s="342"/>
      <c r="BD109" s="2187"/>
      <c r="BE109" s="2186"/>
      <c r="BF109" s="342"/>
      <c r="BG109" s="100"/>
      <c r="BH109" s="342"/>
      <c r="BI109" s="2187"/>
      <c r="BJ109" s="2468"/>
      <c r="BK109" s="276"/>
      <c r="BL109" s="99"/>
      <c r="BM109" s="138"/>
      <c r="BN109" s="138"/>
      <c r="BO109" s="99"/>
      <c r="BP109" s="346" t="s">
        <v>294</v>
      </c>
      <c r="BQ109" s="346"/>
      <c r="BR109" s="187"/>
      <c r="BS109" s="18"/>
    </row>
    <row r="110" spans="2:71" ht="24" customHeight="1" outlineLevel="3">
      <c r="B110" s="4505" t="s">
        <v>2281</v>
      </c>
      <c r="C110" s="1945"/>
      <c r="D110" s="9770" t="s">
        <v>232</v>
      </c>
      <c r="E110" s="10039"/>
      <c r="F110" s="105" t="s">
        <v>233</v>
      </c>
      <c r="G110" s="106"/>
      <c r="H110" s="353"/>
      <c r="I110" s="184" t="s">
        <v>2292</v>
      </c>
      <c r="J110" s="177"/>
      <c r="K110" s="109" t="s">
        <v>295</v>
      </c>
      <c r="L110" s="301"/>
      <c r="M110" s="301"/>
      <c r="N110" s="301"/>
      <c r="O110" s="301"/>
      <c r="P110" s="301"/>
      <c r="Q110" s="301"/>
      <c r="R110" s="301"/>
      <c r="S110" s="301"/>
      <c r="T110" s="301"/>
      <c r="U110" s="301"/>
      <c r="V110" s="301"/>
      <c r="W110" s="2061"/>
      <c r="X110" s="2217"/>
      <c r="Y110" s="109"/>
      <c r="Z110" s="303"/>
      <c r="AA110" s="281"/>
      <c r="AB110" s="2210"/>
      <c r="AC110" s="2521"/>
      <c r="AD110" s="303"/>
      <c r="AE110" s="303"/>
      <c r="AF110" s="100"/>
      <c r="AG110" s="100"/>
      <c r="AH110" s="100"/>
      <c r="AI110" s="100"/>
      <c r="AJ110" s="100"/>
      <c r="AK110" s="100"/>
      <c r="AL110" s="100"/>
      <c r="AM110" s="100"/>
      <c r="AN110" s="2187"/>
      <c r="AO110" s="2186">
        <v>2611.0494603404391</v>
      </c>
      <c r="AP110" s="293"/>
      <c r="AQ110" s="100">
        <v>1668.5697130160061</v>
      </c>
      <c r="AR110" s="293"/>
      <c r="AS110" s="2349">
        <v>2984.3408941387597</v>
      </c>
      <c r="AT110" s="4806"/>
      <c r="AU110" s="2186"/>
      <c r="AV110" s="293"/>
      <c r="AW110" s="100"/>
      <c r="AX110" s="293"/>
      <c r="AY110" s="2187"/>
      <c r="AZ110" s="2186"/>
      <c r="BA110" s="293"/>
      <c r="BB110" s="100"/>
      <c r="BC110" s="293"/>
      <c r="BD110" s="2187"/>
      <c r="BE110" s="2186"/>
      <c r="BF110" s="293"/>
      <c r="BG110" s="100"/>
      <c r="BH110" s="342"/>
      <c r="BI110" s="2187"/>
      <c r="BJ110" s="2468"/>
      <c r="BK110" s="276"/>
      <c r="BL110" s="99"/>
      <c r="BM110" s="138"/>
      <c r="BN110" s="138"/>
      <c r="BO110" s="99"/>
      <c r="BP110" s="346" t="s">
        <v>291</v>
      </c>
      <c r="BQ110" s="346"/>
      <c r="BR110" s="187"/>
      <c r="BS110" s="18"/>
    </row>
    <row r="111" spans="2:71" ht="24" customHeight="1" outlineLevel="3">
      <c r="B111" s="4505" t="s">
        <v>2281</v>
      </c>
      <c r="C111" s="10038" t="s">
        <v>321</v>
      </c>
      <c r="D111" s="9769"/>
      <c r="E111" s="10039"/>
      <c r="F111" s="280" t="s">
        <v>255</v>
      </c>
      <c r="G111" s="386"/>
      <c r="H111" s="140" t="s">
        <v>2315</v>
      </c>
      <c r="I111" s="140"/>
      <c r="J111" s="141"/>
      <c r="K111" s="281" t="s">
        <v>255</v>
      </c>
      <c r="L111" s="393">
        <v>1096.472</v>
      </c>
      <c r="M111" s="393"/>
      <c r="N111" s="393">
        <v>1304.46</v>
      </c>
      <c r="O111" s="393"/>
      <c r="P111" s="340"/>
      <c r="Q111" s="341"/>
      <c r="R111" s="4838">
        <v>1096.472</v>
      </c>
      <c r="S111" s="4839"/>
      <c r="T111" s="4840">
        <v>1304.46</v>
      </c>
      <c r="U111" s="4827"/>
      <c r="V111" s="303"/>
      <c r="W111" s="2063"/>
      <c r="X111" s="2209"/>
      <c r="Y111" s="281"/>
      <c r="Z111" s="303"/>
      <c r="AA111" s="281"/>
      <c r="AB111" s="2210"/>
      <c r="AC111" s="2521"/>
      <c r="AD111" s="303"/>
      <c r="AE111" s="303"/>
      <c r="AF111" s="100"/>
      <c r="AG111" s="100"/>
      <c r="AH111" s="100"/>
      <c r="AI111" s="100"/>
      <c r="AJ111" s="100"/>
      <c r="AK111" s="100"/>
      <c r="AL111" s="100"/>
      <c r="AM111" s="100"/>
      <c r="AN111" s="2187"/>
      <c r="AO111" s="2186">
        <v>292.49791169099205</v>
      </c>
      <c r="AP111" s="293"/>
      <c r="AQ111" s="100">
        <v>257.29105699154366</v>
      </c>
      <c r="AR111" s="293"/>
      <c r="AS111" s="2349">
        <v>265.38177075133683</v>
      </c>
      <c r="AT111" s="4806"/>
      <c r="AU111" s="2186"/>
      <c r="AV111" s="293"/>
      <c r="AW111" s="100"/>
      <c r="AX111" s="293"/>
      <c r="AY111" s="2187"/>
      <c r="AZ111" s="2186"/>
      <c r="BA111" s="293"/>
      <c r="BB111" s="100"/>
      <c r="BC111" s="293"/>
      <c r="BD111" s="2187"/>
      <c r="BE111" s="2186"/>
      <c r="BF111" s="293"/>
      <c r="BG111" s="100"/>
      <c r="BH111" s="293"/>
      <c r="BI111" s="2187"/>
      <c r="BJ111" s="2468" t="s">
        <v>1783</v>
      </c>
      <c r="BK111" s="276" t="s">
        <v>1784</v>
      </c>
      <c r="BL111" s="99"/>
      <c r="BM111" s="138"/>
      <c r="BN111" s="138"/>
      <c r="BO111" s="99"/>
      <c r="BP111" s="346" t="s">
        <v>323</v>
      </c>
      <c r="BQ111" s="265"/>
      <c r="BR111" s="187"/>
      <c r="BS111" s="18"/>
    </row>
    <row r="112" spans="2:71" ht="24" customHeight="1" outlineLevel="3">
      <c r="B112" s="4505" t="s">
        <v>2281</v>
      </c>
      <c r="C112" s="10146" t="s">
        <v>324</v>
      </c>
      <c r="D112" s="9648"/>
      <c r="E112" s="9649"/>
      <c r="F112" s="280" t="s">
        <v>156</v>
      </c>
      <c r="G112" s="386"/>
      <c r="H112" s="140" t="s">
        <v>2316</v>
      </c>
      <c r="I112" s="140"/>
      <c r="J112" s="141"/>
      <c r="K112" s="281" t="s">
        <v>156</v>
      </c>
      <c r="L112" s="303"/>
      <c r="M112" s="363"/>
      <c r="N112" s="303"/>
      <c r="O112" s="368"/>
      <c r="P112" s="394"/>
      <c r="Q112" s="395"/>
      <c r="R112" s="303"/>
      <c r="S112" s="4830"/>
      <c r="T112" s="303"/>
      <c r="U112" s="4827"/>
      <c r="V112" s="303"/>
      <c r="W112" s="2070"/>
      <c r="X112" s="2209"/>
      <c r="Y112" s="281"/>
      <c r="Z112" s="303"/>
      <c r="AA112" s="281"/>
      <c r="AB112" s="2210"/>
      <c r="AC112" s="2521"/>
      <c r="AD112" s="303"/>
      <c r="AE112" s="303"/>
      <c r="AF112" s="100"/>
      <c r="AG112" s="100"/>
      <c r="AH112" s="100"/>
      <c r="AI112" s="100"/>
      <c r="AJ112" s="100"/>
      <c r="AK112" s="100"/>
      <c r="AL112" s="100"/>
      <c r="AM112" s="100"/>
      <c r="AN112" s="2187"/>
      <c r="AO112" s="3712">
        <v>1</v>
      </c>
      <c r="AP112" s="293"/>
      <c r="AQ112" s="4841">
        <v>1</v>
      </c>
      <c r="AR112" s="293"/>
      <c r="AS112" s="5740">
        <v>1</v>
      </c>
      <c r="AT112" s="4806"/>
      <c r="AU112" s="2186"/>
      <c r="AV112" s="293"/>
      <c r="AW112" s="100"/>
      <c r="AX112" s="293"/>
      <c r="AY112" s="2187"/>
      <c r="AZ112" s="2186"/>
      <c r="BA112" s="293"/>
      <c r="BB112" s="100"/>
      <c r="BC112" s="293"/>
      <c r="BD112" s="2187"/>
      <c r="BE112" s="2186"/>
      <c r="BF112" s="293"/>
      <c r="BG112" s="100"/>
      <c r="BH112" s="293"/>
      <c r="BI112" s="2187"/>
      <c r="BJ112" s="2468" t="s">
        <v>326</v>
      </c>
      <c r="BK112" s="276" t="s">
        <v>327</v>
      </c>
      <c r="BL112" s="99"/>
      <c r="BM112" s="138"/>
      <c r="BN112" s="138"/>
      <c r="BO112" s="99"/>
      <c r="BP112" s="346"/>
      <c r="BQ112" s="265"/>
      <c r="BR112" s="187" t="s">
        <v>261</v>
      </c>
      <c r="BS112" s="18"/>
    </row>
    <row r="113" spans="2:71" ht="24" customHeight="1" outlineLevel="3">
      <c r="B113" s="4505" t="s">
        <v>2281</v>
      </c>
      <c r="C113" s="10038" t="s">
        <v>328</v>
      </c>
      <c r="D113" s="9769"/>
      <c r="E113" s="10039"/>
      <c r="F113" s="280" t="s">
        <v>307</v>
      </c>
      <c r="G113" s="386"/>
      <c r="H113" s="140" t="s">
        <v>2317</v>
      </c>
      <c r="I113" s="140"/>
      <c r="J113" s="141"/>
      <c r="K113" s="281" t="s">
        <v>307</v>
      </c>
      <c r="L113" s="396">
        <f>L114+L115</f>
        <v>0</v>
      </c>
      <c r="M113" s="397"/>
      <c r="N113" s="396">
        <f>N114+N115</f>
        <v>0</v>
      </c>
      <c r="O113" s="398"/>
      <c r="P113" s="396">
        <f t="shared" ref="P113:V113" si="9">P114+P115</f>
        <v>0</v>
      </c>
      <c r="Q113" s="396"/>
      <c r="R113" s="396">
        <f t="shared" si="9"/>
        <v>0</v>
      </c>
      <c r="S113" s="4842"/>
      <c r="T113" s="396">
        <f t="shared" si="9"/>
        <v>0</v>
      </c>
      <c r="U113" s="4842"/>
      <c r="V113" s="396">
        <f t="shared" si="9"/>
        <v>0</v>
      </c>
      <c r="W113" s="2071"/>
      <c r="X113" s="2218">
        <f t="shared" ref="X113" si="10">X114+X115</f>
        <v>0</v>
      </c>
      <c r="Y113" s="281"/>
      <c r="Z113" s="396">
        <f>Z114+Z115</f>
        <v>0</v>
      </c>
      <c r="AA113" s="281"/>
      <c r="AB113" s="2219">
        <f t="shared" ref="AB113:AN113" si="11">AB114+AB115</f>
        <v>0</v>
      </c>
      <c r="AC113" s="2523">
        <f t="shared" si="11"/>
        <v>0</v>
      </c>
      <c r="AD113" s="396">
        <f t="shared" si="11"/>
        <v>0</v>
      </c>
      <c r="AE113" s="396">
        <f t="shared" si="11"/>
        <v>0</v>
      </c>
      <c r="AF113" s="399">
        <f t="shared" si="11"/>
        <v>0</v>
      </c>
      <c r="AG113" s="399">
        <f t="shared" si="11"/>
        <v>0</v>
      </c>
      <c r="AH113" s="399">
        <f t="shared" si="11"/>
        <v>0</v>
      </c>
      <c r="AI113" s="399">
        <f t="shared" si="11"/>
        <v>0</v>
      </c>
      <c r="AJ113" s="399">
        <f t="shared" si="11"/>
        <v>0</v>
      </c>
      <c r="AK113" s="399">
        <f t="shared" si="11"/>
        <v>0</v>
      </c>
      <c r="AL113" s="399">
        <f t="shared" si="11"/>
        <v>0</v>
      </c>
      <c r="AM113" s="399">
        <f t="shared" si="11"/>
        <v>0</v>
      </c>
      <c r="AN113" s="2388">
        <f t="shared" si="11"/>
        <v>0</v>
      </c>
      <c r="AO113" s="2387">
        <v>87.456875595606604</v>
      </c>
      <c r="AP113" s="400"/>
      <c r="AQ113" s="399">
        <v>81.303974009327803</v>
      </c>
      <c r="AR113" s="400"/>
      <c r="AS113" s="4843">
        <v>88.372129660195171</v>
      </c>
      <c r="AT113" s="4844"/>
      <c r="AU113" s="2387">
        <f>AU114+AU115</f>
        <v>0</v>
      </c>
      <c r="AV113" s="400"/>
      <c r="AW113" s="399">
        <f>AW114+AW115</f>
        <v>0</v>
      </c>
      <c r="AX113" s="400"/>
      <c r="AY113" s="2388">
        <f>AY114+AY115</f>
        <v>0</v>
      </c>
      <c r="AZ113" s="2387">
        <f>AZ114+AZ115</f>
        <v>0</v>
      </c>
      <c r="BA113" s="400"/>
      <c r="BB113" s="399">
        <f>BB114+BB115</f>
        <v>0</v>
      </c>
      <c r="BC113" s="400"/>
      <c r="BD113" s="2388">
        <f>BD114+BD115</f>
        <v>0</v>
      </c>
      <c r="BE113" s="2496">
        <f>BE114+BE115</f>
        <v>0</v>
      </c>
      <c r="BF113" s="400"/>
      <c r="BG113" s="401">
        <f>BG114+BG115</f>
        <v>0</v>
      </c>
      <c r="BH113" s="400"/>
      <c r="BI113" s="2388">
        <f>BI114+BI115</f>
        <v>0</v>
      </c>
      <c r="BJ113" s="2468" t="s">
        <v>330</v>
      </c>
      <c r="BK113" s="276" t="s">
        <v>331</v>
      </c>
      <c r="BL113" s="99"/>
      <c r="BM113" s="138"/>
      <c r="BN113" s="138"/>
      <c r="BO113" s="99"/>
      <c r="BP113" s="346" t="s">
        <v>332</v>
      </c>
      <c r="BQ113" s="265"/>
      <c r="BR113" s="187"/>
      <c r="BS113" s="18"/>
    </row>
    <row r="114" spans="2:71" ht="24" customHeight="1" outlineLevel="3">
      <c r="B114" s="4505" t="s">
        <v>2281</v>
      </c>
      <c r="C114" s="4528"/>
      <c r="D114" s="9770" t="s">
        <v>333</v>
      </c>
      <c r="E114" s="10039"/>
      <c r="F114" s="280" t="s">
        <v>307</v>
      </c>
      <c r="G114" s="106"/>
      <c r="H114" s="353"/>
      <c r="I114" s="386" t="s">
        <v>2318</v>
      </c>
      <c r="J114" s="141"/>
      <c r="K114" s="281" t="s">
        <v>307</v>
      </c>
      <c r="L114" s="274"/>
      <c r="M114" s="304" t="s">
        <v>209</v>
      </c>
      <c r="N114" s="274"/>
      <c r="O114" s="304" t="s">
        <v>209</v>
      </c>
      <c r="P114" s="402"/>
      <c r="Q114" s="403"/>
      <c r="R114" s="274"/>
      <c r="S114" s="2000" t="s">
        <v>2102</v>
      </c>
      <c r="T114" s="274"/>
      <c r="U114" s="1999" t="s">
        <v>2102</v>
      </c>
      <c r="V114" s="274"/>
      <c r="W114" s="2072"/>
      <c r="X114" s="2213"/>
      <c r="Y114" s="281"/>
      <c r="Z114" s="274"/>
      <c r="AA114" s="281"/>
      <c r="AB114" s="2214"/>
      <c r="AC114" s="2162"/>
      <c r="AD114" s="274"/>
      <c r="AE114" s="274"/>
      <c r="AF114" s="100"/>
      <c r="AG114" s="100"/>
      <c r="AH114" s="100"/>
      <c r="AI114" s="100"/>
      <c r="AJ114" s="100"/>
      <c r="AK114" s="100"/>
      <c r="AL114" s="100"/>
      <c r="AM114" s="100"/>
      <c r="AN114" s="2187"/>
      <c r="AO114" s="2186">
        <v>87.456875595606604</v>
      </c>
      <c r="AP114" s="293"/>
      <c r="AQ114" s="100">
        <v>81.303974009327803</v>
      </c>
      <c r="AR114" s="293"/>
      <c r="AS114" s="2349">
        <v>88.372129660195171</v>
      </c>
      <c r="AT114" s="4806"/>
      <c r="AU114" s="2186"/>
      <c r="AV114" s="293"/>
      <c r="AW114" s="100"/>
      <c r="AX114" s="293"/>
      <c r="AY114" s="2187"/>
      <c r="AZ114" s="2186"/>
      <c r="BA114" s="293"/>
      <c r="BB114" s="100"/>
      <c r="BC114" s="293"/>
      <c r="BD114" s="2187"/>
      <c r="BE114" s="2186"/>
      <c r="BF114" s="293"/>
      <c r="BG114" s="100"/>
      <c r="BH114" s="293"/>
      <c r="BI114" s="2187"/>
      <c r="BJ114" s="2468"/>
      <c r="BK114" s="276"/>
      <c r="BL114" s="99"/>
      <c r="BM114" s="138"/>
      <c r="BN114" s="138"/>
      <c r="BO114" s="99"/>
      <c r="BP114" s="346" t="s">
        <v>332</v>
      </c>
      <c r="BQ114" s="265"/>
      <c r="BR114" s="187"/>
      <c r="BS114" s="18"/>
    </row>
    <row r="115" spans="2:71" ht="24" customHeight="1" outlineLevel="3">
      <c r="B115" s="4505" t="s">
        <v>2281</v>
      </c>
      <c r="C115" s="1945"/>
      <c r="D115" s="9770" t="s">
        <v>335</v>
      </c>
      <c r="E115" s="10039"/>
      <c r="F115" s="280" t="s">
        <v>307</v>
      </c>
      <c r="G115" s="106"/>
      <c r="H115" s="353"/>
      <c r="I115" s="386" t="s">
        <v>2319</v>
      </c>
      <c r="J115" s="144"/>
      <c r="K115" s="281" t="s">
        <v>307</v>
      </c>
      <c r="L115" s="274"/>
      <c r="M115" s="304" t="s">
        <v>209</v>
      </c>
      <c r="N115" s="274"/>
      <c r="O115" s="304" t="s">
        <v>209</v>
      </c>
      <c r="P115" s="402"/>
      <c r="Q115" s="403"/>
      <c r="R115" s="274"/>
      <c r="S115" s="404"/>
      <c r="T115" s="274"/>
      <c r="U115" s="1999"/>
      <c r="V115" s="274"/>
      <c r="W115" s="2072"/>
      <c r="X115" s="2213"/>
      <c r="Y115" s="281"/>
      <c r="Z115" s="274"/>
      <c r="AA115" s="281"/>
      <c r="AB115" s="2214"/>
      <c r="AC115" s="2162"/>
      <c r="AD115" s="274"/>
      <c r="AE115" s="274"/>
      <c r="AF115" s="100"/>
      <c r="AG115" s="100"/>
      <c r="AH115" s="100"/>
      <c r="AI115" s="100"/>
      <c r="AJ115" s="100"/>
      <c r="AK115" s="100"/>
      <c r="AL115" s="100"/>
      <c r="AM115" s="100"/>
      <c r="AN115" s="2187"/>
      <c r="AO115" s="2186">
        <v>0</v>
      </c>
      <c r="AP115" s="293" t="s">
        <v>2295</v>
      </c>
      <c r="AQ115" s="100">
        <v>0</v>
      </c>
      <c r="AR115" s="293" t="s">
        <v>2295</v>
      </c>
      <c r="AS115" s="2349">
        <v>0</v>
      </c>
      <c r="AT115" s="4806" t="s">
        <v>2295</v>
      </c>
      <c r="AU115" s="2186"/>
      <c r="AV115" s="293"/>
      <c r="AW115" s="100"/>
      <c r="AX115" s="293"/>
      <c r="AY115" s="2187"/>
      <c r="AZ115" s="2186"/>
      <c r="BA115" s="293"/>
      <c r="BB115" s="100"/>
      <c r="BC115" s="293"/>
      <c r="BD115" s="2187"/>
      <c r="BE115" s="2186"/>
      <c r="BF115" s="293"/>
      <c r="BG115" s="100"/>
      <c r="BH115" s="293"/>
      <c r="BI115" s="2187"/>
      <c r="BJ115" s="2468"/>
      <c r="BK115" s="276"/>
      <c r="BL115" s="99"/>
      <c r="BM115" s="138"/>
      <c r="BN115" s="138"/>
      <c r="BO115" s="99"/>
      <c r="BP115" s="346" t="s">
        <v>332</v>
      </c>
      <c r="BQ115" s="265"/>
      <c r="BR115" s="187"/>
      <c r="BS115" s="18"/>
    </row>
    <row r="116" spans="2:71" ht="24" customHeight="1" outlineLevel="3">
      <c r="B116" s="4505" t="s">
        <v>2281</v>
      </c>
      <c r="C116" s="10146" t="s">
        <v>337</v>
      </c>
      <c r="D116" s="9648"/>
      <c r="E116" s="9649"/>
      <c r="F116" s="280" t="s">
        <v>156</v>
      </c>
      <c r="G116" s="386"/>
      <c r="H116" s="140" t="s">
        <v>2320</v>
      </c>
      <c r="I116" s="140"/>
      <c r="J116" s="177"/>
      <c r="K116" s="281" t="s">
        <v>156</v>
      </c>
      <c r="L116" s="274"/>
      <c r="M116" s="269"/>
      <c r="N116" s="274"/>
      <c r="O116" s="269"/>
      <c r="P116" s="402"/>
      <c r="Q116" s="403"/>
      <c r="R116" s="274"/>
      <c r="S116" s="404"/>
      <c r="T116" s="274"/>
      <c r="U116" s="1999"/>
      <c r="V116" s="274"/>
      <c r="W116" s="2072"/>
      <c r="X116" s="2213"/>
      <c r="Y116" s="281"/>
      <c r="Z116" s="274"/>
      <c r="AA116" s="281"/>
      <c r="AB116" s="2214"/>
      <c r="AC116" s="2162"/>
      <c r="AD116" s="274"/>
      <c r="AE116" s="274"/>
      <c r="AF116" s="100"/>
      <c r="AG116" s="100"/>
      <c r="AH116" s="100"/>
      <c r="AI116" s="100"/>
      <c r="AJ116" s="100"/>
      <c r="AK116" s="100"/>
      <c r="AL116" s="100"/>
      <c r="AM116" s="100"/>
      <c r="AN116" s="2187"/>
      <c r="AO116" s="3712">
        <v>0.29822608232134984</v>
      </c>
      <c r="AP116" s="293"/>
      <c r="AQ116" s="4841">
        <v>0.315234105244593</v>
      </c>
      <c r="AR116" s="293"/>
      <c r="AS116" s="5740">
        <v>0.3322159250657028</v>
      </c>
      <c r="AT116" s="4806"/>
      <c r="AU116" s="2186"/>
      <c r="AV116" s="293"/>
      <c r="AW116" s="100"/>
      <c r="AX116" s="293"/>
      <c r="AY116" s="2187"/>
      <c r="AZ116" s="2186"/>
      <c r="BA116" s="293"/>
      <c r="BB116" s="100"/>
      <c r="BC116" s="293"/>
      <c r="BD116" s="2187"/>
      <c r="BE116" s="2186"/>
      <c r="BF116" s="293"/>
      <c r="BG116" s="100"/>
      <c r="BH116" s="293"/>
      <c r="BI116" s="2187"/>
      <c r="BJ116" s="2468" t="s">
        <v>339</v>
      </c>
      <c r="BK116" s="276" t="s">
        <v>340</v>
      </c>
      <c r="BL116" s="99"/>
      <c r="BM116" s="138"/>
      <c r="BN116" s="138"/>
      <c r="BO116" s="99"/>
      <c r="BP116" s="346"/>
      <c r="BQ116" s="265"/>
      <c r="BR116" s="187" t="s">
        <v>261</v>
      </c>
      <c r="BS116" s="18"/>
    </row>
    <row r="117" spans="2:71" ht="24" customHeight="1" outlineLevel="3">
      <c r="B117" s="4505" t="s">
        <v>2281</v>
      </c>
      <c r="C117" s="4514"/>
      <c r="D117" s="196" t="s">
        <v>677</v>
      </c>
      <c r="E117" s="196"/>
      <c r="F117" s="295" t="s">
        <v>307</v>
      </c>
      <c r="G117" s="106"/>
      <c r="H117" s="353"/>
      <c r="I117" s="184" t="s">
        <v>2302</v>
      </c>
      <c r="J117" s="177"/>
      <c r="K117" s="281" t="s">
        <v>307</v>
      </c>
      <c r="L117" s="274"/>
      <c r="M117" s="269"/>
      <c r="N117" s="274"/>
      <c r="O117" s="269"/>
      <c r="P117" s="402"/>
      <c r="Q117" s="403"/>
      <c r="R117" s="274"/>
      <c r="S117" s="404"/>
      <c r="T117" s="274"/>
      <c r="U117" s="1999"/>
      <c r="V117" s="274"/>
      <c r="W117" s="2072"/>
      <c r="X117" s="2213"/>
      <c r="Y117" s="281"/>
      <c r="Z117" s="274"/>
      <c r="AA117" s="281"/>
      <c r="AB117" s="2214"/>
      <c r="AC117" s="2162"/>
      <c r="AD117" s="274"/>
      <c r="AE117" s="274"/>
      <c r="AF117" s="100"/>
      <c r="AG117" s="100"/>
      <c r="AH117" s="100"/>
      <c r="AI117" s="100"/>
      <c r="AJ117" s="100"/>
      <c r="AK117" s="100"/>
      <c r="AL117" s="100"/>
      <c r="AM117" s="100"/>
      <c r="AN117" s="2187"/>
      <c r="AO117" s="2186">
        <v>87.456875595606604</v>
      </c>
      <c r="AP117" s="293"/>
      <c r="AQ117" s="100">
        <v>81.303974009327803</v>
      </c>
      <c r="AR117" s="293"/>
      <c r="AS117" s="2349">
        <v>88.372129660195171</v>
      </c>
      <c r="AT117" s="4806"/>
      <c r="AU117" s="2186"/>
      <c r="AV117" s="293"/>
      <c r="AW117" s="100"/>
      <c r="AX117" s="293"/>
      <c r="AY117" s="2187"/>
      <c r="AZ117" s="2186"/>
      <c r="BA117" s="293"/>
      <c r="BB117" s="100"/>
      <c r="BC117" s="293"/>
      <c r="BD117" s="2187"/>
      <c r="BE117" s="2186"/>
      <c r="BF117" s="293"/>
      <c r="BG117" s="100"/>
      <c r="BH117" s="293"/>
      <c r="BI117" s="2187"/>
      <c r="BJ117" s="2468"/>
      <c r="BK117" s="276"/>
      <c r="BL117" s="99"/>
      <c r="BM117" s="138"/>
      <c r="BN117" s="138"/>
      <c r="BO117" s="99"/>
      <c r="BP117" s="4845" t="s">
        <v>277</v>
      </c>
      <c r="BQ117" s="265"/>
      <c r="BR117" s="187"/>
      <c r="BS117" s="18"/>
    </row>
    <row r="118" spans="2:71" ht="24" customHeight="1" outlineLevel="3">
      <c r="B118" s="4505" t="s">
        <v>2281</v>
      </c>
      <c r="C118" s="4516"/>
      <c r="D118" s="196" t="s">
        <v>254</v>
      </c>
      <c r="E118" s="196"/>
      <c r="F118" s="295" t="s">
        <v>307</v>
      </c>
      <c r="G118" s="106"/>
      <c r="H118" s="353"/>
      <c r="I118" s="184" t="s">
        <v>2321</v>
      </c>
      <c r="J118" s="177"/>
      <c r="K118" s="281" t="s">
        <v>307</v>
      </c>
      <c r="L118" s="274"/>
      <c r="M118" s="269"/>
      <c r="N118" s="274"/>
      <c r="O118" s="269"/>
      <c r="P118" s="402"/>
      <c r="Q118" s="403"/>
      <c r="R118" s="274"/>
      <c r="S118" s="404"/>
      <c r="T118" s="274"/>
      <c r="U118" s="1999"/>
      <c r="V118" s="274"/>
      <c r="W118" s="2072"/>
      <c r="X118" s="2213"/>
      <c r="Y118" s="281"/>
      <c r="Z118" s="274"/>
      <c r="AA118" s="281"/>
      <c r="AB118" s="2214"/>
      <c r="AC118" s="2162"/>
      <c r="AD118" s="274"/>
      <c r="AE118" s="274"/>
      <c r="AF118" s="100"/>
      <c r="AG118" s="100"/>
      <c r="AH118" s="100"/>
      <c r="AI118" s="100"/>
      <c r="AJ118" s="100"/>
      <c r="AK118" s="100"/>
      <c r="AL118" s="100"/>
      <c r="AM118" s="100"/>
      <c r="AN118" s="2187"/>
      <c r="AO118" s="2186">
        <v>293.25696436359488</v>
      </c>
      <c r="AP118" s="293"/>
      <c r="AQ118" s="100">
        <v>257.91617295420275</v>
      </c>
      <c r="AR118" s="293"/>
      <c r="AS118" s="2349">
        <v>266.00810795785208</v>
      </c>
      <c r="AT118" s="4806"/>
      <c r="AU118" s="2186"/>
      <c r="AV118" s="293"/>
      <c r="AW118" s="100"/>
      <c r="AX118" s="293"/>
      <c r="AY118" s="2187"/>
      <c r="AZ118" s="2186"/>
      <c r="BA118" s="293"/>
      <c r="BB118" s="100"/>
      <c r="BC118" s="293"/>
      <c r="BD118" s="2187"/>
      <c r="BE118" s="2186"/>
      <c r="BF118" s="293"/>
      <c r="BG118" s="100"/>
      <c r="BH118" s="293"/>
      <c r="BI118" s="2187"/>
      <c r="BJ118" s="2468"/>
      <c r="BK118" s="276"/>
      <c r="BL118" s="99"/>
      <c r="BM118" s="138"/>
      <c r="BN118" s="138"/>
      <c r="BO118" s="99"/>
      <c r="BP118" s="4845" t="s">
        <v>259</v>
      </c>
      <c r="BQ118" s="265"/>
      <c r="BR118" s="187"/>
      <c r="BS118" s="18"/>
    </row>
    <row r="119" spans="2:71" ht="24" customHeight="1" outlineLevel="3">
      <c r="B119" s="4505" t="s">
        <v>2281</v>
      </c>
      <c r="C119" s="4517" t="s">
        <v>1785</v>
      </c>
      <c r="D119" s="407"/>
      <c r="E119" s="407"/>
      <c r="F119" s="4519" t="s">
        <v>168</v>
      </c>
      <c r="G119" s="408"/>
      <c r="H119" s="312" t="s">
        <v>2322</v>
      </c>
      <c r="I119" s="4533"/>
      <c r="J119" s="4534"/>
      <c r="K119" s="315" t="s">
        <v>168</v>
      </c>
      <c r="L119" s="319"/>
      <c r="M119" s="411"/>
      <c r="N119" s="319"/>
      <c r="O119" s="411"/>
      <c r="P119" s="412"/>
      <c r="Q119" s="412"/>
      <c r="R119" s="319"/>
      <c r="S119" s="319"/>
      <c r="T119" s="319"/>
      <c r="U119" s="4846"/>
      <c r="V119" s="319"/>
      <c r="W119" s="4847"/>
      <c r="X119" s="2220"/>
      <c r="Y119" s="315"/>
      <c r="Z119" s="319"/>
      <c r="AA119" s="315"/>
      <c r="AB119" s="2221"/>
      <c r="AC119" s="2163"/>
      <c r="AD119" s="319"/>
      <c r="AE119" s="319"/>
      <c r="AF119" s="320"/>
      <c r="AG119" s="320"/>
      <c r="AH119" s="320"/>
      <c r="AI119" s="320"/>
      <c r="AJ119" s="320"/>
      <c r="AK119" s="320"/>
      <c r="AL119" s="320"/>
      <c r="AM119" s="320"/>
      <c r="AN119" s="2276"/>
      <c r="AO119" s="2275"/>
      <c r="AP119" s="413"/>
      <c r="AQ119" s="320"/>
      <c r="AR119" s="413"/>
      <c r="AS119" s="2370"/>
      <c r="AT119" s="4848"/>
      <c r="AU119" s="2275"/>
      <c r="AV119" s="413"/>
      <c r="AW119" s="320"/>
      <c r="AX119" s="413"/>
      <c r="AY119" s="2276"/>
      <c r="AZ119" s="2275"/>
      <c r="BA119" s="413"/>
      <c r="BB119" s="320"/>
      <c r="BC119" s="413"/>
      <c r="BD119" s="2276"/>
      <c r="BE119" s="2275"/>
      <c r="BF119" s="413"/>
      <c r="BG119" s="320"/>
      <c r="BH119" s="413"/>
      <c r="BI119" s="2276"/>
      <c r="BJ119" s="2468"/>
      <c r="BK119" s="276"/>
      <c r="BL119" s="99"/>
      <c r="BM119" s="138"/>
      <c r="BN119" s="138"/>
      <c r="BO119" s="99"/>
      <c r="BP119" s="346"/>
      <c r="BQ119" s="265" t="s">
        <v>301</v>
      </c>
      <c r="BR119" s="187"/>
      <c r="BS119" s="18"/>
    </row>
    <row r="120" spans="2:71" ht="24" customHeight="1" outlineLevel="3">
      <c r="B120" s="4505" t="s">
        <v>2281</v>
      </c>
      <c r="C120" s="4522"/>
      <c r="D120" s="197" t="s">
        <v>314</v>
      </c>
      <c r="E120" s="195"/>
      <c r="F120" s="295" t="s">
        <v>307</v>
      </c>
      <c r="G120" s="337"/>
      <c r="H120" s="287"/>
      <c r="I120" s="198" t="s">
        <v>2323</v>
      </c>
      <c r="J120" s="177"/>
      <c r="K120" s="281" t="s">
        <v>307</v>
      </c>
      <c r="L120" s="274"/>
      <c r="M120" s="269"/>
      <c r="N120" s="274"/>
      <c r="O120" s="269"/>
      <c r="P120" s="402"/>
      <c r="Q120" s="403"/>
      <c r="R120" s="274"/>
      <c r="S120" s="404"/>
      <c r="T120" s="304">
        <v>1676</v>
      </c>
      <c r="U120" s="1999"/>
      <c r="V120" s="274"/>
      <c r="W120" s="2072"/>
      <c r="X120" s="2213"/>
      <c r="Y120" s="281"/>
      <c r="Z120" s="274"/>
      <c r="AA120" s="281"/>
      <c r="AB120" s="2214"/>
      <c r="AC120" s="2162"/>
      <c r="AD120" s="274"/>
      <c r="AE120" s="274"/>
      <c r="AF120" s="100"/>
      <c r="AG120" s="100"/>
      <c r="AH120" s="100"/>
      <c r="AI120" s="100"/>
      <c r="AJ120" s="100"/>
      <c r="AK120" s="100"/>
      <c r="AL120" s="100"/>
      <c r="AM120" s="100"/>
      <c r="AN120" s="2187"/>
      <c r="AO120" s="2186">
        <v>0</v>
      </c>
      <c r="AP120" s="293" t="s">
        <v>2295</v>
      </c>
      <c r="AQ120" s="100">
        <v>0</v>
      </c>
      <c r="AR120" s="293" t="s">
        <v>2295</v>
      </c>
      <c r="AS120" s="2349">
        <v>0</v>
      </c>
      <c r="AT120" s="4806" t="s">
        <v>2295</v>
      </c>
      <c r="AU120" s="2186"/>
      <c r="AV120" s="293"/>
      <c r="AW120" s="100"/>
      <c r="AX120" s="293"/>
      <c r="AY120" s="2187"/>
      <c r="AZ120" s="2186"/>
      <c r="BA120" s="293"/>
      <c r="BB120" s="100"/>
      <c r="BC120" s="293"/>
      <c r="BD120" s="2187"/>
      <c r="BE120" s="2186"/>
      <c r="BF120" s="293"/>
      <c r="BG120" s="100"/>
      <c r="BH120" s="293"/>
      <c r="BI120" s="2187"/>
      <c r="BJ120" s="4849" t="s">
        <v>1786</v>
      </c>
      <c r="BK120" s="1856" t="s">
        <v>1787</v>
      </c>
      <c r="BL120" s="99"/>
      <c r="BM120" s="138"/>
      <c r="BN120" s="138"/>
      <c r="BO120" s="99"/>
      <c r="BP120" s="186"/>
      <c r="BQ120" s="265" t="s">
        <v>301</v>
      </c>
      <c r="BR120" s="187"/>
      <c r="BS120" s="18"/>
    </row>
    <row r="121" spans="2:71" ht="24" customHeight="1" outlineLevel="3">
      <c r="B121" s="4505" t="s">
        <v>2281</v>
      </c>
      <c r="C121" s="4535"/>
      <c r="D121" s="205" t="s">
        <v>318</v>
      </c>
      <c r="E121" s="415"/>
      <c r="F121" s="280" t="s">
        <v>307</v>
      </c>
      <c r="G121" s="416"/>
      <c r="H121" s="417"/>
      <c r="I121" s="184" t="s">
        <v>2324</v>
      </c>
      <c r="J121" s="177"/>
      <c r="K121" s="281" t="s">
        <v>307</v>
      </c>
      <c r="L121" s="274"/>
      <c r="M121" s="269"/>
      <c r="N121" s="274"/>
      <c r="O121" s="269"/>
      <c r="P121" s="402"/>
      <c r="Q121" s="403"/>
      <c r="R121" s="274"/>
      <c r="S121" s="404"/>
      <c r="T121" s="304">
        <v>1429</v>
      </c>
      <c r="U121" s="1999"/>
      <c r="V121" s="274"/>
      <c r="W121" s="2072"/>
      <c r="X121" s="2213"/>
      <c r="Y121" s="281"/>
      <c r="Z121" s="274"/>
      <c r="AA121" s="281"/>
      <c r="AB121" s="2214"/>
      <c r="AC121" s="2162"/>
      <c r="AD121" s="274"/>
      <c r="AE121" s="274"/>
      <c r="AF121" s="100"/>
      <c r="AG121" s="100"/>
      <c r="AH121" s="100"/>
      <c r="AI121" s="100"/>
      <c r="AJ121" s="100"/>
      <c r="AK121" s="100"/>
      <c r="AL121" s="100"/>
      <c r="AM121" s="100"/>
      <c r="AN121" s="2187"/>
      <c r="AO121" s="2186">
        <v>0</v>
      </c>
      <c r="AP121" s="293" t="s">
        <v>2295</v>
      </c>
      <c r="AQ121" s="100">
        <v>0</v>
      </c>
      <c r="AR121" s="293" t="s">
        <v>2295</v>
      </c>
      <c r="AS121" s="2349">
        <v>0</v>
      </c>
      <c r="AT121" s="4806" t="s">
        <v>2295</v>
      </c>
      <c r="AU121" s="2186"/>
      <c r="AV121" s="293"/>
      <c r="AW121" s="100"/>
      <c r="AX121" s="293"/>
      <c r="AY121" s="2187"/>
      <c r="AZ121" s="2186"/>
      <c r="BA121" s="293"/>
      <c r="BB121" s="100"/>
      <c r="BC121" s="293"/>
      <c r="BD121" s="2187"/>
      <c r="BE121" s="2186"/>
      <c r="BF121" s="293"/>
      <c r="BG121" s="100"/>
      <c r="BH121" s="293"/>
      <c r="BI121" s="2187"/>
      <c r="BJ121" s="4849" t="s">
        <v>1786</v>
      </c>
      <c r="BK121" s="1856" t="s">
        <v>1787</v>
      </c>
      <c r="BL121" s="99"/>
      <c r="BM121" s="138"/>
      <c r="BN121" s="138"/>
      <c r="BO121" s="99"/>
      <c r="BP121" s="186"/>
      <c r="BQ121" s="265" t="s">
        <v>301</v>
      </c>
      <c r="BR121" s="187"/>
      <c r="BS121" s="18"/>
    </row>
    <row r="122" spans="2:71" ht="24" customHeight="1" outlineLevel="3" thickBot="1">
      <c r="B122" s="4505" t="s">
        <v>2281</v>
      </c>
      <c r="C122" s="4536"/>
      <c r="D122" s="418" t="s">
        <v>312</v>
      </c>
      <c r="E122" s="415"/>
      <c r="F122" s="419" t="s">
        <v>307</v>
      </c>
      <c r="G122" s="420"/>
      <c r="H122" s="421"/>
      <c r="I122" s="327" t="s">
        <v>2325</v>
      </c>
      <c r="J122" s="422"/>
      <c r="K122" s="423" t="s">
        <v>307</v>
      </c>
      <c r="L122" s="274"/>
      <c r="M122" s="424"/>
      <c r="N122" s="274"/>
      <c r="O122" s="424"/>
      <c r="P122" s="402"/>
      <c r="Q122" s="403"/>
      <c r="R122" s="274"/>
      <c r="S122" s="404"/>
      <c r="T122" s="425">
        <v>247</v>
      </c>
      <c r="U122" s="2015"/>
      <c r="V122" s="274"/>
      <c r="W122" s="2072"/>
      <c r="X122" s="2213"/>
      <c r="Y122" s="423"/>
      <c r="Z122" s="274"/>
      <c r="AA122" s="423"/>
      <c r="AB122" s="2214"/>
      <c r="AC122" s="2162"/>
      <c r="AD122" s="274"/>
      <c r="AE122" s="274"/>
      <c r="AF122" s="100"/>
      <c r="AG122" s="100"/>
      <c r="AH122" s="100"/>
      <c r="AI122" s="100"/>
      <c r="AJ122" s="100"/>
      <c r="AK122" s="100"/>
      <c r="AL122" s="100"/>
      <c r="AM122" s="100"/>
      <c r="AN122" s="2187"/>
      <c r="AO122" s="2186">
        <v>0</v>
      </c>
      <c r="AP122" s="426" t="s">
        <v>2295</v>
      </c>
      <c r="AQ122" s="100">
        <v>0</v>
      </c>
      <c r="AR122" s="426" t="s">
        <v>2295</v>
      </c>
      <c r="AS122" s="2349">
        <v>0</v>
      </c>
      <c r="AT122" s="4850" t="s">
        <v>2295</v>
      </c>
      <c r="AU122" s="2186"/>
      <c r="AV122" s="426"/>
      <c r="AW122" s="100"/>
      <c r="AX122" s="426"/>
      <c r="AY122" s="2187"/>
      <c r="AZ122" s="2186"/>
      <c r="BA122" s="426"/>
      <c r="BB122" s="100"/>
      <c r="BC122" s="426"/>
      <c r="BD122" s="2187"/>
      <c r="BE122" s="2186"/>
      <c r="BF122" s="426"/>
      <c r="BG122" s="100"/>
      <c r="BH122" s="426"/>
      <c r="BI122" s="2187"/>
      <c r="BJ122" s="4849" t="s">
        <v>1786</v>
      </c>
      <c r="BK122" s="1856" t="s">
        <v>1787</v>
      </c>
      <c r="BL122" s="99"/>
      <c r="BM122" s="218"/>
      <c r="BN122" s="218"/>
      <c r="BO122" s="219"/>
      <c r="BP122" s="231"/>
      <c r="BQ122" s="427" t="s">
        <v>301</v>
      </c>
      <c r="BR122" s="221"/>
      <c r="BS122" s="18"/>
    </row>
    <row r="123" spans="2:71" ht="24" customHeight="1" outlineLevel="3" thickBot="1">
      <c r="B123" s="4505" t="s">
        <v>2281</v>
      </c>
      <c r="C123" s="123" t="s">
        <v>341</v>
      </c>
      <c r="D123" s="124"/>
      <c r="E123" s="124"/>
      <c r="F123" s="124"/>
      <c r="G123" s="428" t="s">
        <v>2326</v>
      </c>
      <c r="H123" s="429"/>
      <c r="I123" s="429"/>
      <c r="J123" s="429"/>
      <c r="K123" s="430"/>
      <c r="L123" s="431"/>
      <c r="M123" s="431"/>
      <c r="N123" s="431"/>
      <c r="O123" s="431"/>
      <c r="P123" s="431"/>
      <c r="Q123" s="431"/>
      <c r="R123" s="431"/>
      <c r="S123" s="431"/>
      <c r="T123" s="431"/>
      <c r="U123" s="431"/>
      <c r="V123" s="431"/>
      <c r="W123" s="431"/>
      <c r="X123" s="2222"/>
      <c r="Y123" s="430"/>
      <c r="Z123" s="430"/>
      <c r="AA123" s="430"/>
      <c r="AB123" s="2223"/>
      <c r="AC123" s="430"/>
      <c r="AD123" s="430"/>
      <c r="AE123" s="430"/>
      <c r="AF123" s="148"/>
      <c r="AG123" s="148"/>
      <c r="AH123" s="148"/>
      <c r="AI123" s="148"/>
      <c r="AJ123" s="148"/>
      <c r="AK123" s="148"/>
      <c r="AL123" s="148"/>
      <c r="AM123" s="148"/>
      <c r="AN123" s="2176"/>
      <c r="AO123" s="2175"/>
      <c r="AP123" s="148"/>
      <c r="AQ123" s="148"/>
      <c r="AR123" s="148"/>
      <c r="AS123" s="148"/>
      <c r="AT123" s="4781"/>
      <c r="AU123" s="2175"/>
      <c r="AV123" s="148"/>
      <c r="AW123" s="148"/>
      <c r="AX123" s="148"/>
      <c r="AY123" s="2176"/>
      <c r="AZ123" s="2175"/>
      <c r="BA123" s="148"/>
      <c r="BB123" s="148"/>
      <c r="BC123" s="148"/>
      <c r="BD123" s="2176"/>
      <c r="BE123" s="2175"/>
      <c r="BF123" s="148"/>
      <c r="BG123" s="148"/>
      <c r="BH123" s="148"/>
      <c r="BI123" s="2176"/>
      <c r="BJ123" s="432"/>
      <c r="BK123" s="433"/>
      <c r="BL123" s="129"/>
      <c r="BM123" s="129"/>
      <c r="BN123" s="129"/>
      <c r="BO123" s="129"/>
      <c r="BP123" s="328"/>
      <c r="BQ123" s="328"/>
      <c r="BR123" s="329"/>
      <c r="BS123" s="18"/>
    </row>
    <row r="124" spans="2:71" ht="24" customHeight="1" outlineLevel="3">
      <c r="B124" s="4505" t="s">
        <v>2281</v>
      </c>
      <c r="C124" s="10082" t="s">
        <v>343</v>
      </c>
      <c r="D124" s="9777"/>
      <c r="E124" s="10147"/>
      <c r="F124" s="132" t="s">
        <v>344</v>
      </c>
      <c r="G124" s="434"/>
      <c r="H124" s="435" t="s">
        <v>2327</v>
      </c>
      <c r="I124" s="435"/>
      <c r="J124" s="435"/>
      <c r="K124" s="436" t="s">
        <v>2328</v>
      </c>
      <c r="L124" s="437">
        <v>0</v>
      </c>
      <c r="M124" s="438"/>
      <c r="N124" s="439">
        <v>0</v>
      </c>
      <c r="O124" s="438"/>
      <c r="P124" s="439">
        <v>0</v>
      </c>
      <c r="Q124" s="440"/>
      <c r="R124" s="439">
        <v>27681</v>
      </c>
      <c r="S124" s="4851"/>
      <c r="T124" s="4852">
        <f>SUM(T125:T128)</f>
        <v>0</v>
      </c>
      <c r="U124" s="4853"/>
      <c r="V124" s="4854">
        <f t="shared" ref="V124:AD124" si="12">SUM(V125:V128)</f>
        <v>0</v>
      </c>
      <c r="W124" s="4855"/>
      <c r="X124" s="4856"/>
      <c r="Y124" s="334">
        <f t="shared" si="12"/>
        <v>0</v>
      </c>
      <c r="Z124" s="334">
        <f t="shared" si="12"/>
        <v>27681</v>
      </c>
      <c r="AA124" s="1801"/>
      <c r="AB124" s="2225">
        <f t="shared" si="12"/>
        <v>664460</v>
      </c>
      <c r="AC124" s="4857"/>
      <c r="AD124" s="334">
        <f t="shared" si="12"/>
        <v>0</v>
      </c>
      <c r="AE124" s="436"/>
      <c r="AF124" s="334">
        <f t="shared" ref="AF124:AN124" si="13">SUM(AF125:AF128)</f>
        <v>0</v>
      </c>
      <c r="AG124" s="334">
        <f t="shared" si="13"/>
        <v>0</v>
      </c>
      <c r="AH124" s="334">
        <f t="shared" si="13"/>
        <v>0</v>
      </c>
      <c r="AI124" s="334">
        <f t="shared" si="13"/>
        <v>0</v>
      </c>
      <c r="AJ124" s="334">
        <f t="shared" si="13"/>
        <v>0</v>
      </c>
      <c r="AK124" s="334">
        <f t="shared" si="13"/>
        <v>0</v>
      </c>
      <c r="AL124" s="334">
        <f t="shared" si="13"/>
        <v>0</v>
      </c>
      <c r="AM124" s="334">
        <f t="shared" si="13"/>
        <v>0</v>
      </c>
      <c r="AN124" s="2225">
        <f t="shared" si="13"/>
        <v>0</v>
      </c>
      <c r="AO124" s="2224">
        <v>213417.32351071289</v>
      </c>
      <c r="AP124" s="441"/>
      <c r="AQ124" s="334">
        <v>157449.26107966571</v>
      </c>
      <c r="AR124" s="441"/>
      <c r="AS124" s="442">
        <v>200377.26086870869</v>
      </c>
      <c r="AT124" s="4858"/>
      <c r="AU124" s="2224">
        <f>SUM(AU125:AU128)</f>
        <v>0</v>
      </c>
      <c r="AV124" s="441"/>
      <c r="AW124" s="334">
        <f>SUM(AW125:AW128)</f>
        <v>0</v>
      </c>
      <c r="AX124" s="441"/>
      <c r="AY124" s="2225">
        <f>SUM(AY125:AY128)</f>
        <v>0</v>
      </c>
      <c r="AZ124" s="2224">
        <f>SUM(AZ125:AZ128)</f>
        <v>0</v>
      </c>
      <c r="BA124" s="441"/>
      <c r="BB124" s="334">
        <f>SUM(BB125:BB128)</f>
        <v>0</v>
      </c>
      <c r="BC124" s="441"/>
      <c r="BD124" s="2225">
        <f>SUM(BD125:BD128)</f>
        <v>0</v>
      </c>
      <c r="BE124" s="2224">
        <f>SUM(BE125:BE128)</f>
        <v>0</v>
      </c>
      <c r="BF124" s="441"/>
      <c r="BG124" s="334">
        <f>SUM(BG125:BG128)</f>
        <v>0</v>
      </c>
      <c r="BH124" s="441"/>
      <c r="BI124" s="2225">
        <f>SUM(BI125:BI128)</f>
        <v>0</v>
      </c>
      <c r="BJ124" s="2482" t="s">
        <v>346</v>
      </c>
      <c r="BK124" s="444" t="s">
        <v>347</v>
      </c>
      <c r="BL124" s="99"/>
      <c r="BM124" s="138"/>
      <c r="BN124" s="138"/>
      <c r="BO124" s="99"/>
      <c r="BP124" s="346" t="s">
        <v>348</v>
      </c>
      <c r="BQ124" s="265" t="s">
        <v>349</v>
      </c>
      <c r="BR124" s="187" t="s">
        <v>350</v>
      </c>
      <c r="BS124" s="18"/>
    </row>
    <row r="125" spans="2:71" ht="24" customHeight="1" outlineLevel="3">
      <c r="B125" s="4505" t="s">
        <v>2281</v>
      </c>
      <c r="C125" s="4538"/>
      <c r="D125" s="267" t="s">
        <v>679</v>
      </c>
      <c r="E125" s="445"/>
      <c r="F125" s="132" t="s">
        <v>344</v>
      </c>
      <c r="G125" s="337"/>
      <c r="H125" s="446"/>
      <c r="I125" s="1065" t="s">
        <v>2329</v>
      </c>
      <c r="J125" s="1099"/>
      <c r="K125" s="91" t="s">
        <v>344</v>
      </c>
      <c r="L125" s="303"/>
      <c r="M125" s="447"/>
      <c r="N125" s="303"/>
      <c r="O125" s="388"/>
      <c r="P125" s="303"/>
      <c r="Q125" s="371"/>
      <c r="R125" s="4859">
        <v>27681</v>
      </c>
      <c r="S125" s="4860"/>
      <c r="T125" s="274"/>
      <c r="U125" s="381"/>
      <c r="V125" s="274"/>
      <c r="W125" s="2066"/>
      <c r="X125" s="4861"/>
      <c r="Y125" s="228"/>
      <c r="Z125" s="1802">
        <v>27681</v>
      </c>
      <c r="AA125" s="1803"/>
      <c r="AB125" s="4862">
        <v>664460</v>
      </c>
      <c r="AC125" s="4863"/>
      <c r="AD125" s="228"/>
      <c r="AE125" s="91"/>
      <c r="AF125" s="100"/>
      <c r="AG125" s="100"/>
      <c r="AH125" s="100"/>
      <c r="AI125" s="100"/>
      <c r="AJ125" s="100"/>
      <c r="AK125" s="100"/>
      <c r="AL125" s="100"/>
      <c r="AM125" s="100"/>
      <c r="AN125" s="2187"/>
      <c r="AO125" s="2186">
        <v>213417.32351071289</v>
      </c>
      <c r="AP125" s="293"/>
      <c r="AQ125" s="100">
        <v>157449.26107966571</v>
      </c>
      <c r="AR125" s="293"/>
      <c r="AS125" s="2349">
        <v>200377.26086870869</v>
      </c>
      <c r="AT125" s="4806"/>
      <c r="AU125" s="2186"/>
      <c r="AV125" s="293"/>
      <c r="AW125" s="100"/>
      <c r="AX125" s="293"/>
      <c r="AY125" s="2187"/>
      <c r="AZ125" s="2186"/>
      <c r="BA125" s="293"/>
      <c r="BB125" s="100"/>
      <c r="BC125" s="293"/>
      <c r="BD125" s="2187"/>
      <c r="BE125" s="2186"/>
      <c r="BF125" s="293"/>
      <c r="BG125" s="100"/>
      <c r="BH125" s="293"/>
      <c r="BI125" s="2187"/>
      <c r="BJ125" s="2471"/>
      <c r="BK125" s="444"/>
      <c r="BL125" s="99"/>
      <c r="BM125" s="138"/>
      <c r="BN125" s="138"/>
      <c r="BO125" s="99"/>
      <c r="BP125" s="346" t="s">
        <v>354</v>
      </c>
      <c r="BQ125" s="265" t="s">
        <v>349</v>
      </c>
      <c r="BR125" s="187"/>
      <c r="BS125" s="18"/>
    </row>
    <row r="126" spans="2:71" ht="24" customHeight="1" outlineLevel="3">
      <c r="B126" s="4505" t="s">
        <v>2281</v>
      </c>
      <c r="C126" s="4539"/>
      <c r="D126" s="267" t="s">
        <v>355</v>
      </c>
      <c r="E126" s="445"/>
      <c r="F126" s="132" t="s">
        <v>344</v>
      </c>
      <c r="G126" s="337"/>
      <c r="I126" s="1065" t="s">
        <v>2330</v>
      </c>
      <c r="J126" s="1066"/>
      <c r="K126" s="136" t="s">
        <v>344</v>
      </c>
      <c r="L126" s="303"/>
      <c r="M126" s="447" t="s">
        <v>369</v>
      </c>
      <c r="N126" s="303"/>
      <c r="O126" s="388" t="s">
        <v>369</v>
      </c>
      <c r="P126" s="303"/>
      <c r="Q126" s="371"/>
      <c r="R126" s="303"/>
      <c r="S126" s="4864" t="s">
        <v>369</v>
      </c>
      <c r="T126" s="274"/>
      <c r="U126" s="381" t="s">
        <v>209</v>
      </c>
      <c r="V126" s="274"/>
      <c r="W126" s="2066"/>
      <c r="X126" s="4861" t="s">
        <v>209</v>
      </c>
      <c r="Y126" s="228"/>
      <c r="Z126" s="228"/>
      <c r="AA126" s="1804" t="s">
        <v>209</v>
      </c>
      <c r="AB126" s="2189"/>
      <c r="AC126" s="4865" t="s">
        <v>209</v>
      </c>
      <c r="AD126" s="228"/>
      <c r="AE126" s="136"/>
      <c r="AF126" s="100"/>
      <c r="AG126" s="100"/>
      <c r="AH126" s="100"/>
      <c r="AI126" s="100"/>
      <c r="AJ126" s="100"/>
      <c r="AK126" s="100"/>
      <c r="AL126" s="100"/>
      <c r="AM126" s="100"/>
      <c r="AN126" s="2187"/>
      <c r="AO126" s="2186">
        <v>0</v>
      </c>
      <c r="AP126" s="449" t="s">
        <v>369</v>
      </c>
      <c r="AQ126" s="100">
        <v>0</v>
      </c>
      <c r="AR126" s="449" t="s">
        <v>369</v>
      </c>
      <c r="AS126" s="2349">
        <v>0</v>
      </c>
      <c r="AT126" s="4866" t="s">
        <v>369</v>
      </c>
      <c r="AU126" s="2186"/>
      <c r="AV126" s="449" t="s">
        <v>209</v>
      </c>
      <c r="AW126" s="100"/>
      <c r="AX126" s="449" t="s">
        <v>209</v>
      </c>
      <c r="AY126" s="2187"/>
      <c r="AZ126" s="2186"/>
      <c r="BA126" s="449" t="s">
        <v>209</v>
      </c>
      <c r="BB126" s="100"/>
      <c r="BC126" s="449" t="s">
        <v>209</v>
      </c>
      <c r="BD126" s="2187"/>
      <c r="BE126" s="2186"/>
      <c r="BF126" s="449" t="s">
        <v>209</v>
      </c>
      <c r="BG126" s="100"/>
      <c r="BH126" s="449" t="s">
        <v>209</v>
      </c>
      <c r="BI126" s="2187"/>
      <c r="BJ126" s="2471"/>
      <c r="BK126" s="444"/>
      <c r="BL126" s="99"/>
      <c r="BM126" s="138"/>
      <c r="BN126" s="138"/>
      <c r="BO126" s="99"/>
      <c r="BP126" s="346" t="s">
        <v>354</v>
      </c>
      <c r="BQ126" s="265"/>
      <c r="BR126" s="187"/>
      <c r="BS126" s="18"/>
    </row>
    <row r="127" spans="2:71" ht="24" customHeight="1" outlineLevel="3">
      <c r="B127" s="4505" t="s">
        <v>2281</v>
      </c>
      <c r="C127" s="4539"/>
      <c r="D127" s="267" t="s">
        <v>357</v>
      </c>
      <c r="E127" s="445"/>
      <c r="F127" s="132" t="s">
        <v>344</v>
      </c>
      <c r="G127" s="337"/>
      <c r="I127" s="1065" t="s">
        <v>2331</v>
      </c>
      <c r="J127" s="1066"/>
      <c r="K127" s="136" t="s">
        <v>344</v>
      </c>
      <c r="L127" s="303"/>
      <c r="M127" s="447" t="s">
        <v>369</v>
      </c>
      <c r="N127" s="303"/>
      <c r="O127" s="388" t="s">
        <v>369</v>
      </c>
      <c r="P127" s="303"/>
      <c r="Q127" s="371"/>
      <c r="R127" s="303"/>
      <c r="S127" s="4864" t="s">
        <v>369</v>
      </c>
      <c r="T127" s="274"/>
      <c r="U127" s="381" t="s">
        <v>209</v>
      </c>
      <c r="V127" s="274"/>
      <c r="W127" s="2066"/>
      <c r="X127" s="4861" t="s">
        <v>209</v>
      </c>
      <c r="Y127" s="228"/>
      <c r="Z127" s="228"/>
      <c r="AA127" s="1804" t="s">
        <v>209</v>
      </c>
      <c r="AB127" s="2189"/>
      <c r="AC127" s="4865" t="s">
        <v>209</v>
      </c>
      <c r="AD127" s="228"/>
      <c r="AE127" s="136"/>
      <c r="AF127" s="100"/>
      <c r="AG127" s="100"/>
      <c r="AH127" s="100"/>
      <c r="AI127" s="100"/>
      <c r="AJ127" s="100"/>
      <c r="AK127" s="100"/>
      <c r="AL127" s="100"/>
      <c r="AM127" s="100"/>
      <c r="AN127" s="2187"/>
      <c r="AO127" s="2186">
        <v>0</v>
      </c>
      <c r="AP127" s="449" t="s">
        <v>369</v>
      </c>
      <c r="AQ127" s="100">
        <v>0</v>
      </c>
      <c r="AR127" s="449" t="s">
        <v>369</v>
      </c>
      <c r="AS127" s="2349">
        <v>0</v>
      </c>
      <c r="AT127" s="4866" t="s">
        <v>369</v>
      </c>
      <c r="AU127" s="2186"/>
      <c r="AV127" s="449" t="s">
        <v>209</v>
      </c>
      <c r="AW127" s="100"/>
      <c r="AX127" s="449" t="s">
        <v>209</v>
      </c>
      <c r="AY127" s="2187"/>
      <c r="AZ127" s="2186"/>
      <c r="BA127" s="449" t="s">
        <v>209</v>
      </c>
      <c r="BB127" s="100"/>
      <c r="BC127" s="449" t="s">
        <v>209</v>
      </c>
      <c r="BD127" s="2187"/>
      <c r="BE127" s="2186"/>
      <c r="BF127" s="449" t="s">
        <v>209</v>
      </c>
      <c r="BG127" s="100"/>
      <c r="BH127" s="449" t="s">
        <v>209</v>
      </c>
      <c r="BI127" s="2187"/>
      <c r="BJ127" s="2471"/>
      <c r="BK127" s="444"/>
      <c r="BL127" s="99"/>
      <c r="BM127" s="138"/>
      <c r="BN127" s="138"/>
      <c r="BO127" s="99"/>
      <c r="BP127" s="346" t="s">
        <v>359</v>
      </c>
      <c r="BQ127" s="265" t="s">
        <v>349</v>
      </c>
      <c r="BR127" s="187"/>
      <c r="BS127" s="18"/>
    </row>
    <row r="128" spans="2:71" ht="24" customHeight="1" outlineLevel="3">
      <c r="B128" s="4505" t="s">
        <v>2281</v>
      </c>
      <c r="C128" s="1917"/>
      <c r="D128" s="267" t="s">
        <v>360</v>
      </c>
      <c r="E128" s="445"/>
      <c r="F128" s="132" t="s">
        <v>344</v>
      </c>
      <c r="G128" s="337"/>
      <c r="I128" s="1065" t="s">
        <v>2332</v>
      </c>
      <c r="J128" s="1066"/>
      <c r="K128" s="136" t="s">
        <v>344</v>
      </c>
      <c r="L128" s="303"/>
      <c r="M128" s="447" t="s">
        <v>369</v>
      </c>
      <c r="N128" s="303"/>
      <c r="O128" s="388" t="s">
        <v>369</v>
      </c>
      <c r="P128" s="303"/>
      <c r="Q128" s="371"/>
      <c r="R128" s="303"/>
      <c r="S128" s="4864" t="s">
        <v>369</v>
      </c>
      <c r="T128" s="274"/>
      <c r="U128" s="381" t="s">
        <v>209</v>
      </c>
      <c r="V128" s="274"/>
      <c r="W128" s="2066"/>
      <c r="X128" s="4861" t="s">
        <v>209</v>
      </c>
      <c r="Y128" s="228"/>
      <c r="Z128" s="228"/>
      <c r="AA128" s="1804" t="s">
        <v>209</v>
      </c>
      <c r="AB128" s="2189"/>
      <c r="AC128" s="4865" t="s">
        <v>209</v>
      </c>
      <c r="AD128" s="228"/>
      <c r="AE128" s="136"/>
      <c r="AF128" s="100"/>
      <c r="AG128" s="100"/>
      <c r="AH128" s="100"/>
      <c r="AI128" s="100"/>
      <c r="AJ128" s="100"/>
      <c r="AK128" s="100"/>
      <c r="AL128" s="100"/>
      <c r="AM128" s="100"/>
      <c r="AN128" s="2187"/>
      <c r="AO128" s="2186">
        <v>0</v>
      </c>
      <c r="AP128" s="449" t="s">
        <v>369</v>
      </c>
      <c r="AQ128" s="100">
        <v>0</v>
      </c>
      <c r="AR128" s="449" t="s">
        <v>369</v>
      </c>
      <c r="AS128" s="2349">
        <v>0</v>
      </c>
      <c r="AT128" s="4866" t="s">
        <v>369</v>
      </c>
      <c r="AU128" s="2186"/>
      <c r="AV128" s="449" t="s">
        <v>209</v>
      </c>
      <c r="AW128" s="100"/>
      <c r="AX128" s="449" t="s">
        <v>209</v>
      </c>
      <c r="AY128" s="2187"/>
      <c r="AZ128" s="2186"/>
      <c r="BA128" s="449" t="s">
        <v>209</v>
      </c>
      <c r="BB128" s="100"/>
      <c r="BC128" s="449" t="s">
        <v>209</v>
      </c>
      <c r="BD128" s="2187"/>
      <c r="BE128" s="2186"/>
      <c r="BF128" s="449" t="s">
        <v>209</v>
      </c>
      <c r="BG128" s="100"/>
      <c r="BH128" s="449" t="s">
        <v>209</v>
      </c>
      <c r="BI128" s="2187"/>
      <c r="BJ128" s="2471"/>
      <c r="BK128" s="444"/>
      <c r="BL128" s="99"/>
      <c r="BM128" s="138"/>
      <c r="BN128" s="138"/>
      <c r="BO128" s="99"/>
      <c r="BP128" s="346" t="s">
        <v>359</v>
      </c>
      <c r="BQ128" s="265" t="s">
        <v>349</v>
      </c>
      <c r="BR128" s="187"/>
      <c r="BS128" s="18"/>
    </row>
    <row r="129" spans="2:71" ht="24" customHeight="1" outlineLevel="3">
      <c r="B129" s="1747"/>
      <c r="C129" s="10148" t="s">
        <v>370</v>
      </c>
      <c r="D129" s="9781"/>
      <c r="E129" s="10149"/>
      <c r="F129" s="450" t="s">
        <v>344</v>
      </c>
      <c r="G129" s="451"/>
      <c r="H129" s="452" t="s">
        <v>371</v>
      </c>
      <c r="I129" s="452"/>
      <c r="J129" s="4540"/>
      <c r="K129" s="136" t="s">
        <v>344</v>
      </c>
      <c r="L129" s="356">
        <f>L130-L131</f>
        <v>0</v>
      </c>
      <c r="M129" s="455" t="s">
        <v>209</v>
      </c>
      <c r="N129" s="456">
        <f>N130-N131</f>
        <v>0</v>
      </c>
      <c r="O129" s="455" t="s">
        <v>209</v>
      </c>
      <c r="P129" s="456">
        <f>P130-P131</f>
        <v>0</v>
      </c>
      <c r="Q129" s="371"/>
      <c r="R129" s="456">
        <f>R130-R131</f>
        <v>0</v>
      </c>
      <c r="S129" s="1805"/>
      <c r="T129" s="456">
        <f>T130-T131</f>
        <v>0</v>
      </c>
      <c r="U129" s="456"/>
      <c r="V129" s="456">
        <f>V130-V131</f>
        <v>0</v>
      </c>
      <c r="W129" s="2066"/>
      <c r="X129" s="4867"/>
      <c r="Y129" s="136"/>
      <c r="Z129" s="136"/>
      <c r="AA129" s="136"/>
      <c r="AB129" s="4868"/>
      <c r="AC129" s="1738"/>
      <c r="AD129" s="136"/>
      <c r="AE129" s="136"/>
      <c r="AF129" s="456">
        <f t="shared" ref="AF129:AN129" si="14">AF130-AF131</f>
        <v>0</v>
      </c>
      <c r="AG129" s="456">
        <f t="shared" si="14"/>
        <v>0</v>
      </c>
      <c r="AH129" s="456">
        <f t="shared" si="14"/>
        <v>0</v>
      </c>
      <c r="AI129" s="456">
        <f t="shared" si="14"/>
        <v>0</v>
      </c>
      <c r="AJ129" s="456">
        <f t="shared" si="14"/>
        <v>0</v>
      </c>
      <c r="AK129" s="456">
        <f t="shared" si="14"/>
        <v>0</v>
      </c>
      <c r="AL129" s="456">
        <f t="shared" si="14"/>
        <v>0</v>
      </c>
      <c r="AM129" s="456">
        <f t="shared" si="14"/>
        <v>0</v>
      </c>
      <c r="AN129" s="2227">
        <f t="shared" si="14"/>
        <v>0</v>
      </c>
      <c r="AO129" s="2226">
        <v>0</v>
      </c>
      <c r="AP129" s="293"/>
      <c r="AQ129" s="456">
        <v>0</v>
      </c>
      <c r="AR129" s="293"/>
      <c r="AS129" s="2359">
        <v>0</v>
      </c>
      <c r="AT129" s="4806"/>
      <c r="AU129" s="2226">
        <f>AU130-AU131</f>
        <v>0</v>
      </c>
      <c r="AV129" s="293"/>
      <c r="AW129" s="456">
        <f>AW130-AW131</f>
        <v>0</v>
      </c>
      <c r="AX129" s="293"/>
      <c r="AY129" s="2227">
        <f>AY130-AY131</f>
        <v>0</v>
      </c>
      <c r="AZ129" s="2226">
        <f>AZ130-AZ131</f>
        <v>0</v>
      </c>
      <c r="BA129" s="293"/>
      <c r="BB129" s="456">
        <f>BB130-BB131</f>
        <v>0</v>
      </c>
      <c r="BC129" s="293"/>
      <c r="BD129" s="2227">
        <f>BD130-BD131</f>
        <v>0</v>
      </c>
      <c r="BE129" s="2226">
        <f>BE130-BE131</f>
        <v>0</v>
      </c>
      <c r="BF129" s="293"/>
      <c r="BG129" s="456">
        <f>BG130-BG131</f>
        <v>0</v>
      </c>
      <c r="BH129" s="293"/>
      <c r="BI129" s="2227">
        <f>BI130-BI131</f>
        <v>0</v>
      </c>
      <c r="BJ129" s="2472" t="s">
        <v>372</v>
      </c>
      <c r="BK129" s="457" t="s">
        <v>373</v>
      </c>
      <c r="BL129" s="99"/>
      <c r="BM129" s="138"/>
      <c r="BN129" s="138"/>
      <c r="BO129" s="299" t="s">
        <v>193</v>
      </c>
      <c r="BP129" s="265" t="s">
        <v>374</v>
      </c>
      <c r="BQ129" s="265"/>
      <c r="BR129" s="187" t="s">
        <v>350</v>
      </c>
      <c r="BS129" s="18"/>
    </row>
    <row r="130" spans="2:71" ht="24" customHeight="1" outlineLevel="3">
      <c r="B130" s="1747"/>
      <c r="C130" s="10150"/>
      <c r="D130" s="10152" t="s">
        <v>343</v>
      </c>
      <c r="E130" s="10149"/>
      <c r="F130" s="450" t="s">
        <v>344</v>
      </c>
      <c r="G130" s="451"/>
      <c r="H130" s="458"/>
      <c r="I130" s="459" t="s">
        <v>680</v>
      </c>
      <c r="J130" s="460"/>
      <c r="K130" s="136" t="s">
        <v>344</v>
      </c>
      <c r="L130" s="298">
        <v>27681</v>
      </c>
      <c r="M130" s="455" t="s">
        <v>209</v>
      </c>
      <c r="N130" s="298">
        <v>664460</v>
      </c>
      <c r="O130" s="455" t="s">
        <v>209</v>
      </c>
      <c r="P130" s="228"/>
      <c r="Q130" s="371"/>
      <c r="R130" s="1806">
        <v>27681</v>
      </c>
      <c r="S130" s="461" t="s">
        <v>681</v>
      </c>
      <c r="T130" s="1806">
        <v>664460</v>
      </c>
      <c r="U130" s="1803" t="s">
        <v>682</v>
      </c>
      <c r="V130" s="228"/>
      <c r="W130" s="2060"/>
      <c r="X130" s="4867"/>
      <c r="Y130" s="136"/>
      <c r="Z130" s="136"/>
      <c r="AA130" s="136"/>
      <c r="AB130" s="4868"/>
      <c r="AC130" s="1738"/>
      <c r="AD130" s="136"/>
      <c r="AE130" s="136"/>
      <c r="AF130" s="100"/>
      <c r="AG130" s="100"/>
      <c r="AH130" s="100"/>
      <c r="AI130" s="100"/>
      <c r="AJ130" s="100"/>
      <c r="AK130" s="100"/>
      <c r="AL130" s="100"/>
      <c r="AM130" s="100"/>
      <c r="AN130" s="2187"/>
      <c r="AO130" s="2186"/>
      <c r="AP130" s="293"/>
      <c r="AQ130" s="100"/>
      <c r="AR130" s="293"/>
      <c r="AS130" s="2349"/>
      <c r="AT130" s="4806"/>
      <c r="AU130" s="2186"/>
      <c r="AV130" s="293"/>
      <c r="AW130" s="100"/>
      <c r="AX130" s="293"/>
      <c r="AY130" s="2187"/>
      <c r="AZ130" s="2186"/>
      <c r="BA130" s="293"/>
      <c r="BB130" s="100"/>
      <c r="BC130" s="293"/>
      <c r="BD130" s="2187"/>
      <c r="BE130" s="2186"/>
      <c r="BF130" s="293"/>
      <c r="BG130" s="100"/>
      <c r="BH130" s="293"/>
      <c r="BI130" s="2187"/>
      <c r="BJ130" s="2472"/>
      <c r="BK130" s="457"/>
      <c r="BL130" s="99"/>
      <c r="BM130" s="138"/>
      <c r="BN130" s="138"/>
      <c r="BO130" s="299" t="s">
        <v>193</v>
      </c>
      <c r="BP130" s="265" t="s">
        <v>374</v>
      </c>
      <c r="BQ130" s="265"/>
      <c r="BR130" s="187"/>
      <c r="BS130" s="18"/>
    </row>
    <row r="131" spans="2:71" ht="24" customHeight="1" outlineLevel="3">
      <c r="B131" s="1747"/>
      <c r="C131" s="10151"/>
      <c r="D131" s="10152" t="s">
        <v>362</v>
      </c>
      <c r="E131" s="10149"/>
      <c r="F131" s="450" t="s">
        <v>344</v>
      </c>
      <c r="G131" s="451"/>
      <c r="H131" s="462"/>
      <c r="I131" s="459" t="s">
        <v>363</v>
      </c>
      <c r="J131" s="460"/>
      <c r="K131" s="136" t="s">
        <v>344</v>
      </c>
      <c r="L131" s="298">
        <v>27681</v>
      </c>
      <c r="M131" s="455" t="s">
        <v>209</v>
      </c>
      <c r="N131" s="298">
        <v>664460</v>
      </c>
      <c r="O131" s="455" t="s">
        <v>209</v>
      </c>
      <c r="P131" s="228"/>
      <c r="Q131" s="297"/>
      <c r="R131" s="1806">
        <v>27681</v>
      </c>
      <c r="S131" s="461" t="s">
        <v>681</v>
      </c>
      <c r="T131" s="1806">
        <v>664460</v>
      </c>
      <c r="U131" s="1803" t="s">
        <v>682</v>
      </c>
      <c r="V131" s="228"/>
      <c r="W131" s="2060"/>
      <c r="X131" s="4867"/>
      <c r="Y131" s="136"/>
      <c r="Z131" s="136"/>
      <c r="AA131" s="136"/>
      <c r="AB131" s="4868"/>
      <c r="AC131" s="1738"/>
      <c r="AD131" s="136"/>
      <c r="AE131" s="136"/>
      <c r="AF131" s="100"/>
      <c r="AG131" s="100"/>
      <c r="AH131" s="100"/>
      <c r="AI131" s="100"/>
      <c r="AJ131" s="100"/>
      <c r="AK131" s="100"/>
      <c r="AL131" s="100"/>
      <c r="AM131" s="100"/>
      <c r="AN131" s="2187"/>
      <c r="AO131" s="2186"/>
      <c r="AP131" s="293"/>
      <c r="AQ131" s="100"/>
      <c r="AR131" s="293"/>
      <c r="AS131" s="2349"/>
      <c r="AT131" s="4806"/>
      <c r="AU131" s="2186"/>
      <c r="AV131" s="293"/>
      <c r="AW131" s="100"/>
      <c r="AX131" s="293"/>
      <c r="AY131" s="2187"/>
      <c r="AZ131" s="2186"/>
      <c r="BA131" s="293"/>
      <c r="BB131" s="100"/>
      <c r="BC131" s="293"/>
      <c r="BD131" s="2187"/>
      <c r="BE131" s="2186"/>
      <c r="BF131" s="293"/>
      <c r="BG131" s="100"/>
      <c r="BH131" s="293"/>
      <c r="BI131" s="2187"/>
      <c r="BJ131" s="2472"/>
      <c r="BK131" s="457"/>
      <c r="BL131" s="99"/>
      <c r="BM131" s="138"/>
      <c r="BN131" s="138"/>
      <c r="BO131" s="299" t="s">
        <v>193</v>
      </c>
      <c r="BP131" s="265" t="s">
        <v>374</v>
      </c>
      <c r="BQ131" s="265"/>
      <c r="BR131" s="187"/>
      <c r="BS131" s="18"/>
    </row>
    <row r="132" spans="2:71" s="481" customFormat="1" ht="24" customHeight="1" outlineLevel="3">
      <c r="B132" s="1807"/>
      <c r="C132" s="10078" t="s">
        <v>362</v>
      </c>
      <c r="D132" s="9783"/>
      <c r="E132" s="10153"/>
      <c r="F132" s="132" t="s">
        <v>1788</v>
      </c>
      <c r="G132" s="337"/>
      <c r="H132" s="463" t="s">
        <v>363</v>
      </c>
      <c r="I132" s="463"/>
      <c r="J132" s="4541"/>
      <c r="K132" s="466" t="s">
        <v>1788</v>
      </c>
      <c r="L132" s="467">
        <v>27681</v>
      </c>
      <c r="M132" s="468"/>
      <c r="N132" s="467">
        <v>664460</v>
      </c>
      <c r="O132" s="469"/>
      <c r="P132" s="470"/>
      <c r="Q132" s="471"/>
      <c r="R132" s="4869">
        <v>27681</v>
      </c>
      <c r="S132" s="472" t="s">
        <v>681</v>
      </c>
      <c r="T132" s="4869">
        <v>664460</v>
      </c>
      <c r="U132" s="473" t="s">
        <v>684</v>
      </c>
      <c r="V132" s="4870"/>
      <c r="W132" s="2074"/>
      <c r="X132" s="4871"/>
      <c r="Y132" s="466"/>
      <c r="Z132" s="466"/>
      <c r="AA132" s="466"/>
      <c r="AB132" s="4872"/>
      <c r="AC132" s="4873"/>
      <c r="AD132" s="466"/>
      <c r="AE132" s="466"/>
      <c r="AF132" s="474"/>
      <c r="AG132" s="474"/>
      <c r="AH132" s="474"/>
      <c r="AI132" s="474"/>
      <c r="AJ132" s="474"/>
      <c r="AK132" s="474"/>
      <c r="AL132" s="474"/>
      <c r="AM132" s="474"/>
      <c r="AN132" s="2340"/>
      <c r="AO132" s="2339"/>
      <c r="AP132" s="448"/>
      <c r="AQ132" s="474"/>
      <c r="AR132" s="448"/>
      <c r="AS132" s="2376"/>
      <c r="AT132" s="4874"/>
      <c r="AU132" s="2339"/>
      <c r="AV132" s="448"/>
      <c r="AW132" s="474"/>
      <c r="AX132" s="448"/>
      <c r="AY132" s="2340"/>
      <c r="AZ132" s="2339"/>
      <c r="BA132" s="448"/>
      <c r="BB132" s="474"/>
      <c r="BC132" s="448"/>
      <c r="BD132" s="2340"/>
      <c r="BE132" s="2339"/>
      <c r="BF132" s="448"/>
      <c r="BG132" s="474"/>
      <c r="BH132" s="448"/>
      <c r="BI132" s="2340"/>
      <c r="BJ132" s="1285" t="s">
        <v>364</v>
      </c>
      <c r="BK132" s="475" t="s">
        <v>365</v>
      </c>
      <c r="BL132" s="476"/>
      <c r="BM132" s="477"/>
      <c r="BN132" s="477"/>
      <c r="BO132" s="299" t="s">
        <v>193</v>
      </c>
      <c r="BP132" s="478" t="s">
        <v>366</v>
      </c>
      <c r="BQ132" s="478"/>
      <c r="BR132" s="479"/>
      <c r="BS132" s="480"/>
    </row>
    <row r="133" spans="2:71" ht="24" customHeight="1" outlineLevel="3">
      <c r="B133" s="1816"/>
      <c r="C133" s="10061" t="s">
        <v>376</v>
      </c>
      <c r="D133" s="9774"/>
      <c r="E133" s="9782"/>
      <c r="F133" s="132" t="s">
        <v>344</v>
      </c>
      <c r="G133" s="337"/>
      <c r="H133" s="140" t="s">
        <v>377</v>
      </c>
      <c r="I133" s="140"/>
      <c r="J133" s="141"/>
      <c r="K133" s="164" t="s">
        <v>344</v>
      </c>
      <c r="L133" s="483"/>
      <c r="M133" s="483" t="s">
        <v>209</v>
      </c>
      <c r="N133" s="483"/>
      <c r="O133" s="483" t="s">
        <v>209</v>
      </c>
      <c r="P133" s="483"/>
      <c r="Q133" s="483"/>
      <c r="R133" s="483"/>
      <c r="S133" s="483" t="s">
        <v>209</v>
      </c>
      <c r="T133" s="483"/>
      <c r="U133" s="483" t="s">
        <v>209</v>
      </c>
      <c r="V133" s="483"/>
      <c r="W133" s="2075"/>
      <c r="X133" s="4875"/>
      <c r="Y133" s="164"/>
      <c r="Z133" s="164"/>
      <c r="AA133" s="164"/>
      <c r="AB133" s="4876"/>
      <c r="AC133" s="4877"/>
      <c r="AD133" s="164"/>
      <c r="AE133" s="164"/>
      <c r="AF133" s="100"/>
      <c r="AG133" s="100"/>
      <c r="AH133" s="100"/>
      <c r="AI133" s="100"/>
      <c r="AJ133" s="100"/>
      <c r="AK133" s="100"/>
      <c r="AL133" s="100"/>
      <c r="AM133" s="100"/>
      <c r="AN133" s="2187"/>
      <c r="AO133" s="2186"/>
      <c r="AP133" s="484"/>
      <c r="AQ133" s="100"/>
      <c r="AR133" s="484"/>
      <c r="AS133" s="2349"/>
      <c r="AT133" s="4878"/>
      <c r="AU133" s="2186"/>
      <c r="AV133" s="484"/>
      <c r="AW133" s="100"/>
      <c r="AX133" s="484"/>
      <c r="AY133" s="2187"/>
      <c r="AZ133" s="2186"/>
      <c r="BA133" s="484"/>
      <c r="BB133" s="100"/>
      <c r="BC133" s="485"/>
      <c r="BD133" s="2187"/>
      <c r="BE133" s="2186"/>
      <c r="BF133" s="486"/>
      <c r="BG133" s="100"/>
      <c r="BH133" s="486"/>
      <c r="BI133" s="2187"/>
      <c r="BJ133" s="2473" t="s">
        <v>378</v>
      </c>
      <c r="BK133" s="487" t="s">
        <v>365</v>
      </c>
      <c r="BL133" s="99"/>
      <c r="BM133" s="138"/>
      <c r="BN133" s="138"/>
      <c r="BO133" s="299" t="s">
        <v>193</v>
      </c>
      <c r="BP133" s="265" t="s">
        <v>379</v>
      </c>
      <c r="BQ133" s="265"/>
      <c r="BR133" s="187"/>
      <c r="BS133" s="11"/>
    </row>
    <row r="134" spans="2:71" ht="24" customHeight="1" outlineLevel="3">
      <c r="B134" s="1816"/>
      <c r="C134" s="10061" t="s">
        <v>380</v>
      </c>
      <c r="D134" s="9774"/>
      <c r="E134" s="9782"/>
      <c r="F134" s="132" t="s">
        <v>156</v>
      </c>
      <c r="G134" s="337"/>
      <c r="H134" s="140" t="s">
        <v>381</v>
      </c>
      <c r="I134" s="140"/>
      <c r="J134" s="141"/>
      <c r="K134" s="164" t="s">
        <v>156</v>
      </c>
      <c r="L134" s="483"/>
      <c r="M134" s="483" t="s">
        <v>209</v>
      </c>
      <c r="N134" s="483"/>
      <c r="O134" s="483" t="s">
        <v>209</v>
      </c>
      <c r="P134" s="483"/>
      <c r="Q134" s="483"/>
      <c r="R134" s="483"/>
      <c r="S134" s="483" t="s">
        <v>209</v>
      </c>
      <c r="T134" s="483"/>
      <c r="U134" s="483" t="s">
        <v>209</v>
      </c>
      <c r="V134" s="483"/>
      <c r="W134" s="2075"/>
      <c r="X134" s="4875"/>
      <c r="Y134" s="164"/>
      <c r="Z134" s="164"/>
      <c r="AA134" s="164"/>
      <c r="AB134" s="4876"/>
      <c r="AC134" s="4877"/>
      <c r="AD134" s="164"/>
      <c r="AE134" s="164"/>
      <c r="AF134" s="488"/>
      <c r="AG134" s="488"/>
      <c r="AH134" s="488"/>
      <c r="AI134" s="488"/>
      <c r="AJ134" s="488"/>
      <c r="AK134" s="488"/>
      <c r="AL134" s="488"/>
      <c r="AM134" s="488"/>
      <c r="AN134" s="2390"/>
      <c r="AO134" s="2389"/>
      <c r="AP134" s="484"/>
      <c r="AQ134" s="488"/>
      <c r="AR134" s="484"/>
      <c r="AS134" s="4879"/>
      <c r="AT134" s="4878"/>
      <c r="AU134" s="2389"/>
      <c r="AV134" s="484"/>
      <c r="AW134" s="488"/>
      <c r="AX134" s="484"/>
      <c r="AY134" s="2390"/>
      <c r="AZ134" s="2389"/>
      <c r="BA134" s="484"/>
      <c r="BB134" s="488"/>
      <c r="BC134" s="485"/>
      <c r="BD134" s="2390"/>
      <c r="BE134" s="2389"/>
      <c r="BF134" s="486"/>
      <c r="BG134" s="488"/>
      <c r="BH134" s="486"/>
      <c r="BI134" s="2390"/>
      <c r="BJ134" s="2474" t="s">
        <v>382</v>
      </c>
      <c r="BK134" s="489" t="s">
        <v>383</v>
      </c>
      <c r="BL134" s="99"/>
      <c r="BM134" s="138"/>
      <c r="BN134" s="138"/>
      <c r="BO134" s="299" t="s">
        <v>193</v>
      </c>
      <c r="BP134" s="265" t="s">
        <v>384</v>
      </c>
      <c r="BQ134" s="265"/>
      <c r="BR134" s="187" t="s">
        <v>350</v>
      </c>
      <c r="BS134" s="11"/>
    </row>
    <row r="135" spans="2:71" ht="24" customHeight="1" outlineLevel="3">
      <c r="B135" s="1816"/>
      <c r="C135" s="10069"/>
      <c r="D135" s="490" t="s">
        <v>385</v>
      </c>
      <c r="E135" s="491"/>
      <c r="F135" s="492" t="s">
        <v>344</v>
      </c>
      <c r="G135" s="337"/>
      <c r="I135" s="495" t="s">
        <v>386</v>
      </c>
      <c r="J135" s="643"/>
      <c r="K135" s="164" t="s">
        <v>344</v>
      </c>
      <c r="L135" s="483"/>
      <c r="M135" s="483" t="s">
        <v>209</v>
      </c>
      <c r="N135" s="483"/>
      <c r="O135" s="483" t="s">
        <v>209</v>
      </c>
      <c r="P135" s="483"/>
      <c r="Q135" s="483"/>
      <c r="R135" s="483"/>
      <c r="S135" s="483" t="s">
        <v>209</v>
      </c>
      <c r="T135" s="483"/>
      <c r="U135" s="483" t="s">
        <v>209</v>
      </c>
      <c r="V135" s="483"/>
      <c r="W135" s="2075"/>
      <c r="X135" s="4875"/>
      <c r="Y135" s="164"/>
      <c r="Z135" s="164"/>
      <c r="AA135" s="164"/>
      <c r="AB135" s="4876"/>
      <c r="AC135" s="4877"/>
      <c r="AD135" s="164"/>
      <c r="AE135" s="164"/>
      <c r="AF135" s="494"/>
      <c r="AG135" s="494"/>
      <c r="AH135" s="494"/>
      <c r="AI135" s="494"/>
      <c r="AJ135" s="494"/>
      <c r="AK135" s="494"/>
      <c r="AL135" s="494"/>
      <c r="AM135" s="494"/>
      <c r="AN135" s="2289"/>
      <c r="AO135" s="2288"/>
      <c r="AP135" s="484"/>
      <c r="AQ135" s="494"/>
      <c r="AR135" s="484"/>
      <c r="AS135" s="2373"/>
      <c r="AT135" s="4878"/>
      <c r="AU135" s="2288"/>
      <c r="AV135" s="484"/>
      <c r="AW135" s="494"/>
      <c r="AX135" s="484"/>
      <c r="AY135" s="2289"/>
      <c r="AZ135" s="2288"/>
      <c r="BA135" s="484"/>
      <c r="BB135" s="494"/>
      <c r="BC135" s="485"/>
      <c r="BD135" s="2289"/>
      <c r="BE135" s="2288"/>
      <c r="BF135" s="486"/>
      <c r="BG135" s="494"/>
      <c r="BH135" s="486"/>
      <c r="BI135" s="2289"/>
      <c r="BJ135" s="782"/>
      <c r="BL135" s="99"/>
      <c r="BM135" s="138"/>
      <c r="BN135" s="138"/>
      <c r="BO135" s="299" t="s">
        <v>193</v>
      </c>
      <c r="BP135" s="265" t="s">
        <v>384</v>
      </c>
      <c r="BQ135" s="265"/>
      <c r="BR135" s="187"/>
      <c r="BS135" s="11"/>
    </row>
    <row r="136" spans="2:71" ht="24" customHeight="1" outlineLevel="3">
      <c r="B136" s="1816"/>
      <c r="C136" s="10076"/>
      <c r="D136" s="490" t="s">
        <v>343</v>
      </c>
      <c r="E136" s="491"/>
      <c r="F136" s="492" t="s">
        <v>344</v>
      </c>
      <c r="G136" s="337"/>
      <c r="I136" s="495" t="s">
        <v>685</v>
      </c>
      <c r="J136" s="643"/>
      <c r="K136" s="164" t="s">
        <v>344</v>
      </c>
      <c r="L136" s="483"/>
      <c r="M136" s="483" t="s">
        <v>209</v>
      </c>
      <c r="N136" s="483"/>
      <c r="O136" s="483" t="s">
        <v>209</v>
      </c>
      <c r="P136" s="483"/>
      <c r="Q136" s="483"/>
      <c r="R136" s="483"/>
      <c r="S136" s="483" t="s">
        <v>209</v>
      </c>
      <c r="T136" s="483"/>
      <c r="U136" s="483" t="s">
        <v>209</v>
      </c>
      <c r="V136" s="483"/>
      <c r="W136" s="2075"/>
      <c r="X136" s="4875"/>
      <c r="Y136" s="164"/>
      <c r="Z136" s="164"/>
      <c r="AA136" s="164"/>
      <c r="AB136" s="4876"/>
      <c r="AC136" s="4877"/>
      <c r="AD136" s="164"/>
      <c r="AE136" s="164"/>
      <c r="AF136" s="494"/>
      <c r="AG136" s="494"/>
      <c r="AH136" s="494"/>
      <c r="AI136" s="494"/>
      <c r="AJ136" s="494"/>
      <c r="AK136" s="494"/>
      <c r="AL136" s="494"/>
      <c r="AM136" s="494"/>
      <c r="AN136" s="2289"/>
      <c r="AO136" s="2288"/>
      <c r="AP136" s="484"/>
      <c r="AQ136" s="494"/>
      <c r="AR136" s="484"/>
      <c r="AS136" s="2373"/>
      <c r="AT136" s="4878"/>
      <c r="AU136" s="2288"/>
      <c r="AV136" s="484"/>
      <c r="AW136" s="494"/>
      <c r="AX136" s="484"/>
      <c r="AY136" s="2289"/>
      <c r="AZ136" s="2288"/>
      <c r="BA136" s="484"/>
      <c r="BB136" s="494"/>
      <c r="BC136" s="485"/>
      <c r="BD136" s="2289"/>
      <c r="BE136" s="2288"/>
      <c r="BF136" s="486"/>
      <c r="BG136" s="494"/>
      <c r="BH136" s="486"/>
      <c r="BI136" s="2289"/>
      <c r="BK136" s="162"/>
      <c r="BL136" s="99"/>
      <c r="BM136" s="138"/>
      <c r="BN136" s="138"/>
      <c r="BO136" s="299" t="s">
        <v>193</v>
      </c>
      <c r="BP136" s="265" t="s">
        <v>384</v>
      </c>
      <c r="BQ136" s="265"/>
      <c r="BR136" s="187"/>
      <c r="BS136" s="11"/>
    </row>
    <row r="137" spans="2:71" ht="24" customHeight="1" outlineLevel="3">
      <c r="B137" s="1816"/>
      <c r="C137" s="10061" t="s">
        <v>387</v>
      </c>
      <c r="D137" s="9774"/>
      <c r="E137" s="9782"/>
      <c r="F137" s="492" t="s">
        <v>156</v>
      </c>
      <c r="G137" s="337"/>
      <c r="H137" s="140" t="s">
        <v>388</v>
      </c>
      <c r="I137" s="140"/>
      <c r="J137" s="141"/>
      <c r="K137" s="164" t="s">
        <v>156</v>
      </c>
      <c r="L137" s="483"/>
      <c r="M137" s="483" t="s">
        <v>209</v>
      </c>
      <c r="N137" s="483"/>
      <c r="O137" s="483" t="s">
        <v>209</v>
      </c>
      <c r="P137" s="483"/>
      <c r="Q137" s="483"/>
      <c r="R137" s="483"/>
      <c r="S137" s="483" t="s">
        <v>209</v>
      </c>
      <c r="T137" s="483"/>
      <c r="U137" s="483" t="s">
        <v>209</v>
      </c>
      <c r="V137" s="483"/>
      <c r="W137" s="2075"/>
      <c r="X137" s="4875"/>
      <c r="Y137" s="164"/>
      <c r="Z137" s="164"/>
      <c r="AA137" s="164"/>
      <c r="AB137" s="4876"/>
      <c r="AC137" s="4877"/>
      <c r="AD137" s="164"/>
      <c r="AE137" s="164"/>
      <c r="AF137" s="474"/>
      <c r="AG137" s="474"/>
      <c r="AH137" s="474"/>
      <c r="AI137" s="474"/>
      <c r="AJ137" s="474"/>
      <c r="AK137" s="474"/>
      <c r="AL137" s="474"/>
      <c r="AM137" s="474"/>
      <c r="AN137" s="2340"/>
      <c r="AO137" s="2339"/>
      <c r="AP137" s="484"/>
      <c r="AQ137" s="474"/>
      <c r="AR137" s="484"/>
      <c r="AS137" s="2376"/>
      <c r="AT137" s="4878"/>
      <c r="AU137" s="2339"/>
      <c r="AV137" s="484"/>
      <c r="AW137" s="474"/>
      <c r="AX137" s="484"/>
      <c r="AY137" s="2340"/>
      <c r="AZ137" s="2339"/>
      <c r="BA137" s="484"/>
      <c r="BB137" s="474"/>
      <c r="BC137" s="485"/>
      <c r="BD137" s="2340"/>
      <c r="BE137" s="2339"/>
      <c r="BF137" s="486"/>
      <c r="BG137" s="474"/>
      <c r="BH137" s="486"/>
      <c r="BI137" s="2340"/>
      <c r="BJ137" s="2474" t="s">
        <v>382</v>
      </c>
      <c r="BK137" s="489" t="s">
        <v>389</v>
      </c>
      <c r="BL137" s="99"/>
      <c r="BM137" s="138"/>
      <c r="BN137" s="138"/>
      <c r="BO137" s="299" t="s">
        <v>193</v>
      </c>
      <c r="BP137" s="265" t="s">
        <v>390</v>
      </c>
      <c r="BQ137" s="265"/>
      <c r="BR137" s="187"/>
      <c r="BS137" s="11"/>
    </row>
    <row r="138" spans="2:71" ht="24" customHeight="1" outlineLevel="3">
      <c r="B138" s="1816"/>
      <c r="C138" s="1820"/>
      <c r="D138" s="490" t="s">
        <v>391</v>
      </c>
      <c r="E138" s="491"/>
      <c r="F138" s="492" t="s">
        <v>344</v>
      </c>
      <c r="G138" s="337"/>
      <c r="I138" s="495" t="s">
        <v>392</v>
      </c>
      <c r="J138" s="643"/>
      <c r="K138" s="164" t="s">
        <v>344</v>
      </c>
      <c r="L138" s="483"/>
      <c r="M138" s="483" t="s">
        <v>209</v>
      </c>
      <c r="N138" s="483"/>
      <c r="O138" s="483" t="s">
        <v>209</v>
      </c>
      <c r="P138" s="483"/>
      <c r="Q138" s="483"/>
      <c r="R138" s="483"/>
      <c r="S138" s="483" t="s">
        <v>209</v>
      </c>
      <c r="T138" s="483"/>
      <c r="U138" s="483" t="s">
        <v>209</v>
      </c>
      <c r="V138" s="483"/>
      <c r="W138" s="2075"/>
      <c r="X138" s="4875"/>
      <c r="Y138" s="164"/>
      <c r="Z138" s="164"/>
      <c r="AA138" s="164"/>
      <c r="AB138" s="4876"/>
      <c r="AC138" s="4877"/>
      <c r="AD138" s="164"/>
      <c r="AE138" s="164"/>
      <c r="AF138" s="100"/>
      <c r="AG138" s="100"/>
      <c r="AH138" s="100"/>
      <c r="AI138" s="100"/>
      <c r="AJ138" s="100"/>
      <c r="AK138" s="100"/>
      <c r="AL138" s="100"/>
      <c r="AM138" s="100"/>
      <c r="AN138" s="2187"/>
      <c r="AO138" s="2186"/>
      <c r="AP138" s="484"/>
      <c r="AQ138" s="100"/>
      <c r="AR138" s="484"/>
      <c r="AS138" s="2349"/>
      <c r="AT138" s="4878"/>
      <c r="AU138" s="2186"/>
      <c r="AV138" s="484"/>
      <c r="AW138" s="100"/>
      <c r="AX138" s="484"/>
      <c r="AY138" s="2187"/>
      <c r="AZ138" s="2186"/>
      <c r="BA138" s="484"/>
      <c r="BB138" s="100"/>
      <c r="BC138" s="485"/>
      <c r="BD138" s="2187"/>
      <c r="BE138" s="2186"/>
      <c r="BF138" s="486"/>
      <c r="BG138" s="100"/>
      <c r="BH138" s="486"/>
      <c r="BI138" s="2187"/>
      <c r="BJ138" s="782"/>
      <c r="BK138" s="162"/>
      <c r="BL138" s="99"/>
      <c r="BM138" s="138"/>
      <c r="BN138" s="138"/>
      <c r="BO138" s="299" t="s">
        <v>193</v>
      </c>
      <c r="BP138" s="265" t="s">
        <v>390</v>
      </c>
      <c r="BQ138" s="265"/>
      <c r="BR138" s="187"/>
      <c r="BS138" s="11"/>
    </row>
    <row r="139" spans="2:71" ht="24" customHeight="1" outlineLevel="3">
      <c r="B139" s="1821"/>
      <c r="C139" s="1849"/>
      <c r="D139" s="490" t="s">
        <v>370</v>
      </c>
      <c r="E139" s="491"/>
      <c r="F139" s="492" t="s">
        <v>344</v>
      </c>
      <c r="G139" s="337"/>
      <c r="I139" s="496" t="s">
        <v>686</v>
      </c>
      <c r="J139" s="643"/>
      <c r="K139" s="164" t="s">
        <v>344</v>
      </c>
      <c r="L139" s="483"/>
      <c r="M139" s="483" t="s">
        <v>209</v>
      </c>
      <c r="N139" s="483"/>
      <c r="O139" s="483" t="s">
        <v>209</v>
      </c>
      <c r="P139" s="483"/>
      <c r="Q139" s="483"/>
      <c r="R139" s="483"/>
      <c r="S139" s="483" t="s">
        <v>209</v>
      </c>
      <c r="T139" s="483"/>
      <c r="U139" s="483" t="s">
        <v>209</v>
      </c>
      <c r="V139" s="483"/>
      <c r="W139" s="2075"/>
      <c r="X139" s="4875"/>
      <c r="Y139" s="164"/>
      <c r="Z139" s="164"/>
      <c r="AA139" s="164"/>
      <c r="AB139" s="4876"/>
      <c r="AC139" s="4877"/>
      <c r="AD139" s="164"/>
      <c r="AE139" s="164"/>
      <c r="AF139" s="494"/>
      <c r="AG139" s="494"/>
      <c r="AH139" s="494"/>
      <c r="AI139" s="494"/>
      <c r="AJ139" s="494"/>
      <c r="AK139" s="494"/>
      <c r="AL139" s="494"/>
      <c r="AM139" s="494"/>
      <c r="AN139" s="2289"/>
      <c r="AO139" s="2288"/>
      <c r="AP139" s="484"/>
      <c r="AQ139" s="494"/>
      <c r="AR139" s="484"/>
      <c r="AS139" s="2373"/>
      <c r="AT139" s="4878"/>
      <c r="AU139" s="2288"/>
      <c r="AV139" s="484"/>
      <c r="AW139" s="494"/>
      <c r="AX139" s="484"/>
      <c r="AY139" s="2289"/>
      <c r="AZ139" s="2288"/>
      <c r="BA139" s="484"/>
      <c r="BB139" s="494"/>
      <c r="BC139" s="485"/>
      <c r="BD139" s="2289"/>
      <c r="BE139" s="2288"/>
      <c r="BF139" s="486"/>
      <c r="BG139" s="494"/>
      <c r="BH139" s="486"/>
      <c r="BI139" s="2289"/>
      <c r="BJ139" s="782"/>
      <c r="BK139" s="367"/>
      <c r="BL139" s="99"/>
      <c r="BM139" s="138"/>
      <c r="BN139" s="138"/>
      <c r="BO139" s="299" t="s">
        <v>1435</v>
      </c>
      <c r="BP139" s="265" t="s">
        <v>390</v>
      </c>
      <c r="BQ139" s="265"/>
      <c r="BR139" s="187"/>
      <c r="BS139" s="11"/>
    </row>
    <row r="140" spans="2:71" ht="24" customHeight="1" outlineLevel="3">
      <c r="B140" s="1821"/>
      <c r="C140" s="10061" t="s">
        <v>393</v>
      </c>
      <c r="D140" s="9774"/>
      <c r="E140" s="9782"/>
      <c r="F140" s="492" t="s">
        <v>344</v>
      </c>
      <c r="G140" s="337"/>
      <c r="H140" s="359" t="s">
        <v>394</v>
      </c>
      <c r="I140" s="359"/>
      <c r="J140" s="684"/>
      <c r="K140" s="164" t="s">
        <v>344</v>
      </c>
      <c r="L140" s="499"/>
      <c r="M140" s="381" t="s">
        <v>209</v>
      </c>
      <c r="N140" s="499"/>
      <c r="O140" s="404" t="s">
        <v>209</v>
      </c>
      <c r="P140" s="500"/>
      <c r="Q140" s="501"/>
      <c r="R140" s="502"/>
      <c r="S140" s="4880" t="s">
        <v>209</v>
      </c>
      <c r="T140" s="272"/>
      <c r="U140" s="503" t="s">
        <v>209</v>
      </c>
      <c r="V140" s="504"/>
      <c r="W140" s="2076"/>
      <c r="X140" s="2230"/>
      <c r="Y140" s="505"/>
      <c r="Z140" s="506"/>
      <c r="AA140" s="505"/>
      <c r="AB140" s="2231"/>
      <c r="AC140" s="2123"/>
      <c r="AD140" s="506"/>
      <c r="AE140" s="506"/>
      <c r="AF140" s="506"/>
      <c r="AG140" s="506"/>
      <c r="AH140" s="506"/>
      <c r="AI140" s="506"/>
      <c r="AJ140" s="506"/>
      <c r="AK140" s="506"/>
      <c r="AL140" s="506"/>
      <c r="AM140" s="506"/>
      <c r="AN140" s="2231"/>
      <c r="AO140" s="2230"/>
      <c r="AP140" s="505"/>
      <c r="AQ140" s="506"/>
      <c r="AR140" s="505"/>
      <c r="AS140" s="2360"/>
      <c r="AT140" s="4881"/>
      <c r="AU140" s="2230"/>
      <c r="AV140" s="505"/>
      <c r="AW140" s="506"/>
      <c r="AX140" s="505"/>
      <c r="AY140" s="2231"/>
      <c r="AZ140" s="2230"/>
      <c r="BA140" s="505"/>
      <c r="BB140" s="506"/>
      <c r="BC140" s="507"/>
      <c r="BD140" s="2231"/>
      <c r="BE140" s="2230"/>
      <c r="BF140" s="505"/>
      <c r="BG140" s="506"/>
      <c r="BH140" s="505"/>
      <c r="BI140" s="2231"/>
      <c r="BJ140" s="498" t="s">
        <v>395</v>
      </c>
      <c r="BK140" s="367" t="s">
        <v>396</v>
      </c>
      <c r="BL140" s="99"/>
      <c r="BM140" s="138"/>
      <c r="BN140" s="138"/>
      <c r="BO140" s="299" t="s">
        <v>193</v>
      </c>
      <c r="BP140" s="265" t="s">
        <v>397</v>
      </c>
      <c r="BQ140" s="265"/>
      <c r="BR140" s="187"/>
      <c r="BS140" s="11"/>
    </row>
    <row r="141" spans="2:71" ht="24" customHeight="1" outlineLevel="3">
      <c r="B141" s="1821"/>
      <c r="C141" s="10069"/>
      <c r="D141" s="508" t="s">
        <v>687</v>
      </c>
      <c r="E141" s="508"/>
      <c r="F141" s="492" t="s">
        <v>344</v>
      </c>
      <c r="G141" s="337"/>
      <c r="H141" s="348"/>
      <c r="I141" s="495" t="s">
        <v>399</v>
      </c>
      <c r="J141" s="643"/>
      <c r="K141" s="164" t="s">
        <v>344</v>
      </c>
      <c r="L141" s="499"/>
      <c r="M141" s="381" t="s">
        <v>209</v>
      </c>
      <c r="N141" s="499"/>
      <c r="O141" s="404" t="s">
        <v>209</v>
      </c>
      <c r="P141" s="500"/>
      <c r="Q141" s="501"/>
      <c r="R141" s="502"/>
      <c r="S141" s="4880" t="s">
        <v>209</v>
      </c>
      <c r="T141" s="272"/>
      <c r="U141" s="503" t="s">
        <v>209</v>
      </c>
      <c r="V141" s="274"/>
      <c r="W141" s="2076"/>
      <c r="X141" s="2228"/>
      <c r="Y141" s="505"/>
      <c r="Z141" s="260"/>
      <c r="AA141" s="505"/>
      <c r="AB141" s="2287"/>
      <c r="AC141" s="2109"/>
      <c r="AD141" s="260"/>
      <c r="AE141" s="260"/>
      <c r="AF141" s="260"/>
      <c r="AG141" s="260"/>
      <c r="AH141" s="260"/>
      <c r="AI141" s="260"/>
      <c r="AJ141" s="260"/>
      <c r="AK141" s="260"/>
      <c r="AL141" s="260"/>
      <c r="AM141" s="260"/>
      <c r="AN141" s="2287"/>
      <c r="AO141" s="2228"/>
      <c r="AP141" s="505"/>
      <c r="AQ141" s="260"/>
      <c r="AR141" s="505"/>
      <c r="AS141" s="2372"/>
      <c r="AT141" s="4881"/>
      <c r="AU141" s="2228"/>
      <c r="AV141" s="505"/>
      <c r="AW141" s="260"/>
      <c r="AX141" s="505"/>
      <c r="AY141" s="2287"/>
      <c r="AZ141" s="2228"/>
      <c r="BA141" s="505"/>
      <c r="BB141" s="260"/>
      <c r="BC141" s="507"/>
      <c r="BD141" s="2287"/>
      <c r="BE141" s="2228"/>
      <c r="BF141" s="505"/>
      <c r="BG141" s="260"/>
      <c r="BH141" s="505"/>
      <c r="BI141" s="2287"/>
      <c r="BJ141" s="2475"/>
      <c r="BK141" s="162"/>
      <c r="BL141" s="99"/>
      <c r="BM141" s="138"/>
      <c r="BN141" s="138"/>
      <c r="BO141" s="299" t="s">
        <v>193</v>
      </c>
      <c r="BP141" s="265" t="s">
        <v>397</v>
      </c>
      <c r="BQ141" s="265"/>
      <c r="BR141" s="187"/>
      <c r="BS141" s="11"/>
    </row>
    <row r="142" spans="2:71" ht="24" customHeight="1" outlineLevel="3">
      <c r="B142" s="1821"/>
      <c r="C142" s="10070"/>
      <c r="D142" s="508" t="s">
        <v>400</v>
      </c>
      <c r="E142" s="508"/>
      <c r="F142" s="492" t="s">
        <v>344</v>
      </c>
      <c r="G142" s="337"/>
      <c r="H142" s="353"/>
      <c r="I142" s="495" t="s">
        <v>401</v>
      </c>
      <c r="J142" s="643"/>
      <c r="K142" s="164" t="s">
        <v>344</v>
      </c>
      <c r="L142" s="499"/>
      <c r="M142" s="381" t="s">
        <v>209</v>
      </c>
      <c r="N142" s="499"/>
      <c r="O142" s="404" t="s">
        <v>209</v>
      </c>
      <c r="P142" s="500"/>
      <c r="Q142" s="501"/>
      <c r="R142" s="502"/>
      <c r="S142" s="4880" t="s">
        <v>209</v>
      </c>
      <c r="T142" s="272"/>
      <c r="U142" s="503" t="s">
        <v>209</v>
      </c>
      <c r="V142" s="274"/>
      <c r="W142" s="2076"/>
      <c r="X142" s="2228"/>
      <c r="Y142" s="505"/>
      <c r="Z142" s="260"/>
      <c r="AA142" s="505"/>
      <c r="AB142" s="2287"/>
      <c r="AC142" s="2109"/>
      <c r="AD142" s="260"/>
      <c r="AE142" s="260"/>
      <c r="AF142" s="260"/>
      <c r="AG142" s="260"/>
      <c r="AH142" s="260"/>
      <c r="AI142" s="260"/>
      <c r="AJ142" s="260"/>
      <c r="AK142" s="260"/>
      <c r="AL142" s="260"/>
      <c r="AM142" s="260"/>
      <c r="AN142" s="2287"/>
      <c r="AO142" s="2228"/>
      <c r="AP142" s="505"/>
      <c r="AQ142" s="260"/>
      <c r="AR142" s="505"/>
      <c r="AS142" s="2372"/>
      <c r="AT142" s="4881"/>
      <c r="AU142" s="2228"/>
      <c r="AV142" s="505"/>
      <c r="AW142" s="260"/>
      <c r="AX142" s="505"/>
      <c r="AY142" s="2287"/>
      <c r="AZ142" s="2228"/>
      <c r="BA142" s="505"/>
      <c r="BB142" s="260"/>
      <c r="BC142" s="507"/>
      <c r="BD142" s="2287"/>
      <c r="BE142" s="2228"/>
      <c r="BF142" s="505"/>
      <c r="BG142" s="260"/>
      <c r="BH142" s="505"/>
      <c r="BI142" s="2287"/>
      <c r="BJ142" s="782"/>
      <c r="BK142" s="162"/>
      <c r="BL142" s="99"/>
      <c r="BM142" s="138"/>
      <c r="BN142" s="138"/>
      <c r="BO142" s="299" t="s">
        <v>193</v>
      </c>
      <c r="BP142" s="265" t="s">
        <v>397</v>
      </c>
      <c r="BQ142" s="265"/>
      <c r="BR142" s="187"/>
      <c r="BS142" s="11"/>
    </row>
    <row r="143" spans="2:71" ht="24" customHeight="1" outlineLevel="3">
      <c r="B143" s="1821"/>
      <c r="C143" s="10070"/>
      <c r="D143" s="508" t="s">
        <v>402</v>
      </c>
      <c r="E143" s="508"/>
      <c r="F143" s="492" t="s">
        <v>344</v>
      </c>
      <c r="G143" s="337"/>
      <c r="H143" s="353"/>
      <c r="I143" s="495" t="s">
        <v>403</v>
      </c>
      <c r="J143" s="643"/>
      <c r="K143" s="164" t="s">
        <v>344</v>
      </c>
      <c r="L143" s="499"/>
      <c r="M143" s="381" t="s">
        <v>209</v>
      </c>
      <c r="N143" s="499"/>
      <c r="O143" s="404" t="s">
        <v>209</v>
      </c>
      <c r="P143" s="500"/>
      <c r="Q143" s="501"/>
      <c r="R143" s="502"/>
      <c r="S143" s="4880" t="s">
        <v>209</v>
      </c>
      <c r="T143" s="272"/>
      <c r="U143" s="503" t="s">
        <v>209</v>
      </c>
      <c r="V143" s="4882"/>
      <c r="W143" s="2076"/>
      <c r="X143" s="2229"/>
      <c r="Y143" s="505"/>
      <c r="Z143" s="510"/>
      <c r="AA143" s="505"/>
      <c r="AB143" s="2391"/>
      <c r="AC143" s="2124"/>
      <c r="AD143" s="510"/>
      <c r="AE143" s="510"/>
      <c r="AF143" s="510"/>
      <c r="AG143" s="510"/>
      <c r="AH143" s="510"/>
      <c r="AI143" s="510"/>
      <c r="AJ143" s="510"/>
      <c r="AK143" s="510"/>
      <c r="AL143" s="510"/>
      <c r="AM143" s="510"/>
      <c r="AN143" s="2391"/>
      <c r="AO143" s="2229"/>
      <c r="AP143" s="505"/>
      <c r="AQ143" s="510"/>
      <c r="AR143" s="505"/>
      <c r="AS143" s="2518"/>
      <c r="AT143" s="4881"/>
      <c r="AU143" s="2229"/>
      <c r="AV143" s="505"/>
      <c r="AW143" s="510"/>
      <c r="AX143" s="505"/>
      <c r="AY143" s="2391"/>
      <c r="AZ143" s="2229"/>
      <c r="BA143" s="505"/>
      <c r="BB143" s="510"/>
      <c r="BC143" s="507"/>
      <c r="BD143" s="2391"/>
      <c r="BE143" s="2229"/>
      <c r="BF143" s="505"/>
      <c r="BG143" s="510"/>
      <c r="BH143" s="505"/>
      <c r="BI143" s="2391"/>
      <c r="BK143" s="162"/>
      <c r="BL143" s="99"/>
      <c r="BM143" s="138"/>
      <c r="BN143" s="138"/>
      <c r="BO143" s="299" t="s">
        <v>193</v>
      </c>
      <c r="BP143" s="265" t="s">
        <v>397</v>
      </c>
      <c r="BQ143" s="265"/>
      <c r="BR143" s="187"/>
      <c r="BS143" s="11"/>
    </row>
    <row r="144" spans="2:71" ht="24" customHeight="1" outlineLevel="3">
      <c r="B144" s="1821"/>
      <c r="C144" s="10070"/>
      <c r="D144" s="9786" t="s">
        <v>404</v>
      </c>
      <c r="E144" s="10141"/>
      <c r="F144" s="492" t="s">
        <v>344</v>
      </c>
      <c r="G144" s="337"/>
      <c r="H144" s="353"/>
      <c r="I144" s="495" t="s">
        <v>405</v>
      </c>
      <c r="J144" s="643"/>
      <c r="K144" s="164" t="s">
        <v>344</v>
      </c>
      <c r="L144" s="499"/>
      <c r="M144" s="381" t="s">
        <v>209</v>
      </c>
      <c r="N144" s="499"/>
      <c r="O144" s="404" t="s">
        <v>209</v>
      </c>
      <c r="P144" s="500"/>
      <c r="Q144" s="501"/>
      <c r="R144" s="502"/>
      <c r="S144" s="4880" t="s">
        <v>209</v>
      </c>
      <c r="T144" s="272"/>
      <c r="U144" s="503" t="s">
        <v>209</v>
      </c>
      <c r="V144" s="504"/>
      <c r="W144" s="2076"/>
      <c r="X144" s="2230"/>
      <c r="Y144" s="505"/>
      <c r="Z144" s="506"/>
      <c r="AA144" s="505"/>
      <c r="AB144" s="2231"/>
      <c r="AC144" s="2123"/>
      <c r="AD144" s="506"/>
      <c r="AE144" s="506"/>
      <c r="AF144" s="506"/>
      <c r="AG144" s="506"/>
      <c r="AH144" s="506"/>
      <c r="AI144" s="506"/>
      <c r="AJ144" s="506"/>
      <c r="AK144" s="506"/>
      <c r="AL144" s="506"/>
      <c r="AM144" s="506"/>
      <c r="AN144" s="2231"/>
      <c r="AO144" s="2230"/>
      <c r="AP144" s="505"/>
      <c r="AQ144" s="506"/>
      <c r="AR144" s="505"/>
      <c r="AS144" s="2360"/>
      <c r="AT144" s="4881"/>
      <c r="AU144" s="2230"/>
      <c r="AV144" s="505"/>
      <c r="AW144" s="506"/>
      <c r="AX144" s="505"/>
      <c r="AY144" s="2231"/>
      <c r="AZ144" s="2230"/>
      <c r="BA144" s="505"/>
      <c r="BB144" s="506"/>
      <c r="BC144" s="507"/>
      <c r="BD144" s="2231"/>
      <c r="BE144" s="2230"/>
      <c r="BF144" s="505"/>
      <c r="BG144" s="506"/>
      <c r="BH144" s="505"/>
      <c r="BI144" s="2231"/>
      <c r="BJ144" s="782"/>
      <c r="BK144" s="162"/>
      <c r="BL144" s="99"/>
      <c r="BM144" s="138"/>
      <c r="BN144" s="138"/>
      <c r="BO144" s="299" t="s">
        <v>193</v>
      </c>
      <c r="BP144" s="265" t="s">
        <v>397</v>
      </c>
      <c r="BQ144" s="265"/>
      <c r="BR144" s="187"/>
      <c r="BS144" s="11"/>
    </row>
    <row r="145" spans="2:71" ht="24" customHeight="1" outlineLevel="3">
      <c r="B145" s="1821"/>
      <c r="C145" s="10070"/>
      <c r="D145" s="9786" t="s">
        <v>406</v>
      </c>
      <c r="E145" s="10141"/>
      <c r="F145" s="492" t="s">
        <v>344</v>
      </c>
      <c r="G145" s="337"/>
      <c r="H145" s="353"/>
      <c r="I145" s="495" t="s">
        <v>407</v>
      </c>
      <c r="J145" s="643"/>
      <c r="K145" s="164" t="s">
        <v>344</v>
      </c>
      <c r="L145" s="499"/>
      <c r="M145" s="381" t="s">
        <v>209</v>
      </c>
      <c r="N145" s="499"/>
      <c r="O145" s="404" t="s">
        <v>209</v>
      </c>
      <c r="P145" s="500"/>
      <c r="Q145" s="501"/>
      <c r="R145" s="502"/>
      <c r="S145" s="4880" t="s">
        <v>209</v>
      </c>
      <c r="T145" s="272"/>
      <c r="U145" s="503" t="s">
        <v>209</v>
      </c>
      <c r="V145" s="504"/>
      <c r="W145" s="2076"/>
      <c r="X145" s="2230"/>
      <c r="Y145" s="505"/>
      <c r="Z145" s="506"/>
      <c r="AA145" s="505"/>
      <c r="AB145" s="2231"/>
      <c r="AC145" s="2123"/>
      <c r="AD145" s="506"/>
      <c r="AE145" s="506"/>
      <c r="AF145" s="506"/>
      <c r="AG145" s="506"/>
      <c r="AH145" s="506"/>
      <c r="AI145" s="506"/>
      <c r="AJ145" s="506"/>
      <c r="AK145" s="506"/>
      <c r="AL145" s="506"/>
      <c r="AM145" s="506"/>
      <c r="AN145" s="2231"/>
      <c r="AO145" s="2230"/>
      <c r="AP145" s="505"/>
      <c r="AQ145" s="506"/>
      <c r="AR145" s="505"/>
      <c r="AS145" s="2360"/>
      <c r="AT145" s="4881"/>
      <c r="AU145" s="2230"/>
      <c r="AV145" s="505"/>
      <c r="AW145" s="506"/>
      <c r="AX145" s="505"/>
      <c r="AY145" s="2231"/>
      <c r="AZ145" s="2230"/>
      <c r="BA145" s="505"/>
      <c r="BB145" s="506"/>
      <c r="BC145" s="507"/>
      <c r="BD145" s="2231"/>
      <c r="BE145" s="2230"/>
      <c r="BF145" s="505"/>
      <c r="BG145" s="506"/>
      <c r="BH145" s="505"/>
      <c r="BI145" s="2231"/>
      <c r="BJ145" s="782"/>
      <c r="BK145" s="162"/>
      <c r="BL145" s="99"/>
      <c r="BM145" s="138"/>
      <c r="BN145" s="138"/>
      <c r="BO145" s="299" t="s">
        <v>193</v>
      </c>
      <c r="BP145" s="265" t="s">
        <v>397</v>
      </c>
      <c r="BQ145" s="265"/>
      <c r="BR145" s="187"/>
      <c r="BS145" s="11"/>
    </row>
    <row r="146" spans="2:71" ht="24" customHeight="1" outlineLevel="3" thickBot="1">
      <c r="B146" s="1821"/>
      <c r="C146" s="10071"/>
      <c r="D146" s="9788" t="s">
        <v>408</v>
      </c>
      <c r="E146" s="10142"/>
      <c r="F146" s="511" t="s">
        <v>344</v>
      </c>
      <c r="G146" s="232"/>
      <c r="H146" s="512"/>
      <c r="I146" s="4883" t="s">
        <v>409</v>
      </c>
      <c r="J146" s="512"/>
      <c r="K146" s="515" t="s">
        <v>344</v>
      </c>
      <c r="L146" s="499"/>
      <c r="M146" s="381" t="s">
        <v>209</v>
      </c>
      <c r="N146" s="499"/>
      <c r="O146" s="404" t="s">
        <v>209</v>
      </c>
      <c r="P146" s="500"/>
      <c r="Q146" s="501"/>
      <c r="R146" s="502"/>
      <c r="S146" s="4880" t="s">
        <v>209</v>
      </c>
      <c r="T146" s="272"/>
      <c r="U146" s="503" t="s">
        <v>209</v>
      </c>
      <c r="V146" s="516"/>
      <c r="W146" s="2076"/>
      <c r="X146" s="2232"/>
      <c r="Y146" s="505"/>
      <c r="Z146" s="517"/>
      <c r="AA146" s="505"/>
      <c r="AB146" s="2233"/>
      <c r="AC146" s="2125"/>
      <c r="AD146" s="517"/>
      <c r="AE146" s="517"/>
      <c r="AF146" s="517"/>
      <c r="AG146" s="517"/>
      <c r="AH146" s="517"/>
      <c r="AI146" s="517"/>
      <c r="AJ146" s="517"/>
      <c r="AK146" s="517"/>
      <c r="AL146" s="517"/>
      <c r="AM146" s="517"/>
      <c r="AN146" s="2233"/>
      <c r="AO146" s="2232"/>
      <c r="AP146" s="505"/>
      <c r="AQ146" s="517"/>
      <c r="AR146" s="505"/>
      <c r="AS146" s="2361"/>
      <c r="AT146" s="4881"/>
      <c r="AU146" s="2232"/>
      <c r="AV146" s="505"/>
      <c r="AW146" s="517"/>
      <c r="AX146" s="505"/>
      <c r="AY146" s="2233"/>
      <c r="AZ146" s="2232"/>
      <c r="BA146" s="505"/>
      <c r="BB146" s="517"/>
      <c r="BC146" s="507"/>
      <c r="BD146" s="2233"/>
      <c r="BE146" s="2232"/>
      <c r="BF146" s="505"/>
      <c r="BG146" s="517"/>
      <c r="BH146" s="505"/>
      <c r="BI146" s="2233"/>
      <c r="BJ146" s="782"/>
      <c r="BK146" s="162"/>
      <c r="BL146" s="99"/>
      <c r="BM146" s="138"/>
      <c r="BN146" s="138"/>
      <c r="BO146" s="299" t="s">
        <v>193</v>
      </c>
      <c r="BP146" s="265" t="s">
        <v>397</v>
      </c>
      <c r="BQ146" s="265"/>
      <c r="BR146" s="187"/>
      <c r="BS146" s="11"/>
    </row>
    <row r="147" spans="2:71" ht="24" customHeight="1" outlineLevel="3" thickBot="1">
      <c r="B147" s="4505" t="s">
        <v>2281</v>
      </c>
      <c r="C147" s="123" t="s">
        <v>410</v>
      </c>
      <c r="D147" s="124"/>
      <c r="E147" s="124"/>
      <c r="F147" s="518"/>
      <c r="G147" s="519" t="s">
        <v>2333</v>
      </c>
      <c r="H147" s="520"/>
      <c r="I147" s="521"/>
      <c r="J147" s="129"/>
      <c r="K147" s="148"/>
      <c r="L147" s="148"/>
      <c r="M147" s="148"/>
      <c r="N147" s="148"/>
      <c r="O147" s="148"/>
      <c r="P147" s="148"/>
      <c r="Q147" s="148"/>
      <c r="R147" s="148"/>
      <c r="S147" s="148"/>
      <c r="T147" s="148"/>
      <c r="U147" s="148"/>
      <c r="V147" s="148"/>
      <c r="W147" s="148"/>
      <c r="X147" s="2175"/>
      <c r="Y147" s="148"/>
      <c r="Z147" s="148"/>
      <c r="AA147" s="148"/>
      <c r="AB147" s="2176"/>
      <c r="AC147" s="148"/>
      <c r="AD147" s="148"/>
      <c r="AE147" s="148"/>
      <c r="AF147" s="148"/>
      <c r="AG147" s="148"/>
      <c r="AH147" s="148"/>
      <c r="AI147" s="148"/>
      <c r="AJ147" s="148"/>
      <c r="AK147" s="148"/>
      <c r="AL147" s="148"/>
      <c r="AM147" s="148"/>
      <c r="AN147" s="2176"/>
      <c r="AO147" s="2175"/>
      <c r="AP147" s="148"/>
      <c r="AQ147" s="148"/>
      <c r="AR147" s="148"/>
      <c r="AS147" s="148"/>
      <c r="AT147" s="4781"/>
      <c r="AU147" s="2175"/>
      <c r="AV147" s="148"/>
      <c r="AW147" s="148"/>
      <c r="AX147" s="148"/>
      <c r="AY147" s="2176"/>
      <c r="AZ147" s="2175"/>
      <c r="BA147" s="148"/>
      <c r="BB147" s="148"/>
      <c r="BC147" s="148"/>
      <c r="BD147" s="2176"/>
      <c r="BE147" s="2175"/>
      <c r="BF147" s="148"/>
      <c r="BG147" s="148"/>
      <c r="BH147" s="148"/>
      <c r="BI147" s="2176"/>
      <c r="BJ147" s="80"/>
      <c r="BK147" s="432"/>
      <c r="BL147" s="1822"/>
      <c r="BM147" s="129"/>
      <c r="BN147" s="129"/>
      <c r="BO147" s="1822"/>
      <c r="BP147" s="328"/>
      <c r="BQ147" s="328"/>
      <c r="BR147" s="329"/>
      <c r="BS147" s="18"/>
    </row>
    <row r="148" spans="2:71" ht="24" customHeight="1" outlineLevel="3">
      <c r="B148" s="4505" t="s">
        <v>2281</v>
      </c>
      <c r="C148" s="9990" t="s">
        <v>412</v>
      </c>
      <c r="D148" s="9790"/>
      <c r="E148" s="9991"/>
      <c r="F148" s="492" t="s">
        <v>344</v>
      </c>
      <c r="G148" s="522"/>
      <c r="H148" s="134" t="s">
        <v>2334</v>
      </c>
      <c r="I148" s="134"/>
      <c r="J148" s="797"/>
      <c r="K148" s="164" t="s">
        <v>344</v>
      </c>
      <c r="L148" s="524">
        <f>L149+L152</f>
        <v>87.38000000000001</v>
      </c>
      <c r="M148" s="525"/>
      <c r="N148" s="526">
        <f>N149+N152</f>
        <v>96.2</v>
      </c>
      <c r="O148" s="527"/>
      <c r="P148" s="528"/>
      <c r="Q148" s="501"/>
      <c r="R148" s="529">
        <f>R149+R152</f>
        <v>87.38000000000001</v>
      </c>
      <c r="S148" s="1823"/>
      <c r="T148" s="528">
        <f>T149+T152</f>
        <v>96.2</v>
      </c>
      <c r="U148" s="334"/>
      <c r="V148" s="528">
        <f>V149+V152</f>
        <v>0</v>
      </c>
      <c r="W148" s="2076"/>
      <c r="X148" s="2392">
        <f>X149+X152</f>
        <v>0</v>
      </c>
      <c r="Y148" s="532"/>
      <c r="Z148" s="531">
        <f>Z149+Z152</f>
        <v>0</v>
      </c>
      <c r="AA148" s="532"/>
      <c r="AB148" s="2393">
        <f t="shared" ref="AB148:AN148" si="15">AB149+AB152</f>
        <v>0</v>
      </c>
      <c r="AC148" s="2126">
        <f t="shared" si="15"/>
        <v>0</v>
      </c>
      <c r="AD148" s="531">
        <f t="shared" si="15"/>
        <v>0</v>
      </c>
      <c r="AE148" s="531">
        <f t="shared" si="15"/>
        <v>0</v>
      </c>
      <c r="AF148" s="531">
        <f t="shared" si="15"/>
        <v>0</v>
      </c>
      <c r="AG148" s="531">
        <f t="shared" si="15"/>
        <v>0</v>
      </c>
      <c r="AH148" s="531">
        <f t="shared" si="15"/>
        <v>0</v>
      </c>
      <c r="AI148" s="531">
        <f t="shared" si="15"/>
        <v>0</v>
      </c>
      <c r="AJ148" s="531">
        <f t="shared" si="15"/>
        <v>0</v>
      </c>
      <c r="AK148" s="531">
        <f t="shared" si="15"/>
        <v>0</v>
      </c>
      <c r="AL148" s="531">
        <f t="shared" si="15"/>
        <v>0</v>
      </c>
      <c r="AM148" s="531">
        <f t="shared" si="15"/>
        <v>0</v>
      </c>
      <c r="AN148" s="2393">
        <f t="shared" si="15"/>
        <v>0</v>
      </c>
      <c r="AO148" s="2392">
        <v>539711.13537453057</v>
      </c>
      <c r="AP148" s="532"/>
      <c r="AQ148" s="531">
        <v>251596.97715395334</v>
      </c>
      <c r="AR148" s="532"/>
      <c r="AS148" s="2087">
        <v>520678.84688403166</v>
      </c>
      <c r="AT148" s="4884"/>
      <c r="AU148" s="2392">
        <f>AU149+AU152</f>
        <v>0</v>
      </c>
      <c r="AV148" s="532"/>
      <c r="AW148" s="531">
        <f>AW149+AW152</f>
        <v>0</v>
      </c>
      <c r="AX148" s="532"/>
      <c r="AY148" s="2393">
        <f>AY149+AY152</f>
        <v>0</v>
      </c>
      <c r="AZ148" s="2392">
        <f>AZ149+AZ152</f>
        <v>0</v>
      </c>
      <c r="BA148" s="532"/>
      <c r="BB148" s="531">
        <f>BB149+BB152</f>
        <v>0</v>
      </c>
      <c r="BC148" s="532"/>
      <c r="BD148" s="2393">
        <f>BD149+BD152</f>
        <v>0</v>
      </c>
      <c r="BE148" s="2392">
        <f>BE149+BE152</f>
        <v>0</v>
      </c>
      <c r="BF148" s="532"/>
      <c r="BG148" s="531">
        <f>BG149+BG152</f>
        <v>0</v>
      </c>
      <c r="BH148" s="532"/>
      <c r="BI148" s="2393">
        <f>BI149+BI152</f>
        <v>0</v>
      </c>
      <c r="BJ148" s="2476" t="s">
        <v>415</v>
      </c>
      <c r="BK148" s="533" t="s">
        <v>416</v>
      </c>
      <c r="BL148" s="1824"/>
      <c r="BM148" s="1825"/>
      <c r="BN148" s="534"/>
      <c r="BO148" s="1826"/>
      <c r="BP148" s="277" t="s">
        <v>418</v>
      </c>
      <c r="BQ148" s="277" t="s">
        <v>419</v>
      </c>
      <c r="BR148" s="187"/>
      <c r="BS148" s="18"/>
    </row>
    <row r="149" spans="2:71" ht="24" customHeight="1" outlineLevel="3">
      <c r="B149" s="4505" t="s">
        <v>2281</v>
      </c>
      <c r="C149" s="4528"/>
      <c r="D149" s="357" t="s">
        <v>423</v>
      </c>
      <c r="E149" s="104"/>
      <c r="F149" s="492" t="s">
        <v>344</v>
      </c>
      <c r="G149" s="535"/>
      <c r="H149" s="45"/>
      <c r="I149" s="4550" t="s">
        <v>2335</v>
      </c>
      <c r="J149" s="576"/>
      <c r="K149" s="164" t="s">
        <v>344</v>
      </c>
      <c r="L149" s="538">
        <v>86.43</v>
      </c>
      <c r="M149" s="539"/>
      <c r="N149" s="538">
        <v>96.2</v>
      </c>
      <c r="O149" s="540"/>
      <c r="P149" s="541">
        <v>493.56</v>
      </c>
      <c r="Q149" s="540"/>
      <c r="R149" s="275">
        <v>86.43</v>
      </c>
      <c r="S149" s="1757" t="s">
        <v>690</v>
      </c>
      <c r="T149" s="275">
        <v>96.2</v>
      </c>
      <c r="U149" s="1757" t="s">
        <v>691</v>
      </c>
      <c r="V149" s="228"/>
      <c r="W149" s="2077"/>
      <c r="X149" s="2302"/>
      <c r="Y149" s="543"/>
      <c r="Z149" s="542"/>
      <c r="AA149" s="543"/>
      <c r="AB149" s="2303"/>
      <c r="AC149" s="2127"/>
      <c r="AD149" s="542"/>
      <c r="AE149" s="542"/>
      <c r="AF149" s="542"/>
      <c r="AG149" s="542"/>
      <c r="AH149" s="542"/>
      <c r="AI149" s="542"/>
      <c r="AJ149" s="542"/>
      <c r="AK149" s="542"/>
      <c r="AL149" s="542"/>
      <c r="AM149" s="542"/>
      <c r="AN149" s="2303"/>
      <c r="AO149" s="2302">
        <v>539711.13537453057</v>
      </c>
      <c r="AP149" s="543"/>
      <c r="AQ149" s="542">
        <v>251596.97715395334</v>
      </c>
      <c r="AR149" s="543"/>
      <c r="AS149" s="795">
        <v>520678.84688403166</v>
      </c>
      <c r="AT149" s="4885"/>
      <c r="AU149" s="2302"/>
      <c r="AV149" s="543"/>
      <c r="AW149" s="542"/>
      <c r="AX149" s="543"/>
      <c r="AY149" s="2303"/>
      <c r="AZ149" s="2302"/>
      <c r="BA149" s="543"/>
      <c r="BB149" s="542"/>
      <c r="BC149" s="543"/>
      <c r="BD149" s="2303"/>
      <c r="BE149" s="2302"/>
      <c r="BF149" s="543"/>
      <c r="BG149" s="542"/>
      <c r="BH149" s="543"/>
      <c r="BI149" s="2303"/>
      <c r="BJ149" s="2468"/>
      <c r="BK149" s="544"/>
      <c r="BL149" s="545"/>
      <c r="BM149" s="546"/>
      <c r="BN149" s="547"/>
      <c r="BO149" s="548"/>
      <c r="BP149" s="277" t="s">
        <v>418</v>
      </c>
      <c r="BQ149" s="277" t="s">
        <v>419</v>
      </c>
      <c r="BR149" s="187"/>
      <c r="BS149" s="18"/>
    </row>
    <row r="150" spans="2:71" ht="24" customHeight="1" outlineLevel="3">
      <c r="B150" s="4505" t="s">
        <v>2281</v>
      </c>
      <c r="C150" s="4531"/>
      <c r="D150" s="549"/>
      <c r="E150" s="306" t="s">
        <v>425</v>
      </c>
      <c r="F150" s="492" t="s">
        <v>344</v>
      </c>
      <c r="G150" s="535"/>
      <c r="H150" s="45"/>
      <c r="I150" s="4552"/>
      <c r="J150" s="201" t="s">
        <v>2336</v>
      </c>
      <c r="K150" s="164" t="s">
        <v>344</v>
      </c>
      <c r="L150" s="538">
        <v>78.3</v>
      </c>
      <c r="M150" s="539"/>
      <c r="N150" s="538">
        <v>85</v>
      </c>
      <c r="O150" s="540"/>
      <c r="P150" s="541">
        <v>0</v>
      </c>
      <c r="Q150" s="540"/>
      <c r="R150" s="275">
        <v>78.3</v>
      </c>
      <c r="S150" s="1757" t="s">
        <v>693</v>
      </c>
      <c r="T150" s="275">
        <v>85</v>
      </c>
      <c r="U150" s="1757" t="s">
        <v>693</v>
      </c>
      <c r="V150" s="228"/>
      <c r="W150" s="2077"/>
      <c r="X150" s="2302"/>
      <c r="Y150" s="543"/>
      <c r="Z150" s="542"/>
      <c r="AA150" s="543"/>
      <c r="AB150" s="2303"/>
      <c r="AC150" s="2127"/>
      <c r="AD150" s="542"/>
      <c r="AE150" s="542"/>
      <c r="AF150" s="542"/>
      <c r="AG150" s="542"/>
      <c r="AH150" s="542"/>
      <c r="AI150" s="542"/>
      <c r="AJ150" s="542"/>
      <c r="AK150" s="542"/>
      <c r="AL150" s="542"/>
      <c r="AM150" s="542"/>
      <c r="AN150" s="2303"/>
      <c r="AO150" s="2302">
        <v>539711.13537453057</v>
      </c>
      <c r="AP150" s="543"/>
      <c r="AQ150" s="542">
        <v>251596.97715395334</v>
      </c>
      <c r="AR150" s="543"/>
      <c r="AS150" s="795">
        <v>520678.84688403166</v>
      </c>
      <c r="AT150" s="4885"/>
      <c r="AU150" s="2302"/>
      <c r="AV150" s="543"/>
      <c r="AW150" s="542"/>
      <c r="AX150" s="543"/>
      <c r="AY150" s="2303"/>
      <c r="AZ150" s="2302"/>
      <c r="BA150" s="543"/>
      <c r="BB150" s="542"/>
      <c r="BC150" s="543"/>
      <c r="BD150" s="2303"/>
      <c r="BE150" s="2302"/>
      <c r="BF150" s="543"/>
      <c r="BG150" s="542"/>
      <c r="BH150" s="543"/>
      <c r="BI150" s="2303"/>
      <c r="BJ150" s="2468" t="s">
        <v>427</v>
      </c>
      <c r="BK150" s="544" t="s">
        <v>428</v>
      </c>
      <c r="BL150" s="545"/>
      <c r="BM150" s="547"/>
      <c r="BN150" s="547"/>
      <c r="BO150" s="545"/>
      <c r="BP150" s="277" t="s">
        <v>429</v>
      </c>
      <c r="BQ150" s="265"/>
      <c r="BR150" s="187"/>
      <c r="BS150" s="18"/>
    </row>
    <row r="151" spans="2:71" ht="24" customHeight="1" outlineLevel="3">
      <c r="B151" s="4505" t="s">
        <v>2281</v>
      </c>
      <c r="C151" s="4531"/>
      <c r="D151" s="553"/>
      <c r="E151" s="306" t="s">
        <v>1790</v>
      </c>
      <c r="F151" s="492" t="s">
        <v>344</v>
      </c>
      <c r="G151" s="535"/>
      <c r="H151" s="45"/>
      <c r="I151" s="4552"/>
      <c r="J151" s="198" t="s">
        <v>2337</v>
      </c>
      <c r="K151" s="164" t="s">
        <v>344</v>
      </c>
      <c r="L151" s="555"/>
      <c r="M151" s="539"/>
      <c r="N151" s="555"/>
      <c r="O151" s="539"/>
      <c r="P151" s="556">
        <v>493.59</v>
      </c>
      <c r="Q151" s="540"/>
      <c r="R151" s="293">
        <v>8.1</v>
      </c>
      <c r="S151" s="294"/>
      <c r="T151" s="275">
        <v>11.2</v>
      </c>
      <c r="U151" s="1757"/>
      <c r="V151" s="228"/>
      <c r="W151" s="2077"/>
      <c r="X151" s="2302"/>
      <c r="Y151" s="543"/>
      <c r="Z151" s="542"/>
      <c r="AA151" s="543"/>
      <c r="AB151" s="2303"/>
      <c r="AC151" s="2127"/>
      <c r="AD151" s="542"/>
      <c r="AE151" s="542"/>
      <c r="AF151" s="542"/>
      <c r="AG151" s="542"/>
      <c r="AH151" s="542"/>
      <c r="AI151" s="542"/>
      <c r="AJ151" s="542"/>
      <c r="AK151" s="542"/>
      <c r="AL151" s="542"/>
      <c r="AM151" s="542"/>
      <c r="AN151" s="2303"/>
      <c r="AO151" s="2302">
        <v>0</v>
      </c>
      <c r="AP151" s="543" t="s">
        <v>641</v>
      </c>
      <c r="AQ151" s="542">
        <v>0</v>
      </c>
      <c r="AR151" s="543" t="s">
        <v>641</v>
      </c>
      <c r="AS151" s="795">
        <v>0</v>
      </c>
      <c r="AT151" s="4885" t="s">
        <v>641</v>
      </c>
      <c r="AU151" s="2302"/>
      <c r="AV151" s="543"/>
      <c r="AW151" s="542"/>
      <c r="AX151" s="543"/>
      <c r="AY151" s="2303"/>
      <c r="AZ151" s="2302"/>
      <c r="BA151" s="543"/>
      <c r="BB151" s="542"/>
      <c r="BC151" s="543"/>
      <c r="BD151" s="2303"/>
      <c r="BE151" s="2302"/>
      <c r="BF151" s="543"/>
      <c r="BG151" s="542"/>
      <c r="BH151" s="543"/>
      <c r="BI151" s="2303"/>
      <c r="BJ151" s="993" t="s">
        <v>439</v>
      </c>
      <c r="BK151" s="276" t="s">
        <v>440</v>
      </c>
      <c r="BL151" s="545"/>
      <c r="BM151" s="547"/>
      <c r="BN151" s="547"/>
      <c r="BO151" s="545"/>
      <c r="BP151" s="277" t="s">
        <v>489</v>
      </c>
      <c r="BQ151" s="277" t="s">
        <v>442</v>
      </c>
      <c r="BR151" s="187"/>
      <c r="BS151" s="18"/>
    </row>
    <row r="152" spans="2:71" ht="24" customHeight="1" outlineLevel="3">
      <c r="B152" s="4505" t="s">
        <v>2281</v>
      </c>
      <c r="C152" s="4531"/>
      <c r="D152" s="306" t="s">
        <v>444</v>
      </c>
      <c r="E152" s="161"/>
      <c r="F152" s="492" t="s">
        <v>344</v>
      </c>
      <c r="G152" s="535"/>
      <c r="H152" s="45"/>
      <c r="I152" s="571" t="s">
        <v>2338</v>
      </c>
      <c r="J152" s="177"/>
      <c r="K152" s="164" t="s">
        <v>344</v>
      </c>
      <c r="L152" s="539">
        <v>0.95</v>
      </c>
      <c r="M152" s="539"/>
      <c r="N152" s="539">
        <v>0</v>
      </c>
      <c r="O152" s="539"/>
      <c r="P152" s="556">
        <v>0</v>
      </c>
      <c r="Q152" s="540"/>
      <c r="R152" s="293">
        <v>0.95</v>
      </c>
      <c r="S152" s="294" t="s">
        <v>1791</v>
      </c>
      <c r="T152" s="275">
        <v>0</v>
      </c>
      <c r="U152" s="1757">
        <v>0</v>
      </c>
      <c r="V152" s="228"/>
      <c r="W152" s="2077"/>
      <c r="X152" s="2302"/>
      <c r="Y152" s="543"/>
      <c r="Z152" s="542"/>
      <c r="AA152" s="543"/>
      <c r="AB152" s="2303"/>
      <c r="AC152" s="2127"/>
      <c r="AD152" s="542"/>
      <c r="AE152" s="542"/>
      <c r="AF152" s="542"/>
      <c r="AG152" s="542"/>
      <c r="AH152" s="542"/>
      <c r="AI152" s="542"/>
      <c r="AJ152" s="542"/>
      <c r="AK152" s="542"/>
      <c r="AL152" s="542"/>
      <c r="AM152" s="542"/>
      <c r="AN152" s="2303"/>
      <c r="AO152" s="2302">
        <v>0</v>
      </c>
      <c r="AP152" s="543" t="s">
        <v>2295</v>
      </c>
      <c r="AQ152" s="542">
        <v>0</v>
      </c>
      <c r="AR152" s="543" t="s">
        <v>2295</v>
      </c>
      <c r="AS152" s="795">
        <v>0</v>
      </c>
      <c r="AT152" s="4885" t="s">
        <v>2295</v>
      </c>
      <c r="AU152" s="2302"/>
      <c r="AV152" s="543"/>
      <c r="AW152" s="542"/>
      <c r="AX152" s="543"/>
      <c r="AY152" s="2303"/>
      <c r="AZ152" s="2302"/>
      <c r="BA152" s="543"/>
      <c r="BB152" s="542"/>
      <c r="BC152" s="543"/>
      <c r="BD152" s="2303"/>
      <c r="BE152" s="2302"/>
      <c r="BF152" s="543"/>
      <c r="BG152" s="542"/>
      <c r="BH152" s="543"/>
      <c r="BI152" s="2303"/>
      <c r="BJ152" s="2468"/>
      <c r="BK152" s="544"/>
      <c r="BL152" s="545"/>
      <c r="BM152" s="546"/>
      <c r="BN152" s="547"/>
      <c r="BO152" s="548"/>
      <c r="BP152" s="277" t="s">
        <v>418</v>
      </c>
      <c r="BQ152" s="277" t="s">
        <v>419</v>
      </c>
      <c r="BR152" s="187"/>
      <c r="BS152" s="18"/>
    </row>
    <row r="153" spans="2:71" ht="24" customHeight="1" outlineLevel="3">
      <c r="B153" s="4505" t="s">
        <v>2281</v>
      </c>
      <c r="D153" s="558"/>
      <c r="E153" s="357" t="s">
        <v>446</v>
      </c>
      <c r="F153" s="492" t="s">
        <v>344</v>
      </c>
      <c r="G153" s="347"/>
      <c r="H153" s="348"/>
      <c r="I153" s="4552"/>
      <c r="J153" s="201" t="s">
        <v>2339</v>
      </c>
      <c r="K153" s="164" t="s">
        <v>344</v>
      </c>
      <c r="L153" s="539">
        <v>0</v>
      </c>
      <c r="M153" s="539"/>
      <c r="N153" s="539">
        <v>0</v>
      </c>
      <c r="O153" s="539"/>
      <c r="P153" s="556">
        <v>0</v>
      </c>
      <c r="Q153" s="540"/>
      <c r="R153" s="293">
        <v>0</v>
      </c>
      <c r="S153" s="294"/>
      <c r="T153" s="275">
        <v>0</v>
      </c>
      <c r="U153" s="1757"/>
      <c r="V153" s="228"/>
      <c r="W153" s="2077"/>
      <c r="X153" s="2302"/>
      <c r="Y153" s="543"/>
      <c r="Z153" s="542"/>
      <c r="AA153" s="543"/>
      <c r="AB153" s="2303"/>
      <c r="AC153" s="2127"/>
      <c r="AD153" s="542"/>
      <c r="AE153" s="542"/>
      <c r="AF153" s="542"/>
      <c r="AG153" s="542"/>
      <c r="AH153" s="542"/>
      <c r="AI153" s="542"/>
      <c r="AJ153" s="542"/>
      <c r="AK153" s="542"/>
      <c r="AL153" s="542"/>
      <c r="AM153" s="542"/>
      <c r="AN153" s="2303"/>
      <c r="AO153" s="2302">
        <v>0</v>
      </c>
      <c r="AP153" s="543" t="s">
        <v>2295</v>
      </c>
      <c r="AQ153" s="542">
        <v>0</v>
      </c>
      <c r="AR153" s="543" t="s">
        <v>2295</v>
      </c>
      <c r="AS153" s="795">
        <v>0</v>
      </c>
      <c r="AT153" s="4885" t="s">
        <v>2295</v>
      </c>
      <c r="AU153" s="2302"/>
      <c r="AV153" s="543"/>
      <c r="AW153" s="542"/>
      <c r="AX153" s="543"/>
      <c r="AY153" s="2303"/>
      <c r="AZ153" s="2302"/>
      <c r="BA153" s="543"/>
      <c r="BB153" s="542"/>
      <c r="BC153" s="543"/>
      <c r="BD153" s="2303"/>
      <c r="BE153" s="2302"/>
      <c r="BF153" s="543"/>
      <c r="BG153" s="542"/>
      <c r="BH153" s="543"/>
      <c r="BI153" s="2303"/>
      <c r="BJ153" s="2468" t="s">
        <v>427</v>
      </c>
      <c r="BK153" s="544" t="s">
        <v>447</v>
      </c>
      <c r="BL153" s="545"/>
      <c r="BM153" s="547"/>
      <c r="BN153" s="547"/>
      <c r="BO153" s="545"/>
      <c r="BP153" s="277" t="s">
        <v>429</v>
      </c>
      <c r="BQ153" s="265"/>
      <c r="BR153" s="187"/>
      <c r="BS153" s="18"/>
    </row>
    <row r="154" spans="2:71" ht="24" customHeight="1" outlineLevel="3">
      <c r="B154" s="4505" t="s">
        <v>2281</v>
      </c>
      <c r="C154" s="4531"/>
      <c r="D154" s="559"/>
      <c r="E154" s="357" t="s">
        <v>454</v>
      </c>
      <c r="F154" s="492" t="s">
        <v>344</v>
      </c>
      <c r="G154" s="384"/>
      <c r="H154" s="385"/>
      <c r="I154" s="4553"/>
      <c r="J154" s="349" t="s">
        <v>2340</v>
      </c>
      <c r="K154" s="164" t="s">
        <v>344</v>
      </c>
      <c r="L154" s="562"/>
      <c r="M154" s="92"/>
      <c r="N154" s="92"/>
      <c r="O154" s="92"/>
      <c r="P154" s="228"/>
      <c r="Q154" s="297"/>
      <c r="R154" s="563">
        <v>0.95</v>
      </c>
      <c r="S154" s="1828"/>
      <c r="T154" s="275">
        <v>0</v>
      </c>
      <c r="U154" s="1757"/>
      <c r="V154" s="228"/>
      <c r="W154" s="2076"/>
      <c r="X154" s="2302"/>
      <c r="Y154" s="543"/>
      <c r="Z154" s="542"/>
      <c r="AA154" s="543"/>
      <c r="AB154" s="2303"/>
      <c r="AC154" s="2127"/>
      <c r="AD154" s="542"/>
      <c r="AE154" s="542"/>
      <c r="AF154" s="542"/>
      <c r="AG154" s="542"/>
      <c r="AH154" s="542"/>
      <c r="AI154" s="542"/>
      <c r="AJ154" s="542"/>
      <c r="AK154" s="542"/>
      <c r="AL154" s="542"/>
      <c r="AM154" s="542"/>
      <c r="AN154" s="2303"/>
      <c r="AO154" s="2302">
        <v>0</v>
      </c>
      <c r="AP154" s="543" t="s">
        <v>2295</v>
      </c>
      <c r="AQ154" s="542">
        <v>0</v>
      </c>
      <c r="AR154" s="543" t="s">
        <v>2295</v>
      </c>
      <c r="AS154" s="795">
        <v>0</v>
      </c>
      <c r="AT154" s="4885" t="s">
        <v>2295</v>
      </c>
      <c r="AU154" s="2302"/>
      <c r="AV154" s="543"/>
      <c r="AW154" s="542"/>
      <c r="AX154" s="543"/>
      <c r="AY154" s="2303"/>
      <c r="AZ154" s="2302"/>
      <c r="BA154" s="543"/>
      <c r="BB154" s="542"/>
      <c r="BC154" s="543"/>
      <c r="BD154" s="2303"/>
      <c r="BE154" s="2302"/>
      <c r="BF154" s="543"/>
      <c r="BG154" s="542"/>
      <c r="BH154" s="543"/>
      <c r="BI154" s="2303"/>
      <c r="BJ154" s="2468"/>
      <c r="BK154" s="276"/>
      <c r="BL154" s="99"/>
      <c r="BM154" s="547"/>
      <c r="BN154" s="547"/>
      <c r="BO154" s="99"/>
      <c r="BP154" s="277" t="s">
        <v>418</v>
      </c>
      <c r="BQ154" s="277" t="s">
        <v>419</v>
      </c>
      <c r="BR154" s="187"/>
      <c r="BS154" s="18"/>
    </row>
    <row r="155" spans="2:71" ht="24" customHeight="1" outlineLevel="3">
      <c r="B155" s="4505" t="s">
        <v>2281</v>
      </c>
      <c r="C155" s="1849" t="s">
        <v>456</v>
      </c>
      <c r="D155" s="161"/>
      <c r="E155" s="161"/>
      <c r="F155" s="492" t="s">
        <v>1792</v>
      </c>
      <c r="G155" s="198"/>
      <c r="H155" s="178" t="s">
        <v>2341</v>
      </c>
      <c r="I155" s="178"/>
      <c r="J155" s="177"/>
      <c r="K155" s="162" t="s">
        <v>459</v>
      </c>
      <c r="L155" s="565">
        <v>2.6590548761004588E-2</v>
      </c>
      <c r="M155" s="566"/>
      <c r="N155" s="565">
        <v>1.3614241458903248E-2</v>
      </c>
      <c r="O155" s="567"/>
      <c r="P155" s="568"/>
      <c r="Q155" s="501"/>
      <c r="R155" s="4556">
        <v>2.6590548761004588E-2</v>
      </c>
      <c r="S155" s="4886" t="s">
        <v>699</v>
      </c>
      <c r="T155" s="4556">
        <v>1.3614241458903248E-2</v>
      </c>
      <c r="U155" s="4886" t="s">
        <v>700</v>
      </c>
      <c r="V155" s="4556" t="s">
        <v>169</v>
      </c>
      <c r="W155" s="2076"/>
      <c r="X155" s="4555" t="s">
        <v>169</v>
      </c>
      <c r="Y155" s="570"/>
      <c r="Z155" s="4556" t="e">
        <f>Z148/Z25</f>
        <v>#DIV/0!</v>
      </c>
      <c r="AA155" s="570"/>
      <c r="AB155" s="4557" t="s">
        <v>169</v>
      </c>
      <c r="AC155" s="4887" t="s">
        <v>169</v>
      </c>
      <c r="AD155" s="4556" t="s">
        <v>169</v>
      </c>
      <c r="AE155" s="4556" t="s">
        <v>169</v>
      </c>
      <c r="AF155" s="4556" t="s">
        <v>169</v>
      </c>
      <c r="AG155" s="4556" t="s">
        <v>169</v>
      </c>
      <c r="AH155" s="4556" t="s">
        <v>169</v>
      </c>
      <c r="AI155" s="4556" t="s">
        <v>169</v>
      </c>
      <c r="AJ155" s="4556" t="s">
        <v>169</v>
      </c>
      <c r="AK155" s="4556" t="s">
        <v>169</v>
      </c>
      <c r="AL155" s="4556" t="s">
        <v>169</v>
      </c>
      <c r="AM155" s="4556" t="s">
        <v>169</v>
      </c>
      <c r="AN155" s="4557" t="s">
        <v>169</v>
      </c>
      <c r="AO155" s="2405">
        <v>206.70276207795806</v>
      </c>
      <c r="AP155" s="570"/>
      <c r="AQ155" s="783">
        <v>150.78601462757095</v>
      </c>
      <c r="AR155" s="570"/>
      <c r="AS155" s="2541">
        <v>174.47029858641284</v>
      </c>
      <c r="AT155" s="4888"/>
      <c r="AU155" s="4555" t="s">
        <v>169</v>
      </c>
      <c r="AV155" s="570"/>
      <c r="AW155" s="4556" t="s">
        <v>169</v>
      </c>
      <c r="AX155" s="570"/>
      <c r="AY155" s="4557" t="s">
        <v>169</v>
      </c>
      <c r="AZ155" s="4555" t="s">
        <v>169</v>
      </c>
      <c r="BA155" s="570"/>
      <c r="BB155" s="4556" t="s">
        <v>169</v>
      </c>
      <c r="BC155" s="570"/>
      <c r="BD155" s="4557" t="s">
        <v>169</v>
      </c>
      <c r="BE155" s="4555" t="s">
        <v>169</v>
      </c>
      <c r="BF155" s="570"/>
      <c r="BG155" s="4556" t="s">
        <v>169</v>
      </c>
      <c r="BH155" s="570"/>
      <c r="BI155" s="4557" t="s">
        <v>169</v>
      </c>
      <c r="BJ155" s="2468" t="s">
        <v>460</v>
      </c>
      <c r="BK155" s="276" t="s">
        <v>461</v>
      </c>
      <c r="BL155" s="99"/>
      <c r="BM155" s="547"/>
      <c r="BN155" s="547"/>
      <c r="BO155" s="99"/>
      <c r="BP155" s="277" t="s">
        <v>462</v>
      </c>
      <c r="BQ155" s="265"/>
      <c r="BR155" s="187"/>
      <c r="BS155" s="18"/>
    </row>
    <row r="156" spans="2:71" ht="24" customHeight="1" outlineLevel="3">
      <c r="B156" s="4505" t="s">
        <v>2281</v>
      </c>
      <c r="C156" s="4514"/>
      <c r="D156" s="571" t="s">
        <v>412</v>
      </c>
      <c r="E156" s="161"/>
      <c r="F156" s="492" t="s">
        <v>344</v>
      </c>
      <c r="G156" s="198"/>
      <c r="H156" s="337"/>
      <c r="I156" s="571" t="s">
        <v>2334</v>
      </c>
      <c r="J156" s="177"/>
      <c r="K156" s="162" t="s">
        <v>703</v>
      </c>
      <c r="M156" s="302"/>
      <c r="N156" s="302"/>
      <c r="O156" s="302"/>
      <c r="P156" s="302"/>
      <c r="Q156" s="501"/>
      <c r="R156" s="302"/>
      <c r="S156" s="302"/>
      <c r="T156" s="302"/>
      <c r="U156" s="302"/>
      <c r="V156" s="302"/>
      <c r="W156" s="2076"/>
      <c r="X156" s="2239"/>
      <c r="Y156" s="162"/>
      <c r="Z156" s="162"/>
      <c r="AA156" s="162"/>
      <c r="AB156" s="2240"/>
      <c r="AC156" s="782"/>
      <c r="AD156" s="162"/>
      <c r="AE156" s="162"/>
      <c r="AF156" s="100"/>
      <c r="AG156" s="100"/>
      <c r="AH156" s="100"/>
      <c r="AI156" s="100"/>
      <c r="AJ156" s="100"/>
      <c r="AK156" s="100"/>
      <c r="AL156" s="100"/>
      <c r="AM156" s="100"/>
      <c r="AN156" s="2187"/>
      <c r="AO156" s="4889">
        <v>539711.13537453057</v>
      </c>
      <c r="AP156" s="4890"/>
      <c r="AQ156" s="4891">
        <v>251596.97715395334</v>
      </c>
      <c r="AR156" s="4890"/>
      <c r="AS156" s="4892">
        <v>520678.84688403166</v>
      </c>
      <c r="AT156" s="4893"/>
      <c r="AU156" s="2237"/>
      <c r="AV156" s="293"/>
      <c r="AW156" s="569"/>
      <c r="AX156" s="293"/>
      <c r="AY156" s="2238"/>
      <c r="AZ156" s="2237"/>
      <c r="BA156" s="293"/>
      <c r="BB156" s="569"/>
      <c r="BC156" s="293"/>
      <c r="BD156" s="2238"/>
      <c r="BE156" s="2237"/>
      <c r="BF156" s="293"/>
      <c r="BG156" s="569"/>
      <c r="BH156" s="293"/>
      <c r="BI156" s="2238"/>
      <c r="BJ156" s="2468"/>
      <c r="BL156" s="99"/>
      <c r="BM156" s="547"/>
      <c r="BN156" s="547"/>
      <c r="BO156" s="99"/>
      <c r="BP156" s="277" t="s">
        <v>462</v>
      </c>
      <c r="BQ156" s="277"/>
      <c r="BR156" s="187"/>
      <c r="BS156" s="18"/>
    </row>
    <row r="157" spans="2:71" ht="24" customHeight="1" outlineLevel="3">
      <c r="B157" s="4505" t="s">
        <v>2281</v>
      </c>
      <c r="C157" s="4516"/>
      <c r="D157" s="571" t="s">
        <v>232</v>
      </c>
      <c r="E157" s="161"/>
      <c r="F157" s="492" t="s">
        <v>233</v>
      </c>
      <c r="G157" s="198"/>
      <c r="H157" s="343"/>
      <c r="I157" s="571" t="s">
        <v>2292</v>
      </c>
      <c r="J157" s="177"/>
      <c r="K157" s="162" t="s">
        <v>235</v>
      </c>
      <c r="L157" s="572"/>
      <c r="M157" s="302"/>
      <c r="N157" s="302"/>
      <c r="O157" s="302"/>
      <c r="P157" s="302"/>
      <c r="Q157" s="501"/>
      <c r="R157" s="302"/>
      <c r="S157" s="302"/>
      <c r="T157" s="302"/>
      <c r="U157" s="302"/>
      <c r="V157" s="302"/>
      <c r="W157" s="2076"/>
      <c r="X157" s="2239"/>
      <c r="Y157" s="162"/>
      <c r="Z157" s="162"/>
      <c r="AA157" s="162"/>
      <c r="AB157" s="2240"/>
      <c r="AC157" s="782"/>
      <c r="AD157" s="162"/>
      <c r="AE157" s="162"/>
      <c r="AF157" s="100"/>
      <c r="AG157" s="100"/>
      <c r="AH157" s="100"/>
      <c r="AI157" s="100"/>
      <c r="AJ157" s="100"/>
      <c r="AK157" s="100"/>
      <c r="AL157" s="100"/>
      <c r="AM157" s="100"/>
      <c r="AN157" s="2187"/>
      <c r="AO157" s="4889">
        <v>2611.0494603404391</v>
      </c>
      <c r="AP157" s="4890"/>
      <c r="AQ157" s="4891">
        <v>1668.5697130160061</v>
      </c>
      <c r="AR157" s="4890"/>
      <c r="AS157" s="4892">
        <v>2984.3408941387597</v>
      </c>
      <c r="AT157" s="4893"/>
      <c r="AU157" s="2237"/>
      <c r="AV157" s="293"/>
      <c r="AW157" s="569"/>
      <c r="AX157" s="293"/>
      <c r="AY157" s="2238"/>
      <c r="AZ157" s="2237"/>
      <c r="BA157" s="293"/>
      <c r="BB157" s="569"/>
      <c r="BC157" s="293"/>
      <c r="BD157" s="2238"/>
      <c r="BE157" s="2237"/>
      <c r="BF157" s="293"/>
      <c r="BG157" s="569"/>
      <c r="BH157" s="293"/>
      <c r="BI157" s="2238"/>
      <c r="BJ157" s="2468"/>
      <c r="BK157" s="276"/>
      <c r="BL157" s="99"/>
      <c r="BM157" s="547"/>
      <c r="BN157" s="547"/>
      <c r="BO157" s="99"/>
      <c r="BP157" s="277" t="s">
        <v>462</v>
      </c>
      <c r="BQ157" s="277"/>
      <c r="BR157" s="187"/>
      <c r="BS157" s="18"/>
    </row>
    <row r="158" spans="2:71" ht="24" customHeight="1" outlineLevel="3">
      <c r="B158" s="1754"/>
      <c r="C158" s="1849" t="s">
        <v>466</v>
      </c>
      <c r="D158" s="161"/>
      <c r="E158" s="161"/>
      <c r="F158" s="492" t="s">
        <v>344</v>
      </c>
      <c r="G158" s="386"/>
      <c r="H158" s="140" t="s">
        <v>467</v>
      </c>
      <c r="I158" s="140"/>
      <c r="J158" s="177"/>
      <c r="K158" s="164" t="s">
        <v>344</v>
      </c>
      <c r="L158" s="356">
        <v>0</v>
      </c>
      <c r="M158" s="95"/>
      <c r="N158" s="356">
        <v>0</v>
      </c>
      <c r="O158" s="92"/>
      <c r="P158" s="356">
        <v>0</v>
      </c>
      <c r="Q158" s="501"/>
      <c r="R158" s="356">
        <v>0</v>
      </c>
      <c r="S158" s="1759"/>
      <c r="T158" s="356">
        <v>0</v>
      </c>
      <c r="U158" s="1833"/>
      <c r="V158" s="356"/>
      <c r="W158" s="2076"/>
      <c r="X158" s="2186"/>
      <c r="Y158" s="293"/>
      <c r="Z158" s="100"/>
      <c r="AA158" s="293"/>
      <c r="AB158" s="2187"/>
      <c r="AC158" s="2111"/>
      <c r="AD158" s="100"/>
      <c r="AE158" s="100"/>
      <c r="AF158" s="100"/>
      <c r="AG158" s="100"/>
      <c r="AH158" s="100"/>
      <c r="AI158" s="100"/>
      <c r="AJ158" s="100"/>
      <c r="AK158" s="100"/>
      <c r="AL158" s="100"/>
      <c r="AM158" s="100"/>
      <c r="AN158" s="2187"/>
      <c r="AO158" s="2186"/>
      <c r="AP158" s="293"/>
      <c r="AQ158" s="100"/>
      <c r="AR158" s="293"/>
      <c r="AS158" s="2349"/>
      <c r="AT158" s="4806"/>
      <c r="AU158" s="2186"/>
      <c r="AV158" s="293"/>
      <c r="AW158" s="100"/>
      <c r="AX158" s="293"/>
      <c r="AY158" s="2187"/>
      <c r="AZ158" s="2186"/>
      <c r="BA158" s="293"/>
      <c r="BB158" s="100"/>
      <c r="BC158" s="293"/>
      <c r="BD158" s="2187"/>
      <c r="BE158" s="2186"/>
      <c r="BF158" s="293"/>
      <c r="BG158" s="100"/>
      <c r="BH158" s="293"/>
      <c r="BI158" s="2187"/>
      <c r="BJ158" s="2468" t="s">
        <v>468</v>
      </c>
      <c r="BK158" s="276" t="s">
        <v>469</v>
      </c>
      <c r="BL158" s="99"/>
      <c r="BM158" s="547"/>
      <c r="BN158" s="547"/>
      <c r="BO158" s="299" t="s">
        <v>193</v>
      </c>
      <c r="BP158" s="277" t="s">
        <v>470</v>
      </c>
      <c r="BQ158" s="277" t="s">
        <v>442</v>
      </c>
      <c r="BR158" s="187"/>
      <c r="BS158" s="18"/>
    </row>
    <row r="159" spans="2:71" ht="24" customHeight="1" outlineLevel="3">
      <c r="B159" s="1754"/>
      <c r="C159" s="4514"/>
      <c r="D159" s="306" t="s">
        <v>471</v>
      </c>
      <c r="E159" s="161"/>
      <c r="F159" s="492" t="s">
        <v>344</v>
      </c>
      <c r="G159" s="337"/>
      <c r="H159" s="287"/>
      <c r="I159" s="571" t="s">
        <v>472</v>
      </c>
      <c r="J159" s="177"/>
      <c r="K159" s="164" t="s">
        <v>344</v>
      </c>
      <c r="L159" s="92">
        <v>0</v>
      </c>
      <c r="M159" s="92"/>
      <c r="N159" s="92">
        <v>0</v>
      </c>
      <c r="O159" s="92"/>
      <c r="P159" s="308"/>
      <c r="Q159" s="501"/>
      <c r="R159" s="92">
        <v>0</v>
      </c>
      <c r="S159" s="151"/>
      <c r="T159" s="92">
        <v>0</v>
      </c>
      <c r="U159" s="151"/>
      <c r="V159" s="228"/>
      <c r="W159" s="2076"/>
      <c r="X159" s="2186"/>
      <c r="Y159" s="293"/>
      <c r="Z159" s="100"/>
      <c r="AA159" s="293"/>
      <c r="AB159" s="2187"/>
      <c r="AC159" s="2111"/>
      <c r="AD159" s="100"/>
      <c r="AE159" s="100"/>
      <c r="AF159" s="100"/>
      <c r="AG159" s="100"/>
      <c r="AH159" s="100"/>
      <c r="AI159" s="100"/>
      <c r="AJ159" s="100"/>
      <c r="AK159" s="100"/>
      <c r="AL159" s="100"/>
      <c r="AM159" s="100"/>
      <c r="AN159" s="2187"/>
      <c r="AO159" s="2186"/>
      <c r="AP159" s="293"/>
      <c r="AQ159" s="100"/>
      <c r="AR159" s="293"/>
      <c r="AS159" s="2349"/>
      <c r="AT159" s="4806"/>
      <c r="AU159" s="2186"/>
      <c r="AV159" s="293"/>
      <c r="AW159" s="100"/>
      <c r="AX159" s="293"/>
      <c r="AY159" s="2187"/>
      <c r="AZ159" s="2186"/>
      <c r="BA159" s="293"/>
      <c r="BB159" s="100"/>
      <c r="BC159" s="293"/>
      <c r="BD159" s="2187"/>
      <c r="BE159" s="2186"/>
      <c r="BF159" s="293"/>
      <c r="BG159" s="100"/>
      <c r="BH159" s="293"/>
      <c r="BI159" s="2187"/>
      <c r="BJ159" s="2468"/>
      <c r="BK159" s="276"/>
      <c r="BL159" s="99"/>
      <c r="BM159" s="547"/>
      <c r="BN159" s="547"/>
      <c r="BO159" s="299" t="s">
        <v>193</v>
      </c>
      <c r="BP159" s="277" t="s">
        <v>470</v>
      </c>
      <c r="BQ159" s="277" t="s">
        <v>442</v>
      </c>
      <c r="BR159" s="187"/>
      <c r="BS159" s="18"/>
    </row>
    <row r="160" spans="2:71" ht="24" customHeight="1" outlineLevel="3">
      <c r="B160" s="1754"/>
      <c r="C160" s="4516"/>
      <c r="D160" s="306" t="s">
        <v>473</v>
      </c>
      <c r="E160" s="161"/>
      <c r="F160" s="492" t="s">
        <v>344</v>
      </c>
      <c r="G160" s="343"/>
      <c r="H160" s="296"/>
      <c r="I160" s="571" t="s">
        <v>474</v>
      </c>
      <c r="J160" s="177"/>
      <c r="K160" s="164" t="s">
        <v>344</v>
      </c>
      <c r="L160" s="92">
        <v>0</v>
      </c>
      <c r="M160" s="92"/>
      <c r="N160" s="92">
        <v>0</v>
      </c>
      <c r="O160" s="92"/>
      <c r="P160" s="308"/>
      <c r="Q160" s="501"/>
      <c r="R160" s="92">
        <v>0</v>
      </c>
      <c r="S160" s="151"/>
      <c r="T160" s="92">
        <v>0</v>
      </c>
      <c r="U160" s="151"/>
      <c r="V160" s="228"/>
      <c r="W160" s="2076"/>
      <c r="X160" s="2186"/>
      <c r="Y160" s="293"/>
      <c r="Z160" s="100"/>
      <c r="AA160" s="293"/>
      <c r="AB160" s="2187"/>
      <c r="AC160" s="2111"/>
      <c r="AD160" s="100"/>
      <c r="AE160" s="100"/>
      <c r="AF160" s="100"/>
      <c r="AG160" s="100"/>
      <c r="AH160" s="100"/>
      <c r="AI160" s="100"/>
      <c r="AJ160" s="100"/>
      <c r="AK160" s="100"/>
      <c r="AL160" s="100"/>
      <c r="AM160" s="100"/>
      <c r="AN160" s="2187"/>
      <c r="AO160" s="2186"/>
      <c r="AP160" s="293"/>
      <c r="AQ160" s="100"/>
      <c r="AR160" s="293"/>
      <c r="AS160" s="2349"/>
      <c r="AT160" s="4806"/>
      <c r="AU160" s="2186"/>
      <c r="AV160" s="293"/>
      <c r="AW160" s="100"/>
      <c r="AX160" s="293"/>
      <c r="AY160" s="2187"/>
      <c r="AZ160" s="2186"/>
      <c r="BA160" s="293"/>
      <c r="BB160" s="100"/>
      <c r="BC160" s="293"/>
      <c r="BD160" s="2187"/>
      <c r="BE160" s="2186"/>
      <c r="BF160" s="293"/>
      <c r="BG160" s="100"/>
      <c r="BH160" s="293"/>
      <c r="BI160" s="2187"/>
      <c r="BJ160" s="2468"/>
      <c r="BK160" s="276"/>
      <c r="BL160" s="99"/>
      <c r="BM160" s="547"/>
      <c r="BN160" s="547"/>
      <c r="BO160" s="299" t="s">
        <v>193</v>
      </c>
      <c r="BP160" s="277" t="s">
        <v>475</v>
      </c>
      <c r="BQ160" s="277" t="s">
        <v>442</v>
      </c>
      <c r="BR160" s="187"/>
      <c r="BS160" s="18"/>
    </row>
    <row r="161" spans="2:71" ht="24" customHeight="1" outlineLevel="3">
      <c r="B161" s="1754"/>
      <c r="C161" s="1849" t="s">
        <v>476</v>
      </c>
      <c r="D161" s="161"/>
      <c r="E161" s="161"/>
      <c r="F161" s="492" t="s">
        <v>344</v>
      </c>
      <c r="G161" s="386"/>
      <c r="H161" s="140" t="s">
        <v>477</v>
      </c>
      <c r="I161" s="140"/>
      <c r="J161" s="177"/>
      <c r="K161" s="164" t="s">
        <v>344</v>
      </c>
      <c r="L161" s="356">
        <f>L162+L163</f>
        <v>0</v>
      </c>
      <c r="M161" s="95"/>
      <c r="N161" s="356">
        <f>N162+N163</f>
        <v>0</v>
      </c>
      <c r="O161" s="92"/>
      <c r="P161" s="356">
        <f>P162+P163</f>
        <v>0</v>
      </c>
      <c r="Q161" s="501"/>
      <c r="R161" s="356">
        <f>R162+R163</f>
        <v>0</v>
      </c>
      <c r="S161" s="1759"/>
      <c r="T161" s="356">
        <f>T162+T163</f>
        <v>0</v>
      </c>
      <c r="U161" s="1759"/>
      <c r="V161" s="356">
        <f>V162+V163</f>
        <v>0</v>
      </c>
      <c r="W161" s="2076"/>
      <c r="X161" s="2226">
        <f>X162+X163</f>
        <v>0</v>
      </c>
      <c r="Y161" s="293"/>
      <c r="Z161" s="356">
        <f>Z162+Z163</f>
        <v>0</v>
      </c>
      <c r="AA161" s="293"/>
      <c r="AB161" s="2241">
        <f t="shared" ref="AB161:AN161" si="16">AB162+AB163</f>
        <v>0</v>
      </c>
      <c r="AC161" s="456">
        <f t="shared" si="16"/>
        <v>0</v>
      </c>
      <c r="AD161" s="356">
        <f t="shared" si="16"/>
        <v>0</v>
      </c>
      <c r="AE161" s="356">
        <f t="shared" si="16"/>
        <v>0</v>
      </c>
      <c r="AF161" s="356">
        <f t="shared" si="16"/>
        <v>0</v>
      </c>
      <c r="AG161" s="356">
        <f t="shared" si="16"/>
        <v>0</v>
      </c>
      <c r="AH161" s="356">
        <f t="shared" si="16"/>
        <v>0</v>
      </c>
      <c r="AI161" s="356">
        <f t="shared" si="16"/>
        <v>0</v>
      </c>
      <c r="AJ161" s="356">
        <f t="shared" si="16"/>
        <v>0</v>
      </c>
      <c r="AK161" s="356">
        <f t="shared" si="16"/>
        <v>0</v>
      </c>
      <c r="AL161" s="356">
        <f t="shared" si="16"/>
        <v>0</v>
      </c>
      <c r="AM161" s="356">
        <f t="shared" si="16"/>
        <v>0</v>
      </c>
      <c r="AN161" s="2241">
        <f t="shared" si="16"/>
        <v>0</v>
      </c>
      <c r="AO161" s="2226">
        <v>0</v>
      </c>
      <c r="AP161" s="293"/>
      <c r="AQ161" s="356">
        <v>0</v>
      </c>
      <c r="AR161" s="293"/>
      <c r="AS161" s="2065">
        <v>0</v>
      </c>
      <c r="AT161" s="4806"/>
      <c r="AU161" s="2226">
        <f>AU162+AU163</f>
        <v>0</v>
      </c>
      <c r="AV161" s="293"/>
      <c r="AW161" s="356">
        <f>AW162+AW163</f>
        <v>0</v>
      </c>
      <c r="AX161" s="293"/>
      <c r="AY161" s="2241">
        <f>AY162+AY163</f>
        <v>0</v>
      </c>
      <c r="AZ161" s="2226">
        <f>AZ162+AZ163</f>
        <v>0</v>
      </c>
      <c r="BA161" s="293"/>
      <c r="BB161" s="356">
        <f>BB162+BB163</f>
        <v>0</v>
      </c>
      <c r="BC161" s="293"/>
      <c r="BD161" s="2241">
        <f>BD162+BD163</f>
        <v>0</v>
      </c>
      <c r="BE161" s="2226">
        <f>BE162+BE163</f>
        <v>0</v>
      </c>
      <c r="BF161" s="293"/>
      <c r="BG161" s="356">
        <f>BG162+BG163</f>
        <v>0</v>
      </c>
      <c r="BH161" s="293"/>
      <c r="BI161" s="2241">
        <f>BI162+BI163</f>
        <v>0</v>
      </c>
      <c r="BJ161" s="2468" t="s">
        <v>478</v>
      </c>
      <c r="BK161" s="276" t="s">
        <v>479</v>
      </c>
      <c r="BL161" s="99"/>
      <c r="BM161" s="547"/>
      <c r="BN161" s="547"/>
      <c r="BO161" s="299" t="s">
        <v>193</v>
      </c>
      <c r="BP161" s="277" t="s">
        <v>480</v>
      </c>
      <c r="BQ161" s="277"/>
      <c r="BR161" s="187"/>
      <c r="BS161" s="18"/>
    </row>
    <row r="162" spans="2:71" ht="24" customHeight="1" outlineLevel="3">
      <c r="B162" s="1754"/>
      <c r="C162" s="4528"/>
      <c r="D162" s="573" t="s">
        <v>481</v>
      </c>
      <c r="E162" s="573"/>
      <c r="F162" s="492" t="s">
        <v>344</v>
      </c>
      <c r="G162" s="574"/>
      <c r="H162" s="575"/>
      <c r="I162" s="4550" t="s">
        <v>482</v>
      </c>
      <c r="J162" s="576"/>
      <c r="K162" s="164" t="s">
        <v>344</v>
      </c>
      <c r="L162" s="308"/>
      <c r="M162" s="92" t="s">
        <v>369</v>
      </c>
      <c r="N162" s="562"/>
      <c r="O162" s="92" t="s">
        <v>369</v>
      </c>
      <c r="P162" s="308"/>
      <c r="Q162" s="501"/>
      <c r="R162" s="92"/>
      <c r="S162" s="151" t="s">
        <v>369</v>
      </c>
      <c r="T162" s="92"/>
      <c r="U162" s="151" t="s">
        <v>369</v>
      </c>
      <c r="V162" s="228"/>
      <c r="W162" s="2076"/>
      <c r="X162" s="2186"/>
      <c r="Y162" s="293"/>
      <c r="Z162" s="100"/>
      <c r="AA162" s="293"/>
      <c r="AB162" s="2187"/>
      <c r="AC162" s="2111"/>
      <c r="AD162" s="100"/>
      <c r="AE162" s="100"/>
      <c r="AF162" s="100"/>
      <c r="AG162" s="100"/>
      <c r="AH162" s="100"/>
      <c r="AI162" s="100"/>
      <c r="AJ162" s="100"/>
      <c r="AK162" s="100"/>
      <c r="AL162" s="100"/>
      <c r="AM162" s="100"/>
      <c r="AN162" s="2187"/>
      <c r="AO162" s="2186"/>
      <c r="AP162" s="293"/>
      <c r="AQ162" s="100"/>
      <c r="AR162" s="293"/>
      <c r="AS162" s="2349"/>
      <c r="AT162" s="4806"/>
      <c r="AU162" s="2186"/>
      <c r="AV162" s="293"/>
      <c r="AW162" s="100"/>
      <c r="AX162" s="293"/>
      <c r="AY162" s="2187"/>
      <c r="AZ162" s="2186"/>
      <c r="BA162" s="293"/>
      <c r="BB162" s="100"/>
      <c r="BC162" s="293"/>
      <c r="BD162" s="2187"/>
      <c r="BE162" s="2186"/>
      <c r="BF162" s="293"/>
      <c r="BG162" s="100"/>
      <c r="BH162" s="293"/>
      <c r="BI162" s="2187"/>
      <c r="BJ162" s="2468"/>
      <c r="BK162" s="276"/>
      <c r="BL162" s="99"/>
      <c r="BM162" s="547"/>
      <c r="BN162" s="547"/>
      <c r="BO162" s="299" t="s">
        <v>193</v>
      </c>
      <c r="BP162" s="277" t="s">
        <v>480</v>
      </c>
      <c r="BQ162" s="277"/>
      <c r="BR162" s="187"/>
      <c r="BS162" s="18"/>
    </row>
    <row r="163" spans="2:71" ht="24" customHeight="1" outlineLevel="3">
      <c r="B163" s="1754"/>
      <c r="C163" s="1945"/>
      <c r="D163" s="573" t="s">
        <v>483</v>
      </c>
      <c r="E163" s="573"/>
      <c r="F163" s="492" t="s">
        <v>344</v>
      </c>
      <c r="G163" s="577"/>
      <c r="H163" s="578"/>
      <c r="I163" s="4550" t="s">
        <v>484</v>
      </c>
      <c r="J163" s="576"/>
      <c r="K163" s="164" t="s">
        <v>344</v>
      </c>
      <c r="L163" s="308"/>
      <c r="M163" s="92" t="s">
        <v>369</v>
      </c>
      <c r="N163" s="562"/>
      <c r="O163" s="92" t="s">
        <v>369</v>
      </c>
      <c r="P163" s="308"/>
      <c r="Q163" s="501"/>
      <c r="R163" s="92"/>
      <c r="S163" s="151" t="s">
        <v>369</v>
      </c>
      <c r="T163" s="92"/>
      <c r="U163" s="151" t="s">
        <v>369</v>
      </c>
      <c r="V163" s="228"/>
      <c r="W163" s="2076"/>
      <c r="X163" s="2186"/>
      <c r="Y163" s="293"/>
      <c r="Z163" s="100"/>
      <c r="AA163" s="293"/>
      <c r="AB163" s="2187"/>
      <c r="AC163" s="2111"/>
      <c r="AD163" s="100"/>
      <c r="AE163" s="100"/>
      <c r="AF163" s="100"/>
      <c r="AG163" s="100"/>
      <c r="AH163" s="100"/>
      <c r="AI163" s="100"/>
      <c r="AJ163" s="100"/>
      <c r="AK163" s="100"/>
      <c r="AL163" s="100"/>
      <c r="AM163" s="100"/>
      <c r="AN163" s="2187"/>
      <c r="AO163" s="2186"/>
      <c r="AP163" s="293"/>
      <c r="AQ163" s="100"/>
      <c r="AR163" s="293"/>
      <c r="AS163" s="2349"/>
      <c r="AT163" s="4806"/>
      <c r="AU163" s="2186"/>
      <c r="AV163" s="293"/>
      <c r="AW163" s="100"/>
      <c r="AX163" s="293"/>
      <c r="AY163" s="2187"/>
      <c r="AZ163" s="2186"/>
      <c r="BA163" s="293"/>
      <c r="BB163" s="100"/>
      <c r="BC163" s="293"/>
      <c r="BD163" s="2187"/>
      <c r="BE163" s="2186"/>
      <c r="BF163" s="293"/>
      <c r="BG163" s="100"/>
      <c r="BH163" s="293"/>
      <c r="BI163" s="2187"/>
      <c r="BJ163" s="2468"/>
      <c r="BK163" s="276"/>
      <c r="BL163" s="99"/>
      <c r="BM163" s="547"/>
      <c r="BN163" s="547"/>
      <c r="BO163" s="299" t="s">
        <v>193</v>
      </c>
      <c r="BP163" s="277" t="s">
        <v>480</v>
      </c>
      <c r="BQ163" s="277"/>
      <c r="BR163" s="187"/>
      <c r="BS163" s="18"/>
    </row>
    <row r="164" spans="2:71" ht="24" customHeight="1" outlineLevel="3">
      <c r="B164" s="1754"/>
      <c r="C164" s="1758" t="s">
        <v>485</v>
      </c>
      <c r="D164" s="104"/>
      <c r="E164" s="104"/>
      <c r="F164" s="492" t="s">
        <v>344</v>
      </c>
      <c r="G164" s="345"/>
      <c r="H164" s="143" t="s">
        <v>486</v>
      </c>
      <c r="I164" s="143"/>
      <c r="J164" s="576"/>
      <c r="K164" s="164" t="s">
        <v>344</v>
      </c>
      <c r="L164" s="579">
        <f>L165+L166</f>
        <v>0.95</v>
      </c>
      <c r="M164" s="580"/>
      <c r="N164" s="579">
        <f>N165+N166</f>
        <v>7712.27</v>
      </c>
      <c r="O164" s="581"/>
      <c r="P164" s="579">
        <f>P165+P166</f>
        <v>0</v>
      </c>
      <c r="Q164" s="501"/>
      <c r="R164" s="579">
        <f>R165+R166</f>
        <v>0.95</v>
      </c>
      <c r="S164" s="4894"/>
      <c r="T164" s="579">
        <f>T165+T166</f>
        <v>0</v>
      </c>
      <c r="U164" s="4894"/>
      <c r="V164" s="579">
        <f>V165+V166</f>
        <v>0</v>
      </c>
      <c r="W164" s="2076"/>
      <c r="X164" s="2242">
        <f>X165+X166</f>
        <v>0</v>
      </c>
      <c r="Y164" s="581"/>
      <c r="Z164" s="579">
        <f>Z165+Z166</f>
        <v>0</v>
      </c>
      <c r="AA164" s="581"/>
      <c r="AB164" s="2243">
        <f t="shared" ref="AB164:AN164" si="17">AB165+AB166</f>
        <v>0</v>
      </c>
      <c r="AC164" s="2129">
        <f t="shared" si="17"/>
        <v>0</v>
      </c>
      <c r="AD164" s="579">
        <f t="shared" si="17"/>
        <v>0</v>
      </c>
      <c r="AE164" s="579">
        <f t="shared" si="17"/>
        <v>0</v>
      </c>
      <c r="AF164" s="579">
        <f t="shared" si="17"/>
        <v>0</v>
      </c>
      <c r="AG164" s="579">
        <f t="shared" si="17"/>
        <v>0</v>
      </c>
      <c r="AH164" s="579">
        <f t="shared" si="17"/>
        <v>0</v>
      </c>
      <c r="AI164" s="579">
        <f t="shared" si="17"/>
        <v>0</v>
      </c>
      <c r="AJ164" s="579">
        <f t="shared" si="17"/>
        <v>0</v>
      </c>
      <c r="AK164" s="579">
        <f t="shared" si="17"/>
        <v>0</v>
      </c>
      <c r="AL164" s="579">
        <f t="shared" si="17"/>
        <v>0</v>
      </c>
      <c r="AM164" s="579">
        <f t="shared" si="17"/>
        <v>0</v>
      </c>
      <c r="AN164" s="2243">
        <f t="shared" si="17"/>
        <v>0</v>
      </c>
      <c r="AO164" s="2242">
        <v>0</v>
      </c>
      <c r="AP164" s="581"/>
      <c r="AQ164" s="579">
        <v>0</v>
      </c>
      <c r="AR164" s="581"/>
      <c r="AS164" s="2363">
        <v>0</v>
      </c>
      <c r="AT164" s="4895"/>
      <c r="AU164" s="2242">
        <f>AU165+AU166</f>
        <v>0</v>
      </c>
      <c r="AV164" s="581"/>
      <c r="AW164" s="579">
        <f>AW165+AW166</f>
        <v>0</v>
      </c>
      <c r="AX164" s="581"/>
      <c r="AY164" s="2243">
        <f>AY165+AY166</f>
        <v>0</v>
      </c>
      <c r="AZ164" s="2242">
        <f>AZ165+AZ166</f>
        <v>0</v>
      </c>
      <c r="BA164" s="581"/>
      <c r="BB164" s="579">
        <f>BB165+BB166</f>
        <v>0</v>
      </c>
      <c r="BC164" s="581"/>
      <c r="BD164" s="2243">
        <f>BD165+BD166</f>
        <v>0</v>
      </c>
      <c r="BE164" s="2242">
        <f>BE165+BE166</f>
        <v>0</v>
      </c>
      <c r="BF164" s="581"/>
      <c r="BG164" s="579">
        <f>BG165+BG166</f>
        <v>0</v>
      </c>
      <c r="BH164" s="581"/>
      <c r="BI164" s="2243">
        <f>BI165+BI166</f>
        <v>0</v>
      </c>
      <c r="BJ164" s="2468" t="s">
        <v>487</v>
      </c>
      <c r="BK164" s="276" t="s">
        <v>488</v>
      </c>
      <c r="BL164" s="99"/>
      <c r="BM164" s="547"/>
      <c r="BN164" s="547"/>
      <c r="BO164" s="299" t="s">
        <v>193</v>
      </c>
      <c r="BP164" s="277" t="s">
        <v>489</v>
      </c>
      <c r="BQ164" s="277" t="s">
        <v>442</v>
      </c>
      <c r="BR164" s="187"/>
      <c r="BS164" s="18"/>
    </row>
    <row r="165" spans="2:71" ht="24" customHeight="1" outlineLevel="3">
      <c r="B165" s="1754"/>
      <c r="C165" s="4528"/>
      <c r="D165" s="357" t="s">
        <v>497</v>
      </c>
      <c r="E165" s="104"/>
      <c r="F165" s="492" t="s">
        <v>344</v>
      </c>
      <c r="G165" s="574"/>
      <c r="H165" s="575"/>
      <c r="I165" s="4550" t="s">
        <v>498</v>
      </c>
      <c r="J165" s="576"/>
      <c r="K165" s="164" t="s">
        <v>344</v>
      </c>
      <c r="L165" s="92">
        <v>0</v>
      </c>
      <c r="M165" s="92"/>
      <c r="N165" s="92">
        <v>7712.27</v>
      </c>
      <c r="O165" s="92"/>
      <c r="P165" s="308"/>
      <c r="Q165" s="501"/>
      <c r="R165" s="308"/>
      <c r="S165" s="151"/>
      <c r="T165" s="92">
        <v>0</v>
      </c>
      <c r="U165" s="151"/>
      <c r="V165" s="228"/>
      <c r="W165" s="2076"/>
      <c r="X165" s="2186"/>
      <c r="Y165" s="293"/>
      <c r="Z165" s="100"/>
      <c r="AA165" s="293"/>
      <c r="AB165" s="2187"/>
      <c r="AC165" s="2111"/>
      <c r="AD165" s="100"/>
      <c r="AE165" s="100"/>
      <c r="AF165" s="100"/>
      <c r="AG165" s="100"/>
      <c r="AH165" s="100"/>
      <c r="AI165" s="100"/>
      <c r="AJ165" s="100"/>
      <c r="AK165" s="100"/>
      <c r="AL165" s="100"/>
      <c r="AM165" s="100"/>
      <c r="AN165" s="2187"/>
      <c r="AO165" s="2186"/>
      <c r="AP165" s="293"/>
      <c r="AQ165" s="100"/>
      <c r="AR165" s="293"/>
      <c r="AS165" s="2349"/>
      <c r="AT165" s="4806"/>
      <c r="AU165" s="2186"/>
      <c r="AV165" s="293"/>
      <c r="AW165" s="100"/>
      <c r="AX165" s="293"/>
      <c r="AY165" s="2187"/>
      <c r="AZ165" s="2186"/>
      <c r="BA165" s="293"/>
      <c r="BB165" s="100"/>
      <c r="BC165" s="293"/>
      <c r="BD165" s="2187"/>
      <c r="BE165" s="2186"/>
      <c r="BF165" s="293"/>
      <c r="BG165" s="100"/>
      <c r="BH165" s="293"/>
      <c r="BI165" s="2187"/>
      <c r="BJ165" s="2468"/>
      <c r="BK165" s="276"/>
      <c r="BL165" s="99"/>
      <c r="BM165" s="547"/>
      <c r="BN165" s="547"/>
      <c r="BO165" s="299" t="s">
        <v>193</v>
      </c>
      <c r="BP165" s="277" t="s">
        <v>499</v>
      </c>
      <c r="BQ165" s="277" t="s">
        <v>442</v>
      </c>
      <c r="BR165" s="187"/>
      <c r="BS165" s="18"/>
    </row>
    <row r="166" spans="2:71" ht="24" customHeight="1" outlineLevel="3">
      <c r="B166" s="1754"/>
      <c r="C166" s="1945"/>
      <c r="D166" s="357" t="s">
        <v>507</v>
      </c>
      <c r="E166" s="104"/>
      <c r="F166" s="492" t="s">
        <v>344</v>
      </c>
      <c r="G166" s="577"/>
      <c r="H166" s="578"/>
      <c r="I166" s="4550" t="s">
        <v>508</v>
      </c>
      <c r="J166" s="576"/>
      <c r="K166" s="164" t="s">
        <v>344</v>
      </c>
      <c r="L166" s="563">
        <v>0.95</v>
      </c>
      <c r="M166" s="563"/>
      <c r="N166" s="92">
        <v>0</v>
      </c>
      <c r="O166" s="92"/>
      <c r="P166" s="308"/>
      <c r="Q166" s="501"/>
      <c r="R166" s="92">
        <v>0.95</v>
      </c>
      <c r="S166" s="151"/>
      <c r="T166" s="92">
        <v>0</v>
      </c>
      <c r="U166" s="151"/>
      <c r="V166" s="228"/>
      <c r="W166" s="2076"/>
      <c r="X166" s="2186"/>
      <c r="Y166" s="293"/>
      <c r="Z166" s="100"/>
      <c r="AA166" s="293"/>
      <c r="AB166" s="2187"/>
      <c r="AC166" s="2111"/>
      <c r="AD166" s="100"/>
      <c r="AE166" s="100"/>
      <c r="AF166" s="100"/>
      <c r="AG166" s="100"/>
      <c r="AH166" s="100"/>
      <c r="AI166" s="100"/>
      <c r="AJ166" s="100"/>
      <c r="AK166" s="100"/>
      <c r="AL166" s="100"/>
      <c r="AM166" s="100"/>
      <c r="AN166" s="2187"/>
      <c r="AO166" s="2186"/>
      <c r="AP166" s="293"/>
      <c r="AQ166" s="100"/>
      <c r="AR166" s="293"/>
      <c r="AS166" s="2349"/>
      <c r="AT166" s="4806"/>
      <c r="AU166" s="2186"/>
      <c r="AV166" s="293"/>
      <c r="AW166" s="100"/>
      <c r="AX166" s="293"/>
      <c r="AY166" s="2187"/>
      <c r="AZ166" s="2186"/>
      <c r="BA166" s="293"/>
      <c r="BB166" s="100"/>
      <c r="BC166" s="293"/>
      <c r="BD166" s="2187"/>
      <c r="BE166" s="2186"/>
      <c r="BF166" s="293"/>
      <c r="BG166" s="100"/>
      <c r="BH166" s="293"/>
      <c r="BI166" s="2187"/>
      <c r="BJ166" s="2468"/>
      <c r="BK166" s="276"/>
      <c r="BL166" s="99"/>
      <c r="BM166" s="547"/>
      <c r="BN166" s="547"/>
      <c r="BO166" s="299" t="s">
        <v>193</v>
      </c>
      <c r="BP166" s="277" t="s">
        <v>499</v>
      </c>
      <c r="BQ166" s="277" t="s">
        <v>442</v>
      </c>
      <c r="BR166" s="187"/>
      <c r="BS166" s="18"/>
    </row>
    <row r="167" spans="2:71" ht="24" customHeight="1" outlineLevel="3">
      <c r="B167" s="4505" t="s">
        <v>2281</v>
      </c>
      <c r="C167" s="1758" t="s">
        <v>516</v>
      </c>
      <c r="D167" s="104"/>
      <c r="E167" s="104"/>
      <c r="F167" s="492" t="s">
        <v>344</v>
      </c>
      <c r="G167" s="345"/>
      <c r="H167" s="143" t="s">
        <v>2342</v>
      </c>
      <c r="I167" s="143"/>
      <c r="J167" s="576"/>
      <c r="K167" s="164" t="s">
        <v>344</v>
      </c>
      <c r="L167" s="562"/>
      <c r="M167" s="92"/>
      <c r="N167" s="562"/>
      <c r="O167" s="92"/>
      <c r="P167" s="308"/>
      <c r="Q167" s="297"/>
      <c r="R167" s="563">
        <v>8.1</v>
      </c>
      <c r="S167" s="1828" t="s">
        <v>691</v>
      </c>
      <c r="T167" s="563">
        <v>11.2</v>
      </c>
      <c r="U167" s="1828" t="s">
        <v>705</v>
      </c>
      <c r="V167" s="228"/>
      <c r="W167" s="2076"/>
      <c r="X167" s="2186"/>
      <c r="Y167" s="293"/>
      <c r="Z167" s="100"/>
      <c r="AA167" s="293"/>
      <c r="AB167" s="2187"/>
      <c r="AC167" s="2111"/>
      <c r="AD167" s="100"/>
      <c r="AE167" s="100"/>
      <c r="AF167" s="100"/>
      <c r="AG167" s="100"/>
      <c r="AH167" s="100"/>
      <c r="AI167" s="100"/>
      <c r="AJ167" s="100"/>
      <c r="AK167" s="100"/>
      <c r="AL167" s="100"/>
      <c r="AM167" s="100"/>
      <c r="AN167" s="2187"/>
      <c r="AO167" s="2186">
        <v>2976.7058823529414</v>
      </c>
      <c r="AP167" s="293" t="s">
        <v>707</v>
      </c>
      <c r="AQ167" s="100">
        <v>3928.2352941176473</v>
      </c>
      <c r="AR167" s="293" t="s">
        <v>707</v>
      </c>
      <c r="AS167" s="2349">
        <v>21810.352941176472</v>
      </c>
      <c r="AT167" s="4806" t="s">
        <v>707</v>
      </c>
      <c r="AU167" s="2186"/>
      <c r="AV167" s="293"/>
      <c r="AW167" s="100"/>
      <c r="AX167" s="293"/>
      <c r="AY167" s="2187"/>
      <c r="AZ167" s="2186"/>
      <c r="BA167" s="293"/>
      <c r="BB167" s="100"/>
      <c r="BC167" s="293"/>
      <c r="BD167" s="2187"/>
      <c r="BE167" s="2186"/>
      <c r="BF167" s="293"/>
      <c r="BG167" s="100"/>
      <c r="BH167" s="293"/>
      <c r="BI167" s="2187"/>
      <c r="BJ167" s="2468" t="s">
        <v>439</v>
      </c>
      <c r="BK167" s="276" t="s">
        <v>440</v>
      </c>
      <c r="BL167" s="99"/>
      <c r="BM167" s="547"/>
      <c r="BN167" s="547"/>
      <c r="BO167" s="582"/>
      <c r="BP167" s="277" t="s">
        <v>518</v>
      </c>
      <c r="BQ167" s="265" t="s">
        <v>519</v>
      </c>
      <c r="BR167" s="187"/>
      <c r="BS167" s="18"/>
    </row>
    <row r="168" spans="2:71" ht="24" customHeight="1" outlineLevel="3">
      <c r="B168" s="1816"/>
      <c r="C168" s="1849" t="s">
        <v>522</v>
      </c>
      <c r="D168" s="161"/>
      <c r="E168" s="161"/>
      <c r="F168" s="492" t="s">
        <v>344</v>
      </c>
      <c r="G168" s="386"/>
      <c r="H168" s="140" t="s">
        <v>523</v>
      </c>
      <c r="I168" s="140"/>
      <c r="J168" s="177"/>
      <c r="K168" s="164" t="s">
        <v>344</v>
      </c>
      <c r="L168" s="562"/>
      <c r="M168" s="92" t="s">
        <v>209</v>
      </c>
      <c r="N168" s="562"/>
      <c r="O168" s="92" t="s">
        <v>209</v>
      </c>
      <c r="P168" s="308"/>
      <c r="Q168" s="297"/>
      <c r="R168" s="562"/>
      <c r="S168" s="151" t="s">
        <v>209</v>
      </c>
      <c r="T168" s="562"/>
      <c r="U168" s="151" t="s">
        <v>209</v>
      </c>
      <c r="V168" s="228"/>
      <c r="W168" s="2060"/>
      <c r="X168" s="2186"/>
      <c r="Y168" s="293"/>
      <c r="Z168" s="100"/>
      <c r="AA168" s="293"/>
      <c r="AB168" s="2187"/>
      <c r="AC168" s="2111"/>
      <c r="AD168" s="100"/>
      <c r="AE168" s="100"/>
      <c r="AF168" s="100"/>
      <c r="AG168" s="100"/>
      <c r="AH168" s="100"/>
      <c r="AI168" s="100"/>
      <c r="AJ168" s="100"/>
      <c r="AK168" s="100"/>
      <c r="AL168" s="100"/>
      <c r="AM168" s="100"/>
      <c r="AN168" s="2187"/>
      <c r="AO168" s="2186"/>
      <c r="AP168" s="293"/>
      <c r="AQ168" s="100"/>
      <c r="AR168" s="293"/>
      <c r="AS168" s="2349"/>
      <c r="AT168" s="4806"/>
      <c r="AU168" s="2186"/>
      <c r="AV168" s="293"/>
      <c r="AW168" s="100"/>
      <c r="AX168" s="293"/>
      <c r="AY168" s="2187"/>
      <c r="AZ168" s="2186"/>
      <c r="BA168" s="293"/>
      <c r="BB168" s="100"/>
      <c r="BC168" s="293"/>
      <c r="BD168" s="2187"/>
      <c r="BE168" s="2186"/>
      <c r="BF168" s="293"/>
      <c r="BG168" s="100"/>
      <c r="BH168" s="293"/>
      <c r="BI168" s="2187"/>
      <c r="BJ168" s="2468"/>
      <c r="BK168" s="544"/>
      <c r="BL168" s="99"/>
      <c r="BM168" s="547"/>
      <c r="BN168" s="547"/>
      <c r="BO168" s="299" t="s">
        <v>193</v>
      </c>
      <c r="BP168" s="277" t="s">
        <v>524</v>
      </c>
      <c r="BQ168" s="265"/>
      <c r="BR168" s="187"/>
      <c r="BS168" s="11"/>
    </row>
    <row r="169" spans="2:71" ht="24" customHeight="1" outlineLevel="3">
      <c r="B169" s="1816"/>
      <c r="C169" s="4514"/>
      <c r="D169" s="490" t="s">
        <v>708</v>
      </c>
      <c r="E169" s="583"/>
      <c r="F169" s="492" t="s">
        <v>344</v>
      </c>
      <c r="G169" s="347"/>
      <c r="H169" s="348" t="s">
        <v>527</v>
      </c>
      <c r="I169" s="495" t="s">
        <v>528</v>
      </c>
      <c r="J169" s="684"/>
      <c r="K169" s="164" t="s">
        <v>344</v>
      </c>
      <c r="L169" s="562"/>
      <c r="M169" s="92" t="s">
        <v>209</v>
      </c>
      <c r="N169" s="562"/>
      <c r="O169" s="92" t="s">
        <v>209</v>
      </c>
      <c r="P169" s="308"/>
      <c r="Q169" s="297"/>
      <c r="R169" s="562"/>
      <c r="S169" s="151" t="s">
        <v>209</v>
      </c>
      <c r="T169" s="562"/>
      <c r="U169" s="151" t="s">
        <v>209</v>
      </c>
      <c r="V169" s="228"/>
      <c r="W169" s="2060"/>
      <c r="X169" s="2186"/>
      <c r="Y169" s="293"/>
      <c r="Z169" s="100"/>
      <c r="AA169" s="293"/>
      <c r="AB169" s="2187"/>
      <c r="AC169" s="2111"/>
      <c r="AD169" s="100"/>
      <c r="AE169" s="100"/>
      <c r="AF169" s="100"/>
      <c r="AG169" s="100"/>
      <c r="AH169" s="100"/>
      <c r="AI169" s="100"/>
      <c r="AJ169" s="100"/>
      <c r="AK169" s="100"/>
      <c r="AL169" s="100"/>
      <c r="AM169" s="100"/>
      <c r="AN169" s="2187"/>
      <c r="AO169" s="2186"/>
      <c r="AP169" s="293"/>
      <c r="AQ169" s="100"/>
      <c r="AR169" s="293"/>
      <c r="AS169" s="2349"/>
      <c r="AT169" s="4806"/>
      <c r="AU169" s="2186"/>
      <c r="AV169" s="293"/>
      <c r="AW169" s="100"/>
      <c r="AX169" s="293"/>
      <c r="AY169" s="2187"/>
      <c r="AZ169" s="2186"/>
      <c r="BA169" s="293"/>
      <c r="BB169" s="100"/>
      <c r="BC169" s="293"/>
      <c r="BD169" s="2187"/>
      <c r="BE169" s="2186"/>
      <c r="BF169" s="293"/>
      <c r="BG169" s="100"/>
      <c r="BH169" s="293"/>
      <c r="BI169" s="2187"/>
      <c r="BJ169" s="2468"/>
      <c r="BK169" s="544"/>
      <c r="BL169" s="545"/>
      <c r="BM169" s="547"/>
      <c r="BN169" s="547"/>
      <c r="BO169" s="299" t="s">
        <v>193</v>
      </c>
      <c r="BP169" s="277" t="s">
        <v>524</v>
      </c>
      <c r="BQ169" s="265"/>
      <c r="BR169" s="187"/>
      <c r="BS169" s="11"/>
    </row>
    <row r="170" spans="2:71" ht="24" customHeight="1" outlineLevel="3">
      <c r="B170" s="1816"/>
      <c r="C170" s="4558"/>
      <c r="D170" s="490" t="s">
        <v>709</v>
      </c>
      <c r="E170" s="583"/>
      <c r="F170" s="492" t="s">
        <v>344</v>
      </c>
      <c r="G170" s="106"/>
      <c r="H170" s="353"/>
      <c r="I170" s="495" t="s">
        <v>530</v>
      </c>
      <c r="J170" s="684"/>
      <c r="K170" s="164" t="s">
        <v>344</v>
      </c>
      <c r="L170" s="562"/>
      <c r="M170" s="92" t="s">
        <v>209</v>
      </c>
      <c r="N170" s="562"/>
      <c r="O170" s="92" t="s">
        <v>209</v>
      </c>
      <c r="P170" s="308"/>
      <c r="Q170" s="297"/>
      <c r="R170" s="562"/>
      <c r="S170" s="151" t="s">
        <v>209</v>
      </c>
      <c r="T170" s="562"/>
      <c r="U170" s="151" t="s">
        <v>209</v>
      </c>
      <c r="V170" s="228"/>
      <c r="W170" s="2060"/>
      <c r="X170" s="2186"/>
      <c r="Y170" s="293"/>
      <c r="Z170" s="100"/>
      <c r="AA170" s="293"/>
      <c r="AB170" s="2187"/>
      <c r="AC170" s="2111"/>
      <c r="AD170" s="100"/>
      <c r="AE170" s="100"/>
      <c r="AF170" s="100"/>
      <c r="AG170" s="100"/>
      <c r="AH170" s="100"/>
      <c r="AI170" s="100"/>
      <c r="AJ170" s="100"/>
      <c r="AK170" s="100"/>
      <c r="AL170" s="100"/>
      <c r="AM170" s="100"/>
      <c r="AN170" s="2187"/>
      <c r="AO170" s="2186"/>
      <c r="AP170" s="293"/>
      <c r="AQ170" s="100"/>
      <c r="AR170" s="293"/>
      <c r="AS170" s="2349"/>
      <c r="AT170" s="4806"/>
      <c r="AU170" s="2186"/>
      <c r="AV170" s="293"/>
      <c r="AW170" s="100"/>
      <c r="AX170" s="293"/>
      <c r="AY170" s="2187"/>
      <c r="AZ170" s="2186"/>
      <c r="BA170" s="293"/>
      <c r="BB170" s="100"/>
      <c r="BC170" s="293"/>
      <c r="BD170" s="2187"/>
      <c r="BE170" s="2186"/>
      <c r="BF170" s="293"/>
      <c r="BG170" s="100"/>
      <c r="BH170" s="293"/>
      <c r="BI170" s="2187"/>
      <c r="BJ170" s="2468"/>
      <c r="BK170" s="544"/>
      <c r="BL170" s="545"/>
      <c r="BM170" s="547"/>
      <c r="BN170" s="547"/>
      <c r="BO170" s="299" t="s">
        <v>193</v>
      </c>
      <c r="BP170" s="277" t="s">
        <v>524</v>
      </c>
      <c r="BQ170" s="265"/>
      <c r="BR170" s="187"/>
      <c r="BS170" s="11"/>
    </row>
    <row r="171" spans="2:71" ht="24" customHeight="1" outlineLevel="3">
      <c r="B171" s="1816"/>
      <c r="C171" s="4558"/>
      <c r="D171" s="490" t="s">
        <v>710</v>
      </c>
      <c r="E171" s="583"/>
      <c r="F171" s="492" t="s">
        <v>344</v>
      </c>
      <c r="G171" s="106"/>
      <c r="H171" s="353"/>
      <c r="I171" s="495" t="s">
        <v>532</v>
      </c>
      <c r="J171" s="684"/>
      <c r="K171" s="164" t="s">
        <v>344</v>
      </c>
      <c r="L171" s="562"/>
      <c r="M171" s="92" t="s">
        <v>209</v>
      </c>
      <c r="N171" s="562"/>
      <c r="O171" s="92" t="s">
        <v>209</v>
      </c>
      <c r="P171" s="308"/>
      <c r="Q171" s="297"/>
      <c r="R171" s="562"/>
      <c r="S171" s="151" t="s">
        <v>209</v>
      </c>
      <c r="T171" s="562"/>
      <c r="U171" s="151" t="s">
        <v>209</v>
      </c>
      <c r="V171" s="228"/>
      <c r="W171" s="2060"/>
      <c r="X171" s="2186"/>
      <c r="Y171" s="293"/>
      <c r="Z171" s="100"/>
      <c r="AA171" s="293"/>
      <c r="AB171" s="2187"/>
      <c r="AC171" s="2111"/>
      <c r="AD171" s="100"/>
      <c r="AE171" s="100"/>
      <c r="AF171" s="100"/>
      <c r="AG171" s="100"/>
      <c r="AH171" s="100"/>
      <c r="AI171" s="100"/>
      <c r="AJ171" s="100"/>
      <c r="AK171" s="100"/>
      <c r="AL171" s="100"/>
      <c r="AM171" s="100"/>
      <c r="AN171" s="2187"/>
      <c r="AO171" s="2186"/>
      <c r="AP171" s="293"/>
      <c r="AQ171" s="100"/>
      <c r="AR171" s="293"/>
      <c r="AS171" s="2349"/>
      <c r="AT171" s="4806"/>
      <c r="AU171" s="2186"/>
      <c r="AV171" s="293"/>
      <c r="AW171" s="100"/>
      <c r="AX171" s="293"/>
      <c r="AY171" s="2187"/>
      <c r="AZ171" s="2186"/>
      <c r="BA171" s="293"/>
      <c r="BB171" s="100"/>
      <c r="BC171" s="293"/>
      <c r="BD171" s="2187"/>
      <c r="BE171" s="2186"/>
      <c r="BF171" s="293"/>
      <c r="BG171" s="100"/>
      <c r="BH171" s="293"/>
      <c r="BI171" s="2187"/>
      <c r="BJ171" s="2468"/>
      <c r="BK171" s="544"/>
      <c r="BL171" s="545"/>
      <c r="BM171" s="547"/>
      <c r="BN171" s="547"/>
      <c r="BO171" s="299" t="s">
        <v>193</v>
      </c>
      <c r="BP171" s="277" t="s">
        <v>524</v>
      </c>
      <c r="BQ171" s="265"/>
      <c r="BR171" s="187"/>
      <c r="BS171" s="11"/>
    </row>
    <row r="172" spans="2:71" ht="24" customHeight="1" outlineLevel="3">
      <c r="B172" s="1834"/>
      <c r="C172" s="4558"/>
      <c r="D172" s="490" t="s">
        <v>711</v>
      </c>
      <c r="E172" s="583"/>
      <c r="F172" s="492" t="s">
        <v>344</v>
      </c>
      <c r="G172" s="106"/>
      <c r="H172" s="353"/>
      <c r="I172" s="495" t="s">
        <v>534</v>
      </c>
      <c r="J172" s="684"/>
      <c r="K172" s="164" t="s">
        <v>344</v>
      </c>
      <c r="L172" s="562"/>
      <c r="M172" s="92" t="s">
        <v>209</v>
      </c>
      <c r="N172" s="562"/>
      <c r="O172" s="92" t="s">
        <v>209</v>
      </c>
      <c r="P172" s="308"/>
      <c r="Q172" s="297"/>
      <c r="R172" s="562"/>
      <c r="S172" s="151" t="s">
        <v>209</v>
      </c>
      <c r="T172" s="562"/>
      <c r="U172" s="151" t="s">
        <v>209</v>
      </c>
      <c r="V172" s="228"/>
      <c r="W172" s="2060"/>
      <c r="X172" s="2186"/>
      <c r="Y172" s="293"/>
      <c r="Z172" s="100"/>
      <c r="AA172" s="293"/>
      <c r="AB172" s="2187"/>
      <c r="AC172" s="2111"/>
      <c r="AD172" s="100"/>
      <c r="AE172" s="100"/>
      <c r="AF172" s="100"/>
      <c r="AG172" s="100"/>
      <c r="AH172" s="100"/>
      <c r="AI172" s="100"/>
      <c r="AJ172" s="100"/>
      <c r="AK172" s="100"/>
      <c r="AL172" s="100"/>
      <c r="AM172" s="100"/>
      <c r="AN172" s="2187"/>
      <c r="AO172" s="2186"/>
      <c r="AP172" s="293"/>
      <c r="AQ172" s="100"/>
      <c r="AR172" s="293"/>
      <c r="AS172" s="2349"/>
      <c r="AT172" s="4806"/>
      <c r="AU172" s="2186"/>
      <c r="AV172" s="293"/>
      <c r="AW172" s="100"/>
      <c r="AX172" s="293"/>
      <c r="AY172" s="2187"/>
      <c r="AZ172" s="2186"/>
      <c r="BA172" s="293"/>
      <c r="BB172" s="100"/>
      <c r="BC172" s="293"/>
      <c r="BD172" s="2187"/>
      <c r="BE172" s="2186"/>
      <c r="BF172" s="293"/>
      <c r="BG172" s="100"/>
      <c r="BH172" s="293"/>
      <c r="BI172" s="2187"/>
      <c r="BJ172" s="2468"/>
      <c r="BK172" s="544"/>
      <c r="BL172" s="545"/>
      <c r="BM172" s="547"/>
      <c r="BN172" s="547"/>
      <c r="BO172" s="299" t="s">
        <v>193</v>
      </c>
      <c r="BP172" s="277" t="s">
        <v>524</v>
      </c>
      <c r="BQ172" s="265"/>
      <c r="BR172" s="187"/>
      <c r="BS172" s="11"/>
    </row>
    <row r="173" spans="2:71" ht="24" customHeight="1" outlineLevel="3">
      <c r="B173" s="1816"/>
      <c r="C173" s="4558"/>
      <c r="D173" s="490" t="s">
        <v>712</v>
      </c>
      <c r="E173" s="583"/>
      <c r="F173" s="492" t="s">
        <v>344</v>
      </c>
      <c r="G173" s="106"/>
      <c r="H173" s="353"/>
      <c r="I173" s="495" t="s">
        <v>536</v>
      </c>
      <c r="J173" s="684"/>
      <c r="K173" s="164" t="s">
        <v>344</v>
      </c>
      <c r="L173" s="562"/>
      <c r="M173" s="92" t="s">
        <v>209</v>
      </c>
      <c r="N173" s="562"/>
      <c r="O173" s="92" t="s">
        <v>209</v>
      </c>
      <c r="P173" s="308"/>
      <c r="Q173" s="297"/>
      <c r="R173" s="562"/>
      <c r="S173" s="151" t="s">
        <v>209</v>
      </c>
      <c r="T173" s="562"/>
      <c r="U173" s="151" t="s">
        <v>209</v>
      </c>
      <c r="V173" s="228"/>
      <c r="W173" s="2060"/>
      <c r="X173" s="2186"/>
      <c r="Y173" s="293"/>
      <c r="Z173" s="100"/>
      <c r="AA173" s="293"/>
      <c r="AB173" s="2187"/>
      <c r="AC173" s="2111"/>
      <c r="AD173" s="100"/>
      <c r="AE173" s="100"/>
      <c r="AF173" s="100"/>
      <c r="AG173" s="100"/>
      <c r="AH173" s="100"/>
      <c r="AI173" s="100"/>
      <c r="AJ173" s="100"/>
      <c r="AK173" s="100"/>
      <c r="AL173" s="100"/>
      <c r="AM173" s="100"/>
      <c r="AN173" s="2187"/>
      <c r="AO173" s="2186"/>
      <c r="AP173" s="293"/>
      <c r="AQ173" s="100"/>
      <c r="AR173" s="293"/>
      <c r="AS173" s="2349"/>
      <c r="AT173" s="4806"/>
      <c r="AU173" s="2186"/>
      <c r="AV173" s="293"/>
      <c r="AW173" s="100"/>
      <c r="AX173" s="293"/>
      <c r="AY173" s="2187"/>
      <c r="AZ173" s="2186"/>
      <c r="BA173" s="293"/>
      <c r="BB173" s="100"/>
      <c r="BC173" s="293"/>
      <c r="BD173" s="2187"/>
      <c r="BE173" s="2186"/>
      <c r="BF173" s="293"/>
      <c r="BG173" s="100"/>
      <c r="BH173" s="293"/>
      <c r="BI173" s="2187"/>
      <c r="BJ173" s="2468"/>
      <c r="BK173" s="544"/>
      <c r="BL173" s="545"/>
      <c r="BM173" s="547"/>
      <c r="BN173" s="547"/>
      <c r="BO173" s="299" t="s">
        <v>193</v>
      </c>
      <c r="BP173" s="277" t="s">
        <v>524</v>
      </c>
      <c r="BQ173" s="265"/>
      <c r="BR173" s="187"/>
      <c r="BS173" s="11"/>
    </row>
    <row r="174" spans="2:71" ht="24" customHeight="1" outlineLevel="3">
      <c r="B174" s="1816"/>
      <c r="C174" s="4558"/>
      <c r="D174" s="490" t="s">
        <v>713</v>
      </c>
      <c r="E174" s="583"/>
      <c r="F174" s="492" t="s">
        <v>344</v>
      </c>
      <c r="G174" s="106"/>
      <c r="H174" s="353"/>
      <c r="I174" s="495" t="s">
        <v>538</v>
      </c>
      <c r="J174" s="684"/>
      <c r="K174" s="164" t="s">
        <v>344</v>
      </c>
      <c r="L174" s="562"/>
      <c r="M174" s="92" t="s">
        <v>209</v>
      </c>
      <c r="N174" s="562"/>
      <c r="O174" s="92" t="s">
        <v>209</v>
      </c>
      <c r="P174" s="308"/>
      <c r="Q174" s="297"/>
      <c r="R174" s="562"/>
      <c r="S174" s="151" t="s">
        <v>209</v>
      </c>
      <c r="T174" s="562"/>
      <c r="U174" s="151" t="s">
        <v>209</v>
      </c>
      <c r="V174" s="228"/>
      <c r="W174" s="2060"/>
      <c r="X174" s="2186"/>
      <c r="Y174" s="293"/>
      <c r="Z174" s="100"/>
      <c r="AA174" s="293"/>
      <c r="AB174" s="2187"/>
      <c r="AC174" s="2111"/>
      <c r="AD174" s="100"/>
      <c r="AE174" s="100"/>
      <c r="AF174" s="100"/>
      <c r="AG174" s="100"/>
      <c r="AH174" s="100"/>
      <c r="AI174" s="100"/>
      <c r="AJ174" s="100"/>
      <c r="AK174" s="100"/>
      <c r="AL174" s="100"/>
      <c r="AM174" s="100"/>
      <c r="AN174" s="2187"/>
      <c r="AO174" s="2186"/>
      <c r="AP174" s="293"/>
      <c r="AQ174" s="100"/>
      <c r="AR174" s="293"/>
      <c r="AS174" s="2349"/>
      <c r="AT174" s="4806"/>
      <c r="AU174" s="2186"/>
      <c r="AV174" s="293"/>
      <c r="AW174" s="100"/>
      <c r="AX174" s="293"/>
      <c r="AY174" s="2187"/>
      <c r="AZ174" s="2186"/>
      <c r="BA174" s="293"/>
      <c r="BB174" s="100"/>
      <c r="BC174" s="293"/>
      <c r="BD174" s="2187"/>
      <c r="BE174" s="2186"/>
      <c r="BF174" s="293"/>
      <c r="BG174" s="100"/>
      <c r="BH174" s="293"/>
      <c r="BI174" s="2187"/>
      <c r="BJ174" s="2468"/>
      <c r="BK174" s="544"/>
      <c r="BL174" s="545"/>
      <c r="BM174" s="547"/>
      <c r="BN174" s="547"/>
      <c r="BO174" s="299" t="s">
        <v>193</v>
      </c>
      <c r="BP174" s="277" t="s">
        <v>524</v>
      </c>
      <c r="BQ174" s="265"/>
      <c r="BR174" s="187"/>
      <c r="BS174" s="11"/>
    </row>
    <row r="175" spans="2:71" ht="24" customHeight="1" outlineLevel="3">
      <c r="B175" s="1816"/>
      <c r="C175" s="4558"/>
      <c r="D175" s="490" t="s">
        <v>714</v>
      </c>
      <c r="E175" s="583"/>
      <c r="F175" s="492" t="s">
        <v>344</v>
      </c>
      <c r="G175" s="106"/>
      <c r="H175" s="353"/>
      <c r="I175" s="495" t="s">
        <v>540</v>
      </c>
      <c r="J175" s="684"/>
      <c r="K175" s="164" t="s">
        <v>344</v>
      </c>
      <c r="L175" s="584"/>
      <c r="M175" s="92" t="s">
        <v>209</v>
      </c>
      <c r="N175" s="562"/>
      <c r="O175" s="92" t="s">
        <v>209</v>
      </c>
      <c r="P175" s="308"/>
      <c r="Q175" s="297"/>
      <c r="R175" s="562"/>
      <c r="S175" s="151" t="s">
        <v>209</v>
      </c>
      <c r="T175" s="562"/>
      <c r="U175" s="151" t="s">
        <v>209</v>
      </c>
      <c r="V175" s="228"/>
      <c r="W175" s="2060"/>
      <c r="X175" s="2186"/>
      <c r="Y175" s="293"/>
      <c r="Z175" s="100"/>
      <c r="AA175" s="293"/>
      <c r="AB175" s="2187"/>
      <c r="AC175" s="2111"/>
      <c r="AD175" s="100"/>
      <c r="AE175" s="100"/>
      <c r="AF175" s="100"/>
      <c r="AG175" s="100"/>
      <c r="AH175" s="100"/>
      <c r="AI175" s="100"/>
      <c r="AJ175" s="100"/>
      <c r="AK175" s="100"/>
      <c r="AL175" s="100"/>
      <c r="AM175" s="100"/>
      <c r="AN175" s="2187"/>
      <c r="AO175" s="2186"/>
      <c r="AP175" s="293"/>
      <c r="AQ175" s="100"/>
      <c r="AR175" s="293"/>
      <c r="AS175" s="2349"/>
      <c r="AT175" s="4806"/>
      <c r="AU175" s="2186"/>
      <c r="AV175" s="293"/>
      <c r="AW175" s="100"/>
      <c r="AX175" s="293"/>
      <c r="AY175" s="2187"/>
      <c r="AZ175" s="2186"/>
      <c r="BA175" s="293"/>
      <c r="BB175" s="100"/>
      <c r="BC175" s="293"/>
      <c r="BD175" s="2187"/>
      <c r="BE175" s="2186"/>
      <c r="BF175" s="293"/>
      <c r="BG175" s="100"/>
      <c r="BH175" s="293"/>
      <c r="BI175" s="2187"/>
      <c r="BJ175" s="2468"/>
      <c r="BK175" s="544"/>
      <c r="BL175" s="545"/>
      <c r="BM175" s="547"/>
      <c r="BN175" s="547"/>
      <c r="BO175" s="299" t="s">
        <v>193</v>
      </c>
      <c r="BP175" s="277" t="s">
        <v>524</v>
      </c>
      <c r="BQ175" s="265"/>
      <c r="BR175" s="187"/>
      <c r="BS175" s="11"/>
    </row>
    <row r="176" spans="2:71" ht="24" customHeight="1" outlineLevel="3" thickBot="1">
      <c r="B176" s="1821"/>
      <c r="C176" s="4559"/>
      <c r="D176" s="585" t="s">
        <v>715</v>
      </c>
      <c r="E176" s="586"/>
      <c r="F176" s="511" t="s">
        <v>344</v>
      </c>
      <c r="G176" s="232"/>
      <c r="H176" s="512"/>
      <c r="I176" s="585" t="s">
        <v>542</v>
      </c>
      <c r="J176" s="4896"/>
      <c r="K176" s="511" t="s">
        <v>344</v>
      </c>
      <c r="L176" s="587"/>
      <c r="M176" s="588" t="s">
        <v>209</v>
      </c>
      <c r="N176" s="587"/>
      <c r="O176" s="589" t="s">
        <v>209</v>
      </c>
      <c r="P176" s="590"/>
      <c r="Q176" s="591"/>
      <c r="R176" s="587"/>
      <c r="S176" s="4897" t="s">
        <v>209</v>
      </c>
      <c r="T176" s="587"/>
      <c r="U176" s="4898" t="s">
        <v>209</v>
      </c>
      <c r="V176" s="592"/>
      <c r="W176" s="591"/>
      <c r="X176" s="2244"/>
      <c r="Y176" s="594"/>
      <c r="Z176" s="593"/>
      <c r="AA176" s="594"/>
      <c r="AB176" s="2245"/>
      <c r="AC176" s="2130"/>
      <c r="AD176" s="593"/>
      <c r="AE176" s="593"/>
      <c r="AF176" s="593"/>
      <c r="AG176" s="593"/>
      <c r="AH176" s="593"/>
      <c r="AI176" s="593"/>
      <c r="AJ176" s="593"/>
      <c r="AK176" s="593"/>
      <c r="AL176" s="593"/>
      <c r="AM176" s="593"/>
      <c r="AN176" s="2245"/>
      <c r="AO176" s="2244"/>
      <c r="AP176" s="594"/>
      <c r="AQ176" s="593"/>
      <c r="AR176" s="594"/>
      <c r="AS176" s="2364"/>
      <c r="AT176" s="4899"/>
      <c r="AU176" s="2244"/>
      <c r="AV176" s="594"/>
      <c r="AW176" s="593"/>
      <c r="AX176" s="594"/>
      <c r="AY176" s="2245"/>
      <c r="AZ176" s="2244"/>
      <c r="BA176" s="594"/>
      <c r="BB176" s="593"/>
      <c r="BC176" s="594"/>
      <c r="BD176" s="2245"/>
      <c r="BE176" s="2244"/>
      <c r="BF176" s="594"/>
      <c r="BG176" s="593"/>
      <c r="BH176" s="594"/>
      <c r="BI176" s="2245"/>
      <c r="BJ176" s="2477"/>
      <c r="BK176" s="596"/>
      <c r="BL176" s="545"/>
      <c r="BM176" s="597"/>
      <c r="BN176" s="597"/>
      <c r="BO176" s="299" t="s">
        <v>193</v>
      </c>
      <c r="BP176" s="277" t="s">
        <v>524</v>
      </c>
      <c r="BQ176" s="265"/>
      <c r="BR176" s="187"/>
      <c r="BS176" s="11"/>
    </row>
    <row r="177" spans="2:71" ht="24" customHeight="1" outlineLevel="3" thickBot="1">
      <c r="B177" s="4505" t="s">
        <v>2281</v>
      </c>
      <c r="C177" s="123" t="s">
        <v>543</v>
      </c>
      <c r="D177" s="124"/>
      <c r="E177" s="124"/>
      <c r="F177" s="124"/>
      <c r="G177" s="598" t="s">
        <v>2343</v>
      </c>
      <c r="H177" s="124"/>
      <c r="I177" s="521"/>
      <c r="J177" s="521"/>
      <c r="K177" s="518"/>
      <c r="L177" s="600"/>
      <c r="M177" s="600"/>
      <c r="N177" s="600"/>
      <c r="O177" s="600"/>
      <c r="P177" s="600"/>
      <c r="Q177" s="600"/>
      <c r="R177" s="600"/>
      <c r="S177" s="600"/>
      <c r="T177" s="600"/>
      <c r="U177" s="600"/>
      <c r="V177" s="600"/>
      <c r="W177" s="600"/>
      <c r="X177" s="2246"/>
      <c r="Y177" s="518"/>
      <c r="Z177" s="518"/>
      <c r="AA177" s="518"/>
      <c r="AB177" s="2247"/>
      <c r="AC177" s="518">
        <v>0</v>
      </c>
      <c r="AD177" s="518">
        <v>0</v>
      </c>
      <c r="AE177" s="518"/>
      <c r="AF177" s="148"/>
      <c r="AG177" s="148"/>
      <c r="AH177" s="148"/>
      <c r="AI177" s="148"/>
      <c r="AJ177" s="148"/>
      <c r="AK177" s="148"/>
      <c r="AL177" s="148"/>
      <c r="AM177" s="148"/>
      <c r="AN177" s="2176"/>
      <c r="AO177" s="2175"/>
      <c r="AP177" s="148"/>
      <c r="AQ177" s="148"/>
      <c r="AR177" s="148"/>
      <c r="AS177" s="148"/>
      <c r="AT177" s="4781"/>
      <c r="AU177" s="2175"/>
      <c r="AV177" s="148"/>
      <c r="AW177" s="148"/>
      <c r="AX177" s="148"/>
      <c r="AY177" s="2176"/>
      <c r="AZ177" s="2175"/>
      <c r="BA177" s="148"/>
      <c r="BB177" s="148"/>
      <c r="BC177" s="148"/>
      <c r="BD177" s="2176"/>
      <c r="BE177" s="2175"/>
      <c r="BF177" s="148"/>
      <c r="BG177" s="148"/>
      <c r="BH177" s="148"/>
      <c r="BI177" s="2176"/>
      <c r="BJ177" s="80"/>
      <c r="BK177" s="80"/>
      <c r="BL177" s="129"/>
      <c r="BM177" s="129"/>
      <c r="BN177" s="129"/>
      <c r="BO177" s="129"/>
      <c r="BP177" s="328"/>
      <c r="BQ177" s="328"/>
      <c r="BR177" s="329"/>
      <c r="BS177" s="18"/>
    </row>
    <row r="178" spans="2:71" ht="24" customHeight="1" outlineLevel="3">
      <c r="B178" s="4505" t="s">
        <v>2281</v>
      </c>
      <c r="C178" s="4563" t="s">
        <v>544</v>
      </c>
      <c r="D178" s="601"/>
      <c r="E178" s="601"/>
      <c r="F178" s="492" t="s">
        <v>33</v>
      </c>
      <c r="G178" s="330"/>
      <c r="H178" s="254" t="s">
        <v>2344</v>
      </c>
      <c r="I178" s="254"/>
      <c r="J178" s="296"/>
      <c r="K178" s="164" t="s">
        <v>35</v>
      </c>
      <c r="L178" s="228"/>
      <c r="M178" s="92"/>
      <c r="N178" s="228"/>
      <c r="O178" s="95"/>
      <c r="P178" s="308"/>
      <c r="Q178" s="297"/>
      <c r="R178" s="308"/>
      <c r="S178" s="1840"/>
      <c r="T178" s="308"/>
      <c r="U178" s="1840"/>
      <c r="V178" s="228"/>
      <c r="W178" s="2060"/>
      <c r="X178" s="4875"/>
      <c r="Y178" s="164"/>
      <c r="Z178" s="164"/>
      <c r="AA178" s="164"/>
      <c r="AB178" s="4876"/>
      <c r="AC178" s="4877"/>
      <c r="AD178" s="164"/>
      <c r="AE178" s="164"/>
      <c r="AF178" s="100"/>
      <c r="AG178" s="100"/>
      <c r="AH178" s="100"/>
      <c r="AI178" s="100"/>
      <c r="AJ178" s="100"/>
      <c r="AK178" s="100"/>
      <c r="AL178" s="100"/>
      <c r="AM178" s="100"/>
      <c r="AN178" s="2187"/>
      <c r="AO178" s="2186">
        <v>0</v>
      </c>
      <c r="AP178" s="484"/>
      <c r="AQ178" s="100">
        <v>0</v>
      </c>
      <c r="AR178" s="484"/>
      <c r="AS178" s="2349">
        <v>0</v>
      </c>
      <c r="AT178" s="4878"/>
      <c r="AU178" s="2186"/>
      <c r="AV178" s="484"/>
      <c r="AW178" s="100"/>
      <c r="AX178" s="484"/>
      <c r="AY178" s="2187"/>
      <c r="AZ178" s="2186"/>
      <c r="BA178" s="484"/>
      <c r="BB178" s="100"/>
      <c r="BC178" s="484"/>
      <c r="BD178" s="2187"/>
      <c r="BE178" s="2186"/>
      <c r="BF178" s="484"/>
      <c r="BG178" s="100"/>
      <c r="BH178" s="484"/>
      <c r="BI178" s="2187"/>
      <c r="BJ178" s="2468" t="s">
        <v>546</v>
      </c>
      <c r="BK178" s="276" t="s">
        <v>545</v>
      </c>
      <c r="BL178" s="309"/>
      <c r="BM178" s="547"/>
      <c r="BN178" s="547"/>
      <c r="BO178" s="582"/>
      <c r="BP178" s="154" t="s">
        <v>548</v>
      </c>
      <c r="BQ178" s="154"/>
      <c r="BR178" s="604" t="s">
        <v>549</v>
      </c>
      <c r="BS178" s="18"/>
    </row>
    <row r="179" spans="2:71" ht="24" customHeight="1" outlineLevel="3">
      <c r="B179" s="4505" t="s">
        <v>2281</v>
      </c>
      <c r="C179" s="1849" t="s">
        <v>550</v>
      </c>
      <c r="D179" s="161"/>
      <c r="E179" s="161"/>
      <c r="F179" s="492" t="s">
        <v>33</v>
      </c>
      <c r="G179" s="386"/>
      <c r="H179" s="140" t="s">
        <v>2345</v>
      </c>
      <c r="I179" s="140"/>
      <c r="J179" s="141"/>
      <c r="K179" s="164" t="s">
        <v>35</v>
      </c>
      <c r="L179" s="298">
        <v>74</v>
      </c>
      <c r="M179" s="605"/>
      <c r="N179" s="298">
        <v>276</v>
      </c>
      <c r="O179" s="95"/>
      <c r="P179" s="308">
        <v>107</v>
      </c>
      <c r="Q179" s="297"/>
      <c r="R179" s="1841">
        <v>74</v>
      </c>
      <c r="S179" s="1840" t="s">
        <v>716</v>
      </c>
      <c r="T179" s="1841">
        <v>276</v>
      </c>
      <c r="U179" s="1840" t="s">
        <v>717</v>
      </c>
      <c r="V179" s="308" t="s">
        <v>2346</v>
      </c>
      <c r="W179" s="2060"/>
      <c r="X179" s="4875"/>
      <c r="Y179" s="164"/>
      <c r="Z179" s="164"/>
      <c r="AA179" s="164"/>
      <c r="AB179" s="4876"/>
      <c r="AC179" s="4877"/>
      <c r="AD179" s="164"/>
      <c r="AE179" s="164"/>
      <c r="AF179" s="100"/>
      <c r="AG179" s="100"/>
      <c r="AH179" s="100"/>
      <c r="AI179" s="100"/>
      <c r="AJ179" s="100"/>
      <c r="AK179" s="100"/>
      <c r="AL179" s="100"/>
      <c r="AM179" s="100"/>
      <c r="AN179" s="2187"/>
      <c r="AO179" s="2186">
        <v>23.029875194958798</v>
      </c>
      <c r="AP179" s="484"/>
      <c r="AQ179" s="100">
        <v>21.383623111717842</v>
      </c>
      <c r="AR179" s="484"/>
      <c r="AS179" s="2349">
        <v>35.59983577152083</v>
      </c>
      <c r="AT179" s="4878"/>
      <c r="AU179" s="2186"/>
      <c r="AV179" s="484"/>
      <c r="AW179" s="100"/>
      <c r="AX179" s="484"/>
      <c r="AY179" s="2187"/>
      <c r="AZ179" s="2186"/>
      <c r="BA179" s="484"/>
      <c r="BB179" s="100"/>
      <c r="BC179" s="484"/>
      <c r="BD179" s="2187"/>
      <c r="BE179" s="2186"/>
      <c r="BF179" s="484"/>
      <c r="BG179" s="100"/>
      <c r="BH179" s="484"/>
      <c r="BI179" s="2187"/>
      <c r="BJ179" s="2468" t="s">
        <v>552</v>
      </c>
      <c r="BK179" s="276" t="s">
        <v>553</v>
      </c>
      <c r="BL179" s="309"/>
      <c r="BM179" s="547"/>
      <c r="BN179" s="547"/>
      <c r="BO179" s="582"/>
      <c r="BP179" s="154" t="s">
        <v>555</v>
      </c>
      <c r="BQ179" s="154"/>
      <c r="BR179" s="604"/>
      <c r="BS179" s="18"/>
    </row>
    <row r="180" spans="2:71" ht="24" customHeight="1" outlineLevel="3">
      <c r="B180" s="4505" t="s">
        <v>2281</v>
      </c>
      <c r="C180" s="161" t="s">
        <v>556</v>
      </c>
      <c r="D180" s="161"/>
      <c r="E180" s="161"/>
      <c r="F180" s="492" t="s">
        <v>557</v>
      </c>
      <c r="G180" s="386"/>
      <c r="H180" s="140" t="s">
        <v>2347</v>
      </c>
      <c r="I180" s="140"/>
      <c r="J180" s="177"/>
      <c r="K180" s="164" t="s">
        <v>559</v>
      </c>
      <c r="L180" s="562"/>
      <c r="M180" s="92"/>
      <c r="N180" s="562"/>
      <c r="O180" s="95"/>
      <c r="P180" s="308"/>
      <c r="Q180" s="297"/>
      <c r="R180" s="4900"/>
      <c r="S180" s="1840"/>
      <c r="T180" s="4900"/>
      <c r="U180" s="1840"/>
      <c r="V180" s="4901" t="s">
        <v>2348</v>
      </c>
      <c r="W180" s="2060"/>
      <c r="X180" s="4875"/>
      <c r="Y180" s="164"/>
      <c r="Z180" s="164"/>
      <c r="AA180" s="164"/>
      <c r="AB180" s="4876"/>
      <c r="AC180" s="4877"/>
      <c r="AD180" s="164"/>
      <c r="AE180" s="164"/>
      <c r="AF180" s="100"/>
      <c r="AG180" s="100"/>
      <c r="AH180" s="100"/>
      <c r="AI180" s="100"/>
      <c r="AJ180" s="100"/>
      <c r="AK180" s="100"/>
      <c r="AL180" s="100"/>
      <c r="AM180" s="100"/>
      <c r="AN180" s="2187"/>
      <c r="AO180" s="2186">
        <v>0</v>
      </c>
      <c r="AP180" s="484" t="s">
        <v>2295</v>
      </c>
      <c r="AQ180" s="100">
        <v>0</v>
      </c>
      <c r="AR180" s="484" t="s">
        <v>2295</v>
      </c>
      <c r="AS180" s="2349">
        <v>0</v>
      </c>
      <c r="AT180" s="4878" t="s">
        <v>2295</v>
      </c>
      <c r="AU180" s="2186"/>
      <c r="AV180" s="484"/>
      <c r="AW180" s="100"/>
      <c r="AX180" s="484"/>
      <c r="AY180" s="2187"/>
      <c r="AZ180" s="2186"/>
      <c r="BA180" s="484"/>
      <c r="BB180" s="100"/>
      <c r="BC180" s="484"/>
      <c r="BD180" s="2187"/>
      <c r="BE180" s="2186"/>
      <c r="BF180" s="484"/>
      <c r="BG180" s="100"/>
      <c r="BH180" s="484"/>
      <c r="BI180" s="2187"/>
      <c r="BJ180" s="2472"/>
      <c r="BK180" s="457"/>
      <c r="BL180" s="99"/>
      <c r="BM180" s="547"/>
      <c r="BN180" s="547"/>
      <c r="BO180" s="99"/>
      <c r="BP180" s="606" t="s">
        <v>561</v>
      </c>
      <c r="BQ180" s="154"/>
      <c r="BR180" s="604"/>
      <c r="BS180" s="18"/>
    </row>
    <row r="181" spans="2:71" ht="24" customHeight="1" outlineLevel="3">
      <c r="B181" s="4505" t="s">
        <v>2281</v>
      </c>
      <c r="C181" s="1849" t="s">
        <v>563</v>
      </c>
      <c r="D181" s="161"/>
      <c r="E181" s="161"/>
      <c r="F181" s="285" t="s">
        <v>557</v>
      </c>
      <c r="G181" s="386"/>
      <c r="H181" s="140" t="s">
        <v>2349</v>
      </c>
      <c r="I181" s="140"/>
      <c r="J181" s="177"/>
      <c r="K181" s="162" t="s">
        <v>559</v>
      </c>
      <c r="L181" s="562"/>
      <c r="M181" s="92"/>
      <c r="N181" s="562"/>
      <c r="O181" s="95"/>
      <c r="P181" s="308"/>
      <c r="Q181" s="297"/>
      <c r="R181" s="308"/>
      <c r="S181" s="1842"/>
      <c r="T181" s="308"/>
      <c r="U181" s="607"/>
      <c r="V181" s="228"/>
      <c r="W181" s="2060"/>
      <c r="X181" s="2239"/>
      <c r="Y181" s="162"/>
      <c r="Z181" s="162"/>
      <c r="AA181" s="162"/>
      <c r="AB181" s="2240"/>
      <c r="AC181" s="782"/>
      <c r="AD181" s="162"/>
      <c r="AE181" s="162"/>
      <c r="AF181" s="100"/>
      <c r="AG181" s="100"/>
      <c r="AH181" s="100"/>
      <c r="AI181" s="100"/>
      <c r="AJ181" s="100"/>
      <c r="AK181" s="100"/>
      <c r="AL181" s="100"/>
      <c r="AM181" s="100"/>
      <c r="AN181" s="2187"/>
      <c r="AO181" s="2186">
        <v>0</v>
      </c>
      <c r="AP181" s="484"/>
      <c r="AQ181" s="100">
        <v>0</v>
      </c>
      <c r="AR181" s="484"/>
      <c r="AS181" s="2349">
        <v>0</v>
      </c>
      <c r="AT181" s="4878"/>
      <c r="AU181" s="2186"/>
      <c r="AV181" s="484"/>
      <c r="AW181" s="100"/>
      <c r="AX181" s="484"/>
      <c r="AY181" s="2187"/>
      <c r="AZ181" s="2186"/>
      <c r="BA181" s="484"/>
      <c r="BB181" s="100"/>
      <c r="BC181" s="484"/>
      <c r="BD181" s="2187"/>
      <c r="BE181" s="2186"/>
      <c r="BF181" s="484"/>
      <c r="BG181" s="100"/>
      <c r="BH181" s="484"/>
      <c r="BI181" s="2187"/>
      <c r="BJ181" s="2468" t="s">
        <v>719</v>
      </c>
      <c r="BK181" s="276" t="s">
        <v>566</v>
      </c>
      <c r="BL181" s="99"/>
      <c r="BM181" s="547"/>
      <c r="BN181" s="547"/>
      <c r="BO181" s="99"/>
      <c r="BP181" s="154" t="s">
        <v>568</v>
      </c>
      <c r="BQ181" s="154"/>
      <c r="BR181" s="604" t="s">
        <v>569</v>
      </c>
      <c r="BS181" s="18"/>
    </row>
    <row r="182" spans="2:71" ht="24" customHeight="1" outlineLevel="3">
      <c r="B182" s="4505" t="s">
        <v>2281</v>
      </c>
      <c r="C182" s="4565" t="s">
        <v>570</v>
      </c>
      <c r="D182" s="4566"/>
      <c r="E182" s="4566"/>
      <c r="F182" s="285" t="s">
        <v>33</v>
      </c>
      <c r="G182" s="386"/>
      <c r="H182" s="140" t="s">
        <v>2350</v>
      </c>
      <c r="I182" s="140"/>
      <c r="J182" s="177"/>
      <c r="K182" s="162" t="s">
        <v>35</v>
      </c>
      <c r="L182" s="608">
        <v>1.0349999999999999</v>
      </c>
      <c r="M182" s="92"/>
      <c r="N182" s="609">
        <v>1.21</v>
      </c>
      <c r="O182" s="95"/>
      <c r="P182" s="308"/>
      <c r="Q182" s="501"/>
      <c r="R182" s="1844">
        <v>1.0349999999999999</v>
      </c>
      <c r="S182" s="1842" t="s">
        <v>720</v>
      </c>
      <c r="T182" s="1845">
        <v>1.21</v>
      </c>
      <c r="U182" s="1842" t="s">
        <v>2114</v>
      </c>
      <c r="V182" s="4902" t="s">
        <v>1796</v>
      </c>
      <c r="W182" s="2076"/>
      <c r="X182" s="2186"/>
      <c r="Y182" s="484"/>
      <c r="Z182" s="100"/>
      <c r="AA182" s="484"/>
      <c r="AB182" s="2187"/>
      <c r="AC182" s="2111"/>
      <c r="AD182" s="100"/>
      <c r="AE182" s="100"/>
      <c r="AF182" s="100"/>
      <c r="AG182" s="100"/>
      <c r="AH182" s="100"/>
      <c r="AI182" s="100"/>
      <c r="AJ182" s="100"/>
      <c r="AK182" s="100"/>
      <c r="AL182" s="100"/>
      <c r="AM182" s="100"/>
      <c r="AN182" s="2187"/>
      <c r="AO182" s="2186">
        <v>0</v>
      </c>
      <c r="AP182" s="484"/>
      <c r="AQ182" s="100">
        <v>0</v>
      </c>
      <c r="AR182" s="610"/>
      <c r="AS182" s="2349">
        <v>0</v>
      </c>
      <c r="AT182" s="4903"/>
      <c r="AU182" s="2186"/>
      <c r="AV182" s="484"/>
      <c r="AW182" s="100"/>
      <c r="AX182" s="610"/>
      <c r="AY182" s="2187"/>
      <c r="AZ182" s="2186"/>
      <c r="BA182" s="610"/>
      <c r="BB182" s="100"/>
      <c r="BC182" s="610"/>
      <c r="BD182" s="2187"/>
      <c r="BE182" s="2186"/>
      <c r="BF182" s="484"/>
      <c r="BG182" s="100"/>
      <c r="BH182" s="484"/>
      <c r="BI182" s="2187"/>
      <c r="BJ182" s="2472" t="s">
        <v>572</v>
      </c>
      <c r="BK182" s="276" t="s">
        <v>573</v>
      </c>
      <c r="BL182" s="309"/>
      <c r="BM182" s="547"/>
      <c r="BN182" s="547"/>
      <c r="BO182" s="99"/>
      <c r="BP182" s="154" t="s">
        <v>575</v>
      </c>
      <c r="BQ182" s="154"/>
      <c r="BR182" s="604"/>
      <c r="BS182" s="611"/>
    </row>
    <row r="183" spans="2:71" ht="24" customHeight="1" outlineLevel="3">
      <c r="B183" s="1846"/>
      <c r="C183" s="1849" t="s">
        <v>576</v>
      </c>
      <c r="D183" s="161"/>
      <c r="E183" s="161"/>
      <c r="F183" s="285" t="s">
        <v>413</v>
      </c>
      <c r="G183" s="386"/>
      <c r="H183" s="140" t="s">
        <v>577</v>
      </c>
      <c r="I183" s="140"/>
      <c r="J183" s="177"/>
      <c r="K183" s="162" t="s">
        <v>413</v>
      </c>
      <c r="L183" s="356">
        <f>SUM(L184:L188)</f>
        <v>0</v>
      </c>
      <c r="M183" s="356" t="s">
        <v>209</v>
      </c>
      <c r="N183" s="356">
        <f>SUM(N184:N188)</f>
        <v>0</v>
      </c>
      <c r="O183" s="356" t="s">
        <v>209</v>
      </c>
      <c r="P183" s="356">
        <f>SUM(P184:P188)</f>
        <v>0</v>
      </c>
      <c r="Q183" s="501"/>
      <c r="R183" s="356">
        <f>SUM(R184:R188)</f>
        <v>0</v>
      </c>
      <c r="S183" s="1759" t="s">
        <v>209</v>
      </c>
      <c r="T183" s="356">
        <f>SUM(T184:T188)</f>
        <v>0</v>
      </c>
      <c r="U183" s="1759" t="s">
        <v>209</v>
      </c>
      <c r="V183" s="356" t="s">
        <v>723</v>
      </c>
      <c r="W183" s="2076"/>
      <c r="X183" s="2186">
        <v>0</v>
      </c>
      <c r="Y183" s="484">
        <v>0</v>
      </c>
      <c r="Z183" s="100">
        <v>0</v>
      </c>
      <c r="AA183" s="484">
        <v>0</v>
      </c>
      <c r="AB183" s="2187"/>
      <c r="AC183" s="2111">
        <v>0</v>
      </c>
      <c r="AD183" s="100">
        <v>0</v>
      </c>
      <c r="AE183" s="100"/>
      <c r="AF183" s="100">
        <v>0</v>
      </c>
      <c r="AG183" s="100">
        <v>0</v>
      </c>
      <c r="AH183" s="100"/>
      <c r="AI183" s="100">
        <v>0</v>
      </c>
      <c r="AJ183" s="100">
        <v>0</v>
      </c>
      <c r="AK183" s="100"/>
      <c r="AL183" s="100">
        <v>0</v>
      </c>
      <c r="AM183" s="100">
        <v>0</v>
      </c>
      <c r="AN183" s="2187"/>
      <c r="AO183" s="2250">
        <v>0</v>
      </c>
      <c r="AP183" s="484">
        <v>0</v>
      </c>
      <c r="AQ183" s="612">
        <v>0</v>
      </c>
      <c r="AR183" s="484">
        <v>0</v>
      </c>
      <c r="AS183" s="2349"/>
      <c r="AT183" s="4878">
        <v>0</v>
      </c>
      <c r="AU183" s="2250">
        <v>0</v>
      </c>
      <c r="AV183" s="613" t="s">
        <v>724</v>
      </c>
      <c r="AW183" s="612">
        <v>0</v>
      </c>
      <c r="AX183" s="613" t="s">
        <v>724</v>
      </c>
      <c r="AY183" s="2187"/>
      <c r="AZ183" s="2250" t="s">
        <v>2351</v>
      </c>
      <c r="BA183" s="484" t="s">
        <v>2352</v>
      </c>
      <c r="BB183" s="612" t="s">
        <v>2351</v>
      </c>
      <c r="BC183" s="484" t="s">
        <v>2352</v>
      </c>
      <c r="BD183" s="2187"/>
      <c r="BE183" s="2186"/>
      <c r="BF183" s="484"/>
      <c r="BG183" s="100"/>
      <c r="BH183" s="484"/>
      <c r="BI183" s="2187"/>
      <c r="BJ183" s="2468" t="s">
        <v>579</v>
      </c>
      <c r="BK183" s="24" t="s">
        <v>580</v>
      </c>
      <c r="BL183" s="99"/>
      <c r="BM183" s="547"/>
      <c r="BN183" s="547"/>
      <c r="BO183" s="299" t="s">
        <v>193</v>
      </c>
      <c r="BP183" s="154" t="s">
        <v>581</v>
      </c>
      <c r="BQ183" s="154"/>
      <c r="BR183" s="604"/>
      <c r="BS183" s="11"/>
    </row>
    <row r="184" spans="2:71" ht="24" customHeight="1" outlineLevel="3">
      <c r="B184" s="1847"/>
      <c r="C184" s="614"/>
      <c r="D184" s="615" t="s">
        <v>582</v>
      </c>
      <c r="E184" s="616"/>
      <c r="F184" s="285" t="s">
        <v>413</v>
      </c>
      <c r="G184" s="535"/>
      <c r="H184" s="45"/>
      <c r="I184" s="4567" t="s">
        <v>583</v>
      </c>
      <c r="J184" s="2484"/>
      <c r="K184" s="162" t="s">
        <v>413</v>
      </c>
      <c r="L184" s="562"/>
      <c r="M184" s="92" t="s">
        <v>209</v>
      </c>
      <c r="N184" s="562"/>
      <c r="O184" s="95" t="s">
        <v>209</v>
      </c>
      <c r="P184" s="228"/>
      <c r="Q184" s="501"/>
      <c r="R184" s="308"/>
      <c r="S184" s="1842" t="s">
        <v>209</v>
      </c>
      <c r="T184" s="308"/>
      <c r="U184" s="607" t="s">
        <v>209</v>
      </c>
      <c r="V184" s="228" t="s">
        <v>725</v>
      </c>
      <c r="W184" s="2076"/>
      <c r="X184" s="2186">
        <v>0</v>
      </c>
      <c r="Y184" s="484">
        <v>0</v>
      </c>
      <c r="Z184" s="100">
        <v>0</v>
      </c>
      <c r="AA184" s="484">
        <v>0</v>
      </c>
      <c r="AB184" s="2187"/>
      <c r="AC184" s="2111">
        <v>0</v>
      </c>
      <c r="AD184" s="100">
        <v>0</v>
      </c>
      <c r="AE184" s="100"/>
      <c r="AF184" s="100">
        <v>0</v>
      </c>
      <c r="AG184" s="100">
        <v>0</v>
      </c>
      <c r="AH184" s="100"/>
      <c r="AI184" s="100">
        <v>0</v>
      </c>
      <c r="AJ184" s="100">
        <v>0</v>
      </c>
      <c r="AK184" s="100"/>
      <c r="AL184" s="100">
        <v>0</v>
      </c>
      <c r="AM184" s="100">
        <v>0</v>
      </c>
      <c r="AN184" s="2187"/>
      <c r="AO184" s="2250">
        <v>0</v>
      </c>
      <c r="AP184" s="484">
        <v>0</v>
      </c>
      <c r="AQ184" s="612">
        <v>0</v>
      </c>
      <c r="AR184" s="484">
        <v>0</v>
      </c>
      <c r="AS184" s="2349"/>
      <c r="AT184" s="4878">
        <v>0</v>
      </c>
      <c r="AU184" s="2250">
        <v>0</v>
      </c>
      <c r="AV184" s="613" t="s">
        <v>726</v>
      </c>
      <c r="AW184" s="612">
        <v>0</v>
      </c>
      <c r="AX184" s="613" t="s">
        <v>726</v>
      </c>
      <c r="AY184" s="2187"/>
      <c r="AZ184" s="2250">
        <v>0</v>
      </c>
      <c r="BA184" s="484" t="s">
        <v>2353</v>
      </c>
      <c r="BB184" s="612">
        <v>0</v>
      </c>
      <c r="BC184" s="484" t="s">
        <v>2353</v>
      </c>
      <c r="BD184" s="2187"/>
      <c r="BE184" s="2186"/>
      <c r="BF184" s="484"/>
      <c r="BG184" s="100"/>
      <c r="BH184" s="484"/>
      <c r="BI184" s="2187"/>
      <c r="BJ184" s="2472"/>
      <c r="BK184" s="276"/>
      <c r="BL184" s="99"/>
      <c r="BM184" s="547"/>
      <c r="BN184" s="547"/>
      <c r="BO184" s="299" t="s">
        <v>193</v>
      </c>
      <c r="BP184" s="154" t="s">
        <v>581</v>
      </c>
      <c r="BQ184" s="154"/>
      <c r="BR184" s="604"/>
      <c r="BS184" s="11"/>
    </row>
    <row r="185" spans="2:71" ht="24" customHeight="1" outlineLevel="3">
      <c r="B185" s="1847"/>
      <c r="C185" s="614"/>
      <c r="D185" s="615" t="s">
        <v>584</v>
      </c>
      <c r="E185" s="616"/>
      <c r="F185" s="285" t="s">
        <v>413</v>
      </c>
      <c r="G185" s="535"/>
      <c r="H185" s="45"/>
      <c r="I185" s="4567" t="s">
        <v>585</v>
      </c>
      <c r="J185" s="2484"/>
      <c r="K185" s="162" t="s">
        <v>413</v>
      </c>
      <c r="L185" s="562"/>
      <c r="M185" s="92" t="s">
        <v>209</v>
      </c>
      <c r="N185" s="562"/>
      <c r="O185" s="95" t="s">
        <v>209</v>
      </c>
      <c r="P185" s="228"/>
      <c r="Q185" s="501"/>
      <c r="R185" s="308"/>
      <c r="S185" s="1842" t="s">
        <v>209</v>
      </c>
      <c r="T185" s="308"/>
      <c r="U185" s="607" t="s">
        <v>209</v>
      </c>
      <c r="V185" s="228"/>
      <c r="W185" s="2076"/>
      <c r="X185" s="2186"/>
      <c r="Y185" s="484"/>
      <c r="Z185" s="100"/>
      <c r="AA185" s="484"/>
      <c r="AB185" s="2187"/>
      <c r="AC185" s="2111"/>
      <c r="AD185" s="100"/>
      <c r="AE185" s="100"/>
      <c r="AF185" s="100"/>
      <c r="AG185" s="100"/>
      <c r="AH185" s="100"/>
      <c r="AI185" s="100"/>
      <c r="AJ185" s="100"/>
      <c r="AK185" s="100"/>
      <c r="AL185" s="100"/>
      <c r="AM185" s="100"/>
      <c r="AN185" s="2187"/>
      <c r="AO185" s="2186"/>
      <c r="AP185" s="484"/>
      <c r="AQ185" s="100"/>
      <c r="AR185" s="484"/>
      <c r="AS185" s="2349"/>
      <c r="AT185" s="4878"/>
      <c r="AU185" s="2186"/>
      <c r="AV185" s="613"/>
      <c r="AW185" s="100"/>
      <c r="AX185" s="484"/>
      <c r="AY185" s="2187"/>
      <c r="AZ185" s="2186"/>
      <c r="BA185" s="484"/>
      <c r="BB185" s="100"/>
      <c r="BC185" s="484"/>
      <c r="BD185" s="2187"/>
      <c r="BE185" s="2186"/>
      <c r="BF185" s="484"/>
      <c r="BG185" s="100"/>
      <c r="BH185" s="484"/>
      <c r="BI185" s="2187"/>
      <c r="BJ185" s="2472"/>
      <c r="BK185" s="457"/>
      <c r="BL185" s="99"/>
      <c r="BM185" s="547"/>
      <c r="BN185" s="547"/>
      <c r="BO185" s="299" t="s">
        <v>193</v>
      </c>
      <c r="BP185" s="154" t="s">
        <v>581</v>
      </c>
      <c r="BQ185" s="154"/>
      <c r="BR185" s="604"/>
      <c r="BS185" s="11"/>
    </row>
    <row r="186" spans="2:71" ht="24" customHeight="1" outlineLevel="3">
      <c r="B186" s="1847"/>
      <c r="C186" s="614"/>
      <c r="D186" s="615" t="s">
        <v>586</v>
      </c>
      <c r="E186" s="616"/>
      <c r="F186" s="285" t="s">
        <v>413</v>
      </c>
      <c r="G186" s="535"/>
      <c r="H186" s="45"/>
      <c r="I186" s="4567" t="s">
        <v>587</v>
      </c>
      <c r="J186" s="2484"/>
      <c r="K186" s="162" t="s">
        <v>413</v>
      </c>
      <c r="L186" s="562"/>
      <c r="M186" s="92" t="s">
        <v>209</v>
      </c>
      <c r="N186" s="562"/>
      <c r="O186" s="95" t="s">
        <v>209</v>
      </c>
      <c r="P186" s="228"/>
      <c r="Q186" s="501"/>
      <c r="R186" s="308"/>
      <c r="S186" s="1842" t="s">
        <v>209</v>
      </c>
      <c r="T186" s="308"/>
      <c r="U186" s="607" t="s">
        <v>209</v>
      </c>
      <c r="V186" s="228"/>
      <c r="W186" s="2076"/>
      <c r="X186" s="2186">
        <v>0</v>
      </c>
      <c r="Y186" s="484">
        <v>0</v>
      </c>
      <c r="Z186" s="100">
        <v>0</v>
      </c>
      <c r="AA186" s="484">
        <v>0</v>
      </c>
      <c r="AB186" s="2187"/>
      <c r="AC186" s="2111">
        <v>0</v>
      </c>
      <c r="AD186" s="100">
        <v>0</v>
      </c>
      <c r="AE186" s="100"/>
      <c r="AF186" s="100">
        <v>0</v>
      </c>
      <c r="AG186" s="100">
        <v>0</v>
      </c>
      <c r="AH186" s="100"/>
      <c r="AI186" s="100">
        <v>0</v>
      </c>
      <c r="AJ186" s="100">
        <v>0</v>
      </c>
      <c r="AK186" s="100"/>
      <c r="AL186" s="100">
        <v>0</v>
      </c>
      <c r="AM186" s="100">
        <v>0</v>
      </c>
      <c r="AN186" s="2187"/>
      <c r="AO186" s="2250">
        <v>0</v>
      </c>
      <c r="AP186" s="484">
        <v>0</v>
      </c>
      <c r="AQ186" s="612">
        <v>0</v>
      </c>
      <c r="AR186" s="484">
        <v>0</v>
      </c>
      <c r="AS186" s="2349"/>
      <c r="AT186" s="4878">
        <v>0</v>
      </c>
      <c r="AU186" s="2250">
        <v>0</v>
      </c>
      <c r="AV186" s="613" t="s">
        <v>726</v>
      </c>
      <c r="AW186" s="612">
        <v>0</v>
      </c>
      <c r="AX186" s="613" t="s">
        <v>726</v>
      </c>
      <c r="AY186" s="2187"/>
      <c r="AZ186" s="2250">
        <v>0</v>
      </c>
      <c r="BA186" s="484" t="s">
        <v>2353</v>
      </c>
      <c r="BB186" s="612">
        <v>0</v>
      </c>
      <c r="BC186" s="484" t="s">
        <v>2353</v>
      </c>
      <c r="BD186" s="2187"/>
      <c r="BE186" s="2186"/>
      <c r="BF186" s="484"/>
      <c r="BG186" s="100"/>
      <c r="BH186" s="484"/>
      <c r="BI186" s="2187"/>
      <c r="BJ186" s="2472"/>
      <c r="BK186" s="457"/>
      <c r="BL186" s="99"/>
      <c r="BM186" s="547"/>
      <c r="BN186" s="547"/>
      <c r="BO186" s="299" t="s">
        <v>193</v>
      </c>
      <c r="BP186" s="154" t="s">
        <v>581</v>
      </c>
      <c r="BQ186" s="154"/>
      <c r="BR186" s="604"/>
      <c r="BS186" s="11"/>
    </row>
    <row r="187" spans="2:71" ht="24" customHeight="1" outlineLevel="3">
      <c r="B187" s="1847"/>
      <c r="C187" s="614"/>
      <c r="D187" s="615" t="s">
        <v>588</v>
      </c>
      <c r="E187" s="616"/>
      <c r="F187" s="285" t="s">
        <v>413</v>
      </c>
      <c r="G187" s="535"/>
      <c r="H187" s="45"/>
      <c r="I187" s="4567" t="s">
        <v>589</v>
      </c>
      <c r="J187" s="2484"/>
      <c r="K187" s="162" t="s">
        <v>413</v>
      </c>
      <c r="L187" s="562"/>
      <c r="M187" s="92" t="s">
        <v>209</v>
      </c>
      <c r="N187" s="562"/>
      <c r="O187" s="95" t="s">
        <v>209</v>
      </c>
      <c r="P187" s="228"/>
      <c r="Q187" s="501"/>
      <c r="R187" s="308"/>
      <c r="S187" s="1842" t="s">
        <v>209</v>
      </c>
      <c r="T187" s="308"/>
      <c r="U187" s="607" t="s">
        <v>209</v>
      </c>
      <c r="V187" s="228"/>
      <c r="W187" s="2076"/>
      <c r="X187" s="2186">
        <v>0</v>
      </c>
      <c r="Y187" s="484">
        <v>0</v>
      </c>
      <c r="Z187" s="100">
        <v>0</v>
      </c>
      <c r="AA187" s="484">
        <v>0</v>
      </c>
      <c r="AB187" s="2187"/>
      <c r="AC187" s="2111">
        <v>0</v>
      </c>
      <c r="AD187" s="100">
        <v>0</v>
      </c>
      <c r="AE187" s="100"/>
      <c r="AF187" s="100">
        <v>0</v>
      </c>
      <c r="AG187" s="100">
        <v>0</v>
      </c>
      <c r="AH187" s="100"/>
      <c r="AI187" s="100">
        <v>0</v>
      </c>
      <c r="AJ187" s="100">
        <v>0</v>
      </c>
      <c r="AK187" s="100"/>
      <c r="AL187" s="100">
        <v>0</v>
      </c>
      <c r="AM187" s="100">
        <v>0</v>
      </c>
      <c r="AN187" s="2187"/>
      <c r="AO187" s="2250">
        <v>0</v>
      </c>
      <c r="AP187" s="484">
        <v>0</v>
      </c>
      <c r="AQ187" s="612">
        <v>0</v>
      </c>
      <c r="AR187" s="484">
        <v>0</v>
      </c>
      <c r="AS187" s="2349"/>
      <c r="AT187" s="4878">
        <v>0</v>
      </c>
      <c r="AU187" s="2250">
        <v>0</v>
      </c>
      <c r="AV187" s="613" t="s">
        <v>726</v>
      </c>
      <c r="AW187" s="612">
        <v>0</v>
      </c>
      <c r="AX187" s="613" t="s">
        <v>726</v>
      </c>
      <c r="AY187" s="2187"/>
      <c r="AZ187" s="2250">
        <v>0</v>
      </c>
      <c r="BA187" s="484" t="s">
        <v>2353</v>
      </c>
      <c r="BB187" s="612">
        <v>0</v>
      </c>
      <c r="BC187" s="484" t="s">
        <v>2353</v>
      </c>
      <c r="BD187" s="2187"/>
      <c r="BE187" s="2186"/>
      <c r="BF187" s="484"/>
      <c r="BG187" s="100"/>
      <c r="BH187" s="484"/>
      <c r="BI187" s="2187"/>
      <c r="BJ187" s="2472"/>
      <c r="BK187" s="457"/>
      <c r="BL187" s="99"/>
      <c r="BM187" s="547"/>
      <c r="BN187" s="547"/>
      <c r="BO187" s="299" t="s">
        <v>193</v>
      </c>
      <c r="BP187" s="154" t="s">
        <v>581</v>
      </c>
      <c r="BQ187" s="154"/>
      <c r="BR187" s="604"/>
      <c r="BS187" s="11"/>
    </row>
    <row r="188" spans="2:71" ht="24" customHeight="1" outlineLevel="3">
      <c r="B188" s="1847"/>
      <c r="C188" s="614"/>
      <c r="D188" s="619" t="s">
        <v>590</v>
      </c>
      <c r="E188" s="619"/>
      <c r="F188" s="285" t="s">
        <v>413</v>
      </c>
      <c r="G188" s="535"/>
      <c r="H188" s="45"/>
      <c r="I188" s="4567" t="s">
        <v>591</v>
      </c>
      <c r="J188" s="2484"/>
      <c r="K188" s="162" t="s">
        <v>413</v>
      </c>
      <c r="L188" s="562"/>
      <c r="M188" s="92" t="s">
        <v>209</v>
      </c>
      <c r="N188" s="562"/>
      <c r="O188" s="95" t="s">
        <v>209</v>
      </c>
      <c r="P188" s="228"/>
      <c r="Q188" s="501"/>
      <c r="R188" s="308"/>
      <c r="S188" s="1842" t="s">
        <v>209</v>
      </c>
      <c r="T188" s="308"/>
      <c r="U188" s="607" t="s">
        <v>209</v>
      </c>
      <c r="V188" s="228"/>
      <c r="W188" s="2076"/>
      <c r="X188" s="2186"/>
      <c r="Y188" s="484"/>
      <c r="Z188" s="100"/>
      <c r="AA188" s="484"/>
      <c r="AB188" s="2187"/>
      <c r="AC188" s="2111"/>
      <c r="AD188" s="100"/>
      <c r="AE188" s="100"/>
      <c r="AF188" s="100"/>
      <c r="AG188" s="100"/>
      <c r="AH188" s="100"/>
      <c r="AI188" s="100"/>
      <c r="AJ188" s="100"/>
      <c r="AK188" s="100"/>
      <c r="AL188" s="100"/>
      <c r="AM188" s="100"/>
      <c r="AN188" s="2187"/>
      <c r="AO188" s="2186"/>
      <c r="AP188" s="484"/>
      <c r="AQ188" s="100"/>
      <c r="AR188" s="484"/>
      <c r="AS188" s="2349"/>
      <c r="AT188" s="4878"/>
      <c r="AU188" s="2186"/>
      <c r="AV188" s="613"/>
      <c r="AW188" s="100"/>
      <c r="AX188" s="484"/>
      <c r="AY188" s="2187"/>
      <c r="AZ188" s="2186"/>
      <c r="BA188" s="484"/>
      <c r="BB188" s="100"/>
      <c r="BC188" s="484"/>
      <c r="BD188" s="2187"/>
      <c r="BE188" s="2186"/>
      <c r="BF188" s="484"/>
      <c r="BG188" s="100"/>
      <c r="BH188" s="484"/>
      <c r="BI188" s="2187"/>
      <c r="BJ188" s="2468"/>
      <c r="BK188" s="276"/>
      <c r="BL188" s="99"/>
      <c r="BM188" s="547"/>
      <c r="BN188" s="547"/>
      <c r="BO188" s="299" t="s">
        <v>193</v>
      </c>
      <c r="BP188" s="620" t="s">
        <v>581</v>
      </c>
      <c r="BQ188" s="154"/>
      <c r="BR188" s="604"/>
      <c r="BS188" s="11"/>
    </row>
    <row r="189" spans="2:71" ht="24" customHeight="1" outlineLevel="3">
      <c r="B189" s="1848"/>
      <c r="C189" s="1849" t="s">
        <v>592</v>
      </c>
      <c r="D189" s="161"/>
      <c r="E189" s="161"/>
      <c r="F189" s="285" t="s">
        <v>156</v>
      </c>
      <c r="G189" s="621"/>
      <c r="H189" s="622" t="s">
        <v>593</v>
      </c>
      <c r="I189" s="622"/>
      <c r="J189" s="2484"/>
      <c r="K189" s="162" t="s">
        <v>156</v>
      </c>
      <c r="L189" s="356" t="str">
        <f>IFERROR(L190/L191,"-")</f>
        <v>-</v>
      </c>
      <c r="M189" s="92" t="s">
        <v>209</v>
      </c>
      <c r="N189" s="356" t="str">
        <f>IFERROR(N190/N191,"-")</f>
        <v>-</v>
      </c>
      <c r="O189" s="95" t="s">
        <v>209</v>
      </c>
      <c r="P189" s="356" t="str">
        <f>IFERROR(P190/P191,"-")</f>
        <v>-</v>
      </c>
      <c r="Q189" s="501"/>
      <c r="R189" s="356" t="str">
        <f>IFERROR(R190/R191,"-")</f>
        <v>-</v>
      </c>
      <c r="S189" s="1759" t="s">
        <v>209</v>
      </c>
      <c r="T189" s="356" t="str">
        <f>IFERROR(T190/T191,"-")</f>
        <v>-</v>
      </c>
      <c r="U189" s="1759" t="s">
        <v>209</v>
      </c>
      <c r="V189" s="356" t="str">
        <f>IFERROR(V190/V191,"-")</f>
        <v>-</v>
      </c>
      <c r="W189" s="2076"/>
      <c r="X189" s="2186"/>
      <c r="Y189" s="484"/>
      <c r="Z189" s="100"/>
      <c r="AA189" s="484"/>
      <c r="AB189" s="2187"/>
      <c r="AC189" s="2111"/>
      <c r="AD189" s="100"/>
      <c r="AE189" s="100"/>
      <c r="AF189" s="100"/>
      <c r="AG189" s="100"/>
      <c r="AH189" s="100"/>
      <c r="AI189" s="100"/>
      <c r="AJ189" s="100"/>
      <c r="AK189" s="100"/>
      <c r="AL189" s="100"/>
      <c r="AM189" s="100"/>
      <c r="AN189" s="2187"/>
      <c r="AO189" s="2186"/>
      <c r="AP189" s="484"/>
      <c r="AQ189" s="100"/>
      <c r="AR189" s="484"/>
      <c r="AS189" s="2349"/>
      <c r="AT189" s="4878"/>
      <c r="AU189" s="2186"/>
      <c r="AV189" s="613"/>
      <c r="AW189" s="100"/>
      <c r="AX189" s="484"/>
      <c r="AY189" s="2187"/>
      <c r="AZ189" s="2186"/>
      <c r="BA189" s="484"/>
      <c r="BB189" s="100"/>
      <c r="BC189" s="484"/>
      <c r="BD189" s="2187"/>
      <c r="BE189" s="2186"/>
      <c r="BF189" s="484"/>
      <c r="BG189" s="100"/>
      <c r="BH189" s="484"/>
      <c r="BI189" s="2187"/>
      <c r="BJ189" s="2468" t="s">
        <v>594</v>
      </c>
      <c r="BK189" s="276" t="s">
        <v>595</v>
      </c>
      <c r="BL189" s="99"/>
      <c r="BM189" s="547"/>
      <c r="BN189" s="547"/>
      <c r="BO189" s="299" t="s">
        <v>193</v>
      </c>
      <c r="BP189" s="620" t="s">
        <v>596</v>
      </c>
      <c r="BQ189" s="154"/>
      <c r="BR189" s="604" t="s">
        <v>597</v>
      </c>
      <c r="BS189" s="11"/>
    </row>
    <row r="190" spans="2:71" ht="24" customHeight="1" outlineLevel="3">
      <c r="B190" s="1847"/>
      <c r="C190" s="614"/>
      <c r="D190" s="619" t="s">
        <v>598</v>
      </c>
      <c r="E190" s="619"/>
      <c r="F190" s="285" t="s">
        <v>413</v>
      </c>
      <c r="G190" s="535"/>
      <c r="H190" s="45"/>
      <c r="I190" s="4567" t="s">
        <v>599</v>
      </c>
      <c r="J190" s="2484"/>
      <c r="K190" s="162" t="s">
        <v>413</v>
      </c>
      <c r="L190" s="562"/>
      <c r="M190" s="92" t="s">
        <v>209</v>
      </c>
      <c r="N190" s="562"/>
      <c r="O190" s="95" t="s">
        <v>209</v>
      </c>
      <c r="P190" s="308"/>
      <c r="Q190" s="501"/>
      <c r="R190" s="562"/>
      <c r="S190" s="1842" t="s">
        <v>209</v>
      </c>
      <c r="T190" s="562"/>
      <c r="U190" s="607" t="s">
        <v>209</v>
      </c>
      <c r="V190" s="228"/>
      <c r="W190" s="2076"/>
      <c r="X190" s="2186"/>
      <c r="Y190" s="484"/>
      <c r="Z190" s="100"/>
      <c r="AA190" s="484"/>
      <c r="AB190" s="2187"/>
      <c r="AC190" s="2111"/>
      <c r="AD190" s="100"/>
      <c r="AE190" s="100"/>
      <c r="AF190" s="100"/>
      <c r="AG190" s="100"/>
      <c r="AH190" s="100"/>
      <c r="AI190" s="100"/>
      <c r="AJ190" s="100"/>
      <c r="AK190" s="100"/>
      <c r="AL190" s="100"/>
      <c r="AM190" s="100"/>
      <c r="AN190" s="2187"/>
      <c r="AO190" s="2186"/>
      <c r="AP190" s="484"/>
      <c r="AQ190" s="100"/>
      <c r="AR190" s="484"/>
      <c r="AS190" s="2349"/>
      <c r="AT190" s="4878"/>
      <c r="AU190" s="2186"/>
      <c r="AV190" s="484"/>
      <c r="AW190" s="100"/>
      <c r="AX190" s="484"/>
      <c r="AY190" s="2187"/>
      <c r="AZ190" s="2186"/>
      <c r="BA190" s="484"/>
      <c r="BB190" s="100"/>
      <c r="BC190" s="484"/>
      <c r="BD190" s="2187"/>
      <c r="BE190" s="2186"/>
      <c r="BF190" s="484"/>
      <c r="BG190" s="100"/>
      <c r="BH190" s="484"/>
      <c r="BI190" s="2187"/>
      <c r="BJ190" s="2468"/>
      <c r="BK190" s="276"/>
      <c r="BL190" s="99"/>
      <c r="BM190" s="547"/>
      <c r="BN190" s="547"/>
      <c r="BO190" s="299" t="s">
        <v>193</v>
      </c>
      <c r="BP190" s="620" t="s">
        <v>600</v>
      </c>
      <c r="BQ190" s="154"/>
      <c r="BR190" s="604"/>
      <c r="BS190" s="11"/>
    </row>
    <row r="191" spans="2:71" ht="24" customHeight="1" outlineLevel="3">
      <c r="B191" s="1847"/>
      <c r="C191" s="614"/>
      <c r="D191" s="619" t="s">
        <v>601</v>
      </c>
      <c r="E191" s="619"/>
      <c r="F191" s="285" t="s">
        <v>413</v>
      </c>
      <c r="G191" s="535"/>
      <c r="H191" s="45"/>
      <c r="I191" s="4567" t="s">
        <v>602</v>
      </c>
      <c r="J191" s="2484"/>
      <c r="K191" s="162" t="s">
        <v>413</v>
      </c>
      <c r="L191" s="562"/>
      <c r="M191" s="92" t="s">
        <v>209</v>
      </c>
      <c r="N191" s="562"/>
      <c r="O191" s="95" t="s">
        <v>209</v>
      </c>
      <c r="P191" s="308"/>
      <c r="Q191" s="501"/>
      <c r="R191" s="562"/>
      <c r="S191" s="1842" t="s">
        <v>209</v>
      </c>
      <c r="T191" s="562"/>
      <c r="U191" s="607" t="s">
        <v>209</v>
      </c>
      <c r="V191" s="228"/>
      <c r="W191" s="2076"/>
      <c r="X191" s="2186"/>
      <c r="Y191" s="484"/>
      <c r="Z191" s="100"/>
      <c r="AA191" s="484"/>
      <c r="AB191" s="2187"/>
      <c r="AC191" s="2111"/>
      <c r="AD191" s="100"/>
      <c r="AE191" s="100"/>
      <c r="AF191" s="100"/>
      <c r="AG191" s="100"/>
      <c r="AH191" s="100"/>
      <c r="AI191" s="100"/>
      <c r="AJ191" s="100"/>
      <c r="AK191" s="100"/>
      <c r="AL191" s="100"/>
      <c r="AM191" s="100"/>
      <c r="AN191" s="2187"/>
      <c r="AO191" s="2186"/>
      <c r="AP191" s="484"/>
      <c r="AQ191" s="100"/>
      <c r="AR191" s="484"/>
      <c r="AS191" s="2349"/>
      <c r="AT191" s="4878"/>
      <c r="AU191" s="2186"/>
      <c r="AV191" s="484"/>
      <c r="AW191" s="100"/>
      <c r="AX191" s="484"/>
      <c r="AY191" s="2187"/>
      <c r="AZ191" s="2186"/>
      <c r="BA191" s="484"/>
      <c r="BB191" s="100"/>
      <c r="BC191" s="484"/>
      <c r="BD191" s="2187"/>
      <c r="BE191" s="2186"/>
      <c r="BF191" s="484"/>
      <c r="BG191" s="100"/>
      <c r="BH191" s="484"/>
      <c r="BI191" s="2187"/>
      <c r="BJ191" s="2468"/>
      <c r="BK191" s="276"/>
      <c r="BL191" s="99"/>
      <c r="BM191" s="547"/>
      <c r="BN191" s="547"/>
      <c r="BO191" s="299" t="s">
        <v>193</v>
      </c>
      <c r="BP191" s="620" t="s">
        <v>600</v>
      </c>
      <c r="BQ191" s="154"/>
      <c r="BR191" s="604"/>
      <c r="BS191" s="11"/>
    </row>
    <row r="192" spans="2:71" ht="24" customHeight="1" outlineLevel="3">
      <c r="B192" s="1848"/>
      <c r="C192" s="1849" t="s">
        <v>603</v>
      </c>
      <c r="D192" s="161"/>
      <c r="E192" s="161"/>
      <c r="F192" s="285" t="s">
        <v>156</v>
      </c>
      <c r="G192" s="621"/>
      <c r="H192" s="622" t="s">
        <v>604</v>
      </c>
      <c r="I192" s="622"/>
      <c r="J192" s="2484"/>
      <c r="K192" s="162" t="s">
        <v>156</v>
      </c>
      <c r="L192" s="562"/>
      <c r="M192" s="92" t="s">
        <v>209</v>
      </c>
      <c r="N192" s="562"/>
      <c r="O192" s="95" t="s">
        <v>209</v>
      </c>
      <c r="P192" s="308"/>
      <c r="Q192" s="501"/>
      <c r="R192" s="562"/>
      <c r="S192" s="1842" t="s">
        <v>209</v>
      </c>
      <c r="T192" s="562"/>
      <c r="U192" s="607" t="s">
        <v>209</v>
      </c>
      <c r="V192" s="228"/>
      <c r="W192" s="2076"/>
      <c r="X192" s="2186"/>
      <c r="Y192" s="484"/>
      <c r="Z192" s="100"/>
      <c r="AA192" s="484"/>
      <c r="AB192" s="2187"/>
      <c r="AC192" s="2111"/>
      <c r="AD192" s="100"/>
      <c r="AE192" s="100"/>
      <c r="AF192" s="100"/>
      <c r="AG192" s="100"/>
      <c r="AH192" s="100"/>
      <c r="AI192" s="100"/>
      <c r="AJ192" s="100"/>
      <c r="AK192" s="100"/>
      <c r="AL192" s="100"/>
      <c r="AM192" s="100"/>
      <c r="AN192" s="2187"/>
      <c r="AO192" s="2186"/>
      <c r="AP192" s="484"/>
      <c r="AQ192" s="100"/>
      <c r="AR192" s="484"/>
      <c r="AS192" s="2349"/>
      <c r="AT192" s="4878"/>
      <c r="AU192" s="2186"/>
      <c r="AV192" s="484"/>
      <c r="AW192" s="100"/>
      <c r="AX192" s="484"/>
      <c r="AY192" s="2187"/>
      <c r="AZ192" s="2186"/>
      <c r="BA192" s="484"/>
      <c r="BB192" s="100"/>
      <c r="BC192" s="484"/>
      <c r="BD192" s="2187"/>
      <c r="BE192" s="2186"/>
      <c r="BF192" s="484"/>
      <c r="BG192" s="100"/>
      <c r="BH192" s="484"/>
      <c r="BI192" s="2187"/>
      <c r="BJ192" s="2468" t="s">
        <v>605</v>
      </c>
      <c r="BK192" s="276" t="s">
        <v>606</v>
      </c>
      <c r="BL192" s="99"/>
      <c r="BM192" s="547"/>
      <c r="BN192" s="547"/>
      <c r="BO192" s="299" t="s">
        <v>193</v>
      </c>
      <c r="BP192" s="620" t="s">
        <v>607</v>
      </c>
      <c r="BQ192" s="154"/>
      <c r="BR192" s="604" t="s">
        <v>597</v>
      </c>
      <c r="BS192" s="11"/>
    </row>
    <row r="193" spans="1:72" ht="24" customHeight="1" outlineLevel="3">
      <c r="B193" s="1847"/>
      <c r="C193" s="614"/>
      <c r="D193" s="615" t="s">
        <v>582</v>
      </c>
      <c r="E193" s="616"/>
      <c r="F193" s="285" t="s">
        <v>413</v>
      </c>
      <c r="G193" s="535"/>
      <c r="H193" s="45"/>
      <c r="I193" s="4567" t="s">
        <v>608</v>
      </c>
      <c r="J193" s="2484"/>
      <c r="K193" s="162" t="s">
        <v>413</v>
      </c>
      <c r="L193" s="562"/>
      <c r="M193" s="92" t="s">
        <v>209</v>
      </c>
      <c r="N193" s="562"/>
      <c r="O193" s="95" t="s">
        <v>209</v>
      </c>
      <c r="P193" s="308"/>
      <c r="Q193" s="501"/>
      <c r="R193" s="562"/>
      <c r="S193" s="1842" t="s">
        <v>209</v>
      </c>
      <c r="T193" s="562"/>
      <c r="U193" s="607" t="s">
        <v>209</v>
      </c>
      <c r="V193" s="228"/>
      <c r="W193" s="2060"/>
      <c r="X193" s="2186"/>
      <c r="Y193" s="484"/>
      <c r="Z193" s="100"/>
      <c r="AA193" s="484"/>
      <c r="AB193" s="2187"/>
      <c r="AC193" s="2111"/>
      <c r="AD193" s="100"/>
      <c r="AE193" s="100"/>
      <c r="AF193" s="100"/>
      <c r="AG193" s="100"/>
      <c r="AH193" s="100"/>
      <c r="AI193" s="100"/>
      <c r="AJ193" s="100"/>
      <c r="AK193" s="100"/>
      <c r="AL193" s="100"/>
      <c r="AM193" s="100"/>
      <c r="AN193" s="2187"/>
      <c r="AO193" s="2186"/>
      <c r="AP193" s="484"/>
      <c r="AQ193" s="100"/>
      <c r="AR193" s="484"/>
      <c r="AS193" s="2349"/>
      <c r="AT193" s="4878"/>
      <c r="AU193" s="2186"/>
      <c r="AV193" s="484"/>
      <c r="AW193" s="100"/>
      <c r="AX193" s="484"/>
      <c r="AY193" s="2187"/>
      <c r="AZ193" s="2186"/>
      <c r="BA193" s="484"/>
      <c r="BB193" s="100"/>
      <c r="BC193" s="484"/>
      <c r="BD193" s="2187"/>
      <c r="BE193" s="2186"/>
      <c r="BF193" s="484"/>
      <c r="BG193" s="100"/>
      <c r="BH193" s="484"/>
      <c r="BI193" s="2187"/>
      <c r="BJ193" s="2468"/>
      <c r="BK193" s="276"/>
      <c r="BL193" s="99"/>
      <c r="BM193" s="547"/>
      <c r="BN193" s="547"/>
      <c r="BO193" s="299" t="s">
        <v>193</v>
      </c>
      <c r="BP193" s="620" t="s">
        <v>607</v>
      </c>
      <c r="BQ193" s="154"/>
      <c r="BR193" s="604"/>
      <c r="BS193" s="11"/>
    </row>
    <row r="194" spans="1:72" ht="24" customHeight="1" outlineLevel="3">
      <c r="B194" s="1847"/>
      <c r="C194" s="614"/>
      <c r="D194" s="615" t="s">
        <v>584</v>
      </c>
      <c r="E194" s="616"/>
      <c r="F194" s="285" t="s">
        <v>413</v>
      </c>
      <c r="G194" s="535"/>
      <c r="H194" s="45"/>
      <c r="I194" s="4567" t="s">
        <v>609</v>
      </c>
      <c r="J194" s="2484"/>
      <c r="K194" s="162" t="s">
        <v>413</v>
      </c>
      <c r="L194" s="562"/>
      <c r="M194" s="92" t="s">
        <v>209</v>
      </c>
      <c r="N194" s="562"/>
      <c r="O194" s="95" t="s">
        <v>209</v>
      </c>
      <c r="P194" s="308"/>
      <c r="Q194" s="501"/>
      <c r="R194" s="562"/>
      <c r="S194" s="1842" t="s">
        <v>209</v>
      </c>
      <c r="T194" s="562"/>
      <c r="U194" s="607" t="s">
        <v>209</v>
      </c>
      <c r="V194" s="228"/>
      <c r="W194" s="2060"/>
      <c r="X194" s="2186"/>
      <c r="Y194" s="484"/>
      <c r="Z194" s="100"/>
      <c r="AA194" s="484"/>
      <c r="AB194" s="2187"/>
      <c r="AC194" s="2111"/>
      <c r="AD194" s="100"/>
      <c r="AE194" s="100"/>
      <c r="AF194" s="100"/>
      <c r="AG194" s="100"/>
      <c r="AH194" s="100"/>
      <c r="AI194" s="100"/>
      <c r="AJ194" s="100"/>
      <c r="AK194" s="100"/>
      <c r="AL194" s="100"/>
      <c r="AM194" s="100"/>
      <c r="AN194" s="2187"/>
      <c r="AO194" s="2186"/>
      <c r="AP194" s="484"/>
      <c r="AQ194" s="100"/>
      <c r="AR194" s="484"/>
      <c r="AS194" s="2349"/>
      <c r="AT194" s="4878"/>
      <c r="AU194" s="2186"/>
      <c r="AV194" s="484"/>
      <c r="AW194" s="100"/>
      <c r="AX194" s="484"/>
      <c r="AY194" s="2187"/>
      <c r="AZ194" s="2186"/>
      <c r="BA194" s="484"/>
      <c r="BB194" s="100"/>
      <c r="BC194" s="484"/>
      <c r="BD194" s="2187"/>
      <c r="BE194" s="2186"/>
      <c r="BF194" s="484"/>
      <c r="BG194" s="100"/>
      <c r="BH194" s="484"/>
      <c r="BI194" s="2187"/>
      <c r="BJ194" s="2468"/>
      <c r="BK194" s="276"/>
      <c r="BL194" s="99"/>
      <c r="BM194" s="547"/>
      <c r="BN194" s="547"/>
      <c r="BO194" s="299" t="s">
        <v>193</v>
      </c>
      <c r="BP194" s="620" t="s">
        <v>607</v>
      </c>
      <c r="BQ194" s="154"/>
      <c r="BR194" s="604"/>
      <c r="BS194" s="11"/>
    </row>
    <row r="195" spans="1:72" ht="24" customHeight="1" outlineLevel="3">
      <c r="B195" s="1847"/>
      <c r="C195" s="614"/>
      <c r="D195" s="615" t="s">
        <v>586</v>
      </c>
      <c r="E195" s="616"/>
      <c r="F195" s="285" t="s">
        <v>413</v>
      </c>
      <c r="G195" s="535"/>
      <c r="H195" s="45"/>
      <c r="I195" s="4567" t="s">
        <v>610</v>
      </c>
      <c r="J195" s="2484"/>
      <c r="K195" s="162" t="s">
        <v>413</v>
      </c>
      <c r="L195" s="562"/>
      <c r="M195" s="92" t="s">
        <v>209</v>
      </c>
      <c r="N195" s="562"/>
      <c r="O195" s="95" t="s">
        <v>209</v>
      </c>
      <c r="P195" s="308"/>
      <c r="Q195" s="297"/>
      <c r="R195" s="562"/>
      <c r="S195" s="1842" t="s">
        <v>209</v>
      </c>
      <c r="T195" s="562"/>
      <c r="U195" s="607" t="s">
        <v>209</v>
      </c>
      <c r="V195" s="228"/>
      <c r="W195" s="2060"/>
      <c r="X195" s="2186"/>
      <c r="Y195" s="484"/>
      <c r="Z195" s="100"/>
      <c r="AA195" s="484"/>
      <c r="AB195" s="2187"/>
      <c r="AC195" s="2111"/>
      <c r="AD195" s="100"/>
      <c r="AE195" s="100"/>
      <c r="AF195" s="100"/>
      <c r="AG195" s="100"/>
      <c r="AH195" s="100"/>
      <c r="AI195" s="100"/>
      <c r="AJ195" s="100"/>
      <c r="AK195" s="100"/>
      <c r="AL195" s="100"/>
      <c r="AM195" s="100"/>
      <c r="AN195" s="2187"/>
      <c r="AO195" s="2186"/>
      <c r="AP195" s="484"/>
      <c r="AQ195" s="100"/>
      <c r="AR195" s="484"/>
      <c r="AS195" s="2349"/>
      <c r="AT195" s="4878"/>
      <c r="AU195" s="2186"/>
      <c r="AV195" s="484"/>
      <c r="AW195" s="100"/>
      <c r="AX195" s="484"/>
      <c r="AY195" s="2187"/>
      <c r="AZ195" s="2186"/>
      <c r="BA195" s="484"/>
      <c r="BB195" s="100"/>
      <c r="BC195" s="484"/>
      <c r="BD195" s="2187"/>
      <c r="BE195" s="2186"/>
      <c r="BF195" s="484"/>
      <c r="BG195" s="100"/>
      <c r="BH195" s="484"/>
      <c r="BI195" s="2187"/>
      <c r="BJ195" s="2468"/>
      <c r="BK195" s="276"/>
      <c r="BL195" s="99"/>
      <c r="BM195" s="547"/>
      <c r="BN195" s="547"/>
      <c r="BO195" s="299" t="s">
        <v>193</v>
      </c>
      <c r="BP195" s="620" t="s">
        <v>607</v>
      </c>
      <c r="BQ195" s="154"/>
      <c r="BR195" s="604"/>
      <c r="BS195" s="11"/>
    </row>
    <row r="196" spans="1:72" ht="24" customHeight="1" outlineLevel="3">
      <c r="B196" s="1847"/>
      <c r="C196" s="614"/>
      <c r="D196" s="615" t="s">
        <v>588</v>
      </c>
      <c r="E196" s="616"/>
      <c r="F196" s="285" t="s">
        <v>413</v>
      </c>
      <c r="G196" s="535"/>
      <c r="H196" s="45"/>
      <c r="I196" s="4567" t="s">
        <v>611</v>
      </c>
      <c r="J196" s="2484"/>
      <c r="K196" s="162" t="s">
        <v>413</v>
      </c>
      <c r="L196" s="562"/>
      <c r="M196" s="92" t="s">
        <v>209</v>
      </c>
      <c r="N196" s="562"/>
      <c r="O196" s="95" t="s">
        <v>209</v>
      </c>
      <c r="P196" s="308"/>
      <c r="Q196" s="297"/>
      <c r="R196" s="562"/>
      <c r="S196" s="1842" t="s">
        <v>209</v>
      </c>
      <c r="T196" s="562"/>
      <c r="U196" s="607" t="s">
        <v>209</v>
      </c>
      <c r="V196" s="228"/>
      <c r="W196" s="2060"/>
      <c r="X196" s="2186"/>
      <c r="Y196" s="484"/>
      <c r="Z196" s="100"/>
      <c r="AA196" s="484"/>
      <c r="AB196" s="2187"/>
      <c r="AC196" s="2111"/>
      <c r="AD196" s="100"/>
      <c r="AE196" s="100"/>
      <c r="AF196" s="100"/>
      <c r="AG196" s="100"/>
      <c r="AH196" s="100"/>
      <c r="AI196" s="100"/>
      <c r="AJ196" s="100"/>
      <c r="AK196" s="100"/>
      <c r="AL196" s="100"/>
      <c r="AM196" s="100"/>
      <c r="AN196" s="2187"/>
      <c r="AO196" s="2186"/>
      <c r="AP196" s="484"/>
      <c r="AQ196" s="100"/>
      <c r="AR196" s="484"/>
      <c r="AS196" s="2349"/>
      <c r="AT196" s="4878"/>
      <c r="AU196" s="2186"/>
      <c r="AV196" s="484"/>
      <c r="AW196" s="100"/>
      <c r="AX196" s="484"/>
      <c r="AY196" s="2187"/>
      <c r="AZ196" s="2186"/>
      <c r="BA196" s="484"/>
      <c r="BB196" s="100"/>
      <c r="BC196" s="484"/>
      <c r="BD196" s="2187"/>
      <c r="BE196" s="2186"/>
      <c r="BF196" s="484"/>
      <c r="BG196" s="100"/>
      <c r="BH196" s="484"/>
      <c r="BI196" s="2187"/>
      <c r="BJ196" s="2468"/>
      <c r="BK196" s="276"/>
      <c r="BL196" s="99"/>
      <c r="BM196" s="547"/>
      <c r="BN196" s="547"/>
      <c r="BO196" s="299" t="s">
        <v>193</v>
      </c>
      <c r="BP196" s="620" t="s">
        <v>607</v>
      </c>
      <c r="BQ196" s="154"/>
      <c r="BR196" s="159"/>
      <c r="BS196" s="11"/>
    </row>
    <row r="197" spans="1:72" ht="24" customHeight="1" outlineLevel="3">
      <c r="B197" s="1847"/>
      <c r="C197" s="1820"/>
      <c r="D197" s="619" t="s">
        <v>590</v>
      </c>
      <c r="E197" s="619"/>
      <c r="F197" s="285" t="s">
        <v>413</v>
      </c>
      <c r="G197" s="535"/>
      <c r="H197" s="45"/>
      <c r="I197" s="4567" t="s">
        <v>612</v>
      </c>
      <c r="J197" s="2484"/>
      <c r="K197" s="162" t="s">
        <v>413</v>
      </c>
      <c r="L197" s="562"/>
      <c r="M197" s="92" t="s">
        <v>209</v>
      </c>
      <c r="N197" s="562"/>
      <c r="O197" s="95" t="s">
        <v>209</v>
      </c>
      <c r="P197" s="308"/>
      <c r="Q197" s="297"/>
      <c r="R197" s="562"/>
      <c r="S197" s="1842" t="s">
        <v>209</v>
      </c>
      <c r="T197" s="562"/>
      <c r="U197" s="607" t="s">
        <v>209</v>
      </c>
      <c r="V197" s="228"/>
      <c r="W197" s="2060"/>
      <c r="X197" s="2186"/>
      <c r="Y197" s="484"/>
      <c r="Z197" s="100"/>
      <c r="AA197" s="484"/>
      <c r="AB197" s="2187"/>
      <c r="AC197" s="2111"/>
      <c r="AD197" s="100"/>
      <c r="AE197" s="100"/>
      <c r="AF197" s="100"/>
      <c r="AG197" s="100"/>
      <c r="AH197" s="100"/>
      <c r="AI197" s="100"/>
      <c r="AJ197" s="100"/>
      <c r="AK197" s="100"/>
      <c r="AL197" s="100"/>
      <c r="AM197" s="100"/>
      <c r="AN197" s="2187"/>
      <c r="AO197" s="2186"/>
      <c r="AP197" s="484"/>
      <c r="AQ197" s="100"/>
      <c r="AR197" s="484"/>
      <c r="AS197" s="2349"/>
      <c r="AT197" s="4878"/>
      <c r="AU197" s="2186"/>
      <c r="AV197" s="484"/>
      <c r="AW197" s="100"/>
      <c r="AX197" s="484"/>
      <c r="AY197" s="2187"/>
      <c r="AZ197" s="2186"/>
      <c r="BA197" s="484"/>
      <c r="BB197" s="100"/>
      <c r="BC197" s="484"/>
      <c r="BD197" s="2187"/>
      <c r="BE197" s="2186"/>
      <c r="BF197" s="484"/>
      <c r="BG197" s="100"/>
      <c r="BH197" s="484"/>
      <c r="BI197" s="2187"/>
      <c r="BJ197" s="2468"/>
      <c r="BK197" s="276"/>
      <c r="BL197" s="99"/>
      <c r="BM197" s="547"/>
      <c r="BN197" s="547"/>
      <c r="BO197" s="299" t="s">
        <v>193</v>
      </c>
      <c r="BP197" s="620" t="s">
        <v>607</v>
      </c>
      <c r="BQ197" s="154"/>
      <c r="BR197" s="159"/>
      <c r="BS197" s="11"/>
    </row>
    <row r="198" spans="1:72" ht="24" customHeight="1" outlineLevel="3">
      <c r="B198" s="1847"/>
      <c r="C198" s="1849" t="s">
        <v>613</v>
      </c>
      <c r="D198" s="161"/>
      <c r="E198" s="161"/>
      <c r="F198" s="285" t="s">
        <v>156</v>
      </c>
      <c r="G198" s="621"/>
      <c r="H198" s="622" t="s">
        <v>614</v>
      </c>
      <c r="I198" s="622"/>
      <c r="J198" s="2484"/>
      <c r="K198" s="162" t="s">
        <v>156</v>
      </c>
      <c r="L198" s="562"/>
      <c r="M198" s="92" t="s">
        <v>1780</v>
      </c>
      <c r="N198" s="562"/>
      <c r="O198" s="95" t="s">
        <v>1780</v>
      </c>
      <c r="P198" s="308"/>
      <c r="Q198" s="297"/>
      <c r="R198" s="562"/>
      <c r="S198" s="1842" t="s">
        <v>1780</v>
      </c>
      <c r="T198" s="562"/>
      <c r="U198" s="607" t="s">
        <v>1780</v>
      </c>
      <c r="V198" s="228"/>
      <c r="W198" s="2060"/>
      <c r="X198" s="2186"/>
      <c r="Y198" s="484"/>
      <c r="Z198" s="100"/>
      <c r="AA198" s="484"/>
      <c r="AB198" s="2187"/>
      <c r="AC198" s="2111"/>
      <c r="AD198" s="100"/>
      <c r="AE198" s="100"/>
      <c r="AF198" s="100"/>
      <c r="AG198" s="100"/>
      <c r="AH198" s="100"/>
      <c r="AI198" s="100"/>
      <c r="AJ198" s="100"/>
      <c r="AK198" s="100"/>
      <c r="AL198" s="100"/>
      <c r="AM198" s="100"/>
      <c r="AN198" s="2187"/>
      <c r="AO198" s="2186"/>
      <c r="AP198" s="484"/>
      <c r="AQ198" s="100"/>
      <c r="AR198" s="484"/>
      <c r="AS198" s="2349"/>
      <c r="AT198" s="4878"/>
      <c r="AU198" s="2186"/>
      <c r="AV198" s="484"/>
      <c r="AW198" s="100"/>
      <c r="AX198" s="484"/>
      <c r="AY198" s="2187"/>
      <c r="AZ198" s="2186"/>
      <c r="BA198" s="484"/>
      <c r="BB198" s="100"/>
      <c r="BC198" s="484"/>
      <c r="BD198" s="2187"/>
      <c r="BE198" s="2186"/>
      <c r="BF198" s="484"/>
      <c r="BG198" s="100"/>
      <c r="BH198" s="484"/>
      <c r="BI198" s="2187"/>
      <c r="BJ198" s="2468" t="s">
        <v>615</v>
      </c>
      <c r="BK198" s="276" t="s">
        <v>616</v>
      </c>
      <c r="BL198" s="99"/>
      <c r="BM198" s="547"/>
      <c r="BN198" s="547"/>
      <c r="BO198" s="299" t="s">
        <v>193</v>
      </c>
      <c r="BP198" s="620" t="s">
        <v>617</v>
      </c>
      <c r="BQ198" s="154"/>
      <c r="BR198" s="159"/>
      <c r="BS198" s="11"/>
    </row>
    <row r="199" spans="1:72" ht="24" customHeight="1" outlineLevel="3">
      <c r="B199" s="1847"/>
      <c r="C199" s="1849"/>
      <c r="D199" s="615" t="s">
        <v>618</v>
      </c>
      <c r="E199" s="616"/>
      <c r="F199" s="285" t="s">
        <v>413</v>
      </c>
      <c r="G199" s="624"/>
      <c r="H199" s="625"/>
      <c r="I199" s="4569" t="s">
        <v>619</v>
      </c>
      <c r="J199" s="2484"/>
      <c r="K199" s="162" t="s">
        <v>413</v>
      </c>
      <c r="L199" s="562"/>
      <c r="M199" s="92" t="s">
        <v>1780</v>
      </c>
      <c r="N199" s="562"/>
      <c r="O199" s="95" t="s">
        <v>1780</v>
      </c>
      <c r="P199" s="308"/>
      <c r="Q199" s="297"/>
      <c r="R199" s="562"/>
      <c r="S199" s="1842" t="s">
        <v>1780</v>
      </c>
      <c r="T199" s="562"/>
      <c r="U199" s="607" t="s">
        <v>1780</v>
      </c>
      <c r="V199" s="228"/>
      <c r="W199" s="2060"/>
      <c r="X199" s="2186"/>
      <c r="Y199" s="484"/>
      <c r="Z199" s="100"/>
      <c r="AA199" s="484"/>
      <c r="AB199" s="2187"/>
      <c r="AC199" s="2111"/>
      <c r="AD199" s="100"/>
      <c r="AE199" s="100"/>
      <c r="AF199" s="100"/>
      <c r="AG199" s="100"/>
      <c r="AH199" s="100"/>
      <c r="AI199" s="100"/>
      <c r="AJ199" s="100"/>
      <c r="AK199" s="100"/>
      <c r="AL199" s="100"/>
      <c r="AM199" s="100"/>
      <c r="AN199" s="2187"/>
      <c r="AO199" s="2186"/>
      <c r="AP199" s="484"/>
      <c r="AQ199" s="100"/>
      <c r="AR199" s="484"/>
      <c r="AS199" s="2349"/>
      <c r="AT199" s="4878"/>
      <c r="AU199" s="2186"/>
      <c r="AV199" s="484"/>
      <c r="AW199" s="100"/>
      <c r="AX199" s="484"/>
      <c r="AY199" s="2187"/>
      <c r="AZ199" s="2186"/>
      <c r="BA199" s="484"/>
      <c r="BB199" s="100"/>
      <c r="BC199" s="484"/>
      <c r="BD199" s="2187"/>
      <c r="BE199" s="2186"/>
      <c r="BF199" s="484"/>
      <c r="BG199" s="100"/>
      <c r="BH199" s="484"/>
      <c r="BI199" s="2187"/>
      <c r="BJ199" s="2468"/>
      <c r="BK199" s="276"/>
      <c r="BL199" s="99"/>
      <c r="BM199" s="547"/>
      <c r="BN199" s="547"/>
      <c r="BO199" s="299" t="s">
        <v>193</v>
      </c>
      <c r="BP199" s="620" t="s">
        <v>617</v>
      </c>
      <c r="BQ199" s="154"/>
      <c r="BR199" s="159"/>
      <c r="BS199" s="11"/>
    </row>
    <row r="200" spans="1:72" ht="24" customHeight="1" outlineLevel="3">
      <c r="B200" s="1847"/>
      <c r="C200" s="1820"/>
      <c r="D200" s="615" t="s">
        <v>620</v>
      </c>
      <c r="E200" s="616"/>
      <c r="F200" s="285" t="s">
        <v>413</v>
      </c>
      <c r="G200" s="627"/>
      <c r="H200" s="628"/>
      <c r="I200" s="4569" t="s">
        <v>621</v>
      </c>
      <c r="J200" s="2484"/>
      <c r="K200" s="162" t="s">
        <v>413</v>
      </c>
      <c r="L200" s="562"/>
      <c r="M200" s="92" t="s">
        <v>1780</v>
      </c>
      <c r="N200" s="562"/>
      <c r="O200" s="95" t="s">
        <v>1780</v>
      </c>
      <c r="P200" s="308"/>
      <c r="Q200" s="297"/>
      <c r="R200" s="562"/>
      <c r="S200" s="1842" t="s">
        <v>1780</v>
      </c>
      <c r="T200" s="562"/>
      <c r="U200" s="607" t="s">
        <v>1780</v>
      </c>
      <c r="V200" s="228"/>
      <c r="W200" s="2060"/>
      <c r="X200" s="2186"/>
      <c r="Y200" s="484"/>
      <c r="Z200" s="100"/>
      <c r="AA200" s="484"/>
      <c r="AB200" s="2187"/>
      <c r="AC200" s="2111"/>
      <c r="AD200" s="100"/>
      <c r="AE200" s="100"/>
      <c r="AF200" s="100"/>
      <c r="AG200" s="100"/>
      <c r="AH200" s="100"/>
      <c r="AI200" s="100"/>
      <c r="AJ200" s="100"/>
      <c r="AK200" s="100"/>
      <c r="AL200" s="100"/>
      <c r="AM200" s="100"/>
      <c r="AN200" s="2187"/>
      <c r="AO200" s="2186"/>
      <c r="AP200" s="484"/>
      <c r="AQ200" s="100"/>
      <c r="AR200" s="484"/>
      <c r="AS200" s="2349"/>
      <c r="AT200" s="4878"/>
      <c r="AU200" s="2186"/>
      <c r="AV200" s="484"/>
      <c r="AW200" s="100"/>
      <c r="AX200" s="484"/>
      <c r="AY200" s="2187"/>
      <c r="AZ200" s="2186"/>
      <c r="BA200" s="484"/>
      <c r="BB200" s="100"/>
      <c r="BC200" s="484"/>
      <c r="BD200" s="2187"/>
      <c r="BE200" s="2186"/>
      <c r="BF200" s="484"/>
      <c r="BG200" s="100"/>
      <c r="BH200" s="484"/>
      <c r="BI200" s="2187"/>
      <c r="BJ200" s="2468"/>
      <c r="BK200" s="276"/>
      <c r="BL200" s="99"/>
      <c r="BM200" s="547"/>
      <c r="BN200" s="547"/>
      <c r="BO200" s="299" t="s">
        <v>193</v>
      </c>
      <c r="BP200" s="620" t="s">
        <v>617</v>
      </c>
      <c r="BQ200" s="154"/>
      <c r="BR200" s="159"/>
      <c r="BS200" s="11"/>
    </row>
    <row r="201" spans="1:72" ht="24" customHeight="1" outlineLevel="3">
      <c r="B201" s="1847"/>
      <c r="C201" s="1820"/>
      <c r="D201" s="615" t="s">
        <v>622</v>
      </c>
      <c r="E201" s="616"/>
      <c r="F201" s="285" t="s">
        <v>413</v>
      </c>
      <c r="G201" s="627"/>
      <c r="H201" s="628"/>
      <c r="I201" s="4569" t="s">
        <v>623</v>
      </c>
      <c r="J201" s="2484"/>
      <c r="K201" s="162" t="s">
        <v>413</v>
      </c>
      <c r="L201" s="562"/>
      <c r="M201" s="92" t="s">
        <v>1780</v>
      </c>
      <c r="N201" s="562"/>
      <c r="O201" s="95" t="s">
        <v>1780</v>
      </c>
      <c r="P201" s="308"/>
      <c r="Q201" s="297"/>
      <c r="R201" s="562"/>
      <c r="S201" s="1842" t="s">
        <v>1780</v>
      </c>
      <c r="T201" s="562"/>
      <c r="U201" s="607" t="s">
        <v>1780</v>
      </c>
      <c r="V201" s="228"/>
      <c r="W201" s="2060"/>
      <c r="X201" s="2186"/>
      <c r="Y201" s="484"/>
      <c r="Z201" s="100"/>
      <c r="AA201" s="484"/>
      <c r="AB201" s="2187"/>
      <c r="AC201" s="2111"/>
      <c r="AD201" s="100"/>
      <c r="AE201" s="100"/>
      <c r="AF201" s="100"/>
      <c r="AG201" s="100"/>
      <c r="AH201" s="100"/>
      <c r="AI201" s="100"/>
      <c r="AJ201" s="100"/>
      <c r="AK201" s="100"/>
      <c r="AL201" s="100"/>
      <c r="AM201" s="100"/>
      <c r="AN201" s="2187"/>
      <c r="AO201" s="2186"/>
      <c r="AP201" s="484"/>
      <c r="AQ201" s="100"/>
      <c r="AR201" s="484"/>
      <c r="AS201" s="2349"/>
      <c r="AT201" s="4878"/>
      <c r="AU201" s="2186"/>
      <c r="AV201" s="484"/>
      <c r="AW201" s="100"/>
      <c r="AX201" s="484"/>
      <c r="AY201" s="2187"/>
      <c r="AZ201" s="2186"/>
      <c r="BA201" s="484"/>
      <c r="BB201" s="100"/>
      <c r="BC201" s="484"/>
      <c r="BD201" s="2187"/>
      <c r="BE201" s="2186"/>
      <c r="BF201" s="484"/>
      <c r="BG201" s="100"/>
      <c r="BH201" s="484"/>
      <c r="BI201" s="2187"/>
      <c r="BJ201" s="2472"/>
      <c r="BK201" s="457"/>
      <c r="BL201" s="99"/>
      <c r="BM201" s="547"/>
      <c r="BN201" s="547"/>
      <c r="BO201" s="299" t="s">
        <v>193</v>
      </c>
      <c r="BP201" s="620" t="s">
        <v>617</v>
      </c>
      <c r="BQ201" s="154"/>
      <c r="BR201" s="159"/>
      <c r="BS201" s="11"/>
    </row>
    <row r="202" spans="1:72" ht="24" customHeight="1" outlineLevel="3" thickBot="1">
      <c r="B202" s="1848"/>
      <c r="C202" s="1820"/>
      <c r="D202" s="10143" t="s">
        <v>624</v>
      </c>
      <c r="E202" s="10144"/>
      <c r="F202" s="285" t="s">
        <v>413</v>
      </c>
      <c r="G202" s="4570"/>
      <c r="H202" s="4571"/>
      <c r="I202" s="4572" t="s">
        <v>625</v>
      </c>
      <c r="J202" s="4573"/>
      <c r="K202" s="162" t="s">
        <v>413</v>
      </c>
      <c r="L202" s="562"/>
      <c r="M202" s="92" t="s">
        <v>1780</v>
      </c>
      <c r="N202" s="562"/>
      <c r="O202" s="95" t="s">
        <v>1780</v>
      </c>
      <c r="P202" s="308"/>
      <c r="Q202" s="297"/>
      <c r="R202" s="562"/>
      <c r="S202" s="1842" t="s">
        <v>1780</v>
      </c>
      <c r="T202" s="562"/>
      <c r="U202" s="607" t="s">
        <v>1780</v>
      </c>
      <c r="V202" s="228"/>
      <c r="W202" s="2060"/>
      <c r="X202" s="2186"/>
      <c r="Y202" s="484"/>
      <c r="Z202" s="100"/>
      <c r="AA202" s="484"/>
      <c r="AB202" s="2187"/>
      <c r="AC202" s="2111"/>
      <c r="AD202" s="100"/>
      <c r="AE202" s="100"/>
      <c r="AF202" s="100"/>
      <c r="AG202" s="100"/>
      <c r="AH202" s="100"/>
      <c r="AI202" s="100"/>
      <c r="AJ202" s="100"/>
      <c r="AK202" s="100"/>
      <c r="AL202" s="100"/>
      <c r="AM202" s="100"/>
      <c r="AN202" s="2187"/>
      <c r="AO202" s="2186"/>
      <c r="AP202" s="484"/>
      <c r="AQ202" s="100"/>
      <c r="AR202" s="484"/>
      <c r="AS202" s="2349"/>
      <c r="AT202" s="4878"/>
      <c r="AU202" s="2186"/>
      <c r="AV202" s="484"/>
      <c r="AW202" s="100"/>
      <c r="AX202" s="484"/>
      <c r="AY202" s="2187"/>
      <c r="AZ202" s="2186"/>
      <c r="BA202" s="484"/>
      <c r="BB202" s="100"/>
      <c r="BC202" s="484"/>
      <c r="BD202" s="2187"/>
      <c r="BE202" s="2186"/>
      <c r="BF202" s="484"/>
      <c r="BG202" s="100"/>
      <c r="BH202" s="484"/>
      <c r="BI202" s="2187"/>
      <c r="BJ202" s="2472"/>
      <c r="BK202" s="457"/>
      <c r="BL202" s="99"/>
      <c r="BM202" s="547"/>
      <c r="BN202" s="547"/>
      <c r="BO202" s="299" t="s">
        <v>193</v>
      </c>
      <c r="BP202" s="620" t="s">
        <v>617</v>
      </c>
      <c r="BQ202" s="154"/>
      <c r="BR202" s="159" t="s">
        <v>597</v>
      </c>
      <c r="BS202" s="11"/>
    </row>
    <row r="203" spans="1:72" ht="24" customHeight="1" thickTop="1" thickBot="1">
      <c r="A203" s="50"/>
      <c r="B203" s="4505" t="s">
        <v>2281</v>
      </c>
      <c r="C203" s="1742" t="s">
        <v>727</v>
      </c>
      <c r="D203" s="629"/>
      <c r="E203" s="629"/>
      <c r="F203" s="630"/>
      <c r="G203" s="631" t="s">
        <v>2354</v>
      </c>
      <c r="H203" s="632"/>
      <c r="I203" s="632"/>
      <c r="J203" s="632"/>
      <c r="K203" s="630"/>
      <c r="L203" s="4904"/>
      <c r="M203" s="4904"/>
      <c r="N203" s="4904"/>
      <c r="O203" s="4904"/>
      <c r="P203" s="4904"/>
      <c r="Q203" s="4904"/>
      <c r="R203" s="4904"/>
      <c r="S203" s="4904"/>
      <c r="T203" s="4904"/>
      <c r="U203" s="4904"/>
      <c r="V203" s="4904"/>
      <c r="W203" s="4904"/>
      <c r="X203" s="4905"/>
      <c r="Y203" s="630"/>
      <c r="Z203" s="630"/>
      <c r="AA203" s="630"/>
      <c r="AB203" s="4906"/>
      <c r="AC203" s="630">
        <v>0</v>
      </c>
      <c r="AD203" s="630">
        <v>0</v>
      </c>
      <c r="AE203" s="630"/>
      <c r="AF203" s="633"/>
      <c r="AG203" s="633"/>
      <c r="AH203" s="633"/>
      <c r="AI203" s="633"/>
      <c r="AJ203" s="633"/>
      <c r="AK203" s="633"/>
      <c r="AL203" s="633"/>
      <c r="AM203" s="633"/>
      <c r="AN203" s="4575"/>
      <c r="AO203" s="4574"/>
      <c r="AP203" s="633"/>
      <c r="AQ203" s="633"/>
      <c r="AR203" s="633"/>
      <c r="AS203" s="633"/>
      <c r="AT203" s="4907"/>
      <c r="AU203" s="4574"/>
      <c r="AV203" s="633"/>
      <c r="AW203" s="633"/>
      <c r="AX203" s="633"/>
      <c r="AY203" s="4575"/>
      <c r="AZ203" s="4574"/>
      <c r="BA203" s="633"/>
      <c r="BB203" s="633"/>
      <c r="BC203" s="633"/>
      <c r="BD203" s="4575"/>
      <c r="BE203" s="4574"/>
      <c r="BF203" s="633"/>
      <c r="BG203" s="633"/>
      <c r="BH203" s="633"/>
      <c r="BI203" s="4575"/>
      <c r="BJ203" s="634"/>
      <c r="BK203" s="634"/>
      <c r="BL203" s="1746"/>
      <c r="BM203" s="1746"/>
      <c r="BN203" s="1746"/>
      <c r="BO203" s="1746"/>
      <c r="BP203" s="1850"/>
      <c r="BQ203" s="1850"/>
      <c r="BR203" s="635"/>
      <c r="BS203" s="18"/>
      <c r="BT203" s="54"/>
    </row>
    <row r="204" spans="1:72" ht="24" customHeight="1" thickBot="1">
      <c r="B204" s="4505" t="s">
        <v>2281</v>
      </c>
      <c r="C204" s="123" t="s">
        <v>729</v>
      </c>
      <c r="D204" s="124"/>
      <c r="E204" s="124"/>
      <c r="F204" s="78"/>
      <c r="G204" s="125" t="s">
        <v>2355</v>
      </c>
      <c r="H204" s="126"/>
      <c r="I204" s="126"/>
      <c r="J204" s="126"/>
      <c r="K204" s="78"/>
      <c r="L204" s="77"/>
      <c r="M204" s="77"/>
      <c r="N204" s="77"/>
      <c r="O204" s="77"/>
      <c r="P204" s="77"/>
      <c r="Q204" s="77"/>
      <c r="R204" s="77"/>
      <c r="S204" s="77"/>
      <c r="T204" s="77"/>
      <c r="U204" s="77"/>
      <c r="V204" s="77"/>
      <c r="W204" s="77"/>
      <c r="X204" s="2194"/>
      <c r="Y204" s="78"/>
      <c r="Z204" s="78"/>
      <c r="AA204" s="78"/>
      <c r="AB204" s="2195"/>
      <c r="AC204" s="78">
        <v>0</v>
      </c>
      <c r="AD204" s="78">
        <v>0</v>
      </c>
      <c r="AE204" s="78"/>
      <c r="AF204" s="148"/>
      <c r="AG204" s="148"/>
      <c r="AH204" s="148"/>
      <c r="AI204" s="148"/>
      <c r="AJ204" s="148"/>
      <c r="AK204" s="148"/>
      <c r="AL204" s="148"/>
      <c r="AM204" s="148"/>
      <c r="AN204" s="2176"/>
      <c r="AO204" s="2175"/>
      <c r="AP204" s="148"/>
      <c r="AQ204" s="148"/>
      <c r="AR204" s="148"/>
      <c r="AS204" s="148"/>
      <c r="AT204" s="4781"/>
      <c r="AU204" s="2175"/>
      <c r="AV204" s="148"/>
      <c r="AW204" s="148"/>
      <c r="AX204" s="148"/>
      <c r="AY204" s="2176"/>
      <c r="AZ204" s="2175"/>
      <c r="BA204" s="148"/>
      <c r="BB204" s="148"/>
      <c r="BC204" s="148"/>
      <c r="BD204" s="2176"/>
      <c r="BE204" s="2175"/>
      <c r="BF204" s="148"/>
      <c r="BG204" s="148"/>
      <c r="BH204" s="148"/>
      <c r="BI204" s="2176"/>
      <c r="BJ204" s="80"/>
      <c r="BK204" s="80"/>
      <c r="BL204" s="129"/>
      <c r="BM204" s="129"/>
      <c r="BN204" s="129"/>
      <c r="BO204" s="129"/>
      <c r="BP204" s="328"/>
      <c r="BQ204" s="328"/>
      <c r="BR204" s="329"/>
      <c r="BS204" s="18"/>
    </row>
    <row r="205" spans="1:72" ht="24" customHeight="1">
      <c r="B205" s="4505" t="s">
        <v>2281</v>
      </c>
      <c r="C205" s="10145" t="s">
        <v>731</v>
      </c>
      <c r="D205" s="9801"/>
      <c r="E205" s="9801"/>
      <c r="F205" s="636" t="s">
        <v>732</v>
      </c>
      <c r="G205" s="330"/>
      <c r="H205" s="254" t="s">
        <v>2356</v>
      </c>
      <c r="I205" s="254"/>
      <c r="J205" s="4577"/>
      <c r="K205" s="436" t="s">
        <v>2357</v>
      </c>
      <c r="L205" s="531">
        <f>SUM(L206:L209)</f>
        <v>6507</v>
      </c>
      <c r="M205" s="638"/>
      <c r="N205" s="531">
        <f>SUM(N206:N209)</f>
        <v>8712</v>
      </c>
      <c r="O205" s="639"/>
      <c r="P205" s="640"/>
      <c r="Q205" s="501"/>
      <c r="R205" s="531">
        <f>SUM(R206:R209)</f>
        <v>3601</v>
      </c>
      <c r="S205" s="4908"/>
      <c r="T205" s="528">
        <f>SUM(T206:T209)</f>
        <v>4502</v>
      </c>
      <c r="U205" s="1759"/>
      <c r="V205" s="528">
        <f>SUM(V206:V209)</f>
        <v>1171</v>
      </c>
      <c r="W205" s="2076"/>
      <c r="X205" s="2392">
        <f>SUM(X206:X209)</f>
        <v>366</v>
      </c>
      <c r="Y205" s="639"/>
      <c r="Z205" s="531">
        <f>SUM(Z206:Z209)</f>
        <v>462</v>
      </c>
      <c r="AA205" s="645"/>
      <c r="AB205" s="2393">
        <f t="shared" ref="AB205:AO205" si="18">SUM(AB206:AB209)</f>
        <v>0</v>
      </c>
      <c r="AC205" s="2126">
        <f t="shared" si="18"/>
        <v>366</v>
      </c>
      <c r="AD205" s="531">
        <f t="shared" si="18"/>
        <v>462</v>
      </c>
      <c r="AE205" s="531">
        <f t="shared" si="18"/>
        <v>0</v>
      </c>
      <c r="AF205" s="531">
        <f>SUM(AF206:AF209)</f>
        <v>366</v>
      </c>
      <c r="AG205" s="531">
        <f t="shared" si="18"/>
        <v>462</v>
      </c>
      <c r="AH205" s="531">
        <f t="shared" si="18"/>
        <v>0</v>
      </c>
      <c r="AI205" s="531">
        <f t="shared" si="18"/>
        <v>366</v>
      </c>
      <c r="AJ205" s="531">
        <f t="shared" si="18"/>
        <v>462</v>
      </c>
      <c r="AK205" s="531">
        <f t="shared" si="18"/>
        <v>0</v>
      </c>
      <c r="AL205" s="531">
        <f t="shared" si="18"/>
        <v>366</v>
      </c>
      <c r="AM205" s="531">
        <f t="shared" si="18"/>
        <v>462</v>
      </c>
      <c r="AN205" s="2393">
        <f t="shared" si="18"/>
        <v>0</v>
      </c>
      <c r="AO205" s="2392">
        <f t="shared" si="18"/>
        <v>1054</v>
      </c>
      <c r="AP205" s="639"/>
      <c r="AQ205" s="531">
        <f>SUM(AQ206:AQ209)</f>
        <v>909</v>
      </c>
      <c r="AR205" s="543"/>
      <c r="AS205" s="2087">
        <f>SUM(AS206:AS209)</f>
        <v>750</v>
      </c>
      <c r="AT205" s="4885"/>
      <c r="AU205" s="2392">
        <f>SUM(AU206:AU209)</f>
        <v>1105</v>
      </c>
      <c r="AV205" s="641"/>
      <c r="AW205" s="531">
        <f>SUM(AW206:AW209)</f>
        <v>2446</v>
      </c>
      <c r="AX205" s="543"/>
      <c r="AY205" s="2393">
        <f>SUM(AY206:AY209)</f>
        <v>0</v>
      </c>
      <c r="AZ205" s="2392">
        <f>SUM(AZ206:AZ209)</f>
        <v>381</v>
      </c>
      <c r="BA205" s="543"/>
      <c r="BB205" s="531">
        <f>SUM(BB206:BB209)</f>
        <v>393</v>
      </c>
      <c r="BC205" s="543"/>
      <c r="BD205" s="2393">
        <f>SUM(BD206:BD209)</f>
        <v>393</v>
      </c>
      <c r="BE205" s="2392">
        <f>SUM(BE206:BE209)</f>
        <v>0</v>
      </c>
      <c r="BF205" s="641"/>
      <c r="BG205" s="531">
        <f>SUM(BG206:BG209)</f>
        <v>0</v>
      </c>
      <c r="BH205" s="543"/>
      <c r="BI205" s="2393">
        <f>SUM(BI206:BI209)</f>
        <v>0</v>
      </c>
      <c r="BJ205" s="1021" t="s">
        <v>735</v>
      </c>
      <c r="BK205" s="367" t="s">
        <v>736</v>
      </c>
      <c r="BL205" s="642"/>
      <c r="BM205" s="547"/>
      <c r="BN205" s="534"/>
      <c r="BO205" s="642"/>
      <c r="BP205" s="620" t="s">
        <v>739</v>
      </c>
      <c r="BQ205" s="620" t="s">
        <v>740</v>
      </c>
      <c r="BR205" s="159" t="s">
        <v>741</v>
      </c>
      <c r="BS205" s="18"/>
    </row>
    <row r="206" spans="1:72" ht="24" customHeight="1">
      <c r="B206" s="4505" t="s">
        <v>2281</v>
      </c>
      <c r="C206" s="4579"/>
      <c r="D206" s="619" t="s">
        <v>743</v>
      </c>
      <c r="E206" s="619"/>
      <c r="F206" s="492" t="s">
        <v>732</v>
      </c>
      <c r="G206" s="347"/>
      <c r="H206" s="348"/>
      <c r="I206" s="495" t="s">
        <v>2358</v>
      </c>
      <c r="J206" s="643"/>
      <c r="K206" s="164" t="s">
        <v>734</v>
      </c>
      <c r="L206" s="641">
        <v>3996</v>
      </c>
      <c r="M206" s="641"/>
      <c r="N206" s="641">
        <v>4650</v>
      </c>
      <c r="O206" s="639"/>
      <c r="P206" s="644"/>
      <c r="Q206" s="645"/>
      <c r="R206" s="639">
        <v>3031</v>
      </c>
      <c r="S206" s="646" t="s">
        <v>746</v>
      </c>
      <c r="T206" s="639">
        <v>3629</v>
      </c>
      <c r="U206" s="4909" t="s">
        <v>1798</v>
      </c>
      <c r="V206" s="228">
        <v>1082</v>
      </c>
      <c r="W206" s="2078"/>
      <c r="X206" s="2260">
        <v>174</v>
      </c>
      <c r="Y206" s="639">
        <v>0</v>
      </c>
      <c r="Z206" s="647">
        <v>215</v>
      </c>
      <c r="AA206" s="641">
        <v>0</v>
      </c>
      <c r="AB206" s="2303"/>
      <c r="AC206" s="2132">
        <v>174</v>
      </c>
      <c r="AD206" s="647">
        <v>215</v>
      </c>
      <c r="AE206" s="542"/>
      <c r="AF206" s="647">
        <v>174</v>
      </c>
      <c r="AG206" s="647">
        <v>215</v>
      </c>
      <c r="AH206" s="542"/>
      <c r="AI206" s="647">
        <v>174</v>
      </c>
      <c r="AJ206" s="647">
        <v>215</v>
      </c>
      <c r="AK206" s="542"/>
      <c r="AL206" s="647">
        <v>174</v>
      </c>
      <c r="AM206" s="647">
        <v>215</v>
      </c>
      <c r="AN206" s="2303"/>
      <c r="AO206" s="2260">
        <v>52</v>
      </c>
      <c r="AP206" s="646" t="s">
        <v>748</v>
      </c>
      <c r="AQ206" s="647">
        <v>77</v>
      </c>
      <c r="AR206" s="646" t="s">
        <v>748</v>
      </c>
      <c r="AS206" s="795">
        <v>100</v>
      </c>
      <c r="AT206" s="4910" t="s">
        <v>748</v>
      </c>
      <c r="AU206" s="2260">
        <v>374</v>
      </c>
      <c r="AV206" s="648" t="s">
        <v>759</v>
      </c>
      <c r="AW206" s="647">
        <v>392</v>
      </c>
      <c r="AX206" s="648" t="s">
        <v>759</v>
      </c>
      <c r="AY206" s="2303"/>
      <c r="AZ206" s="2398">
        <v>365</v>
      </c>
      <c r="BA206" s="650" t="s">
        <v>751</v>
      </c>
      <c r="BB206" s="649">
        <v>337</v>
      </c>
      <c r="BC206" s="648" t="s">
        <v>751</v>
      </c>
      <c r="BD206" s="2456">
        <v>337</v>
      </c>
      <c r="BE206" s="2302"/>
      <c r="BF206" s="543"/>
      <c r="BG206" s="542"/>
      <c r="BH206" s="543"/>
      <c r="BI206" s="2303"/>
      <c r="BJ206" s="498" t="s">
        <v>735</v>
      </c>
      <c r="BK206" s="367" t="s">
        <v>736</v>
      </c>
      <c r="BL206" s="99"/>
      <c r="BM206" s="547"/>
      <c r="BN206" s="547"/>
      <c r="BO206" s="99"/>
      <c r="BP206" s="620" t="s">
        <v>739</v>
      </c>
      <c r="BQ206" s="620" t="s">
        <v>740</v>
      </c>
      <c r="BR206" s="159"/>
      <c r="BS206" s="18"/>
    </row>
    <row r="207" spans="1:72" ht="24" customHeight="1">
      <c r="B207" s="4505" t="s">
        <v>2281</v>
      </c>
      <c r="C207" s="4580"/>
      <c r="D207" s="9773" t="s">
        <v>752</v>
      </c>
      <c r="E207" s="9774"/>
      <c r="F207" s="492" t="s">
        <v>732</v>
      </c>
      <c r="G207" s="106"/>
      <c r="H207" s="353"/>
      <c r="I207" s="495" t="s">
        <v>2359</v>
      </c>
      <c r="J207" s="643"/>
      <c r="K207" s="164" t="s">
        <v>734</v>
      </c>
      <c r="L207" s="641">
        <v>2309</v>
      </c>
      <c r="M207" s="641"/>
      <c r="N207" s="641">
        <v>3809</v>
      </c>
      <c r="O207" s="639"/>
      <c r="P207" s="644"/>
      <c r="Q207" s="645"/>
      <c r="R207" s="639">
        <v>565</v>
      </c>
      <c r="S207" s="646" t="s">
        <v>746</v>
      </c>
      <c r="T207" s="639">
        <v>865</v>
      </c>
      <c r="U207" s="4909" t="s">
        <v>1798</v>
      </c>
      <c r="V207" s="228">
        <v>6</v>
      </c>
      <c r="W207" s="2078"/>
      <c r="X207" s="2260">
        <v>8</v>
      </c>
      <c r="Y207" s="639">
        <v>0</v>
      </c>
      <c r="Z207" s="647">
        <v>15</v>
      </c>
      <c r="AA207" s="639">
        <v>0</v>
      </c>
      <c r="AB207" s="2303"/>
      <c r="AC207" s="2132">
        <v>8</v>
      </c>
      <c r="AD207" s="647">
        <v>15</v>
      </c>
      <c r="AE207" s="542"/>
      <c r="AF207" s="647">
        <v>8</v>
      </c>
      <c r="AG207" s="647">
        <v>15</v>
      </c>
      <c r="AH207" s="542"/>
      <c r="AI207" s="647">
        <v>8</v>
      </c>
      <c r="AJ207" s="647">
        <v>15</v>
      </c>
      <c r="AK207" s="542"/>
      <c r="AL207" s="647">
        <v>8</v>
      </c>
      <c r="AM207" s="647">
        <v>15</v>
      </c>
      <c r="AN207" s="2303"/>
      <c r="AO207" s="2260">
        <v>1001</v>
      </c>
      <c r="AP207" s="646" t="s">
        <v>748</v>
      </c>
      <c r="AQ207" s="647">
        <v>831</v>
      </c>
      <c r="AR207" s="646" t="s">
        <v>748</v>
      </c>
      <c r="AS207" s="795">
        <v>649</v>
      </c>
      <c r="AT207" s="4910" t="s">
        <v>748</v>
      </c>
      <c r="AU207" s="2260">
        <v>726</v>
      </c>
      <c r="AV207" s="648" t="s">
        <v>801</v>
      </c>
      <c r="AW207" s="647">
        <v>2049</v>
      </c>
      <c r="AX207" s="648" t="s">
        <v>801</v>
      </c>
      <c r="AY207" s="2303"/>
      <c r="AZ207" s="2398">
        <v>9</v>
      </c>
      <c r="BA207" s="648" t="s">
        <v>751</v>
      </c>
      <c r="BB207" s="649">
        <v>49</v>
      </c>
      <c r="BC207" s="648" t="s">
        <v>751</v>
      </c>
      <c r="BD207" s="2456">
        <v>49</v>
      </c>
      <c r="BE207" s="2302"/>
      <c r="BF207" s="543"/>
      <c r="BG207" s="542"/>
      <c r="BH207" s="543"/>
      <c r="BI207" s="2303"/>
      <c r="BJ207" s="498" t="s">
        <v>735</v>
      </c>
      <c r="BK207" s="367" t="s">
        <v>754</v>
      </c>
      <c r="BL207" s="99"/>
      <c r="BM207" s="547"/>
      <c r="BN207" s="547"/>
      <c r="BO207" s="99"/>
      <c r="BP207" s="620" t="s">
        <v>739</v>
      </c>
      <c r="BQ207" s="620" t="s">
        <v>740</v>
      </c>
      <c r="BR207" s="159"/>
      <c r="BS207" s="18"/>
    </row>
    <row r="208" spans="1:72" ht="24" customHeight="1">
      <c r="B208" s="4505" t="s">
        <v>2281</v>
      </c>
      <c r="C208" s="4580"/>
      <c r="D208" s="619" t="s">
        <v>756</v>
      </c>
      <c r="E208" s="619"/>
      <c r="F208" s="295" t="s">
        <v>732</v>
      </c>
      <c r="G208" s="106"/>
      <c r="H208" s="353"/>
      <c r="I208" s="495" t="s">
        <v>2360</v>
      </c>
      <c r="J208" s="643"/>
      <c r="K208" s="372" t="s">
        <v>734</v>
      </c>
      <c r="L208" s="641">
        <v>19</v>
      </c>
      <c r="M208" s="651" t="s">
        <v>1800</v>
      </c>
      <c r="N208" s="641">
        <v>22</v>
      </c>
      <c r="O208" s="651" t="s">
        <v>1800</v>
      </c>
      <c r="P208" s="644"/>
      <c r="Q208" s="652"/>
      <c r="R208" s="639">
        <v>5</v>
      </c>
      <c r="S208" s="646" t="s">
        <v>759</v>
      </c>
      <c r="T208" s="639">
        <v>8</v>
      </c>
      <c r="U208" s="4911" t="s">
        <v>759</v>
      </c>
      <c r="V208" s="228">
        <v>8</v>
      </c>
      <c r="W208" s="2079"/>
      <c r="X208" s="2260">
        <v>1</v>
      </c>
      <c r="Y208" s="641">
        <v>0</v>
      </c>
      <c r="Z208" s="647">
        <v>1</v>
      </c>
      <c r="AA208" s="641">
        <v>0</v>
      </c>
      <c r="AB208" s="2303"/>
      <c r="AC208" s="2132">
        <v>1</v>
      </c>
      <c r="AD208" s="647">
        <v>1</v>
      </c>
      <c r="AE208" s="542"/>
      <c r="AF208" s="647">
        <v>1</v>
      </c>
      <c r="AG208" s="647">
        <v>1</v>
      </c>
      <c r="AH208" s="542"/>
      <c r="AI208" s="647">
        <v>1</v>
      </c>
      <c r="AJ208" s="647">
        <v>1</v>
      </c>
      <c r="AK208" s="542"/>
      <c r="AL208" s="647">
        <v>1</v>
      </c>
      <c r="AM208" s="647">
        <v>1</v>
      </c>
      <c r="AN208" s="2303"/>
      <c r="AO208" s="2260">
        <v>1</v>
      </c>
      <c r="AP208" s="641">
        <v>0</v>
      </c>
      <c r="AQ208" s="647">
        <v>1</v>
      </c>
      <c r="AR208" s="641" t="s">
        <v>760</v>
      </c>
      <c r="AS208" s="795">
        <v>1</v>
      </c>
      <c r="AT208" s="4912" t="s">
        <v>760</v>
      </c>
      <c r="AU208" s="2260">
        <v>5</v>
      </c>
      <c r="AV208" s="543">
        <v>0</v>
      </c>
      <c r="AW208" s="647">
        <v>5</v>
      </c>
      <c r="AX208" s="543">
        <v>0</v>
      </c>
      <c r="AY208" s="2303"/>
      <c r="AZ208" s="2398">
        <v>7</v>
      </c>
      <c r="BA208" s="648" t="s">
        <v>763</v>
      </c>
      <c r="BB208" s="649">
        <v>7</v>
      </c>
      <c r="BC208" s="648" t="s">
        <v>763</v>
      </c>
      <c r="BD208" s="2456">
        <v>7</v>
      </c>
      <c r="BE208" s="2302"/>
      <c r="BF208" s="543"/>
      <c r="BG208" s="542"/>
      <c r="BH208" s="543"/>
      <c r="BI208" s="2303"/>
      <c r="BJ208" s="498" t="s">
        <v>735</v>
      </c>
      <c r="BK208" s="367" t="s">
        <v>736</v>
      </c>
      <c r="BL208" s="99"/>
      <c r="BM208" s="547"/>
      <c r="BN208" s="547"/>
      <c r="BO208" s="99"/>
      <c r="BP208" s="620" t="s">
        <v>739</v>
      </c>
      <c r="BQ208" s="620" t="s">
        <v>740</v>
      </c>
      <c r="BR208" s="159"/>
      <c r="BS208" s="18"/>
    </row>
    <row r="209" spans="1:72" ht="24" customHeight="1">
      <c r="B209" s="4505" t="s">
        <v>2281</v>
      </c>
      <c r="C209" s="4581"/>
      <c r="D209" s="9773" t="s">
        <v>764</v>
      </c>
      <c r="E209" s="9774"/>
      <c r="F209" s="295" t="s">
        <v>742</v>
      </c>
      <c r="G209" s="384"/>
      <c r="H209" s="385"/>
      <c r="I209" s="495" t="s">
        <v>2361</v>
      </c>
      <c r="J209" s="643"/>
      <c r="K209" s="372" t="s">
        <v>734</v>
      </c>
      <c r="L209" s="641">
        <v>183</v>
      </c>
      <c r="M209" s="641"/>
      <c r="N209" s="641">
        <v>231</v>
      </c>
      <c r="O209" s="641"/>
      <c r="P209" s="644"/>
      <c r="Q209" s="652"/>
      <c r="R209" s="2535"/>
      <c r="S209" s="646"/>
      <c r="T209" s="2535"/>
      <c r="U209" s="1854" t="s">
        <v>1802</v>
      </c>
      <c r="V209" s="228">
        <v>75</v>
      </c>
      <c r="W209" s="2079"/>
      <c r="X209" s="2260">
        <v>183</v>
      </c>
      <c r="Y209" s="641">
        <v>0</v>
      </c>
      <c r="Z209" s="647">
        <v>231</v>
      </c>
      <c r="AA209" s="641">
        <v>0</v>
      </c>
      <c r="AB209" s="2303"/>
      <c r="AC209" s="2132">
        <v>183</v>
      </c>
      <c r="AD209" s="647">
        <v>231</v>
      </c>
      <c r="AE209" s="542"/>
      <c r="AF209" s="647">
        <v>183</v>
      </c>
      <c r="AG209" s="647">
        <v>231</v>
      </c>
      <c r="AH209" s="542"/>
      <c r="AI209" s="647">
        <v>183</v>
      </c>
      <c r="AJ209" s="647">
        <v>231</v>
      </c>
      <c r="AK209" s="542"/>
      <c r="AL209" s="647">
        <v>183</v>
      </c>
      <c r="AM209" s="647">
        <v>231</v>
      </c>
      <c r="AN209" s="2303"/>
      <c r="AO209" s="2260">
        <v>0</v>
      </c>
      <c r="AP209" s="641">
        <v>0</v>
      </c>
      <c r="AQ209" s="647">
        <v>0</v>
      </c>
      <c r="AR209" s="641">
        <v>0</v>
      </c>
      <c r="AS209" s="795">
        <v>0</v>
      </c>
      <c r="AT209" s="4912">
        <v>0</v>
      </c>
      <c r="AU209" s="2398">
        <v>0</v>
      </c>
      <c r="AV209" s="543">
        <v>0</v>
      </c>
      <c r="AW209" s="647">
        <v>0</v>
      </c>
      <c r="AX209" s="543">
        <v>0</v>
      </c>
      <c r="AY209" s="2456"/>
      <c r="AZ209" s="2398">
        <v>0</v>
      </c>
      <c r="BA209" s="543">
        <v>0</v>
      </c>
      <c r="BB209" s="649">
        <v>0</v>
      </c>
      <c r="BC209" s="543">
        <v>0</v>
      </c>
      <c r="BD209" s="2456">
        <v>0</v>
      </c>
      <c r="BE209" s="2302"/>
      <c r="BF209" s="543"/>
      <c r="BG209" s="542"/>
      <c r="BH209" s="543"/>
      <c r="BI209" s="2303"/>
      <c r="BJ209" s="498" t="s">
        <v>735</v>
      </c>
      <c r="BK209" s="367" t="s">
        <v>736</v>
      </c>
      <c r="BL209" s="99"/>
      <c r="BM209" s="547"/>
      <c r="BN209" s="547"/>
      <c r="BO209" s="99"/>
      <c r="BP209" s="620" t="s">
        <v>739</v>
      </c>
      <c r="BQ209" s="620" t="s">
        <v>740</v>
      </c>
      <c r="BR209" s="159"/>
      <c r="BS209" s="18"/>
    </row>
    <row r="210" spans="1:72" ht="24" customHeight="1">
      <c r="B210" s="4505" t="s">
        <v>2281</v>
      </c>
      <c r="C210" s="4583" t="s">
        <v>769</v>
      </c>
      <c r="D210" s="4518"/>
      <c r="E210" s="4518"/>
      <c r="F210" s="4584" t="s">
        <v>168</v>
      </c>
      <c r="G210" s="408"/>
      <c r="H210" s="312" t="s">
        <v>2362</v>
      </c>
      <c r="I210" s="654"/>
      <c r="J210" s="655"/>
      <c r="K210" s="656" t="s">
        <v>168</v>
      </c>
      <c r="L210" s="657"/>
      <c r="M210" s="657"/>
      <c r="N210" s="657"/>
      <c r="O210" s="657"/>
      <c r="P210" s="657"/>
      <c r="Q210" s="657"/>
      <c r="R210" s="657"/>
      <c r="S210" s="657"/>
      <c r="T210" s="657"/>
      <c r="U210" s="657"/>
      <c r="V210" s="657"/>
      <c r="W210" s="4913"/>
      <c r="X210" s="2251"/>
      <c r="Y210" s="658"/>
      <c r="Z210" s="658"/>
      <c r="AA210" s="658"/>
      <c r="AB210" s="2252"/>
      <c r="AC210" s="2525"/>
      <c r="AD210" s="658"/>
      <c r="AE210" s="658"/>
      <c r="AF210" s="659"/>
      <c r="AG210" s="659"/>
      <c r="AH210" s="659"/>
      <c r="AI210" s="659"/>
      <c r="AJ210" s="659"/>
      <c r="AK210" s="659"/>
      <c r="AL210" s="659"/>
      <c r="AM210" s="659"/>
      <c r="AN210" s="2305"/>
      <c r="AO210" s="2304"/>
      <c r="AP210" s="660"/>
      <c r="AQ210" s="659"/>
      <c r="AR210" s="660"/>
      <c r="AS210" s="2546"/>
      <c r="AT210" s="4914"/>
      <c r="AU210" s="2304"/>
      <c r="AV210" s="661"/>
      <c r="AW210" s="659"/>
      <c r="AX210" s="661"/>
      <c r="AY210" s="2305"/>
      <c r="AZ210" s="2304"/>
      <c r="BA210" s="661"/>
      <c r="BB210" s="659"/>
      <c r="BC210" s="661"/>
      <c r="BD210" s="2305"/>
      <c r="BE210" s="2304"/>
      <c r="BF210" s="661"/>
      <c r="BG210" s="320"/>
      <c r="BH210" s="413"/>
      <c r="BI210" s="2276"/>
      <c r="BJ210" s="498"/>
      <c r="BK210" s="367"/>
      <c r="BL210" s="99"/>
      <c r="BM210" s="547"/>
      <c r="BN210" s="547"/>
      <c r="BO210" s="99"/>
      <c r="BP210" s="620" t="s">
        <v>770</v>
      </c>
      <c r="BQ210" s="620" t="s">
        <v>740</v>
      </c>
      <c r="BR210" s="159"/>
      <c r="BS210" s="18"/>
    </row>
    <row r="211" spans="1:72" ht="24" customHeight="1">
      <c r="B211" s="4505" t="s">
        <v>2281</v>
      </c>
      <c r="C211" s="4588"/>
      <c r="D211" s="619" t="s">
        <v>771</v>
      </c>
      <c r="E211" s="619"/>
      <c r="F211" s="285" t="s">
        <v>732</v>
      </c>
      <c r="G211" s="337"/>
      <c r="H211" s="287"/>
      <c r="I211" s="288" t="s">
        <v>2363</v>
      </c>
      <c r="J211" s="141"/>
      <c r="K211" s="162" t="s">
        <v>734</v>
      </c>
      <c r="L211" s="543">
        <v>3996</v>
      </c>
      <c r="M211" s="543"/>
      <c r="N211" s="543">
        <v>4650</v>
      </c>
      <c r="O211" s="543"/>
      <c r="P211" s="644"/>
      <c r="Q211" s="652"/>
      <c r="R211" s="645">
        <v>3031</v>
      </c>
      <c r="S211" s="4915" t="s">
        <v>746</v>
      </c>
      <c r="T211" s="645">
        <v>3629</v>
      </c>
      <c r="U211" s="4916" t="s">
        <v>747</v>
      </c>
      <c r="V211" s="228">
        <v>1082</v>
      </c>
      <c r="W211" s="2079"/>
      <c r="X211" s="2260">
        <v>174</v>
      </c>
      <c r="Y211" s="543">
        <v>0</v>
      </c>
      <c r="Z211" s="647">
        <v>215</v>
      </c>
      <c r="AA211" s="543">
        <v>0</v>
      </c>
      <c r="AB211" s="2303"/>
      <c r="AC211" s="2132">
        <v>174</v>
      </c>
      <c r="AD211" s="647">
        <v>215</v>
      </c>
      <c r="AE211" s="542"/>
      <c r="AF211" s="647">
        <v>174</v>
      </c>
      <c r="AG211" s="647">
        <v>215</v>
      </c>
      <c r="AH211" s="542"/>
      <c r="AI211" s="647">
        <v>174</v>
      </c>
      <c r="AJ211" s="647">
        <v>215</v>
      </c>
      <c r="AK211" s="542"/>
      <c r="AL211" s="647">
        <v>174</v>
      </c>
      <c r="AM211" s="647">
        <v>215</v>
      </c>
      <c r="AN211" s="2303"/>
      <c r="AO211" s="2260">
        <v>52</v>
      </c>
      <c r="AP211" s="543" t="s">
        <v>775</v>
      </c>
      <c r="AQ211" s="647">
        <v>77</v>
      </c>
      <c r="AR211" s="543" t="s">
        <v>775</v>
      </c>
      <c r="AS211" s="795">
        <v>100</v>
      </c>
      <c r="AT211" s="4910" t="s">
        <v>748</v>
      </c>
      <c r="AU211" s="2260">
        <v>374</v>
      </c>
      <c r="AV211" s="648" t="s">
        <v>759</v>
      </c>
      <c r="AW211" s="647">
        <v>392</v>
      </c>
      <c r="AX211" s="648" t="s">
        <v>759</v>
      </c>
      <c r="AY211" s="2303"/>
      <c r="AZ211" s="2398">
        <v>365</v>
      </c>
      <c r="BA211" s="648" t="s">
        <v>751</v>
      </c>
      <c r="BB211" s="649">
        <v>337</v>
      </c>
      <c r="BC211" s="648" t="s">
        <v>751</v>
      </c>
      <c r="BD211" s="2303"/>
      <c r="BE211" s="2302"/>
      <c r="BF211" s="543"/>
      <c r="BG211" s="542"/>
      <c r="BH211" s="543"/>
      <c r="BI211" s="2303"/>
      <c r="BJ211" s="498" t="s">
        <v>773</v>
      </c>
      <c r="BK211" s="367" t="s">
        <v>774</v>
      </c>
      <c r="BL211" s="99"/>
      <c r="BM211" s="547"/>
      <c r="BN211" s="547"/>
      <c r="BO211" s="99"/>
      <c r="BP211" s="620" t="s">
        <v>770</v>
      </c>
      <c r="BQ211" s="620" t="s">
        <v>740</v>
      </c>
      <c r="BR211" s="159"/>
      <c r="BS211" s="18"/>
    </row>
    <row r="212" spans="1:72" ht="24" customHeight="1">
      <c r="B212" s="4505" t="s">
        <v>2281</v>
      </c>
      <c r="C212" s="4590"/>
      <c r="D212" s="619" t="s">
        <v>777</v>
      </c>
      <c r="E212" s="306"/>
      <c r="F212" s="285" t="s">
        <v>732</v>
      </c>
      <c r="G212" s="662"/>
      <c r="H212" s="322"/>
      <c r="I212" s="288" t="s">
        <v>2364</v>
      </c>
      <c r="J212" s="141"/>
      <c r="K212" s="162" t="s">
        <v>734</v>
      </c>
      <c r="L212" s="543">
        <v>2328</v>
      </c>
      <c r="M212" s="543"/>
      <c r="N212" s="543">
        <v>3831</v>
      </c>
      <c r="O212" s="543"/>
      <c r="P212" s="644"/>
      <c r="Q212" s="652"/>
      <c r="R212" s="645">
        <v>570</v>
      </c>
      <c r="S212" s="4915" t="s">
        <v>746</v>
      </c>
      <c r="T212" s="645">
        <v>873</v>
      </c>
      <c r="U212" s="4916" t="s">
        <v>1805</v>
      </c>
      <c r="V212" s="228">
        <f>8+6</f>
        <v>14</v>
      </c>
      <c r="W212" s="2079"/>
      <c r="X212" s="2260">
        <v>9</v>
      </c>
      <c r="Y212" s="543">
        <v>0</v>
      </c>
      <c r="Z212" s="647">
        <v>16</v>
      </c>
      <c r="AA212" s="543">
        <v>0</v>
      </c>
      <c r="AB212" s="2303"/>
      <c r="AC212" s="2132">
        <v>9</v>
      </c>
      <c r="AD212" s="647">
        <v>16</v>
      </c>
      <c r="AE212" s="542"/>
      <c r="AF212" s="647">
        <v>9</v>
      </c>
      <c r="AG212" s="647">
        <v>16</v>
      </c>
      <c r="AH212" s="542"/>
      <c r="AI212" s="647">
        <v>9</v>
      </c>
      <c r="AJ212" s="647">
        <v>16</v>
      </c>
      <c r="AK212" s="542"/>
      <c r="AL212" s="647">
        <v>9</v>
      </c>
      <c r="AM212" s="647">
        <v>16</v>
      </c>
      <c r="AN212" s="2303"/>
      <c r="AO212" s="2260">
        <v>1002</v>
      </c>
      <c r="AP212" s="543" t="s">
        <v>775</v>
      </c>
      <c r="AQ212" s="647">
        <v>832</v>
      </c>
      <c r="AR212" s="543" t="s">
        <v>775</v>
      </c>
      <c r="AS212" s="795">
        <v>649</v>
      </c>
      <c r="AT212" s="4910" t="s">
        <v>748</v>
      </c>
      <c r="AU212" s="2260">
        <v>731</v>
      </c>
      <c r="AV212" s="648" t="s">
        <v>801</v>
      </c>
      <c r="AW212" s="647">
        <v>2054</v>
      </c>
      <c r="AX212" s="648" t="s">
        <v>801</v>
      </c>
      <c r="AY212" s="2303"/>
      <c r="AZ212" s="2398">
        <v>16</v>
      </c>
      <c r="BA212" s="648" t="s">
        <v>751</v>
      </c>
      <c r="BB212" s="649">
        <v>56</v>
      </c>
      <c r="BC212" s="648" t="s">
        <v>751</v>
      </c>
      <c r="BD212" s="2303"/>
      <c r="BE212" s="2302"/>
      <c r="BF212" s="543"/>
      <c r="BG212" s="542"/>
      <c r="BH212" s="543"/>
      <c r="BI212" s="2303"/>
      <c r="BJ212" s="498" t="s">
        <v>773</v>
      </c>
      <c r="BK212" s="367" t="s">
        <v>774</v>
      </c>
      <c r="BL212" s="99"/>
      <c r="BM212" s="547"/>
      <c r="BN212" s="547"/>
      <c r="BO212" s="99"/>
      <c r="BP212" s="620" t="s">
        <v>770</v>
      </c>
      <c r="BQ212" s="620" t="s">
        <v>740</v>
      </c>
      <c r="BR212" s="159"/>
      <c r="BS212" s="18"/>
    </row>
    <row r="213" spans="1:72" ht="24" customHeight="1">
      <c r="B213" s="4505" t="s">
        <v>2281</v>
      </c>
      <c r="C213" s="4590"/>
      <c r="D213" s="619" t="s">
        <v>781</v>
      </c>
      <c r="E213" s="306"/>
      <c r="F213" s="285" t="s">
        <v>732</v>
      </c>
      <c r="G213" s="662"/>
      <c r="H213" s="322"/>
      <c r="I213" s="288" t="s">
        <v>2365</v>
      </c>
      <c r="J213" s="141"/>
      <c r="K213" s="162" t="s">
        <v>734</v>
      </c>
      <c r="L213" s="543">
        <v>3317</v>
      </c>
      <c r="M213" s="543"/>
      <c r="N213" s="543">
        <v>3207</v>
      </c>
      <c r="O213" s="543"/>
      <c r="P213" s="644"/>
      <c r="Q213" s="652"/>
      <c r="R213" s="645">
        <v>1135</v>
      </c>
      <c r="S213" s="4915" t="s">
        <v>747</v>
      </c>
      <c r="T213" s="645">
        <v>1097</v>
      </c>
      <c r="U213" s="4916" t="s">
        <v>1806</v>
      </c>
      <c r="V213" s="228">
        <v>1096</v>
      </c>
      <c r="W213" s="2079"/>
      <c r="X213" s="2260">
        <v>183</v>
      </c>
      <c r="Y213" s="543">
        <v>0</v>
      </c>
      <c r="Z213" s="647">
        <v>231</v>
      </c>
      <c r="AA213" s="543">
        <v>0</v>
      </c>
      <c r="AB213" s="2303"/>
      <c r="AC213" s="2132">
        <v>183</v>
      </c>
      <c r="AD213" s="647">
        <v>231</v>
      </c>
      <c r="AE213" s="542"/>
      <c r="AF213" s="647">
        <v>183</v>
      </c>
      <c r="AG213" s="647">
        <v>231</v>
      </c>
      <c r="AH213" s="542"/>
      <c r="AI213" s="647">
        <v>183</v>
      </c>
      <c r="AJ213" s="647">
        <v>231</v>
      </c>
      <c r="AK213" s="542"/>
      <c r="AL213" s="647">
        <v>183</v>
      </c>
      <c r="AM213" s="647">
        <v>231</v>
      </c>
      <c r="AN213" s="2303"/>
      <c r="AO213" s="2260">
        <v>1054</v>
      </c>
      <c r="AP213" s="543">
        <v>0</v>
      </c>
      <c r="AQ213" s="647">
        <v>909</v>
      </c>
      <c r="AR213" s="543">
        <v>0</v>
      </c>
      <c r="AS213" s="795">
        <f>AS211+AS212</f>
        <v>749</v>
      </c>
      <c r="AT213" s="4885">
        <v>0</v>
      </c>
      <c r="AU213" s="2260">
        <v>564</v>
      </c>
      <c r="AV213" s="648">
        <v>0</v>
      </c>
      <c r="AW213" s="647">
        <v>577</v>
      </c>
      <c r="AX213" s="543">
        <v>0</v>
      </c>
      <c r="AY213" s="2303"/>
      <c r="AZ213" s="2398">
        <v>381</v>
      </c>
      <c r="BA213" s="543">
        <v>0</v>
      </c>
      <c r="BB213" s="649">
        <v>393</v>
      </c>
      <c r="BC213" s="543">
        <v>0</v>
      </c>
      <c r="BD213" s="2303"/>
      <c r="BE213" s="2302"/>
      <c r="BF213" s="543"/>
      <c r="BG213" s="542"/>
      <c r="BH213" s="543"/>
      <c r="BI213" s="2303"/>
      <c r="BJ213" s="498" t="s">
        <v>773</v>
      </c>
      <c r="BK213" s="367" t="s">
        <v>774</v>
      </c>
      <c r="BL213" s="99"/>
      <c r="BM213" s="547"/>
      <c r="BN213" s="547"/>
      <c r="BO213" s="99"/>
      <c r="BP213" s="620" t="s">
        <v>770</v>
      </c>
      <c r="BQ213" s="620" t="s">
        <v>740</v>
      </c>
      <c r="BR213" s="159"/>
      <c r="BS213" s="18"/>
    </row>
    <row r="214" spans="1:72" ht="24" customHeight="1">
      <c r="B214" s="4505" t="s">
        <v>2281</v>
      </c>
      <c r="C214" s="4590"/>
      <c r="D214" s="619" t="s">
        <v>784</v>
      </c>
      <c r="E214" s="306"/>
      <c r="F214" s="285" t="s">
        <v>732</v>
      </c>
      <c r="G214" s="662"/>
      <c r="H214" s="322"/>
      <c r="I214" s="184" t="s">
        <v>2366</v>
      </c>
      <c r="J214" s="141"/>
      <c r="K214" s="162" t="s">
        <v>734</v>
      </c>
      <c r="L214" s="543">
        <v>3007</v>
      </c>
      <c r="M214" s="543"/>
      <c r="N214" s="543">
        <v>5274</v>
      </c>
      <c r="O214" s="543"/>
      <c r="P214" s="644"/>
      <c r="Q214" s="652"/>
      <c r="R214" s="645">
        <v>2466</v>
      </c>
      <c r="S214" s="4915" t="s">
        <v>786</v>
      </c>
      <c r="T214" s="645">
        <v>3405</v>
      </c>
      <c r="U214" s="151" t="s">
        <v>786</v>
      </c>
      <c r="V214" s="228">
        <v>0</v>
      </c>
      <c r="W214" s="2079"/>
      <c r="X214" s="2260">
        <v>0</v>
      </c>
      <c r="Y214" s="543">
        <v>0</v>
      </c>
      <c r="Z214" s="647">
        <v>0</v>
      </c>
      <c r="AA214" s="543">
        <v>0</v>
      </c>
      <c r="AB214" s="2303"/>
      <c r="AC214" s="2132">
        <v>0</v>
      </c>
      <c r="AD214" s="647">
        <v>0</v>
      </c>
      <c r="AE214" s="542"/>
      <c r="AF214" s="647">
        <v>0</v>
      </c>
      <c r="AG214" s="647">
        <v>0</v>
      </c>
      <c r="AH214" s="542"/>
      <c r="AI214" s="647">
        <v>0</v>
      </c>
      <c r="AJ214" s="647">
        <v>0</v>
      </c>
      <c r="AK214" s="542"/>
      <c r="AL214" s="647">
        <v>0</v>
      </c>
      <c r="AM214" s="647">
        <v>0</v>
      </c>
      <c r="AN214" s="2303"/>
      <c r="AO214" s="2260">
        <v>0</v>
      </c>
      <c r="AP214" s="543">
        <v>0</v>
      </c>
      <c r="AQ214" s="647">
        <v>0</v>
      </c>
      <c r="AR214" s="543">
        <v>0</v>
      </c>
      <c r="AS214" s="795">
        <v>0</v>
      </c>
      <c r="AT214" s="4885">
        <v>0</v>
      </c>
      <c r="AU214" s="2260">
        <v>541</v>
      </c>
      <c r="AV214" s="543">
        <v>0</v>
      </c>
      <c r="AW214" s="647">
        <v>1869</v>
      </c>
      <c r="AX214" s="543">
        <v>0</v>
      </c>
      <c r="AY214" s="2303"/>
      <c r="AZ214" s="2398">
        <v>0</v>
      </c>
      <c r="BA214" s="543">
        <v>0</v>
      </c>
      <c r="BB214" s="649">
        <v>0</v>
      </c>
      <c r="BC214" s="543">
        <v>0</v>
      </c>
      <c r="BD214" s="2303"/>
      <c r="BE214" s="2302"/>
      <c r="BF214" s="543"/>
      <c r="BG214" s="542"/>
      <c r="BH214" s="543"/>
      <c r="BI214" s="2303"/>
      <c r="BJ214" s="498" t="s">
        <v>773</v>
      </c>
      <c r="BK214" s="367" t="s">
        <v>774</v>
      </c>
      <c r="BL214" s="99"/>
      <c r="BM214" s="547"/>
      <c r="BN214" s="547"/>
      <c r="BO214" s="99"/>
      <c r="BP214" s="620" t="s">
        <v>770</v>
      </c>
      <c r="BQ214" s="620" t="s">
        <v>740</v>
      </c>
      <c r="BR214" s="159"/>
      <c r="BS214" s="18"/>
    </row>
    <row r="215" spans="1:72" ht="24" customHeight="1">
      <c r="B215" s="4505" t="s">
        <v>2281</v>
      </c>
      <c r="C215" s="4591"/>
      <c r="D215" s="619" t="s">
        <v>788</v>
      </c>
      <c r="E215" s="619"/>
      <c r="F215" s="285" t="s">
        <v>732</v>
      </c>
      <c r="G215" s="343"/>
      <c r="H215" s="296"/>
      <c r="I215" s="495" t="s">
        <v>2367</v>
      </c>
      <c r="J215" s="643"/>
      <c r="K215" s="162" t="s">
        <v>734</v>
      </c>
      <c r="L215" s="543">
        <v>0</v>
      </c>
      <c r="M215" s="543"/>
      <c r="N215" s="543">
        <v>0</v>
      </c>
      <c r="O215" s="543"/>
      <c r="P215" s="644"/>
      <c r="Q215" s="652"/>
      <c r="R215" s="2534"/>
      <c r="S215" s="4915"/>
      <c r="T215" s="2534"/>
      <c r="U215" s="151"/>
      <c r="V215" s="228">
        <v>0</v>
      </c>
      <c r="W215" s="2079"/>
      <c r="X215" s="2260">
        <v>0</v>
      </c>
      <c r="Y215" s="543">
        <v>0</v>
      </c>
      <c r="Z215" s="647">
        <v>0</v>
      </c>
      <c r="AA215" s="543">
        <v>0</v>
      </c>
      <c r="AB215" s="2303"/>
      <c r="AC215" s="2132">
        <v>0</v>
      </c>
      <c r="AD215" s="647">
        <v>0</v>
      </c>
      <c r="AE215" s="542"/>
      <c r="AF215" s="647">
        <v>0</v>
      </c>
      <c r="AG215" s="647">
        <v>0</v>
      </c>
      <c r="AH215" s="542"/>
      <c r="AI215" s="647">
        <v>0</v>
      </c>
      <c r="AJ215" s="647">
        <v>0</v>
      </c>
      <c r="AK215" s="542"/>
      <c r="AL215" s="647">
        <v>0</v>
      </c>
      <c r="AM215" s="647">
        <v>0</v>
      </c>
      <c r="AN215" s="2303"/>
      <c r="AO215" s="2260">
        <v>0</v>
      </c>
      <c r="AP215" s="543">
        <v>0</v>
      </c>
      <c r="AQ215" s="647">
        <v>0</v>
      </c>
      <c r="AR215" s="543">
        <v>0</v>
      </c>
      <c r="AS215" s="795">
        <v>0</v>
      </c>
      <c r="AT215" s="4885">
        <v>0</v>
      </c>
      <c r="AU215" s="2260">
        <v>0</v>
      </c>
      <c r="AV215" s="543">
        <v>0</v>
      </c>
      <c r="AW215" s="647">
        <v>0</v>
      </c>
      <c r="AX215" s="543">
        <v>0</v>
      </c>
      <c r="AY215" s="2303"/>
      <c r="AZ215" s="2398">
        <v>0</v>
      </c>
      <c r="BA215" s="543">
        <v>0</v>
      </c>
      <c r="BB215" s="649">
        <v>0</v>
      </c>
      <c r="BC215" s="543">
        <v>0</v>
      </c>
      <c r="BD215" s="2303"/>
      <c r="BE215" s="2302"/>
      <c r="BF215" s="543"/>
      <c r="BG215" s="542"/>
      <c r="BH215" s="543"/>
      <c r="BI215" s="2303"/>
      <c r="BJ215" s="498" t="s">
        <v>790</v>
      </c>
      <c r="BK215" s="367" t="s">
        <v>774</v>
      </c>
      <c r="BL215" s="99"/>
      <c r="BM215" s="547"/>
      <c r="BN215" s="547"/>
      <c r="BO215" s="99"/>
      <c r="BP215" s="620" t="s">
        <v>770</v>
      </c>
      <c r="BQ215" s="620" t="s">
        <v>740</v>
      </c>
      <c r="BR215" s="159"/>
      <c r="BS215" s="18"/>
    </row>
    <row r="216" spans="1:72" ht="24" customHeight="1">
      <c r="B216" s="4505" t="s">
        <v>2281</v>
      </c>
      <c r="C216" s="4592" t="s">
        <v>791</v>
      </c>
      <c r="D216" s="663"/>
      <c r="E216" s="4593"/>
      <c r="F216" s="4594"/>
      <c r="G216" s="408"/>
      <c r="H216" s="312" t="s">
        <v>2368</v>
      </c>
      <c r="I216" s="654"/>
      <c r="J216" s="655"/>
      <c r="K216" s="656" t="s">
        <v>168</v>
      </c>
      <c r="L216" s="657"/>
      <c r="M216" s="657"/>
      <c r="N216" s="657"/>
      <c r="O216" s="657"/>
      <c r="P216" s="657"/>
      <c r="Q216" s="657"/>
      <c r="R216" s="657">
        <v>1</v>
      </c>
      <c r="S216" s="657"/>
      <c r="T216" s="657">
        <v>2</v>
      </c>
      <c r="U216" s="657"/>
      <c r="V216" s="657"/>
      <c r="W216" s="4913"/>
      <c r="X216" s="2251"/>
      <c r="Y216" s="658"/>
      <c r="Z216" s="658"/>
      <c r="AA216" s="658"/>
      <c r="AB216" s="2252"/>
      <c r="AC216" s="2525"/>
      <c r="AD216" s="658"/>
      <c r="AE216" s="658"/>
      <c r="AF216" s="659"/>
      <c r="AG216" s="659"/>
      <c r="AH216" s="659"/>
      <c r="AI216" s="659"/>
      <c r="AJ216" s="659"/>
      <c r="AK216" s="659"/>
      <c r="AL216" s="659"/>
      <c r="AM216" s="659"/>
      <c r="AN216" s="2305"/>
      <c r="AO216" s="2304"/>
      <c r="AP216" s="661"/>
      <c r="AQ216" s="659"/>
      <c r="AR216" s="661"/>
      <c r="AS216" s="2546"/>
      <c r="AT216" s="4917"/>
      <c r="AU216" s="2304"/>
      <c r="AV216" s="661"/>
      <c r="AW216" s="659"/>
      <c r="AX216" s="661"/>
      <c r="AY216" s="2305"/>
      <c r="AZ216" s="2304"/>
      <c r="BA216" s="661"/>
      <c r="BB216" s="659"/>
      <c r="BC216" s="661"/>
      <c r="BD216" s="2305"/>
      <c r="BE216" s="2304"/>
      <c r="BF216" s="661"/>
      <c r="BG216" s="320"/>
      <c r="BH216" s="413"/>
      <c r="BI216" s="2276"/>
      <c r="BJ216" s="498"/>
      <c r="BK216" s="367"/>
      <c r="BL216" s="99"/>
      <c r="BM216" s="547"/>
      <c r="BN216" s="547"/>
      <c r="BO216" s="99"/>
      <c r="BP216" s="620" t="s">
        <v>793</v>
      </c>
      <c r="BQ216" s="664" t="s">
        <v>794</v>
      </c>
      <c r="BR216" s="159" t="s">
        <v>795</v>
      </c>
      <c r="BS216" s="18"/>
    </row>
    <row r="217" spans="1:72" ht="24" customHeight="1">
      <c r="B217" s="4505" t="s">
        <v>2281</v>
      </c>
      <c r="C217" s="4588"/>
      <c r="D217" s="490" t="s">
        <v>796</v>
      </c>
      <c r="E217" s="491"/>
      <c r="F217" s="285" t="s">
        <v>732</v>
      </c>
      <c r="G217" s="337"/>
      <c r="H217" s="287"/>
      <c r="I217" s="198" t="s">
        <v>2369</v>
      </c>
      <c r="J217" s="198"/>
      <c r="K217" s="162" t="s">
        <v>734</v>
      </c>
      <c r="L217" s="92">
        <v>3214</v>
      </c>
      <c r="M217" s="92"/>
      <c r="N217" s="92">
        <v>4206</v>
      </c>
      <c r="O217" s="92"/>
      <c r="P217" s="228"/>
      <c r="Q217" s="95"/>
      <c r="R217" s="297">
        <v>1678</v>
      </c>
      <c r="S217" s="1842" t="s">
        <v>746</v>
      </c>
      <c r="T217" s="297">
        <v>2124</v>
      </c>
      <c r="U217" s="4916" t="s">
        <v>1798</v>
      </c>
      <c r="V217" s="228">
        <v>494</v>
      </c>
      <c r="W217" s="2053"/>
      <c r="X217" s="2250">
        <v>134</v>
      </c>
      <c r="Y217" s="92">
        <v>0</v>
      </c>
      <c r="Z217" s="612">
        <v>154</v>
      </c>
      <c r="AA217" s="92">
        <v>0</v>
      </c>
      <c r="AB217" s="2187"/>
      <c r="AC217" s="2131">
        <v>134</v>
      </c>
      <c r="AD217" s="612">
        <v>154</v>
      </c>
      <c r="AE217" s="100"/>
      <c r="AF217" s="647">
        <v>134</v>
      </c>
      <c r="AG217" s="647">
        <v>154</v>
      </c>
      <c r="AH217" s="542"/>
      <c r="AI217" s="647">
        <v>134</v>
      </c>
      <c r="AJ217" s="647">
        <v>154</v>
      </c>
      <c r="AK217" s="542"/>
      <c r="AL217" s="647">
        <v>134</v>
      </c>
      <c r="AM217" s="647">
        <v>154</v>
      </c>
      <c r="AN217" s="2303"/>
      <c r="AO217" s="2260">
        <v>541</v>
      </c>
      <c r="AP217" s="648" t="s">
        <v>748</v>
      </c>
      <c r="AQ217" s="647">
        <v>452</v>
      </c>
      <c r="AR217" s="648" t="s">
        <v>748</v>
      </c>
      <c r="AS217" s="795">
        <v>372</v>
      </c>
      <c r="AT217" s="4918" t="s">
        <v>748</v>
      </c>
      <c r="AU217" s="2260">
        <v>568</v>
      </c>
      <c r="AV217" s="648" t="s">
        <v>801</v>
      </c>
      <c r="AW217" s="647">
        <v>1195</v>
      </c>
      <c r="AX217" s="648" t="s">
        <v>801</v>
      </c>
      <c r="AY217" s="2303"/>
      <c r="AZ217" s="2398">
        <v>293</v>
      </c>
      <c r="BA217" s="648" t="s">
        <v>751</v>
      </c>
      <c r="BB217" s="649">
        <v>281</v>
      </c>
      <c r="BC217" s="648" t="s">
        <v>751</v>
      </c>
      <c r="BD217" s="2303"/>
      <c r="BE217" s="2302"/>
      <c r="BF217" s="543"/>
      <c r="BG217" s="542"/>
      <c r="BH217" s="543"/>
      <c r="BI217" s="2303"/>
      <c r="BJ217" s="498" t="s">
        <v>798</v>
      </c>
      <c r="BK217" s="367" t="s">
        <v>799</v>
      </c>
      <c r="BL217" s="99"/>
      <c r="BM217" s="547"/>
      <c r="BN217" s="547"/>
      <c r="BO217" s="665"/>
      <c r="BP217" s="620" t="s">
        <v>793</v>
      </c>
      <c r="BQ217" s="664" t="s">
        <v>794</v>
      </c>
      <c r="BR217" s="159" t="s">
        <v>795</v>
      </c>
      <c r="BS217" s="18"/>
    </row>
    <row r="218" spans="1:72" ht="24" customHeight="1">
      <c r="B218" s="4505" t="s">
        <v>2281</v>
      </c>
      <c r="C218" s="4591"/>
      <c r="D218" s="490" t="s">
        <v>802</v>
      </c>
      <c r="E218" s="491"/>
      <c r="F218" s="285" t="s">
        <v>732</v>
      </c>
      <c r="G218" s="343"/>
      <c r="H218" s="296"/>
      <c r="I218" s="666" t="s">
        <v>2370</v>
      </c>
      <c r="J218" s="666"/>
      <c r="K218" s="162" t="s">
        <v>734</v>
      </c>
      <c r="L218" s="92">
        <v>3110</v>
      </c>
      <c r="M218" s="92"/>
      <c r="N218" s="92">
        <v>4275</v>
      </c>
      <c r="O218" s="92"/>
      <c r="P218" s="228"/>
      <c r="Q218" s="95"/>
      <c r="R218" s="297">
        <v>1923</v>
      </c>
      <c r="S218" s="1842" t="s">
        <v>746</v>
      </c>
      <c r="T218" s="297">
        <v>2378</v>
      </c>
      <c r="U218" s="4916" t="s">
        <v>1798</v>
      </c>
      <c r="V218" s="228">
        <v>602</v>
      </c>
      <c r="W218" s="2053"/>
      <c r="X218" s="2250">
        <v>49</v>
      </c>
      <c r="Y218" s="92">
        <v>0</v>
      </c>
      <c r="Z218" s="612">
        <v>77</v>
      </c>
      <c r="AA218" s="92">
        <v>0</v>
      </c>
      <c r="AB218" s="2187"/>
      <c r="AC218" s="2131">
        <v>49</v>
      </c>
      <c r="AD218" s="612">
        <v>77</v>
      </c>
      <c r="AE218" s="100"/>
      <c r="AF218" s="647">
        <v>49</v>
      </c>
      <c r="AG218" s="647">
        <v>77</v>
      </c>
      <c r="AH218" s="542"/>
      <c r="AI218" s="647">
        <v>49</v>
      </c>
      <c r="AJ218" s="647">
        <v>77</v>
      </c>
      <c r="AK218" s="542"/>
      <c r="AL218" s="647">
        <v>49</v>
      </c>
      <c r="AM218" s="647">
        <v>77</v>
      </c>
      <c r="AN218" s="2303"/>
      <c r="AO218" s="2260">
        <v>513</v>
      </c>
      <c r="AP218" s="648" t="s">
        <v>748</v>
      </c>
      <c r="AQ218" s="647">
        <v>457</v>
      </c>
      <c r="AR218" s="648" t="s">
        <v>748</v>
      </c>
      <c r="AS218" s="795">
        <v>378</v>
      </c>
      <c r="AT218" s="4918" t="s">
        <v>748</v>
      </c>
      <c r="AU218" s="2260">
        <v>537</v>
      </c>
      <c r="AV218" s="648" t="s">
        <v>801</v>
      </c>
      <c r="AW218" s="647">
        <v>1251</v>
      </c>
      <c r="AX218" s="648" t="s">
        <v>801</v>
      </c>
      <c r="AY218" s="2303"/>
      <c r="AZ218" s="2398">
        <v>88</v>
      </c>
      <c r="BA218" s="648" t="s">
        <v>751</v>
      </c>
      <c r="BB218" s="649">
        <v>112</v>
      </c>
      <c r="BC218" s="648" t="s">
        <v>751</v>
      </c>
      <c r="BD218" s="2303"/>
      <c r="BE218" s="2302"/>
      <c r="BF218" s="543"/>
      <c r="BG218" s="542"/>
      <c r="BH218" s="543"/>
      <c r="BI218" s="2303"/>
      <c r="BJ218" s="498" t="s">
        <v>798</v>
      </c>
      <c r="BK218" s="367" t="s">
        <v>799</v>
      </c>
      <c r="BL218" s="99"/>
      <c r="BM218" s="547"/>
      <c r="BN218" s="547"/>
      <c r="BO218" s="665"/>
      <c r="BP218" s="620" t="s">
        <v>793</v>
      </c>
      <c r="BQ218" s="620" t="s">
        <v>740</v>
      </c>
      <c r="BR218" s="159" t="s">
        <v>795</v>
      </c>
      <c r="BS218" s="18"/>
    </row>
    <row r="219" spans="1:72" ht="24" customHeight="1">
      <c r="B219" s="4505" t="s">
        <v>2281</v>
      </c>
      <c r="C219" s="4592" t="s">
        <v>805</v>
      </c>
      <c r="D219" s="663"/>
      <c r="E219" s="4595"/>
      <c r="F219" s="4584" t="s">
        <v>168</v>
      </c>
      <c r="G219" s="667"/>
      <c r="H219" s="668" t="s">
        <v>2371</v>
      </c>
      <c r="I219" s="669"/>
      <c r="J219" s="670"/>
      <c r="K219" s="656" t="s">
        <v>168</v>
      </c>
      <c r="L219" s="657"/>
      <c r="M219" s="657"/>
      <c r="N219" s="657"/>
      <c r="O219" s="657"/>
      <c r="P219" s="657"/>
      <c r="Q219" s="657"/>
      <c r="R219" s="657"/>
      <c r="S219" s="657"/>
      <c r="T219" s="657">
        <v>1</v>
      </c>
      <c r="U219" s="657"/>
      <c r="V219" s="657"/>
      <c r="W219" s="4913"/>
      <c r="X219" s="2251"/>
      <c r="Y219" s="658"/>
      <c r="Z219" s="658">
        <v>1</v>
      </c>
      <c r="AA219" s="658"/>
      <c r="AB219" s="2252"/>
      <c r="AC219" s="2525"/>
      <c r="AD219" s="658">
        <v>1</v>
      </c>
      <c r="AE219" s="658"/>
      <c r="AF219" s="659"/>
      <c r="AG219" s="659"/>
      <c r="AH219" s="659"/>
      <c r="AI219" s="659"/>
      <c r="AJ219" s="659"/>
      <c r="AK219" s="659"/>
      <c r="AL219" s="659"/>
      <c r="AM219" s="659"/>
      <c r="AN219" s="2305"/>
      <c r="AO219" s="2304"/>
      <c r="AP219" s="671"/>
      <c r="AQ219" s="659"/>
      <c r="AR219" s="671"/>
      <c r="AS219" s="2546"/>
      <c r="AT219" s="4919"/>
      <c r="AU219" s="2304"/>
      <c r="AV219" s="671"/>
      <c r="AW219" s="659"/>
      <c r="AX219" s="671"/>
      <c r="AY219" s="2305"/>
      <c r="AZ219" s="2304"/>
      <c r="BA219" s="671"/>
      <c r="BB219" s="659"/>
      <c r="BC219" s="671"/>
      <c r="BD219" s="2305"/>
      <c r="BE219" s="2304"/>
      <c r="BF219" s="661"/>
      <c r="BG219" s="320"/>
      <c r="BH219" s="413"/>
      <c r="BI219" s="2276"/>
      <c r="BJ219" s="498"/>
      <c r="BK219" s="367"/>
      <c r="BL219" s="99"/>
      <c r="BM219" s="547"/>
      <c r="BN219" s="547"/>
      <c r="BO219" s="665"/>
      <c r="BP219" s="620"/>
      <c r="BQ219" s="672" t="s">
        <v>807</v>
      </c>
      <c r="BR219" s="673" t="s">
        <v>795</v>
      </c>
      <c r="BS219" s="18"/>
    </row>
    <row r="220" spans="1:72" ht="24" customHeight="1">
      <c r="A220"/>
      <c r="B220" s="4505" t="s">
        <v>2281</v>
      </c>
      <c r="C220" s="4596"/>
      <c r="D220" s="490" t="s">
        <v>796</v>
      </c>
      <c r="E220" s="491"/>
      <c r="F220" s="674" t="s">
        <v>156</v>
      </c>
      <c r="G220" s="675"/>
      <c r="H220" s="676"/>
      <c r="I220" s="198" t="s">
        <v>2372</v>
      </c>
      <c r="J220" s="177"/>
      <c r="K220" s="509" t="s">
        <v>156</v>
      </c>
      <c r="L220" s="228"/>
      <c r="M220" s="92"/>
      <c r="N220" s="228"/>
      <c r="O220" s="92"/>
      <c r="P220" s="228"/>
      <c r="Q220" s="95"/>
      <c r="R220" s="308"/>
      <c r="S220" s="1819"/>
      <c r="T220" s="308"/>
      <c r="U220" s="4916" t="s">
        <v>1798</v>
      </c>
      <c r="V220" s="228">
        <v>7</v>
      </c>
      <c r="W220" s="2053"/>
      <c r="X220" s="2253"/>
      <c r="Y220" s="678"/>
      <c r="Z220" s="677"/>
      <c r="AA220" s="678"/>
      <c r="AB220" s="2187"/>
      <c r="AC220" s="2526"/>
      <c r="AD220" s="677"/>
      <c r="AE220" s="100"/>
      <c r="AF220" s="693"/>
      <c r="AG220" s="693"/>
      <c r="AH220" s="542"/>
      <c r="AI220" s="693"/>
      <c r="AJ220" s="693"/>
      <c r="AK220" s="542"/>
      <c r="AL220" s="693"/>
      <c r="AM220" s="693"/>
      <c r="AN220" s="2303"/>
      <c r="AO220" s="4920">
        <v>1</v>
      </c>
      <c r="AP220" s="5546"/>
      <c r="AQ220" s="4921">
        <v>1</v>
      </c>
      <c r="AR220" s="5547"/>
      <c r="AS220" s="5738">
        <v>1</v>
      </c>
      <c r="AT220" s="5548"/>
      <c r="AU220" s="2302"/>
      <c r="AV220" s="680"/>
      <c r="AW220" s="542"/>
      <c r="AX220" s="680"/>
      <c r="AY220" s="2303"/>
      <c r="AZ220" s="2302"/>
      <c r="BA220" s="679"/>
      <c r="BB220" s="542"/>
      <c r="BC220" s="679"/>
      <c r="BD220" s="2303"/>
      <c r="BE220" s="2302"/>
      <c r="BF220" s="679"/>
      <c r="BG220" s="542"/>
      <c r="BH220" s="679"/>
      <c r="BI220" s="2303"/>
      <c r="BJ220" s="2470" t="s">
        <v>809</v>
      </c>
      <c r="BK220" s="1545" t="s">
        <v>810</v>
      </c>
      <c r="BL220" s="99"/>
      <c r="BM220" s="681"/>
      <c r="BN220" s="681"/>
      <c r="BO220" s="665"/>
      <c r="BP220" s="620"/>
      <c r="BQ220" s="672" t="s">
        <v>807</v>
      </c>
      <c r="BR220" s="673" t="s">
        <v>795</v>
      </c>
      <c r="BS220" s="18"/>
      <c r="BT220"/>
    </row>
    <row r="221" spans="1:72" ht="24" customHeight="1">
      <c r="A221"/>
      <c r="B221" s="4505" t="s">
        <v>2281</v>
      </c>
      <c r="C221" s="4597"/>
      <c r="D221" s="490" t="s">
        <v>802</v>
      </c>
      <c r="E221" s="491"/>
      <c r="F221" s="674" t="s">
        <v>156</v>
      </c>
      <c r="G221" s="682"/>
      <c r="H221" s="683"/>
      <c r="I221" s="666" t="s">
        <v>2373</v>
      </c>
      <c r="J221" s="684"/>
      <c r="K221" s="509" t="s">
        <v>156</v>
      </c>
      <c r="L221" s="228"/>
      <c r="M221" s="92"/>
      <c r="N221" s="228"/>
      <c r="O221" s="92"/>
      <c r="P221" s="228"/>
      <c r="Q221" s="95"/>
      <c r="R221" s="308"/>
      <c r="S221" s="1819"/>
      <c r="T221" s="308"/>
      <c r="U221" s="4916" t="s">
        <v>1798</v>
      </c>
      <c r="V221" s="228">
        <v>1</v>
      </c>
      <c r="W221" s="2053"/>
      <c r="X221" s="2253"/>
      <c r="Y221" s="678"/>
      <c r="Z221" s="677"/>
      <c r="AA221" s="678"/>
      <c r="AB221" s="2187"/>
      <c r="AC221" s="2526"/>
      <c r="AD221" s="677"/>
      <c r="AE221" s="100"/>
      <c r="AF221" s="693"/>
      <c r="AG221" s="693"/>
      <c r="AH221" s="542"/>
      <c r="AI221" s="693"/>
      <c r="AJ221" s="693"/>
      <c r="AK221" s="542"/>
      <c r="AL221" s="693"/>
      <c r="AM221" s="693"/>
      <c r="AN221" s="2303"/>
      <c r="AO221" s="4920">
        <v>0</v>
      </c>
      <c r="AP221" s="5546"/>
      <c r="AQ221" s="4921">
        <v>0</v>
      </c>
      <c r="AR221" s="5547"/>
      <c r="AS221" s="5738">
        <v>0</v>
      </c>
      <c r="AT221" s="5548"/>
      <c r="AU221" s="2302"/>
      <c r="AV221" s="680"/>
      <c r="AW221" s="542"/>
      <c r="AX221" s="680"/>
      <c r="AY221" s="2303"/>
      <c r="AZ221" s="2302"/>
      <c r="BA221" s="679"/>
      <c r="BB221" s="542"/>
      <c r="BC221" s="679"/>
      <c r="BD221" s="2303"/>
      <c r="BE221" s="2302"/>
      <c r="BF221" s="679"/>
      <c r="BG221" s="542"/>
      <c r="BH221" s="679"/>
      <c r="BI221" s="2303"/>
      <c r="BJ221" s="2470" t="s">
        <v>812</v>
      </c>
      <c r="BK221" s="1545" t="s">
        <v>813</v>
      </c>
      <c r="BL221" s="99"/>
      <c r="BM221" s="681"/>
      <c r="BN221" s="681"/>
      <c r="BO221" s="665"/>
      <c r="BP221" s="620"/>
      <c r="BQ221" s="672" t="s">
        <v>807</v>
      </c>
      <c r="BR221" s="673" t="s">
        <v>795</v>
      </c>
      <c r="BS221" s="18"/>
      <c r="BT221"/>
    </row>
    <row r="222" spans="1:72" ht="24" customHeight="1">
      <c r="A222"/>
      <c r="B222" s="4598"/>
      <c r="C222" s="4599" t="s">
        <v>814</v>
      </c>
      <c r="D222" s="663"/>
      <c r="E222" s="663"/>
      <c r="F222" s="4584" t="s">
        <v>168</v>
      </c>
      <c r="G222" s="685"/>
      <c r="H222" s="686" t="s">
        <v>815</v>
      </c>
      <c r="I222" s="669"/>
      <c r="J222" s="670"/>
      <c r="K222" s="656" t="s">
        <v>168</v>
      </c>
      <c r="L222" s="657"/>
      <c r="M222" s="657"/>
      <c r="N222" s="657"/>
      <c r="O222" s="657"/>
      <c r="P222" s="657"/>
      <c r="Q222" s="657"/>
      <c r="R222" s="657"/>
      <c r="S222" s="657"/>
      <c r="T222" s="657"/>
      <c r="U222" s="657"/>
      <c r="V222" s="657"/>
      <c r="W222" s="4913"/>
      <c r="X222" s="2251"/>
      <c r="Y222" s="658"/>
      <c r="Z222" s="658"/>
      <c r="AA222" s="658"/>
      <c r="AB222" s="2252"/>
      <c r="AC222" s="2525"/>
      <c r="AD222" s="658"/>
      <c r="AE222" s="658"/>
      <c r="AF222" s="659"/>
      <c r="AG222" s="659"/>
      <c r="AH222" s="659"/>
      <c r="AI222" s="659"/>
      <c r="AJ222" s="659"/>
      <c r="AK222" s="659"/>
      <c r="AL222" s="659"/>
      <c r="AM222" s="659"/>
      <c r="AN222" s="2305"/>
      <c r="AO222" s="2304"/>
      <c r="AP222" s="687"/>
      <c r="AQ222" s="659"/>
      <c r="AR222" s="688"/>
      <c r="AS222" s="2546"/>
      <c r="AT222" s="4922"/>
      <c r="AU222" s="2304"/>
      <c r="AV222" s="688"/>
      <c r="AW222" s="659"/>
      <c r="AX222" s="688"/>
      <c r="AY222" s="2305"/>
      <c r="AZ222" s="2304"/>
      <c r="BA222" s="687"/>
      <c r="BB222" s="659"/>
      <c r="BC222" s="687"/>
      <c r="BD222" s="2305"/>
      <c r="BE222" s="2304"/>
      <c r="BF222" s="687"/>
      <c r="BG222" s="320"/>
      <c r="BH222" s="689"/>
      <c r="BI222" s="2276"/>
      <c r="BJ222" s="498"/>
      <c r="BK222" s="276"/>
      <c r="BL222" s="99"/>
      <c r="BM222" s="547"/>
      <c r="BN222" s="681"/>
      <c r="BO222" s="299" t="s">
        <v>193</v>
      </c>
      <c r="BP222" s="690"/>
      <c r="BQ222" s="691"/>
      <c r="BR222" s="692"/>
      <c r="BS222" s="18"/>
      <c r="BT222"/>
    </row>
    <row r="223" spans="1:72" ht="24" customHeight="1">
      <c r="B223" s="1848"/>
      <c r="C223" s="4601"/>
      <c r="D223" s="490" t="s">
        <v>796</v>
      </c>
      <c r="E223" s="491"/>
      <c r="F223" s="285" t="s">
        <v>156</v>
      </c>
      <c r="G223" s="347"/>
      <c r="H223" s="348"/>
      <c r="I223" s="198" t="s">
        <v>808</v>
      </c>
      <c r="J223" s="177"/>
      <c r="K223" s="162" t="s">
        <v>156</v>
      </c>
      <c r="L223" s="228"/>
      <c r="M223" s="92"/>
      <c r="N223" s="228"/>
      <c r="O223" s="92"/>
      <c r="P223" s="228"/>
      <c r="Q223" s="95"/>
      <c r="R223" s="4923"/>
      <c r="S223" s="4924"/>
      <c r="T223" s="4923"/>
      <c r="U223" s="4925"/>
      <c r="V223" s="4926"/>
      <c r="W223" s="2081" t="s">
        <v>1809</v>
      </c>
      <c r="X223" s="2253"/>
      <c r="Y223" s="678"/>
      <c r="Z223" s="677"/>
      <c r="AA223" s="678"/>
      <c r="AB223" s="2187"/>
      <c r="AC223" s="2526"/>
      <c r="AD223" s="677"/>
      <c r="AE223" s="100"/>
      <c r="AF223" s="693"/>
      <c r="AG223" s="693"/>
      <c r="AH223" s="542"/>
      <c r="AI223" s="693"/>
      <c r="AJ223" s="693"/>
      <c r="AK223" s="542"/>
      <c r="AL223" s="693"/>
      <c r="AM223" s="693"/>
      <c r="AN223" s="2303"/>
      <c r="AO223" s="5738">
        <f>AO220</f>
        <v>1</v>
      </c>
      <c r="AP223" s="679"/>
      <c r="AQ223" s="5738">
        <f>AQ220</f>
        <v>1</v>
      </c>
      <c r="AR223" s="680"/>
      <c r="AS223" s="5738">
        <f>AS220</f>
        <v>1</v>
      </c>
      <c r="AT223" s="4927"/>
      <c r="AU223" s="2302"/>
      <c r="AV223" s="680"/>
      <c r="AW223" s="542"/>
      <c r="AX223" s="680"/>
      <c r="AY223" s="2303"/>
      <c r="AZ223" s="2302"/>
      <c r="BA223" s="679"/>
      <c r="BB223" s="542"/>
      <c r="BC223" s="679"/>
      <c r="BD223" s="2303"/>
      <c r="BE223" s="2302"/>
      <c r="BF223" s="679"/>
      <c r="BG223" s="542"/>
      <c r="BH223" s="679"/>
      <c r="BI223" s="2303"/>
      <c r="BJ223" s="2470" t="s">
        <v>2374</v>
      </c>
      <c r="BK223" s="1545" t="s">
        <v>817</v>
      </c>
      <c r="BL223" s="99"/>
      <c r="BM223" s="547"/>
      <c r="BN223" s="547"/>
      <c r="BO223" s="299" t="s">
        <v>193</v>
      </c>
      <c r="BP223" s="620"/>
      <c r="BQ223" s="694"/>
      <c r="BR223" s="159" t="s">
        <v>795</v>
      </c>
      <c r="BS223" s="18"/>
    </row>
    <row r="224" spans="1:72" ht="24" customHeight="1">
      <c r="B224" s="1848"/>
      <c r="C224" s="4602"/>
      <c r="D224" s="490" t="s">
        <v>802</v>
      </c>
      <c r="E224" s="491"/>
      <c r="F224" s="285" t="s">
        <v>156</v>
      </c>
      <c r="G224" s="384"/>
      <c r="H224" s="385"/>
      <c r="I224" s="666" t="s">
        <v>811</v>
      </c>
      <c r="J224" s="684"/>
      <c r="K224" s="162" t="s">
        <v>156</v>
      </c>
      <c r="L224" s="228"/>
      <c r="M224" s="92"/>
      <c r="N224" s="228"/>
      <c r="O224" s="92"/>
      <c r="P224" s="228"/>
      <c r="Q224" s="95"/>
      <c r="R224" s="4923"/>
      <c r="S224" s="4924"/>
      <c r="T224" s="4923"/>
      <c r="U224" s="4925"/>
      <c r="V224" s="4926"/>
      <c r="W224" s="2053" t="s">
        <v>1809</v>
      </c>
      <c r="X224" s="2253"/>
      <c r="Y224" s="678"/>
      <c r="Z224" s="677"/>
      <c r="AA224" s="678"/>
      <c r="AB224" s="2187"/>
      <c r="AC224" s="2526"/>
      <c r="AD224" s="677"/>
      <c r="AE224" s="100"/>
      <c r="AF224" s="693"/>
      <c r="AG224" s="693"/>
      <c r="AH224" s="542"/>
      <c r="AI224" s="693"/>
      <c r="AJ224" s="693"/>
      <c r="AK224" s="542"/>
      <c r="AL224" s="693"/>
      <c r="AM224" s="693"/>
      <c r="AN224" s="2303"/>
      <c r="AO224" s="5738">
        <f>AO221</f>
        <v>0</v>
      </c>
      <c r="AP224" s="679"/>
      <c r="AQ224" s="5738">
        <f>AQ221</f>
        <v>0</v>
      </c>
      <c r="AR224" s="680"/>
      <c r="AS224" s="5738">
        <f>AS221</f>
        <v>0</v>
      </c>
      <c r="AT224" s="4927"/>
      <c r="AU224" s="2302"/>
      <c r="AV224" s="680"/>
      <c r="AW224" s="542"/>
      <c r="AX224" s="680"/>
      <c r="AY224" s="2303"/>
      <c r="AZ224" s="2302"/>
      <c r="BA224" s="679"/>
      <c r="BB224" s="542"/>
      <c r="BC224" s="679"/>
      <c r="BD224" s="2303"/>
      <c r="BE224" s="2302"/>
      <c r="BF224" s="679"/>
      <c r="BG224" s="542"/>
      <c r="BH224" s="679"/>
      <c r="BI224" s="2303"/>
      <c r="BJ224" s="2470" t="s">
        <v>2375</v>
      </c>
      <c r="BK224" s="1545" t="s">
        <v>819</v>
      </c>
      <c r="BL224" s="99"/>
      <c r="BM224" s="547"/>
      <c r="BN224" s="547"/>
      <c r="BO224" s="299" t="s">
        <v>193</v>
      </c>
      <c r="BP224" s="620"/>
      <c r="BQ224" s="694"/>
      <c r="BR224" s="159" t="s">
        <v>795</v>
      </c>
      <c r="BS224" s="18"/>
    </row>
    <row r="225" spans="2:71" ht="24" customHeight="1">
      <c r="B225" s="4505" t="s">
        <v>2281</v>
      </c>
      <c r="C225" s="4599" t="s">
        <v>820</v>
      </c>
      <c r="D225" s="663"/>
      <c r="E225" s="695"/>
      <c r="F225" s="4584" t="s">
        <v>168</v>
      </c>
      <c r="G225" s="685"/>
      <c r="H225" s="686" t="s">
        <v>2376</v>
      </c>
      <c r="I225" s="669"/>
      <c r="J225" s="670"/>
      <c r="K225" s="656" t="s">
        <v>168</v>
      </c>
      <c r="L225" s="657"/>
      <c r="M225" s="657"/>
      <c r="N225" s="657"/>
      <c r="O225" s="657"/>
      <c r="P225" s="657"/>
      <c r="Q225" s="657"/>
      <c r="R225" s="657"/>
      <c r="S225" s="657"/>
      <c r="T225" s="657"/>
      <c r="U225" s="657"/>
      <c r="V225" s="657"/>
      <c r="W225" s="4913"/>
      <c r="X225" s="2251"/>
      <c r="Y225" s="658"/>
      <c r="Z225" s="658"/>
      <c r="AA225" s="658"/>
      <c r="AB225" s="2252"/>
      <c r="AC225" s="2525"/>
      <c r="AD225" s="658"/>
      <c r="AE225" s="658"/>
      <c r="AF225" s="659"/>
      <c r="AG225" s="659"/>
      <c r="AH225" s="659"/>
      <c r="AI225" s="659"/>
      <c r="AJ225" s="659"/>
      <c r="AK225" s="659"/>
      <c r="AL225" s="659"/>
      <c r="AM225" s="659"/>
      <c r="AN225" s="2305"/>
      <c r="AO225" s="2304"/>
      <c r="AP225" s="661"/>
      <c r="AQ225" s="659"/>
      <c r="AR225" s="671"/>
      <c r="AS225" s="2546"/>
      <c r="AT225" s="4919"/>
      <c r="AU225" s="2304"/>
      <c r="AV225" s="671"/>
      <c r="AW225" s="659"/>
      <c r="AX225" s="671"/>
      <c r="AY225" s="2305"/>
      <c r="AZ225" s="2304"/>
      <c r="BA225" s="661"/>
      <c r="BB225" s="659"/>
      <c r="BC225" s="661"/>
      <c r="BD225" s="2305"/>
      <c r="BE225" s="2304"/>
      <c r="BF225" s="661"/>
      <c r="BG225" s="320"/>
      <c r="BH225" s="413"/>
      <c r="BI225" s="2276"/>
      <c r="BJ225" s="498"/>
      <c r="BK225" s="276"/>
      <c r="BL225" s="99"/>
      <c r="BM225" s="547"/>
      <c r="BN225" s="547"/>
      <c r="BO225" s="665"/>
      <c r="BP225" s="620" t="s">
        <v>822</v>
      </c>
      <c r="BQ225" s="620" t="s">
        <v>740</v>
      </c>
      <c r="BR225" s="159"/>
      <c r="BS225" s="18"/>
    </row>
    <row r="226" spans="2:71" ht="24" customHeight="1">
      <c r="B226" s="4505" t="s">
        <v>2281</v>
      </c>
      <c r="C226" s="4601"/>
      <c r="D226" s="490" t="s">
        <v>823</v>
      </c>
      <c r="E226" s="491"/>
      <c r="F226" s="285" t="s">
        <v>732</v>
      </c>
      <c r="G226" s="666"/>
      <c r="H226" s="347"/>
      <c r="I226" s="666" t="s">
        <v>2377</v>
      </c>
      <c r="J226" s="666"/>
      <c r="K226" s="162" t="s">
        <v>734</v>
      </c>
      <c r="L226" s="92">
        <v>3665</v>
      </c>
      <c r="M226" s="92"/>
      <c r="N226" s="92">
        <v>5878</v>
      </c>
      <c r="O226" s="92"/>
      <c r="P226" s="228"/>
      <c r="Q226" s="95"/>
      <c r="R226" s="297">
        <v>2437</v>
      </c>
      <c r="S226" s="1842" t="s">
        <v>746</v>
      </c>
      <c r="T226" s="297">
        <v>3385</v>
      </c>
      <c r="U226" s="4916" t="s">
        <v>1798</v>
      </c>
      <c r="V226" s="228">
        <v>115</v>
      </c>
      <c r="W226" s="2053"/>
      <c r="X226" s="2250">
        <v>29</v>
      </c>
      <c r="Y226" s="92">
        <v>0</v>
      </c>
      <c r="Z226" s="612">
        <v>50</v>
      </c>
      <c r="AA226" s="92">
        <v>0</v>
      </c>
      <c r="AB226" s="2187"/>
      <c r="AC226" s="2131">
        <v>29</v>
      </c>
      <c r="AD226" s="612">
        <v>50</v>
      </c>
      <c r="AE226" s="100"/>
      <c r="AF226" s="647">
        <v>29</v>
      </c>
      <c r="AG226" s="647">
        <v>50</v>
      </c>
      <c r="AH226" s="542"/>
      <c r="AI226" s="647">
        <v>29</v>
      </c>
      <c r="AJ226" s="647">
        <v>50</v>
      </c>
      <c r="AK226" s="542"/>
      <c r="AL226" s="647">
        <v>29</v>
      </c>
      <c r="AM226" s="647">
        <v>50</v>
      </c>
      <c r="AN226" s="2303"/>
      <c r="AO226" s="2260">
        <v>272</v>
      </c>
      <c r="AP226" s="648" t="s">
        <v>748</v>
      </c>
      <c r="AQ226" s="647">
        <v>209</v>
      </c>
      <c r="AR226" s="648" t="s">
        <v>748</v>
      </c>
      <c r="AS226" s="795">
        <v>122</v>
      </c>
      <c r="AT226" s="4918" t="s">
        <v>748</v>
      </c>
      <c r="AU226" s="2260">
        <v>811</v>
      </c>
      <c r="AV226" s="648" t="s">
        <v>801</v>
      </c>
      <c r="AW226" s="647">
        <v>2120</v>
      </c>
      <c r="AX226" s="648" t="s">
        <v>801</v>
      </c>
      <c r="AY226" s="2303"/>
      <c r="AZ226" s="2398">
        <v>116</v>
      </c>
      <c r="BA226" s="648" t="s">
        <v>751</v>
      </c>
      <c r="BB226" s="649">
        <v>114</v>
      </c>
      <c r="BC226" s="648" t="s">
        <v>751</v>
      </c>
      <c r="BD226" s="2303"/>
      <c r="BE226" s="2302"/>
      <c r="BF226" s="543"/>
      <c r="BG226" s="542"/>
      <c r="BH226" s="543"/>
      <c r="BI226" s="2303"/>
      <c r="BJ226" s="498" t="s">
        <v>825</v>
      </c>
      <c r="BK226" s="276" t="s">
        <v>826</v>
      </c>
      <c r="BL226" s="99"/>
      <c r="BM226" s="696"/>
      <c r="BN226" s="547"/>
      <c r="BO226" s="665"/>
      <c r="BP226" s="620" t="s">
        <v>822</v>
      </c>
      <c r="BQ226" s="620" t="s">
        <v>740</v>
      </c>
      <c r="BR226" s="159"/>
      <c r="BS226" s="18"/>
    </row>
    <row r="227" spans="2:71" ht="24" customHeight="1">
      <c r="B227" s="4505" t="s">
        <v>2281</v>
      </c>
      <c r="C227" s="4603"/>
      <c r="D227" s="490" t="s">
        <v>827</v>
      </c>
      <c r="E227" s="491"/>
      <c r="F227" s="285" t="s">
        <v>732</v>
      </c>
      <c r="G227" s="666"/>
      <c r="H227" s="106"/>
      <c r="I227" s="45" t="s">
        <v>2378</v>
      </c>
      <c r="J227" s="45"/>
      <c r="K227" s="162" t="s">
        <v>734</v>
      </c>
      <c r="L227" s="92">
        <v>2502</v>
      </c>
      <c r="M227" s="92"/>
      <c r="N227" s="92">
        <v>2482</v>
      </c>
      <c r="O227" s="92"/>
      <c r="P227" s="228"/>
      <c r="Q227" s="95"/>
      <c r="R227" s="297">
        <v>1027</v>
      </c>
      <c r="S227" s="1842" t="s">
        <v>746</v>
      </c>
      <c r="T227" s="297">
        <v>1020</v>
      </c>
      <c r="U227" s="4916" t="s">
        <v>1798</v>
      </c>
      <c r="V227" s="228">
        <v>967</v>
      </c>
      <c r="W227" s="2053"/>
      <c r="X227" s="2250">
        <v>148</v>
      </c>
      <c r="Y227" s="92">
        <v>0</v>
      </c>
      <c r="Z227" s="612">
        <v>173</v>
      </c>
      <c r="AA227" s="92">
        <v>0</v>
      </c>
      <c r="AB227" s="2187"/>
      <c r="AC227" s="2131">
        <v>148</v>
      </c>
      <c r="AD227" s="612">
        <v>173</v>
      </c>
      <c r="AE227" s="100"/>
      <c r="AF227" s="647">
        <v>148</v>
      </c>
      <c r="AG227" s="647">
        <v>173</v>
      </c>
      <c r="AH227" s="542"/>
      <c r="AI227" s="647">
        <v>148</v>
      </c>
      <c r="AJ227" s="647">
        <v>173</v>
      </c>
      <c r="AK227" s="542"/>
      <c r="AL227" s="647">
        <v>148</v>
      </c>
      <c r="AM227" s="647">
        <v>173</v>
      </c>
      <c r="AN227" s="2303"/>
      <c r="AO227" s="2260">
        <v>778</v>
      </c>
      <c r="AP227" s="648" t="s">
        <v>748</v>
      </c>
      <c r="AQ227" s="647">
        <v>694</v>
      </c>
      <c r="AR227" s="648" t="s">
        <v>748</v>
      </c>
      <c r="AS227" s="795">
        <v>623</v>
      </c>
      <c r="AT227" s="4918" t="s">
        <v>748</v>
      </c>
      <c r="AU227" s="2260">
        <v>292</v>
      </c>
      <c r="AV227" s="648" t="s">
        <v>801</v>
      </c>
      <c r="AW227" s="647">
        <v>325</v>
      </c>
      <c r="AX227" s="648" t="s">
        <v>801</v>
      </c>
      <c r="AY227" s="2303"/>
      <c r="AZ227" s="2398">
        <v>257</v>
      </c>
      <c r="BA227" s="648" t="s">
        <v>751</v>
      </c>
      <c r="BB227" s="649">
        <v>270</v>
      </c>
      <c r="BC227" s="648" t="s">
        <v>751</v>
      </c>
      <c r="BD227" s="2303"/>
      <c r="BE227" s="2302"/>
      <c r="BF227" s="543"/>
      <c r="BG227" s="542"/>
      <c r="BH227" s="543"/>
      <c r="BI227" s="2303"/>
      <c r="BJ227" s="498" t="s">
        <v>825</v>
      </c>
      <c r="BK227" s="276" t="s">
        <v>829</v>
      </c>
      <c r="BL227" s="99"/>
      <c r="BM227" s="547"/>
      <c r="BN227" s="547"/>
      <c r="BO227" s="665"/>
      <c r="BP227" s="620" t="s">
        <v>822</v>
      </c>
      <c r="BQ227" s="620" t="s">
        <v>740</v>
      </c>
      <c r="BR227" s="159"/>
      <c r="BS227" s="18"/>
    </row>
    <row r="228" spans="2:71" ht="24" customHeight="1">
      <c r="B228" s="4505" t="s">
        <v>2281</v>
      </c>
      <c r="C228" s="4602"/>
      <c r="D228" s="490" t="s">
        <v>830</v>
      </c>
      <c r="E228" s="491"/>
      <c r="F228" s="285" t="s">
        <v>732</v>
      </c>
      <c r="G228" s="666"/>
      <c r="H228" s="384"/>
      <c r="I228" s="666" t="s">
        <v>2379</v>
      </c>
      <c r="J228" s="666"/>
      <c r="K228" s="162" t="s">
        <v>734</v>
      </c>
      <c r="L228" s="92">
        <v>157</v>
      </c>
      <c r="M228" s="92"/>
      <c r="N228" s="92">
        <v>121</v>
      </c>
      <c r="O228" s="92"/>
      <c r="P228" s="228"/>
      <c r="Q228" s="95"/>
      <c r="R228" s="297">
        <v>137</v>
      </c>
      <c r="S228" s="1842" t="s">
        <v>746</v>
      </c>
      <c r="T228" s="297">
        <v>97</v>
      </c>
      <c r="U228" s="4916" t="s">
        <v>1798</v>
      </c>
      <c r="V228" s="228">
        <v>14</v>
      </c>
      <c r="W228" s="2053"/>
      <c r="X228" s="2250">
        <v>6</v>
      </c>
      <c r="Y228" s="92">
        <v>0</v>
      </c>
      <c r="Z228" s="612">
        <v>8</v>
      </c>
      <c r="AA228" s="92">
        <v>0</v>
      </c>
      <c r="AB228" s="2187"/>
      <c r="AC228" s="2131">
        <v>6</v>
      </c>
      <c r="AD228" s="612">
        <v>8</v>
      </c>
      <c r="AE228" s="100"/>
      <c r="AF228" s="647">
        <v>6</v>
      </c>
      <c r="AG228" s="647">
        <v>8</v>
      </c>
      <c r="AH228" s="542"/>
      <c r="AI228" s="647">
        <v>6</v>
      </c>
      <c r="AJ228" s="647">
        <v>8</v>
      </c>
      <c r="AK228" s="542"/>
      <c r="AL228" s="647">
        <v>6</v>
      </c>
      <c r="AM228" s="647">
        <v>8</v>
      </c>
      <c r="AN228" s="2303"/>
      <c r="AO228" s="2260">
        <v>4</v>
      </c>
      <c r="AP228" s="648" t="s">
        <v>748</v>
      </c>
      <c r="AQ228" s="647">
        <v>6</v>
      </c>
      <c r="AR228" s="648" t="s">
        <v>748</v>
      </c>
      <c r="AS228" s="795">
        <v>5</v>
      </c>
      <c r="AT228" s="4918" t="s">
        <v>748</v>
      </c>
      <c r="AU228" s="2260">
        <v>2</v>
      </c>
      <c r="AV228" s="648" t="s">
        <v>801</v>
      </c>
      <c r="AW228" s="647">
        <v>1</v>
      </c>
      <c r="AX228" s="648" t="s">
        <v>801</v>
      </c>
      <c r="AY228" s="2303"/>
      <c r="AZ228" s="2398">
        <v>8</v>
      </c>
      <c r="BA228" s="648" t="s">
        <v>751</v>
      </c>
      <c r="BB228" s="649">
        <v>9</v>
      </c>
      <c r="BC228" s="648" t="s">
        <v>751</v>
      </c>
      <c r="BD228" s="2303"/>
      <c r="BE228" s="2302"/>
      <c r="BF228" s="543"/>
      <c r="BG228" s="542"/>
      <c r="BH228" s="543"/>
      <c r="BI228" s="2303"/>
      <c r="BJ228" s="498" t="s">
        <v>825</v>
      </c>
      <c r="BK228" s="276" t="s">
        <v>832</v>
      </c>
      <c r="BL228" s="99"/>
      <c r="BM228" s="547"/>
      <c r="BN228" s="547"/>
      <c r="BO228" s="665"/>
      <c r="BP228" s="620" t="s">
        <v>822</v>
      </c>
      <c r="BQ228" s="620" t="s">
        <v>740</v>
      </c>
      <c r="BR228" s="159"/>
      <c r="BS228" s="18"/>
    </row>
    <row r="229" spans="2:71" ht="24" customHeight="1">
      <c r="B229" s="4505" t="s">
        <v>2281</v>
      </c>
      <c r="C229" s="4604" t="s">
        <v>833</v>
      </c>
      <c r="D229" s="583"/>
      <c r="E229" s="583"/>
      <c r="F229" s="285" t="s">
        <v>732</v>
      </c>
      <c r="G229" s="358"/>
      <c r="H229" s="359" t="s">
        <v>2380</v>
      </c>
      <c r="I229" s="359"/>
      <c r="J229" s="643"/>
      <c r="K229" s="162" t="s">
        <v>734</v>
      </c>
      <c r="L229" s="92">
        <v>183</v>
      </c>
      <c r="M229" s="92"/>
      <c r="N229" s="92">
        <v>231</v>
      </c>
      <c r="O229" s="92"/>
      <c r="P229" s="228"/>
      <c r="Q229" s="95"/>
      <c r="R229" s="308">
        <v>1135</v>
      </c>
      <c r="S229" s="1842"/>
      <c r="T229" s="308">
        <v>1097</v>
      </c>
      <c r="U229" s="4916" t="s">
        <v>1812</v>
      </c>
      <c r="V229" s="228">
        <v>1096</v>
      </c>
      <c r="W229" s="2053"/>
      <c r="X229" s="2250">
        <v>183</v>
      </c>
      <c r="Y229" s="151" t="s">
        <v>840</v>
      </c>
      <c r="Z229" s="612">
        <v>231</v>
      </c>
      <c r="AA229" s="151" t="s">
        <v>841</v>
      </c>
      <c r="AB229" s="2187"/>
      <c r="AC229" s="2131">
        <v>183</v>
      </c>
      <c r="AD229" s="612">
        <v>231</v>
      </c>
      <c r="AE229" s="100"/>
      <c r="AF229" s="647">
        <v>183</v>
      </c>
      <c r="AG229" s="647">
        <v>231</v>
      </c>
      <c r="AH229" s="542"/>
      <c r="AI229" s="647">
        <v>183</v>
      </c>
      <c r="AJ229" s="647">
        <v>231</v>
      </c>
      <c r="AK229" s="542"/>
      <c r="AL229" s="647">
        <v>183</v>
      </c>
      <c r="AM229" s="647">
        <v>231</v>
      </c>
      <c r="AN229" s="2303"/>
      <c r="AO229" s="2260">
        <v>0</v>
      </c>
      <c r="AP229" s="543">
        <v>0</v>
      </c>
      <c r="AQ229" s="647">
        <v>0</v>
      </c>
      <c r="AR229" s="543">
        <v>0</v>
      </c>
      <c r="AS229" s="795">
        <v>0</v>
      </c>
      <c r="AT229" s="4885">
        <v>0</v>
      </c>
      <c r="AU229" s="2260">
        <v>0</v>
      </c>
      <c r="AV229" s="543">
        <v>0</v>
      </c>
      <c r="AW229" s="647">
        <v>0</v>
      </c>
      <c r="AX229" s="543">
        <v>0</v>
      </c>
      <c r="AY229" s="2303"/>
      <c r="AZ229" s="2398">
        <v>0</v>
      </c>
      <c r="BA229" s="543">
        <v>0</v>
      </c>
      <c r="BB229" s="649">
        <v>0</v>
      </c>
      <c r="BC229" s="543">
        <v>0</v>
      </c>
      <c r="BD229" s="2303"/>
      <c r="BE229" s="2302"/>
      <c r="BF229" s="543"/>
      <c r="BG229" s="542"/>
      <c r="BH229" s="543"/>
      <c r="BI229" s="2303"/>
      <c r="BJ229" s="498" t="s">
        <v>835</v>
      </c>
      <c r="BK229" s="276" t="s">
        <v>836</v>
      </c>
      <c r="BL229" s="99"/>
      <c r="BM229" s="547"/>
      <c r="BN229" s="547"/>
      <c r="BO229" s="665"/>
      <c r="BP229" s="620" t="s">
        <v>837</v>
      </c>
      <c r="BQ229" s="620"/>
      <c r="BR229" s="159"/>
      <c r="BS229" s="18"/>
    </row>
    <row r="230" spans="2:71" ht="24" customHeight="1">
      <c r="B230" s="4505" t="s">
        <v>2281</v>
      </c>
      <c r="C230" s="4599" t="s">
        <v>843</v>
      </c>
      <c r="D230" s="4605"/>
      <c r="E230" s="4605"/>
      <c r="F230" s="4584" t="s">
        <v>168</v>
      </c>
      <c r="G230" s="685"/>
      <c r="H230" s="686" t="s">
        <v>2381</v>
      </c>
      <c r="I230" s="698"/>
      <c r="J230" s="655"/>
      <c r="K230" s="656" t="s">
        <v>168</v>
      </c>
      <c r="L230" s="657"/>
      <c r="M230" s="657"/>
      <c r="N230" s="657"/>
      <c r="O230" s="657"/>
      <c r="P230" s="657"/>
      <c r="Q230" s="657"/>
      <c r="R230" s="657"/>
      <c r="S230" s="657"/>
      <c r="T230" s="657"/>
      <c r="U230" s="657"/>
      <c r="V230" s="657"/>
      <c r="W230" s="4913"/>
      <c r="X230" s="2251"/>
      <c r="Y230" s="658"/>
      <c r="Z230" s="658"/>
      <c r="AA230" s="658"/>
      <c r="AB230" s="2252"/>
      <c r="AC230" s="2525"/>
      <c r="AD230" s="658"/>
      <c r="AE230" s="658"/>
      <c r="AF230" s="659"/>
      <c r="AG230" s="659"/>
      <c r="AH230" s="659"/>
      <c r="AI230" s="659"/>
      <c r="AJ230" s="659"/>
      <c r="AK230" s="659"/>
      <c r="AL230" s="659"/>
      <c r="AM230" s="659"/>
      <c r="AN230" s="2305"/>
      <c r="AO230" s="2304"/>
      <c r="AP230" s="661"/>
      <c r="AQ230" s="659"/>
      <c r="AR230" s="661"/>
      <c r="AS230" s="2546"/>
      <c r="AT230" s="4917"/>
      <c r="AU230" s="2304"/>
      <c r="AV230" s="661"/>
      <c r="AW230" s="659"/>
      <c r="AX230" s="661"/>
      <c r="AY230" s="2305"/>
      <c r="AZ230" s="2304"/>
      <c r="BA230" s="661"/>
      <c r="BB230" s="659"/>
      <c r="BC230" s="661"/>
      <c r="BD230" s="2305"/>
      <c r="BE230" s="2304"/>
      <c r="BF230" s="661"/>
      <c r="BG230" s="320"/>
      <c r="BH230" s="413"/>
      <c r="BI230" s="2276"/>
      <c r="BJ230" s="498"/>
      <c r="BK230" s="276"/>
      <c r="BL230" s="99"/>
      <c r="BM230" s="547"/>
      <c r="BN230" s="547"/>
      <c r="BO230" s="665"/>
      <c r="BP230" s="699"/>
      <c r="BQ230" s="699"/>
      <c r="BR230" s="700"/>
      <c r="BS230" s="18"/>
    </row>
    <row r="231" spans="2:71" ht="24" customHeight="1">
      <c r="B231" s="4505" t="s">
        <v>2281</v>
      </c>
      <c r="C231" s="4606"/>
      <c r="D231" s="490" t="s">
        <v>823</v>
      </c>
      <c r="E231" s="491"/>
      <c r="F231" s="285" t="s">
        <v>732</v>
      </c>
      <c r="G231" s="347"/>
      <c r="H231" s="348"/>
      <c r="I231" s="495" t="s">
        <v>2377</v>
      </c>
      <c r="J231" s="643"/>
      <c r="K231" s="162" t="s">
        <v>1443</v>
      </c>
      <c r="L231" s="644"/>
      <c r="M231" s="543"/>
      <c r="N231" s="644"/>
      <c r="O231" s="543"/>
      <c r="P231" s="644"/>
      <c r="Q231" s="652"/>
      <c r="R231" s="308">
        <v>0</v>
      </c>
      <c r="S231" s="4915"/>
      <c r="T231" s="308">
        <v>0</v>
      </c>
      <c r="U231" s="648"/>
      <c r="V231" s="228">
        <v>0</v>
      </c>
      <c r="W231" s="1242" t="s">
        <v>1814</v>
      </c>
      <c r="X231" s="2497"/>
      <c r="Y231" s="543"/>
      <c r="Z231" s="693"/>
      <c r="AA231" s="543"/>
      <c r="AB231" s="2303"/>
      <c r="AC231" s="2458"/>
      <c r="AD231" s="693"/>
      <c r="AE231" s="542"/>
      <c r="AF231" s="693"/>
      <c r="AG231" s="693"/>
      <c r="AH231" s="542"/>
      <c r="AI231" s="693"/>
      <c r="AJ231" s="693"/>
      <c r="AK231" s="542"/>
      <c r="AL231" s="693"/>
      <c r="AM231" s="693"/>
      <c r="AN231" s="2303"/>
      <c r="AO231" s="2302">
        <v>0</v>
      </c>
      <c r="AP231" s="543"/>
      <c r="AQ231" s="542">
        <v>0</v>
      </c>
      <c r="AR231" s="543"/>
      <c r="AS231" s="795">
        <v>0</v>
      </c>
      <c r="AT231" s="4885"/>
      <c r="AU231" s="2302"/>
      <c r="AV231" s="543"/>
      <c r="AW231" s="542"/>
      <c r="AX231" s="543"/>
      <c r="AY231" s="2303"/>
      <c r="AZ231" s="2302"/>
      <c r="BA231" s="543"/>
      <c r="BB231" s="542"/>
      <c r="BC231" s="543"/>
      <c r="BD231" s="2303"/>
      <c r="BE231" s="2302"/>
      <c r="BF231" s="543"/>
      <c r="BG231" s="542"/>
      <c r="BH231" s="543"/>
      <c r="BI231" s="2303"/>
      <c r="BJ231" s="4928" t="s">
        <v>2382</v>
      </c>
      <c r="BK231" s="276" t="s">
        <v>2383</v>
      </c>
      <c r="BL231" s="99"/>
      <c r="BM231" s="696"/>
      <c r="BN231" s="547"/>
      <c r="BO231" s="665"/>
      <c r="BP231" s="620"/>
      <c r="BQ231" s="672" t="s">
        <v>807</v>
      </c>
      <c r="BR231" s="159"/>
      <c r="BS231" s="18"/>
    </row>
    <row r="232" spans="2:71" ht="24" customHeight="1">
      <c r="B232" s="4505" t="s">
        <v>2281</v>
      </c>
      <c r="C232" s="4603"/>
      <c r="D232" s="490" t="s">
        <v>827</v>
      </c>
      <c r="E232" s="491"/>
      <c r="F232" s="285" t="s">
        <v>732</v>
      </c>
      <c r="G232" s="106"/>
      <c r="H232" s="353"/>
      <c r="I232" s="495" t="s">
        <v>2384</v>
      </c>
      <c r="J232" s="643"/>
      <c r="K232" s="162" t="s">
        <v>734</v>
      </c>
      <c r="L232" s="644"/>
      <c r="M232" s="543"/>
      <c r="N232" s="644"/>
      <c r="O232" s="543"/>
      <c r="P232" s="644"/>
      <c r="Q232" s="652"/>
      <c r="R232" s="308">
        <v>1</v>
      </c>
      <c r="S232" s="4915"/>
      <c r="T232" s="308">
        <v>4</v>
      </c>
      <c r="U232" s="648"/>
      <c r="V232" s="228">
        <v>4</v>
      </c>
      <c r="W232" s="1242" t="s">
        <v>1815</v>
      </c>
      <c r="X232" s="2497"/>
      <c r="Y232" s="543"/>
      <c r="Z232" s="693"/>
      <c r="AA232" s="543"/>
      <c r="AB232" s="2303"/>
      <c r="AC232" s="2458"/>
      <c r="AD232" s="693"/>
      <c r="AE232" s="542"/>
      <c r="AF232" s="693"/>
      <c r="AG232" s="693"/>
      <c r="AH232" s="542"/>
      <c r="AI232" s="693"/>
      <c r="AJ232" s="693"/>
      <c r="AK232" s="542"/>
      <c r="AL232" s="693"/>
      <c r="AM232" s="693"/>
      <c r="AN232" s="2303"/>
      <c r="AO232" s="2302">
        <v>18</v>
      </c>
      <c r="AP232" s="543"/>
      <c r="AQ232" s="542">
        <v>22</v>
      </c>
      <c r="AR232" s="543"/>
      <c r="AS232" s="795">
        <v>35</v>
      </c>
      <c r="AT232" s="4885"/>
      <c r="AU232" s="2302"/>
      <c r="AV232" s="543"/>
      <c r="AW232" s="542"/>
      <c r="AX232" s="543"/>
      <c r="AY232" s="2303"/>
      <c r="AZ232" s="2302"/>
      <c r="BA232" s="543"/>
      <c r="BB232" s="542"/>
      <c r="BC232" s="543"/>
      <c r="BD232" s="2303"/>
      <c r="BE232" s="2302"/>
      <c r="BF232" s="543"/>
      <c r="BG232" s="542"/>
      <c r="BH232" s="543"/>
      <c r="BI232" s="2303"/>
      <c r="BJ232" s="2470" t="s">
        <v>2385</v>
      </c>
      <c r="BK232" s="276" t="s">
        <v>2386</v>
      </c>
      <c r="BL232" s="99"/>
      <c r="BM232" s="547"/>
      <c r="BN232" s="547"/>
      <c r="BO232" s="665"/>
      <c r="BP232" s="620"/>
      <c r="BQ232" s="672" t="s">
        <v>807</v>
      </c>
      <c r="BR232" s="159"/>
      <c r="BS232" s="18"/>
    </row>
    <row r="233" spans="2:71" ht="24" customHeight="1">
      <c r="B233" s="4505" t="s">
        <v>2281</v>
      </c>
      <c r="C233" s="4602"/>
      <c r="D233" s="490" t="s">
        <v>830</v>
      </c>
      <c r="E233" s="491"/>
      <c r="F233" s="285" t="s">
        <v>732</v>
      </c>
      <c r="G233" s="384"/>
      <c r="H233" s="385"/>
      <c r="I233" s="495" t="s">
        <v>2379</v>
      </c>
      <c r="J233" s="643"/>
      <c r="K233" s="162" t="s">
        <v>734</v>
      </c>
      <c r="L233" s="644"/>
      <c r="M233" s="543"/>
      <c r="N233" s="644"/>
      <c r="O233" s="543"/>
      <c r="P233" s="644"/>
      <c r="Q233" s="652"/>
      <c r="R233" s="308">
        <v>4</v>
      </c>
      <c r="S233" s="4915"/>
      <c r="T233" s="308">
        <v>4</v>
      </c>
      <c r="U233" s="648"/>
      <c r="V233" s="228">
        <v>4</v>
      </c>
      <c r="W233" s="1242" t="s">
        <v>1816</v>
      </c>
      <c r="X233" s="2497"/>
      <c r="Y233" s="543"/>
      <c r="Z233" s="693"/>
      <c r="AA233" s="543"/>
      <c r="AB233" s="2303"/>
      <c r="AC233" s="2458"/>
      <c r="AD233" s="693"/>
      <c r="AE233" s="542"/>
      <c r="AF233" s="693"/>
      <c r="AG233" s="693"/>
      <c r="AH233" s="542"/>
      <c r="AI233" s="693"/>
      <c r="AJ233" s="693"/>
      <c r="AK233" s="542"/>
      <c r="AL233" s="693"/>
      <c r="AM233" s="693"/>
      <c r="AN233" s="2303"/>
      <c r="AO233" s="2302">
        <v>2</v>
      </c>
      <c r="AP233" s="543"/>
      <c r="AQ233" s="542">
        <v>1</v>
      </c>
      <c r="AR233" s="543"/>
      <c r="AS233" s="795">
        <v>1</v>
      </c>
      <c r="AT233" s="4885"/>
      <c r="AU233" s="2302"/>
      <c r="AV233" s="543"/>
      <c r="AW233" s="542"/>
      <c r="AX233" s="543"/>
      <c r="AY233" s="2303"/>
      <c r="AZ233" s="2302"/>
      <c r="BA233" s="543"/>
      <c r="BB233" s="542"/>
      <c r="BC233" s="543"/>
      <c r="BD233" s="2303"/>
      <c r="BE233" s="2302"/>
      <c r="BF233" s="543"/>
      <c r="BG233" s="542"/>
      <c r="BH233" s="543"/>
      <c r="BI233" s="2303"/>
      <c r="BJ233" s="2470" t="s">
        <v>2387</v>
      </c>
      <c r="BK233" s="276" t="s">
        <v>2388</v>
      </c>
      <c r="BL233" s="99"/>
      <c r="BM233" s="547"/>
      <c r="BN233" s="547"/>
      <c r="BO233" s="665"/>
      <c r="BP233" s="620"/>
      <c r="BQ233" s="672" t="s">
        <v>807</v>
      </c>
      <c r="BR233" s="159"/>
      <c r="BS233" s="18"/>
    </row>
    <row r="234" spans="2:71" ht="24" customHeight="1">
      <c r="B234" s="4505" t="s">
        <v>2281</v>
      </c>
      <c r="C234" s="306" t="s">
        <v>849</v>
      </c>
      <c r="D234" s="701"/>
      <c r="E234" s="701"/>
      <c r="F234" s="285" t="s">
        <v>742</v>
      </c>
      <c r="G234" s="358"/>
      <c r="H234" s="359" t="s">
        <v>2389</v>
      </c>
      <c r="I234" s="359"/>
      <c r="J234" s="643"/>
      <c r="K234" s="162" t="s">
        <v>734</v>
      </c>
      <c r="L234" s="644"/>
      <c r="M234" s="543"/>
      <c r="N234" s="644"/>
      <c r="O234" s="543"/>
      <c r="P234" s="644"/>
      <c r="Q234" s="652"/>
      <c r="R234" s="308">
        <v>192</v>
      </c>
      <c r="S234" s="4915"/>
      <c r="T234" s="308">
        <v>201</v>
      </c>
      <c r="U234" s="648"/>
      <c r="V234" s="228">
        <v>201</v>
      </c>
      <c r="W234" s="2079"/>
      <c r="X234" s="2302"/>
      <c r="Y234" s="543"/>
      <c r="Z234" s="649">
        <v>1</v>
      </c>
      <c r="AA234" s="543"/>
      <c r="AB234" s="2303"/>
      <c r="AC234" s="2127"/>
      <c r="AD234" s="649">
        <v>1</v>
      </c>
      <c r="AE234" s="542"/>
      <c r="AF234" s="542"/>
      <c r="AG234" s="649">
        <v>1</v>
      </c>
      <c r="AH234" s="542"/>
      <c r="AI234" s="542"/>
      <c r="AJ234" s="649">
        <v>1</v>
      </c>
      <c r="AK234" s="542"/>
      <c r="AL234" s="542"/>
      <c r="AM234" s="649">
        <v>1</v>
      </c>
      <c r="AN234" s="2303"/>
      <c r="AO234" s="2302">
        <f>SUM(AO231:AO233)</f>
        <v>20</v>
      </c>
      <c r="AP234" s="543"/>
      <c r="AQ234" s="647">
        <f>SUM(AQ231:AQ233)</f>
        <v>23</v>
      </c>
      <c r="AR234" s="543"/>
      <c r="AS234" s="795">
        <f>SUM(AS231:AS233)</f>
        <v>36</v>
      </c>
      <c r="AT234" s="4885"/>
      <c r="AU234" s="2302"/>
      <c r="AV234" s="543"/>
      <c r="AW234" s="649">
        <v>1</v>
      </c>
      <c r="AX234" s="543"/>
      <c r="AY234" s="2303"/>
      <c r="AZ234" s="2302"/>
      <c r="BA234" s="543"/>
      <c r="BB234" s="649">
        <v>3</v>
      </c>
      <c r="BC234" s="543"/>
      <c r="BD234" s="2303"/>
      <c r="BE234" s="2302"/>
      <c r="BF234" s="543"/>
      <c r="BG234" s="542"/>
      <c r="BH234" s="543"/>
      <c r="BI234" s="2303"/>
      <c r="BJ234" s="2470"/>
      <c r="BK234" s="276"/>
      <c r="BL234" s="99"/>
      <c r="BM234" s="547"/>
      <c r="BN234" s="547"/>
      <c r="BO234" s="665"/>
      <c r="BP234" s="620" t="s">
        <v>852</v>
      </c>
      <c r="BQ234" s="154" t="s">
        <v>853</v>
      </c>
      <c r="BR234" s="159"/>
      <c r="BS234" s="18"/>
    </row>
    <row r="235" spans="2:71" ht="24" customHeight="1">
      <c r="B235" s="4505" t="s">
        <v>2281</v>
      </c>
      <c r="C235" s="306" t="s">
        <v>857</v>
      </c>
      <c r="D235" s="701"/>
      <c r="E235" s="703"/>
      <c r="F235" s="285" t="s">
        <v>156</v>
      </c>
      <c r="G235" s="358"/>
      <c r="H235" s="359" t="s">
        <v>2390</v>
      </c>
      <c r="I235" s="359"/>
      <c r="J235" s="643"/>
      <c r="K235" s="162" t="s">
        <v>156</v>
      </c>
      <c r="L235" s="228"/>
      <c r="M235" s="92"/>
      <c r="N235" s="228"/>
      <c r="O235" s="92"/>
      <c r="P235" s="228"/>
      <c r="Q235" s="95"/>
      <c r="R235" s="4929">
        <f>R234/R229*100</f>
        <v>16.916299559471366</v>
      </c>
      <c r="S235" s="1842"/>
      <c r="T235" s="4929">
        <f>T234/T229*100</f>
        <v>18.322698268003645</v>
      </c>
      <c r="U235" s="151"/>
      <c r="V235" s="4929">
        <f>V234/V229*100</f>
        <v>18.339416058394161</v>
      </c>
      <c r="W235" s="2053"/>
      <c r="X235" s="2186"/>
      <c r="Y235" s="92"/>
      <c r="Z235" s="702">
        <v>1</v>
      </c>
      <c r="AA235" s="92"/>
      <c r="AB235" s="2187"/>
      <c r="AC235" s="2111"/>
      <c r="AD235" s="702">
        <v>1</v>
      </c>
      <c r="AE235" s="100"/>
      <c r="AF235" s="542"/>
      <c r="AG235" s="649">
        <v>1</v>
      </c>
      <c r="AH235" s="542"/>
      <c r="AI235" s="542"/>
      <c r="AJ235" s="649">
        <v>1</v>
      </c>
      <c r="AK235" s="542"/>
      <c r="AL235" s="542"/>
      <c r="AM235" s="649">
        <v>1</v>
      </c>
      <c r="AN235" s="2303"/>
      <c r="AO235" s="3712">
        <f>AO234/AO205</f>
        <v>1.8975332068311195E-2</v>
      </c>
      <c r="AP235" s="4930"/>
      <c r="AQ235" s="5739">
        <f>AQ234/AQ205</f>
        <v>2.5302530253025302E-2</v>
      </c>
      <c r="AR235" s="4930"/>
      <c r="AS235" s="5740">
        <f>AS234/AS205</f>
        <v>4.8000000000000001E-2</v>
      </c>
      <c r="AT235" s="4931"/>
      <c r="AU235" s="2302"/>
      <c r="AV235" s="543"/>
      <c r="AW235" s="649">
        <v>0.25</v>
      </c>
      <c r="AX235" s="543"/>
      <c r="AY235" s="2303"/>
      <c r="AZ235" s="2302"/>
      <c r="BA235" s="543"/>
      <c r="BB235" s="649">
        <v>0.43</v>
      </c>
      <c r="BC235" s="543"/>
      <c r="BD235" s="2303"/>
      <c r="BE235" s="2302"/>
      <c r="BF235" s="543"/>
      <c r="BG235" s="542"/>
      <c r="BH235" s="543"/>
      <c r="BI235" s="2303"/>
      <c r="BJ235" s="2470"/>
      <c r="BK235" s="276"/>
      <c r="BL235" s="99"/>
      <c r="BM235" s="547"/>
      <c r="BN235" s="547"/>
      <c r="BO235" s="665"/>
      <c r="BP235" s="620" t="s">
        <v>852</v>
      </c>
      <c r="BQ235" s="154" t="s">
        <v>853</v>
      </c>
      <c r="BR235" s="159"/>
      <c r="BS235" s="18"/>
    </row>
    <row r="236" spans="2:71" ht="24" customHeight="1">
      <c r="B236" s="4505" t="s">
        <v>2281</v>
      </c>
      <c r="C236" s="4609" t="s">
        <v>863</v>
      </c>
      <c r="D236" s="497"/>
      <c r="E236" s="360"/>
      <c r="F236" s="285" t="s">
        <v>156</v>
      </c>
      <c r="G236" s="358"/>
      <c r="H236" s="359" t="s">
        <v>2391</v>
      </c>
      <c r="I236" s="359"/>
      <c r="J236" s="643"/>
      <c r="K236" s="162" t="s">
        <v>156</v>
      </c>
      <c r="L236" s="228"/>
      <c r="M236" s="92"/>
      <c r="N236" s="228"/>
      <c r="O236" s="92"/>
      <c r="P236" s="228"/>
      <c r="Q236" s="95"/>
      <c r="R236" s="4929">
        <f>R214/R229*100</f>
        <v>217.26872246696036</v>
      </c>
      <c r="S236" s="1842"/>
      <c r="T236" s="4929">
        <f>T214/T229*100</f>
        <v>310.39197812215133</v>
      </c>
      <c r="U236" s="151"/>
      <c r="V236" s="4929">
        <f>V214/V229*100</f>
        <v>0</v>
      </c>
      <c r="W236" s="2053"/>
      <c r="X236" s="2186"/>
      <c r="Z236" s="702">
        <v>4.0000000000000001E-3</v>
      </c>
      <c r="AA236" s="92"/>
      <c r="AB236" s="2187"/>
      <c r="AC236" s="2111"/>
      <c r="AD236" s="702">
        <v>4.0000000000000001E-3</v>
      </c>
      <c r="AE236" s="100"/>
      <c r="AF236" s="542"/>
      <c r="AG236" s="649">
        <v>4.0000000000000001E-3</v>
      </c>
      <c r="AH236" s="542"/>
      <c r="AI236" s="542"/>
      <c r="AJ236" s="649">
        <v>4.0000000000000001E-3</v>
      </c>
      <c r="AK236" s="542"/>
      <c r="AL236" s="542"/>
      <c r="AM236" s="649">
        <v>4.0000000000000001E-3</v>
      </c>
      <c r="AN236" s="2303"/>
      <c r="AO236" s="2302"/>
      <c r="AP236" s="543"/>
      <c r="AQ236" s="647">
        <v>0</v>
      </c>
      <c r="AR236" s="543"/>
      <c r="AS236" s="795"/>
      <c r="AT236" s="4885"/>
      <c r="AU236" s="2302"/>
      <c r="AV236" s="543"/>
      <c r="AW236" s="649">
        <v>4.0000000000000002E-4</v>
      </c>
      <c r="AX236" s="543"/>
      <c r="AY236" s="2303"/>
      <c r="AZ236" s="2302"/>
      <c r="BA236" s="543"/>
      <c r="BB236" s="649">
        <v>7.0000000000000001E-3</v>
      </c>
      <c r="BC236" s="543"/>
      <c r="BD236" s="2303"/>
      <c r="BE236" s="2302"/>
      <c r="BF236" s="543"/>
      <c r="BG236" s="542"/>
      <c r="BH236" s="543"/>
      <c r="BI236" s="2303"/>
      <c r="BJ236" s="684" t="s">
        <v>865</v>
      </c>
      <c r="BK236" s="457" t="s">
        <v>866</v>
      </c>
      <c r="BL236" s="99"/>
      <c r="BM236" s="547"/>
      <c r="BN236" s="547"/>
      <c r="BO236" s="99"/>
      <c r="BP236" s="620" t="s">
        <v>852</v>
      </c>
      <c r="BQ236" s="154" t="s">
        <v>853</v>
      </c>
      <c r="BR236" s="159"/>
      <c r="BS236" s="18"/>
    </row>
    <row r="237" spans="2:71" ht="24" customHeight="1" thickBot="1">
      <c r="B237" s="4505" t="s">
        <v>2281</v>
      </c>
      <c r="C237" s="4609" t="s">
        <v>870</v>
      </c>
      <c r="D237" s="497"/>
      <c r="E237" s="360"/>
      <c r="F237" s="706" t="s">
        <v>156</v>
      </c>
      <c r="G237" s="707"/>
      <c r="H237" s="708" t="s">
        <v>2392</v>
      </c>
      <c r="I237" s="708"/>
      <c r="J237" s="4610"/>
      <c r="K237" s="711" t="s">
        <v>156</v>
      </c>
      <c r="L237" s="228"/>
      <c r="M237" s="92"/>
      <c r="N237" s="228"/>
      <c r="O237" s="92"/>
      <c r="P237" s="228"/>
      <c r="Q237" s="95"/>
      <c r="R237" s="4932"/>
      <c r="S237" s="4933"/>
      <c r="T237" s="4932"/>
      <c r="U237" s="4934"/>
      <c r="V237" s="4935"/>
      <c r="W237" s="2081" t="s">
        <v>1817</v>
      </c>
      <c r="X237" s="2244"/>
      <c r="Y237" s="92"/>
      <c r="Z237" s="593"/>
      <c r="AA237" s="594"/>
      <c r="AB237" s="2245"/>
      <c r="AC237" s="2130"/>
      <c r="AD237" s="593"/>
      <c r="AE237" s="593"/>
      <c r="AF237" s="712"/>
      <c r="AG237" s="712"/>
      <c r="AH237" s="712"/>
      <c r="AI237" s="712"/>
      <c r="AJ237" s="712"/>
      <c r="AK237" s="712"/>
      <c r="AL237" s="712"/>
      <c r="AM237" s="712"/>
      <c r="AN237" s="2307"/>
      <c r="AO237" s="2306"/>
      <c r="AP237" s="713"/>
      <c r="AQ237" s="712"/>
      <c r="AR237" s="713"/>
      <c r="AS237" s="2542"/>
      <c r="AT237" s="4936"/>
      <c r="AU237" s="2306"/>
      <c r="AV237" s="713"/>
      <c r="AW237" s="712"/>
      <c r="AX237" s="713"/>
      <c r="AY237" s="2307"/>
      <c r="AZ237" s="2306"/>
      <c r="BA237" s="713"/>
      <c r="BB237" s="712"/>
      <c r="BC237" s="713"/>
      <c r="BD237" s="2307"/>
      <c r="BE237" s="2306"/>
      <c r="BF237" s="713"/>
      <c r="BG237" s="712"/>
      <c r="BH237" s="713"/>
      <c r="BI237" s="2307"/>
      <c r="BJ237" s="4937" t="s">
        <v>2393</v>
      </c>
      <c r="BK237" s="714" t="s">
        <v>873</v>
      </c>
      <c r="BL237" s="99"/>
      <c r="BM237" s="715"/>
      <c r="BN237" s="547"/>
      <c r="BO237" s="109"/>
      <c r="BP237" s="277"/>
      <c r="BQ237" s="265" t="s">
        <v>807</v>
      </c>
      <c r="BR237" s="187" t="s">
        <v>875</v>
      </c>
      <c r="BS237" s="18"/>
    </row>
    <row r="238" spans="2:71" ht="24" customHeight="1" thickBot="1">
      <c r="B238" s="4505" t="s">
        <v>2281</v>
      </c>
      <c r="C238" s="123" t="s">
        <v>877</v>
      </c>
      <c r="D238" s="124"/>
      <c r="E238" s="124"/>
      <c r="F238" s="78"/>
      <c r="G238" s="598" t="s">
        <v>2394</v>
      </c>
      <c r="H238" s="126"/>
      <c r="I238" s="126"/>
      <c r="J238" s="126"/>
      <c r="K238" s="78"/>
      <c r="L238" s="716"/>
      <c r="M238" s="716"/>
      <c r="N238" s="716"/>
      <c r="O238" s="716"/>
      <c r="P238" s="716"/>
      <c r="Q238" s="716"/>
      <c r="R238" s="716">
        <v>45</v>
      </c>
      <c r="S238" s="716"/>
      <c r="T238" s="716">
        <v>70</v>
      </c>
      <c r="U238" s="716"/>
      <c r="V238" s="716"/>
      <c r="W238" s="716"/>
      <c r="X238" s="2254"/>
      <c r="Y238" s="717"/>
      <c r="Z238" s="717"/>
      <c r="AA238" s="717"/>
      <c r="AB238" s="2255"/>
      <c r="AC238" s="717"/>
      <c r="AD238" s="717"/>
      <c r="AE238" s="717"/>
      <c r="AF238" s="718"/>
      <c r="AG238" s="718"/>
      <c r="AH238" s="718"/>
      <c r="AI238" s="718"/>
      <c r="AJ238" s="718"/>
      <c r="AK238" s="718"/>
      <c r="AL238" s="718"/>
      <c r="AM238" s="718"/>
      <c r="AN238" s="2395"/>
      <c r="AO238" s="2394"/>
      <c r="AP238" s="718"/>
      <c r="AQ238" s="718"/>
      <c r="AR238" s="718"/>
      <c r="AS238" s="718"/>
      <c r="AT238" s="4938"/>
      <c r="AU238" s="2394"/>
      <c r="AV238" s="718"/>
      <c r="AW238" s="718"/>
      <c r="AX238" s="718"/>
      <c r="AY238" s="2395"/>
      <c r="AZ238" s="2394"/>
      <c r="BA238" s="718"/>
      <c r="BB238" s="718"/>
      <c r="BC238" s="718"/>
      <c r="BD238" s="2395"/>
      <c r="BE238" s="2394"/>
      <c r="BF238" s="718"/>
      <c r="BG238" s="718"/>
      <c r="BH238" s="718"/>
      <c r="BI238" s="2395"/>
      <c r="BJ238" s="80"/>
      <c r="BK238" s="80"/>
      <c r="BL238" s="129"/>
      <c r="BM238" s="719"/>
      <c r="BN238" s="719"/>
      <c r="BO238" s="129"/>
      <c r="BP238" s="720"/>
      <c r="BQ238" s="328"/>
      <c r="BR238" s="329"/>
      <c r="BS238" s="18"/>
    </row>
    <row r="239" spans="2:71" ht="24" customHeight="1">
      <c r="B239" s="4505" t="s">
        <v>2281</v>
      </c>
      <c r="C239" s="4612" t="s">
        <v>879</v>
      </c>
      <c r="D239" s="86"/>
      <c r="E239" s="86"/>
      <c r="F239" s="636" t="s">
        <v>732</v>
      </c>
      <c r="G239" s="253"/>
      <c r="H239" s="721" t="s">
        <v>2395</v>
      </c>
      <c r="I239" s="134"/>
      <c r="J239" s="135"/>
      <c r="K239" s="436" t="s">
        <v>734</v>
      </c>
      <c r="L239" s="640">
        <f>L240+L241</f>
        <v>5581</v>
      </c>
      <c r="M239" s="722"/>
      <c r="N239" s="640">
        <f>N240+N241</f>
        <v>8647</v>
      </c>
      <c r="O239" s="723"/>
      <c r="P239" s="531">
        <f>P240+P241</f>
        <v>0</v>
      </c>
      <c r="Q239" s="95"/>
      <c r="R239" s="640">
        <f>R240+R241</f>
        <v>4117</v>
      </c>
      <c r="S239" s="4939"/>
      <c r="T239" s="640">
        <f>T240+T241</f>
        <v>5824</v>
      </c>
      <c r="U239" s="4940"/>
      <c r="V239" s="640">
        <f>V240+V241</f>
        <v>75</v>
      </c>
      <c r="W239" s="2053"/>
      <c r="X239" s="2396">
        <f>X240+X241</f>
        <v>28</v>
      </c>
      <c r="Y239" s="723"/>
      <c r="Z239" s="640">
        <f>Z240+Z241</f>
        <v>92</v>
      </c>
      <c r="AA239" s="725"/>
      <c r="AB239" s="2397">
        <f t="shared" ref="AB239:AO239" si="19">AB240+AB241</f>
        <v>0</v>
      </c>
      <c r="AC239" s="2135">
        <f t="shared" si="19"/>
        <v>28</v>
      </c>
      <c r="AD239" s="640">
        <f t="shared" si="19"/>
        <v>92</v>
      </c>
      <c r="AE239" s="640">
        <f t="shared" si="19"/>
        <v>0</v>
      </c>
      <c r="AF239" s="640">
        <f t="shared" si="19"/>
        <v>28</v>
      </c>
      <c r="AG239" s="640">
        <f t="shared" si="19"/>
        <v>92</v>
      </c>
      <c r="AH239" s="640">
        <f t="shared" si="19"/>
        <v>0</v>
      </c>
      <c r="AI239" s="640">
        <f t="shared" si="19"/>
        <v>28</v>
      </c>
      <c r="AJ239" s="640">
        <f t="shared" si="19"/>
        <v>92</v>
      </c>
      <c r="AK239" s="640">
        <f t="shared" si="19"/>
        <v>0</v>
      </c>
      <c r="AL239" s="640">
        <f t="shared" si="19"/>
        <v>28</v>
      </c>
      <c r="AM239" s="640">
        <f t="shared" si="19"/>
        <v>92</v>
      </c>
      <c r="AN239" s="2397">
        <f t="shared" si="19"/>
        <v>0</v>
      </c>
      <c r="AO239" s="2396">
        <f t="shared" si="19"/>
        <v>173</v>
      </c>
      <c r="AP239" s="723"/>
      <c r="AQ239" s="640">
        <f>AQ240+AQ241</f>
        <v>107</v>
      </c>
      <c r="AR239" s="725"/>
      <c r="AS239" s="2543">
        <f>AS240+AS241</f>
        <v>91</v>
      </c>
      <c r="AT239" s="4941"/>
      <c r="AU239" s="2396">
        <f>AU240+AU241</f>
        <v>1247</v>
      </c>
      <c r="AV239" s="723"/>
      <c r="AW239" s="640">
        <f>AW240+AW241</f>
        <v>2538</v>
      </c>
      <c r="AX239" s="725"/>
      <c r="AY239" s="2397">
        <f>AY240+AY241</f>
        <v>0</v>
      </c>
      <c r="AZ239" s="2396">
        <f>AZ240+AZ241</f>
        <v>16</v>
      </c>
      <c r="BA239" s="723"/>
      <c r="BB239" s="640">
        <f>BB240+BB241</f>
        <v>86</v>
      </c>
      <c r="BC239" s="725"/>
      <c r="BD239" s="2397">
        <f>BD240+BD241</f>
        <v>0</v>
      </c>
      <c r="BE239" s="2396">
        <f>BE240+BE241</f>
        <v>0</v>
      </c>
      <c r="BF239" s="723"/>
      <c r="BG239" s="640">
        <f>BG240+BG241</f>
        <v>0</v>
      </c>
      <c r="BH239" s="725"/>
      <c r="BI239" s="2397">
        <f>BI240+BI241</f>
        <v>0</v>
      </c>
      <c r="BJ239" s="2482" t="s">
        <v>881</v>
      </c>
      <c r="BK239" s="457" t="s">
        <v>882</v>
      </c>
      <c r="BL239" s="642"/>
      <c r="BM239" s="547"/>
      <c r="BN239" s="534"/>
      <c r="BO239" s="642"/>
      <c r="BP239" s="620" t="s">
        <v>883</v>
      </c>
      <c r="BQ239" s="620" t="s">
        <v>884</v>
      </c>
      <c r="BR239" s="159"/>
      <c r="BS239" s="18"/>
    </row>
    <row r="240" spans="2:71" ht="24" customHeight="1">
      <c r="B240" s="4505" t="s">
        <v>2281</v>
      </c>
      <c r="C240" s="4528"/>
      <c r="D240" s="266" t="s">
        <v>885</v>
      </c>
      <c r="E240" s="266"/>
      <c r="F240" s="132" t="s">
        <v>732</v>
      </c>
      <c r="G240" s="253"/>
      <c r="H240" s="1903"/>
      <c r="I240" s="1065" t="s">
        <v>2396</v>
      </c>
      <c r="J240" s="1066"/>
      <c r="K240" s="136" t="s">
        <v>734</v>
      </c>
      <c r="L240" s="641">
        <v>3324</v>
      </c>
      <c r="M240" s="641">
        <v>5581</v>
      </c>
      <c r="N240" s="641">
        <v>5923</v>
      </c>
      <c r="O240" s="639">
        <v>8647</v>
      </c>
      <c r="P240" s="644"/>
      <c r="Q240" s="645"/>
      <c r="R240" s="639">
        <v>1860</v>
      </c>
      <c r="S240" s="646" t="s">
        <v>746</v>
      </c>
      <c r="T240" s="639">
        <v>3100</v>
      </c>
      <c r="U240" s="4916" t="s">
        <v>1798</v>
      </c>
      <c r="V240" s="228">
        <v>70</v>
      </c>
      <c r="W240" s="2078"/>
      <c r="X240" s="2260">
        <v>28</v>
      </c>
      <c r="Y240" s="648" t="s">
        <v>887</v>
      </c>
      <c r="Z240" s="649">
        <v>92</v>
      </c>
      <c r="AA240" s="648" t="s">
        <v>887</v>
      </c>
      <c r="AB240" s="2303"/>
      <c r="AC240" s="2132">
        <v>28</v>
      </c>
      <c r="AD240" s="649">
        <v>92</v>
      </c>
      <c r="AE240" s="542"/>
      <c r="AF240" s="647">
        <v>28</v>
      </c>
      <c r="AG240" s="649">
        <v>92</v>
      </c>
      <c r="AH240" s="542"/>
      <c r="AI240" s="647">
        <v>28</v>
      </c>
      <c r="AJ240" s="649">
        <v>92</v>
      </c>
      <c r="AK240" s="542"/>
      <c r="AL240" s="647">
        <v>28</v>
      </c>
      <c r="AM240" s="649">
        <v>92</v>
      </c>
      <c r="AN240" s="2303"/>
      <c r="AO240" s="2398">
        <v>173</v>
      </c>
      <c r="AP240" s="648" t="s">
        <v>887</v>
      </c>
      <c r="AQ240" s="649">
        <v>107</v>
      </c>
      <c r="AR240" s="648" t="s">
        <v>887</v>
      </c>
      <c r="AS240" s="795">
        <v>84</v>
      </c>
      <c r="AT240" s="4918"/>
      <c r="AU240" s="2398">
        <v>1247</v>
      </c>
      <c r="AV240" s="648" t="s">
        <v>888</v>
      </c>
      <c r="AW240" s="649">
        <v>2538</v>
      </c>
      <c r="AX240" s="648" t="s">
        <v>888</v>
      </c>
      <c r="AY240" s="2303"/>
      <c r="AZ240" s="2398">
        <v>16</v>
      </c>
      <c r="BA240" s="648" t="s">
        <v>887</v>
      </c>
      <c r="BB240" s="649">
        <v>86</v>
      </c>
      <c r="BC240" s="648" t="s">
        <v>887</v>
      </c>
      <c r="BD240" s="2303"/>
      <c r="BE240" s="2302"/>
      <c r="BF240" s="543"/>
      <c r="BG240" s="542"/>
      <c r="BH240" s="543"/>
      <c r="BI240" s="2303"/>
      <c r="BJ240" s="2472" t="s">
        <v>881</v>
      </c>
      <c r="BK240" s="457" t="s">
        <v>882</v>
      </c>
      <c r="BL240" s="99"/>
      <c r="BM240" s="547"/>
      <c r="BN240" s="547"/>
      <c r="BO240" s="99"/>
      <c r="BP240" s="620" t="s">
        <v>883</v>
      </c>
      <c r="BQ240" s="620" t="s">
        <v>884</v>
      </c>
      <c r="BR240" s="159"/>
      <c r="BS240" s="18"/>
    </row>
    <row r="241" spans="2:71" ht="24" customHeight="1">
      <c r="B241" s="4505" t="s">
        <v>2281</v>
      </c>
      <c r="C241" s="1945"/>
      <c r="D241" s="726" t="s">
        <v>889</v>
      </c>
      <c r="E241" s="721"/>
      <c r="F241" s="132" t="s">
        <v>732</v>
      </c>
      <c r="G241" s="253"/>
      <c r="H241" s="1918"/>
      <c r="I241" s="1065" t="s">
        <v>2397</v>
      </c>
      <c r="J241" s="1066"/>
      <c r="K241" s="136" t="s">
        <v>734</v>
      </c>
      <c r="L241" s="641">
        <v>2257</v>
      </c>
      <c r="M241" s="641"/>
      <c r="N241" s="641">
        <v>2724</v>
      </c>
      <c r="O241" s="639"/>
      <c r="P241" s="644"/>
      <c r="Q241" s="645"/>
      <c r="R241" s="639">
        <v>2257</v>
      </c>
      <c r="S241" s="646" t="s">
        <v>746</v>
      </c>
      <c r="T241" s="639">
        <v>2724</v>
      </c>
      <c r="U241" s="4916" t="s">
        <v>1798</v>
      </c>
      <c r="V241" s="228">
        <v>5</v>
      </c>
      <c r="W241" s="2078"/>
      <c r="X241" s="2260">
        <v>0</v>
      </c>
      <c r="Y241" s="543">
        <v>0</v>
      </c>
      <c r="Z241" s="649">
        <v>0</v>
      </c>
      <c r="AA241" s="543">
        <v>0</v>
      </c>
      <c r="AB241" s="2303"/>
      <c r="AC241" s="2132">
        <v>0</v>
      </c>
      <c r="AD241" s="649">
        <v>0</v>
      </c>
      <c r="AE241" s="542"/>
      <c r="AF241" s="647">
        <v>0</v>
      </c>
      <c r="AG241" s="649">
        <v>0</v>
      </c>
      <c r="AH241" s="542"/>
      <c r="AI241" s="647">
        <v>0</v>
      </c>
      <c r="AJ241" s="649">
        <v>0</v>
      </c>
      <c r="AK241" s="542"/>
      <c r="AL241" s="647">
        <v>0</v>
      </c>
      <c r="AM241" s="649">
        <v>0</v>
      </c>
      <c r="AN241" s="2303"/>
      <c r="AO241" s="2398">
        <v>0</v>
      </c>
      <c r="AP241" s="543">
        <v>0</v>
      </c>
      <c r="AQ241" s="649">
        <v>0</v>
      </c>
      <c r="AR241" s="543">
        <v>0</v>
      </c>
      <c r="AS241" s="795">
        <v>7</v>
      </c>
      <c r="AT241" s="4885">
        <v>0</v>
      </c>
      <c r="AU241" s="2398">
        <v>0</v>
      </c>
      <c r="AV241" s="543">
        <v>0</v>
      </c>
      <c r="AW241" s="649">
        <v>0</v>
      </c>
      <c r="AX241" s="648">
        <v>0</v>
      </c>
      <c r="AY241" s="2303"/>
      <c r="AZ241" s="2398">
        <v>0</v>
      </c>
      <c r="BA241" s="543">
        <v>0</v>
      </c>
      <c r="BB241" s="649">
        <v>0</v>
      </c>
      <c r="BC241" s="543">
        <v>0</v>
      </c>
      <c r="BD241" s="2303"/>
      <c r="BE241" s="2302"/>
      <c r="BF241" s="543"/>
      <c r="BG241" s="542"/>
      <c r="BH241" s="543"/>
      <c r="BI241" s="2303"/>
      <c r="BJ241" s="2472" t="s">
        <v>881</v>
      </c>
      <c r="BK241" s="457" t="s">
        <v>882</v>
      </c>
      <c r="BL241" s="99"/>
      <c r="BM241" s="547"/>
      <c r="BN241" s="547"/>
      <c r="BO241" s="99"/>
      <c r="BP241" s="620" t="s">
        <v>883</v>
      </c>
      <c r="BQ241" s="620" t="s">
        <v>884</v>
      </c>
      <c r="BR241" s="159"/>
      <c r="BS241" s="18"/>
    </row>
    <row r="242" spans="2:71" ht="24" customHeight="1">
      <c r="B242" s="4505" t="s">
        <v>2281</v>
      </c>
      <c r="C242" s="4613" t="s">
        <v>891</v>
      </c>
      <c r="D242" s="727"/>
      <c r="E242" s="727"/>
      <c r="F242" s="4614" t="s">
        <v>168</v>
      </c>
      <c r="G242" s="311"/>
      <c r="H242" s="728" t="s">
        <v>2398</v>
      </c>
      <c r="I242" s="654"/>
      <c r="J242" s="655"/>
      <c r="K242" s="731" t="s">
        <v>168</v>
      </c>
      <c r="L242" s="732"/>
      <c r="M242" s="732"/>
      <c r="N242" s="732"/>
      <c r="O242" s="732"/>
      <c r="P242" s="732"/>
      <c r="Q242" s="732"/>
      <c r="R242" s="732">
        <v>47</v>
      </c>
      <c r="S242" s="732"/>
      <c r="T242" s="732">
        <v>27</v>
      </c>
      <c r="U242" s="732"/>
      <c r="V242" s="732"/>
      <c r="W242" s="4942"/>
      <c r="X242" s="2258"/>
      <c r="Y242" s="733"/>
      <c r="Z242" s="733"/>
      <c r="AA242" s="733"/>
      <c r="AB242" s="2259"/>
      <c r="AC242" s="2528"/>
      <c r="AD242" s="733"/>
      <c r="AE242" s="733"/>
      <c r="AF242" s="659"/>
      <c r="AG242" s="734"/>
      <c r="AH242" s="659"/>
      <c r="AI242" s="659"/>
      <c r="AJ242" s="734"/>
      <c r="AK242" s="659"/>
      <c r="AL242" s="659"/>
      <c r="AM242" s="734"/>
      <c r="AN242" s="2305"/>
      <c r="AO242" s="2399"/>
      <c r="AP242" s="661"/>
      <c r="AQ242" s="734"/>
      <c r="AR242" s="661"/>
      <c r="AS242" s="2546"/>
      <c r="AT242" s="4917"/>
      <c r="AU242" s="2399"/>
      <c r="AV242" s="661"/>
      <c r="AW242" s="734"/>
      <c r="AX242" s="671"/>
      <c r="AY242" s="2305"/>
      <c r="AZ242" s="2399"/>
      <c r="BA242" s="661"/>
      <c r="BB242" s="734"/>
      <c r="BC242" s="661"/>
      <c r="BD242" s="2305"/>
      <c r="BE242" s="2304"/>
      <c r="BF242" s="661"/>
      <c r="BG242" s="659"/>
      <c r="BH242" s="661"/>
      <c r="BI242" s="2305"/>
      <c r="BJ242" s="2472"/>
      <c r="BL242" s="99"/>
      <c r="BM242" s="547"/>
      <c r="BN242" s="547"/>
      <c r="BO242" s="99"/>
      <c r="BP242" s="620" t="s">
        <v>892</v>
      </c>
      <c r="BQ242" s="620" t="s">
        <v>884</v>
      </c>
      <c r="BR242" s="159"/>
      <c r="BS242" s="18"/>
    </row>
    <row r="243" spans="2:71" ht="24" customHeight="1">
      <c r="B243" s="4505" t="s">
        <v>2281</v>
      </c>
      <c r="C243" s="4588"/>
      <c r="D243" s="490" t="s">
        <v>796</v>
      </c>
      <c r="E243" s="491"/>
      <c r="F243" s="492" t="s">
        <v>732</v>
      </c>
      <c r="G243" s="286"/>
      <c r="H243" s="886"/>
      <c r="I243" s="358" t="s">
        <v>2399</v>
      </c>
      <c r="J243" s="735"/>
      <c r="K243" s="136" t="s">
        <v>734</v>
      </c>
      <c r="L243" s="641">
        <v>2532</v>
      </c>
      <c r="M243" s="641"/>
      <c r="N243" s="641">
        <v>4089</v>
      </c>
      <c r="O243" s="639"/>
      <c r="P243" s="644"/>
      <c r="Q243" s="645"/>
      <c r="R243" s="639">
        <v>1841</v>
      </c>
      <c r="S243" s="646" t="s">
        <v>746</v>
      </c>
      <c r="T243" s="639">
        <v>2690</v>
      </c>
      <c r="U243" s="4916" t="s">
        <v>1798</v>
      </c>
      <c r="V243" s="228">
        <v>29</v>
      </c>
      <c r="W243" s="2078"/>
      <c r="X243" s="2260">
        <v>19</v>
      </c>
      <c r="Y243" s="543">
        <v>0</v>
      </c>
      <c r="Z243" s="649">
        <v>57</v>
      </c>
      <c r="AA243" s="543">
        <v>0</v>
      </c>
      <c r="AB243" s="2303"/>
      <c r="AC243" s="2132">
        <v>19</v>
      </c>
      <c r="AD243" s="649">
        <v>57</v>
      </c>
      <c r="AE243" s="542"/>
      <c r="AF243" s="647">
        <v>19</v>
      </c>
      <c r="AG243" s="649">
        <v>57</v>
      </c>
      <c r="AH243" s="542"/>
      <c r="AI243" s="647">
        <v>19</v>
      </c>
      <c r="AJ243" s="649">
        <v>57</v>
      </c>
      <c r="AK243" s="542"/>
      <c r="AL243" s="647">
        <v>19</v>
      </c>
      <c r="AM243" s="649">
        <v>57</v>
      </c>
      <c r="AN243" s="2303"/>
      <c r="AO243" s="2398">
        <v>99</v>
      </c>
      <c r="AP243" s="648" t="s">
        <v>748</v>
      </c>
      <c r="AQ243" s="649">
        <v>69</v>
      </c>
      <c r="AR243" s="648" t="s">
        <v>748</v>
      </c>
      <c r="AS243" s="795">
        <v>48</v>
      </c>
      <c r="AT243" s="4918" t="s">
        <v>748</v>
      </c>
      <c r="AU243" s="2398">
        <v>566</v>
      </c>
      <c r="AV243" s="648" t="s">
        <v>801</v>
      </c>
      <c r="AW243" s="649">
        <v>1232</v>
      </c>
      <c r="AX243" s="648" t="s">
        <v>801</v>
      </c>
      <c r="AY243" s="2303"/>
      <c r="AZ243" s="2398">
        <v>7</v>
      </c>
      <c r="BA243" s="648" t="s">
        <v>751</v>
      </c>
      <c r="BB243" s="649">
        <v>41</v>
      </c>
      <c r="BC243" s="648" t="s">
        <v>751</v>
      </c>
      <c r="BD243" s="2303"/>
      <c r="BE243" s="2302"/>
      <c r="BF243" s="543"/>
      <c r="BG243" s="542"/>
      <c r="BH243" s="543"/>
      <c r="BI243" s="2303"/>
      <c r="BJ243" s="2472" t="s">
        <v>894</v>
      </c>
      <c r="BK243" s="457" t="s">
        <v>895</v>
      </c>
      <c r="BL243" s="99"/>
      <c r="BM243" s="547"/>
      <c r="BN243" s="547"/>
      <c r="BO243" s="99"/>
      <c r="BP243" s="620" t="s">
        <v>892</v>
      </c>
      <c r="BQ243" s="620" t="s">
        <v>884</v>
      </c>
      <c r="BR243" s="159"/>
      <c r="BS243" s="18"/>
    </row>
    <row r="244" spans="2:71" ht="24" customHeight="1">
      <c r="B244" s="4505" t="s">
        <v>2281</v>
      </c>
      <c r="C244" s="4591"/>
      <c r="D244" s="490" t="s">
        <v>802</v>
      </c>
      <c r="E244" s="491"/>
      <c r="F244" s="492" t="s">
        <v>732</v>
      </c>
      <c r="G244" s="286"/>
      <c r="H244" s="4512"/>
      <c r="I244" s="358" t="s">
        <v>2400</v>
      </c>
      <c r="J244" s="735"/>
      <c r="K244" s="136" t="s">
        <v>734</v>
      </c>
      <c r="L244" s="641">
        <v>3049</v>
      </c>
      <c r="M244" s="641"/>
      <c r="N244" s="641">
        <v>4558</v>
      </c>
      <c r="O244" s="639"/>
      <c r="P244" s="644"/>
      <c r="Q244" s="645"/>
      <c r="R244" s="639">
        <v>2276</v>
      </c>
      <c r="S244" s="646" t="s">
        <v>746</v>
      </c>
      <c r="T244" s="639">
        <v>3134</v>
      </c>
      <c r="U244" s="4916" t="s">
        <v>1798</v>
      </c>
      <c r="V244" s="228">
        <v>46</v>
      </c>
      <c r="W244" s="2078"/>
      <c r="X244" s="2260">
        <v>9</v>
      </c>
      <c r="Y244" s="543">
        <v>0</v>
      </c>
      <c r="Z244" s="649">
        <v>35</v>
      </c>
      <c r="AA244" s="543">
        <v>0</v>
      </c>
      <c r="AB244" s="2303"/>
      <c r="AC244" s="2132">
        <v>9</v>
      </c>
      <c r="AD244" s="649">
        <v>35</v>
      </c>
      <c r="AE244" s="542"/>
      <c r="AF244" s="647">
        <v>9</v>
      </c>
      <c r="AG244" s="649">
        <v>35</v>
      </c>
      <c r="AH244" s="542"/>
      <c r="AI244" s="647">
        <v>9</v>
      </c>
      <c r="AJ244" s="649">
        <v>35</v>
      </c>
      <c r="AK244" s="542"/>
      <c r="AL244" s="647">
        <v>9</v>
      </c>
      <c r="AM244" s="649">
        <v>35</v>
      </c>
      <c r="AN244" s="2303"/>
      <c r="AO244" s="2398">
        <v>74</v>
      </c>
      <c r="AP244" s="648" t="s">
        <v>748</v>
      </c>
      <c r="AQ244" s="649">
        <v>38</v>
      </c>
      <c r="AR244" s="648" t="s">
        <v>748</v>
      </c>
      <c r="AS244" s="795">
        <v>43</v>
      </c>
      <c r="AT244" s="4918" t="s">
        <v>748</v>
      </c>
      <c r="AU244" s="2398">
        <v>681</v>
      </c>
      <c r="AV244" s="648" t="s">
        <v>801</v>
      </c>
      <c r="AW244" s="649">
        <v>1306</v>
      </c>
      <c r="AX244" s="648" t="s">
        <v>801</v>
      </c>
      <c r="AY244" s="2303"/>
      <c r="AZ244" s="2398">
        <v>9</v>
      </c>
      <c r="BA244" s="648" t="s">
        <v>751</v>
      </c>
      <c r="BB244" s="649">
        <v>45</v>
      </c>
      <c r="BC244" s="648" t="s">
        <v>751</v>
      </c>
      <c r="BD244" s="2303"/>
      <c r="BE244" s="2302"/>
      <c r="BF244" s="543"/>
      <c r="BG244" s="542"/>
      <c r="BH244" s="543"/>
      <c r="BI244" s="2303"/>
      <c r="BJ244" s="2472" t="s">
        <v>894</v>
      </c>
      <c r="BK244" s="457" t="s">
        <v>895</v>
      </c>
      <c r="BL244" s="99"/>
      <c r="BM244" s="547"/>
      <c r="BN244" s="547"/>
      <c r="BO244" s="99"/>
      <c r="BP244" s="620" t="s">
        <v>892</v>
      </c>
      <c r="BQ244" s="620" t="s">
        <v>884</v>
      </c>
      <c r="BR244" s="159"/>
      <c r="BS244" s="18"/>
    </row>
    <row r="245" spans="2:71" ht="24" customHeight="1">
      <c r="B245" s="4505" t="s">
        <v>2281</v>
      </c>
      <c r="C245" s="4613" t="s">
        <v>897</v>
      </c>
      <c r="D245" s="727"/>
      <c r="E245" s="727"/>
      <c r="F245" s="4614" t="s">
        <v>168</v>
      </c>
      <c r="G245" s="311"/>
      <c r="H245" s="736" t="s">
        <v>2401</v>
      </c>
      <c r="I245" s="736"/>
      <c r="J245" s="736"/>
      <c r="K245" s="731" t="s">
        <v>168</v>
      </c>
      <c r="L245" s="732"/>
      <c r="M245" s="732"/>
      <c r="N245" s="732"/>
      <c r="O245" s="732"/>
      <c r="P245" s="732"/>
      <c r="Q245" s="732"/>
      <c r="R245" s="732"/>
      <c r="S245" s="732"/>
      <c r="T245" s="732"/>
      <c r="U245" s="732"/>
      <c r="V245" s="732"/>
      <c r="W245" s="4942"/>
      <c r="X245" s="2258"/>
      <c r="Y245" s="733"/>
      <c r="Z245" s="733"/>
      <c r="AA245" s="733"/>
      <c r="AB245" s="2259"/>
      <c r="AC245" s="2528"/>
      <c r="AD245" s="733"/>
      <c r="AE245" s="733"/>
      <c r="AF245" s="659"/>
      <c r="AG245" s="734"/>
      <c r="AH245" s="659"/>
      <c r="AI245" s="659"/>
      <c r="AJ245" s="734"/>
      <c r="AK245" s="659"/>
      <c r="AL245" s="659"/>
      <c r="AM245" s="734"/>
      <c r="AN245" s="2305"/>
      <c r="AO245" s="2399"/>
      <c r="AP245" s="671"/>
      <c r="AQ245" s="734"/>
      <c r="AR245" s="671"/>
      <c r="AS245" s="2546"/>
      <c r="AT245" s="4919"/>
      <c r="AU245" s="2399"/>
      <c r="AV245" s="671"/>
      <c r="AW245" s="734"/>
      <c r="AX245" s="671"/>
      <c r="AY245" s="2305"/>
      <c r="AZ245" s="2399"/>
      <c r="BA245" s="671"/>
      <c r="BB245" s="734"/>
      <c r="BC245" s="671"/>
      <c r="BD245" s="2305"/>
      <c r="BE245" s="2304"/>
      <c r="BF245" s="661"/>
      <c r="BG245" s="659"/>
      <c r="BH245" s="661"/>
      <c r="BI245" s="2305"/>
      <c r="BJ245" s="2472"/>
      <c r="BL245" s="99"/>
      <c r="BM245" s="547"/>
      <c r="BN245" s="547"/>
      <c r="BO245" s="99"/>
      <c r="BP245" s="620" t="s">
        <v>899</v>
      </c>
      <c r="BQ245" s="620" t="s">
        <v>884</v>
      </c>
      <c r="BR245" s="159"/>
      <c r="BS245" s="18"/>
    </row>
    <row r="246" spans="2:71" ht="24" customHeight="1">
      <c r="B246" s="4505" t="s">
        <v>2281</v>
      </c>
      <c r="D246" s="490" t="s">
        <v>823</v>
      </c>
      <c r="E246" s="491"/>
      <c r="F246" s="492" t="s">
        <v>732</v>
      </c>
      <c r="G246" s="286"/>
      <c r="H246" s="886"/>
      <c r="I246" s="358" t="s">
        <v>2402</v>
      </c>
      <c r="J246" s="735"/>
      <c r="K246" s="136" t="s">
        <v>734</v>
      </c>
      <c r="L246" s="641">
        <v>5275</v>
      </c>
      <c r="M246" s="641"/>
      <c r="N246" s="641">
        <v>8295</v>
      </c>
      <c r="O246" s="639"/>
      <c r="P246" s="644"/>
      <c r="Q246" s="645"/>
      <c r="R246" s="639">
        <v>3931</v>
      </c>
      <c r="S246" s="646" t="s">
        <v>746</v>
      </c>
      <c r="T246" s="639">
        <v>5658</v>
      </c>
      <c r="U246" s="4916" t="s">
        <v>1798</v>
      </c>
      <c r="V246" s="228">
        <v>43</v>
      </c>
      <c r="W246" s="2078"/>
      <c r="X246" s="2260">
        <v>13</v>
      </c>
      <c r="Y246" s="543">
        <v>0</v>
      </c>
      <c r="Z246" s="649">
        <v>35</v>
      </c>
      <c r="AA246" s="543">
        <v>0</v>
      </c>
      <c r="AB246" s="2303"/>
      <c r="AC246" s="2132">
        <v>13</v>
      </c>
      <c r="AD246" s="649">
        <v>35</v>
      </c>
      <c r="AE246" s="542"/>
      <c r="AF246" s="647">
        <v>13</v>
      </c>
      <c r="AG246" s="649">
        <v>35</v>
      </c>
      <c r="AH246" s="542"/>
      <c r="AI246" s="647">
        <v>13</v>
      </c>
      <c r="AJ246" s="649">
        <v>35</v>
      </c>
      <c r="AK246" s="542"/>
      <c r="AL246" s="647">
        <v>13</v>
      </c>
      <c r="AM246" s="649">
        <v>35</v>
      </c>
      <c r="AN246" s="2303"/>
      <c r="AO246" s="2398">
        <v>97</v>
      </c>
      <c r="AP246" s="648" t="s">
        <v>748</v>
      </c>
      <c r="AQ246" s="649">
        <v>46</v>
      </c>
      <c r="AR246" s="648" t="s">
        <v>748</v>
      </c>
      <c r="AS246" s="795">
        <v>38</v>
      </c>
      <c r="AT246" s="4918" t="s">
        <v>748</v>
      </c>
      <c r="AU246" s="2398">
        <v>1225</v>
      </c>
      <c r="AV246" s="648" t="s">
        <v>801</v>
      </c>
      <c r="AW246" s="649">
        <v>2502</v>
      </c>
      <c r="AX246" s="648" t="s">
        <v>801</v>
      </c>
      <c r="AY246" s="2303"/>
      <c r="AZ246" s="2398">
        <v>9</v>
      </c>
      <c r="BA246" s="648" t="s">
        <v>751</v>
      </c>
      <c r="BB246" s="649">
        <v>54</v>
      </c>
      <c r="BC246" s="648" t="s">
        <v>751</v>
      </c>
      <c r="BD246" s="2303"/>
      <c r="BE246" s="2302"/>
      <c r="BF246" s="543"/>
      <c r="BG246" s="542"/>
      <c r="BH246" s="543"/>
      <c r="BI246" s="2303"/>
      <c r="BJ246" s="2468" t="s">
        <v>901</v>
      </c>
      <c r="BK246" s="276" t="s">
        <v>902</v>
      </c>
      <c r="BL246" s="99"/>
      <c r="BM246" s="547"/>
      <c r="BN246" s="547"/>
      <c r="BO246" s="99"/>
      <c r="BP246" s="620" t="s">
        <v>899</v>
      </c>
      <c r="BQ246" s="620" t="s">
        <v>884</v>
      </c>
      <c r="BR246" s="159"/>
      <c r="BS246" s="18"/>
    </row>
    <row r="247" spans="2:71" ht="24" customHeight="1">
      <c r="B247" s="4505" t="s">
        <v>2281</v>
      </c>
      <c r="C247" s="4590"/>
      <c r="D247" s="490" t="s">
        <v>827</v>
      </c>
      <c r="E247" s="491"/>
      <c r="F247" s="492" t="s">
        <v>732</v>
      </c>
      <c r="G247" s="286"/>
      <c r="H247" s="4511"/>
      <c r="I247" s="358" t="s">
        <v>2403</v>
      </c>
      <c r="J247" s="735"/>
      <c r="K247" s="136" t="s">
        <v>734</v>
      </c>
      <c r="L247" s="641">
        <v>184</v>
      </c>
      <c r="M247" s="641"/>
      <c r="N247" s="641">
        <v>298</v>
      </c>
      <c r="O247" s="639"/>
      <c r="P247" s="644"/>
      <c r="Q247" s="645"/>
      <c r="R247" s="639">
        <v>65</v>
      </c>
      <c r="S247" s="646" t="s">
        <v>746</v>
      </c>
      <c r="T247" s="639">
        <v>117</v>
      </c>
      <c r="U247" s="4916" t="s">
        <v>1798</v>
      </c>
      <c r="V247" s="228">
        <v>32</v>
      </c>
      <c r="W247" s="2078"/>
      <c r="X247" s="2260">
        <v>14</v>
      </c>
      <c r="Y247" s="543">
        <v>0</v>
      </c>
      <c r="Z247" s="649">
        <v>54</v>
      </c>
      <c r="AA247" s="543">
        <v>0</v>
      </c>
      <c r="AB247" s="2303"/>
      <c r="AC247" s="2132">
        <v>14</v>
      </c>
      <c r="AD247" s="649">
        <v>54</v>
      </c>
      <c r="AE247" s="542"/>
      <c r="AF247" s="647">
        <v>14</v>
      </c>
      <c r="AG247" s="649">
        <v>54</v>
      </c>
      <c r="AH247" s="542"/>
      <c r="AI247" s="647">
        <v>14</v>
      </c>
      <c r="AJ247" s="649">
        <v>54</v>
      </c>
      <c r="AK247" s="542"/>
      <c r="AL247" s="647">
        <v>14</v>
      </c>
      <c r="AM247" s="649">
        <v>54</v>
      </c>
      <c r="AN247" s="2303"/>
      <c r="AO247" s="2398">
        <v>76</v>
      </c>
      <c r="AP247" s="648" t="s">
        <v>748</v>
      </c>
      <c r="AQ247" s="649">
        <v>61</v>
      </c>
      <c r="AR247" s="648" t="s">
        <v>748</v>
      </c>
      <c r="AS247" s="795">
        <v>53</v>
      </c>
      <c r="AT247" s="4918" t="s">
        <v>748</v>
      </c>
      <c r="AU247" s="2398">
        <v>22</v>
      </c>
      <c r="AV247" s="648" t="s">
        <v>801</v>
      </c>
      <c r="AW247" s="649">
        <v>36</v>
      </c>
      <c r="AX247" s="648" t="s">
        <v>801</v>
      </c>
      <c r="AY247" s="2303"/>
      <c r="AZ247" s="2398">
        <v>7</v>
      </c>
      <c r="BA247" s="648" t="s">
        <v>751</v>
      </c>
      <c r="BB247" s="649">
        <v>30</v>
      </c>
      <c r="BC247" s="648" t="s">
        <v>751</v>
      </c>
      <c r="BD247" s="2303"/>
      <c r="BE247" s="2302"/>
      <c r="BF247" s="543"/>
      <c r="BG247" s="542"/>
      <c r="BH247" s="543"/>
      <c r="BI247" s="2303"/>
      <c r="BJ247" s="2468" t="s">
        <v>901</v>
      </c>
      <c r="BK247" s="276" t="s">
        <v>904</v>
      </c>
      <c r="BL247" s="99"/>
      <c r="BM247" s="547"/>
      <c r="BN247" s="547"/>
      <c r="BO247" s="99"/>
      <c r="BP247" s="620" t="s">
        <v>899</v>
      </c>
      <c r="BQ247" s="620" t="s">
        <v>884</v>
      </c>
      <c r="BR247" s="159"/>
      <c r="BS247" s="18"/>
    </row>
    <row r="248" spans="2:71" ht="24" customHeight="1">
      <c r="B248" s="4505" t="s">
        <v>2281</v>
      </c>
      <c r="C248" s="4591"/>
      <c r="D248" s="490" t="s">
        <v>830</v>
      </c>
      <c r="E248" s="491"/>
      <c r="F248" s="492" t="s">
        <v>732</v>
      </c>
      <c r="G248" s="286"/>
      <c r="H248" s="4512"/>
      <c r="I248" s="358" t="s">
        <v>2404</v>
      </c>
      <c r="J248" s="735"/>
      <c r="K248" s="136" t="s">
        <v>734</v>
      </c>
      <c r="L248" s="641">
        <v>122</v>
      </c>
      <c r="M248" s="641"/>
      <c r="N248" s="641">
        <v>54</v>
      </c>
      <c r="O248" s="639"/>
      <c r="P248" s="644"/>
      <c r="Q248" s="645"/>
      <c r="R248" s="639">
        <v>121</v>
      </c>
      <c r="S248" s="646" t="s">
        <v>746</v>
      </c>
      <c r="T248" s="639">
        <v>49</v>
      </c>
      <c r="U248" s="4916" t="s">
        <v>1798</v>
      </c>
      <c r="V248" s="228">
        <v>0</v>
      </c>
      <c r="W248" s="2078"/>
      <c r="X248" s="2260">
        <v>1</v>
      </c>
      <c r="Y248" s="543">
        <v>0</v>
      </c>
      <c r="Z248" s="649">
        <v>3</v>
      </c>
      <c r="AA248" s="543">
        <v>0</v>
      </c>
      <c r="AB248" s="2303"/>
      <c r="AC248" s="2132">
        <v>1</v>
      </c>
      <c r="AD248" s="649">
        <v>3</v>
      </c>
      <c r="AE248" s="542"/>
      <c r="AF248" s="647">
        <v>1</v>
      </c>
      <c r="AG248" s="649">
        <v>3</v>
      </c>
      <c r="AH248" s="542"/>
      <c r="AI248" s="647">
        <v>1</v>
      </c>
      <c r="AJ248" s="649">
        <v>3</v>
      </c>
      <c r="AK248" s="542"/>
      <c r="AL248" s="647">
        <v>1</v>
      </c>
      <c r="AM248" s="649">
        <v>3</v>
      </c>
      <c r="AN248" s="2303"/>
      <c r="AO248" s="2398">
        <v>0</v>
      </c>
      <c r="AP248" s="648" t="s">
        <v>748</v>
      </c>
      <c r="AQ248" s="649">
        <v>0</v>
      </c>
      <c r="AR248" s="648" t="s">
        <v>748</v>
      </c>
      <c r="AS248" s="795">
        <v>0</v>
      </c>
      <c r="AT248" s="4918" t="s">
        <v>748</v>
      </c>
      <c r="AU248" s="2398">
        <v>0</v>
      </c>
      <c r="AV248" s="648" t="s">
        <v>801</v>
      </c>
      <c r="AW248" s="649">
        <v>0</v>
      </c>
      <c r="AX248" s="648" t="s">
        <v>801</v>
      </c>
      <c r="AY248" s="2303"/>
      <c r="AZ248" s="2398">
        <v>0</v>
      </c>
      <c r="BA248" s="648" t="s">
        <v>751</v>
      </c>
      <c r="BB248" s="649">
        <v>2</v>
      </c>
      <c r="BC248" s="648" t="s">
        <v>751</v>
      </c>
      <c r="BD248" s="2303"/>
      <c r="BE248" s="2302"/>
      <c r="BF248" s="543"/>
      <c r="BG248" s="542"/>
      <c r="BH248" s="543"/>
      <c r="BI248" s="2303"/>
      <c r="BJ248" s="2468" t="s">
        <v>901</v>
      </c>
      <c r="BK248" s="276" t="s">
        <v>906</v>
      </c>
      <c r="BL248" s="99"/>
      <c r="BM248" s="547"/>
      <c r="BN248" s="547"/>
      <c r="BO248" s="99"/>
      <c r="BP248" s="620" t="s">
        <v>899</v>
      </c>
      <c r="BQ248" s="620" t="s">
        <v>884</v>
      </c>
      <c r="BR248" s="159"/>
      <c r="BS248" s="18"/>
    </row>
    <row r="249" spans="2:71" ht="24" customHeight="1">
      <c r="B249" s="1865"/>
      <c r="C249" s="1849" t="s">
        <v>907</v>
      </c>
      <c r="D249" s="701"/>
      <c r="E249" s="701"/>
      <c r="F249" s="492" t="s">
        <v>742</v>
      </c>
      <c r="G249" s="286"/>
      <c r="H249" s="491" t="s">
        <v>908</v>
      </c>
      <c r="I249" s="359"/>
      <c r="J249" s="643"/>
      <c r="K249" s="164" t="s">
        <v>734</v>
      </c>
      <c r="L249" s="641">
        <v>28</v>
      </c>
      <c r="M249" s="641"/>
      <c r="N249" s="641">
        <v>92</v>
      </c>
      <c r="O249" s="639"/>
      <c r="P249" s="644"/>
      <c r="Q249" s="645"/>
      <c r="R249" s="541">
        <v>20</v>
      </c>
      <c r="S249" s="1853" t="s">
        <v>1819</v>
      </c>
      <c r="T249" s="541">
        <v>89</v>
      </c>
      <c r="U249" s="1853" t="s">
        <v>1819</v>
      </c>
      <c r="V249" s="308">
        <v>75</v>
      </c>
      <c r="W249" s="2078"/>
      <c r="X249" s="2260">
        <v>28</v>
      </c>
      <c r="Y249" s="737" t="s">
        <v>2119</v>
      </c>
      <c r="Z249" s="649">
        <v>92</v>
      </c>
      <c r="AA249" s="737" t="s">
        <v>2120</v>
      </c>
      <c r="AB249" s="2261"/>
      <c r="AC249" s="2132">
        <v>28</v>
      </c>
      <c r="AD249" s="649">
        <v>92</v>
      </c>
      <c r="AE249" s="693"/>
      <c r="AF249" s="647">
        <v>28</v>
      </c>
      <c r="AG249" s="649">
        <v>92</v>
      </c>
      <c r="AH249" s="693"/>
      <c r="AI249" s="647">
        <v>28</v>
      </c>
      <c r="AJ249" s="649">
        <v>92</v>
      </c>
      <c r="AK249" s="693"/>
      <c r="AL249" s="647">
        <v>28</v>
      </c>
      <c r="AM249" s="649">
        <v>92</v>
      </c>
      <c r="AN249" s="2261"/>
      <c r="AO249" s="2398">
        <v>0</v>
      </c>
      <c r="AP249" s="652">
        <v>0</v>
      </c>
      <c r="AQ249" s="649">
        <v>0</v>
      </c>
      <c r="AR249" s="652">
        <v>0</v>
      </c>
      <c r="AS249" s="2367"/>
      <c r="AT249" s="4943">
        <v>0</v>
      </c>
      <c r="AU249" s="2398">
        <v>0</v>
      </c>
      <c r="AV249" s="652">
        <v>0</v>
      </c>
      <c r="AW249" s="649">
        <v>0</v>
      </c>
      <c r="AX249" s="652">
        <v>0</v>
      </c>
      <c r="AY249" s="2261"/>
      <c r="AZ249" s="2398">
        <v>0</v>
      </c>
      <c r="BA249" s="652">
        <v>0</v>
      </c>
      <c r="BB249" s="649">
        <v>0</v>
      </c>
      <c r="BC249" s="652">
        <v>0</v>
      </c>
      <c r="BD249" s="2261"/>
      <c r="BE249" s="2497"/>
      <c r="BF249" s="652"/>
      <c r="BG249" s="693"/>
      <c r="BH249" s="652"/>
      <c r="BI249" s="2261"/>
      <c r="BJ249" s="2468" t="s">
        <v>909</v>
      </c>
      <c r="BK249" s="276" t="s">
        <v>910</v>
      </c>
      <c r="BL249" s="99"/>
      <c r="BM249" s="547"/>
      <c r="BN249" s="547"/>
      <c r="BO249" s="299" t="s">
        <v>193</v>
      </c>
      <c r="BP249" s="620" t="s">
        <v>911</v>
      </c>
      <c r="BQ249" s="620" t="s">
        <v>884</v>
      </c>
      <c r="BR249" s="159"/>
      <c r="BS249" s="18"/>
    </row>
    <row r="250" spans="2:71" ht="24" customHeight="1">
      <c r="B250" s="4505" t="s">
        <v>2281</v>
      </c>
      <c r="C250" s="4615" t="s">
        <v>915</v>
      </c>
      <c r="D250" s="583"/>
      <c r="E250" s="583"/>
      <c r="F250" s="285" t="s">
        <v>742</v>
      </c>
      <c r="G250" s="286"/>
      <c r="H250" s="491" t="s">
        <v>2405</v>
      </c>
      <c r="I250" s="359"/>
      <c r="J250" s="1066"/>
      <c r="K250" s="109" t="s">
        <v>734</v>
      </c>
      <c r="L250" s="738">
        <f>L251+L252</f>
        <v>5094</v>
      </c>
      <c r="M250" s="652"/>
      <c r="N250" s="738">
        <f>N251+N252</f>
        <v>7508</v>
      </c>
      <c r="O250" s="543"/>
      <c r="P250" s="738">
        <f>P251+P252</f>
        <v>0</v>
      </c>
      <c r="Q250" s="95"/>
      <c r="R250" s="356">
        <f>R251+R252</f>
        <v>3241</v>
      </c>
      <c r="S250" s="1759"/>
      <c r="T250" s="356">
        <f>T251+T252</f>
        <v>5079</v>
      </c>
      <c r="U250" s="1759" t="s">
        <v>1798</v>
      </c>
      <c r="V250" s="356">
        <f>V251+V252</f>
        <v>74</v>
      </c>
      <c r="W250" s="2053"/>
      <c r="X250" s="2400">
        <f>X251+X252</f>
        <v>71</v>
      </c>
      <c r="Y250" s="543"/>
      <c r="Z250" s="738">
        <f>Z251+Z252</f>
        <v>44</v>
      </c>
      <c r="AA250" s="652"/>
      <c r="AB250" s="2401">
        <f t="shared" ref="AB250:AO250" si="20">AB251+AB252</f>
        <v>0</v>
      </c>
      <c r="AC250" s="2136">
        <f t="shared" si="20"/>
        <v>71</v>
      </c>
      <c r="AD250" s="738">
        <f t="shared" si="20"/>
        <v>44</v>
      </c>
      <c r="AE250" s="738">
        <f t="shared" si="20"/>
        <v>0</v>
      </c>
      <c r="AF250" s="738">
        <f t="shared" si="20"/>
        <v>71</v>
      </c>
      <c r="AG250" s="738">
        <f t="shared" si="20"/>
        <v>44</v>
      </c>
      <c r="AH250" s="738">
        <f t="shared" si="20"/>
        <v>0</v>
      </c>
      <c r="AI250" s="738">
        <f t="shared" si="20"/>
        <v>71</v>
      </c>
      <c r="AJ250" s="738">
        <f t="shared" si="20"/>
        <v>44</v>
      </c>
      <c r="AK250" s="738">
        <f t="shared" si="20"/>
        <v>0</v>
      </c>
      <c r="AL250" s="738">
        <f t="shared" si="20"/>
        <v>71</v>
      </c>
      <c r="AM250" s="738">
        <f t="shared" si="20"/>
        <v>44</v>
      </c>
      <c r="AN250" s="2401">
        <f t="shared" si="20"/>
        <v>0</v>
      </c>
      <c r="AO250" s="2400">
        <f t="shared" si="20"/>
        <v>437</v>
      </c>
      <c r="AP250" s="543"/>
      <c r="AQ250" s="738">
        <f>AQ251+AQ252</f>
        <v>231</v>
      </c>
      <c r="AR250" s="543"/>
      <c r="AS250" s="2088">
        <f>AS251+AS252</f>
        <v>245</v>
      </c>
      <c r="AT250" s="4885"/>
      <c r="AU250" s="2400">
        <f>AU251+AU252</f>
        <v>1242</v>
      </c>
      <c r="AV250" s="543"/>
      <c r="AW250" s="738">
        <f>AW251+AW252</f>
        <v>2080</v>
      </c>
      <c r="AX250" s="543"/>
      <c r="AY250" s="2401">
        <f>AY251+AY252</f>
        <v>0</v>
      </c>
      <c r="AZ250" s="2400">
        <f>AZ251+AZ252</f>
        <v>103</v>
      </c>
      <c r="BA250" s="543"/>
      <c r="BB250" s="738">
        <f>BB251+BB252</f>
        <v>74</v>
      </c>
      <c r="BC250" s="543"/>
      <c r="BD250" s="2401">
        <f>BD251+BD252</f>
        <v>0</v>
      </c>
      <c r="BE250" s="2400">
        <f>BE251+BE252</f>
        <v>0</v>
      </c>
      <c r="BF250" s="543"/>
      <c r="BG250" s="738">
        <f>BG251+BG252</f>
        <v>0</v>
      </c>
      <c r="BH250" s="543"/>
      <c r="BI250" s="2401">
        <f>BI251+BI252</f>
        <v>0</v>
      </c>
      <c r="BJ250" s="2472" t="s">
        <v>917</v>
      </c>
      <c r="BK250" s="457" t="s">
        <v>918</v>
      </c>
      <c r="BL250" s="99"/>
      <c r="BM250" s="547"/>
      <c r="BN250" s="547"/>
      <c r="BO250" s="99"/>
      <c r="BP250" s="620" t="s">
        <v>919</v>
      </c>
      <c r="BQ250" s="620" t="s">
        <v>884</v>
      </c>
      <c r="BR250" s="159"/>
      <c r="BS250" s="18"/>
    </row>
    <row r="251" spans="2:71" ht="24" customHeight="1">
      <c r="B251" s="4505" t="s">
        <v>2281</v>
      </c>
      <c r="C251" s="4616"/>
      <c r="D251" s="490" t="s">
        <v>920</v>
      </c>
      <c r="E251" s="491"/>
      <c r="F251" s="285" t="s">
        <v>742</v>
      </c>
      <c r="G251" s="286"/>
      <c r="H251" s="886"/>
      <c r="I251" s="358" t="s">
        <v>2406</v>
      </c>
      <c r="J251" s="735"/>
      <c r="K251" s="109" t="s">
        <v>734</v>
      </c>
      <c r="L251" s="543">
        <v>3250</v>
      </c>
      <c r="M251" s="543"/>
      <c r="N251" s="543">
        <v>5922</v>
      </c>
      <c r="O251" s="543"/>
      <c r="P251" s="644"/>
      <c r="Q251" s="645"/>
      <c r="R251" s="297">
        <v>1683</v>
      </c>
      <c r="S251" s="1842" t="s">
        <v>746</v>
      </c>
      <c r="T251" s="297">
        <v>3659</v>
      </c>
      <c r="U251" s="4916" t="s">
        <v>1798</v>
      </c>
      <c r="V251" s="228">
        <v>66</v>
      </c>
      <c r="W251" s="2078"/>
      <c r="X251" s="2260">
        <v>49</v>
      </c>
      <c r="Y251" s="543">
        <v>0</v>
      </c>
      <c r="Z251" s="649">
        <v>35</v>
      </c>
      <c r="AA251" s="543">
        <v>0</v>
      </c>
      <c r="AB251" s="2303"/>
      <c r="AC251" s="2132">
        <v>49</v>
      </c>
      <c r="AD251" s="649">
        <v>35</v>
      </c>
      <c r="AE251" s="542"/>
      <c r="AF251" s="647">
        <v>49</v>
      </c>
      <c r="AG251" s="649">
        <v>35</v>
      </c>
      <c r="AH251" s="542"/>
      <c r="AI251" s="647">
        <v>49</v>
      </c>
      <c r="AJ251" s="649">
        <v>35</v>
      </c>
      <c r="AK251" s="542"/>
      <c r="AL251" s="647">
        <v>49</v>
      </c>
      <c r="AM251" s="649">
        <v>35</v>
      </c>
      <c r="AN251" s="2303"/>
      <c r="AO251" s="2398">
        <v>202</v>
      </c>
      <c r="AP251" s="648" t="s">
        <v>748</v>
      </c>
      <c r="AQ251" s="649">
        <v>84</v>
      </c>
      <c r="AR251" s="648" t="s">
        <v>748</v>
      </c>
      <c r="AS251" s="795">
        <v>97</v>
      </c>
      <c r="AT251" s="4918" t="s">
        <v>748</v>
      </c>
      <c r="AU251" s="2398">
        <v>1213</v>
      </c>
      <c r="AV251" s="648" t="s">
        <v>801</v>
      </c>
      <c r="AW251" s="649">
        <v>2070</v>
      </c>
      <c r="AX251" s="648" t="s">
        <v>801</v>
      </c>
      <c r="AY251" s="2303"/>
      <c r="AZ251" s="2398">
        <v>103</v>
      </c>
      <c r="BA251" s="648" t="s">
        <v>751</v>
      </c>
      <c r="BB251" s="649">
        <v>74</v>
      </c>
      <c r="BC251" s="648" t="s">
        <v>751</v>
      </c>
      <c r="BD251" s="2303"/>
      <c r="BE251" s="2302"/>
      <c r="BF251" s="543"/>
      <c r="BG251" s="542"/>
      <c r="BH251" s="543"/>
      <c r="BI251" s="2303"/>
      <c r="BJ251" s="2472"/>
      <c r="BK251" s="457"/>
      <c r="BL251" s="99"/>
      <c r="BM251" s="547"/>
      <c r="BN251" s="547"/>
      <c r="BO251" s="99"/>
      <c r="BP251" s="620" t="s">
        <v>922</v>
      </c>
      <c r="BQ251" s="620" t="s">
        <v>884</v>
      </c>
      <c r="BR251" s="159"/>
      <c r="BS251" s="18"/>
    </row>
    <row r="252" spans="2:71" ht="24" customHeight="1">
      <c r="B252" s="4505" t="s">
        <v>2281</v>
      </c>
      <c r="C252" s="4617"/>
      <c r="D252" s="490" t="s">
        <v>923</v>
      </c>
      <c r="E252" s="491"/>
      <c r="F252" s="285" t="s">
        <v>742</v>
      </c>
      <c r="G252" s="286"/>
      <c r="H252" s="4512"/>
      <c r="I252" s="358" t="s">
        <v>2407</v>
      </c>
      <c r="J252" s="735"/>
      <c r="K252" s="109" t="s">
        <v>734</v>
      </c>
      <c r="L252" s="543">
        <v>1844</v>
      </c>
      <c r="M252" s="543"/>
      <c r="N252" s="543">
        <v>1586</v>
      </c>
      <c r="O252" s="543"/>
      <c r="P252" s="644"/>
      <c r="Q252" s="645"/>
      <c r="R252" s="297">
        <v>1558</v>
      </c>
      <c r="S252" s="1842" t="s">
        <v>746</v>
      </c>
      <c r="T252" s="297">
        <v>1420</v>
      </c>
      <c r="U252" s="4916" t="s">
        <v>1798</v>
      </c>
      <c r="V252" s="228">
        <v>8</v>
      </c>
      <c r="W252" s="2078"/>
      <c r="X252" s="2260">
        <v>22</v>
      </c>
      <c r="Y252" s="543">
        <v>0</v>
      </c>
      <c r="Z252" s="649">
        <v>9</v>
      </c>
      <c r="AA252" s="543">
        <v>0</v>
      </c>
      <c r="AB252" s="2303"/>
      <c r="AC252" s="2132">
        <v>22</v>
      </c>
      <c r="AD252" s="649">
        <v>9</v>
      </c>
      <c r="AE252" s="542"/>
      <c r="AF252" s="647">
        <v>22</v>
      </c>
      <c r="AG252" s="649">
        <v>9</v>
      </c>
      <c r="AH252" s="542"/>
      <c r="AI252" s="647">
        <v>22</v>
      </c>
      <c r="AJ252" s="649">
        <v>9</v>
      </c>
      <c r="AK252" s="542"/>
      <c r="AL252" s="647">
        <v>22</v>
      </c>
      <c r="AM252" s="649">
        <v>9</v>
      </c>
      <c r="AN252" s="2303"/>
      <c r="AO252" s="2398">
        <v>235</v>
      </c>
      <c r="AP252" s="648" t="s">
        <v>748</v>
      </c>
      <c r="AQ252" s="649">
        <v>147</v>
      </c>
      <c r="AR252" s="648" t="s">
        <v>748</v>
      </c>
      <c r="AS252" s="795">
        <v>148</v>
      </c>
      <c r="AT252" s="4918" t="s">
        <v>748</v>
      </c>
      <c r="AU252" s="2398">
        <v>29</v>
      </c>
      <c r="AV252" s="648" t="s">
        <v>801</v>
      </c>
      <c r="AW252" s="649">
        <v>10</v>
      </c>
      <c r="AX252" s="648" t="s">
        <v>801</v>
      </c>
      <c r="AY252" s="2303"/>
      <c r="AZ252" s="2398">
        <v>0</v>
      </c>
      <c r="BA252" s="648" t="s">
        <v>751</v>
      </c>
      <c r="BB252" s="649">
        <v>0</v>
      </c>
      <c r="BC252" s="648" t="s">
        <v>751</v>
      </c>
      <c r="BD252" s="2303"/>
      <c r="BE252" s="2302"/>
      <c r="BF252" s="543"/>
      <c r="BG252" s="542"/>
      <c r="BH252" s="543"/>
      <c r="BI252" s="2303"/>
      <c r="BJ252" s="2472"/>
      <c r="BK252" s="457"/>
      <c r="BL252" s="99"/>
      <c r="BM252" s="547"/>
      <c r="BN252" s="547"/>
      <c r="BO252" s="99"/>
      <c r="BP252" s="620" t="s">
        <v>919</v>
      </c>
      <c r="BQ252" s="620" t="s">
        <v>884</v>
      </c>
      <c r="BR252" s="159"/>
      <c r="BS252" s="18"/>
    </row>
    <row r="253" spans="2:71" ht="24" customHeight="1">
      <c r="B253" s="4505" t="s">
        <v>2281</v>
      </c>
      <c r="C253" s="4618" t="s">
        <v>925</v>
      </c>
      <c r="D253" s="663"/>
      <c r="E253" s="663"/>
      <c r="F253" s="4614" t="s">
        <v>168</v>
      </c>
      <c r="G253" s="311"/>
      <c r="H253" s="728" t="s">
        <v>2408</v>
      </c>
      <c r="I253" s="739"/>
      <c r="J253" s="739"/>
      <c r="K253" s="731" t="s">
        <v>168</v>
      </c>
      <c r="L253" s="740"/>
      <c r="M253" s="732"/>
      <c r="N253" s="732"/>
      <c r="O253" s="732"/>
      <c r="P253" s="732"/>
      <c r="Q253" s="732"/>
      <c r="R253" s="732"/>
      <c r="S253" s="732"/>
      <c r="T253" s="732"/>
      <c r="U253" s="732"/>
      <c r="V253" s="732"/>
      <c r="W253" s="4942"/>
      <c r="X253" s="2258"/>
      <c r="Y253" s="733"/>
      <c r="Z253" s="733"/>
      <c r="AA253" s="733"/>
      <c r="AB253" s="2259"/>
      <c r="AC253" s="2528"/>
      <c r="AD253" s="733"/>
      <c r="AE253" s="733"/>
      <c r="AF253" s="659"/>
      <c r="AG253" s="734"/>
      <c r="AH253" s="659"/>
      <c r="AI253" s="659"/>
      <c r="AJ253" s="734"/>
      <c r="AK253" s="659"/>
      <c r="AL253" s="659"/>
      <c r="AM253" s="734"/>
      <c r="AN253" s="2305"/>
      <c r="AO253" s="2399"/>
      <c r="AP253" s="671"/>
      <c r="AQ253" s="734"/>
      <c r="AR253" s="671"/>
      <c r="AS253" s="2546"/>
      <c r="AT253" s="4919"/>
      <c r="AU253" s="2399"/>
      <c r="AV253" s="671"/>
      <c r="AW253" s="734"/>
      <c r="AX253" s="671"/>
      <c r="AY253" s="2305"/>
      <c r="AZ253" s="2399"/>
      <c r="BA253" s="671"/>
      <c r="BB253" s="734"/>
      <c r="BC253" s="671"/>
      <c r="BD253" s="2305"/>
      <c r="BE253" s="2304"/>
      <c r="BF253" s="661"/>
      <c r="BG253" s="659"/>
      <c r="BH253" s="661"/>
      <c r="BI253" s="2305"/>
      <c r="BJ253" s="4944"/>
      <c r="BL253" s="99"/>
      <c r="BM253" s="547"/>
      <c r="BN253" s="547"/>
      <c r="BO253" s="99"/>
      <c r="BP253" s="620" t="s">
        <v>927</v>
      </c>
      <c r="BQ253" s="620" t="s">
        <v>884</v>
      </c>
      <c r="BR253" s="159"/>
      <c r="BS253" s="18"/>
    </row>
    <row r="254" spans="2:71" ht="24" customHeight="1">
      <c r="B254" s="4945" t="s">
        <v>2281</v>
      </c>
      <c r="C254" s="4619"/>
      <c r="D254" s="490" t="s">
        <v>796</v>
      </c>
      <c r="E254" s="491"/>
      <c r="F254" s="285" t="s">
        <v>156</v>
      </c>
      <c r="G254" s="286"/>
      <c r="H254" s="886"/>
      <c r="I254" s="490" t="s">
        <v>2409</v>
      </c>
      <c r="J254" s="742"/>
      <c r="K254" s="109" t="s">
        <v>156</v>
      </c>
      <c r="L254" s="644"/>
      <c r="M254" s="543"/>
      <c r="N254" s="644"/>
      <c r="O254" s="543"/>
      <c r="P254" s="644"/>
      <c r="Q254" s="645"/>
      <c r="R254" s="645">
        <v>55</v>
      </c>
      <c r="S254" s="4915"/>
      <c r="T254" s="4915">
        <v>74</v>
      </c>
      <c r="U254" s="4946" t="s">
        <v>1820</v>
      </c>
      <c r="V254" s="4929">
        <f>32/36*100</f>
        <v>88.888888888888886</v>
      </c>
      <c r="W254" s="2078"/>
      <c r="X254" s="2302"/>
      <c r="Y254" s="543"/>
      <c r="Z254" s="542"/>
      <c r="AA254" s="543"/>
      <c r="AB254" s="2303"/>
      <c r="AC254" s="2127"/>
      <c r="AD254" s="542"/>
      <c r="AE254" s="542"/>
      <c r="AF254" s="542"/>
      <c r="AG254" s="542"/>
      <c r="AH254" s="542"/>
      <c r="AI254" s="542"/>
      <c r="AJ254" s="542"/>
      <c r="AK254" s="542"/>
      <c r="AL254" s="542"/>
      <c r="AM254" s="542"/>
      <c r="AN254" s="2303"/>
      <c r="AO254" s="3712">
        <f>AP254/$AO$250</f>
        <v>0.23798627002288331</v>
      </c>
      <c r="AP254" s="4947">
        <v>104</v>
      </c>
      <c r="AQ254" s="5740">
        <f>AR254/$AQ$250</f>
        <v>0.21212121212121213</v>
      </c>
      <c r="AR254" s="4947">
        <v>49</v>
      </c>
      <c r="AS254" s="5740">
        <f>AT254/$AS$250</f>
        <v>0.2530612244897959</v>
      </c>
      <c r="AT254" s="4948">
        <v>62</v>
      </c>
      <c r="AU254" s="2302"/>
      <c r="AV254" s="543"/>
      <c r="AW254" s="542"/>
      <c r="AX254" s="543"/>
      <c r="AY254" s="2303"/>
      <c r="AZ254" s="2302"/>
      <c r="BA254" s="543"/>
      <c r="BB254" s="542"/>
      <c r="BC254" s="543"/>
      <c r="BD254" s="2303"/>
      <c r="BE254" s="2302"/>
      <c r="BF254" s="543"/>
      <c r="BG254" s="542"/>
      <c r="BH254" s="543"/>
      <c r="BI254" s="2303"/>
      <c r="BJ254" s="1069" t="s">
        <v>929</v>
      </c>
      <c r="BK254" s="741" t="s">
        <v>930</v>
      </c>
      <c r="BL254" s="99"/>
      <c r="BM254" s="547"/>
      <c r="BN254" s="547"/>
      <c r="BO254" s="99"/>
      <c r="BP254" s="620" t="s">
        <v>927</v>
      </c>
      <c r="BQ254" s="620" t="s">
        <v>884</v>
      </c>
      <c r="BR254" s="159"/>
      <c r="BS254" s="18"/>
    </row>
    <row r="255" spans="2:71" ht="24" customHeight="1">
      <c r="B255" s="4945" t="s">
        <v>2281</v>
      </c>
      <c r="C255" s="4620"/>
      <c r="D255" s="490" t="s">
        <v>802</v>
      </c>
      <c r="E255" s="491"/>
      <c r="F255" s="285" t="s">
        <v>156</v>
      </c>
      <c r="G255" s="286"/>
      <c r="H255" s="4511"/>
      <c r="I255" s="490" t="s">
        <v>2410</v>
      </c>
      <c r="J255" s="742"/>
      <c r="K255" s="109" t="s">
        <v>156</v>
      </c>
      <c r="L255" s="644"/>
      <c r="M255" s="543"/>
      <c r="N255" s="644"/>
      <c r="O255" s="543"/>
      <c r="P255" s="644"/>
      <c r="Q255" s="645"/>
      <c r="R255" s="645">
        <v>50</v>
      </c>
      <c r="S255" s="4915"/>
      <c r="T255" s="4915">
        <v>70</v>
      </c>
      <c r="U255" s="4946" t="s">
        <v>1821</v>
      </c>
      <c r="V255" s="4929">
        <f>34/38*100</f>
        <v>89.473684210526315</v>
      </c>
      <c r="W255" s="2078"/>
      <c r="X255" s="2302"/>
      <c r="Y255" s="543"/>
      <c r="Z255" s="542"/>
      <c r="AA255" s="543"/>
      <c r="AB255" s="2303"/>
      <c r="AC255" s="2127"/>
      <c r="AD255" s="542"/>
      <c r="AE255" s="542"/>
      <c r="AF255" s="542"/>
      <c r="AG255" s="542"/>
      <c r="AH255" s="542"/>
      <c r="AI255" s="542"/>
      <c r="AJ255" s="542"/>
      <c r="AK255" s="542"/>
      <c r="AL255" s="542"/>
      <c r="AM255" s="542"/>
      <c r="AN255" s="2303"/>
      <c r="AO255" s="3712">
        <f t="shared" ref="AO255:AO258" si="21">AP255/$AO$250</f>
        <v>0.22425629290617849</v>
      </c>
      <c r="AP255" s="4947">
        <v>98</v>
      </c>
      <c r="AQ255" s="5740">
        <f t="shared" ref="AQ255:AQ258" si="22">AR255/$AQ$250</f>
        <v>0.15151515151515152</v>
      </c>
      <c r="AR255" s="4947">
        <v>35</v>
      </c>
      <c r="AS255" s="5740">
        <f t="shared" ref="AS255:AS258" si="23">AT255/$AS$250</f>
        <v>0.14285714285714285</v>
      </c>
      <c r="AT255" s="4948">
        <v>35</v>
      </c>
      <c r="AU255" s="2302"/>
      <c r="AV255" s="543"/>
      <c r="AW255" s="542"/>
      <c r="AX255" s="543"/>
      <c r="AY255" s="2303"/>
      <c r="AZ255" s="2302"/>
      <c r="BA255" s="543"/>
      <c r="BB255" s="542"/>
      <c r="BC255" s="543"/>
      <c r="BD255" s="2303"/>
      <c r="BE255" s="2302"/>
      <c r="BF255" s="543"/>
      <c r="BG255" s="542"/>
      <c r="BH255" s="543"/>
      <c r="BI255" s="2303"/>
      <c r="BJ255" s="1069"/>
      <c r="BK255" s="741"/>
      <c r="BL255" s="99"/>
      <c r="BM255" s="547"/>
      <c r="BN255" s="547"/>
      <c r="BO255" s="99"/>
      <c r="BP255" s="620" t="s">
        <v>927</v>
      </c>
      <c r="BQ255" s="620" t="s">
        <v>884</v>
      </c>
      <c r="BR255" s="159"/>
      <c r="BS255" s="18"/>
    </row>
    <row r="256" spans="2:71" ht="24" customHeight="1">
      <c r="B256" s="4945" t="s">
        <v>2281</v>
      </c>
      <c r="C256" s="4620"/>
      <c r="D256" s="490" t="s">
        <v>823</v>
      </c>
      <c r="E256" s="491"/>
      <c r="F256" s="285" t="s">
        <v>156</v>
      </c>
      <c r="G256" s="286"/>
      <c r="H256" s="4511"/>
      <c r="I256" s="490" t="s">
        <v>2411</v>
      </c>
      <c r="J256" s="742"/>
      <c r="K256" s="109" t="s">
        <v>156</v>
      </c>
      <c r="L256" s="644"/>
      <c r="M256" s="543"/>
      <c r="N256" s="644"/>
      <c r="O256" s="543"/>
      <c r="P256" s="644"/>
      <c r="Q256" s="645"/>
      <c r="R256" s="645">
        <v>53</v>
      </c>
      <c r="S256" s="4915"/>
      <c r="T256" s="4915">
        <v>73</v>
      </c>
      <c r="U256" s="4946" t="s">
        <v>1822</v>
      </c>
      <c r="V256" s="4929">
        <f>14/14*100</f>
        <v>100</v>
      </c>
      <c r="W256" s="2078"/>
      <c r="X256" s="2302"/>
      <c r="Y256" s="543"/>
      <c r="Z256" s="542"/>
      <c r="AA256" s="543"/>
      <c r="AB256" s="2303"/>
      <c r="AC256" s="2127"/>
      <c r="AD256" s="542"/>
      <c r="AE256" s="542"/>
      <c r="AF256" s="542"/>
      <c r="AG256" s="542"/>
      <c r="AH256" s="542"/>
      <c r="AI256" s="542"/>
      <c r="AJ256" s="542"/>
      <c r="AK256" s="542"/>
      <c r="AL256" s="542"/>
      <c r="AM256" s="542"/>
      <c r="AN256" s="2303"/>
      <c r="AO256" s="3712">
        <f t="shared" si="21"/>
        <v>0.2402745995423341</v>
      </c>
      <c r="AP256" s="4949">
        <v>105</v>
      </c>
      <c r="AQ256" s="5740">
        <f t="shared" si="22"/>
        <v>0.10822510822510822</v>
      </c>
      <c r="AR256" s="4949">
        <v>25</v>
      </c>
      <c r="AS256" s="5740">
        <f t="shared" si="23"/>
        <v>0.15918367346938775</v>
      </c>
      <c r="AT256" s="4950">
        <v>39</v>
      </c>
      <c r="AU256" s="2302"/>
      <c r="AV256" s="543"/>
      <c r="AW256" s="542"/>
      <c r="AX256" s="543"/>
      <c r="AY256" s="2303"/>
      <c r="AZ256" s="2302"/>
      <c r="BA256" s="543"/>
      <c r="BB256" s="542"/>
      <c r="BC256" s="543"/>
      <c r="BD256" s="2303"/>
      <c r="BE256" s="2302"/>
      <c r="BF256" s="543"/>
      <c r="BG256" s="542"/>
      <c r="BH256" s="543"/>
      <c r="BI256" s="2303"/>
      <c r="BJ256" s="1069"/>
      <c r="BK256" s="741"/>
      <c r="BL256" s="99"/>
      <c r="BM256" s="547"/>
      <c r="BN256" s="547"/>
      <c r="BO256" s="99"/>
      <c r="BP256" s="620" t="s">
        <v>927</v>
      </c>
      <c r="BQ256" s="620" t="s">
        <v>884</v>
      </c>
      <c r="BR256" s="159"/>
      <c r="BS256" s="18"/>
    </row>
    <row r="257" spans="2:71" ht="24" customHeight="1">
      <c r="B257" s="4945" t="s">
        <v>2281</v>
      </c>
      <c r="C257" s="4620"/>
      <c r="D257" s="490" t="s">
        <v>827</v>
      </c>
      <c r="E257" s="491"/>
      <c r="F257" s="285" t="s">
        <v>156</v>
      </c>
      <c r="G257" s="286"/>
      <c r="H257" s="4511"/>
      <c r="I257" s="490" t="s">
        <v>2412</v>
      </c>
      <c r="J257" s="742"/>
      <c r="K257" s="109" t="s">
        <v>156</v>
      </c>
      <c r="L257" s="644"/>
      <c r="M257" s="543"/>
      <c r="N257" s="644"/>
      <c r="O257" s="543"/>
      <c r="P257" s="644"/>
      <c r="Q257" s="645"/>
      <c r="R257" s="645">
        <v>45</v>
      </c>
      <c r="S257" s="4915"/>
      <c r="T257" s="4915">
        <v>70</v>
      </c>
      <c r="U257" s="4946" t="s">
        <v>1823</v>
      </c>
      <c r="V257" s="4929">
        <f>52/58*100</f>
        <v>89.65517241379311</v>
      </c>
      <c r="W257" s="2078"/>
      <c r="X257" s="2302"/>
      <c r="Y257" s="543"/>
      <c r="Z257" s="542"/>
      <c r="AA257" s="543"/>
      <c r="AB257" s="2303"/>
      <c r="AC257" s="2127"/>
      <c r="AD257" s="542"/>
      <c r="AE257" s="542"/>
      <c r="AF257" s="542"/>
      <c r="AG257" s="542"/>
      <c r="AH257" s="542"/>
      <c r="AI257" s="542"/>
      <c r="AJ257" s="542"/>
      <c r="AK257" s="542"/>
      <c r="AL257" s="542"/>
      <c r="AM257" s="542"/>
      <c r="AN257" s="2303"/>
      <c r="AO257" s="3712">
        <f t="shared" si="21"/>
        <v>0.2219679633867277</v>
      </c>
      <c r="AP257" s="4949">
        <v>97</v>
      </c>
      <c r="AQ257" s="5740">
        <f t="shared" si="22"/>
        <v>0.25541125541125542</v>
      </c>
      <c r="AR257" s="4949">
        <v>59</v>
      </c>
      <c r="AS257" s="5740">
        <f t="shared" si="23"/>
        <v>0.23673469387755103</v>
      </c>
      <c r="AT257" s="4950">
        <v>58</v>
      </c>
      <c r="AU257" s="2302"/>
      <c r="AV257" s="543"/>
      <c r="AW257" s="542"/>
      <c r="AX257" s="543"/>
      <c r="AY257" s="2303"/>
      <c r="AZ257" s="2302"/>
      <c r="BA257" s="543"/>
      <c r="BB257" s="542"/>
      <c r="BC257" s="543"/>
      <c r="BD257" s="2303"/>
      <c r="BE257" s="2302"/>
      <c r="BF257" s="543"/>
      <c r="BG257" s="542"/>
      <c r="BH257" s="543"/>
      <c r="BI257" s="2303"/>
      <c r="BJ257" s="1069"/>
      <c r="BK257" s="741"/>
      <c r="BL257" s="99"/>
      <c r="BM257" s="547"/>
      <c r="BN257" s="547"/>
      <c r="BO257" s="99"/>
      <c r="BP257" s="620" t="s">
        <v>927</v>
      </c>
      <c r="BQ257" s="620" t="s">
        <v>884</v>
      </c>
      <c r="BR257" s="159"/>
      <c r="BS257" s="18"/>
    </row>
    <row r="258" spans="2:71" ht="24" customHeight="1">
      <c r="B258" s="4945" t="s">
        <v>2281</v>
      </c>
      <c r="C258" s="4621"/>
      <c r="D258" s="490" t="s">
        <v>830</v>
      </c>
      <c r="E258" s="491"/>
      <c r="F258" s="285" t="s">
        <v>156</v>
      </c>
      <c r="G258" s="286"/>
      <c r="H258" s="4512"/>
      <c r="I258" s="490" t="s">
        <v>2413</v>
      </c>
      <c r="J258" s="742"/>
      <c r="K258" s="109" t="s">
        <v>156</v>
      </c>
      <c r="L258" s="644"/>
      <c r="M258" s="543"/>
      <c r="N258" s="644"/>
      <c r="O258" s="543"/>
      <c r="P258" s="644"/>
      <c r="Q258" s="645"/>
      <c r="R258" s="645">
        <v>36</v>
      </c>
      <c r="S258" s="4915"/>
      <c r="T258" s="4915">
        <v>27</v>
      </c>
      <c r="U258" s="4946" t="s">
        <v>1824</v>
      </c>
      <c r="V258" s="4929">
        <v>0</v>
      </c>
      <c r="W258" s="2078"/>
      <c r="X258" s="2302"/>
      <c r="Y258" s="543"/>
      <c r="Z258" s="542"/>
      <c r="AA258" s="543"/>
      <c r="AB258" s="2303"/>
      <c r="AC258" s="2127"/>
      <c r="AD258" s="542"/>
      <c r="AE258" s="542"/>
      <c r="AF258" s="542"/>
      <c r="AG258" s="542"/>
      <c r="AH258" s="542"/>
      <c r="AI258" s="542"/>
      <c r="AJ258" s="542"/>
      <c r="AK258" s="542"/>
      <c r="AL258" s="542"/>
      <c r="AM258" s="542"/>
      <c r="AN258" s="2303"/>
      <c r="AO258" s="3712">
        <f t="shared" si="21"/>
        <v>0</v>
      </c>
      <c r="AP258" s="4949">
        <v>0</v>
      </c>
      <c r="AQ258" s="5740">
        <f t="shared" si="22"/>
        <v>0</v>
      </c>
      <c r="AR258" s="4949">
        <v>0</v>
      </c>
      <c r="AS258" s="5740">
        <f t="shared" si="23"/>
        <v>0</v>
      </c>
      <c r="AT258" s="4950">
        <v>0</v>
      </c>
      <c r="AU258" s="2302"/>
      <c r="AV258" s="543"/>
      <c r="AW258" s="542"/>
      <c r="AX258" s="543"/>
      <c r="AY258" s="2303"/>
      <c r="AZ258" s="2302"/>
      <c r="BA258" s="543"/>
      <c r="BB258" s="542"/>
      <c r="BC258" s="543"/>
      <c r="BD258" s="2303"/>
      <c r="BE258" s="2302"/>
      <c r="BF258" s="543"/>
      <c r="BG258" s="542"/>
      <c r="BH258" s="543"/>
      <c r="BI258" s="2303"/>
      <c r="BJ258" s="1069"/>
      <c r="BK258" s="741"/>
      <c r="BL258" s="99"/>
      <c r="BM258" s="547"/>
      <c r="BN258" s="547"/>
      <c r="BO258" s="99"/>
      <c r="BP258" s="620" t="s">
        <v>927</v>
      </c>
      <c r="BQ258" s="620" t="s">
        <v>884</v>
      </c>
      <c r="BR258" s="159"/>
      <c r="BS258" s="18"/>
    </row>
    <row r="259" spans="2:71" ht="24" customHeight="1">
      <c r="B259" s="4945" t="s">
        <v>2281</v>
      </c>
      <c r="C259" s="4618" t="s">
        <v>943</v>
      </c>
      <c r="D259" s="663"/>
      <c r="E259" s="663"/>
      <c r="F259" s="4614" t="s">
        <v>168</v>
      </c>
      <c r="G259" s="311"/>
      <c r="H259" s="728" t="s">
        <v>2414</v>
      </c>
      <c r="I259" s="744"/>
      <c r="J259" s="739"/>
      <c r="K259" s="731" t="s">
        <v>168</v>
      </c>
      <c r="L259" s="745"/>
      <c r="M259" s="745"/>
      <c r="N259" s="745"/>
      <c r="O259" s="745"/>
      <c r="P259" s="745"/>
      <c r="Q259" s="745"/>
      <c r="R259" s="745"/>
      <c r="S259" s="745"/>
      <c r="T259" s="745"/>
      <c r="U259" s="745"/>
      <c r="V259" s="745"/>
      <c r="W259" s="4951"/>
      <c r="X259" s="2262"/>
      <c r="Y259" s="731"/>
      <c r="Z259" s="731"/>
      <c r="AA259" s="731"/>
      <c r="AB259" s="2263"/>
      <c r="AC259" s="2529"/>
      <c r="AD259" s="731"/>
      <c r="AE259" s="731"/>
      <c r="AF259" s="320"/>
      <c r="AG259" s="320"/>
      <c r="AH259" s="320"/>
      <c r="AI259" s="320"/>
      <c r="AJ259" s="320"/>
      <c r="AK259" s="320"/>
      <c r="AL259" s="320"/>
      <c r="AM259" s="320"/>
      <c r="AN259" s="2276"/>
      <c r="AO259" s="2304"/>
      <c r="AP259" s="4952"/>
      <c r="AQ259" s="659"/>
      <c r="AR259" s="4952"/>
      <c r="AS259" s="2546"/>
      <c r="AT259" s="4953"/>
      <c r="AU259" s="2275"/>
      <c r="AV259" s="413"/>
      <c r="AW259" s="320"/>
      <c r="AX259" s="413"/>
      <c r="AY259" s="2276"/>
      <c r="AZ259" s="2275"/>
      <c r="BA259" s="413"/>
      <c r="BB259" s="320"/>
      <c r="BC259" s="413"/>
      <c r="BD259" s="2276"/>
      <c r="BE259" s="2275"/>
      <c r="BF259" s="413"/>
      <c r="BG259" s="320"/>
      <c r="BH259" s="413"/>
      <c r="BI259" s="2276"/>
      <c r="BJ259" s="4944"/>
      <c r="BL259" s="99"/>
      <c r="BM259" s="547"/>
      <c r="BN259" s="547"/>
      <c r="BO259" s="99"/>
      <c r="BP259" s="620" t="s">
        <v>919</v>
      </c>
      <c r="BQ259" s="620" t="s">
        <v>884</v>
      </c>
      <c r="BR259" s="159"/>
      <c r="BS259" s="18"/>
    </row>
    <row r="260" spans="2:71" ht="24" customHeight="1">
      <c r="B260" s="4945" t="s">
        <v>2281</v>
      </c>
      <c r="C260" s="4619"/>
      <c r="D260" s="490" t="s">
        <v>796</v>
      </c>
      <c r="E260" s="491"/>
      <c r="F260" s="285" t="s">
        <v>156</v>
      </c>
      <c r="G260" s="286"/>
      <c r="H260" s="886"/>
      <c r="I260" s="490" t="s">
        <v>2409</v>
      </c>
      <c r="J260" s="742"/>
      <c r="K260" s="109" t="s">
        <v>156</v>
      </c>
      <c r="L260" s="228"/>
      <c r="M260" s="92"/>
      <c r="N260" s="228"/>
      <c r="O260" s="92"/>
      <c r="P260" s="228"/>
      <c r="Q260" s="297"/>
      <c r="R260" s="297">
        <v>45</v>
      </c>
      <c r="S260" s="1842"/>
      <c r="T260" s="1842">
        <v>26</v>
      </c>
      <c r="U260" s="4946" t="s">
        <v>1825</v>
      </c>
      <c r="V260" s="4929">
        <f>4/36*100</f>
        <v>11.111111111111111</v>
      </c>
      <c r="W260" s="2060"/>
      <c r="X260" s="2186"/>
      <c r="Y260" s="293"/>
      <c r="Z260" s="100"/>
      <c r="AA260" s="293"/>
      <c r="AB260" s="2187"/>
      <c r="AC260" s="2111"/>
      <c r="AD260" s="100"/>
      <c r="AE260" s="100"/>
      <c r="AF260" s="100"/>
      <c r="AG260" s="100"/>
      <c r="AH260" s="100"/>
      <c r="AI260" s="100"/>
      <c r="AJ260" s="100"/>
      <c r="AK260" s="100"/>
      <c r="AL260" s="100"/>
      <c r="AM260" s="100"/>
      <c r="AN260" s="2187"/>
      <c r="AO260" s="3712">
        <f>AP260/$AO$250</f>
        <v>0.28604118993135014</v>
      </c>
      <c r="AP260" s="4947">
        <v>125</v>
      </c>
      <c r="AQ260" s="5740">
        <f>AR260/$AQ$250</f>
        <v>0.4329004329004329</v>
      </c>
      <c r="AR260" s="4947">
        <v>100</v>
      </c>
      <c r="AS260" s="5740">
        <f>AT260/$AS$250</f>
        <v>0.26938775510204083</v>
      </c>
      <c r="AT260" s="4948">
        <v>66</v>
      </c>
      <c r="AU260" s="2186"/>
      <c r="AV260" s="293"/>
      <c r="AW260" s="100"/>
      <c r="AX260" s="293"/>
      <c r="AY260" s="2187"/>
      <c r="AZ260" s="2186"/>
      <c r="BA260" s="293"/>
      <c r="BB260" s="100"/>
      <c r="BC260" s="293"/>
      <c r="BD260" s="2187"/>
      <c r="BE260" s="2186"/>
      <c r="BF260" s="293"/>
      <c r="BG260" s="100"/>
      <c r="BH260" s="293"/>
      <c r="BI260" s="2187"/>
      <c r="BJ260" s="348" t="s">
        <v>945</v>
      </c>
      <c r="BK260" s="746" t="s">
        <v>946</v>
      </c>
      <c r="BL260" s="99"/>
      <c r="BM260" s="547"/>
      <c r="BN260" s="547"/>
      <c r="BO260" s="99"/>
      <c r="BP260" s="620" t="s">
        <v>919</v>
      </c>
      <c r="BQ260" s="620" t="s">
        <v>884</v>
      </c>
      <c r="BR260" s="159"/>
      <c r="BS260" s="18"/>
    </row>
    <row r="261" spans="2:71" ht="24" customHeight="1">
      <c r="B261" s="4945" t="s">
        <v>2281</v>
      </c>
      <c r="C261" s="4620"/>
      <c r="D261" s="490" t="s">
        <v>802</v>
      </c>
      <c r="E261" s="491"/>
      <c r="F261" s="285" t="s">
        <v>156</v>
      </c>
      <c r="G261" s="286"/>
      <c r="H261" s="4511"/>
      <c r="I261" s="490" t="s">
        <v>2410</v>
      </c>
      <c r="J261" s="742"/>
      <c r="K261" s="109" t="s">
        <v>156</v>
      </c>
      <c r="L261" s="228"/>
      <c r="M261" s="92"/>
      <c r="N261" s="228"/>
      <c r="O261" s="92"/>
      <c r="P261" s="228"/>
      <c r="Q261" s="297"/>
      <c r="R261" s="297">
        <v>50</v>
      </c>
      <c r="S261" s="1842"/>
      <c r="T261" s="1842">
        <v>30</v>
      </c>
      <c r="U261" s="4946" t="s">
        <v>1825</v>
      </c>
      <c r="V261" s="4929">
        <f>4/38*100</f>
        <v>10.526315789473683</v>
      </c>
      <c r="W261" s="2060"/>
      <c r="X261" s="2186"/>
      <c r="Y261" s="293"/>
      <c r="Z261" s="100"/>
      <c r="AA261" s="293"/>
      <c r="AB261" s="2187"/>
      <c r="AC261" s="2111"/>
      <c r="AD261" s="100"/>
      <c r="AE261" s="100"/>
      <c r="AF261" s="100"/>
      <c r="AG261" s="100"/>
      <c r="AH261" s="100"/>
      <c r="AI261" s="100"/>
      <c r="AJ261" s="100"/>
      <c r="AK261" s="100"/>
      <c r="AL261" s="100"/>
      <c r="AM261" s="100"/>
      <c r="AN261" s="2187"/>
      <c r="AO261" s="3712">
        <f>AP261/$AO$250</f>
        <v>0.25171624713958812</v>
      </c>
      <c r="AP261" s="4947">
        <v>110</v>
      </c>
      <c r="AQ261" s="5740">
        <f>AR261/$AQ$250</f>
        <v>0.20346320346320346</v>
      </c>
      <c r="AR261" s="4947">
        <v>47</v>
      </c>
      <c r="AS261" s="5740">
        <f>AT261/$AS$250</f>
        <v>0.33469387755102042</v>
      </c>
      <c r="AT261" s="4948">
        <v>82</v>
      </c>
      <c r="AU261" s="2186"/>
      <c r="AV261" s="293"/>
      <c r="AW261" s="100"/>
      <c r="AX261" s="293"/>
      <c r="AY261" s="2187"/>
      <c r="AZ261" s="2186"/>
      <c r="BA261" s="293"/>
      <c r="BB261" s="100"/>
      <c r="BC261" s="293"/>
      <c r="BD261" s="2187"/>
      <c r="BE261" s="2186"/>
      <c r="BF261" s="293"/>
      <c r="BG261" s="100"/>
      <c r="BH261" s="293"/>
      <c r="BI261" s="2187"/>
      <c r="BJ261" s="348"/>
      <c r="BK261" s="746"/>
      <c r="BL261" s="99"/>
      <c r="BM261" s="547"/>
      <c r="BN261" s="547"/>
      <c r="BO261" s="99"/>
      <c r="BP261" s="620" t="s">
        <v>919</v>
      </c>
      <c r="BQ261" s="620" t="s">
        <v>884</v>
      </c>
      <c r="BR261" s="159"/>
      <c r="BS261" s="18"/>
    </row>
    <row r="262" spans="2:71" ht="24" customHeight="1">
      <c r="B262" s="4945" t="s">
        <v>2281</v>
      </c>
      <c r="C262" s="4620"/>
      <c r="D262" s="490" t="s">
        <v>823</v>
      </c>
      <c r="E262" s="491"/>
      <c r="F262" s="285" t="s">
        <v>156</v>
      </c>
      <c r="G262" s="286"/>
      <c r="H262" s="4511"/>
      <c r="I262" s="490" t="s">
        <v>2411</v>
      </c>
      <c r="J262" s="742"/>
      <c r="K262" s="109" t="s">
        <v>156</v>
      </c>
      <c r="L262" s="228"/>
      <c r="M262" s="92"/>
      <c r="N262" s="228"/>
      <c r="O262" s="92"/>
      <c r="P262" s="228"/>
      <c r="Q262" s="297"/>
      <c r="R262" s="297">
        <v>47</v>
      </c>
      <c r="S262" s="1842"/>
      <c r="T262" s="1842">
        <v>27</v>
      </c>
      <c r="U262" s="4946" t="s">
        <v>1824</v>
      </c>
      <c r="V262" s="4929">
        <f>0/14*100</f>
        <v>0</v>
      </c>
      <c r="W262" s="2060"/>
      <c r="X262" s="2186"/>
      <c r="Y262" s="293"/>
      <c r="Z262" s="100"/>
      <c r="AA262" s="293"/>
      <c r="AB262" s="2187"/>
      <c r="AC262" s="2111"/>
      <c r="AD262" s="100"/>
      <c r="AE262" s="100"/>
      <c r="AF262" s="100"/>
      <c r="AG262" s="100"/>
      <c r="AH262" s="100"/>
      <c r="AI262" s="100"/>
      <c r="AJ262" s="100"/>
      <c r="AK262" s="100"/>
      <c r="AL262" s="100"/>
      <c r="AM262" s="100"/>
      <c r="AN262" s="2187"/>
      <c r="AO262" s="3712">
        <f>AP262/$AO$250</f>
        <v>0.10068649885583524</v>
      </c>
      <c r="AP262" s="4949">
        <v>44</v>
      </c>
      <c r="AQ262" s="5740">
        <f>AR262/$AQ$250</f>
        <v>0.12121212121212122</v>
      </c>
      <c r="AR262" s="4949">
        <v>28</v>
      </c>
      <c r="AS262" s="5740">
        <f>AT262/$AS$250</f>
        <v>0.13469387755102041</v>
      </c>
      <c r="AT262" s="4950">
        <v>33</v>
      </c>
      <c r="AU262" s="2186"/>
      <c r="AV262" s="293"/>
      <c r="AW262" s="100"/>
      <c r="AX262" s="293"/>
      <c r="AY262" s="2187"/>
      <c r="AZ262" s="2186"/>
      <c r="BA262" s="293"/>
      <c r="BB262" s="100"/>
      <c r="BC262" s="293"/>
      <c r="BD262" s="2187"/>
      <c r="BE262" s="2186"/>
      <c r="BF262" s="293"/>
      <c r="BG262" s="100"/>
      <c r="BH262" s="293"/>
      <c r="BI262" s="2187"/>
      <c r="BJ262" s="348"/>
      <c r="BK262" s="746"/>
      <c r="BL262" s="99"/>
      <c r="BM262" s="547"/>
      <c r="BN262" s="547"/>
      <c r="BO262" s="99"/>
      <c r="BP262" s="620" t="s">
        <v>919</v>
      </c>
      <c r="BQ262" s="620" t="s">
        <v>884</v>
      </c>
      <c r="BR262" s="159"/>
      <c r="BS262" s="18"/>
    </row>
    <row r="263" spans="2:71" ht="24" customHeight="1">
      <c r="B263" s="4945" t="s">
        <v>2281</v>
      </c>
      <c r="C263" s="4622"/>
      <c r="D263" s="726" t="s">
        <v>827</v>
      </c>
      <c r="E263" s="721"/>
      <c r="F263" s="105" t="s">
        <v>156</v>
      </c>
      <c r="G263" s="253"/>
      <c r="H263" s="4511"/>
      <c r="I263" s="726" t="s">
        <v>2412</v>
      </c>
      <c r="J263" s="742"/>
      <c r="K263" s="109" t="s">
        <v>156</v>
      </c>
      <c r="L263" s="228"/>
      <c r="M263" s="92"/>
      <c r="N263" s="228"/>
      <c r="O263" s="92"/>
      <c r="P263" s="228"/>
      <c r="Q263" s="297"/>
      <c r="R263" s="297">
        <v>55</v>
      </c>
      <c r="S263" s="1842"/>
      <c r="T263" s="1842">
        <v>30</v>
      </c>
      <c r="U263" s="4946" t="s">
        <v>1826</v>
      </c>
      <c r="V263" s="4929">
        <f>6/58*100</f>
        <v>10.344827586206897</v>
      </c>
      <c r="W263" s="2060"/>
      <c r="X263" s="2186"/>
      <c r="Y263" s="293"/>
      <c r="Z263" s="100"/>
      <c r="AA263" s="293"/>
      <c r="AB263" s="2187"/>
      <c r="AC263" s="2111"/>
      <c r="AD263" s="100"/>
      <c r="AE263" s="100"/>
      <c r="AF263" s="100"/>
      <c r="AG263" s="100"/>
      <c r="AH263" s="100"/>
      <c r="AI263" s="100"/>
      <c r="AJ263" s="100"/>
      <c r="AK263" s="100"/>
      <c r="AL263" s="100"/>
      <c r="AM263" s="100"/>
      <c r="AN263" s="2187"/>
      <c r="AO263" s="3712">
        <f>AP263/$AO$250</f>
        <v>0.43249427917620137</v>
      </c>
      <c r="AP263" s="4949">
        <v>189</v>
      </c>
      <c r="AQ263" s="5740">
        <f>AR263/$AQ$250</f>
        <v>0.51515151515151514</v>
      </c>
      <c r="AR263" s="4949">
        <v>119</v>
      </c>
      <c r="AS263" s="5740">
        <f>AT263/$AS$250</f>
        <v>0.45714285714285713</v>
      </c>
      <c r="AT263" s="4950">
        <v>112</v>
      </c>
      <c r="AU263" s="2186"/>
      <c r="AV263" s="293"/>
      <c r="AW263" s="100"/>
      <c r="AX263" s="293"/>
      <c r="AY263" s="2187"/>
      <c r="AZ263" s="2186"/>
      <c r="BA263" s="293"/>
      <c r="BB263" s="100"/>
      <c r="BC263" s="293"/>
      <c r="BD263" s="2187"/>
      <c r="BE263" s="2186"/>
      <c r="BF263" s="293"/>
      <c r="BG263" s="100"/>
      <c r="BH263" s="293"/>
      <c r="BI263" s="2187"/>
      <c r="BJ263" s="348"/>
      <c r="BK263" s="746"/>
      <c r="BL263" s="99"/>
      <c r="BM263" s="547"/>
      <c r="BN263" s="547"/>
      <c r="BO263" s="99"/>
      <c r="BP263" s="620" t="s">
        <v>919</v>
      </c>
      <c r="BQ263" s="620" t="s">
        <v>884</v>
      </c>
      <c r="BR263" s="159"/>
      <c r="BS263" s="18"/>
    </row>
    <row r="264" spans="2:71" ht="24" customHeight="1" thickBot="1">
      <c r="B264" s="4945" t="s">
        <v>2281</v>
      </c>
      <c r="C264" s="4623"/>
      <c r="D264" s="726" t="s">
        <v>830</v>
      </c>
      <c r="E264" s="721"/>
      <c r="F264" s="706" t="s">
        <v>156</v>
      </c>
      <c r="G264" s="253"/>
      <c r="H264" s="4624"/>
      <c r="I264" s="747" t="s">
        <v>2413</v>
      </c>
      <c r="J264" s="748"/>
      <c r="K264" s="711" t="s">
        <v>156</v>
      </c>
      <c r="L264" s="592"/>
      <c r="M264" s="749"/>
      <c r="N264" s="592"/>
      <c r="O264" s="749"/>
      <c r="P264" s="592"/>
      <c r="Q264" s="750"/>
      <c r="R264" s="750">
        <v>64</v>
      </c>
      <c r="S264" s="1871"/>
      <c r="T264" s="1871">
        <v>73</v>
      </c>
      <c r="U264" s="4954" t="s">
        <v>1827</v>
      </c>
      <c r="V264" s="4929">
        <f>2/2*100</f>
        <v>100</v>
      </c>
      <c r="W264" s="591"/>
      <c r="X264" s="2244"/>
      <c r="Y264" s="594"/>
      <c r="Z264" s="593"/>
      <c r="AA264" s="594"/>
      <c r="AB264" s="2245"/>
      <c r="AC264" s="2130"/>
      <c r="AD264" s="593"/>
      <c r="AE264" s="593"/>
      <c r="AF264" s="593"/>
      <c r="AG264" s="593"/>
      <c r="AH264" s="593"/>
      <c r="AI264" s="593"/>
      <c r="AJ264" s="593"/>
      <c r="AK264" s="593"/>
      <c r="AL264" s="593"/>
      <c r="AM264" s="593"/>
      <c r="AN264" s="2245"/>
      <c r="AO264" s="3712">
        <f>AP264/$AO$250</f>
        <v>4.5766590389016018E-3</v>
      </c>
      <c r="AP264" s="4955">
        <v>2</v>
      </c>
      <c r="AQ264" s="5740">
        <f>AR264/$AQ$250</f>
        <v>0</v>
      </c>
      <c r="AR264" s="4955">
        <v>0</v>
      </c>
      <c r="AS264" s="5742">
        <f>AT264/$AS$250</f>
        <v>1.2244897959183673E-2</v>
      </c>
      <c r="AT264" s="4956">
        <v>3</v>
      </c>
      <c r="AU264" s="2244"/>
      <c r="AV264" s="594"/>
      <c r="AW264" s="593"/>
      <c r="AX264" s="594"/>
      <c r="AY264" s="2245"/>
      <c r="AZ264" s="2244"/>
      <c r="BA264" s="594"/>
      <c r="BB264" s="593"/>
      <c r="BC264" s="594"/>
      <c r="BD264" s="2245"/>
      <c r="BE264" s="2244"/>
      <c r="BF264" s="594"/>
      <c r="BG264" s="593"/>
      <c r="BH264" s="594"/>
      <c r="BI264" s="2245"/>
      <c r="BJ264" s="348"/>
      <c r="BK264" s="746"/>
      <c r="BL264" s="751"/>
      <c r="BM264" s="547"/>
      <c r="BN264" s="597"/>
      <c r="BO264" s="751"/>
      <c r="BP264" s="620" t="s">
        <v>919</v>
      </c>
      <c r="BQ264" s="620" t="s">
        <v>884</v>
      </c>
      <c r="BR264" s="159"/>
      <c r="BS264" s="18"/>
    </row>
    <row r="265" spans="2:71" ht="24" customHeight="1" thickBot="1">
      <c r="B265" s="4945" t="s">
        <v>2281</v>
      </c>
      <c r="C265" s="123" t="s">
        <v>952</v>
      </c>
      <c r="D265" s="124"/>
      <c r="E265" s="124"/>
      <c r="F265" s="78"/>
      <c r="G265" s="125" t="s">
        <v>2415</v>
      </c>
      <c r="H265" s="126"/>
      <c r="I265" s="521"/>
      <c r="J265" s="521"/>
      <c r="K265" s="78"/>
      <c r="L265" s="77"/>
      <c r="M265" s="77"/>
      <c r="N265" s="77"/>
      <c r="O265" s="77"/>
      <c r="P265" s="77"/>
      <c r="Q265" s="77"/>
      <c r="R265" s="77"/>
      <c r="S265" s="77"/>
      <c r="T265" s="77"/>
      <c r="U265" s="77"/>
      <c r="V265" s="77"/>
      <c r="W265" s="77"/>
      <c r="X265" s="2194"/>
      <c r="Y265" s="78"/>
      <c r="Z265" s="78"/>
      <c r="AA265" s="78"/>
      <c r="AB265" s="2195"/>
      <c r="AC265" s="78"/>
      <c r="AD265" s="78"/>
      <c r="AE265" s="78"/>
      <c r="AF265" s="148"/>
      <c r="AG265" s="148"/>
      <c r="AH265" s="148"/>
      <c r="AI265" s="148"/>
      <c r="AJ265" s="148"/>
      <c r="AK265" s="148"/>
      <c r="AL265" s="148"/>
      <c r="AM265" s="148"/>
      <c r="AN265" s="2176"/>
      <c r="AO265" s="2175"/>
      <c r="AP265" s="148"/>
      <c r="AQ265" s="148"/>
      <c r="AR265" s="148"/>
      <c r="AS265" s="148"/>
      <c r="AT265" s="4781"/>
      <c r="AU265" s="2175"/>
      <c r="AV265" s="148"/>
      <c r="AW265" s="148"/>
      <c r="AX265" s="148"/>
      <c r="AY265" s="2176"/>
      <c r="AZ265" s="2175"/>
      <c r="BA265" s="148"/>
      <c r="BB265" s="148"/>
      <c r="BC265" s="148"/>
      <c r="BD265" s="2176"/>
      <c r="BE265" s="2175"/>
      <c r="BF265" s="148"/>
      <c r="BG265" s="148"/>
      <c r="BH265" s="148"/>
      <c r="BI265" s="2176"/>
      <c r="BJ265" s="80"/>
      <c r="BK265" s="80"/>
      <c r="BL265" s="129"/>
      <c r="BM265" s="80"/>
      <c r="BN265" s="80"/>
      <c r="BO265" s="129"/>
      <c r="BP265" s="752"/>
      <c r="BQ265" s="328"/>
      <c r="BR265" s="329"/>
      <c r="BS265" s="18"/>
    </row>
    <row r="266" spans="2:71" ht="24" customHeight="1">
      <c r="B266" s="4505" t="s">
        <v>2281</v>
      </c>
      <c r="C266" s="4627" t="s">
        <v>954</v>
      </c>
      <c r="D266" s="753"/>
      <c r="E266" s="754"/>
      <c r="F266" s="755" t="s">
        <v>557</v>
      </c>
      <c r="G266" s="756"/>
      <c r="H266" s="757" t="s">
        <v>2416</v>
      </c>
      <c r="I266" s="757"/>
      <c r="J266" s="788"/>
      <c r="K266" s="758" t="s">
        <v>2417</v>
      </c>
      <c r="L266" s="333">
        <v>4</v>
      </c>
      <c r="M266" s="759"/>
      <c r="N266" s="333">
        <v>7</v>
      </c>
      <c r="O266" s="760"/>
      <c r="P266" s="761"/>
      <c r="Q266" s="762"/>
      <c r="R266" s="762">
        <v>4</v>
      </c>
      <c r="S266" s="1873" t="s">
        <v>960</v>
      </c>
      <c r="T266" s="762">
        <v>7</v>
      </c>
      <c r="U266" s="1874" t="s">
        <v>960</v>
      </c>
      <c r="V266" s="761"/>
      <c r="W266" s="2084"/>
      <c r="X266" s="2264">
        <v>0</v>
      </c>
      <c r="Y266" s="764">
        <v>0</v>
      </c>
      <c r="Z266" s="765">
        <v>0</v>
      </c>
      <c r="AA266" s="764">
        <v>0</v>
      </c>
      <c r="AB266" s="2403"/>
      <c r="AC266" s="4957">
        <v>0</v>
      </c>
      <c r="AD266" s="765">
        <v>0</v>
      </c>
      <c r="AE266" s="766"/>
      <c r="AF266" s="763">
        <v>0</v>
      </c>
      <c r="AG266" s="765">
        <v>0</v>
      </c>
      <c r="AH266" s="766"/>
      <c r="AI266" s="763">
        <v>0</v>
      </c>
      <c r="AJ266" s="765">
        <v>0</v>
      </c>
      <c r="AK266" s="766"/>
      <c r="AL266" s="763">
        <v>0</v>
      </c>
      <c r="AM266" s="765">
        <v>0</v>
      </c>
      <c r="AN266" s="2403"/>
      <c r="AO266" s="2402">
        <v>0</v>
      </c>
      <c r="AP266" s="764">
        <v>0</v>
      </c>
      <c r="AQ266" s="765">
        <v>0</v>
      </c>
      <c r="AR266" s="764">
        <v>0</v>
      </c>
      <c r="AS266" s="4958">
        <v>0</v>
      </c>
      <c r="AT266" s="4959">
        <v>0</v>
      </c>
      <c r="AU266" s="2402">
        <v>0</v>
      </c>
      <c r="AV266" s="764">
        <v>0</v>
      </c>
      <c r="AW266" s="765">
        <v>0</v>
      </c>
      <c r="AX266" s="764">
        <v>0</v>
      </c>
      <c r="AY266" s="2403"/>
      <c r="AZ266" s="2402">
        <v>0</v>
      </c>
      <c r="BA266" s="764">
        <v>0</v>
      </c>
      <c r="BB266" s="765">
        <v>0</v>
      </c>
      <c r="BC266" s="764">
        <v>0</v>
      </c>
      <c r="BD266" s="2403"/>
      <c r="BE266" s="2498"/>
      <c r="BF266" s="764"/>
      <c r="BG266" s="766"/>
      <c r="BH266" s="764"/>
      <c r="BI266" s="2403"/>
      <c r="BJ266" s="1021" t="s">
        <v>956</v>
      </c>
      <c r="BK266" s="262" t="s">
        <v>957</v>
      </c>
      <c r="BL266" s="642"/>
      <c r="BM266" s="534"/>
      <c r="BN266" s="767"/>
      <c r="BO266" s="642"/>
      <c r="BP266" s="768" t="s">
        <v>958</v>
      </c>
      <c r="BQ266" s="769"/>
      <c r="BR266" s="770"/>
      <c r="BS266" s="18"/>
    </row>
    <row r="267" spans="2:71" ht="24" customHeight="1">
      <c r="B267" s="4505" t="s">
        <v>2281</v>
      </c>
      <c r="C267" s="4627" t="s">
        <v>961</v>
      </c>
      <c r="D267" s="753"/>
      <c r="E267" s="754"/>
      <c r="F267" s="285" t="s">
        <v>557</v>
      </c>
      <c r="G267" s="771"/>
      <c r="H267" s="757" t="s">
        <v>2418</v>
      </c>
      <c r="I267" s="757"/>
      <c r="J267" s="788"/>
      <c r="K267" s="162" t="s">
        <v>559</v>
      </c>
      <c r="L267" s="298">
        <v>4</v>
      </c>
      <c r="M267" s="605"/>
      <c r="N267" s="298">
        <v>4</v>
      </c>
      <c r="O267" s="772"/>
      <c r="P267" s="228"/>
      <c r="Q267" s="297"/>
      <c r="R267" s="297">
        <v>4</v>
      </c>
      <c r="S267" s="1842" t="s">
        <v>960</v>
      </c>
      <c r="T267" s="297">
        <v>4</v>
      </c>
      <c r="U267" s="607" t="s">
        <v>960</v>
      </c>
      <c r="V267" s="228"/>
      <c r="W267" s="2060"/>
      <c r="X267" s="2250">
        <v>0</v>
      </c>
      <c r="Y267" s="484">
        <v>0</v>
      </c>
      <c r="Z267" s="702">
        <v>0</v>
      </c>
      <c r="AA267" s="484">
        <v>0</v>
      </c>
      <c r="AB267" s="2187"/>
      <c r="AC267" s="2131">
        <v>0</v>
      </c>
      <c r="AD267" s="702">
        <v>0</v>
      </c>
      <c r="AE267" s="100"/>
      <c r="AF267" s="612">
        <v>0</v>
      </c>
      <c r="AG267" s="702">
        <v>0</v>
      </c>
      <c r="AH267" s="100"/>
      <c r="AI267" s="612">
        <v>0</v>
      </c>
      <c r="AJ267" s="702">
        <v>0</v>
      </c>
      <c r="AK267" s="100"/>
      <c r="AL267" s="612">
        <v>0</v>
      </c>
      <c r="AM267" s="702">
        <v>0</v>
      </c>
      <c r="AN267" s="2187"/>
      <c r="AO267" s="2404">
        <v>0</v>
      </c>
      <c r="AP267" s="484">
        <v>0</v>
      </c>
      <c r="AQ267" s="702">
        <v>0</v>
      </c>
      <c r="AR267" s="484">
        <v>0</v>
      </c>
      <c r="AS267" s="2349">
        <v>0</v>
      </c>
      <c r="AT267" s="4878">
        <v>0</v>
      </c>
      <c r="AU267" s="2404">
        <v>0</v>
      </c>
      <c r="AV267" s="484">
        <v>0</v>
      </c>
      <c r="AW267" s="702">
        <v>0</v>
      </c>
      <c r="AX267" s="484">
        <v>0</v>
      </c>
      <c r="AY267" s="2187"/>
      <c r="AZ267" s="2404">
        <v>0</v>
      </c>
      <c r="BA267" s="484">
        <v>0</v>
      </c>
      <c r="BB267" s="702">
        <v>0</v>
      </c>
      <c r="BC267" s="484">
        <v>0</v>
      </c>
      <c r="BD267" s="2187"/>
      <c r="BE267" s="2186"/>
      <c r="BF267" s="484"/>
      <c r="BG267" s="100"/>
      <c r="BH267" s="484"/>
      <c r="BI267" s="2187"/>
      <c r="BJ267" s="498" t="s">
        <v>963</v>
      </c>
      <c r="BK267" s="367" t="s">
        <v>964</v>
      </c>
      <c r="BL267" s="99"/>
      <c r="BM267" s="547"/>
      <c r="BN267" s="773"/>
      <c r="BO267" s="99"/>
      <c r="BP267" s="774" t="s">
        <v>965</v>
      </c>
      <c r="BQ267" s="775"/>
      <c r="BR267" s="776"/>
      <c r="BS267" s="18"/>
    </row>
    <row r="268" spans="2:71" ht="24" customHeight="1">
      <c r="B268" s="4505" t="s">
        <v>2281</v>
      </c>
      <c r="C268" s="4627" t="s">
        <v>967</v>
      </c>
      <c r="D268" s="753"/>
      <c r="E268" s="754"/>
      <c r="F268" s="285" t="s">
        <v>168</v>
      </c>
      <c r="G268" s="777"/>
      <c r="H268" s="757" t="s">
        <v>2419</v>
      </c>
      <c r="I268" s="757"/>
      <c r="J268" s="788"/>
      <c r="K268" s="778" t="s">
        <v>168</v>
      </c>
      <c r="L268" s="779"/>
      <c r="M268" s="605"/>
      <c r="N268" s="779"/>
      <c r="O268" s="772"/>
      <c r="P268" s="228"/>
      <c r="Q268" s="95"/>
      <c r="R268" s="308"/>
      <c r="S268" s="1842"/>
      <c r="T268" s="308"/>
      <c r="U268" s="607"/>
      <c r="V268" s="228"/>
      <c r="W268" s="2053"/>
      <c r="X268" s="2250"/>
      <c r="Y268" s="484"/>
      <c r="Z268" s="702"/>
      <c r="AA268" s="484"/>
      <c r="AB268" s="2187"/>
      <c r="AC268" s="2131"/>
      <c r="AD268" s="702"/>
      <c r="AE268" s="100"/>
      <c r="AF268" s="612"/>
      <c r="AG268" s="702"/>
      <c r="AH268" s="100"/>
      <c r="AI268" s="612"/>
      <c r="AJ268" s="702"/>
      <c r="AK268" s="100"/>
      <c r="AL268" s="612"/>
      <c r="AM268" s="702"/>
      <c r="AN268" s="2187"/>
      <c r="AO268" s="2404"/>
      <c r="AP268" s="484"/>
      <c r="AQ268" s="702"/>
      <c r="AR268" s="484"/>
      <c r="AS268" s="2349"/>
      <c r="AT268" s="4878"/>
      <c r="AU268" s="2404"/>
      <c r="AV268" s="484"/>
      <c r="AW268" s="702"/>
      <c r="AX268" s="484"/>
      <c r="AY268" s="2187"/>
      <c r="AZ268" s="2404"/>
      <c r="BA268" s="484"/>
      <c r="BB268" s="702"/>
      <c r="BC268" s="484"/>
      <c r="BD268" s="2187"/>
      <c r="BE268" s="2186"/>
      <c r="BF268" s="484"/>
      <c r="BG268" s="100"/>
      <c r="BH268" s="484"/>
      <c r="BI268" s="2187"/>
      <c r="BJ268" s="498" t="s">
        <v>969</v>
      </c>
      <c r="BK268" s="367" t="s">
        <v>970</v>
      </c>
      <c r="BL268" s="99"/>
      <c r="BM268" s="547"/>
      <c r="BN268" s="773"/>
      <c r="BO268" s="99"/>
      <c r="BP268" s="780" t="s">
        <v>971</v>
      </c>
      <c r="BQ268" s="775"/>
      <c r="BR268" s="776"/>
      <c r="BS268" s="18"/>
    </row>
    <row r="269" spans="2:71" ht="24" customHeight="1">
      <c r="B269" s="4505" t="s">
        <v>2281</v>
      </c>
      <c r="C269" s="1878" t="s">
        <v>972</v>
      </c>
      <c r="D269" s="781"/>
      <c r="E269" s="781"/>
      <c r="F269" s="285" t="s">
        <v>156</v>
      </c>
      <c r="G269" s="777"/>
      <c r="H269" s="757" t="s">
        <v>2420</v>
      </c>
      <c r="I269" s="757"/>
      <c r="J269" s="788"/>
      <c r="K269" s="782" t="s">
        <v>156</v>
      </c>
      <c r="L269" s="783">
        <f>IFERROR(L270/L271*100,"-")</f>
        <v>99.801685671789784</v>
      </c>
      <c r="M269" s="784"/>
      <c r="N269" s="783">
        <f>IFERROR(N270/N271*100,"-")</f>
        <v>61.531279178338004</v>
      </c>
      <c r="O269" s="784"/>
      <c r="P269" s="783" t="str">
        <f>IFERROR(P270/P271*100,"-")</f>
        <v>-</v>
      </c>
      <c r="Q269" s="95"/>
      <c r="R269" s="783">
        <f>IFERROR(R270/R271*100,"-")</f>
        <v>99.788806758183739</v>
      </c>
      <c r="S269" s="4960"/>
      <c r="T269" s="783">
        <f>IFERROR(T270/T271*100,"-")</f>
        <v>99.602780536246271</v>
      </c>
      <c r="U269" s="4961"/>
      <c r="V269" s="783" t="str">
        <f>IFERROR(V270/V271*100,"-")</f>
        <v>-</v>
      </c>
      <c r="W269" s="2053"/>
      <c r="X269" s="2405">
        <f>IFERROR(X270/X271*100,"-")</f>
        <v>98.425196850393704</v>
      </c>
      <c r="Y269" s="652"/>
      <c r="Z269" s="783">
        <f>IFERROR(Z270/Z271*100,"-")</f>
        <v>97.604790419161674</v>
      </c>
      <c r="AA269" s="652"/>
      <c r="AB269" s="2406" t="str">
        <f t="shared" ref="AB269:AO269" si="24">IFERROR(AB270/AB271*100,"-")</f>
        <v>-</v>
      </c>
      <c r="AC269" s="2137">
        <f t="shared" si="24"/>
        <v>98.425196850393704</v>
      </c>
      <c r="AD269" s="783">
        <f t="shared" si="24"/>
        <v>97.604790419161674</v>
      </c>
      <c r="AE269" s="783" t="str">
        <f t="shared" si="24"/>
        <v>-</v>
      </c>
      <c r="AF269" s="783">
        <f t="shared" si="24"/>
        <v>98.425196850393704</v>
      </c>
      <c r="AG269" s="783">
        <f t="shared" si="24"/>
        <v>97.604790419161674</v>
      </c>
      <c r="AH269" s="783" t="str">
        <f t="shared" si="24"/>
        <v>-</v>
      </c>
      <c r="AI269" s="783">
        <f t="shared" si="24"/>
        <v>98.425196850393704</v>
      </c>
      <c r="AJ269" s="783">
        <f t="shared" si="24"/>
        <v>97.604790419161674</v>
      </c>
      <c r="AK269" s="783" t="str">
        <f t="shared" si="24"/>
        <v>-</v>
      </c>
      <c r="AL269" s="783">
        <f t="shared" si="24"/>
        <v>98.425196850393704</v>
      </c>
      <c r="AM269" s="783">
        <f t="shared" si="24"/>
        <v>97.604790419161674</v>
      </c>
      <c r="AN269" s="2406" t="str">
        <f t="shared" si="24"/>
        <v>-</v>
      </c>
      <c r="AO269" s="2405" t="str">
        <f t="shared" si="24"/>
        <v>-</v>
      </c>
      <c r="AP269" s="652"/>
      <c r="AQ269" s="783" t="str">
        <f>IFERROR(AQ270/AQ271*100,"-")</f>
        <v>-</v>
      </c>
      <c r="AR269" s="652"/>
      <c r="AS269" s="2541" t="str">
        <f>IFERROR(AS270/AS271*100,"-")</f>
        <v>-</v>
      </c>
      <c r="AT269" s="4943"/>
      <c r="AU269" s="2405">
        <f>IFERROR(AU270/AU271*100,"-")</f>
        <v>100</v>
      </c>
      <c r="AV269" s="652"/>
      <c r="AW269" s="783">
        <f>IFERROR(AW270/AW271*100,"-")</f>
        <v>26.343154246100518</v>
      </c>
      <c r="AX269" s="652"/>
      <c r="AY269" s="2406" t="str">
        <f>IFERROR(AY270/AY271*100,"-")</f>
        <v>-</v>
      </c>
      <c r="AZ269" s="2405">
        <f>IFERROR(AZ270/AZ271*100,"-")</f>
        <v>100</v>
      </c>
      <c r="BA269" s="652"/>
      <c r="BB269" s="783">
        <f>IFERROR(BB270/BB271*100,"-")</f>
        <v>0</v>
      </c>
      <c r="BC269" s="652"/>
      <c r="BD269" s="2406" t="str">
        <f>IFERROR(BD270/BD271*100,"-")</f>
        <v>-</v>
      </c>
      <c r="BE269" s="2405" t="str">
        <f>IFERROR(BE270/BE271*100,"-")</f>
        <v>-</v>
      </c>
      <c r="BF269" s="652"/>
      <c r="BG269" s="783" t="str">
        <f>IFERROR(BG270/BG271*100,"-")</f>
        <v>-</v>
      </c>
      <c r="BH269" s="652"/>
      <c r="BI269" s="2406" t="str">
        <f>IFERROR(BI270/BI271*100,"-")</f>
        <v>-</v>
      </c>
      <c r="BJ269" s="498" t="s">
        <v>974</v>
      </c>
      <c r="BK269" s="367" t="s">
        <v>975</v>
      </c>
      <c r="BL269" s="99"/>
      <c r="BM269" s="547"/>
      <c r="BN269" s="773"/>
      <c r="BO269" s="99"/>
      <c r="BP269" s="786" t="s">
        <v>976</v>
      </c>
      <c r="BQ269" s="775"/>
      <c r="BR269" s="776"/>
      <c r="BS269" s="18"/>
    </row>
    <row r="270" spans="2:71" ht="24" customHeight="1">
      <c r="B270" s="4505" t="s">
        <v>2281</v>
      </c>
      <c r="C270" s="4632"/>
      <c r="D270" s="787" t="s">
        <v>978</v>
      </c>
      <c r="E270" s="781"/>
      <c r="F270" s="285" t="s">
        <v>742</v>
      </c>
      <c r="G270" s="771"/>
      <c r="H270" s="905"/>
      <c r="I270" s="788" t="s">
        <v>2421</v>
      </c>
      <c r="J270" s="788"/>
      <c r="K270" s="782" t="s">
        <v>2357</v>
      </c>
      <c r="L270" s="789">
        <v>2013</v>
      </c>
      <c r="M270" s="789"/>
      <c r="N270" s="789">
        <v>1318</v>
      </c>
      <c r="O270" s="790"/>
      <c r="P270" s="791"/>
      <c r="Q270" s="95"/>
      <c r="R270" s="645">
        <v>945</v>
      </c>
      <c r="S270" s="4915">
        <v>0</v>
      </c>
      <c r="T270" s="645">
        <v>1003</v>
      </c>
      <c r="U270" s="737">
        <v>0</v>
      </c>
      <c r="V270" s="644"/>
      <c r="W270" s="2053"/>
      <c r="X270" s="2260">
        <v>125</v>
      </c>
      <c r="Y270" s="737" t="s">
        <v>982</v>
      </c>
      <c r="Z270" s="649">
        <v>163</v>
      </c>
      <c r="AA270" s="737" t="s">
        <v>983</v>
      </c>
      <c r="AB270" s="2303"/>
      <c r="AC270" s="2132">
        <v>125</v>
      </c>
      <c r="AD270" s="649">
        <v>163</v>
      </c>
      <c r="AE270" s="542"/>
      <c r="AF270" s="647">
        <v>125</v>
      </c>
      <c r="AG270" s="649">
        <v>163</v>
      </c>
      <c r="AH270" s="542"/>
      <c r="AI270" s="647">
        <v>125</v>
      </c>
      <c r="AJ270" s="649">
        <v>163</v>
      </c>
      <c r="AK270" s="542"/>
      <c r="AL270" s="647">
        <v>125</v>
      </c>
      <c r="AM270" s="649">
        <v>163</v>
      </c>
      <c r="AN270" s="2303"/>
      <c r="AO270" s="2398">
        <v>0</v>
      </c>
      <c r="AP270" s="652">
        <v>0</v>
      </c>
      <c r="AQ270" s="649">
        <v>0</v>
      </c>
      <c r="AR270" s="652">
        <v>0</v>
      </c>
      <c r="AS270" s="795">
        <v>0</v>
      </c>
      <c r="AT270" s="4943">
        <v>0</v>
      </c>
      <c r="AU270" s="2398">
        <v>564</v>
      </c>
      <c r="AV270" s="737" t="s">
        <v>2422</v>
      </c>
      <c r="AW270" s="649">
        <v>152</v>
      </c>
      <c r="AX270" s="737" t="s">
        <v>2423</v>
      </c>
      <c r="AY270" s="2303"/>
      <c r="AZ270" s="2398">
        <v>379</v>
      </c>
      <c r="BA270" s="792" t="s">
        <v>2424</v>
      </c>
      <c r="BB270" s="649">
        <v>0</v>
      </c>
      <c r="BC270" s="737" t="s">
        <v>2425</v>
      </c>
      <c r="BD270" s="2303"/>
      <c r="BE270" s="2302"/>
      <c r="BF270" s="652"/>
      <c r="BG270" s="542"/>
      <c r="BH270" s="652"/>
      <c r="BI270" s="2303"/>
      <c r="BJ270" s="498" t="s">
        <v>980</v>
      </c>
      <c r="BK270" s="367"/>
      <c r="BL270" s="99"/>
      <c r="BM270" s="547"/>
      <c r="BN270" s="773"/>
      <c r="BO270" s="99"/>
      <c r="BP270" s="775" t="s">
        <v>976</v>
      </c>
      <c r="BQ270" s="775"/>
      <c r="BR270" s="776"/>
      <c r="BS270" s="18"/>
    </row>
    <row r="271" spans="2:71" ht="24" customHeight="1">
      <c r="B271" s="4505" t="s">
        <v>2281</v>
      </c>
      <c r="C271" s="4634"/>
      <c r="D271" s="787" t="s">
        <v>984</v>
      </c>
      <c r="E271" s="781"/>
      <c r="F271" s="285" t="s">
        <v>742</v>
      </c>
      <c r="G271" s="771"/>
      <c r="H271" s="912"/>
      <c r="I271" s="788" t="s">
        <v>2426</v>
      </c>
      <c r="J271" s="788"/>
      <c r="K271" s="782" t="s">
        <v>734</v>
      </c>
      <c r="L271" s="789">
        <v>2017</v>
      </c>
      <c r="M271" s="789"/>
      <c r="N271" s="789">
        <v>2142</v>
      </c>
      <c r="O271" s="790"/>
      <c r="P271" s="791"/>
      <c r="Q271" s="95"/>
      <c r="R271" s="645">
        <v>947</v>
      </c>
      <c r="S271" s="4915" t="s">
        <v>986</v>
      </c>
      <c r="T271" s="645">
        <v>1007</v>
      </c>
      <c r="U271" s="737" t="s">
        <v>986</v>
      </c>
      <c r="V271" s="644"/>
      <c r="W271" s="2053"/>
      <c r="X271" s="2260">
        <v>127</v>
      </c>
      <c r="Y271" s="737" t="s">
        <v>987</v>
      </c>
      <c r="Z271" s="649">
        <v>167</v>
      </c>
      <c r="AA271" s="737" t="s">
        <v>987</v>
      </c>
      <c r="AB271" s="2303"/>
      <c r="AC271" s="2132">
        <v>127</v>
      </c>
      <c r="AD271" s="649">
        <v>167</v>
      </c>
      <c r="AE271" s="542"/>
      <c r="AF271" s="647">
        <v>127</v>
      </c>
      <c r="AG271" s="649">
        <v>167</v>
      </c>
      <c r="AH271" s="542"/>
      <c r="AI271" s="647">
        <v>127</v>
      </c>
      <c r="AJ271" s="649">
        <v>167</v>
      </c>
      <c r="AK271" s="542"/>
      <c r="AL271" s="647">
        <v>127</v>
      </c>
      <c r="AM271" s="649">
        <v>167</v>
      </c>
      <c r="AN271" s="2303"/>
      <c r="AO271" s="2398">
        <v>0</v>
      </c>
      <c r="AP271" s="652">
        <v>0</v>
      </c>
      <c r="AQ271" s="649">
        <v>0</v>
      </c>
      <c r="AR271" s="652">
        <v>0</v>
      </c>
      <c r="AS271" s="795"/>
      <c r="AT271" s="4943">
        <v>0</v>
      </c>
      <c r="AU271" s="2398">
        <v>564</v>
      </c>
      <c r="AV271" s="652">
        <v>0</v>
      </c>
      <c r="AW271" s="649">
        <v>577</v>
      </c>
      <c r="AX271" s="652">
        <v>0</v>
      </c>
      <c r="AY271" s="2303"/>
      <c r="AZ271" s="2398">
        <v>379</v>
      </c>
      <c r="BA271" s="652">
        <v>0</v>
      </c>
      <c r="BB271" s="649">
        <v>391</v>
      </c>
      <c r="BC271" s="652">
        <v>0</v>
      </c>
      <c r="BD271" s="2303"/>
      <c r="BE271" s="2302"/>
      <c r="BF271" s="652"/>
      <c r="BG271" s="542"/>
      <c r="BH271" s="652"/>
      <c r="BI271" s="2303"/>
      <c r="BJ271" s="498"/>
      <c r="BK271" s="367"/>
      <c r="BL271" s="99"/>
      <c r="BM271" s="547"/>
      <c r="BN271" s="773"/>
      <c r="BO271" s="99"/>
      <c r="BP271" s="775" t="s">
        <v>976</v>
      </c>
      <c r="BQ271" s="775"/>
      <c r="BR271" s="776"/>
      <c r="BS271" s="18"/>
    </row>
    <row r="272" spans="2:71" ht="24" customHeight="1">
      <c r="B272" s="4505" t="s">
        <v>2281</v>
      </c>
      <c r="C272" s="1878" t="s">
        <v>988</v>
      </c>
      <c r="D272" s="781"/>
      <c r="E272" s="781"/>
      <c r="F272" s="285" t="s">
        <v>156</v>
      </c>
      <c r="G272" s="386"/>
      <c r="H272" s="140" t="s">
        <v>2427</v>
      </c>
      <c r="I272" s="140"/>
      <c r="J272" s="177"/>
      <c r="K272" s="782" t="s">
        <v>156</v>
      </c>
      <c r="L272" s="785">
        <f>IFERROR(L273/L274*100,"-")</f>
        <v>52.656546489563574</v>
      </c>
      <c r="M272" s="772"/>
      <c r="N272" s="785">
        <f>IFERROR(N273/N274*100,"-")</f>
        <v>53.500473036896878</v>
      </c>
      <c r="O272" s="772"/>
      <c r="P272" s="785" t="str">
        <f>IFERROR(P273/P274*100,"-")</f>
        <v>-</v>
      </c>
      <c r="Q272" s="95"/>
      <c r="R272" s="785">
        <f>IFERROR(R273/R274*100,"-")</f>
        <v>95.938104448742749</v>
      </c>
      <c r="S272" s="1759"/>
      <c r="T272" s="785">
        <f>IFERROR(T273/T274*100,"-")</f>
        <v>99.214145383104125</v>
      </c>
      <c r="U272" s="1759"/>
      <c r="V272" s="785" t="str">
        <f>IFERROR(V273/V274*100,"-")</f>
        <v>-</v>
      </c>
      <c r="W272" s="2053"/>
      <c r="X272" s="2265">
        <f>IFERROR(X273/X274*100,"-")</f>
        <v>90.07633587786259</v>
      </c>
      <c r="Y272" s="613"/>
      <c r="Z272" s="785">
        <f>IFERROR(Z273/Z274*100,"-")</f>
        <v>94.53125</v>
      </c>
      <c r="AA272" s="613"/>
      <c r="AB272" s="2266" t="str">
        <f t="shared" ref="AB272:AO272" si="25">IFERROR(AB273/AB274*100,"-")</f>
        <v>-</v>
      </c>
      <c r="AC272" s="2138">
        <f t="shared" si="25"/>
        <v>90.07633587786259</v>
      </c>
      <c r="AD272" s="785">
        <f t="shared" si="25"/>
        <v>94.53125</v>
      </c>
      <c r="AE272" s="785" t="str">
        <f t="shared" si="25"/>
        <v>-</v>
      </c>
      <c r="AF272" s="785">
        <f t="shared" si="25"/>
        <v>90.07633587786259</v>
      </c>
      <c r="AG272" s="785">
        <f t="shared" si="25"/>
        <v>94.53125</v>
      </c>
      <c r="AH272" s="785" t="str">
        <f t="shared" si="25"/>
        <v>-</v>
      </c>
      <c r="AI272" s="785">
        <f t="shared" si="25"/>
        <v>90.07633587786259</v>
      </c>
      <c r="AJ272" s="785">
        <f t="shared" si="25"/>
        <v>94.53125</v>
      </c>
      <c r="AK272" s="785" t="str">
        <f t="shared" si="25"/>
        <v>-</v>
      </c>
      <c r="AL272" s="785">
        <f t="shared" si="25"/>
        <v>90.07633587786259</v>
      </c>
      <c r="AM272" s="785">
        <f t="shared" si="25"/>
        <v>94.53125</v>
      </c>
      <c r="AN272" s="2266" t="str">
        <f t="shared" si="25"/>
        <v>-</v>
      </c>
      <c r="AO272" s="2265" t="str">
        <f t="shared" si="25"/>
        <v>-</v>
      </c>
      <c r="AP272" s="484"/>
      <c r="AQ272" s="785" t="str">
        <f>IFERROR(AQ273/AQ274*100,"-")</f>
        <v>-</v>
      </c>
      <c r="AR272" s="484"/>
      <c r="AS272" s="2368" t="str">
        <f>IFERROR(AS273/AS274*100,"-")</f>
        <v>-</v>
      </c>
      <c r="AT272" s="4878"/>
      <c r="AU272" s="2265">
        <f>IFERROR(AU273/AU274*100,"-")</f>
        <v>0</v>
      </c>
      <c r="AV272" s="484"/>
      <c r="AW272" s="785">
        <f>IFERROR(AW273/AW274*100,"-")</f>
        <v>0</v>
      </c>
      <c r="AX272" s="484"/>
      <c r="AY272" s="2266" t="str">
        <f>IFERROR(AY273/AY274*100,"-")</f>
        <v>-</v>
      </c>
      <c r="AZ272" s="2265">
        <f>IFERROR(AZ273/AZ274*100,"-")</f>
        <v>0</v>
      </c>
      <c r="BA272" s="484"/>
      <c r="BB272" s="785">
        <f>IFERROR(BB273/BB274*100,"-")</f>
        <v>0</v>
      </c>
      <c r="BC272" s="484"/>
      <c r="BD272" s="2266" t="str">
        <f>IFERROR(BD273/BD274*100,"-")</f>
        <v>-</v>
      </c>
      <c r="BE272" s="2265" t="str">
        <f>IFERROR(BE273/BE274*100,"-")</f>
        <v>-</v>
      </c>
      <c r="BF272" s="484"/>
      <c r="BG272" s="785" t="str">
        <f>IFERROR(BG273/BG274*100,"-")</f>
        <v>-</v>
      </c>
      <c r="BH272" s="484"/>
      <c r="BI272" s="2266" t="str">
        <f>IFERROR(BI273/BI274*100,"-")</f>
        <v>-</v>
      </c>
      <c r="BJ272" s="498" t="s">
        <v>990</v>
      </c>
      <c r="BK272" s="367" t="s">
        <v>991</v>
      </c>
      <c r="BL272" s="99"/>
      <c r="BM272" s="547"/>
      <c r="BN272" s="773"/>
      <c r="BO272" s="99"/>
      <c r="BP272" s="775" t="s">
        <v>992</v>
      </c>
      <c r="BQ272" s="775"/>
      <c r="BR272" s="776"/>
      <c r="BS272" s="18"/>
    </row>
    <row r="273" spans="2:71" ht="24" customHeight="1">
      <c r="B273" s="4505" t="s">
        <v>2281</v>
      </c>
      <c r="C273" s="4619"/>
      <c r="D273" s="787" t="s">
        <v>994</v>
      </c>
      <c r="E273" s="781"/>
      <c r="F273" s="285" t="s">
        <v>742</v>
      </c>
      <c r="G273" s="201"/>
      <c r="H273" s="574"/>
      <c r="I273" s="576" t="s">
        <v>2428</v>
      </c>
      <c r="J273" s="576"/>
      <c r="K273" s="782" t="s">
        <v>734</v>
      </c>
      <c r="L273" s="789">
        <v>1110</v>
      </c>
      <c r="M273" s="789"/>
      <c r="N273" s="789">
        <v>1131</v>
      </c>
      <c r="O273" s="790"/>
      <c r="P273" s="791"/>
      <c r="Q273" s="95"/>
      <c r="R273" s="645">
        <v>992</v>
      </c>
      <c r="S273" s="4915" t="s">
        <v>996</v>
      </c>
      <c r="T273" s="645">
        <v>1010</v>
      </c>
      <c r="U273" s="737">
        <v>0</v>
      </c>
      <c r="V273" s="644"/>
      <c r="W273" s="2053"/>
      <c r="X273" s="2260">
        <v>118</v>
      </c>
      <c r="Y273" s="737" t="s">
        <v>997</v>
      </c>
      <c r="Z273" s="649">
        <v>121</v>
      </c>
      <c r="AA273" s="737" t="s">
        <v>998</v>
      </c>
      <c r="AB273" s="2303"/>
      <c r="AC273" s="2132">
        <v>118</v>
      </c>
      <c r="AD273" s="649">
        <v>121</v>
      </c>
      <c r="AE273" s="542"/>
      <c r="AF273" s="647">
        <v>118</v>
      </c>
      <c r="AG273" s="649">
        <v>121</v>
      </c>
      <c r="AH273" s="542"/>
      <c r="AI273" s="647">
        <v>118</v>
      </c>
      <c r="AJ273" s="649">
        <v>121</v>
      </c>
      <c r="AK273" s="542"/>
      <c r="AL273" s="647">
        <v>118</v>
      </c>
      <c r="AM273" s="649">
        <v>121</v>
      </c>
      <c r="AN273" s="2303"/>
      <c r="AO273" s="2398">
        <v>0</v>
      </c>
      <c r="AP273" s="652">
        <v>0</v>
      </c>
      <c r="AQ273" s="649">
        <v>0</v>
      </c>
      <c r="AR273" s="652">
        <v>0</v>
      </c>
      <c r="AS273" s="795">
        <v>0</v>
      </c>
      <c r="AT273" s="4943">
        <v>0</v>
      </c>
      <c r="AU273" s="2398">
        <v>0</v>
      </c>
      <c r="AV273" s="652">
        <v>0</v>
      </c>
      <c r="AW273" s="649">
        <v>0</v>
      </c>
      <c r="AX273" s="652">
        <v>0</v>
      </c>
      <c r="AY273" s="2303"/>
      <c r="AZ273" s="2398">
        <v>0</v>
      </c>
      <c r="BA273" s="737" t="s">
        <v>2429</v>
      </c>
      <c r="BB273" s="649">
        <v>0</v>
      </c>
      <c r="BC273" s="737" t="s">
        <v>2429</v>
      </c>
      <c r="BD273" s="2303"/>
      <c r="BE273" s="2302"/>
      <c r="BF273" s="652"/>
      <c r="BG273" s="542"/>
      <c r="BH273" s="652"/>
      <c r="BI273" s="2303"/>
      <c r="BJ273" s="498"/>
      <c r="BK273" s="367"/>
      <c r="BL273" s="99"/>
      <c r="BM273" s="547"/>
      <c r="BN273" s="1102"/>
      <c r="BO273" s="99"/>
      <c r="BP273" s="775" t="s">
        <v>992</v>
      </c>
      <c r="BQ273" s="775"/>
      <c r="BR273" s="776"/>
      <c r="BS273" s="18"/>
    </row>
    <row r="274" spans="2:71" ht="24" customHeight="1">
      <c r="B274" s="4505" t="s">
        <v>2281</v>
      </c>
      <c r="C274" s="4621"/>
      <c r="D274" s="781" t="s">
        <v>999</v>
      </c>
      <c r="E274" s="793"/>
      <c r="F274" s="285" t="s">
        <v>742</v>
      </c>
      <c r="G274" s="201"/>
      <c r="H274" s="577"/>
      <c r="I274" s="576" t="s">
        <v>2430</v>
      </c>
      <c r="J274" s="576"/>
      <c r="K274" s="782" t="s">
        <v>734</v>
      </c>
      <c r="L274" s="789">
        <v>2108</v>
      </c>
      <c r="M274" s="789"/>
      <c r="N274" s="789">
        <v>2114</v>
      </c>
      <c r="O274" s="790"/>
      <c r="P274" s="791"/>
      <c r="Q274" s="794"/>
      <c r="R274" s="645">
        <v>1034</v>
      </c>
      <c r="S274" s="4915" t="s">
        <v>986</v>
      </c>
      <c r="T274" s="645">
        <v>1018</v>
      </c>
      <c r="U274" s="737" t="s">
        <v>986</v>
      </c>
      <c r="V274" s="644"/>
      <c r="W274" s="2053"/>
      <c r="X274" s="2260">
        <v>131</v>
      </c>
      <c r="Y274" s="737" t="s">
        <v>987</v>
      </c>
      <c r="Z274" s="649">
        <v>128</v>
      </c>
      <c r="AA274" s="737" t="s">
        <v>987</v>
      </c>
      <c r="AB274" s="2303"/>
      <c r="AC274" s="2132">
        <v>131</v>
      </c>
      <c r="AD274" s="649">
        <v>128</v>
      </c>
      <c r="AE274" s="542"/>
      <c r="AF274" s="647">
        <v>131</v>
      </c>
      <c r="AG274" s="649">
        <v>128</v>
      </c>
      <c r="AH274" s="542"/>
      <c r="AI274" s="647">
        <v>131</v>
      </c>
      <c r="AJ274" s="649">
        <v>128</v>
      </c>
      <c r="AK274" s="542"/>
      <c r="AL274" s="647">
        <v>131</v>
      </c>
      <c r="AM274" s="649">
        <v>128</v>
      </c>
      <c r="AN274" s="2303"/>
      <c r="AO274" s="2398">
        <v>0</v>
      </c>
      <c r="AP274" s="652">
        <v>0</v>
      </c>
      <c r="AQ274" s="649">
        <v>0</v>
      </c>
      <c r="AR274" s="652">
        <v>0</v>
      </c>
      <c r="AS274" s="795">
        <v>0</v>
      </c>
      <c r="AT274" s="4943">
        <v>0</v>
      </c>
      <c r="AU274" s="2398">
        <v>564</v>
      </c>
      <c r="AV274" s="652">
        <v>0</v>
      </c>
      <c r="AW274" s="649">
        <v>577</v>
      </c>
      <c r="AX274" s="652">
        <v>0</v>
      </c>
      <c r="AY274" s="2303"/>
      <c r="AZ274" s="2398">
        <v>379</v>
      </c>
      <c r="BA274" s="737">
        <v>0</v>
      </c>
      <c r="BB274" s="649">
        <v>391</v>
      </c>
      <c r="BC274" s="737">
        <v>0</v>
      </c>
      <c r="BD274" s="2303"/>
      <c r="BE274" s="2302"/>
      <c r="BF274" s="652"/>
      <c r="BG274" s="542"/>
      <c r="BH274" s="652"/>
      <c r="BI274" s="2303"/>
      <c r="BJ274" s="498"/>
      <c r="BL274" s="99"/>
      <c r="BM274" s="4635"/>
      <c r="BN274" s="547"/>
      <c r="BO274" s="796"/>
      <c r="BP274" s="775" t="s">
        <v>992</v>
      </c>
      <c r="BQ274" s="775"/>
      <c r="BR274" s="776"/>
      <c r="BS274" s="18"/>
    </row>
    <row r="275" spans="2:71" ht="24" customHeight="1">
      <c r="B275" s="4505" t="s">
        <v>2281</v>
      </c>
      <c r="C275" s="4637" t="s">
        <v>1000</v>
      </c>
      <c r="D275" s="107"/>
      <c r="E275" s="107"/>
      <c r="F275" s="285" t="s">
        <v>156</v>
      </c>
      <c r="G275" s="201"/>
      <c r="H275" s="576" t="s">
        <v>2431</v>
      </c>
      <c r="I275" s="576"/>
      <c r="J275" s="797"/>
      <c r="K275" s="91" t="s">
        <v>156</v>
      </c>
      <c r="L275" s="798">
        <v>73.698193411264612</v>
      </c>
      <c r="M275" s="798"/>
      <c r="N275" s="798">
        <v>74.488188976377955</v>
      </c>
      <c r="O275" s="725"/>
      <c r="P275" s="799"/>
      <c r="Q275" s="800"/>
      <c r="R275" s="725">
        <v>100</v>
      </c>
      <c r="S275" s="4962"/>
      <c r="T275" s="725">
        <v>100</v>
      </c>
      <c r="U275" s="4962"/>
      <c r="V275" s="799"/>
      <c r="W275" s="2085"/>
      <c r="X275" s="2300"/>
      <c r="Y275" s="804"/>
      <c r="Z275" s="806">
        <v>100</v>
      </c>
      <c r="AA275" s="804"/>
      <c r="AB275" s="2301"/>
      <c r="AC275" s="2145"/>
      <c r="AD275" s="806">
        <v>100</v>
      </c>
      <c r="AE275" s="805"/>
      <c r="AF275" s="805"/>
      <c r="AG275" s="806">
        <v>100</v>
      </c>
      <c r="AH275" s="805"/>
      <c r="AI275" s="805"/>
      <c r="AJ275" s="806">
        <v>100</v>
      </c>
      <c r="AK275" s="805"/>
      <c r="AL275" s="805"/>
      <c r="AM275" s="806">
        <v>100</v>
      </c>
      <c r="AN275" s="2301"/>
      <c r="AO275" s="2407"/>
      <c r="AP275" s="804"/>
      <c r="AQ275" s="803"/>
      <c r="AR275" s="804"/>
      <c r="AS275" s="2544"/>
      <c r="AT275" s="4963"/>
      <c r="AU275" s="2457">
        <v>12.23404255319149</v>
      </c>
      <c r="AV275" s="804"/>
      <c r="AW275" s="806">
        <v>15.771230502599654</v>
      </c>
      <c r="AX275" s="804"/>
      <c r="AY275" s="2301"/>
      <c r="AZ275" s="2407"/>
      <c r="BA275" s="804"/>
      <c r="BB275" s="803"/>
      <c r="BC275" s="804"/>
      <c r="BD275" s="2301"/>
      <c r="BE275" s="2300"/>
      <c r="BF275" s="807"/>
      <c r="BG275" s="805"/>
      <c r="BH275" s="807"/>
      <c r="BI275" s="2301"/>
      <c r="BJ275" s="2483" t="s">
        <v>1002</v>
      </c>
      <c r="BK275" s="544" t="s">
        <v>1001</v>
      </c>
      <c r="BL275" s="808"/>
      <c r="BM275" s="547"/>
      <c r="BN275" s="4642"/>
      <c r="BO275" s="808"/>
      <c r="BP275" s="775" t="s">
        <v>1003</v>
      </c>
      <c r="BQ275" s="620" t="s">
        <v>1004</v>
      </c>
      <c r="BR275" s="159"/>
      <c r="BS275" s="18"/>
    </row>
    <row r="276" spans="2:71" ht="24" customHeight="1">
      <c r="B276" s="4505" t="s">
        <v>2281</v>
      </c>
      <c r="C276" s="1758" t="s">
        <v>1006</v>
      </c>
      <c r="D276" s="104"/>
      <c r="E276" s="104"/>
      <c r="F276" s="809" t="s">
        <v>742</v>
      </c>
      <c r="G276" s="345"/>
      <c r="H276" s="143" t="s">
        <v>2432</v>
      </c>
      <c r="I276" s="143"/>
      <c r="K276" s="810" t="s">
        <v>734</v>
      </c>
      <c r="L276" s="641">
        <v>1387</v>
      </c>
      <c r="M276" s="641"/>
      <c r="N276" s="641">
        <v>1419</v>
      </c>
      <c r="O276" s="639"/>
      <c r="P276" s="644"/>
      <c r="Q276" s="645"/>
      <c r="R276" s="639">
        <v>1135</v>
      </c>
      <c r="S276" s="646"/>
      <c r="T276" s="639">
        <v>1097</v>
      </c>
      <c r="U276" s="646"/>
      <c r="V276" s="644"/>
      <c r="W276" s="2078"/>
      <c r="X276" s="2302"/>
      <c r="Y276" s="543"/>
      <c r="Z276" s="649">
        <v>231</v>
      </c>
      <c r="AA276" s="543"/>
      <c r="AB276" s="2303"/>
      <c r="AC276" s="2127"/>
      <c r="AD276" s="649">
        <v>231</v>
      </c>
      <c r="AE276" s="542"/>
      <c r="AF276" s="542"/>
      <c r="AG276" s="649">
        <v>231</v>
      </c>
      <c r="AH276" s="542"/>
      <c r="AI276" s="542"/>
      <c r="AJ276" s="649">
        <v>231</v>
      </c>
      <c r="AK276" s="542"/>
      <c r="AL276" s="542"/>
      <c r="AM276" s="649">
        <v>231</v>
      </c>
      <c r="AN276" s="2303"/>
      <c r="AO276" s="2398">
        <v>0</v>
      </c>
      <c r="AP276" s="543"/>
      <c r="AQ276" s="649">
        <v>0</v>
      </c>
      <c r="AR276" s="543"/>
      <c r="AS276" s="795"/>
      <c r="AT276" s="4885"/>
      <c r="AU276" s="2398">
        <v>69</v>
      </c>
      <c r="AV276" s="543"/>
      <c r="AW276" s="649">
        <v>91</v>
      </c>
      <c r="AX276" s="543"/>
      <c r="AY276" s="2303"/>
      <c r="AZ276" s="2398">
        <v>0</v>
      </c>
      <c r="BA276" s="543"/>
      <c r="BB276" s="649">
        <v>0</v>
      </c>
      <c r="BC276" s="543"/>
      <c r="BD276" s="2303"/>
      <c r="BE276" s="2302"/>
      <c r="BF276" s="543"/>
      <c r="BG276" s="542"/>
      <c r="BH276" s="543"/>
      <c r="BI276" s="2303"/>
      <c r="BJ276" s="2472"/>
      <c r="BK276" s="457"/>
      <c r="BL276" s="99"/>
      <c r="BM276" s="547"/>
      <c r="BN276" s="4647"/>
      <c r="BO276" s="99"/>
      <c r="BP276" s="775" t="s">
        <v>1003</v>
      </c>
      <c r="BQ276" s="277" t="s">
        <v>1004</v>
      </c>
      <c r="BR276" s="187"/>
      <c r="BS276" s="18"/>
    </row>
    <row r="277" spans="2:71" ht="24" customHeight="1" thickBot="1">
      <c r="B277" s="4505" t="s">
        <v>2281</v>
      </c>
      <c r="C277" s="4648" t="s">
        <v>1010</v>
      </c>
      <c r="D277" s="120"/>
      <c r="E277" s="120"/>
      <c r="F277" s="811" t="s">
        <v>1011</v>
      </c>
      <c r="G277" s="812"/>
      <c r="H277" s="813" t="s">
        <v>2433</v>
      </c>
      <c r="I277" s="813"/>
      <c r="J277" s="576"/>
      <c r="K277" s="815" t="s">
        <v>2417</v>
      </c>
      <c r="L277" s="816"/>
      <c r="M277" s="817"/>
      <c r="N277" s="816"/>
      <c r="O277" s="818"/>
      <c r="P277" s="819"/>
      <c r="Q277" s="820"/>
      <c r="R277" s="4964"/>
      <c r="S277" s="4965"/>
      <c r="T277" s="4964"/>
      <c r="U277" s="4965"/>
      <c r="V277" s="819"/>
      <c r="W277" s="2086"/>
      <c r="X277" s="2408"/>
      <c r="Y277" s="823"/>
      <c r="Z277" s="712"/>
      <c r="AA277" s="823"/>
      <c r="AB277" s="2307"/>
      <c r="AC277" s="2139"/>
      <c r="AD277" s="712"/>
      <c r="AE277" s="712"/>
      <c r="AF277" s="822"/>
      <c r="AG277" s="712"/>
      <c r="AH277" s="712"/>
      <c r="AI277" s="822"/>
      <c r="AJ277" s="712"/>
      <c r="AK277" s="712"/>
      <c r="AL277" s="822"/>
      <c r="AM277" s="712"/>
      <c r="AN277" s="2307"/>
      <c r="AO277" s="2408"/>
      <c r="AP277" s="823"/>
      <c r="AQ277" s="822"/>
      <c r="AR277" s="823"/>
      <c r="AS277" s="2542"/>
      <c r="AT277" s="4966"/>
      <c r="AU277" s="2408"/>
      <c r="AV277" s="823"/>
      <c r="AW277" s="822"/>
      <c r="AX277" s="823"/>
      <c r="AY277" s="2307"/>
      <c r="AZ277" s="2408"/>
      <c r="BA277" s="823"/>
      <c r="BB277" s="822"/>
      <c r="BC277" s="823"/>
      <c r="BD277" s="2307"/>
      <c r="BE277" s="2306"/>
      <c r="BF277" s="713"/>
      <c r="BG277" s="712"/>
      <c r="BH277" s="713"/>
      <c r="BI277" s="2307"/>
      <c r="BJ277" s="2477"/>
      <c r="BK277" s="595"/>
      <c r="BL277" s="751"/>
      <c r="BM277" s="547"/>
      <c r="BN277" s="547"/>
      <c r="BO277" s="219"/>
      <c r="BP277" s="277"/>
      <c r="BQ277" s="265" t="s">
        <v>1014</v>
      </c>
      <c r="BR277" s="187"/>
      <c r="BS277" s="18"/>
    </row>
    <row r="278" spans="2:71" ht="24" customHeight="1" thickBot="1">
      <c r="B278" s="4505" t="s">
        <v>2281</v>
      </c>
      <c r="C278" s="123" t="s">
        <v>1015</v>
      </c>
      <c r="D278" s="124"/>
      <c r="E278" s="124"/>
      <c r="F278" s="78"/>
      <c r="G278" s="125" t="s">
        <v>2434</v>
      </c>
      <c r="H278" s="126"/>
      <c r="I278" s="126"/>
      <c r="J278" s="126"/>
      <c r="K278" s="78"/>
      <c r="L278" s="77"/>
      <c r="M278" s="77"/>
      <c r="N278" s="77"/>
      <c r="O278" s="77"/>
      <c r="P278" s="77"/>
      <c r="Q278" s="77"/>
      <c r="R278" s="77"/>
      <c r="S278" s="77"/>
      <c r="T278" s="77"/>
      <c r="U278" s="77"/>
      <c r="V278" s="77"/>
      <c r="W278" s="77"/>
      <c r="X278" s="2194"/>
      <c r="Y278" s="78"/>
      <c r="Z278" s="78"/>
      <c r="AA278" s="78"/>
      <c r="AB278" s="2195"/>
      <c r="AC278" s="78"/>
      <c r="AD278" s="78"/>
      <c r="AE278" s="78"/>
      <c r="AF278" s="148"/>
      <c r="AG278" s="148"/>
      <c r="AH278" s="148"/>
      <c r="AI278" s="148"/>
      <c r="AJ278" s="148"/>
      <c r="AK278" s="148"/>
      <c r="AL278" s="148"/>
      <c r="AM278" s="148"/>
      <c r="AN278" s="2176"/>
      <c r="AO278" s="2175"/>
      <c r="AP278" s="148"/>
      <c r="AQ278" s="148"/>
      <c r="AR278" s="148"/>
      <c r="AS278" s="148"/>
      <c r="AT278" s="4781"/>
      <c r="AU278" s="2175"/>
      <c r="AV278" s="148"/>
      <c r="AW278" s="148"/>
      <c r="AX278" s="148"/>
      <c r="AY278" s="2176"/>
      <c r="AZ278" s="2175"/>
      <c r="BA278" s="148"/>
      <c r="BB278" s="148"/>
      <c r="BC278" s="148"/>
      <c r="BD278" s="2176"/>
      <c r="BE278" s="2175"/>
      <c r="BF278" s="148"/>
      <c r="BG278" s="148"/>
      <c r="BH278" s="148"/>
      <c r="BI278" s="2176"/>
      <c r="BJ278" s="80"/>
      <c r="BK278" s="80"/>
      <c r="BL278" s="129"/>
      <c r="BM278" s="129"/>
      <c r="BN278" s="129"/>
      <c r="BO278" s="129"/>
      <c r="BP278" s="328"/>
      <c r="BQ278" s="328"/>
      <c r="BR278" s="329"/>
      <c r="BS278" s="18"/>
    </row>
    <row r="279" spans="2:71" ht="24" customHeight="1">
      <c r="B279" s="4505" t="s">
        <v>2281</v>
      </c>
      <c r="C279" s="4612" t="s">
        <v>1017</v>
      </c>
      <c r="D279" s="86"/>
      <c r="E279" s="86"/>
      <c r="F279" s="824" t="s">
        <v>1636</v>
      </c>
      <c r="G279" s="522"/>
      <c r="H279" s="134" t="s">
        <v>2435</v>
      </c>
      <c r="I279" s="134"/>
      <c r="J279" s="135"/>
      <c r="K279" s="825" t="s">
        <v>2436</v>
      </c>
      <c r="L279" s="640">
        <f>IFERROR(L280/L281,"-")</f>
        <v>3.141722473604827</v>
      </c>
      <c r="M279" s="722"/>
      <c r="N279" s="640">
        <f>IFERROR(N280/N281,"-")</f>
        <v>8.6399563182527288</v>
      </c>
      <c r="O279" s="723"/>
      <c r="P279" s="531" t="str">
        <f>IFERROR(P280/P281,"-")</f>
        <v>-</v>
      </c>
      <c r="Q279" s="531"/>
      <c r="R279" s="640">
        <f>IFERROR(R280/R281,"-")</f>
        <v>4.2412422907488994</v>
      </c>
      <c r="S279" s="4939"/>
      <c r="T279" s="640">
        <f>IFERROR(T280/T281,"-")</f>
        <v>14.481002734731085</v>
      </c>
      <c r="U279" s="4939"/>
      <c r="V279" s="531" t="str">
        <f>IFERROR(V280/V281,"-")</f>
        <v>-</v>
      </c>
      <c r="W279" s="2087"/>
      <c r="X279" s="2396">
        <f>IFERROR(X280/X281,"-")</f>
        <v>6.1530054644808745</v>
      </c>
      <c r="Y279" s="827"/>
      <c r="Z279" s="640">
        <f>IFERROR(Z280/Z281,"-")</f>
        <v>29.473593073593072</v>
      </c>
      <c r="AA279" s="827"/>
      <c r="AB279" s="2393" t="str">
        <f t="shared" ref="AB279:AO279" si="26">IFERROR(AB280/AB281,"-")</f>
        <v>-</v>
      </c>
      <c r="AC279" s="2135">
        <f t="shared" si="26"/>
        <v>6.1530054644808745</v>
      </c>
      <c r="AD279" s="640">
        <f t="shared" si="26"/>
        <v>29.473593073593072</v>
      </c>
      <c r="AE279" s="531" t="str">
        <f t="shared" si="26"/>
        <v>-</v>
      </c>
      <c r="AF279" s="640">
        <f t="shared" si="26"/>
        <v>6.1530054644808745</v>
      </c>
      <c r="AG279" s="640">
        <f t="shared" si="26"/>
        <v>29.473593073593072</v>
      </c>
      <c r="AH279" s="531" t="str">
        <f t="shared" si="26"/>
        <v>-</v>
      </c>
      <c r="AI279" s="640">
        <f t="shared" si="26"/>
        <v>6.1530054644808745</v>
      </c>
      <c r="AJ279" s="640">
        <f t="shared" si="26"/>
        <v>29.473593073593072</v>
      </c>
      <c r="AK279" s="531" t="str">
        <f t="shared" si="26"/>
        <v>-</v>
      </c>
      <c r="AL279" s="640">
        <f t="shared" si="26"/>
        <v>6.1530054644808745</v>
      </c>
      <c r="AM279" s="640">
        <f t="shared" si="26"/>
        <v>29.473593073593072</v>
      </c>
      <c r="AN279" s="2393" t="str">
        <f t="shared" si="26"/>
        <v>-</v>
      </c>
      <c r="AO279" s="2396">
        <f t="shared" si="26"/>
        <v>2.8823529411764706</v>
      </c>
      <c r="AP279" s="827"/>
      <c r="AQ279" s="640">
        <f>IFERROR(AQ280/AQ281,"-")</f>
        <v>1.2893289328932893</v>
      </c>
      <c r="AR279" s="827"/>
      <c r="AS279" s="2087">
        <f>IFERROR(AS280/AS281,"-")</f>
        <v>3.19</v>
      </c>
      <c r="AT279" s="4967"/>
      <c r="AU279" s="2396">
        <f>IFERROR(AU280/AU281,"-")</f>
        <v>1.1507092198581561</v>
      </c>
      <c r="AV279" s="827"/>
      <c r="AW279" s="640">
        <f>IFERROR(AW280/AW281,"-")</f>
        <v>1.0797227036395147</v>
      </c>
      <c r="AX279" s="827"/>
      <c r="AY279" s="2393" t="str">
        <f>IFERROR(AY280/AY281,"-")</f>
        <v>-</v>
      </c>
      <c r="AZ279" s="2396">
        <f>IFERROR(AZ280/AZ281,"-")</f>
        <v>2.079155672823219</v>
      </c>
      <c r="BA279" s="827"/>
      <c r="BB279" s="640">
        <f>IFERROR(BB280/BB281,"-")</f>
        <v>8.1892583120204598</v>
      </c>
      <c r="BC279" s="827"/>
      <c r="BD279" s="2460"/>
      <c r="BE279" s="2499"/>
      <c r="BF279" s="827"/>
      <c r="BG279" s="828"/>
      <c r="BH279" s="827"/>
      <c r="BI279" s="2460"/>
      <c r="BJ279" s="2482" t="s">
        <v>1021</v>
      </c>
      <c r="BK279" s="443" t="s">
        <v>1022</v>
      </c>
      <c r="BL279" s="642"/>
      <c r="BM279" s="534"/>
      <c r="BN279" s="534"/>
      <c r="BO279" s="642"/>
      <c r="BP279" s="620" t="s">
        <v>1023</v>
      </c>
      <c r="BQ279" s="620" t="s">
        <v>1024</v>
      </c>
      <c r="BR279" s="159"/>
      <c r="BS279" s="18"/>
    </row>
    <row r="280" spans="2:71" ht="24" customHeight="1">
      <c r="B280" s="4636" t="s">
        <v>2281</v>
      </c>
      <c r="C280" s="4528"/>
      <c r="D280" s="9598" t="s">
        <v>1025</v>
      </c>
      <c r="E280" s="9599"/>
      <c r="F280" s="809" t="s">
        <v>1018</v>
      </c>
      <c r="G280" s="345"/>
      <c r="H280" s="574"/>
      <c r="I280" s="349" t="s">
        <v>2437</v>
      </c>
      <c r="J280" s="144"/>
      <c r="K280" s="810" t="s">
        <v>1831</v>
      </c>
      <c r="L280" s="641">
        <v>10414.810000000001</v>
      </c>
      <c r="M280" s="641"/>
      <c r="N280" s="641">
        <v>27691.059999999998</v>
      </c>
      <c r="O280" s="639"/>
      <c r="P280" s="644"/>
      <c r="Q280" s="645"/>
      <c r="R280" s="639">
        <v>4813.8100000000004</v>
      </c>
      <c r="S280" s="646" t="s">
        <v>1027</v>
      </c>
      <c r="T280" s="639">
        <v>15885.66</v>
      </c>
      <c r="U280" s="646" t="s">
        <v>1027</v>
      </c>
      <c r="V280" s="644"/>
      <c r="W280" s="2078"/>
      <c r="X280" s="2260">
        <v>1126</v>
      </c>
      <c r="Y280" s="543">
        <v>0</v>
      </c>
      <c r="Z280" s="649">
        <v>6808.4</v>
      </c>
      <c r="AA280" s="543">
        <v>0</v>
      </c>
      <c r="AB280" s="2303"/>
      <c r="AC280" s="2132">
        <v>1126</v>
      </c>
      <c r="AD280" s="649">
        <v>6808.4</v>
      </c>
      <c r="AE280" s="542"/>
      <c r="AF280" s="647">
        <v>1126</v>
      </c>
      <c r="AG280" s="649">
        <v>6808.4</v>
      </c>
      <c r="AH280" s="542"/>
      <c r="AI280" s="647">
        <v>1126</v>
      </c>
      <c r="AJ280" s="649">
        <v>6808.4</v>
      </c>
      <c r="AK280" s="542"/>
      <c r="AL280" s="647">
        <v>1126</v>
      </c>
      <c r="AM280" s="649">
        <v>6808.4</v>
      </c>
      <c r="AN280" s="2303"/>
      <c r="AO280" s="2398">
        <v>3038</v>
      </c>
      <c r="AP280" s="648" t="s">
        <v>1028</v>
      </c>
      <c r="AQ280" s="649">
        <v>1172</v>
      </c>
      <c r="AR280" s="648" t="s">
        <v>1029</v>
      </c>
      <c r="AS280" s="4968">
        <f>818+74.5+2*750</f>
        <v>2392.5</v>
      </c>
      <c r="AT280" s="4918"/>
      <c r="AU280" s="2398">
        <v>649</v>
      </c>
      <c r="AV280" s="543">
        <v>0</v>
      </c>
      <c r="AW280" s="649">
        <v>623</v>
      </c>
      <c r="AX280" s="543">
        <v>0</v>
      </c>
      <c r="AY280" s="2303"/>
      <c r="AZ280" s="2398">
        <v>788</v>
      </c>
      <c r="BA280" s="648" t="s">
        <v>1030</v>
      </c>
      <c r="BB280" s="649">
        <v>3202</v>
      </c>
      <c r="BC280" s="648" t="s">
        <v>1030</v>
      </c>
      <c r="BD280" s="2303"/>
      <c r="BE280" s="2302"/>
      <c r="BF280" s="543"/>
      <c r="BG280" s="542"/>
      <c r="BH280" s="543"/>
      <c r="BI280" s="2303"/>
      <c r="BJ280" s="2472"/>
      <c r="BK280" s="457"/>
      <c r="BL280" s="99"/>
      <c r="BM280" s="547"/>
      <c r="BN280" s="547"/>
      <c r="BO280" s="99"/>
      <c r="BP280" s="620" t="s">
        <v>1023</v>
      </c>
      <c r="BQ280" s="620" t="s">
        <v>1024</v>
      </c>
      <c r="BR280" s="159"/>
      <c r="BS280" s="18"/>
    </row>
    <row r="281" spans="2:71" ht="24" customHeight="1">
      <c r="B281" s="4505" t="s">
        <v>2281</v>
      </c>
      <c r="C281" s="1945"/>
      <c r="D281" s="9598" t="s">
        <v>1031</v>
      </c>
      <c r="E281" s="9599"/>
      <c r="F281" s="809" t="s">
        <v>742</v>
      </c>
      <c r="G281" s="345"/>
      <c r="H281" s="577"/>
      <c r="I281" s="349" t="s">
        <v>2438</v>
      </c>
      <c r="J281" s="144"/>
      <c r="K281" s="810" t="s">
        <v>1443</v>
      </c>
      <c r="L281" s="641">
        <v>3315</v>
      </c>
      <c r="M281" s="641"/>
      <c r="N281" s="641">
        <v>3205</v>
      </c>
      <c r="O281" s="639"/>
      <c r="P281" s="644"/>
      <c r="Q281" s="645"/>
      <c r="R281" s="639">
        <v>1135</v>
      </c>
      <c r="S281" s="646" t="s">
        <v>1033</v>
      </c>
      <c r="T281" s="639">
        <v>1097</v>
      </c>
      <c r="U281" s="646" t="s">
        <v>1033</v>
      </c>
      <c r="V281" s="644"/>
      <c r="W281" s="2078"/>
      <c r="X281" s="2260">
        <v>183</v>
      </c>
      <c r="Y281" s="543">
        <v>0</v>
      </c>
      <c r="Z281" s="649">
        <v>231</v>
      </c>
      <c r="AA281" s="543">
        <v>0</v>
      </c>
      <c r="AB281" s="2303"/>
      <c r="AC281" s="2132">
        <v>183</v>
      </c>
      <c r="AD281" s="649">
        <v>231</v>
      </c>
      <c r="AE281" s="542"/>
      <c r="AF281" s="647">
        <v>183</v>
      </c>
      <c r="AG281" s="649">
        <v>231</v>
      </c>
      <c r="AH281" s="542"/>
      <c r="AI281" s="647">
        <v>183</v>
      </c>
      <c r="AJ281" s="649">
        <v>231</v>
      </c>
      <c r="AK281" s="542"/>
      <c r="AL281" s="647">
        <v>183</v>
      </c>
      <c r="AM281" s="649">
        <v>231</v>
      </c>
      <c r="AN281" s="2303"/>
      <c r="AO281" s="2398">
        <v>1054</v>
      </c>
      <c r="AP281" s="648" t="s">
        <v>1034</v>
      </c>
      <c r="AQ281" s="649">
        <v>909</v>
      </c>
      <c r="AR281" s="648" t="s">
        <v>1035</v>
      </c>
      <c r="AS281" s="795">
        <f>AS205</f>
        <v>750</v>
      </c>
      <c r="AT281" s="4918"/>
      <c r="AU281" s="2398">
        <v>564</v>
      </c>
      <c r="AV281" s="543">
        <v>0</v>
      </c>
      <c r="AW281" s="649">
        <v>577</v>
      </c>
      <c r="AX281" s="543">
        <v>0</v>
      </c>
      <c r="AY281" s="2303"/>
      <c r="AZ281" s="2398">
        <v>379</v>
      </c>
      <c r="BA281" s="543">
        <v>0</v>
      </c>
      <c r="BB281" s="649">
        <v>391</v>
      </c>
      <c r="BC281" s="543">
        <v>0</v>
      </c>
      <c r="BD281" s="2303"/>
      <c r="BE281" s="2302"/>
      <c r="BF281" s="543"/>
      <c r="BG281" s="542"/>
      <c r="BH281" s="543"/>
      <c r="BI281" s="2303"/>
      <c r="BJ281" s="2472"/>
      <c r="BK281" s="457"/>
      <c r="BL281" s="99"/>
      <c r="BM281" s="547"/>
      <c r="BN281" s="547"/>
      <c r="BO281" s="99"/>
      <c r="BP281" s="620" t="s">
        <v>1023</v>
      </c>
      <c r="BQ281" s="620" t="s">
        <v>1024</v>
      </c>
      <c r="BR281" s="159"/>
      <c r="BS281" s="18"/>
    </row>
    <row r="282" spans="2:71" ht="24" customHeight="1">
      <c r="B282" s="4505" t="s">
        <v>2281</v>
      </c>
      <c r="C282" s="1758" t="s">
        <v>1036</v>
      </c>
      <c r="D282" s="104"/>
      <c r="E282" s="104"/>
      <c r="F282" s="105" t="s">
        <v>1042</v>
      </c>
      <c r="G282" s="345"/>
      <c r="H282" s="143" t="s">
        <v>2439</v>
      </c>
      <c r="I282" s="143"/>
      <c r="J282" s="144"/>
      <c r="K282" s="109" t="s">
        <v>1043</v>
      </c>
      <c r="L282" s="738">
        <f>IFERROR(L283/L281,"-")</f>
        <v>8663.1109733936646</v>
      </c>
      <c r="M282" s="652"/>
      <c r="N282" s="738">
        <f>IFERROR(N283/N281,"-")</f>
        <v>70793.36359201248</v>
      </c>
      <c r="O282" s="543"/>
      <c r="P282" s="738" t="str">
        <f>IFERROR(P283/P281,"-")</f>
        <v>-</v>
      </c>
      <c r="Q282" s="738"/>
      <c r="R282" s="738">
        <f>IFERROR(R283/R281,"-")</f>
        <v>33.206007577092507</v>
      </c>
      <c r="S282" s="4960"/>
      <c r="T282" s="738">
        <f>IFERROR(T283/T281,"-")</f>
        <v>43.617138377392891</v>
      </c>
      <c r="U282" s="4960"/>
      <c r="V282" s="738" t="str">
        <f>IFERROR(V283/V281,"-")</f>
        <v>-</v>
      </c>
      <c r="W282" s="2088"/>
      <c r="X282" s="2400">
        <f>IFERROR(X283/X281,"-")</f>
        <v>9.2303234972677597</v>
      </c>
      <c r="Y282" s="543"/>
      <c r="Z282" s="738">
        <f>IFERROR(Z283/Z281,"-")</f>
        <v>37.379054545454551</v>
      </c>
      <c r="AA282" s="543"/>
      <c r="AB282" s="2401" t="str">
        <f t="shared" ref="AB282:AO282" si="27">IFERROR(AB283/AB281,"-")</f>
        <v>-</v>
      </c>
      <c r="AC282" s="2136">
        <f t="shared" si="27"/>
        <v>9.2303234972677597</v>
      </c>
      <c r="AD282" s="738">
        <f t="shared" si="27"/>
        <v>37.379054545454551</v>
      </c>
      <c r="AE282" s="738" t="str">
        <f t="shared" si="27"/>
        <v>-</v>
      </c>
      <c r="AF282" s="738">
        <f t="shared" si="27"/>
        <v>9.2303234972677597</v>
      </c>
      <c r="AG282" s="738">
        <f t="shared" si="27"/>
        <v>37.379054545454551</v>
      </c>
      <c r="AH282" s="738" t="str">
        <f t="shared" si="27"/>
        <v>-</v>
      </c>
      <c r="AI282" s="738">
        <f t="shared" si="27"/>
        <v>9.2303234972677597</v>
      </c>
      <c r="AJ282" s="738">
        <f t="shared" si="27"/>
        <v>37.379054545454551</v>
      </c>
      <c r="AK282" s="738" t="str">
        <f t="shared" si="27"/>
        <v>-</v>
      </c>
      <c r="AL282" s="738">
        <f t="shared" si="27"/>
        <v>9.2303234972677597</v>
      </c>
      <c r="AM282" s="738">
        <f t="shared" si="27"/>
        <v>37.379054545454551</v>
      </c>
      <c r="AN282" s="2401" t="str">
        <f t="shared" si="27"/>
        <v>-</v>
      </c>
      <c r="AO282" s="2400">
        <f t="shared" si="27"/>
        <v>37.950664136622393</v>
      </c>
      <c r="AP282" s="543"/>
      <c r="AQ282" s="738">
        <f>IFERROR(AQ283/AQ281,"-")</f>
        <v>0</v>
      </c>
      <c r="AR282" s="543"/>
      <c r="AS282" s="2088">
        <f>IFERROR(AS283/AS281,"-")</f>
        <v>0</v>
      </c>
      <c r="AT282" s="4885"/>
      <c r="AU282" s="2400">
        <f>IFERROR(AU283/AU281,"-")</f>
        <v>1132.6860088652481</v>
      </c>
      <c r="AV282" s="543"/>
      <c r="AW282" s="738">
        <f>IFERROR(AW283/AW281,"-")</f>
        <v>2714.4675043327557</v>
      </c>
      <c r="AX282" s="543"/>
      <c r="AY282" s="2401" t="str">
        <f>IFERROR(AY283/AY281,"-")</f>
        <v>-</v>
      </c>
      <c r="AZ282" s="2400">
        <f>IFERROR(AZ283/AZ281,"-")</f>
        <v>194.93041680300195</v>
      </c>
      <c r="BA282" s="543"/>
      <c r="BB282" s="738">
        <f>IFERROR(BB283/BB281,"-")</f>
        <v>1473.4989959510995</v>
      </c>
      <c r="BC282" s="543"/>
      <c r="BD282" s="2401" t="str">
        <f>IFERROR(BD283/BD281,"-")</f>
        <v>-</v>
      </c>
      <c r="BE282" s="2400" t="str">
        <f>IFERROR(BE283/BE281,"-")</f>
        <v>-</v>
      </c>
      <c r="BF282" s="543"/>
      <c r="BG282" s="738" t="str">
        <f>IFERROR(BG283/BG281,"-")</f>
        <v>-</v>
      </c>
      <c r="BH282" s="543"/>
      <c r="BI282" s="2401" t="str">
        <f>IFERROR(BI283/BI281,"-")</f>
        <v>-</v>
      </c>
      <c r="BJ282" s="2472" t="s">
        <v>1038</v>
      </c>
      <c r="BK282" s="457" t="s">
        <v>1039</v>
      </c>
      <c r="BL282" s="99"/>
      <c r="BM282" s="547"/>
      <c r="BN282" s="547"/>
      <c r="BO282" s="99"/>
      <c r="BP282" s="620" t="s">
        <v>1040</v>
      </c>
      <c r="BQ282" s="620"/>
      <c r="BR282" s="159"/>
      <c r="BS282" s="18"/>
    </row>
    <row r="283" spans="2:71" ht="24" customHeight="1">
      <c r="B283" s="4636" t="s">
        <v>2281</v>
      </c>
      <c r="C283" s="1868"/>
      <c r="D283" s="9598" t="s">
        <v>1045</v>
      </c>
      <c r="E283" s="9599"/>
      <c r="F283" s="105" t="s">
        <v>1048</v>
      </c>
      <c r="G283" s="106"/>
      <c r="I283" s="184" t="s">
        <v>2440</v>
      </c>
      <c r="J283" s="141"/>
      <c r="K283" s="109" t="s">
        <v>1043</v>
      </c>
      <c r="L283" s="645">
        <v>28718212.876800001</v>
      </c>
      <c r="M283" s="543"/>
      <c r="N283" s="645">
        <v>226892730.31240001</v>
      </c>
      <c r="O283" s="543"/>
      <c r="P283" s="644"/>
      <c r="Q283" s="645"/>
      <c r="R283" s="645">
        <v>37688.818599999999</v>
      </c>
      <c r="S283" s="4915">
        <v>33.206007577092507</v>
      </c>
      <c r="T283" s="645">
        <v>47848.000800000002</v>
      </c>
      <c r="U283" s="648">
        <v>43.617138377392891</v>
      </c>
      <c r="V283" s="644"/>
      <c r="W283" s="2078"/>
      <c r="X283" s="2260">
        <v>1689.1492000000001</v>
      </c>
      <c r="Y283" s="543">
        <v>0</v>
      </c>
      <c r="Z283" s="649">
        <v>8634.5616000000009</v>
      </c>
      <c r="AA283" s="543">
        <v>0</v>
      </c>
      <c r="AB283" s="2303"/>
      <c r="AC283" s="2132">
        <v>1689.1492000000001</v>
      </c>
      <c r="AD283" s="649">
        <v>8634.5616000000009</v>
      </c>
      <c r="AE283" s="542"/>
      <c r="AF283" s="647">
        <v>1689.1492000000001</v>
      </c>
      <c r="AG283" s="649">
        <v>8634.5616000000009</v>
      </c>
      <c r="AH283" s="542"/>
      <c r="AI283" s="647">
        <v>1689.1492000000001</v>
      </c>
      <c r="AJ283" s="649">
        <v>8634.5616000000009</v>
      </c>
      <c r="AK283" s="542"/>
      <c r="AL283" s="647">
        <v>1689.1492000000001</v>
      </c>
      <c r="AM283" s="649">
        <v>8634.5616000000009</v>
      </c>
      <c r="AN283" s="2303"/>
      <c r="AO283" s="2398">
        <v>40000</v>
      </c>
      <c r="AP283" s="543">
        <v>37.950664136622393</v>
      </c>
      <c r="AQ283" s="649">
        <v>0</v>
      </c>
      <c r="AR283" s="543" t="s">
        <v>1049</v>
      </c>
      <c r="AS283" s="4968">
        <v>0</v>
      </c>
      <c r="AT283" s="4885"/>
      <c r="AU283" s="2398">
        <v>638834.90899999999</v>
      </c>
      <c r="AV283" s="543" t="s">
        <v>145</v>
      </c>
      <c r="AW283" s="649">
        <v>1566247.75</v>
      </c>
      <c r="AX283" s="543" t="s">
        <v>145</v>
      </c>
      <c r="AY283" s="2303"/>
      <c r="AZ283" s="2398">
        <v>73878.627968337736</v>
      </c>
      <c r="BA283" s="543"/>
      <c r="BB283" s="649">
        <v>576138.10741687985</v>
      </c>
      <c r="BC283" s="543"/>
      <c r="BD283" s="2303"/>
      <c r="BE283" s="2302"/>
      <c r="BF283" s="543"/>
      <c r="BG283" s="542"/>
      <c r="BH283" s="543"/>
      <c r="BI283" s="2303"/>
      <c r="BJ283" s="2472"/>
      <c r="BL283" s="99"/>
      <c r="BM283" s="547"/>
      <c r="BN283" s="547"/>
      <c r="BO283" s="99"/>
      <c r="BP283" s="620" t="s">
        <v>1040</v>
      </c>
      <c r="BQ283" s="620"/>
      <c r="BR283" s="159"/>
      <c r="BS283" s="18"/>
    </row>
    <row r="284" spans="2:71" s="837" customFormat="1" ht="24" customHeight="1">
      <c r="B284" s="4505" t="s">
        <v>2281</v>
      </c>
      <c r="C284" s="1849" t="s">
        <v>1050</v>
      </c>
      <c r="D284" s="161"/>
      <c r="E284" s="161"/>
      <c r="F284" s="285" t="s">
        <v>1051</v>
      </c>
      <c r="G284" s="386"/>
      <c r="H284" s="140" t="s">
        <v>2441</v>
      </c>
      <c r="I284" s="140"/>
      <c r="J284" s="141"/>
      <c r="K284" s="162" t="s">
        <v>2442</v>
      </c>
      <c r="L284" s="738" t="str">
        <f>IFERROR(L285/L286*100,"-")</f>
        <v>-</v>
      </c>
      <c r="M284" s="652"/>
      <c r="N284" s="738">
        <f>IFERROR(N285/N286*100,"-")</f>
        <v>83.155397390272839</v>
      </c>
      <c r="O284" s="652"/>
      <c r="P284" s="738" t="str">
        <f>IFERROR(P285/P286*100,"-")</f>
        <v>-</v>
      </c>
      <c r="Q284" s="738"/>
      <c r="R284" s="738" t="str">
        <f>IFERROR(R285/R286*100,"-")</f>
        <v>-</v>
      </c>
      <c r="S284" s="4960"/>
      <c r="T284" s="738">
        <f>IFERROR(T285/T286*100,"-")</f>
        <v>82.710926694329174</v>
      </c>
      <c r="U284" s="4960"/>
      <c r="V284" s="738" t="str">
        <f>IFERROR(V285/V286*100,"-")</f>
        <v>-</v>
      </c>
      <c r="W284" s="2088"/>
      <c r="X284" s="2400" t="str">
        <f>IFERROR(X285/X286*100,"-")</f>
        <v>-</v>
      </c>
      <c r="Y284" s="652"/>
      <c r="Z284" s="738">
        <f>IFERROR(Z285/Z286*100,"-")</f>
        <v>85.833333333333329</v>
      </c>
      <c r="AA284" s="652"/>
      <c r="AB284" s="2401" t="str">
        <f t="shared" ref="AB284:AO284" si="28">IFERROR(AB285/AB286*100,"-")</f>
        <v>-</v>
      </c>
      <c r="AC284" s="2136" t="str">
        <f t="shared" si="28"/>
        <v>-</v>
      </c>
      <c r="AD284" s="738">
        <f t="shared" si="28"/>
        <v>85.833333333333329</v>
      </c>
      <c r="AE284" s="738" t="str">
        <f t="shared" si="28"/>
        <v>-</v>
      </c>
      <c r="AF284" s="738" t="str">
        <f t="shared" si="28"/>
        <v>-</v>
      </c>
      <c r="AG284" s="738">
        <f t="shared" si="28"/>
        <v>85.833333333333329</v>
      </c>
      <c r="AH284" s="738" t="str">
        <f t="shared" si="28"/>
        <v>-</v>
      </c>
      <c r="AI284" s="738" t="str">
        <f t="shared" si="28"/>
        <v>-</v>
      </c>
      <c r="AJ284" s="738">
        <f t="shared" si="28"/>
        <v>85.833333333333329</v>
      </c>
      <c r="AK284" s="738" t="str">
        <f t="shared" si="28"/>
        <v>-</v>
      </c>
      <c r="AL284" s="738" t="str">
        <f t="shared" si="28"/>
        <v>-</v>
      </c>
      <c r="AM284" s="738">
        <f t="shared" si="28"/>
        <v>85.833333333333329</v>
      </c>
      <c r="AN284" s="2401" t="str">
        <f t="shared" si="28"/>
        <v>-</v>
      </c>
      <c r="AO284" s="2400" t="str">
        <f t="shared" si="28"/>
        <v>-</v>
      </c>
      <c r="AP284" s="652"/>
      <c r="AQ284" s="738" t="str">
        <f>IFERROR(AQ285/AQ286*100,"-")</f>
        <v>-</v>
      </c>
      <c r="AR284" s="652"/>
      <c r="AS284" s="2088" t="str">
        <f>IFERROR(AS285/AS286*100,"-")</f>
        <v>-</v>
      </c>
      <c r="AT284" s="4943"/>
      <c r="AU284" s="2400">
        <f>IFERROR(AU285/AU286*100,"-")</f>
        <v>0</v>
      </c>
      <c r="AV284" s="652"/>
      <c r="AW284" s="738">
        <f>IFERROR(AW285/AW286*100,"-")</f>
        <v>0</v>
      </c>
      <c r="AX284" s="652"/>
      <c r="AY284" s="2401" t="str">
        <f>IFERROR(AY285/AY286*100,"-")</f>
        <v>-</v>
      </c>
      <c r="AZ284" s="2400" t="str">
        <f>IFERROR(AZ285/AZ286*100,"-")</f>
        <v>-</v>
      </c>
      <c r="BA284" s="652"/>
      <c r="BB284" s="738" t="str">
        <f>IFERROR(BB285/BB286*100,"-")</f>
        <v>-</v>
      </c>
      <c r="BC284" s="652"/>
      <c r="BD284" s="2461" t="str">
        <f>IFERROR(BD285/BD286*100,"-")</f>
        <v>-</v>
      </c>
      <c r="BE284" s="2500" t="str">
        <f>IFERROR(BE285/BE286*100,"-")</f>
        <v>-</v>
      </c>
      <c r="BF284" s="784"/>
      <c r="BG284" s="829" t="str">
        <f>IFERROR(BG285/BG286*100,"-")</f>
        <v>-</v>
      </c>
      <c r="BH284" s="784"/>
      <c r="BI284" s="2461" t="str">
        <f>IFERROR(BI285/BI222,"-")</f>
        <v>-</v>
      </c>
      <c r="BJ284" s="618" t="s">
        <v>1054</v>
      </c>
      <c r="BK284" s="830" t="s">
        <v>1055</v>
      </c>
      <c r="BL284" s="831"/>
      <c r="BM284" s="832"/>
      <c r="BN284" s="832"/>
      <c r="BO284" s="831"/>
      <c r="BP284" s="833" t="s">
        <v>1056</v>
      </c>
      <c r="BQ284" s="834"/>
      <c r="BR284" s="835"/>
      <c r="BS284" s="836"/>
    </row>
    <row r="285" spans="2:71" s="837" customFormat="1" ht="24" customHeight="1">
      <c r="B285" s="4505" t="s">
        <v>2281</v>
      </c>
      <c r="C285" s="4514"/>
      <c r="D285" s="9598" t="s">
        <v>1058</v>
      </c>
      <c r="E285" s="9599"/>
      <c r="F285" s="838" t="s">
        <v>742</v>
      </c>
      <c r="G285" s="386"/>
      <c r="H285" s="337"/>
      <c r="I285" s="141" t="s">
        <v>2443</v>
      </c>
      <c r="J285" s="141"/>
      <c r="K285" s="179" t="s">
        <v>2357</v>
      </c>
      <c r="L285" s="639">
        <v>0</v>
      </c>
      <c r="M285" s="639"/>
      <c r="N285" s="639">
        <v>701</v>
      </c>
      <c r="O285" s="839" t="s">
        <v>1832</v>
      </c>
      <c r="P285" s="644"/>
      <c r="Q285" s="645"/>
      <c r="R285" s="639">
        <v>0</v>
      </c>
      <c r="S285" s="646">
        <v>0</v>
      </c>
      <c r="T285" s="639">
        <v>598</v>
      </c>
      <c r="U285" s="839" t="s">
        <v>1061</v>
      </c>
      <c r="V285" s="644"/>
      <c r="W285" s="2078"/>
      <c r="X285" s="2260">
        <v>0</v>
      </c>
      <c r="Y285" s="737" t="s">
        <v>1063</v>
      </c>
      <c r="Z285" s="649">
        <v>103</v>
      </c>
      <c r="AA285" s="737" t="s">
        <v>1064</v>
      </c>
      <c r="AB285" s="2303"/>
      <c r="AC285" s="2132">
        <v>0</v>
      </c>
      <c r="AD285" s="649">
        <v>103</v>
      </c>
      <c r="AE285" s="542"/>
      <c r="AF285" s="647">
        <v>0</v>
      </c>
      <c r="AG285" s="649">
        <v>103</v>
      </c>
      <c r="AH285" s="542"/>
      <c r="AI285" s="647">
        <v>0</v>
      </c>
      <c r="AJ285" s="649">
        <v>103</v>
      </c>
      <c r="AK285" s="542"/>
      <c r="AL285" s="647">
        <v>0</v>
      </c>
      <c r="AM285" s="649">
        <v>103</v>
      </c>
      <c r="AN285" s="2303"/>
      <c r="AO285" s="2398">
        <v>0</v>
      </c>
      <c r="AP285" s="737" t="s">
        <v>1065</v>
      </c>
      <c r="AQ285" s="649">
        <v>0</v>
      </c>
      <c r="AR285" s="737" t="s">
        <v>1065</v>
      </c>
      <c r="AS285" s="795">
        <v>0</v>
      </c>
      <c r="AT285" s="4969"/>
      <c r="AU285" s="2398">
        <v>0</v>
      </c>
      <c r="AV285" s="737" t="s">
        <v>1066</v>
      </c>
      <c r="AW285" s="649">
        <v>0</v>
      </c>
      <c r="AX285" s="737" t="s">
        <v>1066</v>
      </c>
      <c r="AY285" s="2303"/>
      <c r="AZ285" s="2398">
        <v>0</v>
      </c>
      <c r="BA285" s="737" t="s">
        <v>1067</v>
      </c>
      <c r="BB285" s="649">
        <v>0</v>
      </c>
      <c r="BC285" s="737" t="s">
        <v>1068</v>
      </c>
      <c r="BD285" s="2462"/>
      <c r="BE285" s="2501"/>
      <c r="BF285" s="784"/>
      <c r="BG285" s="840"/>
      <c r="BH285" s="784"/>
      <c r="BI285" s="2462"/>
      <c r="BJ285" s="2484"/>
      <c r="BK285" s="841"/>
      <c r="BL285" s="831"/>
      <c r="BM285" s="832"/>
      <c r="BN285" s="832"/>
      <c r="BO285" s="831"/>
      <c r="BP285" s="833" t="s">
        <v>1056</v>
      </c>
      <c r="BQ285" s="842"/>
      <c r="BR285" s="843"/>
      <c r="BS285" s="836"/>
    </row>
    <row r="286" spans="2:71" s="837" customFormat="1" ht="24" customHeight="1" thickBot="1">
      <c r="B286" s="4505" t="s">
        <v>2281</v>
      </c>
      <c r="C286" s="4559"/>
      <c r="D286" s="844" t="s">
        <v>1069</v>
      </c>
      <c r="E286" s="323"/>
      <c r="F286" s="845" t="s">
        <v>742</v>
      </c>
      <c r="G286" s="846"/>
      <c r="H286" s="325"/>
      <c r="I286" s="327" t="s">
        <v>2444</v>
      </c>
      <c r="J286" s="422"/>
      <c r="K286" s="849" t="s">
        <v>734</v>
      </c>
      <c r="L286" s="818">
        <v>0</v>
      </c>
      <c r="M286" s="818"/>
      <c r="N286" s="818">
        <v>843</v>
      </c>
      <c r="O286" s="850" t="s">
        <v>1832</v>
      </c>
      <c r="P286" s="819"/>
      <c r="Q286" s="820"/>
      <c r="R286" s="818">
        <v>0</v>
      </c>
      <c r="S286" s="4965" t="s">
        <v>1060</v>
      </c>
      <c r="T286" s="818">
        <v>723</v>
      </c>
      <c r="U286" s="850" t="s">
        <v>1071</v>
      </c>
      <c r="V286" s="819"/>
      <c r="W286" s="2086"/>
      <c r="X286" s="4970">
        <v>0</v>
      </c>
      <c r="Y286" s="854" t="s">
        <v>1063</v>
      </c>
      <c r="Z286" s="853">
        <v>120</v>
      </c>
      <c r="AA286" s="1127">
        <v>0</v>
      </c>
      <c r="AB286" s="2307"/>
      <c r="AC286" s="4971">
        <v>0</v>
      </c>
      <c r="AD286" s="853">
        <v>120</v>
      </c>
      <c r="AE286" s="712"/>
      <c r="AF286" s="4972">
        <v>0</v>
      </c>
      <c r="AG286" s="853">
        <v>120</v>
      </c>
      <c r="AH286" s="712"/>
      <c r="AI286" s="4972">
        <v>0</v>
      </c>
      <c r="AJ286" s="853">
        <v>120</v>
      </c>
      <c r="AK286" s="712"/>
      <c r="AL286" s="4972">
        <v>0</v>
      </c>
      <c r="AM286" s="853">
        <v>120</v>
      </c>
      <c r="AN286" s="2307"/>
      <c r="AO286" s="2409">
        <v>0</v>
      </c>
      <c r="AP286" s="854" t="s">
        <v>1065</v>
      </c>
      <c r="AQ286" s="853">
        <v>0</v>
      </c>
      <c r="AR286" s="854" t="s">
        <v>1065</v>
      </c>
      <c r="AS286" s="2542">
        <v>0</v>
      </c>
      <c r="AT286" s="4973"/>
      <c r="AU286" s="2409">
        <v>564</v>
      </c>
      <c r="AV286" s="854" t="s">
        <v>1073</v>
      </c>
      <c r="AW286" s="853">
        <v>577</v>
      </c>
      <c r="AX286" s="854" t="s">
        <v>1073</v>
      </c>
      <c r="AY286" s="2307"/>
      <c r="AZ286" s="2409">
        <v>0</v>
      </c>
      <c r="BA286" s="854" t="s">
        <v>1067</v>
      </c>
      <c r="BB286" s="853">
        <v>0</v>
      </c>
      <c r="BC286" s="854" t="s">
        <v>1068</v>
      </c>
      <c r="BD286" s="2463"/>
      <c r="BE286" s="2502"/>
      <c r="BF286" s="856"/>
      <c r="BG286" s="855"/>
      <c r="BH286" s="856"/>
      <c r="BI286" s="2463"/>
      <c r="BJ286" s="2485"/>
      <c r="BK286" s="857"/>
      <c r="BL286" s="858"/>
      <c r="BM286" s="859"/>
      <c r="BN286" s="859"/>
      <c r="BO286" s="858"/>
      <c r="BP286" s="833" t="s">
        <v>1056</v>
      </c>
      <c r="BQ286" s="842"/>
      <c r="BR286" s="843"/>
      <c r="BS286" s="836"/>
    </row>
    <row r="287" spans="2:71" ht="24" customHeight="1" thickBot="1">
      <c r="B287" s="4505" t="s">
        <v>2281</v>
      </c>
      <c r="C287" s="123" t="s">
        <v>1074</v>
      </c>
      <c r="D287" s="124"/>
      <c r="E287" s="124"/>
      <c r="F287" s="78"/>
      <c r="G287" s="519" t="s">
        <v>2445</v>
      </c>
      <c r="H287" s="521"/>
      <c r="I287" s="521"/>
      <c r="J287" s="521"/>
      <c r="K287" s="78"/>
      <c r="L287" s="77"/>
      <c r="M287" s="77"/>
      <c r="N287" s="77"/>
      <c r="O287" s="77"/>
      <c r="P287" s="77"/>
      <c r="Q287" s="77"/>
      <c r="R287" s="77"/>
      <c r="S287" s="77"/>
      <c r="T287" s="77"/>
      <c r="U287" s="77"/>
      <c r="V287" s="77"/>
      <c r="W287" s="77"/>
      <c r="X287" s="2194"/>
      <c r="Y287" s="78"/>
      <c r="Z287" s="78"/>
      <c r="AA287" s="78"/>
      <c r="AB287" s="2195"/>
      <c r="AC287" s="78"/>
      <c r="AD287" s="78"/>
      <c r="AE287" s="78"/>
      <c r="AF287" s="148"/>
      <c r="AG287" s="148"/>
      <c r="AH287" s="148"/>
      <c r="AI287" s="148"/>
      <c r="AJ287" s="148"/>
      <c r="AK287" s="148"/>
      <c r="AL287" s="148"/>
      <c r="AM287" s="148"/>
      <c r="AN287" s="2176"/>
      <c r="AO287" s="2175"/>
      <c r="AP287" s="148"/>
      <c r="AQ287" s="148"/>
      <c r="AR287" s="148"/>
      <c r="AS287" s="148"/>
      <c r="AT287" s="4781"/>
      <c r="AU287" s="2175"/>
      <c r="AV287" s="148"/>
      <c r="AW287" s="148"/>
      <c r="AX287" s="148"/>
      <c r="AY287" s="2176"/>
      <c r="AZ287" s="2175"/>
      <c r="BA287" s="148"/>
      <c r="BB287" s="148"/>
      <c r="BC287" s="148"/>
      <c r="BD287" s="2176"/>
      <c r="BE287" s="2175"/>
      <c r="BF287" s="148"/>
      <c r="BG287" s="148"/>
      <c r="BH287" s="148"/>
      <c r="BI287" s="2176"/>
      <c r="BJ287" s="80"/>
      <c r="BK287" s="80"/>
      <c r="BL287" s="129"/>
      <c r="BM287" s="129"/>
      <c r="BN287" s="129"/>
      <c r="BO287" s="129"/>
      <c r="BP287" s="328"/>
      <c r="BQ287" s="328"/>
      <c r="BR287" s="329"/>
      <c r="BS287" s="18"/>
    </row>
    <row r="288" spans="2:71" ht="24" customHeight="1" thickBot="1">
      <c r="B288" s="4505" t="s">
        <v>2281</v>
      </c>
      <c r="C288" s="4652" t="s">
        <v>1075</v>
      </c>
      <c r="D288" s="860"/>
      <c r="E288" s="860"/>
      <c r="F288" s="4653" t="s">
        <v>168</v>
      </c>
      <c r="G288" s="861"/>
      <c r="H288" s="860" t="s">
        <v>2446</v>
      </c>
      <c r="I288" s="860"/>
      <c r="J288" s="860"/>
      <c r="K288" s="862" t="s">
        <v>168</v>
      </c>
      <c r="L288" s="863"/>
      <c r="M288" s="863"/>
      <c r="N288" s="863"/>
      <c r="O288" s="863"/>
      <c r="P288" s="863"/>
      <c r="Q288" s="863"/>
      <c r="R288" s="863"/>
      <c r="S288" s="863"/>
      <c r="T288" s="863"/>
      <c r="U288" s="863"/>
      <c r="V288" s="863"/>
      <c r="W288" s="4974"/>
      <c r="X288" s="2273"/>
      <c r="Y288" s="862"/>
      <c r="Z288" s="862"/>
      <c r="AA288" s="862"/>
      <c r="AB288" s="2274"/>
      <c r="AC288" s="2531"/>
      <c r="AD288" s="862"/>
      <c r="AE288" s="862"/>
      <c r="AF288" s="864"/>
      <c r="AG288" s="865"/>
      <c r="AH288" s="864"/>
      <c r="AI288" s="864"/>
      <c r="AJ288" s="865"/>
      <c r="AK288" s="864"/>
      <c r="AL288" s="864"/>
      <c r="AM288" s="865"/>
      <c r="AN288" s="2413"/>
      <c r="AO288" s="2412"/>
      <c r="AP288" s="866"/>
      <c r="AQ288" s="865"/>
      <c r="AR288" s="866"/>
      <c r="AS288" s="4975"/>
      <c r="AT288" s="4976"/>
      <c r="AU288" s="2412"/>
      <c r="AV288" s="866"/>
      <c r="AW288" s="865"/>
      <c r="AX288" s="866"/>
      <c r="AY288" s="2413"/>
      <c r="AZ288" s="2412"/>
      <c r="BA288" s="866"/>
      <c r="BB288" s="865"/>
      <c r="BC288" s="866"/>
      <c r="BD288" s="2413"/>
      <c r="BE288" s="2503"/>
      <c r="BF288" s="867"/>
      <c r="BG288" s="864"/>
      <c r="BH288" s="867"/>
      <c r="BI288" s="2413"/>
      <c r="BJ288" s="2482"/>
      <c r="BK288" s="443"/>
      <c r="BL288" s="808"/>
      <c r="BM288" s="534"/>
      <c r="BN288" s="868"/>
      <c r="BO288" s="642"/>
      <c r="BP288" s="265"/>
      <c r="BQ288" s="869" t="s">
        <v>168</v>
      </c>
      <c r="BR288" s="187"/>
      <c r="BS288" s="18"/>
    </row>
    <row r="289" spans="2:71" ht="24" customHeight="1">
      <c r="B289" s="4505" t="s">
        <v>2281</v>
      </c>
      <c r="C289" s="4655"/>
      <c r="D289" s="870" t="s">
        <v>1077</v>
      </c>
      <c r="E289" s="871"/>
      <c r="F289" s="285" t="s">
        <v>156</v>
      </c>
      <c r="G289" s="106"/>
      <c r="H289" s="353"/>
      <c r="I289" s="872" t="s">
        <v>2447</v>
      </c>
      <c r="J289" s="385"/>
      <c r="K289" s="873" t="s">
        <v>154</v>
      </c>
      <c r="L289" s="874">
        <v>15.789473684210526</v>
      </c>
      <c r="M289" s="874"/>
      <c r="N289" s="874">
        <v>9.0909090909090917</v>
      </c>
      <c r="O289" s="875"/>
      <c r="P289" s="876"/>
      <c r="Q289" s="874"/>
      <c r="R289" s="874">
        <v>20</v>
      </c>
      <c r="S289" s="1909"/>
      <c r="T289" s="874">
        <v>0</v>
      </c>
      <c r="U289" s="1910"/>
      <c r="V289" s="761">
        <f>1/8*100</f>
        <v>12.5</v>
      </c>
      <c r="W289" s="2089"/>
      <c r="X289" s="2267"/>
      <c r="Y289" s="875"/>
      <c r="Z289" s="802">
        <v>0</v>
      </c>
      <c r="AA289" s="875"/>
      <c r="AB289" s="2268"/>
      <c r="AC289" s="2113"/>
      <c r="AD289" s="802">
        <v>0</v>
      </c>
      <c r="AE289" s="335"/>
      <c r="AF289" s="335"/>
      <c r="AG289" s="802">
        <v>0</v>
      </c>
      <c r="AH289" s="335"/>
      <c r="AI289" s="335"/>
      <c r="AJ289" s="802">
        <v>0</v>
      </c>
      <c r="AK289" s="335"/>
      <c r="AL289" s="335"/>
      <c r="AM289" s="802">
        <v>0</v>
      </c>
      <c r="AN289" s="2268"/>
      <c r="AO289" s="2414">
        <v>0</v>
      </c>
      <c r="AP289" s="875"/>
      <c r="AQ289" s="802">
        <v>0</v>
      </c>
      <c r="AR289" s="875"/>
      <c r="AS289" s="2369">
        <v>0</v>
      </c>
      <c r="AT289" s="4977"/>
      <c r="AU289" s="2414">
        <v>0</v>
      </c>
      <c r="AV289" s="875"/>
      <c r="AW289" s="802">
        <v>0</v>
      </c>
      <c r="AX289" s="875"/>
      <c r="AY289" s="2268"/>
      <c r="AZ289" s="2414">
        <v>28.571428571428569</v>
      </c>
      <c r="BA289" s="875"/>
      <c r="BB289" s="802">
        <v>28.571428571428569</v>
      </c>
      <c r="BC289" s="875"/>
      <c r="BD289" s="2268"/>
      <c r="BE289" s="2267"/>
      <c r="BF289" s="877"/>
      <c r="BG289" s="335"/>
      <c r="BH289" s="877"/>
      <c r="BI289" s="2268"/>
      <c r="BJ289" s="2471"/>
      <c r="BK289" s="444"/>
      <c r="BL289" s="808"/>
      <c r="BM289" s="547"/>
      <c r="BN289" s="878"/>
      <c r="BO289" s="808"/>
      <c r="BP289" s="265"/>
      <c r="BQ289" s="265" t="s">
        <v>807</v>
      </c>
      <c r="BR289" s="187"/>
      <c r="BS289" s="18"/>
    </row>
    <row r="290" spans="2:71" ht="24" customHeight="1">
      <c r="B290" s="4505" t="s">
        <v>2281</v>
      </c>
      <c r="C290" s="4655"/>
      <c r="D290" s="490" t="s">
        <v>1082</v>
      </c>
      <c r="E290" s="491"/>
      <c r="F290" s="285" t="s">
        <v>154</v>
      </c>
      <c r="G290" s="106"/>
      <c r="H290" s="353"/>
      <c r="I290" s="495" t="s">
        <v>2448</v>
      </c>
      <c r="J290" s="643"/>
      <c r="K290" s="109" t="s">
        <v>154</v>
      </c>
      <c r="L290" s="879"/>
      <c r="M290" s="297"/>
      <c r="N290" s="879"/>
      <c r="O290" s="92"/>
      <c r="P290" s="228"/>
      <c r="Q290" s="297"/>
      <c r="R290" s="4929">
        <f>4/5*100</f>
        <v>80</v>
      </c>
      <c r="S290" s="1842"/>
      <c r="T290" s="4929">
        <f>8/8*100</f>
        <v>100</v>
      </c>
      <c r="U290" s="151"/>
      <c r="V290" s="4929">
        <f>7/8*100</f>
        <v>87.5</v>
      </c>
      <c r="W290" s="2060"/>
      <c r="X290" s="2186"/>
      <c r="Y290" s="92"/>
      <c r="Z290" s="100"/>
      <c r="AA290" s="92"/>
      <c r="AB290" s="2187"/>
      <c r="AC290" s="2111"/>
      <c r="AD290" s="100"/>
      <c r="AE290" s="100"/>
      <c r="AF290" s="100"/>
      <c r="AG290" s="100"/>
      <c r="AH290" s="100"/>
      <c r="AI290" s="100"/>
      <c r="AJ290" s="100"/>
      <c r="AK290" s="100"/>
      <c r="AL290" s="100"/>
      <c r="AM290" s="100"/>
      <c r="AN290" s="2187"/>
      <c r="AO290" s="2186">
        <v>4</v>
      </c>
      <c r="AP290" s="92"/>
      <c r="AQ290" s="100">
        <v>4</v>
      </c>
      <c r="AR290" s="92"/>
      <c r="AS290" s="2349">
        <v>3</v>
      </c>
      <c r="AT290" s="4807"/>
      <c r="AU290" s="2186"/>
      <c r="AV290" s="92"/>
      <c r="AW290" s="100"/>
      <c r="AX290" s="92"/>
      <c r="AY290" s="2187"/>
      <c r="AZ290" s="2186"/>
      <c r="BA290" s="92"/>
      <c r="BB290" s="100"/>
      <c r="BC290" s="92"/>
      <c r="BD290" s="2187"/>
      <c r="BE290" s="2186"/>
      <c r="BF290" s="293"/>
      <c r="BG290" s="100"/>
      <c r="BH290" s="293"/>
      <c r="BI290" s="2187"/>
      <c r="BJ290" s="2472"/>
      <c r="BK290" s="457"/>
      <c r="BL290" s="99"/>
      <c r="BM290" s="547"/>
      <c r="BN290" s="547"/>
      <c r="BO290" s="99"/>
      <c r="BP290" s="265"/>
      <c r="BQ290" s="265" t="s">
        <v>807</v>
      </c>
      <c r="BR290" s="187"/>
      <c r="BS290" s="18"/>
    </row>
    <row r="291" spans="2:71" ht="24" customHeight="1">
      <c r="B291" s="4505" t="s">
        <v>2281</v>
      </c>
      <c r="C291" s="4655"/>
      <c r="D291" s="744" t="s">
        <v>1084</v>
      </c>
      <c r="E291" s="728"/>
      <c r="F291" s="2371" t="s">
        <v>154</v>
      </c>
      <c r="G291" s="106"/>
      <c r="H291" s="353"/>
      <c r="I291" s="654" t="s">
        <v>2449</v>
      </c>
      <c r="J291" s="655"/>
      <c r="K291" s="881" t="s">
        <v>154</v>
      </c>
      <c r="L291" s="882"/>
      <c r="M291" s="883"/>
      <c r="N291" s="882"/>
      <c r="O291" s="171"/>
      <c r="P291" s="171"/>
      <c r="Q291" s="171"/>
      <c r="R291" s="882"/>
      <c r="S291" s="4978"/>
      <c r="T291" s="882"/>
      <c r="U291" s="4979"/>
      <c r="V291" s="171"/>
      <c r="W291" s="4783"/>
      <c r="X291" s="2275"/>
      <c r="Y291" s="171"/>
      <c r="Z291" s="320"/>
      <c r="AA291" s="171"/>
      <c r="AB291" s="2276"/>
      <c r="AC291" s="2119"/>
      <c r="AD291" s="320"/>
      <c r="AE291" s="320"/>
      <c r="AF291" s="320"/>
      <c r="AG291" s="320"/>
      <c r="AH291" s="320"/>
      <c r="AI291" s="320"/>
      <c r="AJ291" s="320"/>
      <c r="AK291" s="320"/>
      <c r="AL291" s="320"/>
      <c r="AM291" s="320"/>
      <c r="AN291" s="2276"/>
      <c r="AO291" s="2275"/>
      <c r="AP291" s="171"/>
      <c r="AQ291" s="320"/>
      <c r="AR291" s="171"/>
      <c r="AS291" s="2370"/>
      <c r="AT291" s="4810"/>
      <c r="AU291" s="2275"/>
      <c r="AV291" s="171"/>
      <c r="AW291" s="320"/>
      <c r="AX291" s="171"/>
      <c r="AY291" s="2276"/>
      <c r="AZ291" s="2275"/>
      <c r="BA291" s="171"/>
      <c r="BB291" s="320"/>
      <c r="BC291" s="171"/>
      <c r="BD291" s="2276"/>
      <c r="BE291" s="2275"/>
      <c r="BF291" s="413"/>
      <c r="BG291" s="320"/>
      <c r="BH291" s="413"/>
      <c r="BI291" s="2276"/>
      <c r="BJ291" s="2484"/>
      <c r="BK291" s="841"/>
      <c r="BL291" s="808"/>
      <c r="BM291" s="547"/>
      <c r="BN291" s="547"/>
      <c r="BO291" s="99"/>
      <c r="BP291" s="265"/>
      <c r="BQ291" s="265"/>
      <c r="BR291" s="187"/>
      <c r="BS291" s="18"/>
    </row>
    <row r="292" spans="2:71" ht="24" customHeight="1">
      <c r="B292" s="4505" t="s">
        <v>2281</v>
      </c>
      <c r="C292" s="4655"/>
      <c r="E292" s="286" t="s">
        <v>1833</v>
      </c>
      <c r="F292" s="285" t="s">
        <v>154</v>
      </c>
      <c r="G292" s="106"/>
      <c r="H292" s="353"/>
      <c r="I292" s="11"/>
      <c r="J292" s="358" t="s">
        <v>2450</v>
      </c>
      <c r="K292" s="109" t="s">
        <v>154</v>
      </c>
      <c r="L292" s="879"/>
      <c r="M292" s="297"/>
      <c r="N292" s="879"/>
      <c r="O292" s="92"/>
      <c r="P292" s="228"/>
      <c r="Q292" s="297"/>
      <c r="R292" s="4929">
        <v>0</v>
      </c>
      <c r="S292" s="1842"/>
      <c r="T292" s="4929">
        <v>0</v>
      </c>
      <c r="U292" s="151"/>
      <c r="V292" s="4929">
        <v>0</v>
      </c>
      <c r="W292" s="2060"/>
      <c r="X292" s="2186"/>
      <c r="Y292" s="92"/>
      <c r="Z292" s="100"/>
      <c r="AA292" s="92"/>
      <c r="AB292" s="2187"/>
      <c r="AC292" s="2111"/>
      <c r="AD292" s="100"/>
      <c r="AE292" s="100"/>
      <c r="AF292" s="100"/>
      <c r="AG292" s="100"/>
      <c r="AH292" s="100"/>
      <c r="AI292" s="100"/>
      <c r="AJ292" s="100"/>
      <c r="AK292" s="100"/>
      <c r="AL292" s="100"/>
      <c r="AM292" s="100"/>
      <c r="AN292" s="2187"/>
      <c r="AO292" s="2186">
        <v>0</v>
      </c>
      <c r="AP292" s="92"/>
      <c r="AQ292" s="100">
        <v>0</v>
      </c>
      <c r="AR292" s="92"/>
      <c r="AS292" s="2349">
        <v>0</v>
      </c>
      <c r="AT292" s="4807"/>
      <c r="AU292" s="2186"/>
      <c r="AV292" s="92"/>
      <c r="AW292" s="100"/>
      <c r="AX292" s="92"/>
      <c r="AY292" s="2187"/>
      <c r="AZ292" s="2186"/>
      <c r="BA292" s="92"/>
      <c r="BB292" s="100"/>
      <c r="BC292" s="92"/>
      <c r="BD292" s="2187"/>
      <c r="BE292" s="2186"/>
      <c r="BF292" s="293"/>
      <c r="BG292" s="100"/>
      <c r="BH292" s="293"/>
      <c r="BI292" s="2187"/>
      <c r="BJ292" s="2484"/>
      <c r="BK292" s="841"/>
      <c r="BL292" s="99"/>
      <c r="BM292" s="547"/>
      <c r="BN292" s="547"/>
      <c r="BO292" s="99"/>
      <c r="BP292" s="265"/>
      <c r="BQ292" s="265" t="s">
        <v>807</v>
      </c>
      <c r="BR292" s="187"/>
      <c r="BS292" s="18"/>
    </row>
    <row r="293" spans="2:71" ht="24" customHeight="1">
      <c r="B293" s="4505" t="s">
        <v>2281</v>
      </c>
      <c r="C293" s="4655"/>
      <c r="D293" s="884"/>
      <c r="E293" s="286" t="s">
        <v>1834</v>
      </c>
      <c r="F293" s="285" t="s">
        <v>154</v>
      </c>
      <c r="G293" s="106"/>
      <c r="H293" s="353"/>
      <c r="I293" s="4656"/>
      <c r="J293" s="358" t="s">
        <v>2451</v>
      </c>
      <c r="K293" s="109" t="s">
        <v>154</v>
      </c>
      <c r="L293" s="879"/>
      <c r="M293" s="297"/>
      <c r="N293" s="879"/>
      <c r="O293" s="92"/>
      <c r="P293" s="228"/>
      <c r="Q293" s="297"/>
      <c r="R293" s="4929">
        <f>1/5*100</f>
        <v>20</v>
      </c>
      <c r="S293" s="1842"/>
      <c r="T293" s="4929">
        <f>4/8*100</f>
        <v>50</v>
      </c>
      <c r="U293" s="151"/>
      <c r="V293" s="4929">
        <f>4/8*100</f>
        <v>50</v>
      </c>
      <c r="W293" s="2060"/>
      <c r="X293" s="2186"/>
      <c r="Y293" s="92"/>
      <c r="Z293" s="100"/>
      <c r="AA293" s="92"/>
      <c r="AB293" s="2187"/>
      <c r="AC293" s="2111"/>
      <c r="AD293" s="100"/>
      <c r="AE293" s="100"/>
      <c r="AF293" s="100"/>
      <c r="AG293" s="100"/>
      <c r="AH293" s="100"/>
      <c r="AI293" s="100"/>
      <c r="AJ293" s="100"/>
      <c r="AK293" s="100"/>
      <c r="AL293" s="100"/>
      <c r="AM293" s="100"/>
      <c r="AN293" s="2187"/>
      <c r="AO293" s="2186">
        <v>18</v>
      </c>
      <c r="AP293" s="92"/>
      <c r="AQ293" s="100">
        <v>22</v>
      </c>
      <c r="AR293" s="92"/>
      <c r="AS293" s="2349">
        <v>25</v>
      </c>
      <c r="AT293" s="4807"/>
      <c r="AU293" s="2186"/>
      <c r="AV293" s="92"/>
      <c r="AW293" s="100"/>
      <c r="AX293" s="92"/>
      <c r="AY293" s="2187"/>
      <c r="AZ293" s="2186"/>
      <c r="BA293" s="92"/>
      <c r="BB293" s="100"/>
      <c r="BC293" s="92"/>
      <c r="BD293" s="2187"/>
      <c r="BE293" s="2186"/>
      <c r="BF293" s="293"/>
      <c r="BG293" s="100"/>
      <c r="BH293" s="293"/>
      <c r="BI293" s="2187"/>
      <c r="BJ293" s="2484"/>
      <c r="BK293" s="841"/>
      <c r="BL293" s="99"/>
      <c r="BM293" s="547"/>
      <c r="BN293" s="547"/>
      <c r="BO293" s="99"/>
      <c r="BP293" s="265"/>
      <c r="BQ293" s="265" t="s">
        <v>807</v>
      </c>
      <c r="BR293" s="187"/>
      <c r="BS293" s="18"/>
    </row>
    <row r="294" spans="2:71" ht="24" customHeight="1">
      <c r="B294" s="4505" t="s">
        <v>2281</v>
      </c>
      <c r="C294" s="4655"/>
      <c r="D294" s="885"/>
      <c r="E294" s="286" t="s">
        <v>1835</v>
      </c>
      <c r="F294" s="285" t="s">
        <v>154</v>
      </c>
      <c r="G294" s="106"/>
      <c r="H294" s="353"/>
      <c r="I294" s="4657"/>
      <c r="J294" s="358" t="s">
        <v>2452</v>
      </c>
      <c r="K294" s="109" t="s">
        <v>154</v>
      </c>
      <c r="L294" s="879"/>
      <c r="M294" s="297"/>
      <c r="N294" s="879"/>
      <c r="O294" s="92"/>
      <c r="P294" s="228"/>
      <c r="Q294" s="297"/>
      <c r="R294" s="4929">
        <f>4/5*100</f>
        <v>80</v>
      </c>
      <c r="S294" s="1842"/>
      <c r="T294" s="4929">
        <f>4/8*100</f>
        <v>50</v>
      </c>
      <c r="U294" s="151"/>
      <c r="V294" s="4929">
        <f>4/8*100</f>
        <v>50</v>
      </c>
      <c r="W294" s="2060"/>
      <c r="X294" s="2186"/>
      <c r="Y294" s="92"/>
      <c r="Z294" s="100"/>
      <c r="AA294" s="92"/>
      <c r="AB294" s="2187"/>
      <c r="AC294" s="2111"/>
      <c r="AD294" s="100"/>
      <c r="AE294" s="100"/>
      <c r="AF294" s="100"/>
      <c r="AG294" s="100"/>
      <c r="AH294" s="100"/>
      <c r="AI294" s="100"/>
      <c r="AJ294" s="100"/>
      <c r="AK294" s="100"/>
      <c r="AL294" s="100"/>
      <c r="AM294" s="100"/>
      <c r="AN294" s="2187"/>
      <c r="AO294" s="2186">
        <v>2</v>
      </c>
      <c r="AP294" s="92"/>
      <c r="AQ294" s="100">
        <v>1</v>
      </c>
      <c r="AR294" s="92"/>
      <c r="AS294" s="2349">
        <v>1</v>
      </c>
      <c r="AT294" s="4807"/>
      <c r="AU294" s="2186"/>
      <c r="AV294" s="92"/>
      <c r="AW294" s="100"/>
      <c r="AX294" s="92"/>
      <c r="AY294" s="2187"/>
      <c r="AZ294" s="2186"/>
      <c r="BA294" s="92"/>
      <c r="BB294" s="100"/>
      <c r="BC294" s="92"/>
      <c r="BD294" s="2187"/>
      <c r="BE294" s="2186"/>
      <c r="BF294" s="293"/>
      <c r="BG294" s="100"/>
      <c r="BH294" s="293"/>
      <c r="BI294" s="2187"/>
      <c r="BJ294" s="2484"/>
      <c r="BK294" s="841"/>
      <c r="BL294" s="99"/>
      <c r="BM294" s="547"/>
      <c r="BN294" s="547"/>
      <c r="BO294" s="99"/>
      <c r="BP294" s="265"/>
      <c r="BQ294" s="265" t="s">
        <v>807</v>
      </c>
      <c r="BR294" s="187"/>
      <c r="BS294" s="18"/>
    </row>
    <row r="295" spans="2:71" ht="24" customHeight="1">
      <c r="B295" s="4636" t="s">
        <v>2281</v>
      </c>
      <c r="C295" s="4655"/>
      <c r="D295" s="490" t="s">
        <v>1090</v>
      </c>
      <c r="E295" s="491"/>
      <c r="F295" s="285" t="s">
        <v>154</v>
      </c>
      <c r="G295" s="106"/>
      <c r="H295" s="353"/>
      <c r="I295" s="495" t="s">
        <v>2453</v>
      </c>
      <c r="J295" s="643"/>
      <c r="K295" s="109" t="s">
        <v>154</v>
      </c>
      <c r="L295" s="297">
        <v>24.217462932454694</v>
      </c>
      <c r="M295" s="297"/>
      <c r="N295" s="297">
        <v>26.50793650793651</v>
      </c>
      <c r="O295" s="92"/>
      <c r="P295" s="228"/>
      <c r="Q295" s="297"/>
      <c r="R295" s="297">
        <v>38.020833333333329</v>
      </c>
      <c r="S295" s="1842"/>
      <c r="T295" s="297">
        <v>42.288557213930353</v>
      </c>
      <c r="U295" s="4916" t="s">
        <v>1836</v>
      </c>
      <c r="V295" s="4980">
        <f>85/201</f>
        <v>0.4228855721393035</v>
      </c>
      <c r="W295" s="2060"/>
      <c r="X295" s="2186"/>
      <c r="Y295" s="92"/>
      <c r="Z295" s="702">
        <v>4.3478260869565215</v>
      </c>
      <c r="AA295" s="92"/>
      <c r="AB295" s="2187"/>
      <c r="AC295" s="2111"/>
      <c r="AD295" s="702">
        <v>4.3478260869565215</v>
      </c>
      <c r="AE295" s="100"/>
      <c r="AF295" s="100"/>
      <c r="AG295" s="702">
        <v>4.3478260869565215</v>
      </c>
      <c r="AH295" s="100"/>
      <c r="AI295" s="100"/>
      <c r="AJ295" s="702">
        <v>4.3478260869565215</v>
      </c>
      <c r="AK295" s="100"/>
      <c r="AL295" s="100"/>
      <c r="AM295" s="702">
        <v>4.3478260869565215</v>
      </c>
      <c r="AN295" s="2187"/>
      <c r="AO295" s="2404">
        <v>13.738019169329075</v>
      </c>
      <c r="AP295" s="92"/>
      <c r="AQ295" s="702">
        <v>16</v>
      </c>
      <c r="AR295" s="92"/>
      <c r="AS295" s="2349">
        <v>10</v>
      </c>
      <c r="AT295" s="4807"/>
      <c r="AU295" s="2404">
        <v>42.857142857142854</v>
      </c>
      <c r="AV295" s="92"/>
      <c r="AW295" s="702">
        <v>41.269841269841265</v>
      </c>
      <c r="AX295" s="92"/>
      <c r="AY295" s="2187"/>
      <c r="AZ295" s="2404">
        <v>15.789473684210526</v>
      </c>
      <c r="BA295" s="92"/>
      <c r="BB295" s="702">
        <v>16.666666666666664</v>
      </c>
      <c r="BC295" s="92"/>
      <c r="BD295" s="2187"/>
      <c r="BE295" s="2186"/>
      <c r="BF295" s="92"/>
      <c r="BG295" s="100"/>
      <c r="BH295" s="293"/>
      <c r="BI295" s="2187"/>
      <c r="BJ295" s="618" t="s">
        <v>1092</v>
      </c>
      <c r="BK295" s="830" t="s">
        <v>1093</v>
      </c>
      <c r="BL295" s="99"/>
      <c r="BM295" s="547"/>
      <c r="BN295" s="547"/>
      <c r="BO295" s="99"/>
      <c r="BP295" s="265" t="s">
        <v>1094</v>
      </c>
      <c r="BQ295" s="265"/>
      <c r="BR295" s="187"/>
      <c r="BS295" s="18"/>
    </row>
    <row r="296" spans="2:71" ht="24" customHeight="1">
      <c r="B296" s="4636" t="s">
        <v>2281</v>
      </c>
      <c r="C296" s="4655"/>
      <c r="D296" s="286" t="s">
        <v>1097</v>
      </c>
      <c r="E296" s="286"/>
      <c r="F296" s="285" t="s">
        <v>154</v>
      </c>
      <c r="G296" s="106"/>
      <c r="H296" s="353"/>
      <c r="I296" s="495" t="s">
        <v>2454</v>
      </c>
      <c r="J296" s="643"/>
      <c r="K296" s="109" t="s">
        <v>154</v>
      </c>
      <c r="L296" s="297">
        <v>5.668016194331984</v>
      </c>
      <c r="M296" s="297"/>
      <c r="N296" s="297">
        <v>9.0909090909090917</v>
      </c>
      <c r="O296" s="92"/>
      <c r="P296" s="228"/>
      <c r="Q296" s="297"/>
      <c r="R296" s="297">
        <v>18.181818181818183</v>
      </c>
      <c r="S296" s="1842"/>
      <c r="T296" s="297">
        <v>17.948717948717949</v>
      </c>
      <c r="U296" s="4916" t="s">
        <v>1837</v>
      </c>
      <c r="V296" s="4980">
        <f>8/40</f>
        <v>0.2</v>
      </c>
      <c r="W296" s="2060"/>
      <c r="X296" s="2186"/>
      <c r="Y296" s="92"/>
      <c r="Z296" s="702">
        <v>14.285714285714285</v>
      </c>
      <c r="AA296" s="92"/>
      <c r="AB296" s="2187"/>
      <c r="AC296" s="2111"/>
      <c r="AD296" s="702">
        <v>14.285714285714285</v>
      </c>
      <c r="AE296" s="100"/>
      <c r="AF296" s="100"/>
      <c r="AG296" s="702">
        <v>14.285714285714285</v>
      </c>
      <c r="AH296" s="100"/>
      <c r="AI296" s="100"/>
      <c r="AJ296" s="702">
        <v>14.285714285714285</v>
      </c>
      <c r="AK296" s="100"/>
      <c r="AL296" s="100"/>
      <c r="AM296" s="702">
        <v>14.285714285714285</v>
      </c>
      <c r="AN296" s="2187"/>
      <c r="AO296" s="2404">
        <v>1.4388489208633095</v>
      </c>
      <c r="AP296" s="92"/>
      <c r="AQ296" s="702">
        <v>3.5087719298245612</v>
      </c>
      <c r="AR296" s="92"/>
      <c r="AS296" s="2349">
        <v>0.33333333333333331</v>
      </c>
      <c r="AT296" s="4807"/>
      <c r="AU296" s="2404">
        <v>0</v>
      </c>
      <c r="AV296" s="92"/>
      <c r="AW296" s="702">
        <v>0</v>
      </c>
      <c r="AX296" s="92"/>
      <c r="AY296" s="2187"/>
      <c r="AZ296" s="2404">
        <v>40</v>
      </c>
      <c r="BA296" s="92"/>
      <c r="BB296" s="702">
        <v>40</v>
      </c>
      <c r="BC296" s="92"/>
      <c r="BD296" s="2187"/>
      <c r="BE296" s="2186"/>
      <c r="BF296" s="293"/>
      <c r="BG296" s="100"/>
      <c r="BH296" s="293"/>
      <c r="BI296" s="2187"/>
      <c r="BJ296" s="618" t="s">
        <v>1099</v>
      </c>
      <c r="BK296" s="830" t="s">
        <v>1100</v>
      </c>
      <c r="BL296" s="99"/>
      <c r="BM296" s="547"/>
      <c r="BN296" s="547"/>
      <c r="BO296" s="99"/>
      <c r="BP296" s="265" t="s">
        <v>1101</v>
      </c>
      <c r="BQ296" s="265"/>
      <c r="BR296" s="187"/>
      <c r="BS296" s="18"/>
    </row>
    <row r="297" spans="2:71" ht="24" customHeight="1">
      <c r="B297" s="4636" t="s">
        <v>2281</v>
      </c>
      <c r="C297" s="4655"/>
      <c r="D297" s="886" t="s">
        <v>1103</v>
      </c>
      <c r="E297" s="886"/>
      <c r="F297" s="285" t="s">
        <v>154</v>
      </c>
      <c r="G297" s="106"/>
      <c r="H297" s="353"/>
      <c r="I297" s="495" t="s">
        <v>2455</v>
      </c>
      <c r="J297" s="643"/>
      <c r="K297" s="887" t="s">
        <v>154</v>
      </c>
      <c r="L297" s="297">
        <v>154.64734450004516</v>
      </c>
      <c r="M297" s="297"/>
      <c r="N297" s="297">
        <v>103.76128077908974</v>
      </c>
      <c r="O297" s="92"/>
      <c r="P297" s="228"/>
      <c r="Q297" s="297"/>
      <c r="R297" s="297">
        <v>87.231196663517778</v>
      </c>
      <c r="S297" s="1842"/>
      <c r="T297" s="297">
        <v>80.672398847835211</v>
      </c>
      <c r="U297" s="151"/>
      <c r="V297" s="228"/>
      <c r="W297" s="2060"/>
      <c r="X297" s="2186"/>
      <c r="Y297" s="92"/>
      <c r="Z297" s="702">
        <v>73.524451939291737</v>
      </c>
      <c r="AA297" s="92"/>
      <c r="AB297" s="2187"/>
      <c r="AC297" s="2111"/>
      <c r="AD297" s="702">
        <v>73.524451939291737</v>
      </c>
      <c r="AE297" s="100"/>
      <c r="AF297" s="100"/>
      <c r="AG297" s="702">
        <v>73.524451939291737</v>
      </c>
      <c r="AH297" s="100"/>
      <c r="AI297" s="100"/>
      <c r="AJ297" s="702">
        <v>73.524451939291737</v>
      </c>
      <c r="AK297" s="100"/>
      <c r="AL297" s="100"/>
      <c r="AM297" s="702">
        <v>73.524451939291737</v>
      </c>
      <c r="AN297" s="2187"/>
      <c r="AO297" s="2404">
        <v>85.882637262472798</v>
      </c>
      <c r="AP297" s="92"/>
      <c r="AQ297" s="702">
        <v>82.247056388175423</v>
      </c>
      <c r="AR297" s="92"/>
      <c r="AS297" s="2349">
        <f>100-((470418-309402)/470418*100)</f>
        <v>65.771717918957194</v>
      </c>
      <c r="AT297" s="4981" t="s">
        <v>2456</v>
      </c>
      <c r="AU297" s="2404">
        <v>119.89054293130317</v>
      </c>
      <c r="AV297" s="92"/>
      <c r="AW297" s="702">
        <v>114.66069429343651</v>
      </c>
      <c r="AX297" s="92"/>
      <c r="AY297" s="2187"/>
      <c r="AZ297" s="2404">
        <v>156.08059219041078</v>
      </c>
      <c r="BA297" s="92"/>
      <c r="BB297" s="702">
        <v>104.04324918526433</v>
      </c>
      <c r="BC297" s="92"/>
      <c r="BD297" s="2187"/>
      <c r="BE297" s="2186"/>
      <c r="BF297" s="293"/>
      <c r="BG297" s="100"/>
      <c r="BH297" s="293"/>
      <c r="BI297" s="2187"/>
      <c r="BJ297" s="618" t="s">
        <v>1105</v>
      </c>
      <c r="BK297" s="830" t="s">
        <v>1106</v>
      </c>
      <c r="BL297" s="99"/>
      <c r="BM297" s="547"/>
      <c r="BN297" s="547"/>
      <c r="BO297" s="99"/>
      <c r="BP297" s="265" t="s">
        <v>1107</v>
      </c>
      <c r="BQ297" s="265" t="s">
        <v>1108</v>
      </c>
      <c r="BR297" s="187"/>
      <c r="BS297" s="18"/>
    </row>
    <row r="298" spans="2:71" ht="24" customHeight="1">
      <c r="B298" s="4505" t="s">
        <v>2281</v>
      </c>
      <c r="C298" s="4658" t="s">
        <v>1112</v>
      </c>
      <c r="D298" s="736"/>
      <c r="E298" s="736"/>
      <c r="F298" s="2371" t="s">
        <v>168</v>
      </c>
      <c r="G298" s="889"/>
      <c r="H298" s="736" t="s">
        <v>1113</v>
      </c>
      <c r="I298" s="736"/>
      <c r="J298" s="736"/>
      <c r="K298" s="881" t="s">
        <v>168</v>
      </c>
      <c r="L298" s="890"/>
      <c r="M298" s="890"/>
      <c r="N298" s="890"/>
      <c r="O298" s="890"/>
      <c r="P298" s="890"/>
      <c r="Q298" s="890"/>
      <c r="R298" s="890"/>
      <c r="S298" s="890"/>
      <c r="T298" s="890"/>
      <c r="U298" s="890"/>
      <c r="V298" s="890"/>
      <c r="W298" s="4982"/>
      <c r="X298" s="2277"/>
      <c r="Y298" s="881"/>
      <c r="Z298" s="881"/>
      <c r="AA298" s="881"/>
      <c r="AB298" s="2278"/>
      <c r="AC298" s="1560"/>
      <c r="AD298" s="881"/>
      <c r="AE298" s="881"/>
      <c r="AF298" s="320"/>
      <c r="AG298" s="891"/>
      <c r="AH298" s="320"/>
      <c r="AI298" s="320"/>
      <c r="AJ298" s="891"/>
      <c r="AK298" s="320"/>
      <c r="AL298" s="320"/>
      <c r="AM298" s="891"/>
      <c r="AN298" s="2276"/>
      <c r="AO298" s="2415"/>
      <c r="AP298" s="171"/>
      <c r="AQ298" s="891"/>
      <c r="AR298" s="171"/>
      <c r="AS298" s="2370"/>
      <c r="AT298" s="4810"/>
      <c r="AU298" s="2415"/>
      <c r="AV298" s="171"/>
      <c r="AW298" s="891"/>
      <c r="AX298" s="171"/>
      <c r="AY298" s="2276"/>
      <c r="AZ298" s="2415"/>
      <c r="BA298" s="171"/>
      <c r="BB298" s="891"/>
      <c r="BC298" s="171"/>
      <c r="BD298" s="2276"/>
      <c r="BE298" s="2275"/>
      <c r="BF298" s="413"/>
      <c r="BG298" s="320"/>
      <c r="BH298" s="413"/>
      <c r="BI298" s="2276"/>
      <c r="BJ298" s="618"/>
      <c r="BK298" s="4983"/>
      <c r="BL298" s="99"/>
      <c r="BM298" s="547"/>
      <c r="BN298" s="547"/>
      <c r="BO298" s="99"/>
      <c r="BP298" s="265"/>
      <c r="BQ298" s="265"/>
      <c r="BR298" s="187"/>
      <c r="BS298" s="18"/>
    </row>
    <row r="299" spans="2:71" ht="24" customHeight="1">
      <c r="B299" s="4505" t="s">
        <v>2281</v>
      </c>
      <c r="C299" s="4655"/>
      <c r="D299" s="4660" t="s">
        <v>1114</v>
      </c>
      <c r="E299" s="4661"/>
      <c r="F299" s="2371" t="s">
        <v>742</v>
      </c>
      <c r="G299" s="106"/>
      <c r="H299" s="353"/>
      <c r="I299" s="685" t="s">
        <v>1838</v>
      </c>
      <c r="J299" s="655"/>
      <c r="K299" s="881" t="s">
        <v>734</v>
      </c>
      <c r="L299" s="890"/>
      <c r="M299" s="890"/>
      <c r="N299" s="890"/>
      <c r="O299" s="890"/>
      <c r="P299" s="890"/>
      <c r="Q299" s="890"/>
      <c r="R299" s="890"/>
      <c r="S299" s="890"/>
      <c r="T299" s="890"/>
      <c r="U299" s="890"/>
      <c r="V299" s="890"/>
      <c r="W299" s="4982"/>
      <c r="X299" s="2277"/>
      <c r="Y299" s="881"/>
      <c r="Z299" s="881"/>
      <c r="AA299" s="881"/>
      <c r="AB299" s="2278"/>
      <c r="AC299" s="1560"/>
      <c r="AD299" s="881"/>
      <c r="AE299" s="881"/>
      <c r="AF299" s="320"/>
      <c r="AG299" s="891"/>
      <c r="AH299" s="320"/>
      <c r="AI299" s="320"/>
      <c r="AJ299" s="891"/>
      <c r="AK299" s="320"/>
      <c r="AL299" s="320"/>
      <c r="AM299" s="891"/>
      <c r="AN299" s="2276"/>
      <c r="AO299" s="2415"/>
      <c r="AP299" s="171"/>
      <c r="AQ299" s="891"/>
      <c r="AR299" s="171"/>
      <c r="AS299" s="2370"/>
      <c r="AT299" s="4810"/>
      <c r="AU299" s="2415"/>
      <c r="AV299" s="171"/>
      <c r="AW299" s="891"/>
      <c r="AX299" s="171"/>
      <c r="AY299" s="2276"/>
      <c r="AZ299" s="2415"/>
      <c r="BA299" s="171"/>
      <c r="BB299" s="891"/>
      <c r="BC299" s="171"/>
      <c r="BD299" s="2276"/>
      <c r="BE299" s="2275"/>
      <c r="BF299" s="413"/>
      <c r="BG299" s="320"/>
      <c r="BH299" s="413"/>
      <c r="BI299" s="2276"/>
      <c r="BJ299" s="618"/>
      <c r="BK299" s="4983"/>
      <c r="BL299" s="99"/>
      <c r="BM299" s="547"/>
      <c r="BN299" s="547"/>
      <c r="BO299" s="99"/>
      <c r="BP299" s="265"/>
      <c r="BQ299" s="265"/>
      <c r="BR299" s="187"/>
      <c r="BS299" s="18"/>
    </row>
    <row r="300" spans="2:71" ht="24" customHeight="1">
      <c r="B300" s="4505" t="s">
        <v>2281</v>
      </c>
      <c r="C300" s="4655"/>
      <c r="D300" s="892"/>
      <c r="E300" s="893" t="s">
        <v>1116</v>
      </c>
      <c r="F300" s="285" t="s">
        <v>742</v>
      </c>
      <c r="G300" s="106"/>
      <c r="H300" s="353"/>
      <c r="I300" s="347"/>
      <c r="J300" s="777" t="s">
        <v>2457</v>
      </c>
      <c r="K300" s="109" t="s">
        <v>734</v>
      </c>
      <c r="L300" s="297">
        <v>229</v>
      </c>
      <c r="M300" s="297"/>
      <c r="N300" s="297">
        <v>203</v>
      </c>
      <c r="O300" s="92"/>
      <c r="P300" s="228"/>
      <c r="Q300" s="297"/>
      <c r="R300" s="297">
        <v>171</v>
      </c>
      <c r="S300" s="1842"/>
      <c r="T300" s="297">
        <v>163</v>
      </c>
      <c r="U300" s="10136" t="s">
        <v>1839</v>
      </c>
      <c r="V300" s="228">
        <v>145</v>
      </c>
      <c r="W300" s="2060"/>
      <c r="X300" s="2186"/>
      <c r="Y300" s="92"/>
      <c r="Z300" s="702">
        <v>40</v>
      </c>
      <c r="AA300" s="92"/>
      <c r="AB300" s="2187"/>
      <c r="AC300" s="2111"/>
      <c r="AD300" s="702">
        <v>40</v>
      </c>
      <c r="AE300" s="100"/>
      <c r="AF300" s="100"/>
      <c r="AG300" s="702">
        <v>40</v>
      </c>
      <c r="AH300" s="100"/>
      <c r="AI300" s="100"/>
      <c r="AJ300" s="702">
        <v>40</v>
      </c>
      <c r="AK300" s="100"/>
      <c r="AL300" s="100"/>
      <c r="AM300" s="702">
        <v>40</v>
      </c>
      <c r="AN300" s="2187"/>
      <c r="AO300" s="2404" t="s">
        <v>640</v>
      </c>
      <c r="AP300" s="92"/>
      <c r="AQ300" s="702" t="s">
        <v>640</v>
      </c>
      <c r="AR300" s="92"/>
      <c r="AS300" s="2349" t="s">
        <v>641</v>
      </c>
      <c r="AT300" s="4807" t="s">
        <v>2458</v>
      </c>
      <c r="AU300" s="2404">
        <v>0</v>
      </c>
      <c r="AV300" s="92"/>
      <c r="AW300" s="702">
        <v>0</v>
      </c>
      <c r="AX300" s="92"/>
      <c r="AY300" s="2187"/>
      <c r="AZ300" s="2404">
        <v>140</v>
      </c>
      <c r="BA300" s="92"/>
      <c r="BB300" s="702">
        <v>163</v>
      </c>
      <c r="BC300" s="92"/>
      <c r="BD300" s="2187"/>
      <c r="BE300" s="2186"/>
      <c r="BF300" s="293"/>
      <c r="BG300" s="100"/>
      <c r="BH300" s="293"/>
      <c r="BI300" s="2187"/>
      <c r="BJ300" s="618" t="s">
        <v>1118</v>
      </c>
      <c r="BK300" s="830" t="s">
        <v>1119</v>
      </c>
      <c r="BL300" s="99"/>
      <c r="BM300" s="547"/>
      <c r="BN300" s="547"/>
      <c r="BO300" s="99"/>
      <c r="BP300" s="265" t="s">
        <v>1120</v>
      </c>
      <c r="BQ300" s="265" t="s">
        <v>1121</v>
      </c>
      <c r="BR300" s="187"/>
      <c r="BS300" s="18"/>
    </row>
    <row r="301" spans="2:71" ht="24" customHeight="1">
      <c r="B301" s="4505" t="s">
        <v>2281</v>
      </c>
      <c r="C301" s="4655"/>
      <c r="D301" s="894"/>
      <c r="E301" s="893" t="s">
        <v>1125</v>
      </c>
      <c r="F301" s="285" t="s">
        <v>742</v>
      </c>
      <c r="G301" s="106"/>
      <c r="H301" s="353"/>
      <c r="I301" s="384"/>
      <c r="J301" s="777" t="s">
        <v>2459</v>
      </c>
      <c r="K301" s="109" t="s">
        <v>734</v>
      </c>
      <c r="L301" s="297">
        <v>128</v>
      </c>
      <c r="M301" s="297"/>
      <c r="N301" s="297">
        <v>132</v>
      </c>
      <c r="O301" s="92"/>
      <c r="P301" s="228"/>
      <c r="Q301" s="297"/>
      <c r="R301" s="297">
        <v>122</v>
      </c>
      <c r="S301" s="1842"/>
      <c r="T301" s="297">
        <v>126</v>
      </c>
      <c r="U301" s="10137"/>
      <c r="V301" s="228">
        <v>133</v>
      </c>
      <c r="W301" s="2060"/>
      <c r="X301" s="2186"/>
      <c r="Y301" s="92"/>
      <c r="Z301" s="702">
        <v>6</v>
      </c>
      <c r="AA301" s="92"/>
      <c r="AB301" s="2187"/>
      <c r="AC301" s="2111"/>
      <c r="AD301" s="702">
        <v>6</v>
      </c>
      <c r="AE301" s="100"/>
      <c r="AF301" s="100"/>
      <c r="AG301" s="702">
        <v>6</v>
      </c>
      <c r="AH301" s="100"/>
      <c r="AI301" s="100"/>
      <c r="AJ301" s="702">
        <v>6</v>
      </c>
      <c r="AK301" s="100"/>
      <c r="AL301" s="100"/>
      <c r="AM301" s="702">
        <v>6</v>
      </c>
      <c r="AN301" s="2187"/>
      <c r="AO301" s="2404" t="s">
        <v>640</v>
      </c>
      <c r="AP301" s="92"/>
      <c r="AQ301" s="702" t="s">
        <v>640</v>
      </c>
      <c r="AR301" s="92"/>
      <c r="AS301" s="2349" t="s">
        <v>641</v>
      </c>
      <c r="AT301" s="4807" t="s">
        <v>2458</v>
      </c>
      <c r="AU301" s="2404">
        <v>0</v>
      </c>
      <c r="AV301" s="92"/>
      <c r="AW301" s="702">
        <v>0</v>
      </c>
      <c r="AX301" s="92"/>
      <c r="AY301" s="2187"/>
      <c r="AZ301" s="2404">
        <v>17</v>
      </c>
      <c r="BA301" s="92"/>
      <c r="BB301" s="702">
        <v>15</v>
      </c>
      <c r="BC301" s="92"/>
      <c r="BD301" s="2187"/>
      <c r="BE301" s="2186"/>
      <c r="BF301" s="293"/>
      <c r="BG301" s="100"/>
      <c r="BH301" s="293"/>
      <c r="BI301" s="2187"/>
      <c r="BJ301" s="618" t="s">
        <v>1118</v>
      </c>
      <c r="BK301" s="830" t="s">
        <v>1119</v>
      </c>
      <c r="BL301" s="99"/>
      <c r="BM301" s="547"/>
      <c r="BN301" s="547"/>
      <c r="BO301" s="99"/>
      <c r="BP301" s="265" t="s">
        <v>1120</v>
      </c>
      <c r="BQ301" s="265" t="s">
        <v>1121</v>
      </c>
      <c r="BR301" s="187"/>
      <c r="BS301" s="18"/>
    </row>
    <row r="302" spans="2:71" ht="24" customHeight="1">
      <c r="B302" s="4505" t="s">
        <v>2281</v>
      </c>
      <c r="C302" s="4655"/>
      <c r="D302" s="4660" t="s">
        <v>1127</v>
      </c>
      <c r="E302" s="4661"/>
      <c r="F302" s="2371" t="s">
        <v>742</v>
      </c>
      <c r="G302" s="106"/>
      <c r="H302" s="353"/>
      <c r="I302" s="685" t="s">
        <v>2460</v>
      </c>
      <c r="J302" s="895"/>
      <c r="K302" s="881" t="s">
        <v>734</v>
      </c>
      <c r="L302" s="890"/>
      <c r="M302" s="890"/>
      <c r="N302" s="890"/>
      <c r="O302" s="890"/>
      <c r="P302" s="890"/>
      <c r="Q302" s="890"/>
      <c r="R302" s="890"/>
      <c r="S302" s="890"/>
      <c r="T302" s="890"/>
      <c r="U302" s="890"/>
      <c r="V302" s="890"/>
      <c r="W302" s="4982"/>
      <c r="X302" s="2277"/>
      <c r="Y302" s="881"/>
      <c r="Z302" s="881"/>
      <c r="AA302" s="881"/>
      <c r="AB302" s="2278"/>
      <c r="AC302" s="1560"/>
      <c r="AD302" s="881"/>
      <c r="AE302" s="881"/>
      <c r="AF302" s="320"/>
      <c r="AG302" s="891"/>
      <c r="AH302" s="320"/>
      <c r="AI302" s="320"/>
      <c r="AJ302" s="891"/>
      <c r="AK302" s="320"/>
      <c r="AL302" s="320"/>
      <c r="AM302" s="891"/>
      <c r="AN302" s="2276"/>
      <c r="AO302" s="2415"/>
      <c r="AP302" s="171"/>
      <c r="AQ302" s="891"/>
      <c r="AR302" s="171"/>
      <c r="AS302" s="2370"/>
      <c r="AT302" s="4810"/>
      <c r="AU302" s="2415"/>
      <c r="AV302" s="171"/>
      <c r="AW302" s="891"/>
      <c r="AX302" s="171"/>
      <c r="AY302" s="2276"/>
      <c r="AZ302" s="2415"/>
      <c r="BA302" s="171"/>
      <c r="BB302" s="891"/>
      <c r="BC302" s="171"/>
      <c r="BD302" s="2276"/>
      <c r="BE302" s="2275"/>
      <c r="BF302" s="413"/>
      <c r="BG302" s="320"/>
      <c r="BH302" s="413"/>
      <c r="BI302" s="2276"/>
      <c r="BJ302" s="618"/>
      <c r="BK302" s="4983"/>
      <c r="BL302" s="99"/>
      <c r="BM302" s="547"/>
      <c r="BN302" s="547"/>
      <c r="BO302" s="99"/>
      <c r="BP302" s="277" t="s">
        <v>1129</v>
      </c>
      <c r="BQ302" s="265" t="s">
        <v>1121</v>
      </c>
      <c r="BR302" s="187"/>
      <c r="BS302" s="18"/>
    </row>
    <row r="303" spans="2:71" ht="24" customHeight="1">
      <c r="B303" s="4505" t="s">
        <v>2281</v>
      </c>
      <c r="C303" s="4655"/>
      <c r="E303" s="286" t="s">
        <v>1841</v>
      </c>
      <c r="F303" s="285" t="s">
        <v>732</v>
      </c>
      <c r="G303" s="106"/>
      <c r="H303" s="353"/>
      <c r="I303" s="347"/>
      <c r="J303" s="777" t="s">
        <v>2461</v>
      </c>
      <c r="K303" s="109" t="s">
        <v>734</v>
      </c>
      <c r="L303" s="297">
        <v>14</v>
      </c>
      <c r="M303" s="297"/>
      <c r="N303" s="297">
        <v>20</v>
      </c>
      <c r="O303" s="92"/>
      <c r="P303" s="228"/>
      <c r="Q303" s="297"/>
      <c r="R303" s="297">
        <v>7</v>
      </c>
      <c r="S303" s="1842"/>
      <c r="T303" s="297">
        <v>17</v>
      </c>
      <c r="U303" s="10138" t="s">
        <v>1842</v>
      </c>
      <c r="V303" s="228">
        <v>14</v>
      </c>
      <c r="W303" s="2060"/>
      <c r="X303" s="2186"/>
      <c r="Y303" s="293"/>
      <c r="Z303" s="100"/>
      <c r="AA303" s="293"/>
      <c r="AB303" s="2187"/>
      <c r="AC303" s="2111"/>
      <c r="AD303" s="100"/>
      <c r="AE303" s="100"/>
      <c r="AF303" s="100"/>
      <c r="AG303" s="100"/>
      <c r="AH303" s="100"/>
      <c r="AI303" s="100"/>
      <c r="AJ303" s="100"/>
      <c r="AK303" s="100"/>
      <c r="AL303" s="100"/>
      <c r="AM303" s="100"/>
      <c r="AN303" s="2187"/>
      <c r="AO303" s="2186"/>
      <c r="AP303" s="293"/>
      <c r="AQ303" s="100"/>
      <c r="AR303" s="293"/>
      <c r="AS303" s="2349">
        <v>0</v>
      </c>
      <c r="AT303" s="4806"/>
      <c r="AU303" s="2186"/>
      <c r="AV303" s="293"/>
      <c r="AW303" s="100"/>
      <c r="AX303" s="293"/>
      <c r="AY303" s="2187"/>
      <c r="AZ303" s="2186"/>
      <c r="BA303" s="293"/>
      <c r="BB303" s="100"/>
      <c r="BC303" s="293"/>
      <c r="BD303" s="2187"/>
      <c r="BE303" s="2186"/>
      <c r="BF303" s="293"/>
      <c r="BG303" s="100"/>
      <c r="BH303" s="293"/>
      <c r="BI303" s="2187"/>
      <c r="BJ303" s="618" t="s">
        <v>1132</v>
      </c>
      <c r="BK303" s="830" t="s">
        <v>1133</v>
      </c>
      <c r="BL303" s="99"/>
      <c r="BM303" s="547"/>
      <c r="BN303" s="547"/>
      <c r="BO303" s="99"/>
      <c r="BP303" s="277" t="s">
        <v>1129</v>
      </c>
      <c r="BQ303" s="277" t="s">
        <v>1121</v>
      </c>
      <c r="BR303" s="187"/>
      <c r="BS303" s="18"/>
    </row>
    <row r="304" spans="2:71" ht="24" customHeight="1">
      <c r="B304" s="4505" t="s">
        <v>2281</v>
      </c>
      <c r="C304" s="4655"/>
      <c r="E304" s="286" t="s">
        <v>1843</v>
      </c>
      <c r="F304" s="285" t="s">
        <v>732</v>
      </c>
      <c r="G304" s="106"/>
      <c r="H304" s="353"/>
      <c r="I304" s="384"/>
      <c r="J304" s="777" t="s">
        <v>2462</v>
      </c>
      <c r="K304" s="109" t="s">
        <v>734</v>
      </c>
      <c r="L304" s="297">
        <v>37</v>
      </c>
      <c r="M304" s="297"/>
      <c r="N304" s="297">
        <v>42</v>
      </c>
      <c r="O304" s="92"/>
      <c r="P304" s="228"/>
      <c r="Q304" s="297"/>
      <c r="R304" s="297">
        <v>35</v>
      </c>
      <c r="S304" s="1842"/>
      <c r="T304" s="297">
        <v>38</v>
      </c>
      <c r="U304" s="10139"/>
      <c r="V304" s="228">
        <v>46</v>
      </c>
      <c r="W304" s="2060"/>
      <c r="X304" s="2186"/>
      <c r="Y304" s="293"/>
      <c r="Z304" s="100"/>
      <c r="AA304" s="293"/>
      <c r="AB304" s="2187"/>
      <c r="AC304" s="2111"/>
      <c r="AD304" s="100"/>
      <c r="AE304" s="100"/>
      <c r="AF304" s="100"/>
      <c r="AG304" s="100"/>
      <c r="AH304" s="100"/>
      <c r="AI304" s="100"/>
      <c r="AJ304" s="100"/>
      <c r="AK304" s="100"/>
      <c r="AL304" s="100"/>
      <c r="AM304" s="100"/>
      <c r="AN304" s="2187"/>
      <c r="AO304" s="2186"/>
      <c r="AP304" s="293"/>
      <c r="AQ304" s="100"/>
      <c r="AR304" s="293"/>
      <c r="AS304" s="2349">
        <v>0</v>
      </c>
      <c r="AT304" s="4806"/>
      <c r="AU304" s="2186"/>
      <c r="AV304" s="293"/>
      <c r="AW304" s="100"/>
      <c r="AX304" s="293"/>
      <c r="AY304" s="2187"/>
      <c r="AZ304" s="2186"/>
      <c r="BA304" s="293"/>
      <c r="BB304" s="100"/>
      <c r="BC304" s="293"/>
      <c r="BD304" s="2187"/>
      <c r="BE304" s="2186"/>
      <c r="BF304" s="293"/>
      <c r="BG304" s="100"/>
      <c r="BH304" s="293"/>
      <c r="BI304" s="2187"/>
      <c r="BJ304" s="618" t="s">
        <v>1132</v>
      </c>
      <c r="BK304" s="830" t="s">
        <v>1133</v>
      </c>
      <c r="BL304" s="99"/>
      <c r="BM304" s="547"/>
      <c r="BN304" s="547"/>
      <c r="BO304" s="99"/>
      <c r="BP304" s="896" t="s">
        <v>1129</v>
      </c>
      <c r="BQ304" s="896" t="s">
        <v>1121</v>
      </c>
      <c r="BR304" s="187"/>
      <c r="BS304" s="18"/>
    </row>
    <row r="305" spans="2:71" ht="24" customHeight="1">
      <c r="B305" s="4505" t="s">
        <v>2281</v>
      </c>
      <c r="C305" s="4655"/>
      <c r="D305" s="286" t="s">
        <v>1844</v>
      </c>
      <c r="E305" s="286"/>
      <c r="F305" s="285" t="s">
        <v>154</v>
      </c>
      <c r="G305" s="106"/>
      <c r="H305" s="353"/>
      <c r="I305" s="495" t="s">
        <v>2463</v>
      </c>
      <c r="J305" s="643"/>
      <c r="K305" s="109" t="s">
        <v>154</v>
      </c>
      <c r="L305" s="297">
        <v>85.714285714285708</v>
      </c>
      <c r="M305" s="297"/>
      <c r="N305" s="297">
        <v>85</v>
      </c>
      <c r="O305" s="92"/>
      <c r="P305" s="228"/>
      <c r="Q305" s="297"/>
      <c r="R305" s="297">
        <v>100</v>
      </c>
      <c r="S305" s="1842"/>
      <c r="T305" s="297">
        <v>82.35294117647058</v>
      </c>
      <c r="U305" s="10139"/>
      <c r="V305" s="228">
        <f>10/14*100</f>
        <v>71.428571428571431</v>
      </c>
      <c r="W305" s="2060"/>
      <c r="X305" s="2186"/>
      <c r="Y305" s="92"/>
      <c r="Z305" s="100"/>
      <c r="AA305" s="92"/>
      <c r="AB305" s="2187"/>
      <c r="AC305" s="2111"/>
      <c r="AD305" s="100"/>
      <c r="AE305" s="100"/>
      <c r="AF305" s="100"/>
      <c r="AG305" s="100"/>
      <c r="AH305" s="100"/>
      <c r="AI305" s="100"/>
      <c r="AJ305" s="100"/>
      <c r="AK305" s="100"/>
      <c r="AL305" s="100"/>
      <c r="AM305" s="100"/>
      <c r="AN305" s="2187"/>
      <c r="AO305" s="2186"/>
      <c r="AP305" s="92"/>
      <c r="AQ305" s="100"/>
      <c r="AR305" s="92"/>
      <c r="AS305" s="2349"/>
      <c r="AT305" s="4807"/>
      <c r="AU305" s="2186"/>
      <c r="AV305" s="92"/>
      <c r="AW305" s="100"/>
      <c r="AX305" s="92"/>
      <c r="AY305" s="2187"/>
      <c r="AZ305" s="2186"/>
      <c r="BA305" s="92"/>
      <c r="BB305" s="100"/>
      <c r="BC305" s="92"/>
      <c r="BD305" s="2187"/>
      <c r="BE305" s="2186"/>
      <c r="BF305" s="293"/>
      <c r="BG305" s="100"/>
      <c r="BH305" s="293"/>
      <c r="BI305" s="2187"/>
      <c r="BJ305" s="618" t="s">
        <v>1141</v>
      </c>
      <c r="BK305" s="830" t="s">
        <v>1142</v>
      </c>
      <c r="BL305" s="99"/>
      <c r="BM305" s="547"/>
      <c r="BN305" s="547"/>
      <c r="BO305" s="99"/>
      <c r="BP305" s="896" t="s">
        <v>1143</v>
      </c>
      <c r="BQ305" s="896" t="s">
        <v>1121</v>
      </c>
      <c r="BR305" s="187"/>
      <c r="BS305" s="18"/>
    </row>
    <row r="306" spans="2:71" ht="24" customHeight="1">
      <c r="B306" s="4505" t="s">
        <v>2281</v>
      </c>
      <c r="C306" s="4655"/>
      <c r="D306" s="286" t="s">
        <v>1845</v>
      </c>
      <c r="E306" s="286"/>
      <c r="F306" s="285" t="s">
        <v>154</v>
      </c>
      <c r="G306" s="106"/>
      <c r="H306" s="353"/>
      <c r="I306" s="495" t="s">
        <v>2464</v>
      </c>
      <c r="J306" s="643"/>
      <c r="K306" s="109" t="s">
        <v>154</v>
      </c>
      <c r="L306" s="297">
        <v>85.714285714285708</v>
      </c>
      <c r="M306" s="297"/>
      <c r="N306" s="297">
        <v>85</v>
      </c>
      <c r="O306" s="92"/>
      <c r="P306" s="228"/>
      <c r="Q306" s="297"/>
      <c r="R306" s="297">
        <v>100</v>
      </c>
      <c r="S306" s="1842"/>
      <c r="T306" s="297">
        <v>82.35294117647058</v>
      </c>
      <c r="U306" s="10139"/>
      <c r="V306" s="228">
        <f>32/44*100</f>
        <v>72.727272727272734</v>
      </c>
      <c r="W306" s="2060"/>
      <c r="X306" s="2186"/>
      <c r="Y306" s="92"/>
      <c r="Z306" s="100"/>
      <c r="AA306" s="92"/>
      <c r="AB306" s="2187"/>
      <c r="AC306" s="2111"/>
      <c r="AD306" s="100"/>
      <c r="AE306" s="100"/>
      <c r="AF306" s="100"/>
      <c r="AG306" s="100"/>
      <c r="AH306" s="100"/>
      <c r="AI306" s="100"/>
      <c r="AJ306" s="100"/>
      <c r="AK306" s="100"/>
      <c r="AL306" s="100"/>
      <c r="AM306" s="100"/>
      <c r="AN306" s="2187"/>
      <c r="AO306" s="2186"/>
      <c r="AP306" s="92"/>
      <c r="AQ306" s="100"/>
      <c r="AR306" s="92"/>
      <c r="AS306" s="2349"/>
      <c r="AT306" s="4807"/>
      <c r="AU306" s="2186"/>
      <c r="AV306" s="92"/>
      <c r="AW306" s="100"/>
      <c r="AX306" s="92"/>
      <c r="AY306" s="2187"/>
      <c r="AZ306" s="2186"/>
      <c r="BA306" s="92"/>
      <c r="BB306" s="100"/>
      <c r="BC306" s="92"/>
      <c r="BD306" s="2187"/>
      <c r="BE306" s="2186"/>
      <c r="BF306" s="293"/>
      <c r="BG306" s="100"/>
      <c r="BH306" s="293"/>
      <c r="BI306" s="2187"/>
      <c r="BJ306" s="618" t="s">
        <v>1141</v>
      </c>
      <c r="BK306" s="830" t="s">
        <v>1142</v>
      </c>
      <c r="BL306" s="99"/>
      <c r="BM306" s="547"/>
      <c r="BN306" s="547"/>
      <c r="BO306" s="99"/>
      <c r="BP306" s="896" t="s">
        <v>1143</v>
      </c>
      <c r="BQ306" s="896" t="s">
        <v>1121</v>
      </c>
      <c r="BR306" s="187"/>
      <c r="BS306" s="18"/>
    </row>
    <row r="307" spans="2:71" ht="24" customHeight="1">
      <c r="B307" s="4505" t="s">
        <v>2281</v>
      </c>
      <c r="C307" s="4634"/>
      <c r="D307" s="286" t="s">
        <v>1846</v>
      </c>
      <c r="E307" s="286"/>
      <c r="F307" s="285" t="s">
        <v>154</v>
      </c>
      <c r="G307" s="384"/>
      <c r="H307" s="385"/>
      <c r="I307" s="495" t="s">
        <v>2465</v>
      </c>
      <c r="J307" s="643"/>
      <c r="K307" s="109" t="s">
        <v>154</v>
      </c>
      <c r="L307" s="297">
        <v>69.642857142857139</v>
      </c>
      <c r="M307" s="297"/>
      <c r="N307" s="297">
        <v>88.095238095238088</v>
      </c>
      <c r="O307" s="92"/>
      <c r="P307" s="228"/>
      <c r="Q307" s="297"/>
      <c r="R307" s="297">
        <v>69.230769230769226</v>
      </c>
      <c r="S307" s="1842"/>
      <c r="T307" s="297">
        <v>84.210526315789465</v>
      </c>
      <c r="U307" s="10140"/>
      <c r="V307" s="228">
        <f>33/43*100</f>
        <v>76.744186046511629</v>
      </c>
      <c r="W307" s="2060"/>
      <c r="X307" s="2186"/>
      <c r="Y307" s="92"/>
      <c r="Z307" s="100"/>
      <c r="AA307" s="92"/>
      <c r="AB307" s="2187"/>
      <c r="AC307" s="2111"/>
      <c r="AD307" s="100"/>
      <c r="AE307" s="100"/>
      <c r="AF307" s="100"/>
      <c r="AG307" s="100"/>
      <c r="AH307" s="100"/>
      <c r="AI307" s="100"/>
      <c r="AJ307" s="100"/>
      <c r="AK307" s="100"/>
      <c r="AL307" s="100"/>
      <c r="AM307" s="100"/>
      <c r="AN307" s="2187"/>
      <c r="AO307" s="2186"/>
      <c r="AP307" s="92"/>
      <c r="AQ307" s="100"/>
      <c r="AR307" s="92"/>
      <c r="AS307" s="2349"/>
      <c r="AT307" s="4807"/>
      <c r="AU307" s="2186"/>
      <c r="AV307" s="92"/>
      <c r="AW307" s="100"/>
      <c r="AX307" s="92"/>
      <c r="AY307" s="2187"/>
      <c r="AZ307" s="2186"/>
      <c r="BA307" s="92"/>
      <c r="BB307" s="100"/>
      <c r="BC307" s="92"/>
      <c r="BD307" s="2187"/>
      <c r="BE307" s="2186"/>
      <c r="BF307" s="92"/>
      <c r="BG307" s="100"/>
      <c r="BH307" s="92"/>
      <c r="BI307" s="2187"/>
      <c r="BJ307" s="618" t="s">
        <v>1152</v>
      </c>
      <c r="BK307" s="4983" t="s">
        <v>1153</v>
      </c>
      <c r="BL307" s="99"/>
      <c r="BM307" s="547"/>
      <c r="BN307" s="547"/>
      <c r="BO307" s="99"/>
      <c r="BP307" s="277" t="s">
        <v>1154</v>
      </c>
      <c r="BQ307" s="277" t="s">
        <v>1121</v>
      </c>
      <c r="BR307" s="187"/>
      <c r="BS307" s="18"/>
    </row>
    <row r="308" spans="2:71" ht="24" customHeight="1">
      <c r="B308" s="4505" t="s">
        <v>2281</v>
      </c>
      <c r="C308" s="4658" t="s">
        <v>1157</v>
      </c>
      <c r="D308" s="736"/>
      <c r="E308" s="736"/>
      <c r="F308" s="2371" t="s">
        <v>732</v>
      </c>
      <c r="G308" s="685"/>
      <c r="H308" s="686" t="s">
        <v>2466</v>
      </c>
      <c r="I308" s="654"/>
      <c r="J308" s="655"/>
      <c r="K308" s="881" t="s">
        <v>734</v>
      </c>
      <c r="L308" s="890"/>
      <c r="M308" s="890"/>
      <c r="N308" s="890"/>
      <c r="O308" s="890"/>
      <c r="P308" s="890"/>
      <c r="Q308" s="890"/>
      <c r="R308" s="890"/>
      <c r="S308" s="890"/>
      <c r="T308" s="890"/>
      <c r="U308" s="890"/>
      <c r="V308" s="890"/>
      <c r="W308" s="4982"/>
      <c r="X308" s="2277"/>
      <c r="Y308" s="881"/>
      <c r="Z308" s="881"/>
      <c r="AA308" s="881"/>
      <c r="AB308" s="2278"/>
      <c r="AC308" s="1560"/>
      <c r="AD308" s="881"/>
      <c r="AE308" s="881"/>
      <c r="AF308" s="320"/>
      <c r="AG308" s="320"/>
      <c r="AH308" s="320"/>
      <c r="AI308" s="320"/>
      <c r="AJ308" s="320"/>
      <c r="AK308" s="320"/>
      <c r="AL308" s="320"/>
      <c r="AM308" s="320"/>
      <c r="AN308" s="2276"/>
      <c r="AO308" s="2275"/>
      <c r="AP308" s="171"/>
      <c r="AQ308" s="320"/>
      <c r="AR308" s="171"/>
      <c r="AS308" s="2370"/>
      <c r="AT308" s="4810"/>
      <c r="AU308" s="2275"/>
      <c r="AV308" s="171"/>
      <c r="AW308" s="320"/>
      <c r="AX308" s="171"/>
      <c r="AY308" s="2276"/>
      <c r="AZ308" s="2275"/>
      <c r="BA308" s="171"/>
      <c r="BB308" s="320"/>
      <c r="BC308" s="171"/>
      <c r="BD308" s="2276"/>
      <c r="BE308" s="2275"/>
      <c r="BF308" s="171"/>
      <c r="BG308" s="320"/>
      <c r="BH308" s="171"/>
      <c r="BI308" s="2276"/>
      <c r="BJ308" s="4984"/>
      <c r="BK308" s="4983"/>
      <c r="BL308" s="99"/>
      <c r="BM308" s="547"/>
      <c r="BN308" s="547"/>
      <c r="BO308" s="99"/>
      <c r="BP308" s="277"/>
      <c r="BQ308" s="277"/>
      <c r="BR308" s="187"/>
      <c r="BS308" s="18"/>
    </row>
    <row r="309" spans="2:71" ht="24" customHeight="1">
      <c r="B309" s="4505" t="s">
        <v>2281</v>
      </c>
      <c r="C309" s="4663"/>
      <c r="D309" s="286" t="s">
        <v>1847</v>
      </c>
      <c r="E309" s="286"/>
      <c r="F309" s="285" t="s">
        <v>732</v>
      </c>
      <c r="G309" s="347"/>
      <c r="H309" s="348"/>
      <c r="I309" s="358" t="s">
        <v>2467</v>
      </c>
      <c r="J309" s="358"/>
      <c r="K309" s="109" t="s">
        <v>734</v>
      </c>
      <c r="L309" s="308"/>
      <c r="M309" s="297"/>
      <c r="N309" s="308"/>
      <c r="O309" s="92"/>
      <c r="P309" s="228"/>
      <c r="Q309" s="297"/>
      <c r="R309" s="297">
        <v>40</v>
      </c>
      <c r="S309" s="1842"/>
      <c r="T309" s="297">
        <v>46</v>
      </c>
      <c r="U309" s="10136" t="s">
        <v>1848</v>
      </c>
      <c r="V309" s="228">
        <v>13</v>
      </c>
      <c r="W309" s="2060"/>
      <c r="X309" s="2186"/>
      <c r="Y309" s="293"/>
      <c r="Z309" s="100"/>
      <c r="AA309" s="293"/>
      <c r="AB309" s="2187"/>
      <c r="AC309" s="2111"/>
      <c r="AD309" s="100"/>
      <c r="AE309" s="100"/>
      <c r="AF309" s="100"/>
      <c r="AG309" s="100"/>
      <c r="AH309" s="100"/>
      <c r="AI309" s="100"/>
      <c r="AJ309" s="100"/>
      <c r="AK309" s="100"/>
      <c r="AL309" s="100"/>
      <c r="AM309" s="100"/>
      <c r="AN309" s="2187"/>
      <c r="AO309" s="2186">
        <v>1</v>
      </c>
      <c r="AP309" s="293"/>
      <c r="AQ309" s="100">
        <v>4</v>
      </c>
      <c r="AR309" s="293"/>
      <c r="AS309" s="2349">
        <v>14</v>
      </c>
      <c r="AT309" s="4806"/>
      <c r="AU309" s="2186"/>
      <c r="AV309" s="293"/>
      <c r="AW309" s="100"/>
      <c r="AX309" s="293"/>
      <c r="AY309" s="2187"/>
      <c r="AZ309" s="2186"/>
      <c r="BA309" s="293"/>
      <c r="BB309" s="100"/>
      <c r="BC309" s="293"/>
      <c r="BD309" s="2187"/>
      <c r="BE309" s="2186"/>
      <c r="BF309" s="293"/>
      <c r="BG309" s="100"/>
      <c r="BH309" s="293"/>
      <c r="BI309" s="2187"/>
      <c r="BJ309" s="10134" t="s">
        <v>1161</v>
      </c>
      <c r="BK309" s="4985" t="s">
        <v>1162</v>
      </c>
      <c r="BL309" s="99"/>
      <c r="BM309" s="547"/>
      <c r="BN309" s="547"/>
      <c r="BO309" s="99"/>
      <c r="BP309" s="277" t="s">
        <v>1163</v>
      </c>
      <c r="BQ309" s="265"/>
      <c r="BR309" s="187"/>
      <c r="BS309" s="18"/>
    </row>
    <row r="310" spans="2:71" ht="24" customHeight="1">
      <c r="B310" s="4505" t="s">
        <v>2281</v>
      </c>
      <c r="C310" s="4664"/>
      <c r="D310" s="286" t="s">
        <v>1849</v>
      </c>
      <c r="E310" s="897"/>
      <c r="F310" s="285" t="s">
        <v>732</v>
      </c>
      <c r="G310" s="384"/>
      <c r="H310" s="385"/>
      <c r="I310" s="358" t="s">
        <v>2468</v>
      </c>
      <c r="J310" s="358"/>
      <c r="K310" s="109" t="s">
        <v>734</v>
      </c>
      <c r="L310" s="308"/>
      <c r="M310" s="297"/>
      <c r="N310" s="308"/>
      <c r="O310" s="92"/>
      <c r="P310" s="228"/>
      <c r="Q310" s="297"/>
      <c r="R310" s="297">
        <v>24</v>
      </c>
      <c r="S310" s="1842"/>
      <c r="T310" s="297">
        <v>24</v>
      </c>
      <c r="U310" s="10137"/>
      <c r="V310" s="228">
        <v>31</v>
      </c>
      <c r="W310" s="2060"/>
      <c r="X310" s="2186"/>
      <c r="Y310" s="293"/>
      <c r="Z310" s="100"/>
      <c r="AA310" s="293"/>
      <c r="AB310" s="2187"/>
      <c r="AC310" s="2111"/>
      <c r="AD310" s="100"/>
      <c r="AE310" s="100"/>
      <c r="AF310" s="100"/>
      <c r="AG310" s="100"/>
      <c r="AH310" s="100"/>
      <c r="AI310" s="100"/>
      <c r="AJ310" s="100"/>
      <c r="AK310" s="100"/>
      <c r="AL310" s="100"/>
      <c r="AM310" s="100"/>
      <c r="AN310" s="2187"/>
      <c r="AO310" s="2186">
        <v>2</v>
      </c>
      <c r="AP310" s="293"/>
      <c r="AQ310" s="100">
        <v>5</v>
      </c>
      <c r="AR310" s="293"/>
      <c r="AS310" s="2349">
        <v>28</v>
      </c>
      <c r="AT310" s="4806"/>
      <c r="AU310" s="2186"/>
      <c r="AV310" s="293"/>
      <c r="AW310" s="100"/>
      <c r="AX310" s="293"/>
      <c r="AY310" s="2187"/>
      <c r="AZ310" s="2186"/>
      <c r="BA310" s="293"/>
      <c r="BB310" s="100"/>
      <c r="BC310" s="293"/>
      <c r="BD310" s="2187"/>
      <c r="BE310" s="2186"/>
      <c r="BF310" s="293"/>
      <c r="BG310" s="100"/>
      <c r="BH310" s="293"/>
      <c r="BI310" s="2187"/>
      <c r="BJ310" s="10135"/>
      <c r="BK310" s="4986"/>
      <c r="BL310" s="99"/>
      <c r="BM310" s="547"/>
      <c r="BN310" s="547"/>
      <c r="BO310" s="99"/>
      <c r="BP310" s="277" t="s">
        <v>1163</v>
      </c>
      <c r="BQ310" s="265"/>
      <c r="BR310" s="187"/>
      <c r="BS310" s="18"/>
    </row>
    <row r="311" spans="2:71" ht="24" customHeight="1">
      <c r="B311" s="4505" t="s">
        <v>2281</v>
      </c>
      <c r="C311" s="4658" t="s">
        <v>1168</v>
      </c>
      <c r="D311" s="736"/>
      <c r="E311" s="736"/>
      <c r="F311" s="2371" t="s">
        <v>732</v>
      </c>
      <c r="G311" s="889"/>
      <c r="H311" s="736" t="s">
        <v>2469</v>
      </c>
      <c r="I311" s="736"/>
      <c r="J311" s="736"/>
      <c r="K311" s="881" t="s">
        <v>168</v>
      </c>
      <c r="L311" s="890"/>
      <c r="M311" s="890"/>
      <c r="N311" s="890"/>
      <c r="O311" s="890"/>
      <c r="P311" s="890"/>
      <c r="Q311" s="890"/>
      <c r="R311" s="890"/>
      <c r="S311" s="890"/>
      <c r="T311" s="890"/>
      <c r="U311" s="890"/>
      <c r="V311" s="890"/>
      <c r="W311" s="4982"/>
      <c r="X311" s="2277"/>
      <c r="Y311" s="881"/>
      <c r="Z311" s="881"/>
      <c r="AA311" s="881"/>
      <c r="AB311" s="2278"/>
      <c r="AC311" s="1560"/>
      <c r="AD311" s="881"/>
      <c r="AE311" s="881"/>
      <c r="AF311" s="320"/>
      <c r="AG311" s="320"/>
      <c r="AH311" s="320"/>
      <c r="AI311" s="320"/>
      <c r="AJ311" s="320"/>
      <c r="AK311" s="320"/>
      <c r="AL311" s="320"/>
      <c r="AM311" s="320"/>
      <c r="AN311" s="2276"/>
      <c r="AO311" s="2275"/>
      <c r="AP311" s="413"/>
      <c r="AQ311" s="320"/>
      <c r="AR311" s="413"/>
      <c r="AS311" s="2370"/>
      <c r="AT311" s="4848"/>
      <c r="AU311" s="2275"/>
      <c r="AV311" s="413"/>
      <c r="AW311" s="320"/>
      <c r="AX311" s="413"/>
      <c r="AY311" s="2276"/>
      <c r="AZ311" s="2275"/>
      <c r="BA311" s="413"/>
      <c r="BB311" s="320"/>
      <c r="BC311" s="413"/>
      <c r="BD311" s="2276"/>
      <c r="BE311" s="2275"/>
      <c r="BF311" s="413"/>
      <c r="BG311" s="320"/>
      <c r="BH311" s="413"/>
      <c r="BI311" s="2276"/>
      <c r="BJ311" s="4987"/>
      <c r="BK311" s="4983"/>
      <c r="BL311" s="99"/>
      <c r="BM311" s="547"/>
      <c r="BN311" s="547"/>
      <c r="BO311" s="99"/>
      <c r="BP311" s="277"/>
      <c r="BQ311" s="265"/>
      <c r="BR311" s="187"/>
      <c r="BS311" s="18"/>
    </row>
    <row r="312" spans="2:71" ht="24" customHeight="1">
      <c r="B312" s="4505" t="s">
        <v>2281</v>
      </c>
      <c r="C312" s="4619"/>
      <c r="D312" s="286" t="s">
        <v>1850</v>
      </c>
      <c r="E312" s="286"/>
      <c r="F312" s="285" t="s">
        <v>732</v>
      </c>
      <c r="G312" s="347"/>
      <c r="H312" s="348"/>
      <c r="I312" s="495" t="s">
        <v>2470</v>
      </c>
      <c r="J312" s="643"/>
      <c r="K312" s="109" t="s">
        <v>734</v>
      </c>
      <c r="L312" s="297">
        <v>42</v>
      </c>
      <c r="M312" s="297"/>
      <c r="N312" s="297">
        <v>45</v>
      </c>
      <c r="O312" s="92"/>
      <c r="P312" s="228"/>
      <c r="Q312" s="297"/>
      <c r="R312" s="297">
        <v>39</v>
      </c>
      <c r="S312" s="1842" t="s">
        <v>1175</v>
      </c>
      <c r="T312" s="297">
        <v>40</v>
      </c>
      <c r="U312" s="151" t="s">
        <v>1176</v>
      </c>
      <c r="V312" s="95">
        <v>1</v>
      </c>
      <c r="W312" s="2060"/>
      <c r="X312" s="2279" t="s">
        <v>1177</v>
      </c>
      <c r="Y312" s="293">
        <v>3</v>
      </c>
      <c r="Z312" s="899" t="s">
        <v>1178</v>
      </c>
      <c r="AA312" s="293"/>
      <c r="AB312" s="2417">
        <v>2</v>
      </c>
      <c r="AC312" s="4988" t="s">
        <v>1177</v>
      </c>
      <c r="AD312" s="899" t="s">
        <v>1178</v>
      </c>
      <c r="AE312" s="702">
        <v>2</v>
      </c>
      <c r="AF312" s="898" t="s">
        <v>1177</v>
      </c>
      <c r="AG312" s="899" t="s">
        <v>1178</v>
      </c>
      <c r="AH312" s="702">
        <v>2</v>
      </c>
      <c r="AI312" s="898" t="s">
        <v>1177</v>
      </c>
      <c r="AJ312" s="899" t="s">
        <v>1178</v>
      </c>
      <c r="AK312" s="702">
        <v>2</v>
      </c>
      <c r="AL312" s="898" t="s">
        <v>1177</v>
      </c>
      <c r="AM312" s="899" t="s">
        <v>1178</v>
      </c>
      <c r="AN312" s="2417">
        <v>2</v>
      </c>
      <c r="AO312" s="4989">
        <v>2</v>
      </c>
      <c r="AP312" s="4990" t="s">
        <v>2471</v>
      </c>
      <c r="AQ312" s="4990">
        <v>2</v>
      </c>
      <c r="AR312" s="4819" t="s">
        <v>2471</v>
      </c>
      <c r="AS312" s="4991">
        <v>2</v>
      </c>
      <c r="AT312" s="4806" t="s">
        <v>2471</v>
      </c>
      <c r="AU312" s="2404">
        <v>0</v>
      </c>
      <c r="AV312" s="293">
        <v>0</v>
      </c>
      <c r="AW312" s="702">
        <v>0</v>
      </c>
      <c r="AX312" s="293"/>
      <c r="AY312" s="2417">
        <v>0</v>
      </c>
      <c r="AZ312" s="2404" t="s">
        <v>2472</v>
      </c>
      <c r="BA312" s="293">
        <v>0</v>
      </c>
      <c r="BB312" s="702" t="s">
        <v>2472</v>
      </c>
      <c r="BC312" s="293"/>
      <c r="BD312" s="2187"/>
      <c r="BE312" s="2186"/>
      <c r="BF312" s="293"/>
      <c r="BG312" s="100"/>
      <c r="BH312" s="293"/>
      <c r="BI312" s="2187"/>
      <c r="BJ312" s="618" t="s">
        <v>1172</v>
      </c>
      <c r="BK312" s="830" t="s">
        <v>1173</v>
      </c>
      <c r="BL312" s="99"/>
      <c r="BM312" s="547"/>
      <c r="BN312" s="547"/>
      <c r="BO312" s="99"/>
      <c r="BP312" s="277" t="s">
        <v>1174</v>
      </c>
      <c r="BQ312" s="265"/>
      <c r="BR312" s="187"/>
      <c r="BS312" s="18"/>
    </row>
    <row r="313" spans="2:71" ht="24" customHeight="1">
      <c r="B313" s="4505" t="s">
        <v>2281</v>
      </c>
      <c r="C313" s="4621"/>
      <c r="D313" s="286" t="s">
        <v>1180</v>
      </c>
      <c r="E313" s="286"/>
      <c r="F313" s="285" t="s">
        <v>742</v>
      </c>
      <c r="G313" s="384"/>
      <c r="H313" s="385"/>
      <c r="I313" s="286" t="s">
        <v>2473</v>
      </c>
      <c r="J313" s="286"/>
      <c r="K313" s="109" t="s">
        <v>734</v>
      </c>
      <c r="L313" s="352">
        <v>28</v>
      </c>
      <c r="M313" s="352"/>
      <c r="N313" s="352">
        <v>23</v>
      </c>
      <c r="O313" s="350"/>
      <c r="P313" s="351"/>
      <c r="Q313" s="352"/>
      <c r="R313" s="352">
        <v>28</v>
      </c>
      <c r="S313" s="1904" t="s">
        <v>1183</v>
      </c>
      <c r="T313" s="352">
        <v>23</v>
      </c>
      <c r="U313" s="1771" t="s">
        <v>1851</v>
      </c>
      <c r="V313" s="228">
        <v>22</v>
      </c>
      <c r="W313" s="2064"/>
      <c r="X313" s="2280">
        <v>0</v>
      </c>
      <c r="Y313" s="426">
        <v>0</v>
      </c>
      <c r="Z313" s="901">
        <v>0</v>
      </c>
      <c r="AA313" s="426"/>
      <c r="AB313" s="2419">
        <v>0</v>
      </c>
      <c r="AC313" s="4992">
        <v>0</v>
      </c>
      <c r="AD313" s="901">
        <v>0</v>
      </c>
      <c r="AE313" s="901">
        <v>0</v>
      </c>
      <c r="AF313" s="900">
        <v>0</v>
      </c>
      <c r="AG313" s="901">
        <v>0</v>
      </c>
      <c r="AH313" s="901">
        <v>0</v>
      </c>
      <c r="AI313" s="900">
        <v>0</v>
      </c>
      <c r="AJ313" s="901">
        <v>0</v>
      </c>
      <c r="AK313" s="901">
        <v>0</v>
      </c>
      <c r="AL313" s="900">
        <v>0</v>
      </c>
      <c r="AM313" s="901">
        <v>0</v>
      </c>
      <c r="AN313" s="2419">
        <v>0</v>
      </c>
      <c r="AO313" s="2418">
        <v>0</v>
      </c>
      <c r="AP313" s="426">
        <v>0</v>
      </c>
      <c r="AQ313" s="901">
        <v>0</v>
      </c>
      <c r="AR313" s="426"/>
      <c r="AS313" s="4993">
        <v>0</v>
      </c>
      <c r="AT313" s="4850"/>
      <c r="AU313" s="2418">
        <v>0</v>
      </c>
      <c r="AV313" s="426">
        <v>0</v>
      </c>
      <c r="AW313" s="901">
        <v>0</v>
      </c>
      <c r="AX313" s="426"/>
      <c r="AY313" s="2419">
        <v>0</v>
      </c>
      <c r="AZ313" s="2418" t="s">
        <v>2472</v>
      </c>
      <c r="BA313" s="426">
        <v>0</v>
      </c>
      <c r="BB313" s="901" t="s">
        <v>2472</v>
      </c>
      <c r="BC313" s="426"/>
      <c r="BD313" s="2289"/>
      <c r="BE313" s="2288"/>
      <c r="BF313" s="426"/>
      <c r="BG313" s="494"/>
      <c r="BH313" s="426"/>
      <c r="BI313" s="2289"/>
      <c r="BJ313" s="1052" t="s">
        <v>1172</v>
      </c>
      <c r="BK313" s="714" t="s">
        <v>1173</v>
      </c>
      <c r="BL313" s="99"/>
      <c r="BM313" s="547"/>
      <c r="BN313" s="547"/>
      <c r="BO313" s="99"/>
      <c r="BP313" s="277" t="s">
        <v>1174</v>
      </c>
      <c r="BQ313" s="265"/>
      <c r="BR313" s="187"/>
      <c r="BS313" s="18"/>
    </row>
    <row r="314" spans="2:71" ht="24" customHeight="1">
      <c r="B314" s="4505" t="s">
        <v>2281</v>
      </c>
      <c r="C314" s="4618" t="s">
        <v>1186</v>
      </c>
      <c r="D314" s="663"/>
      <c r="E314" s="4665"/>
      <c r="F314" s="4653" t="s">
        <v>168</v>
      </c>
      <c r="G314" s="889"/>
      <c r="H314" s="736" t="s">
        <v>2474</v>
      </c>
      <c r="I314" s="736"/>
      <c r="J314" s="736"/>
      <c r="K314" s="881" t="s">
        <v>168</v>
      </c>
      <c r="L314" s="890"/>
      <c r="M314" s="890"/>
      <c r="N314" s="890"/>
      <c r="O314" s="890"/>
      <c r="P314" s="890"/>
      <c r="Q314" s="890"/>
      <c r="R314" s="890"/>
      <c r="S314" s="890"/>
      <c r="T314" s="890"/>
      <c r="U314" s="890"/>
      <c r="V314" s="890"/>
      <c r="W314" s="4982"/>
      <c r="X314" s="2277"/>
      <c r="Y314" s="881"/>
      <c r="Z314" s="881"/>
      <c r="AA314" s="881"/>
      <c r="AB314" s="2278"/>
      <c r="AC314" s="1560"/>
      <c r="AD314" s="881"/>
      <c r="AE314" s="881"/>
      <c r="AF314" s="902"/>
      <c r="AG314" s="903"/>
      <c r="AH314" s="903"/>
      <c r="AI314" s="902"/>
      <c r="AJ314" s="903"/>
      <c r="AK314" s="903"/>
      <c r="AL314" s="902"/>
      <c r="AM314" s="903"/>
      <c r="AN314" s="2421"/>
      <c r="AO314" s="2420"/>
      <c r="AP314" s="904"/>
      <c r="AQ314" s="903"/>
      <c r="AR314" s="904"/>
      <c r="AS314" s="4994"/>
      <c r="AT314" s="4995"/>
      <c r="AU314" s="2420"/>
      <c r="AV314" s="904"/>
      <c r="AW314" s="903"/>
      <c r="AX314" s="904"/>
      <c r="AY314" s="2421"/>
      <c r="AZ314" s="2420"/>
      <c r="BA314" s="904"/>
      <c r="BB314" s="903"/>
      <c r="BC314" s="904"/>
      <c r="BD314" s="2464"/>
      <c r="BE314" s="2504"/>
      <c r="BF314" s="904"/>
      <c r="BG314" s="902"/>
      <c r="BH314" s="904"/>
      <c r="BI314" s="2464"/>
      <c r="BJ314" s="1052"/>
      <c r="BL314" s="99"/>
      <c r="BM314" s="547"/>
      <c r="BN314" s="547"/>
      <c r="BO314" s="99"/>
      <c r="BP314" s="277"/>
      <c r="BQ314" s="277"/>
      <c r="BR314" s="187"/>
      <c r="BS314" s="18"/>
    </row>
    <row r="315" spans="2:71" ht="24" customHeight="1">
      <c r="B315" s="4945" t="s">
        <v>2281</v>
      </c>
      <c r="C315" s="4619"/>
      <c r="D315" s="286" t="s">
        <v>1188</v>
      </c>
      <c r="E315" s="286"/>
      <c r="F315" s="285" t="s">
        <v>156</v>
      </c>
      <c r="G315" s="905"/>
      <c r="H315" s="906"/>
      <c r="I315" s="961" t="s">
        <v>2475</v>
      </c>
      <c r="J315" s="4666"/>
      <c r="K315" s="109" t="s">
        <v>156</v>
      </c>
      <c r="L315" s="297">
        <v>90.950226244343895</v>
      </c>
      <c r="M315" s="297"/>
      <c r="N315" s="297">
        <v>92.012480499219976</v>
      </c>
      <c r="O315" s="92"/>
      <c r="P315" s="228"/>
      <c r="Q315" s="297"/>
      <c r="R315" s="297">
        <v>88.722466960352421</v>
      </c>
      <c r="S315" s="1842"/>
      <c r="T315" s="297">
        <v>94.895168641750232</v>
      </c>
      <c r="U315" s="151"/>
      <c r="V315" s="228"/>
      <c r="W315" s="2060"/>
      <c r="X315" s="2186"/>
      <c r="Y315" s="92"/>
      <c r="Z315" s="702">
        <v>67.532467532467535</v>
      </c>
      <c r="AA315" s="92"/>
      <c r="AB315" s="2187"/>
      <c r="AC315" s="2111"/>
      <c r="AD315" s="702">
        <v>67.532467532467535</v>
      </c>
      <c r="AE315" s="100"/>
      <c r="AF315" s="100"/>
      <c r="AG315" s="702">
        <v>67.532467532467535</v>
      </c>
      <c r="AH315" s="100"/>
      <c r="AI315" s="100"/>
      <c r="AJ315" s="702">
        <v>67.532467532467535</v>
      </c>
      <c r="AK315" s="100"/>
      <c r="AL315" s="100"/>
      <c r="AM315" s="702">
        <v>67.532467532467535</v>
      </c>
      <c r="AN315" s="2187"/>
      <c r="AO315" s="2404">
        <v>92.694497153700198</v>
      </c>
      <c r="AP315" s="92"/>
      <c r="AQ315" s="702">
        <v>94.71947194719472</v>
      </c>
      <c r="AR315" s="92"/>
      <c r="AS315" s="2349">
        <v>91</v>
      </c>
      <c r="AT315" s="4807"/>
      <c r="AU315" s="2404">
        <v>94.858156028368796</v>
      </c>
      <c r="AV315" s="92"/>
      <c r="AW315" s="702">
        <v>93.934142114384741</v>
      </c>
      <c r="AX315" s="92"/>
      <c r="AY315" s="2187"/>
      <c r="AZ315" s="2404">
        <v>95.778364116094977</v>
      </c>
      <c r="BA315" s="92"/>
      <c r="BB315" s="702">
        <v>89.258312020460366</v>
      </c>
      <c r="BC315" s="92"/>
      <c r="BD315" s="2187"/>
      <c r="BE315" s="2186"/>
      <c r="BF315" s="293"/>
      <c r="BG315" s="100"/>
      <c r="BH315" s="293"/>
      <c r="BI315" s="2187"/>
      <c r="BJ315" s="2468" t="s">
        <v>1190</v>
      </c>
      <c r="BK315" s="276" t="s">
        <v>1191</v>
      </c>
      <c r="BL315" s="99"/>
      <c r="BM315" s="547"/>
      <c r="BN315" s="547"/>
      <c r="BO315" s="99"/>
      <c r="BP315" s="277" t="s">
        <v>1192</v>
      </c>
      <c r="BQ315" s="277" t="s">
        <v>1193</v>
      </c>
      <c r="BR315" s="187"/>
      <c r="BS315" s="18"/>
    </row>
    <row r="316" spans="2:71" ht="24" customHeight="1">
      <c r="B316" s="4945" t="s">
        <v>2281</v>
      </c>
      <c r="C316" s="4620"/>
      <c r="D316" s="286" t="s">
        <v>1196</v>
      </c>
      <c r="E316" s="286"/>
      <c r="F316" s="285" t="s">
        <v>156</v>
      </c>
      <c r="G316" s="909"/>
      <c r="H316" s="910"/>
      <c r="I316" s="961" t="s">
        <v>2476</v>
      </c>
      <c r="J316" s="4666"/>
      <c r="K316" s="109" t="s">
        <v>156</v>
      </c>
      <c r="L316" s="297">
        <v>90.950226244343895</v>
      </c>
      <c r="M316" s="297"/>
      <c r="N316" s="297">
        <v>92.043681747269886</v>
      </c>
      <c r="O316" s="92"/>
      <c r="P316" s="228"/>
      <c r="Q316" s="297"/>
      <c r="R316" s="297">
        <v>87.224669603524234</v>
      </c>
      <c r="S316" s="1842"/>
      <c r="T316" s="297">
        <v>93.25432999088423</v>
      </c>
      <c r="U316" s="151"/>
      <c r="V316" s="228"/>
      <c r="W316" s="2060"/>
      <c r="X316" s="2186"/>
      <c r="Y316" s="92"/>
      <c r="Z316" s="702">
        <v>74.458874458874462</v>
      </c>
      <c r="AA316" s="92"/>
      <c r="AB316" s="2187"/>
      <c r="AC316" s="2111"/>
      <c r="AD316" s="702">
        <v>74.458874458874462</v>
      </c>
      <c r="AE316" s="100"/>
      <c r="AF316" s="100"/>
      <c r="AG316" s="702">
        <v>74.458874458874462</v>
      </c>
      <c r="AH316" s="100"/>
      <c r="AI316" s="100"/>
      <c r="AJ316" s="702">
        <v>74.458874458874462</v>
      </c>
      <c r="AK316" s="100"/>
      <c r="AL316" s="100"/>
      <c r="AM316" s="702">
        <v>74.458874458874462</v>
      </c>
      <c r="AN316" s="2187"/>
      <c r="AO316" s="2404">
        <v>92.694497153700198</v>
      </c>
      <c r="AP316" s="92"/>
      <c r="AQ316" s="702">
        <v>94.71947194719472</v>
      </c>
      <c r="AR316" s="92"/>
      <c r="AS316" s="2349">
        <v>91</v>
      </c>
      <c r="AT316" s="4807"/>
      <c r="AU316" s="2404">
        <v>94.858156028368796</v>
      </c>
      <c r="AV316" s="92"/>
      <c r="AW316" s="702">
        <v>93.934142114384741</v>
      </c>
      <c r="AX316" s="92"/>
      <c r="AY316" s="2187"/>
      <c r="AZ316" s="2404">
        <v>96.569920844327171</v>
      </c>
      <c r="BA316" s="92"/>
      <c r="BB316" s="702">
        <v>90.025575447570333</v>
      </c>
      <c r="BC316" s="92"/>
      <c r="BD316" s="2187"/>
      <c r="BE316" s="2186"/>
      <c r="BF316" s="293"/>
      <c r="BG316" s="100"/>
      <c r="BH316" s="293"/>
      <c r="BI316" s="2187"/>
      <c r="BJ316" s="2468"/>
      <c r="BK316" s="276"/>
      <c r="BL316" s="99"/>
      <c r="BM316" s="547"/>
      <c r="BN316" s="547"/>
      <c r="BO316" s="99"/>
      <c r="BP316" s="277" t="s">
        <v>1192</v>
      </c>
      <c r="BQ316" s="277" t="s">
        <v>1193</v>
      </c>
      <c r="BR316" s="187"/>
      <c r="BS316" s="18"/>
    </row>
    <row r="317" spans="2:71" ht="24" customHeight="1">
      <c r="B317" s="4945" t="s">
        <v>2281</v>
      </c>
      <c r="C317" s="4621"/>
      <c r="D317" s="893" t="s">
        <v>1198</v>
      </c>
      <c r="E317" s="911"/>
      <c r="F317" s="285" t="s">
        <v>156</v>
      </c>
      <c r="G317" s="912"/>
      <c r="H317" s="913"/>
      <c r="I317" s="777" t="s">
        <v>2477</v>
      </c>
      <c r="J317" s="777"/>
      <c r="K317" s="109" t="s">
        <v>156</v>
      </c>
      <c r="L317" s="297">
        <v>90.497737556561091</v>
      </c>
      <c r="M317" s="297"/>
      <c r="N317" s="297">
        <v>91.513260530421221</v>
      </c>
      <c r="O317" s="92"/>
      <c r="P317" s="228"/>
      <c r="Q317" s="297"/>
      <c r="R317" s="297">
        <v>87.224669603524234</v>
      </c>
      <c r="S317" s="1842"/>
      <c r="T317" s="297">
        <v>93.25432999088423</v>
      </c>
      <c r="U317" s="151"/>
      <c r="V317" s="228"/>
      <c r="W317" s="2060"/>
      <c r="X317" s="2186"/>
      <c r="Y317" s="92"/>
      <c r="Z317" s="702">
        <v>67.099567099567111</v>
      </c>
      <c r="AA317" s="92"/>
      <c r="AB317" s="2187"/>
      <c r="AC317" s="2111"/>
      <c r="AD317" s="702">
        <v>67.099567099567111</v>
      </c>
      <c r="AE317" s="100"/>
      <c r="AF317" s="100"/>
      <c r="AG317" s="702">
        <v>67.099567099567111</v>
      </c>
      <c r="AH317" s="100"/>
      <c r="AI317" s="100"/>
      <c r="AJ317" s="702">
        <v>67.099567099567111</v>
      </c>
      <c r="AK317" s="100"/>
      <c r="AL317" s="100"/>
      <c r="AM317" s="702">
        <v>67.099567099567111</v>
      </c>
      <c r="AN317" s="2187"/>
      <c r="AO317" s="2404">
        <v>92.694497153700198</v>
      </c>
      <c r="AP317" s="92"/>
      <c r="AQ317" s="702">
        <v>94.71947194719472</v>
      </c>
      <c r="AR317" s="92"/>
      <c r="AS317" s="2349">
        <v>91</v>
      </c>
      <c r="AT317" s="4807"/>
      <c r="AU317" s="2404">
        <v>94.858156028368796</v>
      </c>
      <c r="AV317" s="92"/>
      <c r="AW317" s="702">
        <v>93.934142114384741</v>
      </c>
      <c r="AX317" s="92"/>
      <c r="AY317" s="2187"/>
      <c r="AZ317" s="2404">
        <v>96.569920844327171</v>
      </c>
      <c r="BA317" s="92"/>
      <c r="BB317" s="702">
        <v>90.025575447570333</v>
      </c>
      <c r="BC317" s="92"/>
      <c r="BD317" s="2187"/>
      <c r="BE317" s="2186"/>
      <c r="BF317" s="293"/>
      <c r="BG317" s="100"/>
      <c r="BH317" s="293"/>
      <c r="BI317" s="2187"/>
      <c r="BJ317" s="2468"/>
      <c r="BL317" s="99"/>
      <c r="BM317" s="546"/>
      <c r="BN317" s="547"/>
      <c r="BO317" s="796"/>
      <c r="BP317" s="277" t="s">
        <v>1192</v>
      </c>
      <c r="BQ317" s="277" t="s">
        <v>1193</v>
      </c>
      <c r="BR317" s="187"/>
      <c r="BS317" s="18"/>
    </row>
    <row r="318" spans="2:71" ht="24" customHeight="1">
      <c r="B318" s="4636" t="s">
        <v>2281</v>
      </c>
      <c r="C318" s="1878" t="s">
        <v>1200</v>
      </c>
      <c r="D318" s="781"/>
      <c r="E318" s="781"/>
      <c r="F318" s="285" t="s">
        <v>156</v>
      </c>
      <c r="G318" s="777"/>
      <c r="H318" s="757" t="s">
        <v>2478</v>
      </c>
      <c r="I318" s="757"/>
      <c r="J318" s="4666"/>
      <c r="K318" s="109" t="s">
        <v>156</v>
      </c>
      <c r="L318" s="354">
        <f>IFERROR(L319/L320*100,"-")</f>
        <v>8.5199979057591637</v>
      </c>
      <c r="M318" s="95"/>
      <c r="N318" s="354">
        <f>IFERROR(N319/N320*100,"-")</f>
        <v>3.7333833254205868</v>
      </c>
      <c r="O318" s="92"/>
      <c r="P318" s="356" t="str">
        <f>IFERROR(P319/P320*100,"-")</f>
        <v>-</v>
      </c>
      <c r="Q318" s="356"/>
      <c r="R318" s="356">
        <v>8.5199979057591637</v>
      </c>
      <c r="S318" s="1759"/>
      <c r="T318" s="356">
        <v>3.7333833254205868</v>
      </c>
      <c r="U318" s="1759"/>
      <c r="V318" s="356" t="str">
        <f>IFERROR(V319/V320*100,"-")</f>
        <v>-</v>
      </c>
      <c r="W318" s="2065"/>
      <c r="X318" s="2226">
        <f>IFERROR(X319/X320*100,"-")</f>
        <v>19.923664122137406</v>
      </c>
      <c r="Y318" s="293"/>
      <c r="Z318" s="356">
        <f>IFERROR(Z319/Z320*100,"-")</f>
        <v>18.666666666666668</v>
      </c>
      <c r="AA318" s="293"/>
      <c r="AB318" s="2241" t="str">
        <f t="shared" ref="AB318:AN318" si="29">IFERROR(AB319/AB320*100,"-")</f>
        <v>-</v>
      </c>
      <c r="AC318" s="456">
        <f t="shared" si="29"/>
        <v>19.923664122137406</v>
      </c>
      <c r="AD318" s="356">
        <f t="shared" si="29"/>
        <v>18.666666666666668</v>
      </c>
      <c r="AE318" s="356" t="str">
        <f t="shared" si="29"/>
        <v>-</v>
      </c>
      <c r="AF318" s="356">
        <f t="shared" si="29"/>
        <v>19.923664122137406</v>
      </c>
      <c r="AG318" s="356">
        <f t="shared" si="29"/>
        <v>18.666666666666668</v>
      </c>
      <c r="AH318" s="356" t="str">
        <f t="shared" si="29"/>
        <v>-</v>
      </c>
      <c r="AI318" s="356">
        <f t="shared" si="29"/>
        <v>19.923664122137406</v>
      </c>
      <c r="AJ318" s="356">
        <f t="shared" si="29"/>
        <v>18.666666666666668</v>
      </c>
      <c r="AK318" s="356" t="str">
        <f t="shared" si="29"/>
        <v>-</v>
      </c>
      <c r="AL318" s="356">
        <f t="shared" si="29"/>
        <v>19.923664122137406</v>
      </c>
      <c r="AM318" s="356">
        <f t="shared" si="29"/>
        <v>18.666666666666668</v>
      </c>
      <c r="AN318" s="2241" t="str">
        <f t="shared" si="29"/>
        <v>-</v>
      </c>
      <c r="AO318" s="2226">
        <f>IFERROR(AO319/AO320*100,"-")</f>
        <v>8.3023336329535388E-3</v>
      </c>
      <c r="AP318" s="293"/>
      <c r="AQ318" s="356">
        <f>IFERROR(AQ319/AQ320*100,"-")</f>
        <v>6.9705534619516965E-3</v>
      </c>
      <c r="AR318" s="293"/>
      <c r="AS318" s="2065">
        <f>IFERROR(AS319/AS320*100,"-")</f>
        <v>2.4526913063788332E-3</v>
      </c>
      <c r="AT318" s="4806"/>
      <c r="AU318" s="2226">
        <f>IFERROR(AU319/AU320*100,"-")</f>
        <v>7.8456599564427547</v>
      </c>
      <c r="AV318" s="293"/>
      <c r="AW318" s="356">
        <f>IFERROR(AW319/AW320*100,"-")</f>
        <v>7.3792618859629826</v>
      </c>
      <c r="AX318" s="293"/>
      <c r="AY318" s="2241" t="str">
        <f>IFERROR(AY319/AY320*100,"-")</f>
        <v>-</v>
      </c>
      <c r="AZ318" s="2226">
        <f>IFERROR(AZ319/AZ320*100,"-")</f>
        <v>3.9979412259403513</v>
      </c>
      <c r="BA318" s="293"/>
      <c r="BB318" s="356">
        <f>IFERROR(BB319/BB320*100,"-")</f>
        <v>3.1804838441454444</v>
      </c>
      <c r="BC318" s="293"/>
      <c r="BD318" s="2241" t="str">
        <f>IFERROR(BD319/BD320*100,"-")</f>
        <v>-</v>
      </c>
      <c r="BE318" s="2226" t="str">
        <f>IFERROR(BE319/BE320*100,"-")</f>
        <v>-</v>
      </c>
      <c r="BF318" s="293"/>
      <c r="BG318" s="356" t="str">
        <f>IFERROR(BG319/BG320*100,"-")</f>
        <v>-</v>
      </c>
      <c r="BH318" s="293"/>
      <c r="BI318" s="2241" t="str">
        <f>IFERROR(BI319/BI320*100,"-")</f>
        <v>-</v>
      </c>
      <c r="BJ318" s="2468" t="s">
        <v>1202</v>
      </c>
      <c r="BK318" s="544" t="s">
        <v>1203</v>
      </c>
      <c r="BL318" s="873"/>
      <c r="BM318" s="547"/>
      <c r="BN318" s="547"/>
      <c r="BO318" s="873"/>
      <c r="BP318" s="277" t="s">
        <v>1204</v>
      </c>
      <c r="BQ318" s="265"/>
      <c r="BR318" s="187"/>
      <c r="BS318" s="18"/>
    </row>
    <row r="319" spans="2:71" ht="46.15" customHeight="1">
      <c r="B319" s="4636" t="s">
        <v>2281</v>
      </c>
      <c r="C319" s="4632"/>
      <c r="D319" s="914" t="s">
        <v>1205</v>
      </c>
      <c r="E319" s="915"/>
      <c r="F319" s="285" t="s">
        <v>33</v>
      </c>
      <c r="G319" s="912"/>
      <c r="H319" s="905"/>
      <c r="I319" s="913" t="s">
        <v>2479</v>
      </c>
      <c r="J319" s="913"/>
      <c r="K319" s="109" t="s">
        <v>2480</v>
      </c>
      <c r="L319" s="916">
        <v>48.819588000000003</v>
      </c>
      <c r="M319" s="874"/>
      <c r="N319" s="916">
        <v>55.568705999999999</v>
      </c>
      <c r="O319" s="875"/>
      <c r="P319" s="876"/>
      <c r="Q319" s="874"/>
      <c r="R319" s="874">
        <v>48.819588000000003</v>
      </c>
      <c r="S319" s="1909" t="s">
        <v>1209</v>
      </c>
      <c r="T319" s="874">
        <v>55.568705999999999</v>
      </c>
      <c r="U319" s="1910" t="s">
        <v>1209</v>
      </c>
      <c r="V319" s="876"/>
      <c r="W319" s="2089"/>
      <c r="X319" s="2281">
        <v>52.2</v>
      </c>
      <c r="Y319" s="877">
        <v>0</v>
      </c>
      <c r="Z319" s="802">
        <v>56</v>
      </c>
      <c r="AA319" s="877">
        <v>0</v>
      </c>
      <c r="AB319" s="2268"/>
      <c r="AC319" s="4996">
        <v>52.2</v>
      </c>
      <c r="AD319" s="802">
        <v>56</v>
      </c>
      <c r="AE319" s="335"/>
      <c r="AF319" s="917">
        <v>52.2</v>
      </c>
      <c r="AG319" s="802">
        <v>56</v>
      </c>
      <c r="AH319" s="335"/>
      <c r="AI319" s="917">
        <v>52.2</v>
      </c>
      <c r="AJ319" s="802">
        <v>56</v>
      </c>
      <c r="AK319" s="335"/>
      <c r="AL319" s="917">
        <v>52.2</v>
      </c>
      <c r="AM319" s="802">
        <v>56</v>
      </c>
      <c r="AN319" s="2268"/>
      <c r="AO319" s="4997">
        <v>195.95458422174099</v>
      </c>
      <c r="AP319" s="4998" t="s">
        <v>2481</v>
      </c>
      <c r="AQ319" s="4999">
        <v>165.08856673235999</v>
      </c>
      <c r="AR319" s="4998" t="s">
        <v>2482</v>
      </c>
      <c r="AS319" s="5000">
        <f>(2000000*13+5199922.22*12)/10^6</f>
        <v>88.399066640000001</v>
      </c>
      <c r="AT319" s="4806"/>
      <c r="AU319" s="2414">
        <v>195283.10768738901</v>
      </c>
      <c r="AV319" s="919" t="s">
        <v>1214</v>
      </c>
      <c r="AW319" s="802">
        <v>230961.32265972221</v>
      </c>
      <c r="AX319" s="919" t="s">
        <v>1214</v>
      </c>
      <c r="AY319" s="2268"/>
      <c r="AZ319" s="2414">
        <v>79152000</v>
      </c>
      <c r="BA319" s="877">
        <v>0</v>
      </c>
      <c r="BB319" s="802">
        <v>79752000</v>
      </c>
      <c r="BC319" s="877">
        <v>0</v>
      </c>
      <c r="BD319" s="2268"/>
      <c r="BE319" s="2267"/>
      <c r="BF319" s="877"/>
      <c r="BG319" s="335"/>
      <c r="BH319" s="877"/>
      <c r="BI319" s="2268"/>
      <c r="BJ319" s="2483"/>
      <c r="BK319" s="544"/>
      <c r="BL319" s="109"/>
      <c r="BM319" s="547"/>
      <c r="BN319" s="547"/>
      <c r="BO319" s="109"/>
      <c r="BP319" s="277" t="s">
        <v>1204</v>
      </c>
      <c r="BQ319" s="265"/>
      <c r="BR319" s="187" t="s">
        <v>1207</v>
      </c>
      <c r="BS319" s="18"/>
    </row>
    <row r="320" spans="2:71" ht="78.599999999999994" customHeight="1">
      <c r="B320" s="4945" t="s">
        <v>2281</v>
      </c>
      <c r="C320" s="4634"/>
      <c r="D320" s="920" t="s">
        <v>1215</v>
      </c>
      <c r="E320" s="921"/>
      <c r="F320" s="285"/>
      <c r="G320" s="777"/>
      <c r="H320" s="912"/>
      <c r="I320" s="922" t="s">
        <v>2483</v>
      </c>
      <c r="J320" s="922"/>
      <c r="K320" s="109" t="s">
        <v>272</v>
      </c>
      <c r="L320" s="923">
        <v>573</v>
      </c>
      <c r="M320" s="297"/>
      <c r="N320" s="923">
        <v>1488.427551</v>
      </c>
      <c r="O320" s="92"/>
      <c r="P320" s="228"/>
      <c r="Q320" s="297"/>
      <c r="R320" s="297">
        <v>573</v>
      </c>
      <c r="S320" s="1842" t="s">
        <v>1218</v>
      </c>
      <c r="T320" s="297">
        <v>1488.427551</v>
      </c>
      <c r="U320" s="151" t="s">
        <v>1218</v>
      </c>
      <c r="V320" s="228"/>
      <c r="W320" s="2060"/>
      <c r="X320" s="2250">
        <v>262</v>
      </c>
      <c r="Y320" s="293">
        <v>0</v>
      </c>
      <c r="Z320" s="702">
        <v>300</v>
      </c>
      <c r="AA320" s="293">
        <v>0</v>
      </c>
      <c r="AB320" s="2187"/>
      <c r="AC320" s="2131">
        <v>262</v>
      </c>
      <c r="AD320" s="702">
        <v>300</v>
      </c>
      <c r="AE320" s="100"/>
      <c r="AF320" s="612">
        <v>262</v>
      </c>
      <c r="AG320" s="702">
        <v>300</v>
      </c>
      <c r="AH320" s="100"/>
      <c r="AI320" s="612">
        <v>262</v>
      </c>
      <c r="AJ320" s="702">
        <v>300</v>
      </c>
      <c r="AK320" s="100"/>
      <c r="AL320" s="612">
        <v>262</v>
      </c>
      <c r="AM320" s="702">
        <v>300</v>
      </c>
      <c r="AN320" s="2187"/>
      <c r="AO320" s="2404">
        <v>2360235</v>
      </c>
      <c r="AP320" s="294" t="s">
        <v>2484</v>
      </c>
      <c r="AQ320" s="702">
        <v>2368371</v>
      </c>
      <c r="AR320" s="294" t="s">
        <v>2484</v>
      </c>
      <c r="AS320" s="2349">
        <v>3604166.02</v>
      </c>
      <c r="AT320" s="5001" t="s">
        <v>2484</v>
      </c>
      <c r="AU320" s="2404">
        <v>2489059.0309999995</v>
      </c>
      <c r="AV320" s="294" t="s">
        <v>1214</v>
      </c>
      <c r="AW320" s="702">
        <v>3129870.2530000005</v>
      </c>
      <c r="AX320" s="294" t="s">
        <v>1214</v>
      </c>
      <c r="AY320" s="2187"/>
      <c r="AZ320" s="2404">
        <v>1979819000</v>
      </c>
      <c r="BA320" s="293">
        <v>0</v>
      </c>
      <c r="BB320" s="702">
        <v>2507543000</v>
      </c>
      <c r="BC320" s="293">
        <v>0</v>
      </c>
      <c r="BD320" s="2187"/>
      <c r="BE320" s="2186"/>
      <c r="BF320" s="293"/>
      <c r="BG320" s="100"/>
      <c r="BH320" s="293"/>
      <c r="BI320" s="2187"/>
      <c r="BJ320" s="2468"/>
      <c r="BK320" s="276"/>
      <c r="BL320" s="109"/>
      <c r="BM320" s="547"/>
      <c r="BN320" s="547"/>
      <c r="BO320" s="109"/>
      <c r="BP320" s="277" t="s">
        <v>1204</v>
      </c>
      <c r="BQ320" s="427"/>
      <c r="BR320" s="187" t="s">
        <v>1207</v>
      </c>
      <c r="BS320" s="18"/>
    </row>
    <row r="321" spans="1:72" ht="78.599999999999994" customHeight="1">
      <c r="B321" s="4945"/>
      <c r="C321" s="4621"/>
      <c r="D321" s="5457"/>
      <c r="E321" s="921"/>
      <c r="F321" s="285" t="s">
        <v>33</v>
      </c>
      <c r="G321" s="777"/>
      <c r="H321" s="5467"/>
      <c r="I321" s="925"/>
      <c r="J321" s="922"/>
      <c r="K321" s="109"/>
      <c r="L321" s="923"/>
      <c r="M321" s="297"/>
      <c r="N321" s="923"/>
      <c r="O321" s="92"/>
      <c r="P321" s="228"/>
      <c r="Q321" s="297"/>
      <c r="R321" s="297"/>
      <c r="S321" s="1842"/>
      <c r="T321" s="297"/>
      <c r="U321" s="151"/>
      <c r="V321" s="228"/>
      <c r="W321" s="2060"/>
      <c r="X321" s="2250"/>
      <c r="Y321" s="293"/>
      <c r="Z321" s="702"/>
      <c r="AA321" s="293"/>
      <c r="AB321" s="2187"/>
      <c r="AC321" s="2131"/>
      <c r="AD321" s="702"/>
      <c r="AE321" s="100"/>
      <c r="AF321" s="612"/>
      <c r="AG321" s="702"/>
      <c r="AH321" s="100"/>
      <c r="AI321" s="612"/>
      <c r="AJ321" s="702"/>
      <c r="AK321" s="100"/>
      <c r="AL321" s="612"/>
      <c r="AM321" s="702"/>
      <c r="AN321" s="2187"/>
      <c r="AO321" s="2404"/>
      <c r="AP321" s="294" t="s">
        <v>2485</v>
      </c>
      <c r="AQ321" s="702"/>
      <c r="AR321" s="294" t="s">
        <v>2486</v>
      </c>
      <c r="AS321" s="2349"/>
      <c r="AT321" s="5001" t="s">
        <v>2487</v>
      </c>
      <c r="AU321" s="2404"/>
      <c r="AV321" s="294"/>
      <c r="AW321" s="702"/>
      <c r="AX321" s="294"/>
      <c r="AY321" s="2187"/>
      <c r="AZ321" s="2404"/>
      <c r="BA321" s="293"/>
      <c r="BB321" s="702"/>
      <c r="BC321" s="293"/>
      <c r="BD321" s="2187"/>
      <c r="BE321" s="2186"/>
      <c r="BF321" s="293"/>
      <c r="BG321" s="100"/>
      <c r="BH321" s="293"/>
      <c r="BI321" s="2187"/>
      <c r="BJ321" s="2468"/>
      <c r="BK321" s="276"/>
      <c r="BL321" s="109"/>
      <c r="BM321" s="547"/>
      <c r="BN321" s="547"/>
      <c r="BO321" s="109"/>
      <c r="BP321" s="277"/>
      <c r="BQ321" s="427"/>
      <c r="BR321" s="221"/>
      <c r="BS321" s="18"/>
    </row>
    <row r="322" spans="1:72" ht="24" customHeight="1">
      <c r="B322" s="4505" t="s">
        <v>2281</v>
      </c>
      <c r="C322" s="4669" t="s">
        <v>1221</v>
      </c>
      <c r="D322" s="924"/>
      <c r="E322" s="924"/>
      <c r="F322" s="285" t="s">
        <v>156</v>
      </c>
      <c r="G322" s="777"/>
      <c r="H322" s="925" t="s">
        <v>1222</v>
      </c>
      <c r="I322" s="925"/>
      <c r="J322" s="922"/>
      <c r="K322" s="109" t="s">
        <v>156</v>
      </c>
      <c r="L322" s="391">
        <f>IFERROR(L323/L324*100,"-")</f>
        <v>0</v>
      </c>
      <c r="M322" s="928"/>
      <c r="N322" s="391">
        <f>IFERROR(N323/N324*100,"-")</f>
        <v>0</v>
      </c>
      <c r="O322" s="929"/>
      <c r="P322" s="391" t="str">
        <f>IFERROR(P323/P324*100,"-")</f>
        <v>-</v>
      </c>
      <c r="Q322" s="391"/>
      <c r="R322" s="391">
        <v>0</v>
      </c>
      <c r="S322" s="1912" t="s">
        <v>1780</v>
      </c>
      <c r="T322" s="391">
        <v>0</v>
      </c>
      <c r="U322" s="1912" t="s">
        <v>1780</v>
      </c>
      <c r="V322" s="391" t="str">
        <f>IFERROR(V323/V324*100,"-")</f>
        <v>-</v>
      </c>
      <c r="W322" s="2090"/>
      <c r="X322" s="2270">
        <f>IFERROR(X323/X324*100,"-")</f>
        <v>0</v>
      </c>
      <c r="Y322" s="929"/>
      <c r="Z322" s="391">
        <f>IFERROR(Z323/Z324*100,"-")</f>
        <v>0</v>
      </c>
      <c r="AA322" s="929"/>
      <c r="AB322" s="2216" t="str">
        <f t="shared" ref="AB322:AN322" si="30">IFERROR(AB323/AB324*100,"-")</f>
        <v>-</v>
      </c>
      <c r="AC322" s="2117">
        <f t="shared" si="30"/>
        <v>0</v>
      </c>
      <c r="AD322" s="391">
        <f t="shared" si="30"/>
        <v>0</v>
      </c>
      <c r="AE322" s="391" t="str">
        <f t="shared" si="30"/>
        <v>-</v>
      </c>
      <c r="AF322" s="391">
        <f t="shared" si="30"/>
        <v>0</v>
      </c>
      <c r="AG322" s="391">
        <f t="shared" si="30"/>
        <v>0</v>
      </c>
      <c r="AH322" s="391" t="str">
        <f t="shared" si="30"/>
        <v>-</v>
      </c>
      <c r="AI322" s="391">
        <f t="shared" si="30"/>
        <v>0</v>
      </c>
      <c r="AJ322" s="391">
        <f t="shared" si="30"/>
        <v>0</v>
      </c>
      <c r="AK322" s="391" t="str">
        <f t="shared" si="30"/>
        <v>-</v>
      </c>
      <c r="AL322" s="391">
        <f t="shared" si="30"/>
        <v>0</v>
      </c>
      <c r="AM322" s="391">
        <f t="shared" si="30"/>
        <v>0</v>
      </c>
      <c r="AN322" s="2216" t="str">
        <f t="shared" si="30"/>
        <v>-</v>
      </c>
      <c r="AO322" s="2270" t="str">
        <f t="shared" ref="AO322" si="31">IFERROR(AO323/AO324*100,"-")</f>
        <v>-</v>
      </c>
      <c r="AP322" s="929"/>
      <c r="AQ322" s="391" t="str">
        <f>IFERROR(AQ323/AQ324*100,"-")</f>
        <v>-</v>
      </c>
      <c r="AR322" s="930"/>
      <c r="AS322" s="2090" t="str">
        <f>IFERROR(AS323/AS324*100,"-")</f>
        <v>-</v>
      </c>
      <c r="AT322" s="5002"/>
      <c r="AU322" s="2270">
        <f>IFERROR(AU323/AU324*100,"-")</f>
        <v>0</v>
      </c>
      <c r="AV322" s="930"/>
      <c r="AW322" s="391">
        <f>IFERROR(AW323/AW324*100,"-")</f>
        <v>0</v>
      </c>
      <c r="AX322" s="930"/>
      <c r="AY322" s="2216" t="str">
        <f>IFERROR(AY323/AY324*100,"-")</f>
        <v>-</v>
      </c>
      <c r="AZ322" s="2270">
        <f>IFERROR(AZ323/AZ324*100,"-")</f>
        <v>0</v>
      </c>
      <c r="BA322" s="929"/>
      <c r="BB322" s="391">
        <f>IFERROR(BB323/BB324*100,"-")</f>
        <v>0</v>
      </c>
      <c r="BC322" s="929"/>
      <c r="BD322" s="2216">
        <f>IFERROR(BD323/BD324*100,"-")</f>
        <v>0</v>
      </c>
      <c r="BE322" s="2270" t="str">
        <f>IFERROR(BE323/BE324*100,"-")</f>
        <v>-</v>
      </c>
      <c r="BF322" s="929"/>
      <c r="BG322" s="391" t="str">
        <f>IFERROR(BG323/BG324*100,"-")</f>
        <v>-</v>
      </c>
      <c r="BH322" s="929"/>
      <c r="BI322" s="2216" t="str">
        <f>IFERROR(BI323/BI324*100,"-")</f>
        <v>-</v>
      </c>
      <c r="BJ322" s="2468" t="s">
        <v>1223</v>
      </c>
      <c r="BK322" s="276" t="s">
        <v>1224</v>
      </c>
      <c r="BL322" s="109"/>
      <c r="BM322" s="547"/>
      <c r="BN322" s="547"/>
      <c r="BO322" s="299" t="s">
        <v>193</v>
      </c>
      <c r="BP322" s="277" t="s">
        <v>1225</v>
      </c>
      <c r="BQ322" s="427"/>
      <c r="BR322" s="221"/>
      <c r="BS322" s="18"/>
    </row>
    <row r="323" spans="1:72" ht="24" customHeight="1">
      <c r="B323" s="4945" t="s">
        <v>2281</v>
      </c>
      <c r="C323" s="1914"/>
      <c r="D323" s="931" t="s">
        <v>1226</v>
      </c>
      <c r="E323" s="931"/>
      <c r="F323" s="285" t="s">
        <v>33</v>
      </c>
      <c r="G323" s="777"/>
      <c r="H323" s="922"/>
      <c r="I323" s="932" t="s">
        <v>1227</v>
      </c>
      <c r="J323" s="922"/>
      <c r="K323" s="109" t="s">
        <v>35</v>
      </c>
      <c r="L323" s="933"/>
      <c r="M323" s="290"/>
      <c r="N323" s="933"/>
      <c r="O323" s="284"/>
      <c r="P323" s="228"/>
      <c r="Q323" s="297"/>
      <c r="R323" s="933"/>
      <c r="S323" s="934" t="s">
        <v>302</v>
      </c>
      <c r="T323" s="933"/>
      <c r="U323" s="930" t="s">
        <v>302</v>
      </c>
      <c r="V323" s="228"/>
      <c r="W323" s="2060"/>
      <c r="X323" s="2186"/>
      <c r="Y323" s="284"/>
      <c r="Z323" s="100"/>
      <c r="AA323" s="284"/>
      <c r="AB323" s="2187"/>
      <c r="AC323" s="2111"/>
      <c r="AD323" s="100"/>
      <c r="AE323" s="100"/>
      <c r="AF323" s="100"/>
      <c r="AG323" s="100"/>
      <c r="AH323" s="100"/>
      <c r="AI323" s="100"/>
      <c r="AJ323" s="100"/>
      <c r="AK323" s="100"/>
      <c r="AL323" s="100"/>
      <c r="AM323" s="100"/>
      <c r="AN323" s="2187"/>
      <c r="AO323" s="2186" t="s">
        <v>641</v>
      </c>
      <c r="AP323" s="935"/>
      <c r="AQ323" s="100" t="s">
        <v>641</v>
      </c>
      <c r="AR323" s="935"/>
      <c r="AS323" s="2349" t="s">
        <v>641</v>
      </c>
      <c r="AT323" s="5003"/>
      <c r="AU323" s="2186"/>
      <c r="AV323" s="284"/>
      <c r="AW323" s="100"/>
      <c r="AX323" s="935"/>
      <c r="AY323" s="2187"/>
      <c r="AZ323" s="2186"/>
      <c r="BA323" s="284"/>
      <c r="BB323" s="100"/>
      <c r="BC323" s="284"/>
      <c r="BD323" s="2187"/>
      <c r="BE323" s="2186"/>
      <c r="BF323" s="284"/>
      <c r="BG323" s="100"/>
      <c r="BH323" s="284"/>
      <c r="BI323" s="2187"/>
      <c r="BJ323" s="2468"/>
      <c r="BK323" s="276"/>
      <c r="BL323" s="109"/>
      <c r="BM323" s="547"/>
      <c r="BN323" s="547"/>
      <c r="BO323" s="299" t="s">
        <v>193</v>
      </c>
      <c r="BP323" s="277" t="s">
        <v>1225</v>
      </c>
      <c r="BQ323" s="265"/>
      <c r="BR323" s="187"/>
      <c r="BS323" s="18"/>
    </row>
    <row r="324" spans="1:72" ht="24" customHeight="1">
      <c r="B324" s="4945" t="s">
        <v>2281</v>
      </c>
      <c r="C324" s="1915"/>
      <c r="D324" s="936" t="s">
        <v>1031</v>
      </c>
      <c r="E324" s="924"/>
      <c r="F324" s="285" t="s">
        <v>33</v>
      </c>
      <c r="G324" s="777"/>
      <c r="H324" s="922"/>
      <c r="I324" s="932" t="s">
        <v>1032</v>
      </c>
      <c r="J324" s="922"/>
      <c r="K324" s="109" t="s">
        <v>35</v>
      </c>
      <c r="L324" s="937">
        <v>6507</v>
      </c>
      <c r="M324" s="938"/>
      <c r="N324" s="937">
        <v>8712</v>
      </c>
      <c r="O324" s="939"/>
      <c r="P324" s="937">
        <v>0</v>
      </c>
      <c r="Q324" s="937"/>
      <c r="R324" s="937">
        <v>3601</v>
      </c>
      <c r="S324" s="934" t="s">
        <v>302</v>
      </c>
      <c r="T324" s="937">
        <v>4502</v>
      </c>
      <c r="U324" s="930" t="s">
        <v>302</v>
      </c>
      <c r="V324" s="940">
        <v>0</v>
      </c>
      <c r="W324" s="2091"/>
      <c r="X324" s="2282">
        <v>366</v>
      </c>
      <c r="Y324" s="941"/>
      <c r="Z324" s="937">
        <v>462</v>
      </c>
      <c r="AA324" s="941"/>
      <c r="AB324" s="2283">
        <v>0</v>
      </c>
      <c r="AC324" s="5004">
        <v>366</v>
      </c>
      <c r="AD324" s="937">
        <v>462</v>
      </c>
      <c r="AE324" s="937">
        <v>0</v>
      </c>
      <c r="AF324" s="940">
        <v>366</v>
      </c>
      <c r="AG324" s="937">
        <v>462</v>
      </c>
      <c r="AH324" s="937">
        <v>0</v>
      </c>
      <c r="AI324" s="940">
        <v>366</v>
      </c>
      <c r="AJ324" s="937">
        <v>462</v>
      </c>
      <c r="AK324" s="937">
        <v>0</v>
      </c>
      <c r="AL324" s="940">
        <v>366</v>
      </c>
      <c r="AM324" s="937">
        <v>462</v>
      </c>
      <c r="AN324" s="2283">
        <v>0</v>
      </c>
      <c r="AO324" s="2422">
        <v>1054</v>
      </c>
      <c r="AP324" s="941"/>
      <c r="AQ324" s="937">
        <v>909</v>
      </c>
      <c r="AR324" s="941"/>
      <c r="AS324" s="2091">
        <v>750</v>
      </c>
      <c r="AT324" s="5005"/>
      <c r="AU324" s="2422">
        <v>1105</v>
      </c>
      <c r="AV324" s="941"/>
      <c r="AW324" s="937">
        <v>2446</v>
      </c>
      <c r="AX324" s="941"/>
      <c r="AY324" s="2283">
        <v>0</v>
      </c>
      <c r="AZ324" s="2422">
        <v>381</v>
      </c>
      <c r="BA324" s="939"/>
      <c r="BB324" s="937">
        <v>393</v>
      </c>
      <c r="BC324" s="939"/>
      <c r="BD324" s="2283">
        <v>393</v>
      </c>
      <c r="BE324" s="2422">
        <v>0</v>
      </c>
      <c r="BF324" s="939"/>
      <c r="BG324" s="937">
        <v>0</v>
      </c>
      <c r="BH324" s="939"/>
      <c r="BI324" s="2283">
        <v>0</v>
      </c>
      <c r="BJ324" s="2468"/>
      <c r="BK324" s="276"/>
      <c r="BL324" s="109"/>
      <c r="BM324" s="547"/>
      <c r="BN324" s="547"/>
      <c r="BO324" s="299" t="s">
        <v>193</v>
      </c>
      <c r="BP324" s="277" t="s">
        <v>1225</v>
      </c>
      <c r="BQ324" s="265"/>
      <c r="BR324" s="187"/>
      <c r="BS324" s="18"/>
    </row>
    <row r="325" spans="1:72" ht="24" customHeight="1" thickBot="1">
      <c r="B325" s="4505" t="s">
        <v>2281</v>
      </c>
      <c r="C325" s="4669" t="s">
        <v>1229</v>
      </c>
      <c r="D325" s="924"/>
      <c r="E325" s="924"/>
      <c r="F325" s="942" t="s">
        <v>156</v>
      </c>
      <c r="G325" s="707"/>
      <c r="H325" s="943" t="s">
        <v>2488</v>
      </c>
      <c r="I325" s="944"/>
      <c r="J325" s="945"/>
      <c r="K325" s="873" t="s">
        <v>156</v>
      </c>
      <c r="L325" s="946"/>
      <c r="M325" s="874"/>
      <c r="N325" s="946"/>
      <c r="O325" s="875"/>
      <c r="P325" s="876"/>
      <c r="Q325" s="874"/>
      <c r="R325" s="1919"/>
      <c r="S325" s="1920"/>
      <c r="T325" s="1919"/>
      <c r="U325" s="919"/>
      <c r="V325" s="876"/>
      <c r="W325" s="2089"/>
      <c r="X325" s="2267"/>
      <c r="Y325" s="877"/>
      <c r="Z325" s="335"/>
      <c r="AA325" s="877"/>
      <c r="AB325" s="2268"/>
      <c r="AC325" s="2113"/>
      <c r="AD325" s="335"/>
      <c r="AE325" s="335"/>
      <c r="AF325" s="335"/>
      <c r="AG325" s="335"/>
      <c r="AH325" s="335"/>
      <c r="AI325" s="335"/>
      <c r="AJ325" s="335"/>
      <c r="AK325" s="335"/>
      <c r="AL325" s="335"/>
      <c r="AM325" s="335"/>
      <c r="AN325" s="2268"/>
      <c r="AO325" s="2267" t="s">
        <v>640</v>
      </c>
      <c r="AP325" s="877"/>
      <c r="AQ325" s="335" t="s">
        <v>641</v>
      </c>
      <c r="AR325" s="877"/>
      <c r="AS325" s="2369" t="s">
        <v>641</v>
      </c>
      <c r="AT325" s="5006"/>
      <c r="AU325" s="2267"/>
      <c r="AV325" s="877"/>
      <c r="AW325" s="335"/>
      <c r="AX325" s="877"/>
      <c r="AY325" s="2268"/>
      <c r="AZ325" s="2267"/>
      <c r="BA325" s="877"/>
      <c r="BB325" s="335"/>
      <c r="BC325" s="877"/>
      <c r="BD325" s="2268"/>
      <c r="BE325" s="2267"/>
      <c r="BF325" s="877"/>
      <c r="BG325" s="335"/>
      <c r="BH325" s="877"/>
      <c r="BI325" s="2268"/>
      <c r="BJ325" s="2483"/>
      <c r="BK325" s="544"/>
      <c r="BL325" s="873"/>
      <c r="BM325" s="547"/>
      <c r="BN325" s="547"/>
      <c r="BO325" s="873"/>
      <c r="BP325" s="277"/>
      <c r="BQ325" s="336" t="s">
        <v>1233</v>
      </c>
      <c r="BR325" s="187"/>
      <c r="BS325" s="18"/>
    </row>
    <row r="326" spans="1:72" ht="24" customHeight="1" thickBot="1">
      <c r="B326" s="4505" t="s">
        <v>2281</v>
      </c>
      <c r="C326" s="123" t="s">
        <v>1234</v>
      </c>
      <c r="D326" s="124"/>
      <c r="E326" s="124"/>
      <c r="F326" s="124"/>
      <c r="G326" s="125" t="s">
        <v>2489</v>
      </c>
      <c r="H326" s="126"/>
      <c r="I326" s="126"/>
      <c r="J326" s="126"/>
      <c r="K326" s="124"/>
      <c r="L326" s="77"/>
      <c r="M326" s="77"/>
      <c r="N326" s="77"/>
      <c r="O326" s="77"/>
      <c r="P326" s="77"/>
      <c r="Q326" s="77"/>
      <c r="R326" s="77"/>
      <c r="S326" s="77"/>
      <c r="T326" s="77"/>
      <c r="U326" s="77"/>
      <c r="V326" s="77"/>
      <c r="W326" s="77"/>
      <c r="X326" s="5007"/>
      <c r="Y326" s="124"/>
      <c r="Z326" s="124"/>
      <c r="AA326" s="124"/>
      <c r="AB326" s="5008"/>
      <c r="AC326" s="124"/>
      <c r="AD326" s="124"/>
      <c r="AE326" s="124"/>
      <c r="AF326" s="1733"/>
      <c r="AG326" s="148"/>
      <c r="AH326" s="148"/>
      <c r="AI326" s="1733"/>
      <c r="AJ326" s="148"/>
      <c r="AK326" s="148"/>
      <c r="AL326" s="1733"/>
      <c r="AM326" s="148"/>
      <c r="AN326" s="2176"/>
      <c r="AO326" s="2175"/>
      <c r="AP326" s="148"/>
      <c r="AQ326" s="148"/>
      <c r="AR326" s="148"/>
      <c r="AS326" s="148"/>
      <c r="AT326" s="4781"/>
      <c r="AU326" s="2175"/>
      <c r="AV326" s="148"/>
      <c r="AW326" s="148"/>
      <c r="AX326" s="148"/>
      <c r="AY326" s="2176"/>
      <c r="AZ326" s="2175"/>
      <c r="BA326" s="148"/>
      <c r="BB326" s="148"/>
      <c r="BC326" s="148"/>
      <c r="BD326" s="2176"/>
      <c r="BE326" s="2175"/>
      <c r="BF326" s="148"/>
      <c r="BG326" s="148"/>
      <c r="BH326" s="148"/>
      <c r="BI326" s="2176"/>
      <c r="BJ326" s="148"/>
      <c r="BK326" s="148"/>
      <c r="BL326" s="148"/>
      <c r="BM326" s="148"/>
      <c r="BN326" s="80"/>
      <c r="BO326" s="80"/>
      <c r="BP326" s="80"/>
      <c r="BQ326" s="80"/>
      <c r="BR326" s="1922"/>
      <c r="BS326"/>
      <c r="BT326"/>
    </row>
    <row r="327" spans="1:72" s="139" customFormat="1" ht="24" customHeight="1">
      <c r="A327" s="11"/>
      <c r="B327" s="4505" t="s">
        <v>2281</v>
      </c>
      <c r="C327" s="4671" t="s">
        <v>1236</v>
      </c>
      <c r="D327" s="947"/>
      <c r="E327" s="947"/>
      <c r="F327" s="4614" t="s">
        <v>168</v>
      </c>
      <c r="G327" s="948"/>
      <c r="H327" s="949" t="s">
        <v>2490</v>
      </c>
      <c r="I327" s="949"/>
      <c r="J327" s="950"/>
      <c r="K327" s="731" t="s">
        <v>168</v>
      </c>
      <c r="L327" s="951"/>
      <c r="M327" s="951"/>
      <c r="N327" s="951"/>
      <c r="O327" s="951"/>
      <c r="P327" s="951"/>
      <c r="Q327" s="951"/>
      <c r="R327" s="951"/>
      <c r="S327" s="951"/>
      <c r="T327" s="951"/>
      <c r="U327" s="951"/>
      <c r="V327" s="951"/>
      <c r="W327" s="5009"/>
      <c r="X327" s="2284"/>
      <c r="Y327" s="952"/>
      <c r="Z327" s="952"/>
      <c r="AA327" s="952"/>
      <c r="AB327" s="2285"/>
      <c r="AC327" s="1592"/>
      <c r="AD327" s="952"/>
      <c r="AE327" s="952"/>
      <c r="AF327" s="953"/>
      <c r="AG327" s="953"/>
      <c r="AH327" s="953"/>
      <c r="AI327" s="953"/>
      <c r="AJ327" s="953"/>
      <c r="AK327" s="953"/>
      <c r="AL327" s="953"/>
      <c r="AM327" s="953"/>
      <c r="AN327" s="2424"/>
      <c r="AO327" s="2423"/>
      <c r="AP327" s="954"/>
      <c r="AQ327" s="953"/>
      <c r="AR327" s="954"/>
      <c r="AS327" s="4707"/>
      <c r="AT327" s="5010"/>
      <c r="AU327" s="2423"/>
      <c r="AV327" s="954"/>
      <c r="AW327" s="953"/>
      <c r="AX327" s="954"/>
      <c r="AY327" s="2424"/>
      <c r="AZ327" s="2423"/>
      <c r="BA327" s="954"/>
      <c r="BB327" s="953"/>
      <c r="BC327" s="954"/>
      <c r="BD327" s="2424"/>
      <c r="BE327" s="2423"/>
      <c r="BF327" s="954"/>
      <c r="BG327" s="953"/>
      <c r="BH327" s="954"/>
      <c r="BI327" s="2424"/>
      <c r="BJ327" s="5011"/>
      <c r="BK327" s="955"/>
      <c r="BL327" s="956"/>
      <c r="BM327" s="547"/>
      <c r="BN327" s="547"/>
      <c r="BO327" s="873"/>
      <c r="BP327" s="896"/>
      <c r="BQ327" s="694"/>
      <c r="BR327" s="957"/>
      <c r="BS327" s="18"/>
    </row>
    <row r="328" spans="1:72" ht="24" customHeight="1">
      <c r="B328" s="4505" t="s">
        <v>2281</v>
      </c>
      <c r="C328" s="4523"/>
      <c r="D328" s="893" t="s">
        <v>1238</v>
      </c>
      <c r="E328" s="893"/>
      <c r="F328" s="492" t="s">
        <v>154</v>
      </c>
      <c r="G328" s="662"/>
      <c r="H328" s="322"/>
      <c r="I328" s="344" t="s">
        <v>2491</v>
      </c>
      <c r="J328" s="296"/>
      <c r="K328" s="91" t="s">
        <v>154</v>
      </c>
      <c r="L328" s="340"/>
      <c r="M328" s="958"/>
      <c r="N328" s="340"/>
      <c r="O328" s="958"/>
      <c r="P328" s="340"/>
      <c r="Q328" s="341"/>
      <c r="R328" s="5012">
        <v>0.14000000000000001</v>
      </c>
      <c r="S328" s="5013"/>
      <c r="T328" s="5012">
        <v>0.11</v>
      </c>
      <c r="U328" s="5013"/>
      <c r="V328" s="340"/>
      <c r="W328" s="2063"/>
      <c r="X328" s="5014"/>
      <c r="Y328" s="5015"/>
      <c r="Z328" s="5015"/>
      <c r="AA328" s="5015"/>
      <c r="AB328" s="5016"/>
      <c r="AC328" s="5017"/>
      <c r="AD328" s="5015"/>
      <c r="AE328" s="5015"/>
      <c r="AF328" s="959"/>
      <c r="AG328" s="959"/>
      <c r="AH328" s="959"/>
      <c r="AI328" s="959"/>
      <c r="AJ328" s="959"/>
      <c r="AK328" s="959"/>
      <c r="AL328" s="959"/>
      <c r="AM328" s="959"/>
      <c r="AN328" s="2425"/>
      <c r="AO328" s="2286">
        <v>0</v>
      </c>
      <c r="AP328" s="960"/>
      <c r="AQ328" s="959">
        <v>0</v>
      </c>
      <c r="AR328" s="960"/>
      <c r="AS328" s="2517">
        <v>0</v>
      </c>
      <c r="AT328" s="5018"/>
      <c r="AU328" s="2286"/>
      <c r="AV328" s="960"/>
      <c r="AW328" s="959"/>
      <c r="AX328" s="960"/>
      <c r="AY328" s="2425"/>
      <c r="AZ328" s="2286"/>
      <c r="BA328" s="960"/>
      <c r="BB328" s="959"/>
      <c r="BC328" s="960"/>
      <c r="BD328" s="2425"/>
      <c r="BE328" s="2286"/>
      <c r="BF328" s="960"/>
      <c r="BG328" s="959"/>
      <c r="BH328" s="960"/>
      <c r="BI328" s="2425"/>
      <c r="BJ328" s="2483"/>
      <c r="BK328" s="544"/>
      <c r="BL328" s="873"/>
      <c r="BM328" s="547"/>
      <c r="BN328" s="547"/>
      <c r="BO328" s="873"/>
      <c r="BP328" s="896" t="s">
        <v>1240</v>
      </c>
      <c r="BQ328" s="694"/>
      <c r="BR328" s="957" t="s">
        <v>1241</v>
      </c>
      <c r="BS328" s="18"/>
    </row>
    <row r="329" spans="1:72" ht="24" customHeight="1">
      <c r="B329" s="4505" t="s">
        <v>2281</v>
      </c>
      <c r="C329" s="4523"/>
      <c r="D329" s="893" t="s">
        <v>1242</v>
      </c>
      <c r="E329" s="893"/>
      <c r="F329" s="492" t="s">
        <v>154</v>
      </c>
      <c r="G329" s="662"/>
      <c r="H329" s="322"/>
      <c r="I329" s="961" t="s">
        <v>2492</v>
      </c>
      <c r="J329" s="922"/>
      <c r="K329" s="136" t="s">
        <v>154</v>
      </c>
      <c r="L329" s="303"/>
      <c r="M329" s="962"/>
      <c r="N329" s="303"/>
      <c r="O329" s="962"/>
      <c r="P329" s="303"/>
      <c r="Q329" s="371"/>
      <c r="R329" s="303"/>
      <c r="S329" s="5019"/>
      <c r="T329" s="303"/>
      <c r="U329" s="5019"/>
      <c r="V329" s="303"/>
      <c r="W329" s="2066"/>
      <c r="X329" s="5020"/>
      <c r="Y329" s="455"/>
      <c r="Z329" s="455"/>
      <c r="AA329" s="455"/>
      <c r="AB329" s="5021"/>
      <c r="AC329" s="5022"/>
      <c r="AD329" s="455"/>
      <c r="AE329" s="455"/>
      <c r="AF329" s="260"/>
      <c r="AG329" s="260"/>
      <c r="AH329" s="260"/>
      <c r="AI329" s="260"/>
      <c r="AJ329" s="260"/>
      <c r="AK329" s="260"/>
      <c r="AL329" s="260"/>
      <c r="AM329" s="260"/>
      <c r="AN329" s="2287"/>
      <c r="AO329" s="2228">
        <v>0</v>
      </c>
      <c r="AP329" s="382"/>
      <c r="AQ329" s="260">
        <v>0</v>
      </c>
      <c r="AR329" s="382"/>
      <c r="AS329" s="2372">
        <v>0</v>
      </c>
      <c r="AT329" s="5023"/>
      <c r="AU329" s="2228"/>
      <c r="AV329" s="382"/>
      <c r="AW329" s="260"/>
      <c r="AX329" s="382"/>
      <c r="AY329" s="2287"/>
      <c r="AZ329" s="2228"/>
      <c r="BA329" s="382"/>
      <c r="BB329" s="260"/>
      <c r="BC329" s="382"/>
      <c r="BD329" s="2287"/>
      <c r="BE329" s="2228"/>
      <c r="BF329" s="382"/>
      <c r="BG329" s="260"/>
      <c r="BH329" s="382"/>
      <c r="BI329" s="2287"/>
      <c r="BJ329" s="2468"/>
      <c r="BK329" s="276"/>
      <c r="BL329" s="109"/>
      <c r="BM329" s="547"/>
      <c r="BN329" s="547"/>
      <c r="BO329" s="109"/>
      <c r="BP329" s="896" t="s">
        <v>1244</v>
      </c>
      <c r="BQ329" s="694"/>
      <c r="BR329" s="957" t="s">
        <v>1245</v>
      </c>
      <c r="BS329" s="18"/>
    </row>
    <row r="330" spans="1:72" ht="24" customHeight="1">
      <c r="B330" s="4636" t="s">
        <v>2281</v>
      </c>
      <c r="C330" s="4523"/>
      <c r="D330" s="931" t="s">
        <v>1246</v>
      </c>
      <c r="E330" s="931"/>
      <c r="F330" s="132" t="s">
        <v>154</v>
      </c>
      <c r="G330" s="662"/>
      <c r="H330" s="322"/>
      <c r="I330" s="932" t="s">
        <v>2493</v>
      </c>
      <c r="J330" s="922"/>
      <c r="K330" s="136" t="s">
        <v>154</v>
      </c>
      <c r="L330" s="303"/>
      <c r="M330" s="962"/>
      <c r="N330" s="303"/>
      <c r="O330" s="962"/>
      <c r="P330" s="303"/>
      <c r="Q330" s="371"/>
      <c r="R330" s="303"/>
      <c r="S330" s="5019"/>
      <c r="T330" s="303"/>
      <c r="U330" s="5019"/>
      <c r="V330" s="303"/>
      <c r="W330" s="2066"/>
      <c r="X330" s="5020"/>
      <c r="Y330" s="455"/>
      <c r="Z330" s="455"/>
      <c r="AA330" s="455"/>
      <c r="AB330" s="5021"/>
      <c r="AC330" s="5022"/>
      <c r="AD330" s="455"/>
      <c r="AE330" s="455"/>
      <c r="AF330" s="260"/>
      <c r="AG330" s="260"/>
      <c r="AH330" s="260"/>
      <c r="AI330" s="260"/>
      <c r="AJ330" s="260"/>
      <c r="AK330" s="260"/>
      <c r="AL330" s="260"/>
      <c r="AM330" s="260"/>
      <c r="AN330" s="2287"/>
      <c r="AO330" s="2228"/>
      <c r="AP330" s="382"/>
      <c r="AQ330" s="260"/>
      <c r="AR330" s="382"/>
      <c r="AS330" s="5743"/>
      <c r="AT330" s="5023"/>
      <c r="AU330" s="2228"/>
      <c r="AV330" s="382"/>
      <c r="AW330" s="260"/>
      <c r="AX330" s="382"/>
      <c r="AY330" s="2287"/>
      <c r="AZ330" s="2228"/>
      <c r="BA330" s="382"/>
      <c r="BB330" s="260"/>
      <c r="BC330" s="382"/>
      <c r="BD330" s="2287"/>
      <c r="BE330" s="2228"/>
      <c r="BF330" s="382"/>
      <c r="BG330" s="260"/>
      <c r="BH330" s="382"/>
      <c r="BI330" s="2287"/>
      <c r="BJ330" s="2468"/>
      <c r="BK330" s="276"/>
      <c r="BL330" s="109"/>
      <c r="BM330" s="547"/>
      <c r="BN330" s="547"/>
      <c r="BO330" s="109"/>
      <c r="BP330" s="896" t="s">
        <v>1240</v>
      </c>
      <c r="BQ330" s="694"/>
      <c r="BR330" s="957" t="s">
        <v>1245</v>
      </c>
      <c r="BS330" s="18"/>
    </row>
    <row r="331" spans="1:72" s="139" customFormat="1" ht="24" customHeight="1">
      <c r="A331" s="11"/>
      <c r="B331" s="4505" t="s">
        <v>2281</v>
      </c>
      <c r="C331" s="4675"/>
      <c r="D331" s="931" t="s">
        <v>1248</v>
      </c>
      <c r="E331" s="931"/>
      <c r="F331" s="132" t="s">
        <v>154</v>
      </c>
      <c r="G331" s="343"/>
      <c r="H331" s="296"/>
      <c r="I331" s="932" t="s">
        <v>2494</v>
      </c>
      <c r="J331" s="922"/>
      <c r="K331" s="136" t="s">
        <v>154</v>
      </c>
      <c r="L331" s="303"/>
      <c r="M331" s="962"/>
      <c r="N331" s="303"/>
      <c r="O331" s="962"/>
      <c r="P331" s="303"/>
      <c r="Q331" s="371"/>
      <c r="R331" s="303"/>
      <c r="S331" s="5019"/>
      <c r="T331" s="303"/>
      <c r="U331" s="5019"/>
      <c r="V331" s="303"/>
      <c r="W331" s="2066"/>
      <c r="X331" s="5020"/>
      <c r="Y331" s="455"/>
      <c r="Z331" s="455"/>
      <c r="AA331" s="455"/>
      <c r="AB331" s="5021"/>
      <c r="AC331" s="5022"/>
      <c r="AD331" s="455"/>
      <c r="AE331" s="455"/>
      <c r="AF331" s="260"/>
      <c r="AG331" s="260"/>
      <c r="AH331" s="260"/>
      <c r="AI331" s="260"/>
      <c r="AJ331" s="260"/>
      <c r="AK331" s="260"/>
      <c r="AL331" s="260"/>
      <c r="AM331" s="260"/>
      <c r="AN331" s="2287"/>
      <c r="AO331" s="2228"/>
      <c r="AP331" s="382"/>
      <c r="AQ331" s="260"/>
      <c r="AR331" s="382"/>
      <c r="AS331" s="2372"/>
      <c r="AT331" s="5023"/>
      <c r="AU331" s="2228"/>
      <c r="AV331" s="382"/>
      <c r="AW331" s="260"/>
      <c r="AX331" s="382"/>
      <c r="AY331" s="2287"/>
      <c r="AZ331" s="2228"/>
      <c r="BA331" s="382"/>
      <c r="BB331" s="260"/>
      <c r="BC331" s="382"/>
      <c r="BD331" s="2287"/>
      <c r="BE331" s="2228"/>
      <c r="BF331" s="382"/>
      <c r="BG331" s="260"/>
      <c r="BH331" s="382"/>
      <c r="BI331" s="2287"/>
      <c r="BJ331" s="2468"/>
      <c r="BK331" s="276"/>
      <c r="BL331" s="109"/>
      <c r="BM331" s="547"/>
      <c r="BN331" s="547"/>
      <c r="BO331" s="109"/>
      <c r="BP331" s="896" t="s">
        <v>1244</v>
      </c>
      <c r="BQ331" s="694"/>
      <c r="BR331" s="957" t="s">
        <v>1241</v>
      </c>
      <c r="BS331" s="18"/>
    </row>
    <row r="332" spans="1:72" ht="24" customHeight="1">
      <c r="B332" s="4505" t="s">
        <v>2281</v>
      </c>
      <c r="C332" s="1878" t="s">
        <v>1250</v>
      </c>
      <c r="D332" s="781"/>
      <c r="E332" s="781"/>
      <c r="F332" s="132" t="s">
        <v>557</v>
      </c>
      <c r="G332" s="777"/>
      <c r="H332" s="757" t="s">
        <v>2495</v>
      </c>
      <c r="I332" s="757"/>
      <c r="J332" s="4666"/>
      <c r="K332" s="109" t="s">
        <v>559</v>
      </c>
      <c r="L332" s="381">
        <v>7</v>
      </c>
      <c r="M332" s="381">
        <v>1.1068943706514865E-3</v>
      </c>
      <c r="N332" s="381">
        <v>7</v>
      </c>
      <c r="O332" s="304">
        <v>8.2537436623039738E-4</v>
      </c>
      <c r="P332" s="274"/>
      <c r="Q332" s="381"/>
      <c r="R332" s="381">
        <v>4</v>
      </c>
      <c r="S332" s="5024" t="s">
        <v>1254</v>
      </c>
      <c r="T332" s="381">
        <v>5</v>
      </c>
      <c r="U332" s="1999" t="s">
        <v>1255</v>
      </c>
      <c r="V332" s="274"/>
      <c r="W332" s="2068"/>
      <c r="X332" s="2217"/>
      <c r="Y332" s="301"/>
      <c r="Z332" s="301"/>
      <c r="AA332" s="301"/>
      <c r="AB332" s="4808"/>
      <c r="AC332" s="5025"/>
      <c r="AD332" s="301"/>
      <c r="AE332" s="301"/>
      <c r="AF332" s="260">
        <v>0</v>
      </c>
      <c r="AG332" s="260">
        <v>0</v>
      </c>
      <c r="AH332" s="260"/>
      <c r="AI332" s="260">
        <v>0</v>
      </c>
      <c r="AJ332" s="260">
        <v>0</v>
      </c>
      <c r="AK332" s="260"/>
      <c r="AL332" s="260">
        <v>0</v>
      </c>
      <c r="AM332" s="260">
        <v>0</v>
      </c>
      <c r="AN332" s="2287"/>
      <c r="AO332" s="2228">
        <v>3</v>
      </c>
      <c r="AP332" s="383" t="s">
        <v>1256</v>
      </c>
      <c r="AQ332" s="260">
        <v>2</v>
      </c>
      <c r="AR332" s="382" t="s">
        <v>1257</v>
      </c>
      <c r="AS332" s="2372">
        <v>2</v>
      </c>
      <c r="AT332" s="5023"/>
      <c r="AU332" s="2228">
        <v>0</v>
      </c>
      <c r="AV332" s="382">
        <v>0</v>
      </c>
      <c r="AW332" s="260">
        <v>0</v>
      </c>
      <c r="AX332" s="382">
        <v>0</v>
      </c>
      <c r="AY332" s="2287"/>
      <c r="AZ332" s="2228">
        <v>0</v>
      </c>
      <c r="BA332" s="382" t="s">
        <v>2496</v>
      </c>
      <c r="BB332" s="260">
        <v>0</v>
      </c>
      <c r="BC332" s="382" t="s">
        <v>2496</v>
      </c>
      <c r="BD332" s="2287"/>
      <c r="BE332" s="2228"/>
      <c r="BF332" s="382"/>
      <c r="BG332" s="260"/>
      <c r="BH332" s="382"/>
      <c r="BI332" s="2287"/>
      <c r="BJ332" s="2468" t="s">
        <v>1250</v>
      </c>
      <c r="BK332" s="276" t="s">
        <v>1252</v>
      </c>
      <c r="BL332" s="109"/>
      <c r="BM332" s="547"/>
      <c r="BN332" s="547"/>
      <c r="BO332" s="109"/>
      <c r="BP332" s="896" t="s">
        <v>1253</v>
      </c>
      <c r="BQ332" s="694"/>
      <c r="BR332" s="957"/>
      <c r="BS332" s="18"/>
    </row>
    <row r="333" spans="1:72" ht="24" customHeight="1">
      <c r="B333" s="4505" t="s">
        <v>2281</v>
      </c>
      <c r="C333" s="1878" t="s">
        <v>1258</v>
      </c>
      <c r="D333" s="781"/>
      <c r="E333" s="781"/>
      <c r="F333" s="132" t="s">
        <v>557</v>
      </c>
      <c r="G333" s="777"/>
      <c r="H333" s="757" t="s">
        <v>2497</v>
      </c>
      <c r="I333" s="757"/>
      <c r="J333" s="4666"/>
      <c r="K333" s="109" t="s">
        <v>559</v>
      </c>
      <c r="L333" s="381">
        <v>0</v>
      </c>
      <c r="M333" s="381"/>
      <c r="N333" s="381">
        <v>0</v>
      </c>
      <c r="O333" s="304"/>
      <c r="P333" s="274"/>
      <c r="Q333" s="381"/>
      <c r="R333" s="381">
        <v>0</v>
      </c>
      <c r="S333" s="5024">
        <v>0</v>
      </c>
      <c r="T333" s="381">
        <v>0</v>
      </c>
      <c r="U333" s="1999">
        <v>0</v>
      </c>
      <c r="V333" s="274"/>
      <c r="W333" s="2068"/>
      <c r="X333" s="2217"/>
      <c r="Y333" s="301"/>
      <c r="Z333" s="301"/>
      <c r="AA333" s="301"/>
      <c r="AB333" s="4808"/>
      <c r="AC333" s="5025"/>
      <c r="AD333" s="301"/>
      <c r="AE333" s="301"/>
      <c r="AF333" s="260"/>
      <c r="AG333" s="260"/>
      <c r="AH333" s="260"/>
      <c r="AI333" s="260"/>
      <c r="AJ333" s="260"/>
      <c r="AK333" s="260"/>
      <c r="AL333" s="260"/>
      <c r="AM333" s="260"/>
      <c r="AN333" s="2287"/>
      <c r="AO333" s="2228">
        <f>AO332</f>
        <v>3</v>
      </c>
      <c r="AP333" s="5026"/>
      <c r="AQ333" s="260">
        <f>AQ332</f>
        <v>2</v>
      </c>
      <c r="AR333" s="382"/>
      <c r="AS333" s="2372">
        <f>AS332</f>
        <v>2</v>
      </c>
      <c r="AT333" s="5023"/>
      <c r="AU333" s="2228"/>
      <c r="AV333" s="382"/>
      <c r="AW333" s="260"/>
      <c r="AX333" s="382"/>
      <c r="AY333" s="2287"/>
      <c r="AZ333" s="2228"/>
      <c r="BA333" s="382"/>
      <c r="BB333" s="260"/>
      <c r="BC333" s="382"/>
      <c r="BD333" s="2287"/>
      <c r="BE333" s="2228"/>
      <c r="BF333" s="382"/>
      <c r="BG333" s="260"/>
      <c r="BH333" s="382"/>
      <c r="BI333" s="2287"/>
      <c r="BJ333" s="2468" t="s">
        <v>1260</v>
      </c>
      <c r="BK333" s="276" t="s">
        <v>1259</v>
      </c>
      <c r="BL333" s="109"/>
      <c r="BM333" s="547"/>
      <c r="BN333" s="547"/>
      <c r="BO333" s="109"/>
      <c r="BP333" s="896" t="s">
        <v>1240</v>
      </c>
      <c r="BQ333" s="694"/>
      <c r="BR333" s="957"/>
      <c r="BS333" s="18"/>
    </row>
    <row r="334" spans="1:72" ht="24" customHeight="1">
      <c r="B334" s="4505" t="s">
        <v>2281</v>
      </c>
      <c r="C334" s="1878" t="s">
        <v>1261</v>
      </c>
      <c r="D334" s="781"/>
      <c r="E334" s="781"/>
      <c r="F334" s="132" t="s">
        <v>557</v>
      </c>
      <c r="G334" s="777"/>
      <c r="H334" s="757" t="s">
        <v>2498</v>
      </c>
      <c r="I334" s="757"/>
      <c r="J334" s="4666"/>
      <c r="K334" s="109" t="s">
        <v>559</v>
      </c>
      <c r="L334" s="381">
        <v>0</v>
      </c>
      <c r="M334" s="381"/>
      <c r="N334" s="381">
        <v>0</v>
      </c>
      <c r="O334" s="304" t="s">
        <v>527</v>
      </c>
      <c r="P334" s="274"/>
      <c r="Q334" s="381"/>
      <c r="R334" s="381">
        <v>0</v>
      </c>
      <c r="S334" s="5024">
        <v>0</v>
      </c>
      <c r="T334" s="381">
        <v>0</v>
      </c>
      <c r="U334" s="1999">
        <v>0</v>
      </c>
      <c r="V334" s="274"/>
      <c r="W334" s="2068"/>
      <c r="X334" s="2217"/>
      <c r="Y334" s="301"/>
      <c r="Z334" s="301"/>
      <c r="AA334" s="301"/>
      <c r="AB334" s="4808"/>
      <c r="AC334" s="5025"/>
      <c r="AD334" s="301"/>
      <c r="AE334" s="301"/>
      <c r="AF334" s="260">
        <v>0</v>
      </c>
      <c r="AG334" s="260">
        <v>0</v>
      </c>
      <c r="AH334" s="260"/>
      <c r="AI334" s="260">
        <v>0</v>
      </c>
      <c r="AJ334" s="260">
        <v>0</v>
      </c>
      <c r="AK334" s="260"/>
      <c r="AL334" s="260">
        <v>0</v>
      </c>
      <c r="AM334" s="260">
        <v>0</v>
      </c>
      <c r="AN334" s="2287"/>
      <c r="AO334" s="2228">
        <v>0</v>
      </c>
      <c r="AP334" s="382">
        <v>0</v>
      </c>
      <c r="AQ334" s="260">
        <v>0</v>
      </c>
      <c r="AR334" s="382">
        <v>0</v>
      </c>
      <c r="AS334" s="2372">
        <v>0</v>
      </c>
      <c r="AT334" s="5023">
        <v>0</v>
      </c>
      <c r="AU334" s="2228">
        <v>0</v>
      </c>
      <c r="AV334" s="382">
        <v>0</v>
      </c>
      <c r="AW334" s="260">
        <v>0</v>
      </c>
      <c r="AX334" s="382">
        <v>0</v>
      </c>
      <c r="AY334" s="2287"/>
      <c r="AZ334" s="2228">
        <v>0</v>
      </c>
      <c r="BA334" s="382" t="s">
        <v>2496</v>
      </c>
      <c r="BB334" s="260">
        <v>0</v>
      </c>
      <c r="BC334" s="382" t="s">
        <v>2496</v>
      </c>
      <c r="BD334" s="2287"/>
      <c r="BE334" s="2228"/>
      <c r="BF334" s="382"/>
      <c r="BG334" s="260"/>
      <c r="BH334" s="382"/>
      <c r="BI334" s="2287"/>
      <c r="BJ334" s="2468" t="s">
        <v>1261</v>
      </c>
      <c r="BK334" s="276" t="s">
        <v>1263</v>
      </c>
      <c r="BL334" s="109"/>
      <c r="BM334" s="547"/>
      <c r="BN334" s="547"/>
      <c r="BO334" s="109"/>
      <c r="BP334" s="277" t="s">
        <v>1264</v>
      </c>
      <c r="BQ334" s="265"/>
      <c r="BR334" s="187"/>
      <c r="BS334" s="18"/>
    </row>
    <row r="335" spans="1:72" ht="24" customHeight="1">
      <c r="B335" s="4505" t="s">
        <v>2281</v>
      </c>
      <c r="C335" s="4606"/>
      <c r="D335" s="787" t="s">
        <v>1266</v>
      </c>
      <c r="E335" s="781"/>
      <c r="F335" s="132" t="s">
        <v>156</v>
      </c>
      <c r="G335" s="905"/>
      <c r="H335" s="963"/>
      <c r="I335" s="932" t="s">
        <v>2499</v>
      </c>
      <c r="J335" s="922"/>
      <c r="K335" s="109" t="s">
        <v>156</v>
      </c>
      <c r="L335" s="381">
        <v>0</v>
      </c>
      <c r="M335" s="381"/>
      <c r="N335" s="274"/>
      <c r="O335" s="304"/>
      <c r="P335" s="274"/>
      <c r="Q335" s="381"/>
      <c r="R335" s="274"/>
      <c r="S335" s="5024"/>
      <c r="T335" s="274"/>
      <c r="U335" s="1999"/>
      <c r="V335" s="274"/>
      <c r="W335" s="2068"/>
      <c r="X335" s="2217"/>
      <c r="Y335" s="301"/>
      <c r="Z335" s="301"/>
      <c r="AA335" s="301"/>
      <c r="AB335" s="4808"/>
      <c r="AC335" s="5025"/>
      <c r="AD335" s="301"/>
      <c r="AE335" s="301"/>
      <c r="AF335" s="260"/>
      <c r="AG335" s="260"/>
      <c r="AH335" s="260"/>
      <c r="AI335" s="260"/>
      <c r="AJ335" s="260"/>
      <c r="AK335" s="260"/>
      <c r="AL335" s="260"/>
      <c r="AM335" s="260"/>
      <c r="AN335" s="2287"/>
      <c r="AO335" s="2228"/>
      <c r="AP335" s="382"/>
      <c r="AQ335" s="260"/>
      <c r="AR335" s="382"/>
      <c r="AS335" s="2372"/>
      <c r="AT335" s="5023"/>
      <c r="AU335" s="2228"/>
      <c r="AV335" s="382"/>
      <c r="AW335" s="260"/>
      <c r="AX335" s="382"/>
      <c r="AY335" s="2287"/>
      <c r="AZ335" s="2228"/>
      <c r="BA335" s="382"/>
      <c r="BB335" s="260"/>
      <c r="BC335" s="382"/>
      <c r="BD335" s="2287"/>
      <c r="BE335" s="2228"/>
      <c r="BF335" s="382"/>
      <c r="BG335" s="260"/>
      <c r="BH335" s="382"/>
      <c r="BI335" s="2287"/>
      <c r="BJ335" s="2468"/>
      <c r="BK335" s="276"/>
      <c r="BL335" s="109"/>
      <c r="BM335" s="547"/>
      <c r="BN335" s="547"/>
      <c r="BO335" s="109"/>
      <c r="BP335" s="896"/>
      <c r="BQ335" s="265"/>
      <c r="BR335" s="187" t="s">
        <v>1268</v>
      </c>
      <c r="BS335" s="18"/>
    </row>
    <row r="336" spans="1:72" ht="24" customHeight="1">
      <c r="B336" s="4505" t="s">
        <v>2281</v>
      </c>
      <c r="C336" s="4581"/>
      <c r="D336" s="787" t="s">
        <v>1269</v>
      </c>
      <c r="E336" s="781"/>
      <c r="F336" s="132" t="s">
        <v>156</v>
      </c>
      <c r="G336" s="912"/>
      <c r="H336" s="964"/>
      <c r="I336" s="932" t="s">
        <v>2500</v>
      </c>
      <c r="J336" s="922"/>
      <c r="K336" s="109" t="s">
        <v>156</v>
      </c>
      <c r="L336" s="274"/>
      <c r="M336" s="381"/>
      <c r="N336" s="274"/>
      <c r="O336" s="304"/>
      <c r="P336" s="274"/>
      <c r="Q336" s="381"/>
      <c r="R336" s="274"/>
      <c r="S336" s="5024"/>
      <c r="T336" s="274"/>
      <c r="U336" s="1999"/>
      <c r="V336" s="274"/>
      <c r="W336" s="2068"/>
      <c r="X336" s="2217"/>
      <c r="Y336" s="301"/>
      <c r="Z336" s="301"/>
      <c r="AA336" s="301"/>
      <c r="AB336" s="4808"/>
      <c r="AC336" s="5025"/>
      <c r="AD336" s="301"/>
      <c r="AE336" s="301"/>
      <c r="AF336" s="260"/>
      <c r="AG336" s="260"/>
      <c r="AH336" s="260"/>
      <c r="AI336" s="260"/>
      <c r="AJ336" s="260"/>
      <c r="AK336" s="260"/>
      <c r="AL336" s="260"/>
      <c r="AM336" s="260"/>
      <c r="AN336" s="2287"/>
      <c r="AO336" s="2228"/>
      <c r="AP336" s="382"/>
      <c r="AQ336" s="260"/>
      <c r="AR336" s="382"/>
      <c r="AS336" s="2372"/>
      <c r="AT336" s="5023"/>
      <c r="AU336" s="2228"/>
      <c r="AV336" s="382"/>
      <c r="AW336" s="260"/>
      <c r="AX336" s="382"/>
      <c r="AY336" s="2287"/>
      <c r="AZ336" s="2228"/>
      <c r="BA336" s="382"/>
      <c r="BB336" s="260"/>
      <c r="BC336" s="382"/>
      <c r="BD336" s="2287"/>
      <c r="BE336" s="2228"/>
      <c r="BF336" s="382"/>
      <c r="BG336" s="260"/>
      <c r="BH336" s="382"/>
      <c r="BI336" s="2287"/>
      <c r="BJ336" s="2468"/>
      <c r="BK336" s="276"/>
      <c r="BL336" s="109"/>
      <c r="BM336" s="547"/>
      <c r="BN336" s="547"/>
      <c r="BO336" s="109"/>
      <c r="BP336" s="965"/>
      <c r="BQ336" s="427"/>
      <c r="BR336" s="187" t="s">
        <v>1207</v>
      </c>
      <c r="BS336" s="18"/>
    </row>
    <row r="337" spans="2:71" ht="24" customHeight="1">
      <c r="B337" s="4505" t="s">
        <v>2281</v>
      </c>
      <c r="C337" s="4669" t="s">
        <v>1271</v>
      </c>
      <c r="D337" s="924"/>
      <c r="E337" s="924"/>
      <c r="F337" s="132" t="s">
        <v>1272</v>
      </c>
      <c r="G337" s="777"/>
      <c r="H337" s="925" t="s">
        <v>2501</v>
      </c>
      <c r="I337" s="925"/>
      <c r="J337" s="922"/>
      <c r="K337" s="109" t="s">
        <v>1853</v>
      </c>
      <c r="L337" s="966">
        <v>0.88830875502718343</v>
      </c>
      <c r="M337" s="966"/>
      <c r="N337" s="966">
        <v>0.83212470785765746</v>
      </c>
      <c r="O337" s="967"/>
      <c r="P337" s="968"/>
      <c r="Q337" s="969"/>
      <c r="R337" s="966">
        <v>1.3171859594378248</v>
      </c>
      <c r="S337" s="970"/>
      <c r="T337" s="966">
        <v>1.7836022204049773</v>
      </c>
      <c r="U337" s="971"/>
      <c r="V337" s="968"/>
      <c r="W337" s="2093"/>
      <c r="X337" s="2217"/>
      <c r="Y337" s="301"/>
      <c r="Z337" s="301"/>
      <c r="AA337" s="301"/>
      <c r="AB337" s="4808"/>
      <c r="AC337" s="5025"/>
      <c r="AD337" s="301"/>
      <c r="AE337" s="301"/>
      <c r="AF337" s="972"/>
      <c r="AG337" s="972">
        <f>AG338/AG339*1000000</f>
        <v>0</v>
      </c>
      <c r="AH337" s="972"/>
      <c r="AI337" s="972"/>
      <c r="AJ337" s="972">
        <f>AJ338/AJ339*1000000</f>
        <v>0</v>
      </c>
      <c r="AK337" s="972"/>
      <c r="AL337" s="972"/>
      <c r="AM337" s="972">
        <f>AM338/AM339*1000000</f>
        <v>0</v>
      </c>
      <c r="AN337" s="2427"/>
      <c r="AO337" s="2426">
        <f>AO338/AO339*1000000</f>
        <v>1.363170407206264</v>
      </c>
      <c r="AP337" s="973"/>
      <c r="AQ337" s="972">
        <f>AQ338/AQ339*1000000</f>
        <v>1.0537452212654217</v>
      </c>
      <c r="AR337" s="973"/>
      <c r="AS337" s="5027">
        <v>1.2771392081736908</v>
      </c>
      <c r="AT337" s="5028"/>
      <c r="AU337" s="2426">
        <f>AU338/AU339*1000000</f>
        <v>0</v>
      </c>
      <c r="AV337" s="973"/>
      <c r="AW337" s="972">
        <f>AW338/AW339*1000000</f>
        <v>0</v>
      </c>
      <c r="AX337" s="973"/>
      <c r="AY337" s="2427"/>
      <c r="AZ337" s="2426">
        <f>AZ338/AZ339*1000000</f>
        <v>0</v>
      </c>
      <c r="BA337" s="973"/>
      <c r="BB337" s="972">
        <f>BB338/BB339*1000000</f>
        <v>0</v>
      </c>
      <c r="BC337" s="973"/>
      <c r="BD337" s="2427"/>
      <c r="BE337" s="2426"/>
      <c r="BF337" s="973"/>
      <c r="BG337" s="972"/>
      <c r="BH337" s="973"/>
      <c r="BI337" s="2427"/>
      <c r="BJ337" s="2468" t="s">
        <v>1275</v>
      </c>
      <c r="BK337" s="276" t="s">
        <v>1276</v>
      </c>
      <c r="BL337" s="109"/>
      <c r="BM337" s="547"/>
      <c r="BN337" s="547"/>
      <c r="BO337" s="109"/>
      <c r="BP337" s="965" t="s">
        <v>1277</v>
      </c>
      <c r="BQ337" s="427"/>
      <c r="BR337" s="974"/>
      <c r="BS337" s="18"/>
    </row>
    <row r="338" spans="2:71" ht="24" customHeight="1">
      <c r="B338" s="4505" t="s">
        <v>2281</v>
      </c>
      <c r="C338" s="1935"/>
      <c r="D338" s="787" t="s">
        <v>1279</v>
      </c>
      <c r="E338" s="781"/>
      <c r="F338" s="132" t="s">
        <v>557</v>
      </c>
      <c r="G338" s="905"/>
      <c r="H338" s="963"/>
      <c r="I338" s="932" t="s">
        <v>2502</v>
      </c>
      <c r="J338" s="922"/>
      <c r="K338" s="109" t="s">
        <v>559</v>
      </c>
      <c r="L338" s="975">
        <v>7</v>
      </c>
      <c r="M338" s="975"/>
      <c r="N338" s="975">
        <v>7</v>
      </c>
      <c r="O338" s="976"/>
      <c r="P338" s="303"/>
      <c r="Q338" s="371"/>
      <c r="R338" s="975">
        <v>4</v>
      </c>
      <c r="S338" s="977" t="s">
        <v>1282</v>
      </c>
      <c r="T338" s="975">
        <v>5</v>
      </c>
      <c r="U338" s="978" t="s">
        <v>1282</v>
      </c>
      <c r="V338" s="303"/>
      <c r="W338" s="2066"/>
      <c r="X338" s="2217"/>
      <c r="Y338" s="301"/>
      <c r="Z338" s="301"/>
      <c r="AA338" s="301"/>
      <c r="AB338" s="4808"/>
      <c r="AC338" s="5025"/>
      <c r="AD338" s="301"/>
      <c r="AE338" s="301"/>
      <c r="AF338" s="260">
        <v>0</v>
      </c>
      <c r="AG338" s="260">
        <v>0</v>
      </c>
      <c r="AH338" s="260"/>
      <c r="AI338" s="260">
        <v>0</v>
      </c>
      <c r="AJ338" s="260">
        <v>0</v>
      </c>
      <c r="AK338" s="260"/>
      <c r="AL338" s="260">
        <v>0</v>
      </c>
      <c r="AM338" s="260">
        <v>0</v>
      </c>
      <c r="AN338" s="2287"/>
      <c r="AO338" s="2228">
        <v>3</v>
      </c>
      <c r="AP338" s="979" t="s">
        <v>1283</v>
      </c>
      <c r="AQ338" s="260">
        <v>2</v>
      </c>
      <c r="AR338" s="979" t="s">
        <v>1284</v>
      </c>
      <c r="AS338" s="2372">
        <f>AS333</f>
        <v>2</v>
      </c>
      <c r="AT338" s="5029" t="s">
        <v>2503</v>
      </c>
      <c r="AU338" s="2228">
        <v>0</v>
      </c>
      <c r="AV338" s="980">
        <v>0</v>
      </c>
      <c r="AW338" s="260">
        <v>0</v>
      </c>
      <c r="AX338" s="980">
        <v>0</v>
      </c>
      <c r="AY338" s="2287"/>
      <c r="AZ338" s="2228">
        <v>0</v>
      </c>
      <c r="BA338" s="980" t="s">
        <v>2496</v>
      </c>
      <c r="BB338" s="260">
        <v>0</v>
      </c>
      <c r="BC338" s="980" t="s">
        <v>2496</v>
      </c>
      <c r="BD338" s="2287"/>
      <c r="BE338" s="2228"/>
      <c r="BF338" s="980"/>
      <c r="BG338" s="260"/>
      <c r="BH338" s="980"/>
      <c r="BI338" s="2287"/>
      <c r="BJ338" s="2468"/>
      <c r="BK338" s="276"/>
      <c r="BL338" s="109"/>
      <c r="BM338" s="547"/>
      <c r="BN338" s="547"/>
      <c r="BO338" s="109"/>
      <c r="BP338" s="981" t="s">
        <v>1277</v>
      </c>
      <c r="BQ338" s="265"/>
      <c r="BR338" s="982"/>
      <c r="BS338" s="18"/>
    </row>
    <row r="339" spans="2:71" ht="24" customHeight="1">
      <c r="B339" s="4505" t="s">
        <v>2281</v>
      </c>
      <c r="C339" s="4678"/>
      <c r="D339" s="936" t="s">
        <v>1286</v>
      </c>
      <c r="E339" s="924"/>
      <c r="F339" s="105" t="s">
        <v>1018</v>
      </c>
      <c r="G339" s="912"/>
      <c r="H339" s="964"/>
      <c r="I339" s="932" t="s">
        <v>2504</v>
      </c>
      <c r="J339" s="922"/>
      <c r="K339" s="109" t="s">
        <v>1831</v>
      </c>
      <c r="L339" s="301"/>
      <c r="M339" s="301"/>
      <c r="N339" s="301"/>
      <c r="O339" s="301"/>
      <c r="P339" s="301"/>
      <c r="Q339" s="301"/>
      <c r="R339" s="301"/>
      <c r="S339" s="301"/>
      <c r="T339" s="301"/>
      <c r="U339" s="301"/>
      <c r="V339" s="301"/>
      <c r="W339" s="2061"/>
      <c r="X339" s="2217"/>
      <c r="Y339" s="301"/>
      <c r="Z339" s="301"/>
      <c r="AA339" s="301"/>
      <c r="AB339" s="4808"/>
      <c r="AC339" s="5025"/>
      <c r="AD339" s="301"/>
      <c r="AE339" s="301"/>
      <c r="AF339" s="983">
        <v>458964</v>
      </c>
      <c r="AG339" s="984">
        <v>539220</v>
      </c>
      <c r="AH339" s="260"/>
      <c r="AI339" s="983">
        <v>458964</v>
      </c>
      <c r="AJ339" s="984">
        <v>539220</v>
      </c>
      <c r="AK339" s="260"/>
      <c r="AL339" s="983">
        <v>458964</v>
      </c>
      <c r="AM339" s="984">
        <v>539220</v>
      </c>
      <c r="AN339" s="2287"/>
      <c r="AO339" s="2428">
        <v>2200752</v>
      </c>
      <c r="AP339" s="979" t="s">
        <v>2505</v>
      </c>
      <c r="AQ339" s="984">
        <v>1897992</v>
      </c>
      <c r="AR339" s="979" t="s">
        <v>1297</v>
      </c>
      <c r="AS339" s="2372">
        <f>AS205*21.75*8*12</f>
        <v>1566000</v>
      </c>
      <c r="AT339" s="5029" t="s">
        <v>1298</v>
      </c>
      <c r="AU339" s="2428">
        <v>1433842</v>
      </c>
      <c r="AV339" s="979" t="s">
        <v>2506</v>
      </c>
      <c r="AW339" s="984">
        <v>2398249</v>
      </c>
      <c r="AX339" s="979" t="s">
        <v>2507</v>
      </c>
      <c r="AY339" s="2287"/>
      <c r="AZ339" s="2428">
        <v>749808</v>
      </c>
      <c r="BA339" s="979" t="s">
        <v>1300</v>
      </c>
      <c r="BB339" s="984">
        <v>773424</v>
      </c>
      <c r="BC339" s="979" t="s">
        <v>1300</v>
      </c>
      <c r="BD339" s="2287"/>
      <c r="BE339" s="2228"/>
      <c r="BF339" s="980"/>
      <c r="BG339" s="260"/>
      <c r="BH339" s="980"/>
      <c r="BI339" s="2287"/>
      <c r="BJ339" s="2468" t="s">
        <v>1288</v>
      </c>
      <c r="BK339" s="276" t="s">
        <v>1289</v>
      </c>
      <c r="BL339" s="109"/>
      <c r="BM339" s="547"/>
      <c r="BN339" s="547"/>
      <c r="BO339" s="109"/>
      <c r="BP339" s="981" t="s">
        <v>1277</v>
      </c>
      <c r="BQ339" s="265"/>
      <c r="BR339" s="982"/>
      <c r="BS339" s="18"/>
    </row>
    <row r="340" spans="2:71" ht="24" customHeight="1">
      <c r="B340" s="4505" t="s">
        <v>2281</v>
      </c>
      <c r="C340" s="4669" t="s">
        <v>1302</v>
      </c>
      <c r="D340" s="924"/>
      <c r="E340" s="924"/>
      <c r="F340" s="105" t="s">
        <v>1272</v>
      </c>
      <c r="G340" s="777"/>
      <c r="H340" s="925" t="s">
        <v>1303</v>
      </c>
      <c r="I340" s="925"/>
      <c r="J340" s="922"/>
      <c r="K340" s="162" t="s">
        <v>1853</v>
      </c>
      <c r="L340" s="274"/>
      <c r="M340" s="937"/>
      <c r="N340" s="274"/>
      <c r="O340" s="980"/>
      <c r="P340" s="274"/>
      <c r="Q340" s="381"/>
      <c r="R340" s="274"/>
      <c r="S340" s="985" t="s">
        <v>209</v>
      </c>
      <c r="T340" s="274"/>
      <c r="U340" s="979" t="s">
        <v>209</v>
      </c>
      <c r="V340" s="274"/>
      <c r="W340" s="2068"/>
      <c r="X340" s="5030"/>
      <c r="Y340" s="302"/>
      <c r="Z340" s="302"/>
      <c r="AA340" s="302"/>
      <c r="AB340" s="5031"/>
      <c r="AC340" s="5032"/>
      <c r="AD340" s="302"/>
      <c r="AE340" s="302"/>
      <c r="AF340" s="260"/>
      <c r="AG340" s="260"/>
      <c r="AH340" s="260"/>
      <c r="AI340" s="260"/>
      <c r="AJ340" s="260"/>
      <c r="AK340" s="260"/>
      <c r="AL340" s="260"/>
      <c r="AM340" s="260"/>
      <c r="AN340" s="2287"/>
      <c r="AO340" s="2228" t="s">
        <v>640</v>
      </c>
      <c r="AP340" s="5033"/>
      <c r="AQ340" s="5034" t="s">
        <v>640</v>
      </c>
      <c r="AR340" s="5033"/>
      <c r="AS340" s="5035" t="s">
        <v>640</v>
      </c>
      <c r="AT340" s="5036"/>
      <c r="AU340" s="2228"/>
      <c r="AV340" s="980"/>
      <c r="AW340" s="260"/>
      <c r="AX340" s="980"/>
      <c r="AY340" s="2287"/>
      <c r="AZ340" s="2228"/>
      <c r="BA340" s="980"/>
      <c r="BB340" s="260"/>
      <c r="BC340" s="980"/>
      <c r="BD340" s="2287"/>
      <c r="BE340" s="2228"/>
      <c r="BF340" s="980"/>
      <c r="BG340" s="260"/>
      <c r="BH340" s="980"/>
      <c r="BI340" s="2287"/>
      <c r="BJ340" s="2468" t="s">
        <v>1304</v>
      </c>
      <c r="BK340" s="276" t="s">
        <v>1305</v>
      </c>
      <c r="BL340" s="109"/>
      <c r="BM340" s="547"/>
      <c r="BN340" s="547"/>
      <c r="BO340" s="299" t="s">
        <v>193</v>
      </c>
      <c r="BP340" s="277" t="s">
        <v>1306</v>
      </c>
      <c r="BQ340" s="265"/>
      <c r="BR340" s="982"/>
      <c r="BS340" s="18"/>
    </row>
    <row r="341" spans="2:71" ht="24" customHeight="1">
      <c r="B341" s="4505" t="s">
        <v>2281</v>
      </c>
      <c r="C341" s="1935"/>
      <c r="D341" s="936" t="s">
        <v>1307</v>
      </c>
      <c r="E341" s="924"/>
      <c r="F341" s="105" t="s">
        <v>557</v>
      </c>
      <c r="G341" s="905"/>
      <c r="H341" s="963"/>
      <c r="I341" s="932" t="s">
        <v>1308</v>
      </c>
      <c r="J341" s="922"/>
      <c r="K341" s="162" t="s">
        <v>559</v>
      </c>
      <c r="L341" s="274"/>
      <c r="M341" s="937"/>
      <c r="N341" s="274"/>
      <c r="O341" s="980"/>
      <c r="P341" s="274"/>
      <c r="Q341" s="381"/>
      <c r="R341" s="274"/>
      <c r="S341" s="985" t="s">
        <v>209</v>
      </c>
      <c r="T341" s="274"/>
      <c r="U341" s="979" t="s">
        <v>209</v>
      </c>
      <c r="V341" s="274"/>
      <c r="W341" s="2068"/>
      <c r="X341" s="5030"/>
      <c r="Y341" s="302"/>
      <c r="Z341" s="302"/>
      <c r="AA341" s="302"/>
      <c r="AB341" s="5031"/>
      <c r="AC341" s="5032"/>
      <c r="AD341" s="302"/>
      <c r="AE341" s="302"/>
      <c r="AF341" s="260"/>
      <c r="AG341" s="260"/>
      <c r="AH341" s="260"/>
      <c r="AI341" s="260"/>
      <c r="AJ341" s="260"/>
      <c r="AK341" s="260"/>
      <c r="AL341" s="260"/>
      <c r="AM341" s="260"/>
      <c r="AN341" s="2287"/>
      <c r="AO341" s="2228"/>
      <c r="AP341" s="980"/>
      <c r="AQ341" s="260"/>
      <c r="AR341" s="980"/>
      <c r="AS341" s="2372"/>
      <c r="AT341" s="5036"/>
      <c r="AU341" s="2228"/>
      <c r="AV341" s="980"/>
      <c r="AW341" s="260"/>
      <c r="AX341" s="980"/>
      <c r="AY341" s="2287"/>
      <c r="AZ341" s="2228"/>
      <c r="BA341" s="980"/>
      <c r="BB341" s="260"/>
      <c r="BC341" s="980"/>
      <c r="BD341" s="2287"/>
      <c r="BE341" s="2228"/>
      <c r="BF341" s="980"/>
      <c r="BG341" s="260"/>
      <c r="BH341" s="980"/>
      <c r="BI341" s="2287"/>
      <c r="BJ341" s="2468"/>
      <c r="BK341" s="276"/>
      <c r="BL341" s="109"/>
      <c r="BM341" s="547"/>
      <c r="BN341" s="547"/>
      <c r="BO341" s="299" t="s">
        <v>193</v>
      </c>
      <c r="BP341" s="277" t="s">
        <v>1306</v>
      </c>
      <c r="BQ341" s="265"/>
      <c r="BR341" s="982"/>
      <c r="BS341" s="18"/>
    </row>
    <row r="342" spans="2:71" ht="24" customHeight="1">
      <c r="B342" s="4505" t="s">
        <v>2281</v>
      </c>
      <c r="C342" s="4678"/>
      <c r="D342" s="936" t="s">
        <v>1309</v>
      </c>
      <c r="E342" s="924"/>
      <c r="F342" s="105" t="s">
        <v>1018</v>
      </c>
      <c r="G342" s="912"/>
      <c r="H342" s="964"/>
      <c r="I342" s="922" t="s">
        <v>1856</v>
      </c>
      <c r="J342" s="922"/>
      <c r="K342" s="162" t="s">
        <v>1831</v>
      </c>
      <c r="L342" s="274"/>
      <c r="M342" s="937"/>
      <c r="N342" s="274"/>
      <c r="O342" s="980"/>
      <c r="P342" s="274"/>
      <c r="Q342" s="381"/>
      <c r="R342" s="274"/>
      <c r="S342" s="985" t="s">
        <v>209</v>
      </c>
      <c r="T342" s="274"/>
      <c r="U342" s="979" t="s">
        <v>209</v>
      </c>
      <c r="V342" s="274"/>
      <c r="W342" s="2068"/>
      <c r="X342" s="5030"/>
      <c r="Y342" s="302"/>
      <c r="Z342" s="302"/>
      <c r="AA342" s="302"/>
      <c r="AB342" s="5031"/>
      <c r="AC342" s="5032"/>
      <c r="AD342" s="302"/>
      <c r="AE342" s="302"/>
      <c r="AF342" s="260"/>
      <c r="AG342" s="260"/>
      <c r="AH342" s="260"/>
      <c r="AI342" s="260"/>
      <c r="AJ342" s="260"/>
      <c r="AK342" s="260"/>
      <c r="AL342" s="260"/>
      <c r="AM342" s="260"/>
      <c r="AN342" s="2287"/>
      <c r="AO342" s="2228"/>
      <c r="AP342" s="980"/>
      <c r="AQ342" s="260"/>
      <c r="AR342" s="980"/>
      <c r="AS342" s="2372"/>
      <c r="AT342" s="5036"/>
      <c r="AU342" s="2228"/>
      <c r="AV342" s="980"/>
      <c r="AW342" s="260"/>
      <c r="AX342" s="980"/>
      <c r="AY342" s="2287"/>
      <c r="AZ342" s="2228"/>
      <c r="BA342" s="980"/>
      <c r="BB342" s="260"/>
      <c r="BC342" s="980"/>
      <c r="BD342" s="2287"/>
      <c r="BE342" s="2228"/>
      <c r="BF342" s="980"/>
      <c r="BG342" s="260"/>
      <c r="BH342" s="980"/>
      <c r="BI342" s="2287"/>
      <c r="BJ342" s="2468"/>
      <c r="BK342" s="276"/>
      <c r="BL342" s="109"/>
      <c r="BM342" s="547"/>
      <c r="BN342" s="547"/>
      <c r="BO342" s="299" t="s">
        <v>193</v>
      </c>
      <c r="BP342" s="277" t="s">
        <v>1306</v>
      </c>
      <c r="BQ342" s="265"/>
      <c r="BR342" s="982"/>
      <c r="BS342" s="18"/>
    </row>
    <row r="343" spans="2:71" ht="24" customHeight="1">
      <c r="B343" s="4505" t="s">
        <v>2281</v>
      </c>
      <c r="C343" s="4669" t="s">
        <v>1311</v>
      </c>
      <c r="D343" s="924"/>
      <c r="E343" s="924"/>
      <c r="F343" s="105" t="s">
        <v>1312</v>
      </c>
      <c r="G343" s="777"/>
      <c r="H343" s="925" t="s">
        <v>1313</v>
      </c>
      <c r="I343" s="925"/>
      <c r="J343" s="922"/>
      <c r="K343" s="162" t="s">
        <v>1857</v>
      </c>
      <c r="L343" s="303"/>
      <c r="M343" s="975"/>
      <c r="N343" s="303"/>
      <c r="O343" s="976"/>
      <c r="P343" s="303"/>
      <c r="Q343" s="371"/>
      <c r="R343" s="303"/>
      <c r="S343" s="977" t="s">
        <v>369</v>
      </c>
      <c r="T343" s="303"/>
      <c r="U343" s="978" t="s">
        <v>369</v>
      </c>
      <c r="V343" s="303"/>
      <c r="W343" s="2066"/>
      <c r="X343" s="5030"/>
      <c r="Y343" s="302"/>
      <c r="Z343" s="302"/>
      <c r="AA343" s="302"/>
      <c r="AB343" s="5031"/>
      <c r="AC343" s="5032"/>
      <c r="AD343" s="302"/>
      <c r="AE343" s="302"/>
      <c r="AF343" s="260"/>
      <c r="AG343" s="260"/>
      <c r="AH343" s="260"/>
      <c r="AI343" s="260"/>
      <c r="AJ343" s="260"/>
      <c r="AK343" s="260"/>
      <c r="AL343" s="260"/>
      <c r="AM343" s="260"/>
      <c r="AN343" s="2287"/>
      <c r="AO343" s="2228" t="s">
        <v>640</v>
      </c>
      <c r="AP343" s="5033"/>
      <c r="AQ343" s="5034" t="s">
        <v>640</v>
      </c>
      <c r="AR343" s="5033"/>
      <c r="AS343" s="5035" t="s">
        <v>640</v>
      </c>
      <c r="AT343" s="5036"/>
      <c r="AU343" s="2228"/>
      <c r="AV343" s="980"/>
      <c r="AW343" s="260"/>
      <c r="AX343" s="980"/>
      <c r="AY343" s="2287"/>
      <c r="AZ343" s="2228"/>
      <c r="BA343" s="980"/>
      <c r="BB343" s="260"/>
      <c r="BC343" s="980"/>
      <c r="BD343" s="2287"/>
      <c r="BE343" s="2228"/>
      <c r="BF343" s="980"/>
      <c r="BG343" s="260"/>
      <c r="BH343" s="980"/>
      <c r="BI343" s="2287"/>
      <c r="BJ343" s="2468" t="s">
        <v>1315</v>
      </c>
      <c r="BK343" s="276" t="s">
        <v>1316</v>
      </c>
      <c r="BL343" s="109"/>
      <c r="BM343" s="547"/>
      <c r="BN343" s="547"/>
      <c r="BO343" s="299" t="s">
        <v>193</v>
      </c>
      <c r="BP343" s="277" t="s">
        <v>1317</v>
      </c>
      <c r="BQ343" s="265"/>
      <c r="BR343" s="982"/>
      <c r="BS343" s="18"/>
    </row>
    <row r="344" spans="2:71" ht="24" customHeight="1">
      <c r="B344" s="4505" t="s">
        <v>2281</v>
      </c>
      <c r="C344" s="1935"/>
      <c r="D344" s="936" t="s">
        <v>1318</v>
      </c>
      <c r="E344" s="924"/>
      <c r="F344" s="105" t="s">
        <v>557</v>
      </c>
      <c r="G344" s="905"/>
      <c r="H344" s="963"/>
      <c r="I344" s="932" t="s">
        <v>1319</v>
      </c>
      <c r="J344" s="922"/>
      <c r="K344" s="162" t="s">
        <v>559</v>
      </c>
      <c r="L344" s="303"/>
      <c r="M344" s="975"/>
      <c r="N344" s="303"/>
      <c r="O344" s="976"/>
      <c r="P344" s="303"/>
      <c r="Q344" s="371"/>
      <c r="R344" s="303"/>
      <c r="S344" s="977" t="s">
        <v>369</v>
      </c>
      <c r="T344" s="303"/>
      <c r="U344" s="978" t="s">
        <v>369</v>
      </c>
      <c r="V344" s="303"/>
      <c r="W344" s="2066"/>
      <c r="X344" s="5030"/>
      <c r="Y344" s="302"/>
      <c r="Z344" s="302"/>
      <c r="AA344" s="302"/>
      <c r="AB344" s="5031"/>
      <c r="AC344" s="5032"/>
      <c r="AD344" s="302"/>
      <c r="AE344" s="302"/>
      <c r="AF344" s="260"/>
      <c r="AG344" s="260"/>
      <c r="AH344" s="260"/>
      <c r="AI344" s="260"/>
      <c r="AJ344" s="260"/>
      <c r="AK344" s="260"/>
      <c r="AL344" s="260"/>
      <c r="AM344" s="260"/>
      <c r="AN344" s="2287"/>
      <c r="AO344" s="2228"/>
      <c r="AP344" s="980"/>
      <c r="AQ344" s="260"/>
      <c r="AR344" s="980"/>
      <c r="AS344" s="2372"/>
      <c r="AT344" s="5036"/>
      <c r="AU344" s="2228"/>
      <c r="AV344" s="980"/>
      <c r="AW344" s="260"/>
      <c r="AX344" s="980"/>
      <c r="AY344" s="2287"/>
      <c r="AZ344" s="2228"/>
      <c r="BA344" s="980"/>
      <c r="BB344" s="260"/>
      <c r="BC344" s="980"/>
      <c r="BD344" s="2287"/>
      <c r="BE344" s="2228"/>
      <c r="BF344" s="980"/>
      <c r="BG344" s="260"/>
      <c r="BH344" s="980"/>
      <c r="BI344" s="2287"/>
      <c r="BJ344" s="2468"/>
      <c r="BK344" s="276"/>
      <c r="BL344" s="109"/>
      <c r="BM344" s="547"/>
      <c r="BN344" s="547"/>
      <c r="BO344" s="299" t="s">
        <v>193</v>
      </c>
      <c r="BP344" s="277" t="s">
        <v>1317</v>
      </c>
      <c r="BQ344" s="265"/>
      <c r="BR344" s="982"/>
      <c r="BS344" s="18"/>
    </row>
    <row r="345" spans="2:71" ht="24" customHeight="1">
      <c r="B345" s="4505" t="s">
        <v>2281</v>
      </c>
      <c r="C345" s="4678"/>
      <c r="D345" s="936" t="s">
        <v>1286</v>
      </c>
      <c r="E345" s="924"/>
      <c r="F345" s="105" t="s">
        <v>1018</v>
      </c>
      <c r="G345" s="912"/>
      <c r="H345" s="964"/>
      <c r="I345" s="932" t="s">
        <v>1287</v>
      </c>
      <c r="J345" s="922"/>
      <c r="K345" s="162" t="s">
        <v>1831</v>
      </c>
      <c r="L345" s="975">
        <v>7880142.9800000004</v>
      </c>
      <c r="M345" s="975"/>
      <c r="N345" s="975">
        <v>8412200.6400000006</v>
      </c>
      <c r="O345" s="976"/>
      <c r="P345" s="303"/>
      <c r="Q345" s="371"/>
      <c r="R345" s="975">
        <v>3036776.98</v>
      </c>
      <c r="S345" s="977" t="s">
        <v>369</v>
      </c>
      <c r="T345" s="975">
        <v>2803315.64</v>
      </c>
      <c r="U345" s="978" t="s">
        <v>369</v>
      </c>
      <c r="V345" s="303"/>
      <c r="W345" s="2066"/>
      <c r="X345" s="5030"/>
      <c r="Y345" s="302"/>
      <c r="Z345" s="302"/>
      <c r="AA345" s="302"/>
      <c r="AB345" s="5031"/>
      <c r="AC345" s="5032"/>
      <c r="AD345" s="302"/>
      <c r="AE345" s="302"/>
      <c r="AF345" s="516">
        <f>AF339</f>
        <v>458964</v>
      </c>
      <c r="AG345" s="516">
        <f>AG339</f>
        <v>539220</v>
      </c>
      <c r="AH345" s="260"/>
      <c r="AI345" s="516">
        <f>AI339</f>
        <v>458964</v>
      </c>
      <c r="AJ345" s="516">
        <f>AJ339</f>
        <v>539220</v>
      </c>
      <c r="AK345" s="260"/>
      <c r="AL345" s="516">
        <f>AL339</f>
        <v>458964</v>
      </c>
      <c r="AM345" s="516">
        <f>AM339</f>
        <v>539220</v>
      </c>
      <c r="AN345" s="2287"/>
      <c r="AO345" s="2429">
        <f>AO339</f>
        <v>2200752</v>
      </c>
      <c r="AP345" s="980"/>
      <c r="AQ345" s="516">
        <f>AQ339</f>
        <v>1897992</v>
      </c>
      <c r="AR345" s="980"/>
      <c r="AS345" s="2514">
        <f>AS339</f>
        <v>1566000</v>
      </c>
      <c r="AT345" s="5036"/>
      <c r="AU345" s="2429">
        <f>AU339</f>
        <v>1433842</v>
      </c>
      <c r="AV345" s="980"/>
      <c r="AW345" s="516">
        <f>AW339</f>
        <v>2398249</v>
      </c>
      <c r="AX345" s="980"/>
      <c r="AY345" s="2430">
        <f>AY339</f>
        <v>0</v>
      </c>
      <c r="AZ345" s="2429">
        <f>AZ339</f>
        <v>749808</v>
      </c>
      <c r="BA345" s="980"/>
      <c r="BB345" s="516">
        <f>BB339</f>
        <v>773424</v>
      </c>
      <c r="BC345" s="980"/>
      <c r="BD345" s="2430">
        <f>BD339</f>
        <v>0</v>
      </c>
      <c r="BE345" s="2429">
        <f>BE339</f>
        <v>0</v>
      </c>
      <c r="BF345" s="980"/>
      <c r="BG345" s="516">
        <f>BG339</f>
        <v>0</v>
      </c>
      <c r="BH345" s="980"/>
      <c r="BI345" s="2430">
        <f>BI339</f>
        <v>0</v>
      </c>
      <c r="BJ345" s="2468"/>
      <c r="BK345" s="276"/>
      <c r="BL345" s="109"/>
      <c r="BM345" s="547"/>
      <c r="BN345" s="547"/>
      <c r="BO345" s="299" t="s">
        <v>193</v>
      </c>
      <c r="BP345" s="277" t="s">
        <v>1317</v>
      </c>
      <c r="BQ345" s="265"/>
      <c r="BR345" s="982"/>
      <c r="BS345" s="18"/>
    </row>
    <row r="346" spans="2:71" ht="24" customHeight="1">
      <c r="B346" s="4505" t="s">
        <v>2281</v>
      </c>
      <c r="C346" s="4669" t="s">
        <v>1320</v>
      </c>
      <c r="D346" s="924"/>
      <c r="E346" s="924"/>
      <c r="F346" s="105" t="s">
        <v>1858</v>
      </c>
      <c r="G346" s="386"/>
      <c r="H346" s="143" t="s">
        <v>1321</v>
      </c>
      <c r="I346" s="143"/>
      <c r="J346" s="144"/>
      <c r="K346" s="162" t="s">
        <v>1857</v>
      </c>
      <c r="L346" s="303"/>
      <c r="M346" s="975"/>
      <c r="N346" s="303"/>
      <c r="O346" s="976"/>
      <c r="P346" s="303"/>
      <c r="Q346" s="371"/>
      <c r="R346" s="303"/>
      <c r="S346" s="977" t="s">
        <v>369</v>
      </c>
      <c r="T346" s="303"/>
      <c r="U346" s="978" t="s">
        <v>369</v>
      </c>
      <c r="V346" s="303"/>
      <c r="W346" s="2066"/>
      <c r="X346" s="5030"/>
      <c r="Y346" s="302"/>
      <c r="Z346" s="302"/>
      <c r="AA346" s="302"/>
      <c r="AB346" s="5031"/>
      <c r="AC346" s="5032"/>
      <c r="AD346" s="302"/>
      <c r="AE346" s="302"/>
      <c r="AF346" s="260"/>
      <c r="AG346" s="260"/>
      <c r="AH346" s="260"/>
      <c r="AI346" s="260"/>
      <c r="AJ346" s="260"/>
      <c r="AK346" s="260"/>
      <c r="AL346" s="260"/>
      <c r="AM346" s="260"/>
      <c r="AN346" s="2287"/>
      <c r="AO346" s="2228"/>
      <c r="AP346" s="980"/>
      <c r="AQ346" s="260"/>
      <c r="AR346" s="980"/>
      <c r="AS346" s="2372"/>
      <c r="AT346" s="5036"/>
      <c r="AU346" s="2228"/>
      <c r="AV346" s="980"/>
      <c r="AW346" s="260"/>
      <c r="AX346" s="980"/>
      <c r="AY346" s="2287"/>
      <c r="AZ346" s="2228"/>
      <c r="BA346" s="980"/>
      <c r="BB346" s="260"/>
      <c r="BC346" s="980"/>
      <c r="BD346" s="2287"/>
      <c r="BE346" s="2228"/>
      <c r="BF346" s="980"/>
      <c r="BG346" s="260"/>
      <c r="BH346" s="980"/>
      <c r="BI346" s="2287"/>
      <c r="BJ346" s="2468" t="s">
        <v>1322</v>
      </c>
      <c r="BK346" s="276" t="s">
        <v>1323</v>
      </c>
      <c r="BL346" s="109"/>
      <c r="BM346" s="547"/>
      <c r="BN346" s="547"/>
      <c r="BO346" s="299" t="s">
        <v>193</v>
      </c>
      <c r="BP346" s="277" t="s">
        <v>1244</v>
      </c>
      <c r="BQ346" s="265"/>
      <c r="BR346" s="982"/>
      <c r="BS346" s="18"/>
    </row>
    <row r="347" spans="2:71" ht="24" customHeight="1">
      <c r="B347" s="4505" t="s">
        <v>2281</v>
      </c>
      <c r="C347" s="1935"/>
      <c r="D347" s="936" t="s">
        <v>1318</v>
      </c>
      <c r="E347" s="924"/>
      <c r="F347" s="105" t="s">
        <v>557</v>
      </c>
      <c r="G347" s="905"/>
      <c r="H347" s="963"/>
      <c r="I347" s="932" t="s">
        <v>1324</v>
      </c>
      <c r="J347" s="922"/>
      <c r="K347" s="162" t="s">
        <v>559</v>
      </c>
      <c r="L347" s="303"/>
      <c r="M347" s="975"/>
      <c r="N347" s="303"/>
      <c r="O347" s="976"/>
      <c r="P347" s="303"/>
      <c r="Q347" s="371"/>
      <c r="R347" s="303"/>
      <c r="S347" s="977" t="s">
        <v>369</v>
      </c>
      <c r="T347" s="303"/>
      <c r="U347" s="978" t="s">
        <v>369</v>
      </c>
      <c r="V347" s="303"/>
      <c r="W347" s="2066"/>
      <c r="X347" s="5030"/>
      <c r="Y347" s="302"/>
      <c r="Z347" s="302"/>
      <c r="AA347" s="302"/>
      <c r="AB347" s="5031"/>
      <c r="AC347" s="5032"/>
      <c r="AD347" s="302"/>
      <c r="AE347" s="302"/>
      <c r="AF347" s="260"/>
      <c r="AG347" s="260"/>
      <c r="AH347" s="260"/>
      <c r="AI347" s="260"/>
      <c r="AJ347" s="260"/>
      <c r="AK347" s="260"/>
      <c r="AL347" s="260"/>
      <c r="AM347" s="260"/>
      <c r="AN347" s="2287"/>
      <c r="AO347" s="2228"/>
      <c r="AP347" s="980"/>
      <c r="AQ347" s="260"/>
      <c r="AR347" s="980"/>
      <c r="AS347" s="2372"/>
      <c r="AT347" s="5036"/>
      <c r="AU347" s="2228"/>
      <c r="AV347" s="980"/>
      <c r="AW347" s="260"/>
      <c r="AX347" s="980"/>
      <c r="AY347" s="2287"/>
      <c r="AZ347" s="2228"/>
      <c r="BA347" s="980"/>
      <c r="BB347" s="260"/>
      <c r="BC347" s="980"/>
      <c r="BD347" s="2287"/>
      <c r="BE347" s="2228"/>
      <c r="BF347" s="980"/>
      <c r="BG347" s="260"/>
      <c r="BH347" s="980"/>
      <c r="BI347" s="2287"/>
      <c r="BJ347" s="2468"/>
      <c r="BK347" s="276"/>
      <c r="BL347" s="109"/>
      <c r="BM347" s="547"/>
      <c r="BN347" s="547"/>
      <c r="BO347" s="299" t="s">
        <v>193</v>
      </c>
      <c r="BP347" s="277" t="s">
        <v>1244</v>
      </c>
      <c r="BQ347" s="265"/>
      <c r="BR347" s="982"/>
      <c r="BS347" s="18"/>
    </row>
    <row r="348" spans="2:71" ht="24" customHeight="1">
      <c r="B348" s="4505" t="s">
        <v>2281</v>
      </c>
      <c r="C348" s="4678"/>
      <c r="D348" s="936" t="s">
        <v>1286</v>
      </c>
      <c r="E348" s="924"/>
      <c r="F348" s="105" t="s">
        <v>1018</v>
      </c>
      <c r="G348" s="912"/>
      <c r="H348" s="964"/>
      <c r="I348" s="932" t="s">
        <v>1287</v>
      </c>
      <c r="J348" s="922"/>
      <c r="K348" s="162" t="s">
        <v>1831</v>
      </c>
      <c r="L348" s="975">
        <v>7880142.9800000004</v>
      </c>
      <c r="M348" s="975"/>
      <c r="N348" s="975">
        <v>8412200.6400000006</v>
      </c>
      <c r="O348" s="976"/>
      <c r="P348" s="303"/>
      <c r="Q348" s="371"/>
      <c r="R348" s="975">
        <v>3036776.98</v>
      </c>
      <c r="S348" s="977" t="s">
        <v>369</v>
      </c>
      <c r="T348" s="975">
        <v>2803315.64</v>
      </c>
      <c r="U348" s="978" t="s">
        <v>369</v>
      </c>
      <c r="V348" s="303"/>
      <c r="W348" s="2066"/>
      <c r="X348" s="5030"/>
      <c r="Y348" s="302"/>
      <c r="Z348" s="302"/>
      <c r="AA348" s="302"/>
      <c r="AB348" s="5031"/>
      <c r="AC348" s="5032"/>
      <c r="AD348" s="302"/>
      <c r="AE348" s="302"/>
      <c r="AF348" s="516">
        <f>AF339</f>
        <v>458964</v>
      </c>
      <c r="AG348" s="516">
        <f>AG339</f>
        <v>539220</v>
      </c>
      <c r="AH348" s="260"/>
      <c r="AI348" s="516">
        <f>AI339</f>
        <v>458964</v>
      </c>
      <c r="AJ348" s="516">
        <f>AJ339</f>
        <v>539220</v>
      </c>
      <c r="AK348" s="260"/>
      <c r="AL348" s="516">
        <f>AL339</f>
        <v>458964</v>
      </c>
      <c r="AM348" s="516">
        <f>AM339</f>
        <v>539220</v>
      </c>
      <c r="AN348" s="2287"/>
      <c r="AO348" s="2429">
        <f>AO339</f>
        <v>2200752</v>
      </c>
      <c r="AP348" s="980"/>
      <c r="AQ348" s="516">
        <f>AQ339</f>
        <v>1897992</v>
      </c>
      <c r="AR348" s="980"/>
      <c r="AS348" s="2372">
        <f>AS339</f>
        <v>1566000</v>
      </c>
      <c r="AT348" s="5036"/>
      <c r="AU348" s="2228">
        <f>AU339</f>
        <v>1433842</v>
      </c>
      <c r="AV348" s="980"/>
      <c r="AW348" s="260">
        <f>AW339</f>
        <v>2398249</v>
      </c>
      <c r="AX348" s="980"/>
      <c r="AY348" s="2287">
        <f>AY339</f>
        <v>0</v>
      </c>
      <c r="AZ348" s="2228">
        <f>AZ339</f>
        <v>749808</v>
      </c>
      <c r="BA348" s="980"/>
      <c r="BB348" s="260">
        <f>BB339</f>
        <v>773424</v>
      </c>
      <c r="BC348" s="980"/>
      <c r="BD348" s="2287"/>
      <c r="BE348" s="2228"/>
      <c r="BF348" s="980"/>
      <c r="BG348" s="260"/>
      <c r="BH348" s="980"/>
      <c r="BI348" s="2287"/>
      <c r="BJ348" s="2468"/>
      <c r="BK348" s="276"/>
      <c r="BL348" s="109"/>
      <c r="BM348" s="547"/>
      <c r="BN348" s="547"/>
      <c r="BO348" s="299" t="s">
        <v>193</v>
      </c>
      <c r="BP348" s="277" t="s">
        <v>1244</v>
      </c>
      <c r="BQ348" s="265"/>
      <c r="BR348" s="982"/>
      <c r="BS348" s="18"/>
    </row>
    <row r="349" spans="2:71" ht="24" customHeight="1">
      <c r="B349" s="4505" t="s">
        <v>2281</v>
      </c>
      <c r="C349" s="4669" t="s">
        <v>1325</v>
      </c>
      <c r="D349" s="924"/>
      <c r="E349" s="924"/>
      <c r="F349" s="105" t="s">
        <v>557</v>
      </c>
      <c r="G349" s="777"/>
      <c r="H349" s="925" t="s">
        <v>2508</v>
      </c>
      <c r="I349" s="925"/>
      <c r="J349" s="922"/>
      <c r="K349" s="109" t="s">
        <v>2417</v>
      </c>
      <c r="L349" s="381">
        <v>0</v>
      </c>
      <c r="M349" s="381"/>
      <c r="N349" s="381">
        <v>0</v>
      </c>
      <c r="O349" s="304"/>
      <c r="P349" s="274"/>
      <c r="Q349" s="381"/>
      <c r="R349" s="381">
        <v>0</v>
      </c>
      <c r="S349" s="5024"/>
      <c r="T349" s="381">
        <v>0</v>
      </c>
      <c r="U349" s="1999"/>
      <c r="V349" s="274"/>
      <c r="W349" s="2068"/>
      <c r="X349" s="2217"/>
      <c r="Y349" s="301"/>
      <c r="Z349" s="301"/>
      <c r="AA349" s="301"/>
      <c r="AB349" s="4808"/>
      <c r="AC349" s="5025"/>
      <c r="AD349" s="301"/>
      <c r="AE349" s="301"/>
      <c r="AF349" s="260"/>
      <c r="AG349" s="260">
        <v>0</v>
      </c>
      <c r="AH349" s="260"/>
      <c r="AI349" s="260"/>
      <c r="AJ349" s="260">
        <v>0</v>
      </c>
      <c r="AK349" s="260"/>
      <c r="AL349" s="260"/>
      <c r="AM349" s="260">
        <v>0</v>
      </c>
      <c r="AN349" s="2287"/>
      <c r="AO349" s="2228">
        <v>0</v>
      </c>
      <c r="AP349" s="382"/>
      <c r="AQ349" s="260">
        <v>0</v>
      </c>
      <c r="AR349" s="382"/>
      <c r="AS349" s="2372">
        <v>0</v>
      </c>
      <c r="AT349" s="5023"/>
      <c r="AU349" s="2228">
        <v>0</v>
      </c>
      <c r="AV349" s="382"/>
      <c r="AW349" s="260">
        <v>0</v>
      </c>
      <c r="AX349" s="382"/>
      <c r="AY349" s="2287"/>
      <c r="AZ349" s="2228">
        <v>0</v>
      </c>
      <c r="BA349" s="382"/>
      <c r="BB349" s="260">
        <v>0</v>
      </c>
      <c r="BC349" s="382"/>
      <c r="BD349" s="2287"/>
      <c r="BE349" s="2228"/>
      <c r="BF349" s="382"/>
      <c r="BG349" s="260"/>
      <c r="BH349" s="382"/>
      <c r="BI349" s="2287"/>
      <c r="BJ349" s="2468" t="s">
        <v>1327</v>
      </c>
      <c r="BK349" s="276" t="s">
        <v>1328</v>
      </c>
      <c r="BL349" s="109"/>
      <c r="BM349" s="547"/>
      <c r="BN349" s="547"/>
      <c r="BO349" s="986"/>
      <c r="BP349" s="672" t="s">
        <v>1329</v>
      </c>
      <c r="BQ349" s="265"/>
      <c r="BR349" s="982"/>
      <c r="BS349" s="18"/>
    </row>
    <row r="350" spans="2:71" ht="24" customHeight="1">
      <c r="B350" s="4505" t="s">
        <v>2281</v>
      </c>
      <c r="C350" s="4669" t="s">
        <v>1331</v>
      </c>
      <c r="D350" s="924"/>
      <c r="E350" s="924"/>
      <c r="F350" s="105" t="s">
        <v>557</v>
      </c>
      <c r="G350" s="777"/>
      <c r="H350" s="925" t="s">
        <v>2509</v>
      </c>
      <c r="I350" s="925"/>
      <c r="J350" s="922"/>
      <c r="K350" s="109" t="s">
        <v>559</v>
      </c>
      <c r="L350" s="274"/>
      <c r="M350" s="381"/>
      <c r="N350" s="274"/>
      <c r="O350" s="304"/>
      <c r="P350" s="274"/>
      <c r="Q350" s="381"/>
      <c r="R350" s="274"/>
      <c r="S350" s="5024"/>
      <c r="T350" s="274"/>
      <c r="U350" s="1999"/>
      <c r="V350" s="274"/>
      <c r="W350" s="2068"/>
      <c r="X350" s="2217"/>
      <c r="Y350" s="301"/>
      <c r="Z350" s="301"/>
      <c r="AA350" s="301"/>
      <c r="AB350" s="4808"/>
      <c r="AC350" s="5025"/>
      <c r="AD350" s="301"/>
      <c r="AE350" s="301"/>
      <c r="AF350" s="260"/>
      <c r="AG350" s="260"/>
      <c r="AH350" s="260"/>
      <c r="AI350" s="260"/>
      <c r="AJ350" s="260"/>
      <c r="AK350" s="260"/>
      <c r="AL350" s="260"/>
      <c r="AM350" s="260"/>
      <c r="AN350" s="2287"/>
      <c r="AO350" s="2228"/>
      <c r="AP350" s="382"/>
      <c r="AQ350" s="260"/>
      <c r="AR350" s="382"/>
      <c r="AS350" s="2372"/>
      <c r="AT350" s="5023"/>
      <c r="AU350" s="2228"/>
      <c r="AV350" s="382"/>
      <c r="AW350" s="260"/>
      <c r="AX350" s="382"/>
      <c r="AY350" s="2287"/>
      <c r="AZ350" s="2228"/>
      <c r="BA350" s="382"/>
      <c r="BB350" s="260"/>
      <c r="BC350" s="382"/>
      <c r="BD350" s="2287"/>
      <c r="BE350" s="2228"/>
      <c r="BF350" s="382"/>
      <c r="BG350" s="260"/>
      <c r="BH350" s="382"/>
      <c r="BI350" s="2287"/>
      <c r="BJ350" s="2468"/>
      <c r="BK350" s="276"/>
      <c r="BL350" s="109"/>
      <c r="BM350" s="547"/>
      <c r="BN350" s="547"/>
      <c r="BO350" s="109"/>
      <c r="BP350" s="672" t="s">
        <v>1277</v>
      </c>
      <c r="BQ350" s="265" t="s">
        <v>1333</v>
      </c>
      <c r="BR350" s="982"/>
      <c r="BS350" s="18"/>
    </row>
    <row r="351" spans="2:71" ht="24" customHeight="1">
      <c r="B351" s="4505" t="s">
        <v>2281</v>
      </c>
      <c r="C351" s="4669" t="s">
        <v>1334</v>
      </c>
      <c r="D351" s="924"/>
      <c r="E351" s="924"/>
      <c r="F351" s="119" t="s">
        <v>557</v>
      </c>
      <c r="G351" s="777"/>
      <c r="H351" s="925" t="s">
        <v>2510</v>
      </c>
      <c r="I351" s="925"/>
      <c r="J351" s="963"/>
      <c r="K351" s="122" t="s">
        <v>559</v>
      </c>
      <c r="L351" s="274"/>
      <c r="M351" s="988"/>
      <c r="N351" s="274"/>
      <c r="O351" s="425"/>
      <c r="P351" s="504"/>
      <c r="Q351" s="988"/>
      <c r="R351" s="274"/>
      <c r="S351" s="5037"/>
      <c r="T351" s="274"/>
      <c r="U351" s="2015"/>
      <c r="V351" s="504"/>
      <c r="W351" s="2094"/>
      <c r="X351" s="5038"/>
      <c r="Y351" s="5039"/>
      <c r="Z351" s="5039"/>
      <c r="AA351" s="5039"/>
      <c r="AB351" s="5040"/>
      <c r="AC351" s="5041"/>
      <c r="AD351" s="5039"/>
      <c r="AE351" s="5039"/>
      <c r="AF351" s="506"/>
      <c r="AG351" s="506"/>
      <c r="AH351" s="506"/>
      <c r="AI351" s="506"/>
      <c r="AJ351" s="506"/>
      <c r="AK351" s="506"/>
      <c r="AL351" s="506"/>
      <c r="AM351" s="506"/>
      <c r="AN351" s="2231"/>
      <c r="AO351" s="2230"/>
      <c r="AP351" s="989"/>
      <c r="AQ351" s="506"/>
      <c r="AR351" s="989"/>
      <c r="AS351" s="2360"/>
      <c r="AT351" s="5042"/>
      <c r="AU351" s="2230"/>
      <c r="AV351" s="989"/>
      <c r="AW351" s="506"/>
      <c r="AX351" s="989"/>
      <c r="AY351" s="2231"/>
      <c r="AZ351" s="2230"/>
      <c r="BA351" s="989"/>
      <c r="BB351" s="506"/>
      <c r="BC351" s="989"/>
      <c r="BD351" s="2231"/>
      <c r="BE351" s="2230"/>
      <c r="BF351" s="989"/>
      <c r="BG351" s="506"/>
      <c r="BH351" s="989"/>
      <c r="BI351" s="2231"/>
      <c r="BJ351" s="1052"/>
      <c r="BK351" s="714"/>
      <c r="BL351" s="109"/>
      <c r="BM351" s="547"/>
      <c r="BN351" s="547"/>
      <c r="BO351" s="109"/>
      <c r="BP351" s="265"/>
      <c r="BQ351" s="265" t="s">
        <v>1336</v>
      </c>
      <c r="BR351" s="982"/>
      <c r="BS351" s="18"/>
    </row>
    <row r="352" spans="2:71" ht="24" customHeight="1">
      <c r="B352" s="4505" t="s">
        <v>2281</v>
      </c>
      <c r="C352" s="1758" t="s">
        <v>1337</v>
      </c>
      <c r="D352" s="104"/>
      <c r="E352" s="104"/>
      <c r="F352" s="105" t="s">
        <v>156</v>
      </c>
      <c r="G352" s="771"/>
      <c r="H352" s="991" t="s">
        <v>2511</v>
      </c>
      <c r="I352" s="991"/>
      <c r="J352" s="1292"/>
      <c r="K352" s="109" t="s">
        <v>156</v>
      </c>
      <c r="L352" s="274"/>
      <c r="M352" s="381"/>
      <c r="N352" s="274"/>
      <c r="O352" s="304"/>
      <c r="P352" s="274"/>
      <c r="Q352" s="381"/>
      <c r="R352" s="274"/>
      <c r="S352" s="4880"/>
      <c r="T352" s="274"/>
      <c r="U352" s="5043"/>
      <c r="V352" s="274"/>
      <c r="W352" s="2068"/>
      <c r="X352" s="2217"/>
      <c r="Y352" s="301"/>
      <c r="Z352" s="301"/>
      <c r="AA352" s="301"/>
      <c r="AB352" s="4808"/>
      <c r="AC352" s="5025"/>
      <c r="AD352" s="301"/>
      <c r="AE352" s="301"/>
      <c r="AF352" s="260"/>
      <c r="AG352" s="260"/>
      <c r="AH352" s="260"/>
      <c r="AI352" s="260"/>
      <c r="AJ352" s="260"/>
      <c r="AK352" s="260"/>
      <c r="AL352" s="260"/>
      <c r="AM352" s="260"/>
      <c r="AN352" s="2287"/>
      <c r="AO352" s="2228"/>
      <c r="AP352" s="382"/>
      <c r="AQ352" s="260"/>
      <c r="AR352" s="382"/>
      <c r="AS352" s="2372"/>
      <c r="AT352" s="5023"/>
      <c r="AU352" s="2228"/>
      <c r="AV352" s="382"/>
      <c r="AW352" s="260"/>
      <c r="AX352" s="382"/>
      <c r="AY352" s="2287"/>
      <c r="AZ352" s="2228"/>
      <c r="BA352" s="382"/>
      <c r="BB352" s="260"/>
      <c r="BC352" s="382"/>
      <c r="BD352" s="2287"/>
      <c r="BE352" s="2228"/>
      <c r="BF352" s="382"/>
      <c r="BG352" s="260"/>
      <c r="BH352" s="382"/>
      <c r="BI352" s="2287"/>
      <c r="BJ352" s="2472" t="s">
        <v>1339</v>
      </c>
      <c r="BK352" s="457" t="s">
        <v>1340</v>
      </c>
      <c r="BL352" s="109"/>
      <c r="BM352" s="547"/>
      <c r="BN352" s="547"/>
      <c r="BO352" s="109"/>
      <c r="BP352" s="265" t="s">
        <v>1341</v>
      </c>
      <c r="BQ352" s="265"/>
      <c r="BR352" s="982"/>
      <c r="BS352" s="18"/>
    </row>
    <row r="353" spans="2:71" ht="24" customHeight="1">
      <c r="B353" s="4636" t="s">
        <v>2281</v>
      </c>
      <c r="C353" s="1935"/>
      <c r="D353" s="936" t="s">
        <v>1342</v>
      </c>
      <c r="E353" s="924"/>
      <c r="F353" s="105" t="s">
        <v>742</v>
      </c>
      <c r="G353" s="905"/>
      <c r="H353" s="963"/>
      <c r="I353" s="932" t="s">
        <v>2512</v>
      </c>
      <c r="J353" s="922"/>
      <c r="K353" s="109" t="s">
        <v>2357</v>
      </c>
      <c r="L353" s="381">
        <v>429</v>
      </c>
      <c r="M353" s="381"/>
      <c r="N353" s="381">
        <v>595</v>
      </c>
      <c r="O353" s="304"/>
      <c r="P353" s="274"/>
      <c r="Q353" s="381"/>
      <c r="R353" s="381">
        <v>1</v>
      </c>
      <c r="S353" s="5024" t="s">
        <v>1344</v>
      </c>
      <c r="T353" s="381">
        <v>1</v>
      </c>
      <c r="U353" s="1999" t="s">
        <v>1344</v>
      </c>
      <c r="V353" s="274"/>
      <c r="W353" s="2068"/>
      <c r="X353" s="2217"/>
      <c r="Y353" s="301"/>
      <c r="Z353" s="301"/>
      <c r="AA353" s="301"/>
      <c r="AB353" s="4808"/>
      <c r="AC353" s="5025"/>
      <c r="AD353" s="301"/>
      <c r="AE353" s="301"/>
      <c r="AF353" s="260">
        <v>0</v>
      </c>
      <c r="AG353" s="260">
        <v>167</v>
      </c>
      <c r="AH353" s="260"/>
      <c r="AI353" s="260">
        <v>0</v>
      </c>
      <c r="AJ353" s="260">
        <v>167</v>
      </c>
      <c r="AK353" s="260"/>
      <c r="AL353" s="260">
        <v>0</v>
      </c>
      <c r="AM353" s="260">
        <v>167</v>
      </c>
      <c r="AN353" s="2287"/>
      <c r="AO353" s="5696">
        <v>0</v>
      </c>
      <c r="AP353" s="382">
        <v>0</v>
      </c>
      <c r="AQ353" s="260">
        <v>0</v>
      </c>
      <c r="AR353" s="382">
        <v>0</v>
      </c>
      <c r="AS353" s="2372">
        <v>0</v>
      </c>
      <c r="AT353" s="5023">
        <v>0</v>
      </c>
      <c r="AU353" s="2228">
        <v>428</v>
      </c>
      <c r="AV353" s="383" t="s">
        <v>1348</v>
      </c>
      <c r="AW353" s="260">
        <v>427</v>
      </c>
      <c r="AX353" s="383" t="s">
        <v>1348</v>
      </c>
      <c r="AY353" s="2287"/>
      <c r="AZ353" s="2228">
        <v>0</v>
      </c>
      <c r="BA353" s="383" t="s">
        <v>1350</v>
      </c>
      <c r="BB353" s="260">
        <v>0</v>
      </c>
      <c r="BC353" s="383" t="s">
        <v>1350</v>
      </c>
      <c r="BD353" s="2287"/>
      <c r="BE353" s="2228"/>
      <c r="BF353" s="382"/>
      <c r="BG353" s="260"/>
      <c r="BH353" s="382"/>
      <c r="BI353" s="2287"/>
      <c r="BJ353" s="2468"/>
      <c r="BK353" s="276"/>
      <c r="BL353" s="109"/>
      <c r="BM353" s="547"/>
      <c r="BN353" s="547"/>
      <c r="BO353" s="109"/>
      <c r="BP353" s="265" t="s">
        <v>1341</v>
      </c>
      <c r="BQ353" s="265"/>
      <c r="BR353" s="982"/>
      <c r="BS353" s="18"/>
    </row>
    <row r="354" spans="2:71" ht="24" customHeight="1">
      <c r="B354" s="4505" t="s">
        <v>2281</v>
      </c>
      <c r="C354" s="4678"/>
      <c r="D354" s="931" t="s">
        <v>1351</v>
      </c>
      <c r="E354" s="931"/>
      <c r="F354" s="119" t="s">
        <v>742</v>
      </c>
      <c r="G354" s="912"/>
      <c r="H354" s="964"/>
      <c r="I354" s="932" t="s">
        <v>2356</v>
      </c>
      <c r="J354" s="963"/>
      <c r="K354" s="122" t="s">
        <v>734</v>
      </c>
      <c r="L354" s="988">
        <v>943</v>
      </c>
      <c r="M354" s="988"/>
      <c r="N354" s="988">
        <v>1135</v>
      </c>
      <c r="O354" s="425"/>
      <c r="P354" s="504"/>
      <c r="Q354" s="988"/>
      <c r="R354" s="988">
        <v>0</v>
      </c>
      <c r="S354" s="5037">
        <v>0</v>
      </c>
      <c r="T354" s="988">
        <v>0</v>
      </c>
      <c r="U354" s="2015">
        <v>0</v>
      </c>
      <c r="V354" s="504"/>
      <c r="W354" s="2094"/>
      <c r="X354" s="5038"/>
      <c r="Y354" s="5039"/>
      <c r="Z354" s="5039"/>
      <c r="AA354" s="5039"/>
      <c r="AB354" s="5040"/>
      <c r="AC354" s="5041"/>
      <c r="AD354" s="5039"/>
      <c r="AE354" s="5039"/>
      <c r="AF354" s="506">
        <v>0</v>
      </c>
      <c r="AG354" s="506">
        <v>167</v>
      </c>
      <c r="AH354" s="506"/>
      <c r="AI354" s="506">
        <v>0</v>
      </c>
      <c r="AJ354" s="506">
        <v>167</v>
      </c>
      <c r="AK354" s="506"/>
      <c r="AL354" s="506">
        <v>0</v>
      </c>
      <c r="AM354" s="506">
        <v>167</v>
      </c>
      <c r="AN354" s="2231"/>
      <c r="AO354" s="2230">
        <v>0</v>
      </c>
      <c r="AP354" s="989">
        <v>0</v>
      </c>
      <c r="AQ354" s="506">
        <v>0</v>
      </c>
      <c r="AR354" s="989">
        <v>0</v>
      </c>
      <c r="AS354" s="2360">
        <v>0</v>
      </c>
      <c r="AT354" s="5042">
        <v>0</v>
      </c>
      <c r="AU354" s="2230">
        <v>564</v>
      </c>
      <c r="AV354" s="989">
        <v>0</v>
      </c>
      <c r="AW354" s="506">
        <v>577</v>
      </c>
      <c r="AX354" s="989">
        <v>0</v>
      </c>
      <c r="AY354" s="2231"/>
      <c r="AZ354" s="2230">
        <v>379</v>
      </c>
      <c r="BA354" s="989">
        <v>0</v>
      </c>
      <c r="BB354" s="506">
        <v>391</v>
      </c>
      <c r="BC354" s="989">
        <v>0</v>
      </c>
      <c r="BD354" s="2231"/>
      <c r="BE354" s="2230"/>
      <c r="BF354" s="989"/>
      <c r="BG354" s="506"/>
      <c r="BH354" s="989"/>
      <c r="BI354" s="2231"/>
      <c r="BJ354" s="1052"/>
      <c r="BK354" s="714"/>
      <c r="BL354" s="109"/>
      <c r="BM354" s="547"/>
      <c r="BN354" s="547"/>
      <c r="BO354" s="109"/>
      <c r="BP354" s="265" t="s">
        <v>1341</v>
      </c>
      <c r="BQ354" s="265"/>
      <c r="BR354" s="982"/>
      <c r="BS354" s="18"/>
    </row>
    <row r="355" spans="2:71" ht="24" customHeight="1">
      <c r="B355" s="4505" t="s">
        <v>2281</v>
      </c>
      <c r="C355" s="4669" t="s">
        <v>1352</v>
      </c>
      <c r="D355" s="924"/>
      <c r="E355" s="924"/>
      <c r="F355" s="119" t="s">
        <v>156</v>
      </c>
      <c r="G355" s="777"/>
      <c r="H355" s="925" t="s">
        <v>1353</v>
      </c>
      <c r="I355" s="925"/>
      <c r="J355" s="994"/>
      <c r="K355" s="122" t="s">
        <v>156</v>
      </c>
      <c r="L355" s="502"/>
      <c r="M355" s="988"/>
      <c r="N355" s="502"/>
      <c r="O355" s="425"/>
      <c r="P355" s="504"/>
      <c r="Q355" s="988"/>
      <c r="R355" s="502"/>
      <c r="S355" s="1904" t="s">
        <v>1780</v>
      </c>
      <c r="T355" s="562"/>
      <c r="U355" s="1771" t="s">
        <v>1780</v>
      </c>
      <c r="V355" s="504"/>
      <c r="W355" s="2094"/>
      <c r="X355" s="2230"/>
      <c r="Y355" s="989"/>
      <c r="Z355" s="506"/>
      <c r="AA355" s="989"/>
      <c r="AB355" s="2231"/>
      <c r="AC355" s="2123"/>
      <c r="AD355" s="506"/>
      <c r="AE355" s="506"/>
      <c r="AF355" s="506"/>
      <c r="AG355" s="506"/>
      <c r="AH355" s="506"/>
      <c r="AI355" s="506"/>
      <c r="AJ355" s="506"/>
      <c r="AK355" s="506"/>
      <c r="AL355" s="506"/>
      <c r="AM355" s="506"/>
      <c r="AN355" s="2231"/>
      <c r="AO355" s="2230" t="s">
        <v>2513</v>
      </c>
      <c r="AP355" s="989"/>
      <c r="AQ355" s="506" t="s">
        <v>2513</v>
      </c>
      <c r="AR355" s="989"/>
      <c r="AS355" s="2360" t="s">
        <v>2513</v>
      </c>
      <c r="AT355" s="5042"/>
      <c r="AU355" s="2230"/>
      <c r="AV355" s="989"/>
      <c r="AW355" s="506"/>
      <c r="AX355" s="989"/>
      <c r="AY355" s="2231"/>
      <c r="AZ355" s="2230"/>
      <c r="BA355" s="989"/>
      <c r="BB355" s="506"/>
      <c r="BC355" s="989"/>
      <c r="BD355" s="2231"/>
      <c r="BE355" s="2230"/>
      <c r="BF355" s="989"/>
      <c r="BG355" s="506"/>
      <c r="BH355" s="989"/>
      <c r="BI355" s="2231"/>
      <c r="BJ355" s="1052" t="s">
        <v>1354</v>
      </c>
      <c r="BK355" s="714" t="s">
        <v>1355</v>
      </c>
      <c r="BL355" s="109"/>
      <c r="BM355" s="547"/>
      <c r="BN355" s="547"/>
      <c r="BO355" s="299" t="s">
        <v>193</v>
      </c>
      <c r="BP355" s="277" t="s">
        <v>1357</v>
      </c>
      <c r="BQ355" s="265"/>
      <c r="BR355" s="982"/>
      <c r="BS355" s="18"/>
    </row>
    <row r="356" spans="2:71" ht="24" customHeight="1">
      <c r="B356" s="4505" t="s">
        <v>2281</v>
      </c>
      <c r="C356" s="1935"/>
      <c r="D356" s="995" t="s">
        <v>1358</v>
      </c>
      <c r="E356" s="926"/>
      <c r="F356" s="119" t="s">
        <v>1011</v>
      </c>
      <c r="G356" s="905"/>
      <c r="H356" s="963"/>
      <c r="I356" s="932" t="s">
        <v>1359</v>
      </c>
      <c r="J356" s="963"/>
      <c r="K356" s="122" t="s">
        <v>1013</v>
      </c>
      <c r="L356" s="502"/>
      <c r="M356" s="988"/>
      <c r="N356" s="502"/>
      <c r="O356" s="425"/>
      <c r="P356" s="504"/>
      <c r="Q356" s="988"/>
      <c r="R356" s="502"/>
      <c r="S356" s="5037"/>
      <c r="T356" s="502"/>
      <c r="U356" s="2015"/>
      <c r="V356" s="504"/>
      <c r="W356" s="2094"/>
      <c r="X356" s="2230"/>
      <c r="Y356" s="989"/>
      <c r="Z356" s="506"/>
      <c r="AA356" s="989"/>
      <c r="AB356" s="2231"/>
      <c r="AC356" s="2123"/>
      <c r="AD356" s="506"/>
      <c r="AE356" s="506"/>
      <c r="AF356" s="506"/>
      <c r="AG356" s="506"/>
      <c r="AH356" s="506"/>
      <c r="AI356" s="506"/>
      <c r="AJ356" s="506"/>
      <c r="AK356" s="506"/>
      <c r="AL356" s="506"/>
      <c r="AM356" s="506"/>
      <c r="AN356" s="2231"/>
      <c r="AO356" s="2230"/>
      <c r="AP356" s="989"/>
      <c r="AQ356" s="506"/>
      <c r="AR356" s="989"/>
      <c r="AS356" s="2360"/>
      <c r="AT356" s="5042"/>
      <c r="AU356" s="2230"/>
      <c r="AV356" s="989"/>
      <c r="AW356" s="506"/>
      <c r="AX356" s="989"/>
      <c r="AY356" s="2231"/>
      <c r="AZ356" s="2230"/>
      <c r="BA356" s="989"/>
      <c r="BB356" s="506"/>
      <c r="BC356" s="989"/>
      <c r="BD356" s="2231"/>
      <c r="BE356" s="2230"/>
      <c r="BF356" s="989"/>
      <c r="BG356" s="506"/>
      <c r="BH356" s="989"/>
      <c r="BI356" s="2231"/>
      <c r="BJ356" s="1052"/>
      <c r="BK356" s="714"/>
      <c r="BL356" s="109"/>
      <c r="BM356" s="547"/>
      <c r="BN356" s="547"/>
      <c r="BO356" s="299" t="s">
        <v>193</v>
      </c>
      <c r="BP356" s="277" t="s">
        <v>1357</v>
      </c>
      <c r="BQ356" s="265"/>
      <c r="BR356" s="982"/>
      <c r="BS356" s="18"/>
    </row>
    <row r="357" spans="2:71" ht="24" customHeight="1">
      <c r="B357" s="4505" t="s">
        <v>2281</v>
      </c>
      <c r="C357" s="4678"/>
      <c r="D357" s="936" t="s">
        <v>1360</v>
      </c>
      <c r="E357" s="924"/>
      <c r="F357" s="119" t="s">
        <v>1011</v>
      </c>
      <c r="G357" s="912"/>
      <c r="H357" s="964"/>
      <c r="I357" s="932" t="s">
        <v>1361</v>
      </c>
      <c r="J357" s="963"/>
      <c r="K357" s="122" t="s">
        <v>1013</v>
      </c>
      <c r="L357" s="502"/>
      <c r="M357" s="988"/>
      <c r="N357" s="502"/>
      <c r="O357" s="425"/>
      <c r="P357" s="504"/>
      <c r="Q357" s="988"/>
      <c r="R357" s="502"/>
      <c r="S357" s="5037"/>
      <c r="T357" s="502"/>
      <c r="U357" s="2015"/>
      <c r="V357" s="504"/>
      <c r="W357" s="2094"/>
      <c r="X357" s="2230"/>
      <c r="Y357" s="989"/>
      <c r="Z357" s="506"/>
      <c r="AA357" s="989"/>
      <c r="AB357" s="2231"/>
      <c r="AC357" s="2123"/>
      <c r="AD357" s="506"/>
      <c r="AE357" s="506"/>
      <c r="AF357" s="506"/>
      <c r="AG357" s="506"/>
      <c r="AH357" s="506"/>
      <c r="AI357" s="506"/>
      <c r="AJ357" s="506"/>
      <c r="AK357" s="506"/>
      <c r="AL357" s="506"/>
      <c r="AM357" s="506"/>
      <c r="AN357" s="2231"/>
      <c r="AO357" s="2230"/>
      <c r="AP357" s="989"/>
      <c r="AQ357" s="506"/>
      <c r="AR357" s="989"/>
      <c r="AS357" s="2360"/>
      <c r="AT357" s="5042"/>
      <c r="AU357" s="2230"/>
      <c r="AV357" s="989"/>
      <c r="AW357" s="506"/>
      <c r="AX357" s="989"/>
      <c r="AY357" s="2231"/>
      <c r="AZ357" s="2230"/>
      <c r="BA357" s="989"/>
      <c r="BB357" s="506"/>
      <c r="BC357" s="989"/>
      <c r="BD357" s="2231"/>
      <c r="BE357" s="2230"/>
      <c r="BF357" s="989"/>
      <c r="BG357" s="506"/>
      <c r="BH357" s="989"/>
      <c r="BI357" s="2231"/>
      <c r="BJ357" s="1052"/>
      <c r="BK357" s="714"/>
      <c r="BL357" s="109"/>
      <c r="BM357" s="547"/>
      <c r="BN357" s="547"/>
      <c r="BO357" s="299" t="s">
        <v>193</v>
      </c>
      <c r="BP357" s="277" t="s">
        <v>1357</v>
      </c>
      <c r="BQ357" s="265"/>
      <c r="BR357" s="982"/>
      <c r="BS357" s="18"/>
    </row>
    <row r="358" spans="2:71" ht="24" customHeight="1">
      <c r="B358" s="4505" t="s">
        <v>2281</v>
      </c>
      <c r="C358" s="4669" t="s">
        <v>1362</v>
      </c>
      <c r="D358" s="924"/>
      <c r="E358" s="924"/>
      <c r="F358" s="119" t="s">
        <v>156</v>
      </c>
      <c r="G358" s="777"/>
      <c r="H358" s="925" t="s">
        <v>1363</v>
      </c>
      <c r="I358" s="925"/>
      <c r="J358" s="994"/>
      <c r="K358" s="122" t="s">
        <v>156</v>
      </c>
      <c r="L358" s="502"/>
      <c r="M358" s="988"/>
      <c r="N358" s="502"/>
      <c r="O358" s="425"/>
      <c r="P358" s="504"/>
      <c r="Q358" s="988"/>
      <c r="R358" s="502"/>
      <c r="S358" s="5037"/>
      <c r="T358" s="502"/>
      <c r="U358" s="2015"/>
      <c r="V358" s="504"/>
      <c r="W358" s="2094"/>
      <c r="X358" s="2230"/>
      <c r="Y358" s="989"/>
      <c r="Z358" s="506"/>
      <c r="AA358" s="989"/>
      <c r="AB358" s="2231"/>
      <c r="AC358" s="2123"/>
      <c r="AD358" s="506"/>
      <c r="AE358" s="506"/>
      <c r="AF358" s="506"/>
      <c r="AG358" s="506"/>
      <c r="AH358" s="506"/>
      <c r="AI358" s="506"/>
      <c r="AJ358" s="506"/>
      <c r="AK358" s="506"/>
      <c r="AL358" s="506"/>
      <c r="AM358" s="506"/>
      <c r="AN358" s="2231"/>
      <c r="AO358" s="2230" t="s">
        <v>2513</v>
      </c>
      <c r="AP358" s="989"/>
      <c r="AQ358" s="506" t="s">
        <v>2513</v>
      </c>
      <c r="AR358" s="989"/>
      <c r="AS358" s="2360" t="s">
        <v>2513</v>
      </c>
      <c r="AT358" s="5042"/>
      <c r="AU358" s="2230"/>
      <c r="AV358" s="989"/>
      <c r="AW358" s="506"/>
      <c r="AX358" s="989"/>
      <c r="AY358" s="2231"/>
      <c r="AZ358" s="2230"/>
      <c r="BA358" s="989"/>
      <c r="BB358" s="506"/>
      <c r="BC358" s="989"/>
      <c r="BD358" s="2231"/>
      <c r="BE358" s="2230"/>
      <c r="BF358" s="989"/>
      <c r="BG358" s="506"/>
      <c r="BH358" s="989"/>
      <c r="BI358" s="2231"/>
      <c r="BJ358" s="1052" t="s">
        <v>1364</v>
      </c>
      <c r="BK358" s="714" t="s">
        <v>1365</v>
      </c>
      <c r="BL358" s="109"/>
      <c r="BM358" s="547"/>
      <c r="BN358" s="547"/>
      <c r="BO358" s="299" t="s">
        <v>193</v>
      </c>
      <c r="BP358" s="277" t="s">
        <v>1366</v>
      </c>
      <c r="BQ358" s="265"/>
      <c r="BR358" s="982"/>
      <c r="BS358" s="18"/>
    </row>
    <row r="359" spans="2:71" ht="24" customHeight="1">
      <c r="B359" s="4505" t="s">
        <v>2281</v>
      </c>
      <c r="C359" s="1935"/>
      <c r="D359" s="936" t="s">
        <v>1367</v>
      </c>
      <c r="E359" s="924"/>
      <c r="F359" s="119" t="s">
        <v>1011</v>
      </c>
      <c r="G359" s="905"/>
      <c r="H359" s="963"/>
      <c r="I359" s="349" t="s">
        <v>1368</v>
      </c>
      <c r="J359" s="575"/>
      <c r="K359" s="122" t="s">
        <v>1013</v>
      </c>
      <c r="L359" s="502"/>
      <c r="M359" s="988"/>
      <c r="N359" s="502"/>
      <c r="O359" s="425"/>
      <c r="P359" s="504"/>
      <c r="Q359" s="988"/>
      <c r="R359" s="502"/>
      <c r="S359" s="5037"/>
      <c r="T359" s="502"/>
      <c r="U359" s="2015"/>
      <c r="V359" s="504"/>
      <c r="W359" s="2094"/>
      <c r="X359" s="2230"/>
      <c r="Y359" s="989"/>
      <c r="Z359" s="506"/>
      <c r="AA359" s="989"/>
      <c r="AB359" s="2231"/>
      <c r="AC359" s="2123"/>
      <c r="AD359" s="506"/>
      <c r="AE359" s="506"/>
      <c r="AF359" s="506"/>
      <c r="AG359" s="506"/>
      <c r="AH359" s="506"/>
      <c r="AI359" s="506"/>
      <c r="AJ359" s="506"/>
      <c r="AK359" s="506"/>
      <c r="AL359" s="506"/>
      <c r="AM359" s="506"/>
      <c r="AN359" s="2231"/>
      <c r="AO359" s="2230"/>
      <c r="AP359" s="989"/>
      <c r="AQ359" s="506"/>
      <c r="AR359" s="989"/>
      <c r="AS359" s="2360"/>
      <c r="AT359" s="5042"/>
      <c r="AU359" s="2230"/>
      <c r="AV359" s="989"/>
      <c r="AW359" s="506"/>
      <c r="AX359" s="989"/>
      <c r="AY359" s="2231"/>
      <c r="AZ359" s="2230"/>
      <c r="BA359" s="989"/>
      <c r="BB359" s="506"/>
      <c r="BC359" s="989"/>
      <c r="BD359" s="2231"/>
      <c r="BE359" s="2230"/>
      <c r="BF359" s="989"/>
      <c r="BG359" s="506"/>
      <c r="BH359" s="989"/>
      <c r="BI359" s="2231"/>
      <c r="BJ359" s="1052"/>
      <c r="BK359" s="714"/>
      <c r="BL359" s="109"/>
      <c r="BM359" s="547"/>
      <c r="BN359" s="547"/>
      <c r="BO359" s="299" t="s">
        <v>193</v>
      </c>
      <c r="BP359" s="277" t="s">
        <v>1366</v>
      </c>
      <c r="BQ359" s="265"/>
      <c r="BR359" s="982"/>
      <c r="BS359" s="18"/>
    </row>
    <row r="360" spans="2:71" ht="24" customHeight="1">
      <c r="B360" s="4505" t="s">
        <v>2281</v>
      </c>
      <c r="C360" s="4678"/>
      <c r="D360" s="936" t="s">
        <v>1369</v>
      </c>
      <c r="E360" s="924"/>
      <c r="F360" s="119" t="s">
        <v>1011</v>
      </c>
      <c r="G360" s="912"/>
      <c r="H360" s="964"/>
      <c r="I360" s="349" t="s">
        <v>1862</v>
      </c>
      <c r="J360" s="575"/>
      <c r="K360" s="122" t="s">
        <v>1013</v>
      </c>
      <c r="L360" s="502"/>
      <c r="M360" s="988"/>
      <c r="N360" s="502"/>
      <c r="O360" s="425"/>
      <c r="P360" s="504"/>
      <c r="Q360" s="988"/>
      <c r="R360" s="502"/>
      <c r="S360" s="5037"/>
      <c r="T360" s="502"/>
      <c r="U360" s="2015"/>
      <c r="V360" s="504"/>
      <c r="W360" s="2094"/>
      <c r="X360" s="2230"/>
      <c r="Y360" s="989"/>
      <c r="Z360" s="506"/>
      <c r="AA360" s="989"/>
      <c r="AB360" s="2231"/>
      <c r="AC360" s="2123"/>
      <c r="AD360" s="506"/>
      <c r="AE360" s="506"/>
      <c r="AF360" s="506"/>
      <c r="AG360" s="506"/>
      <c r="AH360" s="506"/>
      <c r="AI360" s="506"/>
      <c r="AJ360" s="506"/>
      <c r="AK360" s="506"/>
      <c r="AL360" s="506"/>
      <c r="AM360" s="506"/>
      <c r="AN360" s="2231"/>
      <c r="AO360" s="2230"/>
      <c r="AP360" s="989"/>
      <c r="AQ360" s="506"/>
      <c r="AR360" s="989"/>
      <c r="AS360" s="2360"/>
      <c r="AT360" s="5042"/>
      <c r="AU360" s="2230"/>
      <c r="AV360" s="989"/>
      <c r="AW360" s="506"/>
      <c r="AX360" s="989"/>
      <c r="AY360" s="2231"/>
      <c r="AZ360" s="2230"/>
      <c r="BA360" s="989"/>
      <c r="BB360" s="506"/>
      <c r="BC360" s="989"/>
      <c r="BD360" s="2231"/>
      <c r="BE360" s="2230"/>
      <c r="BF360" s="989"/>
      <c r="BG360" s="506"/>
      <c r="BH360" s="989"/>
      <c r="BI360" s="2231"/>
      <c r="BJ360" s="1052"/>
      <c r="BK360" s="714"/>
      <c r="BL360" s="109"/>
      <c r="BM360" s="547"/>
      <c r="BN360" s="547"/>
      <c r="BO360" s="299" t="s">
        <v>193</v>
      </c>
      <c r="BP360" s="896" t="s">
        <v>1366</v>
      </c>
      <c r="BQ360" s="265"/>
      <c r="BR360" s="982"/>
      <c r="BS360" s="18"/>
    </row>
    <row r="361" spans="2:71" ht="24" customHeight="1">
      <c r="B361" s="4505" t="s">
        <v>2281</v>
      </c>
      <c r="C361" s="4681" t="s">
        <v>1371</v>
      </c>
      <c r="D361" s="359"/>
      <c r="E361" s="359"/>
      <c r="F361" s="997" t="s">
        <v>156</v>
      </c>
      <c r="G361" s="358"/>
      <c r="H361" s="998" t="s">
        <v>1372</v>
      </c>
      <c r="I361" s="998"/>
      <c r="J361" s="1069"/>
      <c r="K361" s="122" t="s">
        <v>156</v>
      </c>
      <c r="L361" s="502"/>
      <c r="M361" s="988"/>
      <c r="N361" s="502"/>
      <c r="O361" s="425"/>
      <c r="P361" s="504"/>
      <c r="Q361" s="988"/>
      <c r="R361" s="502"/>
      <c r="S361" s="5037"/>
      <c r="T361" s="502"/>
      <c r="U361" s="2015"/>
      <c r="V361" s="504"/>
      <c r="W361" s="2094"/>
      <c r="X361" s="2230"/>
      <c r="Y361" s="989"/>
      <c r="Z361" s="506"/>
      <c r="AA361" s="989"/>
      <c r="AB361" s="2231"/>
      <c r="AC361" s="2123"/>
      <c r="AD361" s="506"/>
      <c r="AE361" s="506"/>
      <c r="AF361" s="506"/>
      <c r="AG361" s="506"/>
      <c r="AH361" s="506"/>
      <c r="AI361" s="506"/>
      <c r="AJ361" s="506"/>
      <c r="AK361" s="506"/>
      <c r="AL361" s="506"/>
      <c r="AM361" s="506"/>
      <c r="AN361" s="2231"/>
      <c r="AO361" s="2230" t="s">
        <v>2513</v>
      </c>
      <c r="AP361" s="989"/>
      <c r="AQ361" s="506" t="s">
        <v>2513</v>
      </c>
      <c r="AR361" s="989"/>
      <c r="AS361" s="2360" t="s">
        <v>2513</v>
      </c>
      <c r="AT361" s="5042"/>
      <c r="AU361" s="2230"/>
      <c r="AV361" s="989"/>
      <c r="AW361" s="506"/>
      <c r="AX361" s="989"/>
      <c r="AY361" s="2231"/>
      <c r="AZ361" s="2230"/>
      <c r="BA361" s="989"/>
      <c r="BB361" s="506"/>
      <c r="BC361" s="989"/>
      <c r="BD361" s="2231"/>
      <c r="BE361" s="2230"/>
      <c r="BF361" s="989"/>
      <c r="BG361" s="506"/>
      <c r="BH361" s="989"/>
      <c r="BI361" s="2231"/>
      <c r="BJ361" s="1052" t="s">
        <v>1373</v>
      </c>
      <c r="BK361" s="714" t="s">
        <v>1374</v>
      </c>
      <c r="BL361" s="109"/>
      <c r="BM361" s="547"/>
      <c r="BN361" s="547"/>
      <c r="BO361" s="299" t="s">
        <v>193</v>
      </c>
      <c r="BP361" s="896" t="s">
        <v>1375</v>
      </c>
      <c r="BQ361" s="265"/>
      <c r="BR361" s="982"/>
      <c r="BS361" s="18"/>
    </row>
    <row r="362" spans="2:71" ht="24" customHeight="1">
      <c r="B362" s="4505" t="s">
        <v>2281</v>
      </c>
      <c r="C362" s="4632"/>
      <c r="D362" s="787" t="s">
        <v>1863</v>
      </c>
      <c r="E362" s="781"/>
      <c r="F362" s="997" t="s">
        <v>1011</v>
      </c>
      <c r="G362" s="347"/>
      <c r="H362" s="348"/>
      <c r="I362" s="184" t="s">
        <v>1377</v>
      </c>
      <c r="J362" s="287"/>
      <c r="K362" s="122" t="s">
        <v>1013</v>
      </c>
      <c r="L362" s="502"/>
      <c r="M362" s="988"/>
      <c r="N362" s="502"/>
      <c r="O362" s="425"/>
      <c r="P362" s="504"/>
      <c r="Q362" s="988"/>
      <c r="R362" s="502"/>
      <c r="S362" s="5037"/>
      <c r="T362" s="502"/>
      <c r="U362" s="2015"/>
      <c r="V362" s="504"/>
      <c r="W362" s="2094"/>
      <c r="X362" s="2230"/>
      <c r="Y362" s="989"/>
      <c r="Z362" s="506"/>
      <c r="AA362" s="989"/>
      <c r="AB362" s="2231"/>
      <c r="AC362" s="2123"/>
      <c r="AD362" s="506"/>
      <c r="AE362" s="506"/>
      <c r="AF362" s="506"/>
      <c r="AG362" s="506"/>
      <c r="AH362" s="506"/>
      <c r="AI362" s="506"/>
      <c r="AJ362" s="506"/>
      <c r="AK362" s="506"/>
      <c r="AL362" s="506"/>
      <c r="AM362" s="506"/>
      <c r="AN362" s="2231"/>
      <c r="AO362" s="2230"/>
      <c r="AP362" s="989"/>
      <c r="AQ362" s="506"/>
      <c r="AR362" s="989"/>
      <c r="AS362" s="2360"/>
      <c r="AT362" s="5042"/>
      <c r="AU362" s="2230"/>
      <c r="AV362" s="989"/>
      <c r="AW362" s="506"/>
      <c r="AX362" s="989"/>
      <c r="AY362" s="2231"/>
      <c r="AZ362" s="2230"/>
      <c r="BA362" s="989"/>
      <c r="BB362" s="506"/>
      <c r="BC362" s="989"/>
      <c r="BD362" s="2231"/>
      <c r="BE362" s="2230"/>
      <c r="BF362" s="989"/>
      <c r="BG362" s="506"/>
      <c r="BH362" s="989"/>
      <c r="BI362" s="2231"/>
      <c r="BJ362" s="1052"/>
      <c r="BK362" s="714"/>
      <c r="BL362" s="109"/>
      <c r="BM362" s="547"/>
      <c r="BN362" s="547"/>
      <c r="BO362" s="299" t="s">
        <v>193</v>
      </c>
      <c r="BP362" s="896" t="s">
        <v>1375</v>
      </c>
      <c r="BQ362" s="265"/>
      <c r="BR362" s="982"/>
      <c r="BS362" s="18"/>
    </row>
    <row r="363" spans="2:71" ht="24" customHeight="1">
      <c r="B363" s="4505" t="s">
        <v>2281</v>
      </c>
      <c r="C363" s="4634"/>
      <c r="D363" s="787" t="s">
        <v>1864</v>
      </c>
      <c r="E363" s="781"/>
      <c r="F363" s="997" t="s">
        <v>1011</v>
      </c>
      <c r="G363" s="384"/>
      <c r="H363" s="385"/>
      <c r="I363" s="184" t="s">
        <v>1862</v>
      </c>
      <c r="J363" s="287"/>
      <c r="K363" s="122" t="s">
        <v>1013</v>
      </c>
      <c r="L363" s="502"/>
      <c r="M363" s="988"/>
      <c r="N363" s="502"/>
      <c r="O363" s="425"/>
      <c r="P363" s="504"/>
      <c r="Q363" s="988"/>
      <c r="R363" s="502"/>
      <c r="S363" s="5037"/>
      <c r="T363" s="502"/>
      <c r="U363" s="2015"/>
      <c r="V363" s="504"/>
      <c r="W363" s="2094"/>
      <c r="X363" s="2230"/>
      <c r="Y363" s="989"/>
      <c r="Z363" s="506"/>
      <c r="AA363" s="989"/>
      <c r="AB363" s="2231"/>
      <c r="AC363" s="2123"/>
      <c r="AD363" s="506"/>
      <c r="AE363" s="506"/>
      <c r="AF363" s="506"/>
      <c r="AG363" s="506"/>
      <c r="AH363" s="506"/>
      <c r="AI363" s="506"/>
      <c r="AJ363" s="506"/>
      <c r="AK363" s="506"/>
      <c r="AL363" s="506"/>
      <c r="AM363" s="506"/>
      <c r="AN363" s="2231"/>
      <c r="AO363" s="2230"/>
      <c r="AP363" s="989"/>
      <c r="AQ363" s="506"/>
      <c r="AR363" s="989"/>
      <c r="AS363" s="2360"/>
      <c r="AT363" s="5042"/>
      <c r="AU363" s="2230"/>
      <c r="AV363" s="989"/>
      <c r="AW363" s="506"/>
      <c r="AX363" s="989"/>
      <c r="AY363" s="2231"/>
      <c r="AZ363" s="2230"/>
      <c r="BA363" s="989"/>
      <c r="BB363" s="506"/>
      <c r="BC363" s="989"/>
      <c r="BD363" s="2231"/>
      <c r="BE363" s="2230"/>
      <c r="BF363" s="989"/>
      <c r="BG363" s="506"/>
      <c r="BH363" s="989"/>
      <c r="BI363" s="2231"/>
      <c r="BJ363" s="1052"/>
      <c r="BK363" s="714"/>
      <c r="BL363" s="109"/>
      <c r="BM363" s="547"/>
      <c r="BN363" s="547"/>
      <c r="BO363" s="299" t="s">
        <v>193</v>
      </c>
      <c r="BP363" s="896" t="s">
        <v>1375</v>
      </c>
      <c r="BQ363" s="265"/>
      <c r="BR363" s="982"/>
      <c r="BS363" s="18"/>
    </row>
    <row r="364" spans="2:71" ht="24" customHeight="1">
      <c r="B364" s="4505" t="s">
        <v>2281</v>
      </c>
      <c r="C364" s="4681" t="s">
        <v>1378</v>
      </c>
      <c r="D364" s="359"/>
      <c r="E364" s="359"/>
      <c r="F364" s="997" t="s">
        <v>156</v>
      </c>
      <c r="G364" s="358"/>
      <c r="H364" s="359" t="s">
        <v>1379</v>
      </c>
      <c r="I364" s="359"/>
      <c r="J364" s="348"/>
      <c r="K364" s="165" t="s">
        <v>156</v>
      </c>
      <c r="L364" s="502"/>
      <c r="M364" s="988"/>
      <c r="N364" s="502"/>
      <c r="O364" s="425"/>
      <c r="P364" s="504"/>
      <c r="Q364" s="988"/>
      <c r="R364" s="502"/>
      <c r="S364" s="5037"/>
      <c r="T364" s="502"/>
      <c r="U364" s="2015"/>
      <c r="V364" s="504"/>
      <c r="W364" s="2094"/>
      <c r="X364" s="2230"/>
      <c r="Y364" s="989"/>
      <c r="Z364" s="506"/>
      <c r="AA364" s="989"/>
      <c r="AB364" s="2231"/>
      <c r="AC364" s="2123"/>
      <c r="AD364" s="506"/>
      <c r="AE364" s="506"/>
      <c r="AF364" s="506"/>
      <c r="AG364" s="506"/>
      <c r="AH364" s="506"/>
      <c r="AI364" s="506"/>
      <c r="AJ364" s="506"/>
      <c r="AK364" s="506"/>
      <c r="AL364" s="506"/>
      <c r="AM364" s="506"/>
      <c r="AN364" s="2231"/>
      <c r="AO364" s="2230" t="s">
        <v>2513</v>
      </c>
      <c r="AP364" s="989"/>
      <c r="AQ364" s="506" t="s">
        <v>2513</v>
      </c>
      <c r="AR364" s="989"/>
      <c r="AS364" s="2360" t="s">
        <v>2513</v>
      </c>
      <c r="AT364" s="5042"/>
      <c r="AU364" s="2230"/>
      <c r="AV364" s="989"/>
      <c r="AW364" s="506"/>
      <c r="AX364" s="989"/>
      <c r="AY364" s="2231"/>
      <c r="AZ364" s="2230"/>
      <c r="BA364" s="989"/>
      <c r="BB364" s="506"/>
      <c r="BC364" s="989"/>
      <c r="BD364" s="2231"/>
      <c r="BE364" s="2230"/>
      <c r="BF364" s="989"/>
      <c r="BG364" s="506"/>
      <c r="BH364" s="989"/>
      <c r="BI364" s="2231"/>
      <c r="BJ364" s="1052" t="s">
        <v>1380</v>
      </c>
      <c r="BK364" s="714" t="s">
        <v>1381</v>
      </c>
      <c r="BL364" s="109"/>
      <c r="BM364" s="547"/>
      <c r="BN364" s="547"/>
      <c r="BO364" s="299" t="s">
        <v>193</v>
      </c>
      <c r="BP364" s="896" t="s">
        <v>1375</v>
      </c>
      <c r="BQ364" s="265"/>
      <c r="BR364" s="982"/>
      <c r="BS364" s="18"/>
    </row>
    <row r="365" spans="2:71" ht="24" customHeight="1">
      <c r="B365" s="4505" t="s">
        <v>2281</v>
      </c>
      <c r="C365" s="4632"/>
      <c r="D365" s="787" t="s">
        <v>1382</v>
      </c>
      <c r="E365" s="781"/>
      <c r="F365" s="997" t="s">
        <v>1011</v>
      </c>
      <c r="G365" s="347"/>
      <c r="H365" s="348"/>
      <c r="I365" s="184" t="s">
        <v>1383</v>
      </c>
      <c r="J365" s="287"/>
      <c r="K365" s="122" t="s">
        <v>1013</v>
      </c>
      <c r="L365" s="502"/>
      <c r="M365" s="988"/>
      <c r="N365" s="502"/>
      <c r="O365" s="425"/>
      <c r="P365" s="504"/>
      <c r="Q365" s="988"/>
      <c r="R365" s="502"/>
      <c r="S365" s="5037"/>
      <c r="T365" s="502"/>
      <c r="U365" s="2015"/>
      <c r="V365" s="504"/>
      <c r="W365" s="2094"/>
      <c r="X365" s="2230"/>
      <c r="Y365" s="989"/>
      <c r="Z365" s="506"/>
      <c r="AA365" s="989"/>
      <c r="AB365" s="2231"/>
      <c r="AC365" s="2123"/>
      <c r="AD365" s="506"/>
      <c r="AE365" s="506"/>
      <c r="AF365" s="506"/>
      <c r="AG365" s="506"/>
      <c r="AH365" s="506"/>
      <c r="AI365" s="506"/>
      <c r="AJ365" s="506"/>
      <c r="AK365" s="506"/>
      <c r="AL365" s="506"/>
      <c r="AM365" s="506"/>
      <c r="AN365" s="2231"/>
      <c r="AO365" s="2230"/>
      <c r="AP365" s="989"/>
      <c r="AQ365" s="506"/>
      <c r="AR365" s="989"/>
      <c r="AS365" s="2360"/>
      <c r="AT365" s="5042"/>
      <c r="AU365" s="2230"/>
      <c r="AV365" s="989"/>
      <c r="AW365" s="506"/>
      <c r="AX365" s="989"/>
      <c r="AY365" s="2231"/>
      <c r="AZ365" s="2230"/>
      <c r="BA365" s="989"/>
      <c r="BB365" s="506"/>
      <c r="BC365" s="989"/>
      <c r="BD365" s="2231"/>
      <c r="BE365" s="2230"/>
      <c r="BF365" s="989"/>
      <c r="BG365" s="506"/>
      <c r="BH365" s="989"/>
      <c r="BI365" s="2231"/>
      <c r="BJ365" s="1052"/>
      <c r="BK365" s="714"/>
      <c r="BL365" s="109"/>
      <c r="BM365" s="547"/>
      <c r="BN365" s="547"/>
      <c r="BO365" s="299" t="s">
        <v>193</v>
      </c>
      <c r="BP365" s="896" t="s">
        <v>1375</v>
      </c>
      <c r="BQ365" s="265"/>
      <c r="BR365" s="982"/>
      <c r="BS365" s="18"/>
    </row>
    <row r="366" spans="2:71" ht="24" customHeight="1">
      <c r="B366" s="4505" t="s">
        <v>2281</v>
      </c>
      <c r="C366" s="4634"/>
      <c r="D366" s="787" t="s">
        <v>1384</v>
      </c>
      <c r="F366" s="997" t="s">
        <v>1011</v>
      </c>
      <c r="G366" s="384"/>
      <c r="H366" s="385"/>
      <c r="I366" s="1000" t="s">
        <v>1865</v>
      </c>
      <c r="J366" s="643"/>
      <c r="K366" s="109" t="s">
        <v>1013</v>
      </c>
      <c r="L366" s="1001"/>
      <c r="M366" s="988"/>
      <c r="N366" s="1001"/>
      <c r="O366" s="425"/>
      <c r="P366" s="504"/>
      <c r="Q366" s="988"/>
      <c r="R366" s="1001"/>
      <c r="S366" s="5037"/>
      <c r="T366" s="1001"/>
      <c r="U366" s="2015"/>
      <c r="V366" s="504"/>
      <c r="W366" s="2094"/>
      <c r="X366" s="2230"/>
      <c r="Y366" s="989"/>
      <c r="Z366" s="506"/>
      <c r="AA366" s="989"/>
      <c r="AB366" s="2231"/>
      <c r="AC366" s="2123"/>
      <c r="AD366" s="506"/>
      <c r="AE366" s="506"/>
      <c r="AF366" s="506"/>
      <c r="AG366" s="506"/>
      <c r="AH366" s="506"/>
      <c r="AI366" s="506"/>
      <c r="AJ366" s="506"/>
      <c r="AK366" s="506"/>
      <c r="AL366" s="506"/>
      <c r="AM366" s="506"/>
      <c r="AN366" s="2231"/>
      <c r="AO366" s="2230"/>
      <c r="AP366" s="989"/>
      <c r="AQ366" s="506"/>
      <c r="AR366" s="989"/>
      <c r="AS366" s="2360"/>
      <c r="AT366" s="5042"/>
      <c r="AU366" s="2230"/>
      <c r="AV366" s="989"/>
      <c r="AW366" s="506"/>
      <c r="AX366" s="989"/>
      <c r="AY366" s="2231"/>
      <c r="AZ366" s="2230"/>
      <c r="BA366" s="989"/>
      <c r="BB366" s="506"/>
      <c r="BC366" s="989"/>
      <c r="BD366" s="2231"/>
      <c r="BE366" s="2230"/>
      <c r="BF366" s="989"/>
      <c r="BG366" s="506"/>
      <c r="BH366" s="989"/>
      <c r="BI366" s="2231"/>
      <c r="BJ366" s="2468"/>
      <c r="BL366" s="109"/>
      <c r="BM366" s="547"/>
      <c r="BN366" s="547"/>
      <c r="BO366" s="299" t="s">
        <v>193</v>
      </c>
      <c r="BP366" s="277" t="s">
        <v>1375</v>
      </c>
      <c r="BQ366" s="265"/>
      <c r="BR366" s="982"/>
      <c r="BS366" s="18"/>
    </row>
    <row r="367" spans="2:71" ht="24" customHeight="1">
      <c r="B367" s="4505" t="s">
        <v>2281</v>
      </c>
      <c r="C367" s="4619" t="s">
        <v>1386</v>
      </c>
      <c r="D367" s="781"/>
      <c r="E367" s="781"/>
      <c r="F367" s="997" t="s">
        <v>557</v>
      </c>
      <c r="G367" s="386"/>
      <c r="H367" s="140" t="s">
        <v>1866</v>
      </c>
      <c r="I367" s="140"/>
      <c r="J367" s="287"/>
      <c r="K367" s="122" t="s">
        <v>559</v>
      </c>
      <c r="L367" s="502"/>
      <c r="M367" s="988"/>
      <c r="N367" s="502"/>
      <c r="O367" s="425"/>
      <c r="P367" s="504"/>
      <c r="Q367" s="988"/>
      <c r="R367" s="502"/>
      <c r="S367" s="5037"/>
      <c r="T367" s="502"/>
      <c r="U367" s="2015"/>
      <c r="V367" s="504"/>
      <c r="W367" s="2094"/>
      <c r="X367" s="2230"/>
      <c r="Y367" s="989"/>
      <c r="Z367" s="506"/>
      <c r="AA367" s="989"/>
      <c r="AB367" s="2231"/>
      <c r="AC367" s="2123"/>
      <c r="AD367" s="506"/>
      <c r="AE367" s="506"/>
      <c r="AF367" s="506"/>
      <c r="AG367" s="506"/>
      <c r="AH367" s="506"/>
      <c r="AI367" s="506"/>
      <c r="AJ367" s="506"/>
      <c r="AK367" s="506"/>
      <c r="AL367" s="506"/>
      <c r="AM367" s="506"/>
      <c r="AN367" s="2231"/>
      <c r="AO367" s="2230" t="s">
        <v>2513</v>
      </c>
      <c r="AP367" s="989"/>
      <c r="AQ367" s="506" t="s">
        <v>2513</v>
      </c>
      <c r="AR367" s="989"/>
      <c r="AS367" s="2360" t="s">
        <v>2513</v>
      </c>
      <c r="AT367" s="5042"/>
      <c r="AU367" s="2230"/>
      <c r="AV367" s="989"/>
      <c r="AW367" s="506"/>
      <c r="AX367" s="989"/>
      <c r="AY367" s="2231"/>
      <c r="AZ367" s="2230"/>
      <c r="BA367" s="989"/>
      <c r="BB367" s="506"/>
      <c r="BC367" s="989"/>
      <c r="BD367" s="2231"/>
      <c r="BE367" s="2230"/>
      <c r="BF367" s="989"/>
      <c r="BG367" s="506"/>
      <c r="BH367" s="989"/>
      <c r="BI367" s="2231"/>
      <c r="BJ367" s="1052" t="s">
        <v>1388</v>
      </c>
      <c r="BK367" s="714" t="s">
        <v>1389</v>
      </c>
      <c r="BL367" s="109"/>
      <c r="BM367" s="547"/>
      <c r="BN367" s="547"/>
      <c r="BO367" s="299" t="s">
        <v>193</v>
      </c>
      <c r="BP367" s="694" t="s">
        <v>1390</v>
      </c>
      <c r="BQ367" s="265"/>
      <c r="BR367" s="982"/>
      <c r="BS367" s="18"/>
    </row>
    <row r="368" spans="2:71" ht="24" customHeight="1" thickBot="1">
      <c r="B368" s="4505" t="s">
        <v>2281</v>
      </c>
      <c r="C368" s="1878" t="s">
        <v>1391</v>
      </c>
      <c r="D368" s="781"/>
      <c r="E368" s="781"/>
      <c r="F368" s="285" t="s">
        <v>156</v>
      </c>
      <c r="G368" s="777"/>
      <c r="H368" s="757" t="s">
        <v>1392</v>
      </c>
      <c r="I368" s="757"/>
      <c r="J368" s="906"/>
      <c r="K368" s="122" t="s">
        <v>156</v>
      </c>
      <c r="L368" s="1003"/>
      <c r="M368" s="381"/>
      <c r="N368" s="1003"/>
      <c r="O368" s="304"/>
      <c r="P368" s="274"/>
      <c r="Q368" s="381"/>
      <c r="R368" s="1003"/>
      <c r="S368" s="5024"/>
      <c r="T368" s="1003"/>
      <c r="U368" s="1999"/>
      <c r="V368" s="274"/>
      <c r="W368" s="2068"/>
      <c r="X368" s="2228"/>
      <c r="Y368" s="382"/>
      <c r="Z368" s="260"/>
      <c r="AA368" s="382"/>
      <c r="AB368" s="2287"/>
      <c r="AC368" s="2109"/>
      <c r="AD368" s="260"/>
      <c r="AE368" s="260"/>
      <c r="AF368" s="260"/>
      <c r="AG368" s="260"/>
      <c r="AH368" s="260"/>
      <c r="AI368" s="260"/>
      <c r="AJ368" s="260"/>
      <c r="AK368" s="260"/>
      <c r="AL368" s="260"/>
      <c r="AM368" s="260"/>
      <c r="AN368" s="2287"/>
      <c r="AO368" s="2228"/>
      <c r="AP368" s="382"/>
      <c r="AQ368" s="260"/>
      <c r="AR368" s="382"/>
      <c r="AS368" s="2372"/>
      <c r="AT368" s="5023"/>
      <c r="AU368" s="2228"/>
      <c r="AV368" s="382"/>
      <c r="AW368" s="260"/>
      <c r="AX368" s="382"/>
      <c r="AY368" s="2287"/>
      <c r="AZ368" s="2228"/>
      <c r="BA368" s="382"/>
      <c r="BB368" s="260"/>
      <c r="BC368" s="382"/>
      <c r="BD368" s="2287"/>
      <c r="BE368" s="2228"/>
      <c r="BF368" s="382"/>
      <c r="BG368" s="260"/>
      <c r="BH368" s="382"/>
      <c r="BI368" s="2287"/>
      <c r="BJ368" s="1052" t="s">
        <v>1393</v>
      </c>
      <c r="BK368" s="714" t="s">
        <v>1394</v>
      </c>
      <c r="BL368" s="109"/>
      <c r="BM368" s="547"/>
      <c r="BN368" s="547"/>
      <c r="BO368" s="299" t="s">
        <v>193</v>
      </c>
      <c r="BP368" s="277" t="s">
        <v>1395</v>
      </c>
      <c r="BQ368" s="265"/>
      <c r="BR368" s="982"/>
      <c r="BS368" s="18"/>
    </row>
    <row r="369" spans="1:72" ht="24" customHeight="1" thickBot="1">
      <c r="B369" s="4505" t="s">
        <v>2281</v>
      </c>
      <c r="C369" s="1709" t="s">
        <v>1396</v>
      </c>
      <c r="D369" s="124"/>
      <c r="E369" s="124"/>
      <c r="F369" s="124"/>
      <c r="G369" s="598" t="s">
        <v>2514</v>
      </c>
      <c r="H369" s="124"/>
      <c r="I369" s="126"/>
      <c r="J369" s="126"/>
      <c r="K369" s="78"/>
      <c r="L369" s="1004"/>
      <c r="M369" s="1004"/>
      <c r="N369" s="1004"/>
      <c r="O369" s="1004"/>
      <c r="P369" s="1004"/>
      <c r="Q369" s="1004"/>
      <c r="R369" s="1004"/>
      <c r="S369" s="1004"/>
      <c r="T369" s="1004"/>
      <c r="U369" s="1004"/>
      <c r="V369" s="1004"/>
      <c r="W369" s="1004"/>
      <c r="X369" s="2290"/>
      <c r="Y369" s="1004"/>
      <c r="Z369" s="1004"/>
      <c r="AA369" s="1004"/>
      <c r="AB369" s="2291"/>
      <c r="AC369" s="1004"/>
      <c r="AD369" s="1004"/>
      <c r="AE369" s="1004"/>
      <c r="AF369" s="1005"/>
      <c r="AG369" s="1005"/>
      <c r="AH369" s="1005"/>
      <c r="AI369" s="1005"/>
      <c r="AJ369" s="1005"/>
      <c r="AK369" s="1005"/>
      <c r="AL369" s="1005"/>
      <c r="AM369" s="1005"/>
      <c r="AN369" s="2432"/>
      <c r="AO369" s="2431"/>
      <c r="AP369" s="1005"/>
      <c r="AQ369" s="1005"/>
      <c r="AR369" s="1005"/>
      <c r="AS369" s="1005"/>
      <c r="AT369" s="5044"/>
      <c r="AU369" s="2431"/>
      <c r="AV369" s="1005"/>
      <c r="AW369" s="1005"/>
      <c r="AX369" s="1005"/>
      <c r="AY369" s="2432"/>
      <c r="AZ369" s="2431"/>
      <c r="BA369" s="1005"/>
      <c r="BB369" s="1005"/>
      <c r="BC369" s="1005"/>
      <c r="BD369" s="2432"/>
      <c r="BE369" s="2431"/>
      <c r="BF369" s="1005"/>
      <c r="BG369" s="1005"/>
      <c r="BH369" s="1005"/>
      <c r="BI369" s="2432"/>
      <c r="BJ369" s="80"/>
      <c r="BK369" s="80"/>
      <c r="BL369" s="129"/>
      <c r="BM369" s="129"/>
      <c r="BN369" s="129"/>
      <c r="BO369" s="129"/>
      <c r="BP369" s="328"/>
      <c r="BQ369" s="328"/>
      <c r="BR369" s="1006"/>
      <c r="BS369" s="18"/>
    </row>
    <row r="370" spans="1:72" ht="24" customHeight="1">
      <c r="B370" s="4682"/>
      <c r="C370" s="86" t="s">
        <v>1398</v>
      </c>
      <c r="D370" s="86"/>
      <c r="E370" s="86"/>
      <c r="F370" s="1007" t="s">
        <v>233</v>
      </c>
      <c r="G370" s="1008"/>
      <c r="H370" s="1009" t="s">
        <v>1399</v>
      </c>
      <c r="I370" s="1009"/>
      <c r="J370" s="1010"/>
      <c r="K370" s="1011" t="s">
        <v>295</v>
      </c>
      <c r="L370" s="1012"/>
      <c r="M370" s="1013"/>
      <c r="N370" s="1012"/>
      <c r="O370" s="1014"/>
      <c r="P370" s="1015"/>
      <c r="Q370" s="1016"/>
      <c r="R370" s="1015"/>
      <c r="S370" s="5045"/>
      <c r="T370" s="1015"/>
      <c r="U370" s="1017"/>
      <c r="V370" s="1015"/>
      <c r="W370" s="2095"/>
      <c r="X370" s="2292"/>
      <c r="Y370" s="1019"/>
      <c r="Z370" s="1018"/>
      <c r="AA370" s="1019"/>
      <c r="AB370" s="2293"/>
      <c r="AC370" s="2142"/>
      <c r="AD370" s="1018"/>
      <c r="AE370" s="1018"/>
      <c r="AF370" s="1018"/>
      <c r="AG370" s="1018"/>
      <c r="AH370" s="1018"/>
      <c r="AI370" s="1018"/>
      <c r="AJ370" s="1018"/>
      <c r="AK370" s="1018"/>
      <c r="AL370" s="1018"/>
      <c r="AM370" s="1018"/>
      <c r="AN370" s="2293"/>
      <c r="AO370" s="2292"/>
      <c r="AP370" s="1019"/>
      <c r="AQ370" s="1018"/>
      <c r="AR370" s="1019"/>
      <c r="AS370" s="5046"/>
      <c r="AT370" s="5047"/>
      <c r="AU370" s="2292"/>
      <c r="AV370" s="1017"/>
      <c r="AW370" s="1018"/>
      <c r="AX370" s="1019"/>
      <c r="AY370" s="2293"/>
      <c r="AZ370" s="2292"/>
      <c r="BA370" s="1020"/>
      <c r="BB370" s="1018"/>
      <c r="BC370" s="1017"/>
      <c r="BD370" s="2293"/>
      <c r="BE370" s="2292"/>
      <c r="BF370" s="1019"/>
      <c r="BG370" s="1018"/>
      <c r="BH370" s="1019"/>
      <c r="BI370" s="2293"/>
      <c r="BJ370" s="1021" t="s">
        <v>1400</v>
      </c>
      <c r="BK370" s="1021" t="s">
        <v>1401</v>
      </c>
      <c r="BL370" s="758"/>
      <c r="BM370" s="534"/>
      <c r="BN370" s="534"/>
      <c r="BO370" s="299" t="s">
        <v>193</v>
      </c>
      <c r="BP370" s="277" t="s">
        <v>1402</v>
      </c>
      <c r="BQ370" s="277"/>
      <c r="BR370" s="982"/>
      <c r="BS370" s="18"/>
    </row>
    <row r="371" spans="1:72" ht="24" customHeight="1">
      <c r="B371" s="4505" t="s">
        <v>2281</v>
      </c>
      <c r="C371" s="4516" t="s">
        <v>1403</v>
      </c>
      <c r="D371" s="1022"/>
      <c r="E371" s="1023"/>
      <c r="F371" s="1007" t="s">
        <v>1404</v>
      </c>
      <c r="G371" s="358"/>
      <c r="H371" s="359" t="s">
        <v>2515</v>
      </c>
      <c r="I371" s="359"/>
      <c r="J371" s="385"/>
      <c r="K371" s="1024" t="s">
        <v>2516</v>
      </c>
      <c r="L371" s="1025">
        <v>500000001.58999997</v>
      </c>
      <c r="M371" s="1026"/>
      <c r="N371" s="1025">
        <v>2.86</v>
      </c>
      <c r="O371" s="1027"/>
      <c r="P371" s="876"/>
      <c r="Q371" s="874"/>
      <c r="R371" s="960">
        <v>1.59</v>
      </c>
      <c r="S371" s="1949">
        <v>0</v>
      </c>
      <c r="T371" s="960">
        <v>2.86</v>
      </c>
      <c r="U371" s="1950">
        <v>0</v>
      </c>
      <c r="V371" s="5048">
        <v>5.07</v>
      </c>
      <c r="W371" s="2089"/>
      <c r="X371" s="2433">
        <v>0</v>
      </c>
      <c r="Y371" s="1029">
        <v>0</v>
      </c>
      <c r="Z371" s="1028">
        <v>0</v>
      </c>
      <c r="AA371" s="1029">
        <v>0</v>
      </c>
      <c r="AB371" s="2434"/>
      <c r="AC371" s="2143">
        <v>0</v>
      </c>
      <c r="AD371" s="1028">
        <v>0</v>
      </c>
      <c r="AE371" s="1028"/>
      <c r="AF371" s="1028">
        <v>0</v>
      </c>
      <c r="AG371" s="1028">
        <v>0</v>
      </c>
      <c r="AH371" s="1028"/>
      <c r="AI371" s="1028">
        <v>0</v>
      </c>
      <c r="AJ371" s="1028">
        <v>0</v>
      </c>
      <c r="AK371" s="1028"/>
      <c r="AL371" s="1028">
        <v>0</v>
      </c>
      <c r="AM371" s="1028">
        <v>0</v>
      </c>
      <c r="AN371" s="2434"/>
      <c r="AO371" s="2433">
        <v>0</v>
      </c>
      <c r="AP371" s="1029">
        <v>0</v>
      </c>
      <c r="AQ371" s="1028">
        <v>0</v>
      </c>
      <c r="AR371" s="1029">
        <v>0</v>
      </c>
      <c r="AS371" s="1028">
        <v>0</v>
      </c>
      <c r="AT371" s="5049">
        <v>0</v>
      </c>
      <c r="AU371" s="2433">
        <v>500000000</v>
      </c>
      <c r="AV371" s="1030" t="s">
        <v>2517</v>
      </c>
      <c r="AW371" s="1028">
        <v>0</v>
      </c>
      <c r="AX371" s="1029">
        <v>0</v>
      </c>
      <c r="AY371" s="2434"/>
      <c r="AZ371" s="2433">
        <v>0</v>
      </c>
      <c r="BA371" s="1031" t="s">
        <v>2518</v>
      </c>
      <c r="BB371" s="1028">
        <v>0</v>
      </c>
      <c r="BC371" s="1030" t="s">
        <v>2519</v>
      </c>
      <c r="BD371" s="2434"/>
      <c r="BE371" s="2433"/>
      <c r="BF371" s="1029"/>
      <c r="BG371" s="1028"/>
      <c r="BH371" s="1029"/>
      <c r="BI371" s="2434"/>
      <c r="BJ371" s="1033" t="s">
        <v>1407</v>
      </c>
      <c r="BK371" s="1033" t="s">
        <v>1408</v>
      </c>
      <c r="BL371" s="1034"/>
      <c r="BM371" s="878"/>
      <c r="BN371" s="878"/>
      <c r="BO371" s="1034"/>
      <c r="BP371" s="277" t="s">
        <v>1409</v>
      </c>
      <c r="BQ371" s="265"/>
      <c r="BR371" s="982"/>
      <c r="BS371" s="18"/>
    </row>
    <row r="372" spans="1:72" ht="24" customHeight="1">
      <c r="B372" s="4505" t="s">
        <v>2281</v>
      </c>
      <c r="C372" s="2041" t="s">
        <v>1413</v>
      </c>
      <c r="D372" s="491"/>
      <c r="E372" s="491"/>
      <c r="F372" s="1007" t="s">
        <v>1595</v>
      </c>
      <c r="G372" s="358"/>
      <c r="H372" s="359" t="s">
        <v>2520</v>
      </c>
      <c r="I372" s="359"/>
      <c r="J372" s="643"/>
      <c r="K372" s="109" t="s">
        <v>2521</v>
      </c>
      <c r="L372" s="1035"/>
      <c r="M372" s="1036"/>
      <c r="N372" s="1035"/>
      <c r="O372" s="1037"/>
      <c r="P372" s="1035"/>
      <c r="Q372" s="1038"/>
      <c r="R372" s="1036">
        <v>0</v>
      </c>
      <c r="S372" s="5050"/>
      <c r="T372" s="1036">
        <v>0</v>
      </c>
      <c r="U372" s="5051"/>
      <c r="V372" s="1035"/>
      <c r="W372" s="2096"/>
      <c r="X372" s="2435"/>
      <c r="Y372" s="1036"/>
      <c r="Z372" s="1039"/>
      <c r="AA372" s="1036"/>
      <c r="AB372" s="2436"/>
      <c r="AC372" s="2144"/>
      <c r="AD372" s="1039"/>
      <c r="AE372" s="1039"/>
      <c r="AF372" s="1039"/>
      <c r="AG372" s="1039"/>
      <c r="AH372" s="1039"/>
      <c r="AI372" s="1039"/>
      <c r="AJ372" s="1039"/>
      <c r="AK372" s="1039"/>
      <c r="AL372" s="1039"/>
      <c r="AM372" s="1039"/>
      <c r="AN372" s="2436"/>
      <c r="AO372" s="2435"/>
      <c r="AP372" s="1036"/>
      <c r="AQ372" s="1039"/>
      <c r="AR372" s="1036"/>
      <c r="AS372" s="5052"/>
      <c r="AT372" s="5053"/>
      <c r="AU372" s="2435"/>
      <c r="AV372" s="1036"/>
      <c r="AW372" s="1039"/>
      <c r="AX372" s="1036"/>
      <c r="AY372" s="2436"/>
      <c r="AZ372" s="2435"/>
      <c r="BA372" s="1036"/>
      <c r="BB372" s="1039"/>
      <c r="BC372" s="1036"/>
      <c r="BD372" s="2436"/>
      <c r="BE372" s="2435"/>
      <c r="BF372" s="1036"/>
      <c r="BG372" s="1039"/>
      <c r="BH372" s="1036"/>
      <c r="BI372" s="2436"/>
      <c r="BJ372" s="2468"/>
      <c r="BK372" s="276"/>
      <c r="BL372" s="1034"/>
      <c r="BM372" s="547"/>
      <c r="BN372" s="547"/>
      <c r="BO372" s="162"/>
      <c r="BP372" s="277"/>
      <c r="BQ372" s="277" t="s">
        <v>1416</v>
      </c>
      <c r="BR372" s="982"/>
      <c r="BS372" s="18"/>
    </row>
    <row r="373" spans="1:72" ht="24" customHeight="1">
      <c r="B373" s="4505" t="s">
        <v>2281</v>
      </c>
      <c r="C373" s="4599" t="s">
        <v>1419</v>
      </c>
      <c r="D373" s="663"/>
      <c r="E373" s="663"/>
      <c r="F373" s="4685" t="s">
        <v>168</v>
      </c>
      <c r="G373" s="311"/>
      <c r="H373" s="728" t="s">
        <v>2522</v>
      </c>
      <c r="I373" s="663"/>
      <c r="J373" s="655"/>
      <c r="K373" s="1040" t="s">
        <v>168</v>
      </c>
      <c r="L373" s="1041"/>
      <c r="M373" s="1041"/>
      <c r="N373" s="1041"/>
      <c r="O373" s="1041"/>
      <c r="P373" s="1041"/>
      <c r="Q373" s="1041"/>
      <c r="R373" s="1041"/>
      <c r="S373" s="1041"/>
      <c r="T373" s="1041"/>
      <c r="U373" s="1041"/>
      <c r="V373" s="1041"/>
      <c r="W373" s="1041"/>
      <c r="X373" s="2294"/>
      <c r="Y373" s="1041"/>
      <c r="Z373" s="1041"/>
      <c r="AA373" s="1041"/>
      <c r="AB373" s="2295"/>
      <c r="AC373" s="1041"/>
      <c r="AD373" s="1041"/>
      <c r="AE373" s="1041"/>
      <c r="AF373" s="318"/>
      <c r="AG373" s="318"/>
      <c r="AH373" s="318"/>
      <c r="AI373" s="318"/>
      <c r="AJ373" s="318"/>
      <c r="AK373" s="318"/>
      <c r="AL373" s="318"/>
      <c r="AM373" s="318"/>
      <c r="AN373" s="2437"/>
      <c r="AO373" s="2384"/>
      <c r="AP373" s="1042"/>
      <c r="AQ373" s="318"/>
      <c r="AR373" s="1042"/>
      <c r="AS373" s="4720"/>
      <c r="AT373" s="5054"/>
      <c r="AU373" s="2384"/>
      <c r="AV373" s="1042"/>
      <c r="AW373" s="318"/>
      <c r="AX373" s="1042"/>
      <c r="AY373" s="2437"/>
      <c r="AZ373" s="2384"/>
      <c r="BA373" s="1042"/>
      <c r="BB373" s="318"/>
      <c r="BC373" s="1042"/>
      <c r="BD373" s="2437"/>
      <c r="BE373" s="2384"/>
      <c r="BF373" s="1042"/>
      <c r="BG373" s="318"/>
      <c r="BH373" s="1042"/>
      <c r="BI373" s="2437"/>
      <c r="BJ373" s="2468"/>
      <c r="BL373" s="162"/>
      <c r="BM373" s="547"/>
      <c r="BN373" s="547"/>
      <c r="BO373" s="162"/>
      <c r="BP373" s="1043"/>
      <c r="BQ373" s="1043"/>
      <c r="BR373" s="1044"/>
      <c r="BS373" s="18"/>
    </row>
    <row r="374" spans="1:72" ht="24" customHeight="1">
      <c r="B374" s="4505" t="s">
        <v>2281</v>
      </c>
      <c r="C374" s="4606"/>
      <c r="D374" s="787" t="s">
        <v>1018</v>
      </c>
      <c r="E374" s="781"/>
      <c r="F374" s="1007" t="s">
        <v>1018</v>
      </c>
      <c r="G374" s="347"/>
      <c r="H374" s="348"/>
      <c r="I374" s="495" t="s">
        <v>2523</v>
      </c>
      <c r="J374" s="684"/>
      <c r="K374" s="162" t="s">
        <v>2436</v>
      </c>
      <c r="L374" s="298">
        <v>890</v>
      </c>
      <c r="M374" s="92"/>
      <c r="N374" s="298">
        <v>404</v>
      </c>
      <c r="O374" s="95"/>
      <c r="P374" s="228"/>
      <c r="Q374" s="1045"/>
      <c r="R374" s="293">
        <v>890</v>
      </c>
      <c r="S374" s="294">
        <v>0</v>
      </c>
      <c r="T374" s="5055">
        <v>598</v>
      </c>
      <c r="U374" s="613">
        <v>0</v>
      </c>
      <c r="V374" s="228">
        <v>917</v>
      </c>
      <c r="W374" s="2097"/>
      <c r="X374" s="2228">
        <v>0</v>
      </c>
      <c r="Y374" s="505">
        <v>0</v>
      </c>
      <c r="Z374" s="260">
        <v>0</v>
      </c>
      <c r="AA374" s="505">
        <v>0</v>
      </c>
      <c r="AB374" s="2287"/>
      <c r="AC374" s="2109">
        <v>0</v>
      </c>
      <c r="AD374" s="260">
        <v>0</v>
      </c>
      <c r="AE374" s="260"/>
      <c r="AF374" s="260">
        <v>0</v>
      </c>
      <c r="AG374" s="260">
        <v>0</v>
      </c>
      <c r="AH374" s="260"/>
      <c r="AI374" s="260">
        <v>0</v>
      </c>
      <c r="AJ374" s="260">
        <v>0</v>
      </c>
      <c r="AK374" s="260"/>
      <c r="AL374" s="260">
        <v>0</v>
      </c>
      <c r="AM374" s="260">
        <v>0</v>
      </c>
      <c r="AN374" s="2287"/>
      <c r="AO374" s="2228">
        <v>0</v>
      </c>
      <c r="AP374" s="505">
        <v>0</v>
      </c>
      <c r="AQ374" s="260">
        <v>0</v>
      </c>
      <c r="AR374" s="505">
        <v>0</v>
      </c>
      <c r="AS374" s="260">
        <v>0</v>
      </c>
      <c r="AT374" s="4881">
        <v>0</v>
      </c>
      <c r="AU374" s="2228">
        <v>0</v>
      </c>
      <c r="AV374" s="505">
        <v>0</v>
      </c>
      <c r="AW374" s="260">
        <v>0</v>
      </c>
      <c r="AX374" s="505">
        <v>0</v>
      </c>
      <c r="AY374" s="2287"/>
      <c r="AZ374" s="2228">
        <v>0</v>
      </c>
      <c r="BA374" s="503" t="s">
        <v>1426</v>
      </c>
      <c r="BB374" s="260">
        <v>0</v>
      </c>
      <c r="BC374" s="503" t="s">
        <v>1426</v>
      </c>
      <c r="BD374" s="2287"/>
      <c r="BE374" s="2228"/>
      <c r="BF374" s="505"/>
      <c r="BG374" s="260"/>
      <c r="BH374" s="505"/>
      <c r="BI374" s="2287"/>
      <c r="BJ374" s="498" t="s">
        <v>1422</v>
      </c>
      <c r="BK374" s="498" t="s">
        <v>1423</v>
      </c>
      <c r="BL374" s="162"/>
      <c r="BM374" s="547"/>
      <c r="BN374" s="1047"/>
      <c r="BO374" s="162"/>
      <c r="BP374" s="277" t="s">
        <v>1425</v>
      </c>
      <c r="BQ374" s="265"/>
      <c r="BR374" s="982"/>
      <c r="BS374" s="18"/>
    </row>
    <row r="375" spans="1:72" ht="24" customHeight="1" thickBot="1">
      <c r="B375" s="4505" t="s">
        <v>2281</v>
      </c>
      <c r="C375" s="5056"/>
      <c r="D375" s="787" t="s">
        <v>1428</v>
      </c>
      <c r="E375" s="781"/>
      <c r="F375" s="1007" t="s">
        <v>742</v>
      </c>
      <c r="G375" s="384"/>
      <c r="H375" s="385"/>
      <c r="I375" s="495" t="s">
        <v>2524</v>
      </c>
      <c r="J375" s="684"/>
      <c r="K375" s="162" t="s">
        <v>2357</v>
      </c>
      <c r="L375" s="298">
        <v>196</v>
      </c>
      <c r="M375" s="92"/>
      <c r="N375" s="298">
        <v>129</v>
      </c>
      <c r="O375" s="95"/>
      <c r="P375" s="228"/>
      <c r="Q375" s="1045"/>
      <c r="R375" s="293">
        <v>196</v>
      </c>
      <c r="S375" s="294">
        <v>0</v>
      </c>
      <c r="T375" s="5055">
        <v>154</v>
      </c>
      <c r="U375" s="613">
        <v>0</v>
      </c>
      <c r="V375" s="228">
        <v>175</v>
      </c>
      <c r="W375" s="2097"/>
      <c r="X375" s="2228">
        <v>0</v>
      </c>
      <c r="Y375" s="505">
        <v>0</v>
      </c>
      <c r="Z375" s="260">
        <v>0</v>
      </c>
      <c r="AA375" s="505">
        <v>0</v>
      </c>
      <c r="AB375" s="2287"/>
      <c r="AC375" s="5057">
        <v>0</v>
      </c>
      <c r="AD375" s="5058">
        <v>0</v>
      </c>
      <c r="AE375" s="5058"/>
      <c r="AF375" s="5058">
        <v>0</v>
      </c>
      <c r="AG375" s="5058">
        <v>0</v>
      </c>
      <c r="AH375" s="5058"/>
      <c r="AI375" s="5058">
        <v>0</v>
      </c>
      <c r="AJ375" s="5058">
        <v>0</v>
      </c>
      <c r="AK375" s="5058"/>
      <c r="AL375" s="5058">
        <v>0</v>
      </c>
      <c r="AM375" s="5058">
        <v>0</v>
      </c>
      <c r="AN375" s="5059"/>
      <c r="AO375" s="5060">
        <v>0</v>
      </c>
      <c r="AP375" s="5061">
        <v>0</v>
      </c>
      <c r="AQ375" s="5058">
        <v>0</v>
      </c>
      <c r="AR375" s="5061">
        <v>0</v>
      </c>
      <c r="AS375" s="5058">
        <v>0</v>
      </c>
      <c r="AT375" s="5062">
        <v>0</v>
      </c>
      <c r="AU375" s="5060">
        <v>0</v>
      </c>
      <c r="AV375" s="5061">
        <v>0</v>
      </c>
      <c r="AW375" s="5058">
        <v>0</v>
      </c>
      <c r="AX375" s="5061">
        <v>0</v>
      </c>
      <c r="AY375" s="5059"/>
      <c r="AZ375" s="5060">
        <v>0</v>
      </c>
      <c r="BA375" s="5063" t="s">
        <v>1426</v>
      </c>
      <c r="BB375" s="5058">
        <v>0</v>
      </c>
      <c r="BC375" s="5063" t="s">
        <v>1426</v>
      </c>
      <c r="BD375" s="5059"/>
      <c r="BE375" s="5060"/>
      <c r="BF375" s="5061"/>
      <c r="BG375" s="5058"/>
      <c r="BH375" s="5061"/>
      <c r="BI375" s="5059"/>
      <c r="BJ375" s="498" t="s">
        <v>1430</v>
      </c>
      <c r="BK375" s="498" t="s">
        <v>1429</v>
      </c>
      <c r="BL375" s="162"/>
      <c r="BM375" s="547"/>
      <c r="BN375" s="1047"/>
      <c r="BO375" s="162"/>
      <c r="BP375" s="981" t="s">
        <v>1431</v>
      </c>
      <c r="BQ375" s="427"/>
      <c r="BR375" s="974"/>
      <c r="BS375" s="18"/>
    </row>
    <row r="376" spans="1:72" ht="24" customHeight="1" thickBot="1">
      <c r="B376" s="5064"/>
      <c r="C376" s="5065" t="s">
        <v>1433</v>
      </c>
      <c r="D376" s="1048"/>
      <c r="E376" s="1048"/>
      <c r="F376" s="285" t="s">
        <v>156</v>
      </c>
      <c r="G376" s="1049"/>
      <c r="H376" s="1050" t="s">
        <v>1434</v>
      </c>
      <c r="I376" s="1051"/>
      <c r="J376" s="1052"/>
      <c r="K376" s="109" t="s">
        <v>156</v>
      </c>
      <c r="L376" s="562"/>
      <c r="M376" s="92"/>
      <c r="N376" s="562"/>
      <c r="O376" s="92"/>
      <c r="P376" s="228"/>
      <c r="Q376" s="1045"/>
      <c r="R376" s="562"/>
      <c r="S376" s="294"/>
      <c r="T376" s="562"/>
      <c r="U376" s="151"/>
      <c r="V376" s="228"/>
      <c r="W376" s="2097"/>
      <c r="X376" s="2228"/>
      <c r="Y376" s="382"/>
      <c r="Z376" s="260"/>
      <c r="AA376" s="382"/>
      <c r="AB376" s="2287"/>
      <c r="AC376" s="2141"/>
      <c r="AD376" s="959"/>
      <c r="AE376" s="959"/>
      <c r="AF376" s="959"/>
      <c r="AG376" s="959"/>
      <c r="AH376" s="959"/>
      <c r="AI376" s="959"/>
      <c r="AJ376" s="959"/>
      <c r="AK376" s="959"/>
      <c r="AL376" s="959"/>
      <c r="AM376" s="959"/>
      <c r="AN376" s="2517"/>
      <c r="AO376" s="2286"/>
      <c r="AP376" s="960"/>
      <c r="AQ376" s="959"/>
      <c r="AR376" s="960"/>
      <c r="AS376" s="2517"/>
      <c r="AT376" s="5018"/>
      <c r="AU376" s="2286"/>
      <c r="AV376" s="960"/>
      <c r="AW376" s="959"/>
      <c r="AX376" s="960"/>
      <c r="AY376" s="2425"/>
      <c r="AZ376" s="2141"/>
      <c r="BA376" s="960"/>
      <c r="BB376" s="959"/>
      <c r="BC376" s="960"/>
      <c r="BD376" s="959"/>
      <c r="BE376" s="959"/>
      <c r="BF376" s="960"/>
      <c r="BG376" s="959"/>
      <c r="BH376" s="960"/>
      <c r="BI376" s="959"/>
      <c r="BJ376" s="276"/>
      <c r="BK376" s="276"/>
      <c r="BL376" s="109"/>
      <c r="BM376" s="547"/>
      <c r="BN376" s="547"/>
      <c r="BO376" s="299" t="s">
        <v>193</v>
      </c>
      <c r="BP376" s="277"/>
      <c r="BQ376" s="277" t="s">
        <v>1436</v>
      </c>
      <c r="BR376" s="982"/>
      <c r="BS376" s="18"/>
    </row>
    <row r="377" spans="1:72" ht="24" customHeight="1" thickTop="1" thickBot="1">
      <c r="A377" s="50"/>
      <c r="B377" s="1742" t="s">
        <v>1437</v>
      </c>
      <c r="C377" s="629"/>
      <c r="D377" s="629"/>
      <c r="E377" s="629"/>
      <c r="F377" s="630"/>
      <c r="G377" s="631" t="s">
        <v>1438</v>
      </c>
      <c r="H377" s="629"/>
      <c r="I377" s="632"/>
      <c r="J377" s="632"/>
      <c r="K377" s="630"/>
      <c r="L377" s="1053"/>
      <c r="M377" s="1053"/>
      <c r="N377" s="1053"/>
      <c r="O377" s="1053"/>
      <c r="P377" s="1053"/>
      <c r="Q377" s="1053"/>
      <c r="R377" s="1053"/>
      <c r="S377" s="1053"/>
      <c r="T377" s="1053"/>
      <c r="U377" s="1053"/>
      <c r="V377" s="1053"/>
      <c r="W377" s="1053"/>
      <c r="X377" s="2296"/>
      <c r="Y377" s="1053"/>
      <c r="Z377" s="1053"/>
      <c r="AA377" s="1053"/>
      <c r="AB377" s="2297"/>
      <c r="AC377" s="1053"/>
      <c r="AD377" s="1053"/>
      <c r="AE377" s="1053"/>
      <c r="AF377" s="1054"/>
      <c r="AG377" s="1054"/>
      <c r="AH377" s="1054"/>
      <c r="AI377" s="1054"/>
      <c r="AJ377" s="1054"/>
      <c r="AK377" s="1054"/>
      <c r="AL377" s="1054"/>
      <c r="AM377" s="1054"/>
      <c r="AN377" s="1054"/>
      <c r="AO377" s="2438"/>
      <c r="AP377" s="1054"/>
      <c r="AQ377" s="1054"/>
      <c r="AR377" s="1054"/>
      <c r="AS377" s="1054"/>
      <c r="AT377" s="5066"/>
      <c r="AU377" s="2438"/>
      <c r="AV377" s="1054"/>
      <c r="AW377" s="1054"/>
      <c r="AX377" s="1054"/>
      <c r="AY377" s="2439"/>
      <c r="AZ377" s="1054"/>
      <c r="BA377" s="1054"/>
      <c r="BB377" s="1054"/>
      <c r="BC377" s="1054"/>
      <c r="BD377" s="1054"/>
      <c r="BE377" s="1054"/>
      <c r="BF377" s="1054"/>
      <c r="BG377" s="1054"/>
      <c r="BH377" s="1054"/>
      <c r="BI377" s="1054"/>
      <c r="BJ377" s="634"/>
      <c r="BK377" s="634"/>
      <c r="BL377" s="633"/>
      <c r="BM377" s="633"/>
      <c r="BN377" s="633"/>
      <c r="BO377" s="633"/>
      <c r="BP377" s="1055"/>
      <c r="BQ377" s="1055"/>
      <c r="BR377" s="635"/>
      <c r="BS377" s="18"/>
      <c r="BT377" s="54"/>
    </row>
    <row r="378" spans="1:72" ht="24" customHeight="1" thickBot="1">
      <c r="B378" s="123" t="s">
        <v>1439</v>
      </c>
      <c r="C378" s="124"/>
      <c r="D378" s="124"/>
      <c r="E378" s="124"/>
      <c r="F378" s="78"/>
      <c r="G378" s="125" t="s">
        <v>2525</v>
      </c>
      <c r="H378" s="124"/>
      <c r="I378" s="124"/>
      <c r="J378" s="126"/>
      <c r="K378" s="78"/>
      <c r="L378" s="1004"/>
      <c r="M378" s="1004"/>
      <c r="N378" s="1004"/>
      <c r="O378" s="1004"/>
      <c r="P378" s="1004"/>
      <c r="Q378" s="1004"/>
      <c r="R378" s="1004"/>
      <c r="S378" s="1004"/>
      <c r="T378" s="1004"/>
      <c r="U378" s="1004"/>
      <c r="V378" s="1004"/>
      <c r="W378" s="1004"/>
      <c r="X378" s="2290"/>
      <c r="Y378" s="1004"/>
      <c r="Z378" s="1004"/>
      <c r="AA378" s="1004"/>
      <c r="AB378" s="2291"/>
      <c r="AC378" s="1004"/>
      <c r="AD378" s="1004"/>
      <c r="AE378" s="1004"/>
      <c r="AF378" s="1005"/>
      <c r="AG378" s="1005"/>
      <c r="AH378" s="1005"/>
      <c r="AI378" s="1005"/>
      <c r="AJ378" s="1005"/>
      <c r="AK378" s="1005"/>
      <c r="AL378" s="1005"/>
      <c r="AM378" s="1005"/>
      <c r="AN378" s="1005"/>
      <c r="AO378" s="2431"/>
      <c r="AP378" s="1005"/>
      <c r="AQ378" s="1005"/>
      <c r="AR378" s="1005"/>
      <c r="AS378" s="1005"/>
      <c r="AT378" s="5044"/>
      <c r="AU378" s="2431"/>
      <c r="AV378" s="1005"/>
      <c r="AW378" s="1005"/>
      <c r="AX378" s="1005"/>
      <c r="AY378" s="2432"/>
      <c r="AZ378" s="1005"/>
      <c r="BA378" s="1005"/>
      <c r="BB378" s="1005"/>
      <c r="BC378" s="1005"/>
      <c r="BD378" s="1005"/>
      <c r="BE378" s="1005"/>
      <c r="BF378" s="1005"/>
      <c r="BG378" s="1005"/>
      <c r="BH378" s="1005"/>
      <c r="BI378" s="1005"/>
      <c r="BJ378" s="80"/>
      <c r="BK378" s="80"/>
      <c r="BL378" s="80"/>
      <c r="BM378" s="80"/>
      <c r="BN378" s="80"/>
      <c r="BO378" s="80"/>
      <c r="BP378" s="1952"/>
      <c r="BQ378" s="130"/>
      <c r="BR378" s="1953"/>
      <c r="BS378" s="18"/>
    </row>
    <row r="379" spans="1:72" ht="24" customHeight="1">
      <c r="B379" s="1865"/>
      <c r="C379" s="4705" t="s">
        <v>1441</v>
      </c>
      <c r="D379" s="4706"/>
      <c r="E379" s="4706"/>
      <c r="F379" s="1040" t="s">
        <v>168</v>
      </c>
      <c r="G379" s="1056"/>
      <c r="H379" s="698" t="s">
        <v>1442</v>
      </c>
      <c r="I379" s="698"/>
      <c r="J379" s="655"/>
      <c r="K379" s="956" t="s">
        <v>734</v>
      </c>
      <c r="L379" s="1057"/>
      <c r="M379" s="1057"/>
      <c r="N379" s="1057"/>
      <c r="O379" s="1057"/>
      <c r="P379" s="1057"/>
      <c r="Q379" s="1057"/>
      <c r="R379" s="1057"/>
      <c r="S379" s="1057"/>
      <c r="T379" s="1057"/>
      <c r="U379" s="1057"/>
      <c r="V379" s="1057"/>
      <c r="W379" s="5067"/>
      <c r="X379" s="2298"/>
      <c r="Y379" s="1057"/>
      <c r="Z379" s="1057"/>
      <c r="AA379" s="1057"/>
      <c r="AB379" s="2299"/>
      <c r="AC379" s="5068"/>
      <c r="AD379" s="1057"/>
      <c r="AE379" s="1057"/>
      <c r="AF379" s="953"/>
      <c r="AG379" s="953"/>
      <c r="AH379" s="953"/>
      <c r="AI379" s="953"/>
      <c r="AJ379" s="953"/>
      <c r="AK379" s="953"/>
      <c r="AL379" s="953"/>
      <c r="AM379" s="953"/>
      <c r="AN379" s="4707"/>
      <c r="AO379" s="2423"/>
      <c r="AP379" s="954"/>
      <c r="AQ379" s="953"/>
      <c r="AR379" s="954"/>
      <c r="AS379" s="4707"/>
      <c r="AT379" s="5010"/>
      <c r="AU379" s="2423"/>
      <c r="AV379" s="954"/>
      <c r="AW379" s="953"/>
      <c r="AX379" s="954"/>
      <c r="AY379" s="2424"/>
      <c r="AZ379" s="2140"/>
      <c r="BA379" s="954"/>
      <c r="BB379" s="953"/>
      <c r="BC379" s="954"/>
      <c r="BD379" s="953"/>
      <c r="BE379" s="953"/>
      <c r="BF379" s="954"/>
      <c r="BG379" s="953"/>
      <c r="BH379" s="954"/>
      <c r="BI379" s="953"/>
      <c r="BJ379" s="533"/>
      <c r="BK379" s="533"/>
      <c r="BL379" s="873"/>
      <c r="BM379" s="547"/>
      <c r="BN379" s="547"/>
      <c r="BO379" s="299" t="s">
        <v>1435</v>
      </c>
      <c r="BP379" s="1043"/>
      <c r="BQ379" s="1043"/>
      <c r="BR379" s="1044"/>
      <c r="BS379" s="18"/>
    </row>
    <row r="380" spans="1:72" ht="24" customHeight="1">
      <c r="B380" s="1865"/>
      <c r="C380" s="4708"/>
      <c r="D380" s="787" t="s">
        <v>1445</v>
      </c>
      <c r="E380" s="781"/>
      <c r="F380" s="105" t="s">
        <v>732</v>
      </c>
      <c r="G380" s="106"/>
      <c r="H380" s="353"/>
      <c r="I380" s="945" t="s">
        <v>1446</v>
      </c>
      <c r="J380" s="945"/>
      <c r="K380" s="873" t="s">
        <v>734</v>
      </c>
      <c r="L380" s="1058">
        <v>5</v>
      </c>
      <c r="M380" s="1058"/>
      <c r="N380" s="1058">
        <v>7</v>
      </c>
      <c r="O380" s="1059"/>
      <c r="P380" s="799"/>
      <c r="Q380" s="1045"/>
      <c r="R380" s="5069">
        <v>5</v>
      </c>
      <c r="S380" s="5070">
        <v>0</v>
      </c>
      <c r="T380" s="5069">
        <v>7</v>
      </c>
      <c r="U380" s="5071">
        <v>0</v>
      </c>
      <c r="V380" s="799"/>
      <c r="W380" s="2097"/>
      <c r="X380" s="2300">
        <v>0</v>
      </c>
      <c r="Y380" s="807">
        <v>0</v>
      </c>
      <c r="Z380" s="805">
        <v>0</v>
      </c>
      <c r="AA380" s="807">
        <v>0</v>
      </c>
      <c r="AB380" s="2301"/>
      <c r="AC380" s="2145">
        <v>0</v>
      </c>
      <c r="AD380" s="805">
        <v>0</v>
      </c>
      <c r="AE380" s="805"/>
      <c r="AF380" s="805">
        <v>0</v>
      </c>
      <c r="AG380" s="805">
        <v>0</v>
      </c>
      <c r="AH380" s="805"/>
      <c r="AI380" s="805">
        <v>0</v>
      </c>
      <c r="AJ380" s="805">
        <v>0</v>
      </c>
      <c r="AK380" s="805"/>
      <c r="AL380" s="805">
        <v>0</v>
      </c>
      <c r="AM380" s="805">
        <v>0</v>
      </c>
      <c r="AN380" s="2544"/>
      <c r="AO380" s="2300">
        <v>0</v>
      </c>
      <c r="AP380" s="807">
        <v>0</v>
      </c>
      <c r="AQ380" s="805">
        <v>0</v>
      </c>
      <c r="AR380" s="807">
        <v>0</v>
      </c>
      <c r="AS380" s="805">
        <v>0</v>
      </c>
      <c r="AT380" s="5072">
        <v>0</v>
      </c>
      <c r="AU380" s="2300">
        <v>0</v>
      </c>
      <c r="AV380" s="807">
        <v>0</v>
      </c>
      <c r="AW380" s="805">
        <v>0</v>
      </c>
      <c r="AX380" s="807">
        <v>0</v>
      </c>
      <c r="AY380" s="2301"/>
      <c r="AZ380" s="2145" t="s">
        <v>2526</v>
      </c>
      <c r="BA380" s="807" t="s">
        <v>2527</v>
      </c>
      <c r="BB380" s="805" t="s">
        <v>2526</v>
      </c>
      <c r="BC380" s="807" t="s">
        <v>2527</v>
      </c>
      <c r="BD380" s="805"/>
      <c r="BE380" s="805"/>
      <c r="BF380" s="807"/>
      <c r="BG380" s="805"/>
      <c r="BH380" s="807"/>
      <c r="BI380" s="805"/>
      <c r="BJ380" s="544" t="s">
        <v>1447</v>
      </c>
      <c r="BK380" s="276" t="s">
        <v>1448</v>
      </c>
      <c r="BL380" s="873"/>
      <c r="BM380" s="547"/>
      <c r="BN380" s="547"/>
      <c r="BO380" s="299" t="s">
        <v>1435</v>
      </c>
      <c r="BP380" s="277" t="s">
        <v>1449</v>
      </c>
      <c r="BQ380" s="277" t="s">
        <v>1450</v>
      </c>
      <c r="BR380" s="982"/>
      <c r="BS380" s="18"/>
    </row>
    <row r="381" spans="1:72" ht="24" customHeight="1">
      <c r="B381" s="1865"/>
      <c r="C381" s="4709"/>
      <c r="D381" s="787" t="s">
        <v>1451</v>
      </c>
      <c r="E381" s="781"/>
      <c r="F381" s="105" t="s">
        <v>732</v>
      </c>
      <c r="G381" s="106"/>
      <c r="H381" s="353"/>
      <c r="I381" s="735" t="s">
        <v>1452</v>
      </c>
      <c r="J381" s="735"/>
      <c r="K381" s="109" t="s">
        <v>734</v>
      </c>
      <c r="L381" s="1060">
        <v>3</v>
      </c>
      <c r="M381" s="1060"/>
      <c r="N381" s="1060">
        <v>4</v>
      </c>
      <c r="O381" s="1061"/>
      <c r="P381" s="644"/>
      <c r="Q381" s="1045"/>
      <c r="R381" s="789">
        <v>3</v>
      </c>
      <c r="S381" s="1062">
        <v>0</v>
      </c>
      <c r="T381" s="789">
        <v>4</v>
      </c>
      <c r="U381" s="1063">
        <v>0</v>
      </c>
      <c r="V381" s="644"/>
      <c r="W381" s="2097"/>
      <c r="X381" s="2302">
        <v>0</v>
      </c>
      <c r="Y381" s="543">
        <v>0</v>
      </c>
      <c r="Z381" s="542">
        <v>0</v>
      </c>
      <c r="AA381" s="543">
        <v>0</v>
      </c>
      <c r="AB381" s="2303"/>
      <c r="AC381" s="2127">
        <v>0</v>
      </c>
      <c r="AD381" s="542">
        <v>0</v>
      </c>
      <c r="AE381" s="542"/>
      <c r="AF381" s="542">
        <v>0</v>
      </c>
      <c r="AG381" s="542">
        <v>0</v>
      </c>
      <c r="AH381" s="542"/>
      <c r="AI381" s="542">
        <v>0</v>
      </c>
      <c r="AJ381" s="542">
        <v>0</v>
      </c>
      <c r="AK381" s="542"/>
      <c r="AL381" s="542">
        <v>0</v>
      </c>
      <c r="AM381" s="542">
        <v>0</v>
      </c>
      <c r="AN381" s="795"/>
      <c r="AO381" s="2302">
        <v>0</v>
      </c>
      <c r="AP381" s="543">
        <v>0</v>
      </c>
      <c r="AQ381" s="542">
        <v>0</v>
      </c>
      <c r="AR381" s="543">
        <v>0</v>
      </c>
      <c r="AS381" s="542">
        <v>0</v>
      </c>
      <c r="AT381" s="4885">
        <v>0</v>
      </c>
      <c r="AU381" s="2302">
        <v>0</v>
      </c>
      <c r="AV381" s="543">
        <v>0</v>
      </c>
      <c r="AW381" s="542">
        <v>0</v>
      </c>
      <c r="AX381" s="543">
        <v>0</v>
      </c>
      <c r="AY381" s="2303"/>
      <c r="AZ381" s="2449" t="s">
        <v>2528</v>
      </c>
      <c r="BA381" s="648">
        <v>0</v>
      </c>
      <c r="BB381" s="1064" t="s">
        <v>2528</v>
      </c>
      <c r="BC381" s="543">
        <v>0</v>
      </c>
      <c r="BD381" s="542"/>
      <c r="BE381" s="542"/>
      <c r="BF381" s="543"/>
      <c r="BG381" s="542"/>
      <c r="BH381" s="543"/>
      <c r="BI381" s="542"/>
      <c r="BJ381" s="276" t="s">
        <v>1453</v>
      </c>
      <c r="BK381" s="276" t="s">
        <v>1454</v>
      </c>
      <c r="BL381" s="109"/>
      <c r="BM381" s="547"/>
      <c r="BN381" s="547"/>
      <c r="BO381" s="299" t="s">
        <v>193</v>
      </c>
      <c r="BP381" s="277" t="s">
        <v>1455</v>
      </c>
      <c r="BQ381" s="277" t="s">
        <v>1450</v>
      </c>
      <c r="BR381" s="982"/>
      <c r="BS381" s="18"/>
    </row>
    <row r="382" spans="1:72" ht="24" customHeight="1">
      <c r="B382" s="1865"/>
      <c r="C382" s="4664"/>
      <c r="D382" s="787" t="s">
        <v>1456</v>
      </c>
      <c r="E382" s="781"/>
      <c r="F382" s="105" t="s">
        <v>732</v>
      </c>
      <c r="G382" s="384"/>
      <c r="H382" s="385"/>
      <c r="I382" s="1065" t="s">
        <v>1457</v>
      </c>
      <c r="J382" s="1066"/>
      <c r="K382" s="109" t="s">
        <v>734</v>
      </c>
      <c r="L382" s="1060">
        <v>0</v>
      </c>
      <c r="M382" s="1060"/>
      <c r="N382" s="1060">
        <v>1</v>
      </c>
      <c r="O382" s="1061"/>
      <c r="P382" s="644"/>
      <c r="Q382" s="1045"/>
      <c r="R382" s="789">
        <v>0</v>
      </c>
      <c r="S382" s="1062">
        <v>0</v>
      </c>
      <c r="T382" s="789">
        <v>1</v>
      </c>
      <c r="U382" s="1063">
        <v>0</v>
      </c>
      <c r="V382" s="644"/>
      <c r="W382" s="2097"/>
      <c r="X382" s="2302">
        <v>0</v>
      </c>
      <c r="Y382" s="543">
        <v>0</v>
      </c>
      <c r="Z382" s="542">
        <v>0</v>
      </c>
      <c r="AA382" s="543">
        <v>0</v>
      </c>
      <c r="AB382" s="2303"/>
      <c r="AC382" s="2127">
        <v>0</v>
      </c>
      <c r="AD382" s="542">
        <v>0</v>
      </c>
      <c r="AE382" s="542"/>
      <c r="AF382" s="542">
        <v>0</v>
      </c>
      <c r="AG382" s="542">
        <v>0</v>
      </c>
      <c r="AH382" s="542"/>
      <c r="AI382" s="542">
        <v>0</v>
      </c>
      <c r="AJ382" s="542">
        <v>0</v>
      </c>
      <c r="AK382" s="542"/>
      <c r="AL382" s="542">
        <v>0</v>
      </c>
      <c r="AM382" s="542">
        <v>0</v>
      </c>
      <c r="AN382" s="795"/>
      <c r="AO382" s="2302">
        <v>0</v>
      </c>
      <c r="AP382" s="543">
        <v>0</v>
      </c>
      <c r="AQ382" s="542">
        <v>0</v>
      </c>
      <c r="AR382" s="543">
        <v>0</v>
      </c>
      <c r="AS382" s="542">
        <v>0</v>
      </c>
      <c r="AT382" s="4885">
        <v>0</v>
      </c>
      <c r="AU382" s="2302">
        <v>0</v>
      </c>
      <c r="AV382" s="543">
        <v>0</v>
      </c>
      <c r="AW382" s="542">
        <v>0</v>
      </c>
      <c r="AX382" s="543">
        <v>0</v>
      </c>
      <c r="AY382" s="2303"/>
      <c r="AZ382" s="2449" t="s">
        <v>2529</v>
      </c>
      <c r="BA382" s="648" t="s">
        <v>2530</v>
      </c>
      <c r="BB382" s="1064" t="s">
        <v>2529</v>
      </c>
      <c r="BC382" s="543" t="s">
        <v>2530</v>
      </c>
      <c r="BD382" s="542"/>
      <c r="BE382" s="542"/>
      <c r="BF382" s="543"/>
      <c r="BG382" s="542"/>
      <c r="BH382" s="543"/>
      <c r="BI382" s="542"/>
      <c r="BJ382" s="276" t="s">
        <v>1458</v>
      </c>
      <c r="BK382" s="276" t="s">
        <v>1459</v>
      </c>
      <c r="BL382" s="109"/>
      <c r="BM382" s="547"/>
      <c r="BN382" s="547"/>
      <c r="BO382" s="299" t="s">
        <v>193</v>
      </c>
      <c r="BP382" s="277" t="s">
        <v>1460</v>
      </c>
      <c r="BQ382" s="277" t="s">
        <v>1450</v>
      </c>
      <c r="BR382" s="982"/>
      <c r="BS382" s="18"/>
    </row>
    <row r="383" spans="1:72" ht="24" customHeight="1">
      <c r="B383" s="1865"/>
      <c r="C383" s="4710" t="s">
        <v>1461</v>
      </c>
      <c r="D383" s="4711"/>
      <c r="E383" s="4712"/>
      <c r="F383" s="1040" t="s">
        <v>168</v>
      </c>
      <c r="G383" s="685"/>
      <c r="H383" s="686" t="s">
        <v>1462</v>
      </c>
      <c r="I383" s="739"/>
      <c r="J383" s="739"/>
      <c r="K383" s="315" t="s">
        <v>168</v>
      </c>
      <c r="L383" s="1067"/>
      <c r="M383" s="1068"/>
      <c r="N383" s="1067"/>
      <c r="O383" s="1068"/>
      <c r="P383" s="661"/>
      <c r="Q383" s="661"/>
      <c r="R383" s="661"/>
      <c r="S383" s="671"/>
      <c r="T383" s="661"/>
      <c r="U383" s="671"/>
      <c r="V383" s="661"/>
      <c r="W383" s="5073"/>
      <c r="X383" s="2304"/>
      <c r="Y383" s="661"/>
      <c r="Z383" s="659"/>
      <c r="AA383" s="661"/>
      <c r="AB383" s="2305"/>
      <c r="AC383" s="2133"/>
      <c r="AD383" s="659"/>
      <c r="AE383" s="659"/>
      <c r="AF383" s="659"/>
      <c r="AG383" s="659"/>
      <c r="AH383" s="659"/>
      <c r="AI383" s="659"/>
      <c r="AJ383" s="659"/>
      <c r="AK383" s="659"/>
      <c r="AL383" s="659"/>
      <c r="AM383" s="659"/>
      <c r="AN383" s="2546"/>
      <c r="AO383" s="2304"/>
      <c r="AP383" s="661"/>
      <c r="AQ383" s="659"/>
      <c r="AR383" s="661"/>
      <c r="AS383" s="2546"/>
      <c r="AT383" s="4917"/>
      <c r="AU383" s="2304"/>
      <c r="AV383" s="661"/>
      <c r="AW383" s="659"/>
      <c r="AX383" s="661"/>
      <c r="AY383" s="2305"/>
      <c r="AZ383" s="2133"/>
      <c r="BA383" s="661"/>
      <c r="BB383" s="659"/>
      <c r="BC383" s="661"/>
      <c r="BD383" s="659"/>
      <c r="BE383" s="659"/>
      <c r="BF383" s="661"/>
      <c r="BG383" s="659"/>
      <c r="BH383" s="661"/>
      <c r="BI383" s="659"/>
      <c r="BJ383" s="276"/>
      <c r="BK383" s="276"/>
      <c r="BL383" s="873"/>
      <c r="BM383" s="547"/>
      <c r="BN383" s="547"/>
      <c r="BO383" s="299" t="s">
        <v>1435</v>
      </c>
      <c r="BP383" s="1043"/>
      <c r="BQ383" s="1043"/>
      <c r="BR383" s="1044"/>
      <c r="BS383" s="18"/>
    </row>
    <row r="384" spans="1:72" ht="24" customHeight="1">
      <c r="B384" s="1865"/>
      <c r="C384" s="4713"/>
      <c r="D384" s="787" t="s">
        <v>1445</v>
      </c>
      <c r="E384" s="781"/>
      <c r="F384" s="105" t="s">
        <v>154</v>
      </c>
      <c r="G384" s="347"/>
      <c r="H384" s="1069"/>
      <c r="I384" s="735" t="s">
        <v>1454</v>
      </c>
      <c r="J384" s="735"/>
      <c r="K384" s="109" t="s">
        <v>154</v>
      </c>
      <c r="L384" s="1060">
        <v>60</v>
      </c>
      <c r="M384" s="1060"/>
      <c r="N384" s="1060">
        <v>57.142857142857139</v>
      </c>
      <c r="O384" s="1061"/>
      <c r="P384" s="644"/>
      <c r="Q384" s="1045"/>
      <c r="R384" s="789">
        <v>60</v>
      </c>
      <c r="S384" s="1062"/>
      <c r="T384" s="789">
        <v>57.142857142857139</v>
      </c>
      <c r="U384" s="1063"/>
      <c r="V384" s="644"/>
      <c r="W384" s="2097"/>
      <c r="X384" s="2302"/>
      <c r="Y384" s="543"/>
      <c r="Z384" s="542"/>
      <c r="AA384" s="543"/>
      <c r="AB384" s="2303"/>
      <c r="AC384" s="2127"/>
      <c r="AD384" s="542"/>
      <c r="AE384" s="542"/>
      <c r="AF384" s="542"/>
      <c r="AG384" s="542"/>
      <c r="AH384" s="542"/>
      <c r="AI384" s="542"/>
      <c r="AJ384" s="542"/>
      <c r="AK384" s="542"/>
      <c r="AL384" s="542"/>
      <c r="AM384" s="542"/>
      <c r="AN384" s="795"/>
      <c r="AO384" s="2302"/>
      <c r="AP384" s="543"/>
      <c r="AQ384" s="542"/>
      <c r="AR384" s="543"/>
      <c r="AS384" s="795"/>
      <c r="AT384" s="4885"/>
      <c r="AU384" s="2302"/>
      <c r="AV384" s="543"/>
      <c r="AW384" s="542"/>
      <c r="AX384" s="543"/>
      <c r="AY384" s="2303"/>
      <c r="AZ384" s="2449"/>
      <c r="BA384" s="648"/>
      <c r="BB384" s="1064"/>
      <c r="BC384" s="543"/>
      <c r="BD384" s="542"/>
      <c r="BE384" s="542"/>
      <c r="BF384" s="543"/>
      <c r="BG384" s="542"/>
      <c r="BH384" s="543"/>
      <c r="BI384" s="542"/>
      <c r="BJ384" s="276" t="s">
        <v>1463</v>
      </c>
      <c r="BK384" s="276" t="s">
        <v>1464</v>
      </c>
      <c r="BL384" s="109"/>
      <c r="BM384" s="547"/>
      <c r="BN384" s="547"/>
      <c r="BO384" s="299" t="s">
        <v>193</v>
      </c>
      <c r="BP384" s="277" t="s">
        <v>1465</v>
      </c>
      <c r="BQ384" s="277" t="s">
        <v>1450</v>
      </c>
      <c r="BR384" s="982"/>
      <c r="BS384" s="18"/>
    </row>
    <row r="385" spans="2:71" ht="24" customHeight="1" thickBot="1">
      <c r="B385" s="1865"/>
      <c r="C385" s="4714"/>
      <c r="D385" s="787" t="s">
        <v>1466</v>
      </c>
      <c r="E385" s="781"/>
      <c r="F385" s="706" t="s">
        <v>154</v>
      </c>
      <c r="G385" s="1070"/>
      <c r="H385" s="1071"/>
      <c r="I385" s="1072" t="s">
        <v>1467</v>
      </c>
      <c r="J385" s="1072"/>
      <c r="K385" s="711" t="s">
        <v>154</v>
      </c>
      <c r="L385" s="644"/>
      <c r="M385" s="1073"/>
      <c r="N385" s="644"/>
      <c r="O385" s="1074"/>
      <c r="P385" s="819"/>
      <c r="Q385" s="1045"/>
      <c r="R385" s="5074">
        <v>100</v>
      </c>
      <c r="S385" s="1075"/>
      <c r="T385" s="5074">
        <v>100</v>
      </c>
      <c r="U385" s="1076"/>
      <c r="V385" s="819"/>
      <c r="W385" s="2097"/>
      <c r="X385" s="2306"/>
      <c r="Y385" s="713"/>
      <c r="Z385" s="712"/>
      <c r="AA385" s="713"/>
      <c r="AB385" s="2307"/>
      <c r="AC385" s="2134"/>
      <c r="AD385" s="712"/>
      <c r="AE385" s="712"/>
      <c r="AF385" s="712"/>
      <c r="AG385" s="712"/>
      <c r="AH385" s="712"/>
      <c r="AI385" s="712"/>
      <c r="AJ385" s="712"/>
      <c r="AK385" s="712"/>
      <c r="AL385" s="712"/>
      <c r="AM385" s="712"/>
      <c r="AN385" s="2542"/>
      <c r="AO385" s="2306"/>
      <c r="AP385" s="713"/>
      <c r="AQ385" s="712"/>
      <c r="AR385" s="713"/>
      <c r="AS385" s="2542"/>
      <c r="AT385" s="4936"/>
      <c r="AU385" s="2306"/>
      <c r="AV385" s="713"/>
      <c r="AW385" s="712"/>
      <c r="AX385" s="713"/>
      <c r="AY385" s="2307"/>
      <c r="AZ385" s="2450"/>
      <c r="BA385" s="1078"/>
      <c r="BB385" s="1077"/>
      <c r="BC385" s="713"/>
      <c r="BD385" s="712"/>
      <c r="BE385" s="712"/>
      <c r="BF385" s="713"/>
      <c r="BG385" s="712"/>
      <c r="BH385" s="713"/>
      <c r="BI385" s="712"/>
      <c r="BJ385" s="595"/>
      <c r="BK385" s="595"/>
      <c r="BL385" s="711"/>
      <c r="BM385" s="547"/>
      <c r="BN385" s="547"/>
      <c r="BO385" s="299" t="s">
        <v>193</v>
      </c>
      <c r="BP385" s="277" t="s">
        <v>1465</v>
      </c>
      <c r="BQ385" s="277" t="s">
        <v>1450</v>
      </c>
      <c r="BR385" s="982"/>
      <c r="BS385" s="18"/>
    </row>
    <row r="386" spans="2:71" ht="24" customHeight="1" thickBot="1">
      <c r="B386" s="123" t="s">
        <v>1468</v>
      </c>
      <c r="C386" s="124"/>
      <c r="D386" s="124"/>
      <c r="E386" s="124"/>
      <c r="F386" s="78"/>
      <c r="G386" s="125" t="s">
        <v>2531</v>
      </c>
      <c r="H386" s="126"/>
      <c r="I386" s="126"/>
      <c r="J386" s="126"/>
      <c r="K386" s="78"/>
      <c r="L386" s="1004"/>
      <c r="M386" s="1004"/>
      <c r="N386" s="1004"/>
      <c r="O386" s="1004"/>
      <c r="P386" s="1004"/>
      <c r="Q386" s="1004"/>
      <c r="R386" s="1004"/>
      <c r="S386" s="1004"/>
      <c r="T386" s="1004"/>
      <c r="U386" s="1004"/>
      <c r="V386" s="1004"/>
      <c r="W386" s="1004"/>
      <c r="X386" s="2290"/>
      <c r="Y386" s="1004"/>
      <c r="Z386" s="1004"/>
      <c r="AA386" s="1004"/>
      <c r="AB386" s="2291"/>
      <c r="AC386" s="1004"/>
      <c r="AD386" s="1004"/>
      <c r="AE386" s="1004"/>
      <c r="AF386" s="1005"/>
      <c r="AG386" s="1005"/>
      <c r="AH386" s="1005"/>
      <c r="AI386" s="1005"/>
      <c r="AJ386" s="1005"/>
      <c r="AK386" s="1005"/>
      <c r="AL386" s="1005"/>
      <c r="AM386" s="1005"/>
      <c r="AN386" s="1005"/>
      <c r="AO386" s="2431"/>
      <c r="AP386" s="1005"/>
      <c r="AQ386" s="1005"/>
      <c r="AR386" s="1005"/>
      <c r="AS386" s="1005"/>
      <c r="AT386" s="5044"/>
      <c r="AU386" s="2431"/>
      <c r="AV386" s="1005"/>
      <c r="AW386" s="1005"/>
      <c r="AX386" s="1005"/>
      <c r="AY386" s="2432"/>
      <c r="AZ386" s="4715"/>
      <c r="BA386" s="4715"/>
      <c r="BB386" s="4715"/>
      <c r="BC386" s="1005"/>
      <c r="BD386" s="1005"/>
      <c r="BE386" s="1005"/>
      <c r="BF386" s="1005"/>
      <c r="BG386" s="1005"/>
      <c r="BH386" s="1005"/>
      <c r="BI386" s="1005"/>
      <c r="BJ386" s="80"/>
      <c r="BK386" s="80"/>
      <c r="BL386" s="80"/>
      <c r="BM386" s="80"/>
      <c r="BN386" s="80"/>
      <c r="BO386" s="80"/>
      <c r="BP386" s="1952"/>
      <c r="BQ386" s="130"/>
      <c r="BR386" s="1953"/>
      <c r="BS386" s="18"/>
    </row>
    <row r="387" spans="2:71" ht="24" customHeight="1" thickBot="1">
      <c r="B387" s="1961"/>
      <c r="C387" s="4716" t="s">
        <v>1469</v>
      </c>
      <c r="D387" s="4717"/>
      <c r="E387" s="4717"/>
      <c r="F387" s="2371" t="s">
        <v>168</v>
      </c>
      <c r="G387" s="739"/>
      <c r="H387" s="698" t="s">
        <v>1470</v>
      </c>
      <c r="I387" s="698"/>
      <c r="J387" s="655"/>
      <c r="K387" s="881" t="s">
        <v>168</v>
      </c>
      <c r="L387" s="1079"/>
      <c r="M387" s="1079"/>
      <c r="N387" s="1079"/>
      <c r="O387" s="1079"/>
      <c r="P387" s="1079"/>
      <c r="Q387" s="1079"/>
      <c r="R387" s="1079"/>
      <c r="S387" s="1079"/>
      <c r="T387" s="1079"/>
      <c r="U387" s="1079"/>
      <c r="V387" s="1079"/>
      <c r="W387" s="5075"/>
      <c r="X387" s="2308"/>
      <c r="Y387" s="1079"/>
      <c r="Z387" s="1079"/>
      <c r="AA387" s="1079"/>
      <c r="AB387" s="2309"/>
      <c r="AC387" s="5076"/>
      <c r="AD387" s="1079"/>
      <c r="AE387" s="1079"/>
      <c r="AF387" s="1080"/>
      <c r="AG387" s="1080"/>
      <c r="AH387" s="1080"/>
      <c r="AI387" s="1080"/>
      <c r="AJ387" s="1080"/>
      <c r="AK387" s="1080"/>
      <c r="AL387" s="1080"/>
      <c r="AM387" s="1080"/>
      <c r="AN387" s="4718"/>
      <c r="AO387" s="2440"/>
      <c r="AP387" s="1081"/>
      <c r="AQ387" s="1080"/>
      <c r="AR387" s="1081"/>
      <c r="AS387" s="4718"/>
      <c r="AT387" s="5077"/>
      <c r="AU387" s="2440"/>
      <c r="AV387" s="1081"/>
      <c r="AW387" s="1080"/>
      <c r="AX387" s="1081"/>
      <c r="AY387" s="2441"/>
      <c r="AZ387" s="2451"/>
      <c r="BA387" s="1083"/>
      <c r="BB387" s="1082"/>
      <c r="BC387" s="1081"/>
      <c r="BD387" s="1080"/>
      <c r="BE387" s="1080"/>
      <c r="BF387" s="1081"/>
      <c r="BG387" s="1080"/>
      <c r="BH387" s="1081"/>
      <c r="BI387" s="1080"/>
      <c r="BJ387" s="262"/>
      <c r="BK387" s="262"/>
      <c r="BL387" s="162"/>
      <c r="BM387" s="534"/>
      <c r="BN387" s="534"/>
      <c r="BO387" s="299" t="s">
        <v>1435</v>
      </c>
      <c r="BP387" s="1043"/>
      <c r="BQ387" s="1043"/>
      <c r="BR387" s="1044"/>
      <c r="BS387" s="18"/>
    </row>
    <row r="388" spans="2:71" ht="24" customHeight="1">
      <c r="B388" s="4719"/>
      <c r="C388" s="4709"/>
      <c r="D388" s="787" t="s">
        <v>1445</v>
      </c>
      <c r="E388" s="781"/>
      <c r="F388" s="105" t="s">
        <v>1471</v>
      </c>
      <c r="G388" s="106"/>
      <c r="H388" s="353"/>
      <c r="I388" s="384" t="s">
        <v>1472</v>
      </c>
      <c r="J388" s="384"/>
      <c r="K388" s="1034" t="s">
        <v>559</v>
      </c>
      <c r="L388" s="1060">
        <v>15</v>
      </c>
      <c r="M388" s="1084"/>
      <c r="N388" s="1060">
        <v>11</v>
      </c>
      <c r="O388" s="652"/>
      <c r="P388" s="644"/>
      <c r="Q388" s="1045"/>
      <c r="R388" s="789">
        <v>15</v>
      </c>
      <c r="S388" s="1062">
        <v>0</v>
      </c>
      <c r="T388" s="789">
        <v>11</v>
      </c>
      <c r="U388" s="1063">
        <v>0</v>
      </c>
      <c r="V388" s="644"/>
      <c r="W388" s="2097"/>
      <c r="X388" s="2302">
        <v>0</v>
      </c>
      <c r="Y388" s="652">
        <v>0</v>
      </c>
      <c r="Z388" s="542">
        <v>0</v>
      </c>
      <c r="AA388" s="652">
        <v>0</v>
      </c>
      <c r="AB388" s="2303"/>
      <c r="AC388" s="2127">
        <v>0</v>
      </c>
      <c r="AD388" s="542">
        <v>0</v>
      </c>
      <c r="AE388" s="542"/>
      <c r="AF388" s="542">
        <v>0</v>
      </c>
      <c r="AG388" s="542">
        <v>0</v>
      </c>
      <c r="AH388" s="542"/>
      <c r="AI388" s="542">
        <v>0</v>
      </c>
      <c r="AJ388" s="542">
        <v>0</v>
      </c>
      <c r="AK388" s="542"/>
      <c r="AL388" s="542">
        <v>0</v>
      </c>
      <c r="AM388" s="542">
        <v>0</v>
      </c>
      <c r="AN388" s="795"/>
      <c r="AO388" s="2302">
        <v>0</v>
      </c>
      <c r="AP388" s="652">
        <v>0</v>
      </c>
      <c r="AQ388" s="542">
        <v>0</v>
      </c>
      <c r="AR388" s="652">
        <v>0</v>
      </c>
      <c r="AS388" s="542">
        <v>0</v>
      </c>
      <c r="AT388" s="4943">
        <v>0</v>
      </c>
      <c r="AU388" s="2302">
        <v>0</v>
      </c>
      <c r="AV388" s="652">
        <v>0</v>
      </c>
      <c r="AW388" s="542">
        <v>0</v>
      </c>
      <c r="AX388" s="652">
        <v>0</v>
      </c>
      <c r="AY388" s="2303"/>
      <c r="AZ388" s="2449" t="s">
        <v>2532</v>
      </c>
      <c r="BA388" s="737" t="s">
        <v>2533</v>
      </c>
      <c r="BB388" s="1064" t="s">
        <v>2532</v>
      </c>
      <c r="BC388" s="652" t="s">
        <v>2533</v>
      </c>
      <c r="BD388" s="542"/>
      <c r="BE388" s="542"/>
      <c r="BF388" s="652"/>
      <c r="BG388" s="542"/>
      <c r="BH388" s="652"/>
      <c r="BI388" s="542"/>
      <c r="BJ388" s="263" t="s">
        <v>1473</v>
      </c>
      <c r="BK388" s="262" t="s">
        <v>1474</v>
      </c>
      <c r="BL388" s="1034"/>
      <c r="BM388" s="878"/>
      <c r="BN388" s="878"/>
      <c r="BO388" s="299" t="s">
        <v>1435</v>
      </c>
      <c r="BP388" s="277" t="s">
        <v>1475</v>
      </c>
      <c r="BQ388" s="277" t="s">
        <v>1450</v>
      </c>
      <c r="BR388" s="982"/>
      <c r="BS388" s="18"/>
    </row>
    <row r="389" spans="2:71" ht="24" customHeight="1">
      <c r="B389" s="1848"/>
      <c r="C389" s="4621"/>
      <c r="D389" s="787" t="s">
        <v>1466</v>
      </c>
      <c r="E389" s="781"/>
      <c r="F389" s="105" t="s">
        <v>1476</v>
      </c>
      <c r="G389" s="384"/>
      <c r="H389" s="385"/>
      <c r="I389" s="358" t="s">
        <v>1477</v>
      </c>
      <c r="J389" s="358"/>
      <c r="K389" s="162" t="s">
        <v>1013</v>
      </c>
      <c r="L389" s="1060">
        <v>6</v>
      </c>
      <c r="M389" s="1084"/>
      <c r="N389" s="1060">
        <v>6</v>
      </c>
      <c r="O389" s="652"/>
      <c r="P389" s="644"/>
      <c r="Q389" s="1045"/>
      <c r="R389" s="789">
        <v>6</v>
      </c>
      <c r="S389" s="1062">
        <v>0</v>
      </c>
      <c r="T389" s="789">
        <v>6</v>
      </c>
      <c r="U389" s="1063">
        <v>0</v>
      </c>
      <c r="V389" s="644"/>
      <c r="W389" s="2097"/>
      <c r="X389" s="2302">
        <v>0</v>
      </c>
      <c r="Y389" s="652">
        <v>0</v>
      </c>
      <c r="Z389" s="542">
        <v>0</v>
      </c>
      <c r="AA389" s="652">
        <v>0</v>
      </c>
      <c r="AB389" s="2303"/>
      <c r="AC389" s="2127">
        <v>0</v>
      </c>
      <c r="AD389" s="542">
        <v>0</v>
      </c>
      <c r="AE389" s="542"/>
      <c r="AF389" s="542">
        <v>0</v>
      </c>
      <c r="AG389" s="542">
        <v>0</v>
      </c>
      <c r="AH389" s="542"/>
      <c r="AI389" s="542">
        <v>0</v>
      </c>
      <c r="AJ389" s="542">
        <v>0</v>
      </c>
      <c r="AK389" s="542"/>
      <c r="AL389" s="542">
        <v>0</v>
      </c>
      <c r="AM389" s="542">
        <v>0</v>
      </c>
      <c r="AN389" s="795"/>
      <c r="AO389" s="2302">
        <v>0</v>
      </c>
      <c r="AP389" s="652">
        <v>0</v>
      </c>
      <c r="AQ389" s="542">
        <v>0</v>
      </c>
      <c r="AR389" s="652">
        <v>0</v>
      </c>
      <c r="AS389" s="542">
        <v>0</v>
      </c>
      <c r="AT389" s="4943">
        <v>0</v>
      </c>
      <c r="AU389" s="2302">
        <v>0</v>
      </c>
      <c r="AV389" s="652">
        <v>0</v>
      </c>
      <c r="AW389" s="542">
        <v>0</v>
      </c>
      <c r="AX389" s="652">
        <v>0</v>
      </c>
      <c r="AY389" s="2303"/>
      <c r="AZ389" s="2449" t="s">
        <v>2534</v>
      </c>
      <c r="BA389" s="737" t="s">
        <v>2535</v>
      </c>
      <c r="BB389" s="1064" t="s">
        <v>2534</v>
      </c>
      <c r="BC389" s="652" t="s">
        <v>2535</v>
      </c>
      <c r="BD389" s="542"/>
      <c r="BE389" s="542"/>
      <c r="BF389" s="652"/>
      <c r="BG389" s="542"/>
      <c r="BH389" s="652"/>
      <c r="BI389" s="542"/>
      <c r="BJ389" s="367" t="s">
        <v>1478</v>
      </c>
      <c r="BK389" s="367" t="s">
        <v>1479</v>
      </c>
      <c r="BL389" s="162"/>
      <c r="BM389" s="547"/>
      <c r="BN389" s="547"/>
      <c r="BO389" s="299" t="s">
        <v>193</v>
      </c>
      <c r="BP389" s="277" t="s">
        <v>1480</v>
      </c>
      <c r="BQ389" s="265"/>
      <c r="BR389" s="982"/>
      <c r="BS389" s="18"/>
    </row>
    <row r="390" spans="2:71" ht="24" customHeight="1">
      <c r="B390" s="1848"/>
      <c r="C390" s="4599" t="s">
        <v>1481</v>
      </c>
      <c r="D390" s="663"/>
      <c r="E390" s="663"/>
      <c r="F390" s="2371" t="s">
        <v>168</v>
      </c>
      <c r="G390" s="739"/>
      <c r="H390" s="698" t="s">
        <v>1482</v>
      </c>
      <c r="I390" s="698"/>
      <c r="J390" s="655"/>
      <c r="K390" s="881" t="s">
        <v>168</v>
      </c>
      <c r="L390" s="1085"/>
      <c r="M390" s="1085"/>
      <c r="N390" s="1085"/>
      <c r="O390" s="1085"/>
      <c r="P390" s="1085"/>
      <c r="Q390" s="1085"/>
      <c r="R390" s="1085"/>
      <c r="S390" s="1085"/>
      <c r="T390" s="1085"/>
      <c r="U390" s="1085"/>
      <c r="V390" s="1085"/>
      <c r="W390" s="2375"/>
      <c r="X390" s="2310"/>
      <c r="Y390" s="1085"/>
      <c r="Z390" s="1085"/>
      <c r="AA390" s="1085"/>
      <c r="AB390" s="2311"/>
      <c r="AC390" s="1597"/>
      <c r="AD390" s="1085"/>
      <c r="AE390" s="1085"/>
      <c r="AF390" s="318"/>
      <c r="AG390" s="318"/>
      <c r="AH390" s="318"/>
      <c r="AI390" s="318"/>
      <c r="AJ390" s="318"/>
      <c r="AK390" s="318"/>
      <c r="AL390" s="318"/>
      <c r="AM390" s="318"/>
      <c r="AN390" s="4720"/>
      <c r="AO390" s="2384"/>
      <c r="AP390" s="1042"/>
      <c r="AQ390" s="318"/>
      <c r="AR390" s="1042"/>
      <c r="AS390" s="4720"/>
      <c r="AT390" s="5054"/>
      <c r="AU390" s="2384"/>
      <c r="AV390" s="1042"/>
      <c r="AW390" s="318"/>
      <c r="AX390" s="1042"/>
      <c r="AY390" s="2437"/>
      <c r="AZ390" s="2452"/>
      <c r="BA390" s="1087"/>
      <c r="BB390" s="1086"/>
      <c r="BC390" s="1042"/>
      <c r="BD390" s="318"/>
      <c r="BE390" s="318"/>
      <c r="BF390" s="1042"/>
      <c r="BG390" s="318"/>
      <c r="BH390" s="1042"/>
      <c r="BI390" s="318"/>
      <c r="BJ390" s="367"/>
      <c r="BL390" s="162"/>
      <c r="BM390" s="547"/>
      <c r="BN390" s="547"/>
      <c r="BO390" s="299" t="s">
        <v>1435</v>
      </c>
      <c r="BP390" s="1043"/>
      <c r="BQ390" s="691"/>
      <c r="BR390" s="1044"/>
      <c r="BS390" s="18"/>
    </row>
    <row r="391" spans="2:71" ht="24" customHeight="1">
      <c r="B391" s="1848"/>
      <c r="C391" s="4619"/>
      <c r="D391" s="787" t="s">
        <v>1483</v>
      </c>
      <c r="E391" s="781"/>
      <c r="F391" s="105" t="s">
        <v>1476</v>
      </c>
      <c r="G391" s="347"/>
      <c r="H391" s="348"/>
      <c r="I391" s="358" t="s">
        <v>1484</v>
      </c>
      <c r="J391" s="358"/>
      <c r="K391" s="162" t="s">
        <v>559</v>
      </c>
      <c r="L391" s="1060">
        <v>34</v>
      </c>
      <c r="M391" s="1084"/>
      <c r="N391" s="1060">
        <v>24</v>
      </c>
      <c r="O391" s="652"/>
      <c r="P391" s="644"/>
      <c r="Q391" s="1045"/>
      <c r="R391" s="789">
        <v>34</v>
      </c>
      <c r="S391" s="1062">
        <v>0</v>
      </c>
      <c r="T391" s="789">
        <v>24</v>
      </c>
      <c r="U391" s="1063">
        <v>0</v>
      </c>
      <c r="V391" s="644"/>
      <c r="W391" s="2097"/>
      <c r="X391" s="2302">
        <v>0</v>
      </c>
      <c r="Y391" s="652">
        <v>0</v>
      </c>
      <c r="Z391" s="542">
        <v>0</v>
      </c>
      <c r="AA391" s="652">
        <v>0</v>
      </c>
      <c r="AB391" s="2303"/>
      <c r="AC391" s="2127">
        <v>0</v>
      </c>
      <c r="AD391" s="542">
        <v>0</v>
      </c>
      <c r="AE391" s="542"/>
      <c r="AF391" s="542">
        <v>0</v>
      </c>
      <c r="AG391" s="542">
        <v>0</v>
      </c>
      <c r="AH391" s="542"/>
      <c r="AI391" s="542">
        <v>0</v>
      </c>
      <c r="AJ391" s="542">
        <v>0</v>
      </c>
      <c r="AK391" s="542"/>
      <c r="AL391" s="542">
        <v>0</v>
      </c>
      <c r="AM391" s="542">
        <v>0</v>
      </c>
      <c r="AN391" s="795"/>
      <c r="AO391" s="2302">
        <v>0</v>
      </c>
      <c r="AP391" s="652">
        <v>0</v>
      </c>
      <c r="AQ391" s="542">
        <v>0</v>
      </c>
      <c r="AR391" s="652">
        <v>0</v>
      </c>
      <c r="AS391" s="542">
        <v>0</v>
      </c>
      <c r="AT391" s="4943">
        <v>0</v>
      </c>
      <c r="AU391" s="2302">
        <v>0</v>
      </c>
      <c r="AV391" s="652">
        <v>0</v>
      </c>
      <c r="AW391" s="542">
        <v>0</v>
      </c>
      <c r="AX391" s="652">
        <v>0</v>
      </c>
      <c r="AY391" s="2303"/>
      <c r="AZ391" s="2449" t="s">
        <v>2536</v>
      </c>
      <c r="BA391" s="737" t="s">
        <v>2537</v>
      </c>
      <c r="BB391" s="1064" t="s">
        <v>2536</v>
      </c>
      <c r="BC391" s="652" t="s">
        <v>2537</v>
      </c>
      <c r="BD391" s="542"/>
      <c r="BE391" s="542"/>
      <c r="BF391" s="652"/>
      <c r="BG391" s="542"/>
      <c r="BH391" s="652"/>
      <c r="BI391" s="542"/>
      <c r="BJ391" s="367" t="s">
        <v>1485</v>
      </c>
      <c r="BK391" s="367" t="s">
        <v>1486</v>
      </c>
      <c r="BL391" s="162"/>
      <c r="BM391" s="547"/>
      <c r="BN391" s="547"/>
      <c r="BO391" s="299" t="s">
        <v>193</v>
      </c>
      <c r="BP391" s="277" t="s">
        <v>1487</v>
      </c>
      <c r="BQ391" s="265"/>
      <c r="BR391" s="982"/>
      <c r="BS391" s="18"/>
    </row>
    <row r="392" spans="2:71" ht="24" customHeight="1">
      <c r="B392" s="1848"/>
      <c r="C392" s="4621"/>
      <c r="D392" s="787" t="s">
        <v>1488</v>
      </c>
      <c r="E392" s="781"/>
      <c r="F392" s="105" t="s">
        <v>1476</v>
      </c>
      <c r="G392" s="384"/>
      <c r="H392" s="385"/>
      <c r="I392" s="358" t="s">
        <v>1489</v>
      </c>
      <c r="J392" s="358"/>
      <c r="K392" s="162" t="s">
        <v>559</v>
      </c>
      <c r="L392" s="1090"/>
      <c r="M392" s="1084"/>
      <c r="N392" s="1090"/>
      <c r="O392" s="652"/>
      <c r="P392" s="644"/>
      <c r="Q392" s="1045"/>
      <c r="R392" s="789">
        <v>0</v>
      </c>
      <c r="S392" s="1062"/>
      <c r="T392" s="789">
        <v>0</v>
      </c>
      <c r="U392" s="1063"/>
      <c r="V392" s="644"/>
      <c r="W392" s="2097"/>
      <c r="X392" s="2302"/>
      <c r="Y392" s="652"/>
      <c r="Z392" s="542"/>
      <c r="AA392" s="652"/>
      <c r="AB392" s="2303"/>
      <c r="AC392" s="2127"/>
      <c r="AD392" s="542"/>
      <c r="AE392" s="542"/>
      <c r="AF392" s="542"/>
      <c r="AG392" s="542"/>
      <c r="AH392" s="542"/>
      <c r="AI392" s="542"/>
      <c r="AJ392" s="542"/>
      <c r="AK392" s="542"/>
      <c r="AL392" s="542"/>
      <c r="AM392" s="542"/>
      <c r="AN392" s="795"/>
      <c r="AO392" s="2302"/>
      <c r="AP392" s="652"/>
      <c r="AQ392" s="542"/>
      <c r="AR392" s="652"/>
      <c r="AS392" s="795"/>
      <c r="AT392" s="4943"/>
      <c r="AU392" s="2302"/>
      <c r="AV392" s="652"/>
      <c r="AW392" s="542"/>
      <c r="AX392" s="652"/>
      <c r="AY392" s="2303"/>
      <c r="AZ392" s="2449"/>
      <c r="BA392" s="737"/>
      <c r="BB392" s="1064" t="s">
        <v>168</v>
      </c>
      <c r="BC392" s="638"/>
      <c r="BD392" s="542"/>
      <c r="BE392" s="542"/>
      <c r="BF392" s="652"/>
      <c r="BG392" s="542"/>
      <c r="BH392" s="652"/>
      <c r="BI392" s="542"/>
      <c r="BJ392" s="367" t="s">
        <v>1490</v>
      </c>
      <c r="BK392" s="367" t="s">
        <v>1491</v>
      </c>
      <c r="BL392" s="162"/>
      <c r="BM392" s="547"/>
      <c r="BN392" s="547"/>
      <c r="BO392" s="299" t="s">
        <v>193</v>
      </c>
      <c r="BP392" s="277" t="s">
        <v>1492</v>
      </c>
      <c r="BQ392" s="265"/>
      <c r="BR392" s="982"/>
      <c r="BS392" s="18"/>
    </row>
    <row r="393" spans="2:71" ht="24" customHeight="1">
      <c r="B393" s="1848"/>
      <c r="C393" s="4721" t="s">
        <v>1493</v>
      </c>
      <c r="D393" s="698"/>
      <c r="E393" s="655"/>
      <c r="F393" s="2371" t="s">
        <v>168</v>
      </c>
      <c r="G393" s="739"/>
      <c r="H393" s="698" t="s">
        <v>1494</v>
      </c>
      <c r="I393" s="698"/>
      <c r="J393" s="655"/>
      <c r="K393" s="881" t="s">
        <v>168</v>
      </c>
      <c r="L393" s="1085"/>
      <c r="M393" s="1085"/>
      <c r="N393" s="1085"/>
      <c r="O393" s="1085"/>
      <c r="P393" s="1085"/>
      <c r="Q393" s="1085"/>
      <c r="R393" s="1085"/>
      <c r="S393" s="1085"/>
      <c r="T393" s="1085"/>
      <c r="U393" s="1085"/>
      <c r="V393" s="1085"/>
      <c r="W393" s="2375"/>
      <c r="X393" s="2310"/>
      <c r="Y393" s="1085"/>
      <c r="Z393" s="1085"/>
      <c r="AA393" s="1085"/>
      <c r="AB393" s="2311"/>
      <c r="AC393" s="1597"/>
      <c r="AD393" s="1085"/>
      <c r="AE393" s="1085"/>
      <c r="AF393" s="318"/>
      <c r="AG393" s="318"/>
      <c r="AH393" s="318"/>
      <c r="AI393" s="318"/>
      <c r="AJ393" s="318"/>
      <c r="AK393" s="318"/>
      <c r="AL393" s="318"/>
      <c r="AM393" s="318"/>
      <c r="AN393" s="4720"/>
      <c r="AO393" s="2384"/>
      <c r="AP393" s="1042"/>
      <c r="AQ393" s="318"/>
      <c r="AR393" s="1042"/>
      <c r="AS393" s="4720"/>
      <c r="AT393" s="5054"/>
      <c r="AU393" s="2384"/>
      <c r="AV393" s="1042"/>
      <c r="AW393" s="318"/>
      <c r="AX393" s="1042"/>
      <c r="AY393" s="2437"/>
      <c r="AZ393" s="2452"/>
      <c r="BA393" s="1087"/>
      <c r="BB393" s="1086"/>
      <c r="BC393" s="1091"/>
      <c r="BD393" s="318"/>
      <c r="BE393" s="318"/>
      <c r="BF393" s="1042"/>
      <c r="BG393" s="318"/>
      <c r="BH393" s="1042"/>
      <c r="BI393" s="318"/>
      <c r="BJ393" s="367"/>
      <c r="BL393" s="162"/>
      <c r="BM393" s="547"/>
      <c r="BN393" s="547"/>
      <c r="BO393" s="299" t="s">
        <v>1435</v>
      </c>
      <c r="BP393" s="1043"/>
      <c r="BQ393" s="691"/>
      <c r="BR393" s="1044"/>
      <c r="BS393" s="18"/>
    </row>
    <row r="394" spans="2:71" s="139" customFormat="1" ht="24" customHeight="1">
      <c r="B394" s="1754"/>
      <c r="C394" s="11"/>
      <c r="D394" s="787" t="s">
        <v>1495</v>
      </c>
      <c r="E394" s="781"/>
      <c r="F394" s="105" t="s">
        <v>154</v>
      </c>
      <c r="G394" s="347"/>
      <c r="H394" s="1069"/>
      <c r="I394" s="735" t="s">
        <v>1496</v>
      </c>
      <c r="J394" s="735"/>
      <c r="K394" s="109" t="s">
        <v>154</v>
      </c>
      <c r="L394" s="1092">
        <v>90</v>
      </c>
      <c r="M394" s="1093"/>
      <c r="N394" s="1092">
        <v>93.55</v>
      </c>
      <c r="O394" s="580"/>
      <c r="P394" s="1094"/>
      <c r="Q394" s="1045"/>
      <c r="R394" s="5078">
        <v>90</v>
      </c>
      <c r="S394" s="5079">
        <v>0</v>
      </c>
      <c r="T394" s="5078">
        <v>93.55</v>
      </c>
      <c r="U394" s="1672">
        <v>0</v>
      </c>
      <c r="V394" s="1094"/>
      <c r="W394" s="2097"/>
      <c r="X394" s="2312">
        <v>0</v>
      </c>
      <c r="Y394" s="581">
        <v>0</v>
      </c>
      <c r="Z394" s="1095">
        <v>0</v>
      </c>
      <c r="AA394" s="581">
        <v>0</v>
      </c>
      <c r="AB394" s="2313"/>
      <c r="AC394" s="2146">
        <v>0</v>
      </c>
      <c r="AD394" s="1095">
        <v>0</v>
      </c>
      <c r="AE394" s="1095"/>
      <c r="AF394" s="1095">
        <v>0</v>
      </c>
      <c r="AG394" s="1095">
        <v>0</v>
      </c>
      <c r="AH394" s="1095"/>
      <c r="AI394" s="1095">
        <v>0</v>
      </c>
      <c r="AJ394" s="1095">
        <v>0</v>
      </c>
      <c r="AK394" s="1095"/>
      <c r="AL394" s="1095">
        <v>0</v>
      </c>
      <c r="AM394" s="1095">
        <v>0</v>
      </c>
      <c r="AN394" s="4722"/>
      <c r="AO394" s="2312">
        <v>0</v>
      </c>
      <c r="AP394" s="581">
        <v>0</v>
      </c>
      <c r="AQ394" s="1095">
        <v>0</v>
      </c>
      <c r="AR394" s="581">
        <v>0</v>
      </c>
      <c r="AS394" s="1095">
        <v>0</v>
      </c>
      <c r="AT394" s="4895">
        <v>0</v>
      </c>
      <c r="AU394" s="2312">
        <v>0</v>
      </c>
      <c r="AV394" s="581">
        <v>0</v>
      </c>
      <c r="AW394" s="1095">
        <v>0</v>
      </c>
      <c r="AX394" s="581">
        <v>0</v>
      </c>
      <c r="AY394" s="2313"/>
      <c r="AZ394" s="2453" t="s">
        <v>2538</v>
      </c>
      <c r="BA394" s="1097">
        <v>1</v>
      </c>
      <c r="BB394" s="1096" t="s">
        <v>2538</v>
      </c>
      <c r="BC394" s="581">
        <v>1</v>
      </c>
      <c r="BD394" s="1095"/>
      <c r="BE394" s="1095"/>
      <c r="BF394" s="581"/>
      <c r="BG394" s="1095"/>
      <c r="BH394" s="581"/>
      <c r="BI394" s="1095"/>
      <c r="BJ394" s="276" t="s">
        <v>1497</v>
      </c>
      <c r="BK394" s="367" t="s">
        <v>1498</v>
      </c>
      <c r="BL394" s="162"/>
      <c r="BM394" s="547"/>
      <c r="BN394" s="547"/>
      <c r="BO394" s="299" t="s">
        <v>193</v>
      </c>
      <c r="BP394" s="277" t="s">
        <v>1499</v>
      </c>
      <c r="BQ394" s="265"/>
      <c r="BR394" s="982"/>
      <c r="BS394" s="18"/>
    </row>
    <row r="395" spans="2:71" s="139" customFormat="1" ht="24" customHeight="1">
      <c r="B395" s="1754"/>
      <c r="C395" s="4620"/>
      <c r="D395" s="787" t="s">
        <v>1500</v>
      </c>
      <c r="E395" s="781"/>
      <c r="F395" s="105" t="s">
        <v>154</v>
      </c>
      <c r="G395" s="106"/>
      <c r="H395" s="1098"/>
      <c r="I395" s="735" t="s">
        <v>1501</v>
      </c>
      <c r="J395" s="735"/>
      <c r="K395" s="109" t="s">
        <v>154</v>
      </c>
      <c r="L395" s="1092">
        <v>97.77</v>
      </c>
      <c r="M395" s="1093"/>
      <c r="N395" s="1092">
        <v>100</v>
      </c>
      <c r="O395" s="580"/>
      <c r="P395" s="1094"/>
      <c r="Q395" s="1045"/>
      <c r="R395" s="5078">
        <v>97.77</v>
      </c>
      <c r="S395" s="5079">
        <v>0</v>
      </c>
      <c r="T395" s="5078">
        <v>100</v>
      </c>
      <c r="U395" s="1672">
        <v>0</v>
      </c>
      <c r="V395" s="1094"/>
      <c r="W395" s="2097"/>
      <c r="X395" s="2312">
        <v>0</v>
      </c>
      <c r="Y395" s="581">
        <v>0</v>
      </c>
      <c r="Z395" s="1095">
        <v>0</v>
      </c>
      <c r="AA395" s="581">
        <v>0</v>
      </c>
      <c r="AB395" s="2313"/>
      <c r="AC395" s="2146">
        <v>0</v>
      </c>
      <c r="AD395" s="1095">
        <v>0</v>
      </c>
      <c r="AE395" s="1095"/>
      <c r="AF395" s="1095">
        <v>0</v>
      </c>
      <c r="AG395" s="1095">
        <v>0</v>
      </c>
      <c r="AH395" s="1095"/>
      <c r="AI395" s="1095">
        <v>0</v>
      </c>
      <c r="AJ395" s="1095">
        <v>0</v>
      </c>
      <c r="AK395" s="1095"/>
      <c r="AL395" s="1095">
        <v>0</v>
      </c>
      <c r="AM395" s="1095">
        <v>0</v>
      </c>
      <c r="AN395" s="4722"/>
      <c r="AO395" s="2312">
        <v>0</v>
      </c>
      <c r="AP395" s="581">
        <v>0</v>
      </c>
      <c r="AQ395" s="1095">
        <v>0</v>
      </c>
      <c r="AR395" s="581">
        <v>0</v>
      </c>
      <c r="AS395" s="1095">
        <v>0</v>
      </c>
      <c r="AT395" s="4895">
        <v>0</v>
      </c>
      <c r="AU395" s="2312">
        <v>0</v>
      </c>
      <c r="AV395" s="581">
        <v>0</v>
      </c>
      <c r="AW395" s="1095">
        <v>0</v>
      </c>
      <c r="AX395" s="581">
        <v>0</v>
      </c>
      <c r="AY395" s="2313"/>
      <c r="AZ395" s="2453" t="s">
        <v>2539</v>
      </c>
      <c r="BA395" s="1097" t="s">
        <v>169</v>
      </c>
      <c r="BB395" s="1096" t="s">
        <v>2538</v>
      </c>
      <c r="BC395" s="581" t="s">
        <v>169</v>
      </c>
      <c r="BD395" s="1095"/>
      <c r="BE395" s="1095"/>
      <c r="BF395" s="581"/>
      <c r="BG395" s="1095"/>
      <c r="BH395" s="581"/>
      <c r="BI395" s="1095"/>
      <c r="BJ395" s="276" t="s">
        <v>1502</v>
      </c>
      <c r="BK395" s="367" t="s">
        <v>1503</v>
      </c>
      <c r="BL395" s="162"/>
      <c r="BM395" s="547"/>
      <c r="BN395" s="547"/>
      <c r="BO395" s="299" t="s">
        <v>193</v>
      </c>
      <c r="BP395" s="277" t="s">
        <v>1504</v>
      </c>
      <c r="BQ395" s="265"/>
      <c r="BR395" s="982"/>
      <c r="BS395" s="18"/>
    </row>
    <row r="396" spans="2:71" s="139" customFormat="1" ht="24" customHeight="1">
      <c r="B396" s="1754"/>
      <c r="C396" s="4620"/>
      <c r="D396" s="787" t="s">
        <v>1505</v>
      </c>
      <c r="E396" s="781"/>
      <c r="F396" s="105" t="s">
        <v>154</v>
      </c>
      <c r="G396" s="106"/>
      <c r="H396" s="1098"/>
      <c r="I396" s="735" t="s">
        <v>1506</v>
      </c>
      <c r="J396" s="735"/>
      <c r="K396" s="109" t="s">
        <v>154</v>
      </c>
      <c r="L396" s="1092">
        <v>100</v>
      </c>
      <c r="M396" s="1093"/>
      <c r="N396" s="1092">
        <v>100</v>
      </c>
      <c r="O396" s="580"/>
      <c r="P396" s="1094"/>
      <c r="Q396" s="1045"/>
      <c r="R396" s="581">
        <v>100</v>
      </c>
      <c r="S396" s="1097">
        <v>0</v>
      </c>
      <c r="T396" s="581">
        <v>100</v>
      </c>
      <c r="U396" s="5080">
        <v>0</v>
      </c>
      <c r="V396" s="1094"/>
      <c r="W396" s="2097"/>
      <c r="X396" s="2312">
        <v>0</v>
      </c>
      <c r="Y396" s="581">
        <v>0</v>
      </c>
      <c r="Z396" s="1095">
        <v>0</v>
      </c>
      <c r="AA396" s="581">
        <v>0</v>
      </c>
      <c r="AB396" s="2313"/>
      <c r="AC396" s="2146">
        <v>0</v>
      </c>
      <c r="AD396" s="1095">
        <v>0</v>
      </c>
      <c r="AE396" s="1095"/>
      <c r="AF396" s="1095">
        <v>0</v>
      </c>
      <c r="AG396" s="1095">
        <v>0</v>
      </c>
      <c r="AH396" s="1095"/>
      <c r="AI396" s="1095">
        <v>0</v>
      </c>
      <c r="AJ396" s="1095">
        <v>0</v>
      </c>
      <c r="AK396" s="1095"/>
      <c r="AL396" s="1095">
        <v>0</v>
      </c>
      <c r="AM396" s="1095">
        <v>0</v>
      </c>
      <c r="AN396" s="4722"/>
      <c r="AO396" s="2312">
        <v>0</v>
      </c>
      <c r="AP396" s="581">
        <v>0</v>
      </c>
      <c r="AQ396" s="1095">
        <v>0</v>
      </c>
      <c r="AR396" s="581">
        <v>0</v>
      </c>
      <c r="AS396" s="1095">
        <v>0</v>
      </c>
      <c r="AT396" s="4895">
        <v>0</v>
      </c>
      <c r="AU396" s="2312">
        <v>0</v>
      </c>
      <c r="AV396" s="581">
        <v>0</v>
      </c>
      <c r="AW396" s="1095">
        <v>0</v>
      </c>
      <c r="AX396" s="581">
        <v>0</v>
      </c>
      <c r="AY396" s="2313"/>
      <c r="AZ396" s="2453" t="s">
        <v>2540</v>
      </c>
      <c r="BA396" s="1097" t="s">
        <v>169</v>
      </c>
      <c r="BB396" s="1096" t="s">
        <v>2540</v>
      </c>
      <c r="BC396" s="581" t="s">
        <v>169</v>
      </c>
      <c r="BD396" s="1095"/>
      <c r="BE396" s="1095"/>
      <c r="BF396" s="581"/>
      <c r="BG396" s="1095"/>
      <c r="BH396" s="581"/>
      <c r="BI396" s="1095"/>
      <c r="BJ396" s="276" t="s">
        <v>1507</v>
      </c>
      <c r="BK396" s="367" t="s">
        <v>1508</v>
      </c>
      <c r="BL396" s="162"/>
      <c r="BM396" s="547"/>
      <c r="BN396" s="547"/>
      <c r="BO396" s="299" t="s">
        <v>193</v>
      </c>
      <c r="BP396" s="277" t="s">
        <v>1509</v>
      </c>
      <c r="BQ396" s="265"/>
      <c r="BR396" s="982"/>
      <c r="BS396" s="18"/>
    </row>
    <row r="397" spans="2:71" s="139" customFormat="1" ht="24" customHeight="1">
      <c r="B397" s="1754"/>
      <c r="C397" s="4620"/>
      <c r="D397" s="787" t="s">
        <v>1510</v>
      </c>
      <c r="E397" s="781"/>
      <c r="F397" s="105" t="s">
        <v>154</v>
      </c>
      <c r="G397" s="106"/>
      <c r="H397" s="1098"/>
      <c r="I397" s="735" t="s">
        <v>1511</v>
      </c>
      <c r="J397" s="735"/>
      <c r="K397" s="109" t="s">
        <v>154</v>
      </c>
      <c r="L397" s="1092">
        <v>100</v>
      </c>
      <c r="M397" s="1093"/>
      <c r="N397" s="1092">
        <v>100</v>
      </c>
      <c r="O397" s="580"/>
      <c r="P397" s="1094"/>
      <c r="Q397" s="1045"/>
      <c r="R397" s="581">
        <v>100</v>
      </c>
      <c r="S397" s="1097">
        <v>0</v>
      </c>
      <c r="T397" s="581">
        <v>100</v>
      </c>
      <c r="U397" s="5080">
        <v>0</v>
      </c>
      <c r="V397" s="1094"/>
      <c r="W397" s="2097"/>
      <c r="X397" s="2312">
        <v>0</v>
      </c>
      <c r="Y397" s="581">
        <v>0</v>
      </c>
      <c r="Z397" s="1095">
        <v>0</v>
      </c>
      <c r="AA397" s="581">
        <v>0</v>
      </c>
      <c r="AB397" s="2313"/>
      <c r="AC397" s="2146">
        <v>0</v>
      </c>
      <c r="AD397" s="1095">
        <v>0</v>
      </c>
      <c r="AE397" s="1095"/>
      <c r="AF397" s="1095">
        <v>0</v>
      </c>
      <c r="AG397" s="1095">
        <v>0</v>
      </c>
      <c r="AH397" s="1095"/>
      <c r="AI397" s="1095">
        <v>0</v>
      </c>
      <c r="AJ397" s="1095">
        <v>0</v>
      </c>
      <c r="AK397" s="1095"/>
      <c r="AL397" s="1095">
        <v>0</v>
      </c>
      <c r="AM397" s="1095">
        <v>0</v>
      </c>
      <c r="AN397" s="4722"/>
      <c r="AO397" s="2312">
        <v>0</v>
      </c>
      <c r="AP397" s="581">
        <v>0</v>
      </c>
      <c r="AQ397" s="1095">
        <v>0</v>
      </c>
      <c r="AR397" s="581">
        <v>0</v>
      </c>
      <c r="AS397" s="1095">
        <v>0</v>
      </c>
      <c r="AT397" s="4895">
        <v>0</v>
      </c>
      <c r="AU397" s="2312">
        <v>0</v>
      </c>
      <c r="AV397" s="581">
        <v>0</v>
      </c>
      <c r="AW397" s="1095">
        <v>0</v>
      </c>
      <c r="AX397" s="581">
        <v>0</v>
      </c>
      <c r="AY397" s="2313"/>
      <c r="AZ397" s="2453" t="s">
        <v>2541</v>
      </c>
      <c r="BA397" s="1097" t="s">
        <v>169</v>
      </c>
      <c r="BB397" s="1096" t="s">
        <v>2541</v>
      </c>
      <c r="BC397" s="581" t="s">
        <v>169</v>
      </c>
      <c r="BD397" s="1095"/>
      <c r="BE397" s="1095"/>
      <c r="BF397" s="581"/>
      <c r="BG397" s="1095"/>
      <c r="BH397" s="581"/>
      <c r="BI397" s="1095"/>
      <c r="BJ397" s="276" t="s">
        <v>1512</v>
      </c>
      <c r="BK397" s="367" t="s">
        <v>1513</v>
      </c>
      <c r="BL397" s="162"/>
      <c r="BM397" s="547"/>
      <c r="BN397" s="547"/>
      <c r="BO397" s="299" t="s">
        <v>193</v>
      </c>
      <c r="BP397" s="277" t="s">
        <v>1514</v>
      </c>
      <c r="BQ397" s="265"/>
      <c r="BR397" s="982"/>
      <c r="BS397" s="18"/>
    </row>
    <row r="398" spans="2:71" s="139" customFormat="1" ht="24" customHeight="1">
      <c r="B398" s="1754"/>
      <c r="C398" s="1906"/>
      <c r="D398" s="787" t="s">
        <v>1515</v>
      </c>
      <c r="E398" s="781"/>
      <c r="F398" s="105" t="s">
        <v>154</v>
      </c>
      <c r="G398" s="384"/>
      <c r="H398" s="1099"/>
      <c r="I398" s="735" t="s">
        <v>1516</v>
      </c>
      <c r="J398" s="735"/>
      <c r="K398" s="109" t="s">
        <v>154</v>
      </c>
      <c r="L398" s="1092">
        <v>94.44</v>
      </c>
      <c r="M398" s="1093"/>
      <c r="N398" s="1092">
        <v>100</v>
      </c>
      <c r="O398" s="580"/>
      <c r="P398" s="1094"/>
      <c r="Q398" s="1045"/>
      <c r="R398" s="5078">
        <v>94.44</v>
      </c>
      <c r="S398" s="5079">
        <v>0</v>
      </c>
      <c r="T398" s="5078">
        <v>100</v>
      </c>
      <c r="U398" s="1672">
        <v>0</v>
      </c>
      <c r="V398" s="1094"/>
      <c r="W398" s="2097"/>
      <c r="X398" s="2312">
        <v>0</v>
      </c>
      <c r="Y398" s="581">
        <v>0</v>
      </c>
      <c r="Z398" s="1095">
        <v>0</v>
      </c>
      <c r="AA398" s="581">
        <v>0</v>
      </c>
      <c r="AB398" s="2313"/>
      <c r="AC398" s="2146">
        <v>0</v>
      </c>
      <c r="AD398" s="1095">
        <v>0</v>
      </c>
      <c r="AE398" s="1095"/>
      <c r="AF398" s="1095">
        <v>0</v>
      </c>
      <c r="AG398" s="1095">
        <v>0</v>
      </c>
      <c r="AH398" s="1095"/>
      <c r="AI398" s="1095">
        <v>0</v>
      </c>
      <c r="AJ398" s="1095">
        <v>0</v>
      </c>
      <c r="AK398" s="1095"/>
      <c r="AL398" s="1095">
        <v>0</v>
      </c>
      <c r="AM398" s="1095">
        <v>0</v>
      </c>
      <c r="AN398" s="4722"/>
      <c r="AO398" s="2312">
        <v>0</v>
      </c>
      <c r="AP398" s="581">
        <v>0</v>
      </c>
      <c r="AQ398" s="1095">
        <v>0</v>
      </c>
      <c r="AR398" s="581">
        <v>0</v>
      </c>
      <c r="AS398" s="1095">
        <v>0</v>
      </c>
      <c r="AT398" s="4895">
        <v>0</v>
      </c>
      <c r="AU398" s="2312">
        <v>0</v>
      </c>
      <c r="AV398" s="581">
        <v>0</v>
      </c>
      <c r="AW398" s="1095">
        <v>0</v>
      </c>
      <c r="AX398" s="581">
        <v>0</v>
      </c>
      <c r="AY398" s="2313"/>
      <c r="AZ398" s="2453" t="s">
        <v>2542</v>
      </c>
      <c r="BA398" s="1097" t="s">
        <v>169</v>
      </c>
      <c r="BB398" s="1096" t="s">
        <v>2542</v>
      </c>
      <c r="BC398" s="581" t="s">
        <v>169</v>
      </c>
      <c r="BD398" s="1095"/>
      <c r="BE398" s="1095"/>
      <c r="BF398" s="581"/>
      <c r="BG398" s="1095"/>
      <c r="BH398" s="581"/>
      <c r="BI398" s="1095"/>
      <c r="BJ398" s="276" t="s">
        <v>1517</v>
      </c>
      <c r="BK398" s="367" t="s">
        <v>1518</v>
      </c>
      <c r="BL398" s="162"/>
      <c r="BM398" s="547"/>
      <c r="BN398" s="547"/>
      <c r="BO398" s="299" t="s">
        <v>193</v>
      </c>
      <c r="BP398" s="277" t="s">
        <v>1519</v>
      </c>
      <c r="BQ398" s="265"/>
      <c r="BR398" s="982"/>
      <c r="BS398" s="18"/>
    </row>
    <row r="399" spans="2:71" s="139" customFormat="1" ht="24" customHeight="1">
      <c r="B399" s="1747"/>
      <c r="C399" s="4669" t="s">
        <v>1520</v>
      </c>
      <c r="D399" s="924"/>
      <c r="E399" s="924"/>
      <c r="F399" s="105" t="s">
        <v>742</v>
      </c>
      <c r="G399" s="358"/>
      <c r="H399" s="359" t="s">
        <v>1521</v>
      </c>
      <c r="I399" s="359"/>
      <c r="J399" s="643"/>
      <c r="K399" s="109" t="s">
        <v>734</v>
      </c>
      <c r="L399" s="1060">
        <v>3</v>
      </c>
      <c r="M399" s="1084"/>
      <c r="N399" s="1060">
        <v>4</v>
      </c>
      <c r="O399" s="652"/>
      <c r="P399" s="644"/>
      <c r="Q399" s="1045"/>
      <c r="R399" s="789">
        <v>3</v>
      </c>
      <c r="S399" s="1062">
        <v>0</v>
      </c>
      <c r="T399" s="789">
        <v>4</v>
      </c>
      <c r="U399" s="1063">
        <v>0</v>
      </c>
      <c r="V399" s="644"/>
      <c r="W399" s="2097"/>
      <c r="X399" s="2302">
        <v>0</v>
      </c>
      <c r="Y399" s="543">
        <v>0</v>
      </c>
      <c r="Z399" s="542">
        <v>0</v>
      </c>
      <c r="AA399" s="543">
        <v>0</v>
      </c>
      <c r="AB399" s="2303"/>
      <c r="AC399" s="2127">
        <v>0</v>
      </c>
      <c r="AD399" s="542">
        <v>0</v>
      </c>
      <c r="AE399" s="542"/>
      <c r="AF399" s="542">
        <v>0</v>
      </c>
      <c r="AG399" s="542">
        <v>0</v>
      </c>
      <c r="AH399" s="542"/>
      <c r="AI399" s="542">
        <v>0</v>
      </c>
      <c r="AJ399" s="542">
        <v>0</v>
      </c>
      <c r="AK399" s="542"/>
      <c r="AL399" s="542">
        <v>0</v>
      </c>
      <c r="AM399" s="542">
        <v>0</v>
      </c>
      <c r="AN399" s="795"/>
      <c r="AO399" s="2302">
        <v>0</v>
      </c>
      <c r="AP399" s="543">
        <v>0</v>
      </c>
      <c r="AQ399" s="542">
        <v>0</v>
      </c>
      <c r="AR399" s="543">
        <v>0</v>
      </c>
      <c r="AS399" s="542">
        <v>0</v>
      </c>
      <c r="AT399" s="4885">
        <v>0</v>
      </c>
      <c r="AU399" s="2302">
        <v>0</v>
      </c>
      <c r="AV399" s="543">
        <v>0</v>
      </c>
      <c r="AW399" s="542">
        <v>0</v>
      </c>
      <c r="AX399" s="543">
        <v>0</v>
      </c>
      <c r="AY399" s="2303"/>
      <c r="AZ399" s="2449" t="s">
        <v>2543</v>
      </c>
      <c r="BA399" s="648" t="s">
        <v>2544</v>
      </c>
      <c r="BB399" s="1064" t="s">
        <v>2543</v>
      </c>
      <c r="BC399" s="543" t="s">
        <v>2544</v>
      </c>
      <c r="BD399" s="542"/>
      <c r="BE399" s="542"/>
      <c r="BF399" s="543"/>
      <c r="BG399" s="542"/>
      <c r="BH399" s="543"/>
      <c r="BI399" s="542"/>
      <c r="BJ399" s="276" t="s">
        <v>1520</v>
      </c>
      <c r="BK399" s="367" t="s">
        <v>1521</v>
      </c>
      <c r="BL399" s="162"/>
      <c r="BM399" s="547"/>
      <c r="BN399" s="547"/>
      <c r="BO399" s="299" t="s">
        <v>193</v>
      </c>
      <c r="BP399" s="981" t="s">
        <v>1522</v>
      </c>
      <c r="BQ399" s="427"/>
      <c r="BR399" s="974"/>
      <c r="BS399" s="18"/>
    </row>
    <row r="400" spans="2:71" s="139" customFormat="1" ht="24" customHeight="1">
      <c r="B400" s="1902"/>
      <c r="C400" s="4669" t="s">
        <v>1523</v>
      </c>
      <c r="D400" s="924"/>
      <c r="E400" s="924"/>
      <c r="F400" s="105" t="s">
        <v>742</v>
      </c>
      <c r="G400" s="358"/>
      <c r="H400" s="359" t="s">
        <v>1524</v>
      </c>
      <c r="I400" s="359"/>
      <c r="J400" s="643"/>
      <c r="K400" s="109" t="s">
        <v>734</v>
      </c>
      <c r="L400" s="1060">
        <v>3</v>
      </c>
      <c r="M400" s="1084"/>
      <c r="N400" s="1060">
        <v>4</v>
      </c>
      <c r="O400" s="652"/>
      <c r="P400" s="644"/>
      <c r="Q400" s="1045"/>
      <c r="R400" s="789">
        <v>3</v>
      </c>
      <c r="S400" s="1062">
        <v>0</v>
      </c>
      <c r="T400" s="789">
        <v>4</v>
      </c>
      <c r="U400" s="1063">
        <v>0</v>
      </c>
      <c r="V400" s="644"/>
      <c r="W400" s="2097"/>
      <c r="X400" s="2302">
        <v>0</v>
      </c>
      <c r="Y400" s="543">
        <v>0</v>
      </c>
      <c r="Z400" s="542">
        <v>0</v>
      </c>
      <c r="AA400" s="543">
        <v>0</v>
      </c>
      <c r="AB400" s="2303"/>
      <c r="AC400" s="2127">
        <v>0</v>
      </c>
      <c r="AD400" s="542">
        <v>0</v>
      </c>
      <c r="AE400" s="542"/>
      <c r="AF400" s="542">
        <v>0</v>
      </c>
      <c r="AG400" s="542">
        <v>0</v>
      </c>
      <c r="AH400" s="542"/>
      <c r="AI400" s="542">
        <v>0</v>
      </c>
      <c r="AJ400" s="542">
        <v>0</v>
      </c>
      <c r="AK400" s="542"/>
      <c r="AL400" s="542">
        <v>0</v>
      </c>
      <c r="AM400" s="542">
        <v>0</v>
      </c>
      <c r="AN400" s="795"/>
      <c r="AO400" s="2302">
        <v>0</v>
      </c>
      <c r="AP400" s="543">
        <v>0</v>
      </c>
      <c r="AQ400" s="542">
        <v>0</v>
      </c>
      <c r="AR400" s="543">
        <v>0</v>
      </c>
      <c r="AS400" s="542">
        <v>0</v>
      </c>
      <c r="AT400" s="4885">
        <v>0</v>
      </c>
      <c r="AU400" s="2302">
        <v>0</v>
      </c>
      <c r="AV400" s="543">
        <v>0</v>
      </c>
      <c r="AW400" s="542">
        <v>0</v>
      </c>
      <c r="AX400" s="543">
        <v>0</v>
      </c>
      <c r="AY400" s="2303"/>
      <c r="AZ400" s="2449" t="s">
        <v>2545</v>
      </c>
      <c r="BA400" s="648" t="s">
        <v>169</v>
      </c>
      <c r="BB400" s="1064" t="s">
        <v>2545</v>
      </c>
      <c r="BC400" s="543" t="s">
        <v>169</v>
      </c>
      <c r="BD400" s="542"/>
      <c r="BE400" s="542"/>
      <c r="BF400" s="543"/>
      <c r="BG400" s="542"/>
      <c r="BH400" s="543"/>
      <c r="BI400" s="542"/>
      <c r="BJ400" s="276" t="s">
        <v>1523</v>
      </c>
      <c r="BK400" s="1164" t="s">
        <v>1524</v>
      </c>
      <c r="BL400" s="165"/>
      <c r="BM400" s="1101"/>
      <c r="BN400" s="1102"/>
      <c r="BO400" s="299" t="s">
        <v>193</v>
      </c>
      <c r="BP400" s="1103" t="s">
        <v>1525</v>
      </c>
      <c r="BQ400" s="427"/>
      <c r="BR400" s="974"/>
      <c r="BS400" s="18"/>
    </row>
    <row r="401" spans="2:71" s="139" customFormat="1" ht="24" customHeight="1">
      <c r="B401" s="1747"/>
      <c r="C401" s="4669" t="s">
        <v>1526</v>
      </c>
      <c r="D401" s="924"/>
      <c r="E401" s="924"/>
      <c r="F401" s="105" t="s">
        <v>156</v>
      </c>
      <c r="G401" s="358"/>
      <c r="H401" s="359" t="s">
        <v>1527</v>
      </c>
      <c r="I401" s="359"/>
      <c r="J401" s="348"/>
      <c r="K401" s="122" t="s">
        <v>156</v>
      </c>
      <c r="L401" s="1104"/>
      <c r="M401" s="1105"/>
      <c r="N401" s="1104"/>
      <c r="O401" s="1106"/>
      <c r="P401" s="1107"/>
      <c r="Q401" s="1045"/>
      <c r="R401" s="5081"/>
      <c r="S401" s="5082" t="s">
        <v>1780</v>
      </c>
      <c r="T401" s="5081"/>
      <c r="U401" s="5083" t="s">
        <v>1780</v>
      </c>
      <c r="V401" s="1107"/>
      <c r="W401" s="2097"/>
      <c r="X401" s="2314"/>
      <c r="Y401" s="1109"/>
      <c r="Z401" s="1108"/>
      <c r="AA401" s="1109"/>
      <c r="AB401" s="2315"/>
      <c r="AC401" s="2147"/>
      <c r="AD401" s="1108"/>
      <c r="AE401" s="1108"/>
      <c r="AF401" s="1108"/>
      <c r="AG401" s="1108"/>
      <c r="AH401" s="1108"/>
      <c r="AI401" s="1108"/>
      <c r="AJ401" s="1108"/>
      <c r="AK401" s="1108"/>
      <c r="AL401" s="1108"/>
      <c r="AM401" s="1108"/>
      <c r="AN401" s="2545"/>
      <c r="AO401" s="2314"/>
      <c r="AP401" s="1109"/>
      <c r="AQ401" s="1108"/>
      <c r="AR401" s="1109"/>
      <c r="AS401" s="2545"/>
      <c r="AT401" s="5084"/>
      <c r="AU401" s="2314"/>
      <c r="AV401" s="1109"/>
      <c r="AW401" s="1108"/>
      <c r="AX401" s="1109"/>
      <c r="AY401" s="2315"/>
      <c r="AZ401" s="2454"/>
      <c r="BA401" s="1111"/>
      <c r="BB401" s="1110"/>
      <c r="BC401" s="1109"/>
      <c r="BD401" s="1108"/>
      <c r="BE401" s="1108"/>
      <c r="BF401" s="1109"/>
      <c r="BG401" s="1108"/>
      <c r="BH401" s="1109"/>
      <c r="BI401" s="1108"/>
      <c r="BJ401" s="1112" t="s">
        <v>1528</v>
      </c>
      <c r="BK401" s="1114"/>
      <c r="BL401" s="1114"/>
      <c r="BM401" s="1115"/>
      <c r="BN401" s="773"/>
      <c r="BO401" s="299" t="s">
        <v>193</v>
      </c>
      <c r="BP401" s="1116" t="s">
        <v>1529</v>
      </c>
      <c r="BQ401" s="427"/>
      <c r="BR401" s="974"/>
      <c r="BS401" s="18"/>
    </row>
    <row r="402" spans="2:71" s="139" customFormat="1" ht="24" customHeight="1">
      <c r="B402" s="1965"/>
      <c r="C402" s="1915"/>
      <c r="D402" s="936" t="s">
        <v>1530</v>
      </c>
      <c r="E402" s="924"/>
      <c r="F402" s="105" t="s">
        <v>742</v>
      </c>
      <c r="G402" s="905"/>
      <c r="H402" s="963"/>
      <c r="I402" s="932" t="s">
        <v>1531</v>
      </c>
      <c r="J402" s="993"/>
      <c r="K402" s="109" t="s">
        <v>734</v>
      </c>
      <c r="L402" s="1090"/>
      <c r="M402" s="1084"/>
      <c r="N402" s="1090"/>
      <c r="O402" s="652"/>
      <c r="P402" s="644"/>
      <c r="Q402" s="1045"/>
      <c r="R402" s="5081"/>
      <c r="S402" s="5082" t="s">
        <v>1780</v>
      </c>
      <c r="T402" s="5081"/>
      <c r="U402" s="5083" t="s">
        <v>1780</v>
      </c>
      <c r="V402" s="644"/>
      <c r="W402" s="2097"/>
      <c r="X402" s="2302"/>
      <c r="Y402" s="543"/>
      <c r="Z402" s="542"/>
      <c r="AA402" s="543"/>
      <c r="AB402" s="2303"/>
      <c r="AC402" s="2127"/>
      <c r="AD402" s="542"/>
      <c r="AE402" s="542"/>
      <c r="AF402" s="542"/>
      <c r="AG402" s="542"/>
      <c r="AH402" s="542"/>
      <c r="AI402" s="542"/>
      <c r="AJ402" s="542"/>
      <c r="AK402" s="542"/>
      <c r="AL402" s="542"/>
      <c r="AM402" s="542"/>
      <c r="AN402" s="795"/>
      <c r="AO402" s="2302"/>
      <c r="AP402" s="543"/>
      <c r="AQ402" s="542"/>
      <c r="AR402" s="543"/>
      <c r="AS402" s="795"/>
      <c r="AT402" s="4885"/>
      <c r="AU402" s="2302"/>
      <c r="AV402" s="543"/>
      <c r="AW402" s="542"/>
      <c r="AX402" s="543"/>
      <c r="AY402" s="2303"/>
      <c r="AZ402" s="2449"/>
      <c r="BA402" s="648"/>
      <c r="BB402" s="1064"/>
      <c r="BC402" s="543"/>
      <c r="BD402" s="542"/>
      <c r="BE402" s="542"/>
      <c r="BF402" s="543"/>
      <c r="BG402" s="542"/>
      <c r="BH402" s="543"/>
      <c r="BI402" s="542"/>
      <c r="BJ402" s="1117"/>
      <c r="BK402" s="1119"/>
      <c r="BL402" s="1119"/>
      <c r="BM402" s="1115"/>
      <c r="BN402" s="773"/>
      <c r="BO402" s="299" t="s">
        <v>193</v>
      </c>
      <c r="BP402" s="1120" t="s">
        <v>1529</v>
      </c>
      <c r="BQ402" s="265"/>
      <c r="BR402" s="982"/>
      <c r="BS402" s="18"/>
    </row>
    <row r="403" spans="2:71" s="139" customFormat="1" ht="24" customHeight="1" thickBot="1">
      <c r="B403" s="1968"/>
      <c r="C403" s="4723"/>
      <c r="D403" s="4724" t="s">
        <v>1532</v>
      </c>
      <c r="E403" s="4725"/>
      <c r="F403" s="706" t="s">
        <v>742</v>
      </c>
      <c r="G403" s="1121"/>
      <c r="H403" s="1122"/>
      <c r="I403" s="1123" t="s">
        <v>1533</v>
      </c>
      <c r="J403" s="1124"/>
      <c r="K403" s="711" t="s">
        <v>734</v>
      </c>
      <c r="L403" s="1125">
        <f>L399</f>
        <v>3</v>
      </c>
      <c r="M403" s="1126"/>
      <c r="N403" s="1125">
        <f>N399</f>
        <v>4</v>
      </c>
      <c r="O403" s="1127"/>
      <c r="P403" s="819"/>
      <c r="Q403" s="1045"/>
      <c r="R403" s="713">
        <f>R399</f>
        <v>3</v>
      </c>
      <c r="S403" s="1075" t="s">
        <v>1780</v>
      </c>
      <c r="T403" s="713">
        <f>T399</f>
        <v>4</v>
      </c>
      <c r="U403" s="1076" t="s">
        <v>1780</v>
      </c>
      <c r="V403" s="2148"/>
      <c r="W403" s="2097"/>
      <c r="X403" s="2316">
        <f>X399</f>
        <v>0</v>
      </c>
      <c r="Y403" s="713"/>
      <c r="Z403" s="819">
        <f>Z399</f>
        <v>0</v>
      </c>
      <c r="AA403" s="713"/>
      <c r="AB403" s="2307"/>
      <c r="AC403" s="2148">
        <f>AC399</f>
        <v>0</v>
      </c>
      <c r="AD403" s="819">
        <f>AD399</f>
        <v>0</v>
      </c>
      <c r="AE403" s="712"/>
      <c r="AF403" s="819">
        <f>AF399</f>
        <v>0</v>
      </c>
      <c r="AG403" s="819">
        <f>AG399</f>
        <v>0</v>
      </c>
      <c r="AH403" s="712"/>
      <c r="AI403" s="819">
        <f>AI399</f>
        <v>0</v>
      </c>
      <c r="AJ403" s="819">
        <f>AJ399</f>
        <v>0</v>
      </c>
      <c r="AK403" s="712"/>
      <c r="AL403" s="819">
        <f>AL399</f>
        <v>0</v>
      </c>
      <c r="AM403" s="819">
        <f>AM399</f>
        <v>0</v>
      </c>
      <c r="AN403" s="2542"/>
      <c r="AO403" s="2316">
        <f>AO399</f>
        <v>0</v>
      </c>
      <c r="AP403" s="713"/>
      <c r="AQ403" s="819">
        <f>AQ399</f>
        <v>0</v>
      </c>
      <c r="AR403" s="713"/>
      <c r="AS403" s="2542"/>
      <c r="AT403" s="4936"/>
      <c r="AU403" s="2306"/>
      <c r="AV403" s="713"/>
      <c r="AW403" s="712"/>
      <c r="AX403" s="713"/>
      <c r="AY403" s="2307"/>
      <c r="AZ403" s="2134"/>
      <c r="BA403" s="713"/>
      <c r="BB403" s="712"/>
      <c r="BC403" s="713"/>
      <c r="BD403" s="712"/>
      <c r="BE403" s="712"/>
      <c r="BF403" s="713"/>
      <c r="BG403" s="712"/>
      <c r="BH403" s="713"/>
      <c r="BI403" s="712"/>
      <c r="BJ403" s="5085"/>
      <c r="BK403" s="4726"/>
      <c r="BL403" s="4726"/>
      <c r="BM403" s="4727"/>
      <c r="BN403" s="1129"/>
      <c r="BO403" s="1130" t="s">
        <v>193</v>
      </c>
      <c r="BP403" s="4728" t="s">
        <v>1529</v>
      </c>
      <c r="BQ403" s="1131"/>
      <c r="BR403" s="1975"/>
      <c r="BS403" s="18"/>
    </row>
    <row r="404" spans="2:71" ht="24" customHeight="1" thickBot="1">
      <c r="B404" s="1976" t="s">
        <v>1534</v>
      </c>
      <c r="C404" s="1132"/>
      <c r="D404" s="1132"/>
      <c r="E404" s="1132"/>
      <c r="F404" s="518"/>
      <c r="G404" s="519" t="s">
        <v>2546</v>
      </c>
      <c r="H404" s="1133"/>
      <c r="I404" s="1133"/>
      <c r="J404" s="1133"/>
      <c r="K404" s="518"/>
      <c r="L404" s="600"/>
      <c r="M404" s="600"/>
      <c r="N404" s="600"/>
      <c r="O404" s="600"/>
      <c r="P404" s="600"/>
      <c r="Q404" s="1004"/>
      <c r="R404" s="600"/>
      <c r="S404" s="600"/>
      <c r="T404" s="600"/>
      <c r="U404" s="600"/>
      <c r="V404" s="600"/>
      <c r="W404" s="1004"/>
      <c r="X404" s="2271"/>
      <c r="Y404" s="600"/>
      <c r="Z404" s="600"/>
      <c r="AA404" s="600"/>
      <c r="AB404" s="2272"/>
      <c r="AC404" s="600"/>
      <c r="AD404" s="600"/>
      <c r="AE404" s="600"/>
      <c r="AF404" s="1134"/>
      <c r="AG404" s="1134"/>
      <c r="AH404" s="1134"/>
      <c r="AI404" s="1134"/>
      <c r="AJ404" s="1134"/>
      <c r="AK404" s="1134"/>
      <c r="AL404" s="1134"/>
      <c r="AM404" s="1134"/>
      <c r="AN404" s="1134"/>
      <c r="AO404" s="2410"/>
      <c r="AP404" s="1134"/>
      <c r="AQ404" s="1134"/>
      <c r="AR404" s="1134"/>
      <c r="AS404" s="1134"/>
      <c r="AT404" s="5086"/>
      <c r="AU404" s="2410"/>
      <c r="AV404" s="1134"/>
      <c r="AW404" s="1134"/>
      <c r="AX404" s="1134"/>
      <c r="AY404" s="2411"/>
      <c r="AZ404" s="1134"/>
      <c r="BA404" s="1134"/>
      <c r="BB404" s="1134"/>
      <c r="BC404" s="1134"/>
      <c r="BD404" s="1134"/>
      <c r="BE404" s="1134"/>
      <c r="BF404" s="1134"/>
      <c r="BG404" s="1134"/>
      <c r="BH404" s="1134"/>
      <c r="BI404" s="1134"/>
      <c r="BJ404" s="1133"/>
      <c r="BK404" s="1133"/>
      <c r="BL404" s="1135"/>
      <c r="BM404" s="1135"/>
      <c r="BN404" s="4729"/>
      <c r="BO404" s="1135"/>
      <c r="BP404" s="1136"/>
      <c r="BQ404" s="1136"/>
      <c r="BR404" s="1137"/>
      <c r="BS404" s="18"/>
    </row>
    <row r="405" spans="2:71" ht="24" customHeight="1" thickBot="1">
      <c r="B405" s="1980"/>
      <c r="C405" s="4730" t="s">
        <v>1468</v>
      </c>
      <c r="D405" s="1138"/>
      <c r="E405" s="1138"/>
      <c r="F405" s="4731" t="s">
        <v>168</v>
      </c>
      <c r="G405" s="1056"/>
      <c r="H405" s="1138" t="s">
        <v>1867</v>
      </c>
      <c r="I405" s="1138"/>
      <c r="J405" s="1138"/>
      <c r="K405" s="1139" t="s">
        <v>168</v>
      </c>
      <c r="L405" s="1140"/>
      <c r="M405" s="1140"/>
      <c r="N405" s="1140"/>
      <c r="O405" s="1140"/>
      <c r="P405" s="1140"/>
      <c r="Q405" s="1045"/>
      <c r="R405" s="1140"/>
      <c r="S405" s="1140"/>
      <c r="T405" s="1140"/>
      <c r="U405" s="1140"/>
      <c r="V405" s="1140"/>
      <c r="W405" s="2097"/>
      <c r="X405" s="2317"/>
      <c r="Y405" s="1140"/>
      <c r="Z405" s="1140"/>
      <c r="AA405" s="1140"/>
      <c r="AB405" s="2318"/>
      <c r="AC405" s="2532"/>
      <c r="AD405" s="1140"/>
      <c r="AE405" s="1140"/>
      <c r="AF405" s="953"/>
      <c r="AG405" s="953"/>
      <c r="AH405" s="953"/>
      <c r="AI405" s="953"/>
      <c r="AJ405" s="953"/>
      <c r="AK405" s="953"/>
      <c r="AL405" s="953"/>
      <c r="AM405" s="953"/>
      <c r="AN405" s="4707"/>
      <c r="AO405" s="2423"/>
      <c r="AP405" s="954"/>
      <c r="AQ405" s="953"/>
      <c r="AR405" s="954"/>
      <c r="AS405" s="4707"/>
      <c r="AT405" s="5010"/>
      <c r="AU405" s="2423"/>
      <c r="AV405" s="954"/>
      <c r="AW405" s="953"/>
      <c r="AX405" s="954"/>
      <c r="AY405" s="2424"/>
      <c r="AZ405" s="2140"/>
      <c r="BA405" s="954"/>
      <c r="BB405" s="953"/>
      <c r="BC405" s="954"/>
      <c r="BD405" s="953"/>
      <c r="BE405" s="953"/>
      <c r="BF405" s="954"/>
      <c r="BG405" s="953"/>
      <c r="BH405" s="954"/>
      <c r="BI405" s="953"/>
      <c r="BJ405" s="1141"/>
      <c r="BK405" s="1141"/>
      <c r="BL405" s="162"/>
      <c r="BM405" s="4732"/>
      <c r="BN405" s="4733"/>
      <c r="BO405" s="299"/>
      <c r="BP405" s="4734"/>
      <c r="BQ405" s="5087"/>
      <c r="BR405" s="5088"/>
      <c r="BS405" s="18"/>
    </row>
    <row r="406" spans="2:71" ht="24" customHeight="1">
      <c r="B406" s="4735"/>
      <c r="C406" s="4709"/>
      <c r="D406" s="1142" t="s">
        <v>1536</v>
      </c>
      <c r="E406" s="915"/>
      <c r="F406" s="1143" t="s">
        <v>33</v>
      </c>
      <c r="G406" s="106"/>
      <c r="H406" s="353"/>
      <c r="I406" s="384" t="s">
        <v>1537</v>
      </c>
      <c r="J406" s="384"/>
      <c r="K406" s="1034" t="s">
        <v>35</v>
      </c>
      <c r="L406" s="1144">
        <v>975</v>
      </c>
      <c r="M406" s="1145"/>
      <c r="N406" s="1144">
        <v>2044</v>
      </c>
      <c r="O406" s="1146"/>
      <c r="P406" s="1147"/>
      <c r="Q406" s="1045"/>
      <c r="R406" s="1148">
        <v>975</v>
      </c>
      <c r="S406" s="5089">
        <v>0</v>
      </c>
      <c r="T406" s="1148">
        <v>2044</v>
      </c>
      <c r="U406" s="1149">
        <v>0</v>
      </c>
      <c r="V406" s="1147"/>
      <c r="W406" s="2097"/>
      <c r="X406" s="2319">
        <v>0</v>
      </c>
      <c r="Y406" s="1151">
        <v>0</v>
      </c>
      <c r="Z406" s="1150">
        <v>0</v>
      </c>
      <c r="AA406" s="1151">
        <v>0</v>
      </c>
      <c r="AB406" s="2320"/>
      <c r="AC406" s="2149">
        <v>0</v>
      </c>
      <c r="AD406" s="1150">
        <v>0</v>
      </c>
      <c r="AE406" s="1150"/>
      <c r="AF406" s="1150">
        <v>0</v>
      </c>
      <c r="AG406" s="1150">
        <v>0</v>
      </c>
      <c r="AH406" s="1150"/>
      <c r="AI406" s="1150">
        <v>0</v>
      </c>
      <c r="AJ406" s="1150">
        <v>0</v>
      </c>
      <c r="AK406" s="1150"/>
      <c r="AL406" s="1150">
        <v>0</v>
      </c>
      <c r="AM406" s="1150">
        <v>0</v>
      </c>
      <c r="AN406" s="2547"/>
      <c r="AO406" s="2319">
        <v>0</v>
      </c>
      <c r="AP406" s="1151">
        <v>0</v>
      </c>
      <c r="AQ406" s="1150">
        <v>0</v>
      </c>
      <c r="AR406" s="1151">
        <v>0</v>
      </c>
      <c r="AS406" s="1150">
        <v>0</v>
      </c>
      <c r="AT406" s="5090">
        <v>0</v>
      </c>
      <c r="AU406" s="2319">
        <v>0</v>
      </c>
      <c r="AV406" s="1151">
        <v>0</v>
      </c>
      <c r="AW406" s="1150">
        <v>0</v>
      </c>
      <c r="AX406" s="1151">
        <v>0</v>
      </c>
      <c r="AY406" s="2320"/>
      <c r="AZ406" s="2149">
        <v>0</v>
      </c>
      <c r="BA406" s="1151">
        <v>0</v>
      </c>
      <c r="BB406" s="1150">
        <v>0</v>
      </c>
      <c r="BC406" s="1151">
        <v>0</v>
      </c>
      <c r="BD406" s="1150"/>
      <c r="BE406" s="1150"/>
      <c r="BF406" s="1151"/>
      <c r="BG406" s="1150"/>
      <c r="BH406" s="1151"/>
      <c r="BI406" s="1150"/>
      <c r="BJ406" s="263" t="s">
        <v>1538</v>
      </c>
      <c r="BK406" s="1152" t="s">
        <v>1539</v>
      </c>
      <c r="BL406" s="1153"/>
      <c r="BM406" s="1154"/>
      <c r="BN406" s="1155"/>
      <c r="BO406" s="299" t="s">
        <v>193</v>
      </c>
      <c r="BP406" s="981" t="s">
        <v>1540</v>
      </c>
      <c r="BQ406" s="427"/>
      <c r="BR406" s="974"/>
      <c r="BS406" s="18"/>
    </row>
    <row r="407" spans="2:71" ht="24" customHeight="1">
      <c r="B407" s="1984"/>
      <c r="C407" s="4664"/>
      <c r="D407" s="787" t="s">
        <v>1451</v>
      </c>
      <c r="E407" s="781"/>
      <c r="F407" s="285" t="s">
        <v>33</v>
      </c>
      <c r="G407" s="384"/>
      <c r="H407" s="385"/>
      <c r="I407" s="347" t="s">
        <v>1541</v>
      </c>
      <c r="J407" s="347"/>
      <c r="K407" s="165" t="s">
        <v>35</v>
      </c>
      <c r="L407" s="1156">
        <v>181</v>
      </c>
      <c r="M407" s="1157"/>
      <c r="N407" s="1156">
        <v>227</v>
      </c>
      <c r="O407" s="1158"/>
      <c r="P407" s="1159"/>
      <c r="Q407" s="1045"/>
      <c r="R407" s="1160">
        <v>181</v>
      </c>
      <c r="S407" s="5091">
        <v>0</v>
      </c>
      <c r="T407" s="1160">
        <v>227</v>
      </c>
      <c r="U407" s="1161">
        <v>0</v>
      </c>
      <c r="V407" s="1159"/>
      <c r="W407" s="2097"/>
      <c r="X407" s="2321">
        <v>0</v>
      </c>
      <c r="Y407" s="1163">
        <v>0</v>
      </c>
      <c r="Z407" s="1162">
        <v>0</v>
      </c>
      <c r="AA407" s="1163">
        <v>0</v>
      </c>
      <c r="AB407" s="2322"/>
      <c r="AC407" s="2150">
        <v>0</v>
      </c>
      <c r="AD407" s="1162">
        <v>0</v>
      </c>
      <c r="AE407" s="1162"/>
      <c r="AF407" s="1162">
        <v>0</v>
      </c>
      <c r="AG407" s="1162">
        <v>0</v>
      </c>
      <c r="AH407" s="1162"/>
      <c r="AI407" s="1162">
        <v>0</v>
      </c>
      <c r="AJ407" s="1162">
        <v>0</v>
      </c>
      <c r="AK407" s="1162"/>
      <c r="AL407" s="1162">
        <v>0</v>
      </c>
      <c r="AM407" s="1162">
        <v>0</v>
      </c>
      <c r="AN407" s="2539"/>
      <c r="AO407" s="2321">
        <v>0</v>
      </c>
      <c r="AP407" s="1163">
        <v>0</v>
      </c>
      <c r="AQ407" s="1162">
        <v>0</v>
      </c>
      <c r="AR407" s="1163">
        <v>0</v>
      </c>
      <c r="AS407" s="1162">
        <v>0</v>
      </c>
      <c r="AT407" s="5092">
        <v>0</v>
      </c>
      <c r="AU407" s="2321">
        <v>0</v>
      </c>
      <c r="AV407" s="1163">
        <v>0</v>
      </c>
      <c r="AW407" s="1162">
        <v>0</v>
      </c>
      <c r="AX407" s="1163">
        <v>0</v>
      </c>
      <c r="AY407" s="2322"/>
      <c r="AZ407" s="2150">
        <v>0</v>
      </c>
      <c r="BA407" s="1163">
        <v>0</v>
      </c>
      <c r="BB407" s="1162">
        <v>0</v>
      </c>
      <c r="BC407" s="1163">
        <v>0</v>
      </c>
      <c r="BD407" s="1162"/>
      <c r="BE407" s="1162"/>
      <c r="BF407" s="1163"/>
      <c r="BG407" s="1162"/>
      <c r="BH407" s="1163"/>
      <c r="BI407" s="1162"/>
      <c r="BJ407" s="1164" t="s">
        <v>1542</v>
      </c>
      <c r="BK407" s="1164" t="s">
        <v>1543</v>
      </c>
      <c r="BL407" s="165"/>
      <c r="BM407" s="1102"/>
      <c r="BN407" s="1101"/>
      <c r="BO407" s="299" t="s">
        <v>193</v>
      </c>
      <c r="BP407" s="277" t="s">
        <v>1544</v>
      </c>
      <c r="BQ407" s="265"/>
      <c r="BR407" s="982"/>
      <c r="BS407" s="18"/>
    </row>
    <row r="408" spans="2:71" ht="24" customHeight="1">
      <c r="B408" s="1847"/>
      <c r="C408" s="4736" t="s">
        <v>1545</v>
      </c>
      <c r="D408" s="753"/>
      <c r="E408" s="753"/>
      <c r="F408" s="105" t="s">
        <v>156</v>
      </c>
      <c r="G408" s="358"/>
      <c r="H408" s="359" t="s">
        <v>1546</v>
      </c>
      <c r="I408" s="359"/>
      <c r="J408" s="643"/>
      <c r="K408" s="162" t="s">
        <v>154</v>
      </c>
      <c r="L408" s="1165">
        <v>0</v>
      </c>
      <c r="M408" s="1166"/>
      <c r="N408" s="1165">
        <v>0</v>
      </c>
      <c r="O408" s="1167"/>
      <c r="P408" s="274"/>
      <c r="Q408" s="1045"/>
      <c r="R408" s="304">
        <v>0</v>
      </c>
      <c r="S408" s="1999"/>
      <c r="T408" s="304">
        <v>0</v>
      </c>
      <c r="U408" s="2000"/>
      <c r="V408" s="274"/>
      <c r="W408" s="2097"/>
      <c r="X408" s="2228"/>
      <c r="Y408" s="505"/>
      <c r="Z408" s="260">
        <v>0</v>
      </c>
      <c r="AA408" s="505"/>
      <c r="AB408" s="2287"/>
      <c r="AC408" s="2109"/>
      <c r="AD408" s="260">
        <v>0</v>
      </c>
      <c r="AE408" s="260"/>
      <c r="AF408" s="260"/>
      <c r="AG408" s="260">
        <v>0</v>
      </c>
      <c r="AH408" s="260"/>
      <c r="AI408" s="260"/>
      <c r="AJ408" s="260">
        <v>0</v>
      </c>
      <c r="AK408" s="260"/>
      <c r="AL408" s="260"/>
      <c r="AM408" s="260">
        <v>0</v>
      </c>
      <c r="AN408" s="2372"/>
      <c r="AO408" s="2228">
        <v>0</v>
      </c>
      <c r="AP408" s="505"/>
      <c r="AQ408" s="260">
        <v>0</v>
      </c>
      <c r="AR408" s="505"/>
      <c r="AS408" s="260">
        <v>0</v>
      </c>
      <c r="AT408" s="4881"/>
      <c r="AU408" s="2228">
        <v>0</v>
      </c>
      <c r="AV408" s="505"/>
      <c r="AW408" s="260">
        <v>0</v>
      </c>
      <c r="AX408" s="505"/>
      <c r="AY408" s="2287"/>
      <c r="AZ408" s="2109">
        <v>0</v>
      </c>
      <c r="BA408" s="505"/>
      <c r="BB408" s="260">
        <v>0</v>
      </c>
      <c r="BC408" s="505"/>
      <c r="BD408" s="260"/>
      <c r="BE408" s="260"/>
      <c r="BF408" s="505"/>
      <c r="BG408" s="260"/>
      <c r="BH408" s="505"/>
      <c r="BI408" s="260"/>
      <c r="BJ408" s="367" t="s">
        <v>1547</v>
      </c>
      <c r="BK408" s="367" t="s">
        <v>1548</v>
      </c>
      <c r="BL408" s="162"/>
      <c r="BM408" s="773"/>
      <c r="BN408" s="547"/>
      <c r="BO408" s="299" t="s">
        <v>193</v>
      </c>
      <c r="BP408" s="277" t="s">
        <v>1549</v>
      </c>
      <c r="BQ408" s="265"/>
      <c r="BR408" s="982"/>
      <c r="BS408" s="18"/>
    </row>
    <row r="409" spans="2:71" ht="24" customHeight="1">
      <c r="B409" s="1847"/>
      <c r="C409" s="4663"/>
      <c r="D409" s="936" t="s">
        <v>1550</v>
      </c>
      <c r="E409" s="924"/>
      <c r="F409" s="105" t="s">
        <v>33</v>
      </c>
      <c r="G409" s="347"/>
      <c r="H409" s="348"/>
      <c r="I409" s="358" t="s">
        <v>1551</v>
      </c>
      <c r="J409" s="358"/>
      <c r="K409" s="162" t="s">
        <v>35</v>
      </c>
      <c r="L409" s="1165">
        <v>0</v>
      </c>
      <c r="M409" s="1166"/>
      <c r="N409" s="1165">
        <v>0</v>
      </c>
      <c r="O409" s="1167"/>
      <c r="P409" s="274"/>
      <c r="Q409" s="1045"/>
      <c r="R409" s="304">
        <v>0</v>
      </c>
      <c r="S409" s="1999">
        <v>0</v>
      </c>
      <c r="T409" s="304">
        <v>0</v>
      </c>
      <c r="U409" s="2000">
        <v>0</v>
      </c>
      <c r="V409" s="274"/>
      <c r="W409" s="2097"/>
      <c r="X409" s="2228">
        <v>0</v>
      </c>
      <c r="Y409" s="505">
        <v>0</v>
      </c>
      <c r="Z409" s="260">
        <v>0</v>
      </c>
      <c r="AA409" s="505">
        <v>0</v>
      </c>
      <c r="AB409" s="2287"/>
      <c r="AC409" s="2109">
        <v>0</v>
      </c>
      <c r="AD409" s="260">
        <v>0</v>
      </c>
      <c r="AE409" s="260"/>
      <c r="AF409" s="260">
        <v>0</v>
      </c>
      <c r="AG409" s="260">
        <v>0</v>
      </c>
      <c r="AH409" s="260"/>
      <c r="AI409" s="260">
        <v>0</v>
      </c>
      <c r="AJ409" s="260">
        <v>0</v>
      </c>
      <c r="AK409" s="260"/>
      <c r="AL409" s="260">
        <v>0</v>
      </c>
      <c r="AM409" s="260">
        <v>0</v>
      </c>
      <c r="AN409" s="2372"/>
      <c r="AO409" s="2228">
        <v>0</v>
      </c>
      <c r="AP409" s="505">
        <v>0</v>
      </c>
      <c r="AQ409" s="260">
        <v>0</v>
      </c>
      <c r="AR409" s="505">
        <v>0</v>
      </c>
      <c r="AS409" s="260">
        <v>0</v>
      </c>
      <c r="AT409" s="4881">
        <v>0</v>
      </c>
      <c r="AU409" s="2228">
        <v>0</v>
      </c>
      <c r="AV409" s="505">
        <v>0</v>
      </c>
      <c r="AW409" s="260">
        <v>0</v>
      </c>
      <c r="AX409" s="505">
        <v>0</v>
      </c>
      <c r="AY409" s="2287"/>
      <c r="AZ409" s="2109">
        <v>0</v>
      </c>
      <c r="BA409" s="505">
        <v>0</v>
      </c>
      <c r="BB409" s="260">
        <v>0</v>
      </c>
      <c r="BC409" s="505">
        <v>0</v>
      </c>
      <c r="BD409" s="260"/>
      <c r="BE409" s="260"/>
      <c r="BF409" s="505"/>
      <c r="BG409" s="260"/>
      <c r="BH409" s="505"/>
      <c r="BI409" s="260"/>
      <c r="BJ409" s="367"/>
      <c r="BK409" s="1164"/>
      <c r="BL409" s="165"/>
      <c r="BM409" s="773"/>
      <c r="BN409" s="1101"/>
      <c r="BO409" s="299" t="s">
        <v>193</v>
      </c>
      <c r="BP409" s="427" t="s">
        <v>1549</v>
      </c>
      <c r="BQ409" s="427"/>
      <c r="BR409" s="982"/>
      <c r="BS409" s="18"/>
    </row>
    <row r="410" spans="2:71" ht="24" customHeight="1" thickBot="1">
      <c r="B410" s="1984"/>
      <c r="C410" s="4714"/>
      <c r="D410" s="1168" t="s">
        <v>1552</v>
      </c>
      <c r="E410" s="1169"/>
      <c r="F410" s="1170" t="s">
        <v>33</v>
      </c>
      <c r="G410" s="1070"/>
      <c r="H410" s="1171"/>
      <c r="I410" s="707" t="s">
        <v>1553</v>
      </c>
      <c r="J410" s="707"/>
      <c r="K410" s="1172" t="s">
        <v>35</v>
      </c>
      <c r="L410" s="1173">
        <v>650</v>
      </c>
      <c r="M410" s="1174"/>
      <c r="N410" s="1173">
        <v>690</v>
      </c>
      <c r="O410" s="1175"/>
      <c r="P410" s="1176"/>
      <c r="Q410" s="1045"/>
      <c r="R410" s="2027">
        <v>650</v>
      </c>
      <c r="S410" s="2028" t="s">
        <v>1554</v>
      </c>
      <c r="T410" s="2027">
        <v>690</v>
      </c>
      <c r="U410" s="2029" t="s">
        <v>1554</v>
      </c>
      <c r="V410" s="1176"/>
      <c r="W410" s="2097"/>
      <c r="X410" s="2323">
        <v>0</v>
      </c>
      <c r="Y410" s="1178">
        <v>0</v>
      </c>
      <c r="Z410" s="1177">
        <v>0</v>
      </c>
      <c r="AA410" s="1178">
        <v>0</v>
      </c>
      <c r="AB410" s="2324"/>
      <c r="AC410" s="2151">
        <v>0</v>
      </c>
      <c r="AD410" s="1177">
        <v>0</v>
      </c>
      <c r="AE410" s="1177"/>
      <c r="AF410" s="1177">
        <v>0</v>
      </c>
      <c r="AG410" s="1177">
        <v>0</v>
      </c>
      <c r="AH410" s="1177"/>
      <c r="AI410" s="1177">
        <v>0</v>
      </c>
      <c r="AJ410" s="1177">
        <v>0</v>
      </c>
      <c r="AK410" s="1177"/>
      <c r="AL410" s="1177">
        <v>0</v>
      </c>
      <c r="AM410" s="1177">
        <v>0</v>
      </c>
      <c r="AN410" s="4737"/>
      <c r="AO410" s="2323">
        <v>0</v>
      </c>
      <c r="AP410" s="1178">
        <v>0</v>
      </c>
      <c r="AQ410" s="1177">
        <v>0</v>
      </c>
      <c r="AR410" s="1178">
        <v>0</v>
      </c>
      <c r="AS410" s="1177">
        <v>0</v>
      </c>
      <c r="AT410" s="5093">
        <v>0</v>
      </c>
      <c r="AU410" s="2323">
        <v>0</v>
      </c>
      <c r="AV410" s="1178">
        <v>0</v>
      </c>
      <c r="AW410" s="1177">
        <v>0</v>
      </c>
      <c r="AX410" s="1178">
        <v>0</v>
      </c>
      <c r="AY410" s="2324"/>
      <c r="AZ410" s="2151">
        <v>0</v>
      </c>
      <c r="BA410" s="1178">
        <v>0</v>
      </c>
      <c r="BB410" s="1177">
        <v>0</v>
      </c>
      <c r="BC410" s="1178">
        <v>0</v>
      </c>
      <c r="BD410" s="1177"/>
      <c r="BE410" s="1177"/>
      <c r="BF410" s="1178"/>
      <c r="BG410" s="1177"/>
      <c r="BH410" s="1178"/>
      <c r="BI410" s="1177"/>
      <c r="BJ410" s="1179"/>
      <c r="BK410" s="1180"/>
      <c r="BL410" s="1181"/>
      <c r="BM410" s="1182"/>
      <c r="BN410" s="597"/>
      <c r="BO410" s="1130" t="s">
        <v>193</v>
      </c>
      <c r="BP410" s="1183" t="s">
        <v>1549</v>
      </c>
      <c r="BQ410" s="1131"/>
      <c r="BR410" s="1184"/>
      <c r="BS410" s="18"/>
    </row>
    <row r="411" spans="2:71" ht="24" customHeight="1" thickBot="1">
      <c r="B411" s="123" t="s">
        <v>1555</v>
      </c>
      <c r="C411" s="1132"/>
      <c r="D411" s="1132"/>
      <c r="E411" s="1132"/>
      <c r="F411" s="1132"/>
      <c r="G411" s="519" t="s">
        <v>1556</v>
      </c>
      <c r="H411" s="521"/>
      <c r="I411" s="521"/>
      <c r="J411" s="521"/>
      <c r="K411" s="518"/>
      <c r="L411" s="600"/>
      <c r="M411" s="600"/>
      <c r="N411" s="600"/>
      <c r="O411" s="600"/>
      <c r="P411" s="600"/>
      <c r="Q411" s="1004"/>
      <c r="R411" s="600">
        <v>0</v>
      </c>
      <c r="S411" s="600"/>
      <c r="T411" s="600">
        <v>0</v>
      </c>
      <c r="U411" s="600"/>
      <c r="V411" s="600">
        <v>0</v>
      </c>
      <c r="W411" s="1004"/>
      <c r="X411" s="2271"/>
      <c r="Y411" s="600"/>
      <c r="Z411" s="600"/>
      <c r="AA411" s="600"/>
      <c r="AB411" s="2272"/>
      <c r="AC411" s="600"/>
      <c r="AD411" s="600"/>
      <c r="AE411" s="600"/>
      <c r="AF411" s="1134"/>
      <c r="AG411" s="1134"/>
      <c r="AH411" s="1134"/>
      <c r="AI411" s="1134"/>
      <c r="AJ411" s="1134"/>
      <c r="AK411" s="1134"/>
      <c r="AL411" s="1134"/>
      <c r="AM411" s="1134"/>
      <c r="AN411" s="1134"/>
      <c r="AO411" s="2410"/>
      <c r="AP411" s="1134"/>
      <c r="AQ411" s="1134"/>
      <c r="AR411" s="1134"/>
      <c r="AS411" s="1134"/>
      <c r="AT411" s="5086"/>
      <c r="AU411" s="2410"/>
      <c r="AV411" s="1134"/>
      <c r="AW411" s="1134"/>
      <c r="AX411" s="1134"/>
      <c r="AY411" s="2411"/>
      <c r="AZ411" s="1134"/>
      <c r="BA411" s="1134"/>
      <c r="BB411" s="1134"/>
      <c r="BC411" s="1134"/>
      <c r="BD411" s="1134"/>
      <c r="BE411" s="1134"/>
      <c r="BF411" s="1134"/>
      <c r="BG411" s="1134"/>
      <c r="BH411" s="1134"/>
      <c r="BI411" s="1134"/>
      <c r="BJ411" s="1133"/>
      <c r="BK411" s="1185"/>
      <c r="BL411" s="1185"/>
      <c r="BM411" s="1135"/>
      <c r="BN411" s="1135"/>
      <c r="BO411" s="1185"/>
      <c r="BP411" s="1136"/>
      <c r="BQ411" s="1136"/>
      <c r="BR411" s="1137"/>
      <c r="BS411" s="18"/>
    </row>
    <row r="412" spans="2:71" s="139" customFormat="1" ht="24" customHeight="1" thickBot="1">
      <c r="B412" s="1993"/>
      <c r="C412" s="4738" t="s">
        <v>1557</v>
      </c>
      <c r="D412" s="1186"/>
      <c r="E412" s="1186"/>
      <c r="F412" s="755" t="s">
        <v>156</v>
      </c>
      <c r="G412" s="1008"/>
      <c r="H412" s="1009" t="s">
        <v>1558</v>
      </c>
      <c r="I412" s="1009"/>
      <c r="J412" s="1187"/>
      <c r="K412" s="758" t="s">
        <v>156</v>
      </c>
      <c r="L412" s="1188">
        <f>IFERROR(L413/L414*100,"-")</f>
        <v>40.019095388033222</v>
      </c>
      <c r="M412" s="1189"/>
      <c r="N412" s="1188">
        <f>IFERROR(N413/N414*100,"-")</f>
        <v>48.507536747687816</v>
      </c>
      <c r="O412" s="1189"/>
      <c r="P412" s="1190" t="str">
        <f>IFERROR(P413/P414*100,"-")</f>
        <v>-</v>
      </c>
      <c r="Q412" s="1045"/>
      <c r="R412" s="1190">
        <f>IFERROR(R413/R414*100,"-")</f>
        <v>40.019095388033222</v>
      </c>
      <c r="S412" s="5094"/>
      <c r="T412" s="1190">
        <f>IFERROR(T413/T414*100,"-")</f>
        <v>48.507536747687816</v>
      </c>
      <c r="U412" s="5094"/>
      <c r="V412" s="1190" t="str">
        <f>IFERROR(V413/V414*100,"-")</f>
        <v>-</v>
      </c>
      <c r="W412" s="2097"/>
      <c r="X412" s="2325" t="str">
        <f>IFERROR(X413/X414*100,"-")</f>
        <v>-</v>
      </c>
      <c r="Y412" s="1192"/>
      <c r="Z412" s="1191" t="str">
        <f>IFERROR(Z413/Z414*100,"-")</f>
        <v>-</v>
      </c>
      <c r="AA412" s="1192"/>
      <c r="AB412" s="2326" t="str">
        <f t="shared" ref="AB412:AN412" si="32">IFERROR(AB413/AB414*100,"-")</f>
        <v>-</v>
      </c>
      <c r="AC412" s="2152" t="str">
        <f t="shared" si="32"/>
        <v>-</v>
      </c>
      <c r="AD412" s="1191" t="str">
        <f t="shared" si="32"/>
        <v>-</v>
      </c>
      <c r="AE412" s="1191" t="str">
        <f t="shared" si="32"/>
        <v>-</v>
      </c>
      <c r="AF412" s="1191" t="str">
        <f t="shared" si="32"/>
        <v>-</v>
      </c>
      <c r="AG412" s="1191" t="str">
        <f t="shared" si="32"/>
        <v>-</v>
      </c>
      <c r="AH412" s="1191" t="str">
        <f t="shared" si="32"/>
        <v>-</v>
      </c>
      <c r="AI412" s="1191" t="str">
        <f t="shared" si="32"/>
        <v>-</v>
      </c>
      <c r="AJ412" s="1191" t="str">
        <f t="shared" si="32"/>
        <v>-</v>
      </c>
      <c r="AK412" s="1191" t="str">
        <f t="shared" si="32"/>
        <v>-</v>
      </c>
      <c r="AL412" s="1191" t="str">
        <f t="shared" si="32"/>
        <v>-</v>
      </c>
      <c r="AM412" s="1191" t="str">
        <f t="shared" si="32"/>
        <v>-</v>
      </c>
      <c r="AN412" s="4739" t="str">
        <f t="shared" si="32"/>
        <v>-</v>
      </c>
      <c r="AO412" s="2325" t="str">
        <f t="shared" ref="AO412" si="33">IFERROR(AO413/AO414*100,"-")</f>
        <v>-</v>
      </c>
      <c r="AP412" s="1192"/>
      <c r="AQ412" s="1191" t="str">
        <f>IFERROR(AQ413/AQ414*100,"-")</f>
        <v>-</v>
      </c>
      <c r="AR412" s="1193" t="str">
        <f>IFERROR(AR414/AR413*100,"-")</f>
        <v>-</v>
      </c>
      <c r="AS412" s="4739" t="str">
        <f>IFERROR(AS413/AS414*100,"-")</f>
        <v>-</v>
      </c>
      <c r="AT412" s="5095" t="str">
        <f>IFERROR(AT414/AT413*100,"-")</f>
        <v>-</v>
      </c>
      <c r="AU412" s="2325" t="str">
        <f>IFERROR(AU413/AU414*100,"-")</f>
        <v>-</v>
      </c>
      <c r="AV412" s="1192"/>
      <c r="AW412" s="1191" t="str">
        <f>IFERROR(AW413/AW414*100,"-")</f>
        <v>-</v>
      </c>
      <c r="AX412" s="1192"/>
      <c r="AY412" s="2326" t="str">
        <f>IFERROR(AY413/AY414*100,"-")</f>
        <v>-</v>
      </c>
      <c r="AZ412" s="2152" t="str">
        <f>IFERROR(AZ413/AZ414*100,"-")</f>
        <v>-</v>
      </c>
      <c r="BA412" s="1189"/>
      <c r="BB412" s="1191" t="str">
        <f>IFERROR(BB413/BB414*100,"-")</f>
        <v>-</v>
      </c>
      <c r="BC412" s="1189"/>
      <c r="BD412" s="1191" t="str">
        <f>IFERROR(BD413/BD414*100,"-")</f>
        <v>-</v>
      </c>
      <c r="BE412" s="1191" t="str">
        <f>IFERROR(BE413/BE414*100,"-")</f>
        <v>-</v>
      </c>
      <c r="BF412" s="1019"/>
      <c r="BG412" s="1191" t="str">
        <f>IFERROR(BG413/BG414*100,"-")</f>
        <v>-</v>
      </c>
      <c r="BH412" s="1019"/>
      <c r="BI412" s="1191" t="str">
        <f>IFERROR(BI413/BI414*100,"-")</f>
        <v>-</v>
      </c>
      <c r="BJ412" s="1194" t="s">
        <v>1559</v>
      </c>
      <c r="BK412" s="1194" t="s">
        <v>1560</v>
      </c>
      <c r="BL412" s="758"/>
      <c r="BM412" s="534"/>
      <c r="BN412" s="534"/>
      <c r="BO412" s="299" t="s">
        <v>193</v>
      </c>
      <c r="BP412" s="277" t="s">
        <v>1561</v>
      </c>
      <c r="BQ412" s="154"/>
      <c r="BR412" s="1195"/>
      <c r="BS412" s="10"/>
    </row>
    <row r="413" spans="2:71" s="139" customFormat="1" ht="24" customHeight="1">
      <c r="B413" s="1998"/>
      <c r="C413" s="1935"/>
      <c r="D413" s="1196" t="s">
        <v>1562</v>
      </c>
      <c r="E413" s="1197"/>
      <c r="F413" s="105" t="s">
        <v>1563</v>
      </c>
      <c r="G413" s="743"/>
      <c r="H413" s="1069"/>
      <c r="I413" s="457" t="s">
        <v>1564</v>
      </c>
      <c r="J413" s="457"/>
      <c r="K413" s="109" t="s">
        <v>1868</v>
      </c>
      <c r="L413" s="1198">
        <v>16330477</v>
      </c>
      <c r="M413" s="1199"/>
      <c r="N413" s="1198">
        <v>23148659</v>
      </c>
      <c r="O413" s="1200"/>
      <c r="P413" s="94"/>
      <c r="Q413" s="1045"/>
      <c r="R413" s="93">
        <v>16330477</v>
      </c>
      <c r="S413" s="152">
        <v>0.40019095388033221</v>
      </c>
      <c r="T413" s="93">
        <v>23148659</v>
      </c>
      <c r="U413" s="1045">
        <v>0.48507536747687818</v>
      </c>
      <c r="V413" s="94"/>
      <c r="W413" s="2097"/>
      <c r="X413" s="2182">
        <v>0</v>
      </c>
      <c r="Y413" s="93">
        <v>0</v>
      </c>
      <c r="Z413" s="153">
        <v>0</v>
      </c>
      <c r="AA413" s="93">
        <v>0</v>
      </c>
      <c r="AB413" s="2183"/>
      <c r="AC413" s="1238">
        <v>0</v>
      </c>
      <c r="AD413" s="153">
        <v>0</v>
      </c>
      <c r="AE413" s="153"/>
      <c r="AF413" s="153">
        <v>0</v>
      </c>
      <c r="AG413" s="153">
        <v>0</v>
      </c>
      <c r="AH413" s="153"/>
      <c r="AI413" s="153">
        <v>0</v>
      </c>
      <c r="AJ413" s="153">
        <v>0</v>
      </c>
      <c r="AK413" s="153"/>
      <c r="AL413" s="153">
        <v>0</v>
      </c>
      <c r="AM413" s="153">
        <v>0</v>
      </c>
      <c r="AN413" s="1241"/>
      <c r="AO413" s="2182">
        <v>0</v>
      </c>
      <c r="AP413" s="93">
        <v>0</v>
      </c>
      <c r="AQ413" s="153">
        <v>0</v>
      </c>
      <c r="AR413" s="93">
        <v>0</v>
      </c>
      <c r="AS413" s="153">
        <v>0</v>
      </c>
      <c r="AT413" s="4782">
        <v>0</v>
      </c>
      <c r="AU413" s="2182">
        <v>0</v>
      </c>
      <c r="AV413" s="93">
        <v>0</v>
      </c>
      <c r="AW413" s="153">
        <v>0</v>
      </c>
      <c r="AX413" s="93">
        <v>0</v>
      </c>
      <c r="AY413" s="2183"/>
      <c r="AZ413" s="1238" t="s">
        <v>2547</v>
      </c>
      <c r="BA413" s="1201">
        <v>0.51</v>
      </c>
      <c r="BB413" s="153" t="s">
        <v>2547</v>
      </c>
      <c r="BC413" s="1201">
        <v>0.51</v>
      </c>
      <c r="BD413" s="153"/>
      <c r="BE413" s="153"/>
      <c r="BF413" s="93"/>
      <c r="BG413" s="153"/>
      <c r="BH413" s="93"/>
      <c r="BI413" s="153"/>
      <c r="BJ413" s="1202"/>
      <c r="BK413" s="1202"/>
      <c r="BL413" s="162"/>
      <c r="BM413" s="547"/>
      <c r="BN413" s="547"/>
      <c r="BO413" s="299" t="s">
        <v>193</v>
      </c>
      <c r="BP413" s="277" t="s">
        <v>1561</v>
      </c>
      <c r="BQ413" s="154"/>
      <c r="BR413" s="1195"/>
      <c r="BS413" s="10"/>
    </row>
    <row r="414" spans="2:71" s="139" customFormat="1" ht="24" customHeight="1">
      <c r="B414" s="1998"/>
      <c r="C414" s="4678"/>
      <c r="D414" s="1196" t="s">
        <v>1567</v>
      </c>
      <c r="E414" s="1203"/>
      <c r="F414" s="105" t="s">
        <v>1563</v>
      </c>
      <c r="G414" s="945"/>
      <c r="H414" s="1099"/>
      <c r="I414" s="457" t="s">
        <v>1568</v>
      </c>
      <c r="J414" s="457"/>
      <c r="K414" s="109" t="s">
        <v>1868</v>
      </c>
      <c r="L414" s="1198">
        <v>40806712</v>
      </c>
      <c r="M414" s="1199"/>
      <c r="N414" s="1198">
        <v>47721778</v>
      </c>
      <c r="O414" s="1204"/>
      <c r="P414" s="94"/>
      <c r="Q414" s="1045"/>
      <c r="R414" s="93">
        <v>40806712</v>
      </c>
      <c r="S414" s="152">
        <v>0</v>
      </c>
      <c r="T414" s="93">
        <v>47721778</v>
      </c>
      <c r="U414" s="1045">
        <v>0</v>
      </c>
      <c r="V414" s="94"/>
      <c r="W414" s="2097"/>
      <c r="X414" s="2182">
        <v>0</v>
      </c>
      <c r="Y414" s="93">
        <v>0</v>
      </c>
      <c r="Z414" s="153">
        <v>0</v>
      </c>
      <c r="AA414" s="93">
        <v>0</v>
      </c>
      <c r="AB414" s="2183"/>
      <c r="AC414" s="1238">
        <v>0</v>
      </c>
      <c r="AD414" s="153">
        <v>0</v>
      </c>
      <c r="AE414" s="153"/>
      <c r="AF414" s="153">
        <v>0</v>
      </c>
      <c r="AG414" s="153">
        <v>0</v>
      </c>
      <c r="AH414" s="153"/>
      <c r="AI414" s="153">
        <v>0</v>
      </c>
      <c r="AJ414" s="153">
        <v>0</v>
      </c>
      <c r="AK414" s="153"/>
      <c r="AL414" s="153">
        <v>0</v>
      </c>
      <c r="AM414" s="153">
        <v>0</v>
      </c>
      <c r="AN414" s="1241"/>
      <c r="AO414" s="2182">
        <v>0</v>
      </c>
      <c r="AP414" s="93">
        <v>0</v>
      </c>
      <c r="AQ414" s="153">
        <v>0</v>
      </c>
      <c r="AR414" s="93">
        <v>0</v>
      </c>
      <c r="AS414" s="153">
        <v>0</v>
      </c>
      <c r="AT414" s="4782">
        <v>0</v>
      </c>
      <c r="AU414" s="2182">
        <v>0</v>
      </c>
      <c r="AV414" s="93">
        <v>0</v>
      </c>
      <c r="AW414" s="153">
        <v>0</v>
      </c>
      <c r="AX414" s="93">
        <v>0</v>
      </c>
      <c r="AY414" s="2183"/>
      <c r="AZ414" s="1238" t="s">
        <v>2547</v>
      </c>
      <c r="BA414" s="1201">
        <v>0.51</v>
      </c>
      <c r="BB414" s="153" t="s">
        <v>2547</v>
      </c>
      <c r="BC414" s="1201">
        <v>0.51</v>
      </c>
      <c r="BD414" s="153"/>
      <c r="BE414" s="153"/>
      <c r="BF414" s="93"/>
      <c r="BG414" s="153"/>
      <c r="BH414" s="93"/>
      <c r="BI414" s="153"/>
      <c r="BJ414" s="276"/>
      <c r="BK414" s="276"/>
      <c r="BL414" s="162"/>
      <c r="BM414" s="547"/>
      <c r="BN414" s="547"/>
      <c r="BO414" s="299" t="s">
        <v>193</v>
      </c>
      <c r="BP414" s="277" t="s">
        <v>1561</v>
      </c>
      <c r="BQ414" s="154"/>
      <c r="BR414" s="1195"/>
      <c r="BS414" s="10"/>
    </row>
    <row r="415" spans="2:71" s="139" customFormat="1" ht="24" customHeight="1">
      <c r="B415" s="1998"/>
      <c r="C415" s="4669" t="s">
        <v>1569</v>
      </c>
      <c r="D415" s="924"/>
      <c r="E415" s="924"/>
      <c r="F415" s="105" t="s">
        <v>156</v>
      </c>
      <c r="G415" s="358"/>
      <c r="H415" s="359" t="s">
        <v>1570</v>
      </c>
      <c r="I415" s="359"/>
      <c r="J415" s="684"/>
      <c r="K415" s="109" t="s">
        <v>156</v>
      </c>
      <c r="L415" s="1205">
        <f>IFERROR(L416/L417*100,"-")</f>
        <v>0</v>
      </c>
      <c r="M415" s="1206"/>
      <c r="N415" s="1205">
        <f>IFERROR(N416/N417*100,"-")</f>
        <v>0</v>
      </c>
      <c r="O415" s="1204"/>
      <c r="P415" s="1205" t="str">
        <f>IFERROR(P416/P417*100,"-")</f>
        <v>-</v>
      </c>
      <c r="Q415" s="1045"/>
      <c r="R415" s="1205">
        <f>IFERROR(R416/R417*100,"-")</f>
        <v>0</v>
      </c>
      <c r="S415" s="5096"/>
      <c r="T415" s="1205">
        <f>IFERROR(T416/T417*100,"-")</f>
        <v>0</v>
      </c>
      <c r="U415" s="5096"/>
      <c r="V415" s="1205" t="str">
        <f>IFERROR(V416/V417*100,"-")</f>
        <v>-</v>
      </c>
      <c r="W415" s="2097"/>
      <c r="X415" s="2327" t="str">
        <f>IFERROR(X416/X417*100,"-")</f>
        <v>-</v>
      </c>
      <c r="Y415" s="1208"/>
      <c r="Z415" s="1207" t="str">
        <f>IFERROR(Z416/Z417*100,"-")</f>
        <v>-</v>
      </c>
      <c r="AA415" s="1208"/>
      <c r="AB415" s="2328" t="str">
        <f t="shared" ref="AB415:AN415" si="34">IFERROR(AB416/AB417*100,"-")</f>
        <v>-</v>
      </c>
      <c r="AC415" s="2153" t="str">
        <f t="shared" si="34"/>
        <v>-</v>
      </c>
      <c r="AD415" s="1207" t="str">
        <f t="shared" si="34"/>
        <v>-</v>
      </c>
      <c r="AE415" s="1207" t="str">
        <f t="shared" si="34"/>
        <v>-</v>
      </c>
      <c r="AF415" s="1207" t="str">
        <f t="shared" si="34"/>
        <v>-</v>
      </c>
      <c r="AG415" s="1207" t="str">
        <f t="shared" si="34"/>
        <v>-</v>
      </c>
      <c r="AH415" s="1207" t="str">
        <f t="shared" si="34"/>
        <v>-</v>
      </c>
      <c r="AI415" s="1207" t="str">
        <f t="shared" si="34"/>
        <v>-</v>
      </c>
      <c r="AJ415" s="1207" t="str">
        <f t="shared" si="34"/>
        <v>-</v>
      </c>
      <c r="AK415" s="1207" t="str">
        <f t="shared" si="34"/>
        <v>-</v>
      </c>
      <c r="AL415" s="1207" t="str">
        <f t="shared" si="34"/>
        <v>-</v>
      </c>
      <c r="AM415" s="1207" t="str">
        <f t="shared" si="34"/>
        <v>-</v>
      </c>
      <c r="AN415" s="4740" t="str">
        <f t="shared" si="34"/>
        <v>-</v>
      </c>
      <c r="AO415" s="2327" t="str">
        <f t="shared" ref="AO415" si="35">IFERROR(AO416/AO417*100,"-")</f>
        <v>-</v>
      </c>
      <c r="AP415" s="1208"/>
      <c r="AQ415" s="1207" t="str">
        <f>IFERROR(AQ416/AQ417*100,"-")</f>
        <v>-</v>
      </c>
      <c r="AR415" s="1208"/>
      <c r="AS415" s="1207" t="str">
        <f>IFERROR(AS416/AS417*100,"-")</f>
        <v>-</v>
      </c>
      <c r="AT415" s="5097"/>
      <c r="AU415" s="2327" t="str">
        <f>IFERROR(AU416/AU417*100,"-")</f>
        <v>-</v>
      </c>
      <c r="AV415" s="1208"/>
      <c r="AW415" s="1207" t="str">
        <f>IFERROR(AW416/AW417*100,"-")</f>
        <v>-</v>
      </c>
      <c r="AX415" s="1208"/>
      <c r="AY415" s="2328" t="str">
        <f>IFERROR(AY416/AY417*100,"-")</f>
        <v>-</v>
      </c>
      <c r="AZ415" s="2153" t="str">
        <f>IFERROR(AZ416/AZ417*100,"-")</f>
        <v>-</v>
      </c>
      <c r="BA415" s="1209"/>
      <c r="BB415" s="1207" t="str">
        <f>IFERROR(BB416/BB417*100,"-")</f>
        <v>-</v>
      </c>
      <c r="BC415" s="1209"/>
      <c r="BD415" s="1207" t="str">
        <f>IFERROR(BD416/BD417*100,"-")</f>
        <v>-</v>
      </c>
      <c r="BE415" s="1207" t="str">
        <f>IFERROR(BE416/BE417*100,"-")</f>
        <v>-</v>
      </c>
      <c r="BF415" s="1036"/>
      <c r="BG415" s="1207" t="str">
        <f>IFERROR(BG416/BG417*100,"-")</f>
        <v>-</v>
      </c>
      <c r="BH415" s="1036"/>
      <c r="BI415" s="1207" t="str">
        <f>IFERROR(BI416/BI417*100,"-")</f>
        <v>-</v>
      </c>
      <c r="BJ415" s="1202" t="s">
        <v>1571</v>
      </c>
      <c r="BK415" s="1202" t="s">
        <v>1572</v>
      </c>
      <c r="BL415" s="162"/>
      <c r="BM415" s="547"/>
      <c r="BN415" s="547"/>
      <c r="BO415" s="299" t="s">
        <v>193</v>
      </c>
      <c r="BP415" s="277" t="s">
        <v>1573</v>
      </c>
      <c r="BQ415" s="154"/>
      <c r="BR415" s="1195"/>
      <c r="BS415" s="10"/>
    </row>
    <row r="416" spans="2:71" s="139" customFormat="1" ht="24" customHeight="1">
      <c r="B416" s="1998"/>
      <c r="C416" s="1210"/>
      <c r="D416" s="936" t="s">
        <v>1574</v>
      </c>
      <c r="E416" s="924"/>
      <c r="F416" s="105" t="s">
        <v>1563</v>
      </c>
      <c r="G416" s="1211"/>
      <c r="H416" s="963"/>
      <c r="I416" s="932" t="s">
        <v>1575</v>
      </c>
      <c r="J416" s="993"/>
      <c r="K416" s="109" t="s">
        <v>1868</v>
      </c>
      <c r="L416" s="1204">
        <v>0</v>
      </c>
      <c r="M416" s="1204"/>
      <c r="N416" s="1204">
        <v>0</v>
      </c>
      <c r="O416" s="1204"/>
      <c r="P416" s="1212"/>
      <c r="Q416" s="1045"/>
      <c r="R416" s="1204">
        <v>0</v>
      </c>
      <c r="S416" s="1213">
        <v>0</v>
      </c>
      <c r="T416" s="1204">
        <v>0</v>
      </c>
      <c r="U416" s="1214">
        <v>0</v>
      </c>
      <c r="V416" s="1212"/>
      <c r="W416" s="2097"/>
      <c r="X416" s="2329">
        <v>0</v>
      </c>
      <c r="Y416" s="1204">
        <v>0</v>
      </c>
      <c r="Z416" s="1215">
        <v>0</v>
      </c>
      <c r="AA416" s="1204">
        <v>0</v>
      </c>
      <c r="AB416" s="2330"/>
      <c r="AC416" s="2154">
        <v>0</v>
      </c>
      <c r="AD416" s="1215">
        <v>0</v>
      </c>
      <c r="AE416" s="1215"/>
      <c r="AF416" s="1215">
        <v>0</v>
      </c>
      <c r="AG416" s="1215">
        <v>0</v>
      </c>
      <c r="AH416" s="1215"/>
      <c r="AI416" s="1215">
        <v>0</v>
      </c>
      <c r="AJ416" s="1215">
        <v>0</v>
      </c>
      <c r="AK416" s="1215"/>
      <c r="AL416" s="1215">
        <v>0</v>
      </c>
      <c r="AM416" s="1215">
        <v>0</v>
      </c>
      <c r="AN416" s="2540"/>
      <c r="AO416" s="2329">
        <v>0</v>
      </c>
      <c r="AP416" s="1204">
        <v>0</v>
      </c>
      <c r="AQ416" s="1215">
        <v>0</v>
      </c>
      <c r="AR416" s="1204">
        <v>0</v>
      </c>
      <c r="AS416" s="1215">
        <v>0</v>
      </c>
      <c r="AT416" s="5098">
        <v>0</v>
      </c>
      <c r="AU416" s="2329">
        <v>0</v>
      </c>
      <c r="AV416" s="1204">
        <v>0</v>
      </c>
      <c r="AW416" s="1215">
        <v>0</v>
      </c>
      <c r="AX416" s="1204">
        <v>0</v>
      </c>
      <c r="AY416" s="2330"/>
      <c r="AZ416" s="2154" t="s">
        <v>2548</v>
      </c>
      <c r="BA416" s="1204">
        <v>0.4</v>
      </c>
      <c r="BB416" s="1215" t="s">
        <v>2548</v>
      </c>
      <c r="BC416" s="1204">
        <v>0.4</v>
      </c>
      <c r="BD416" s="1215"/>
      <c r="BE416" s="1215"/>
      <c r="BF416" s="93"/>
      <c r="BG416" s="1215"/>
      <c r="BH416" s="93"/>
      <c r="BI416" s="153"/>
      <c r="BJ416" s="1202"/>
      <c r="BK416" s="1202"/>
      <c r="BL416" s="162"/>
      <c r="BM416" s="547"/>
      <c r="BN416" s="547"/>
      <c r="BO416" s="299" t="s">
        <v>193</v>
      </c>
      <c r="BP416" s="277" t="s">
        <v>1573</v>
      </c>
      <c r="BQ416" s="154"/>
      <c r="BR416" s="1195"/>
      <c r="BS416" s="10"/>
    </row>
    <row r="417" spans="2:71" s="139" customFormat="1" ht="24" customHeight="1">
      <c r="B417" s="1998"/>
      <c r="C417" s="1210"/>
      <c r="D417" s="1216" t="s">
        <v>1567</v>
      </c>
      <c r="E417" s="1217"/>
      <c r="F417" s="105" t="s">
        <v>1563</v>
      </c>
      <c r="G417" s="1218"/>
      <c r="H417" s="964"/>
      <c r="I417" s="1219" t="s">
        <v>1576</v>
      </c>
      <c r="J417" s="1220"/>
      <c r="K417" s="109" t="s">
        <v>1868</v>
      </c>
      <c r="L417" s="1198">
        <v>40806712</v>
      </c>
      <c r="M417" s="1204"/>
      <c r="N417" s="1198">
        <v>47721778</v>
      </c>
      <c r="O417" s="1204"/>
      <c r="P417" s="94"/>
      <c r="Q417" s="1045"/>
      <c r="R417" s="93">
        <v>40806712</v>
      </c>
      <c r="S417" s="152">
        <v>0</v>
      </c>
      <c r="T417" s="93">
        <v>47721778</v>
      </c>
      <c r="U417" s="1045">
        <v>0</v>
      </c>
      <c r="V417" s="94"/>
      <c r="W417" s="2097"/>
      <c r="X417" s="2182">
        <v>0</v>
      </c>
      <c r="Y417" s="93">
        <v>0</v>
      </c>
      <c r="Z417" s="153">
        <v>0</v>
      </c>
      <c r="AA417" s="93">
        <v>0</v>
      </c>
      <c r="AB417" s="2183"/>
      <c r="AC417" s="1238">
        <v>0</v>
      </c>
      <c r="AD417" s="153">
        <v>0</v>
      </c>
      <c r="AE417" s="153"/>
      <c r="AF417" s="153">
        <v>0</v>
      </c>
      <c r="AG417" s="153">
        <v>0</v>
      </c>
      <c r="AH417" s="153"/>
      <c r="AI417" s="153">
        <v>0</v>
      </c>
      <c r="AJ417" s="153">
        <v>0</v>
      </c>
      <c r="AK417" s="153"/>
      <c r="AL417" s="153">
        <v>0</v>
      </c>
      <c r="AM417" s="153">
        <v>0</v>
      </c>
      <c r="AN417" s="1241"/>
      <c r="AO417" s="2182">
        <v>0</v>
      </c>
      <c r="AP417" s="93">
        <v>0</v>
      </c>
      <c r="AQ417" s="153">
        <v>0</v>
      </c>
      <c r="AR417" s="93">
        <v>0</v>
      </c>
      <c r="AS417" s="153">
        <v>0</v>
      </c>
      <c r="AT417" s="4782">
        <v>0</v>
      </c>
      <c r="AU417" s="2182">
        <v>0</v>
      </c>
      <c r="AV417" s="93">
        <v>0</v>
      </c>
      <c r="AW417" s="153">
        <v>0</v>
      </c>
      <c r="AX417" s="93">
        <v>0</v>
      </c>
      <c r="AY417" s="2183"/>
      <c r="AZ417" s="1238" t="s">
        <v>2548</v>
      </c>
      <c r="BA417" s="1201">
        <v>0.4</v>
      </c>
      <c r="BB417" s="153" t="s">
        <v>2548</v>
      </c>
      <c r="BC417" s="1221">
        <v>0.4</v>
      </c>
      <c r="BD417" s="153"/>
      <c r="BE417" s="153"/>
      <c r="BF417" s="93"/>
      <c r="BG417" s="153"/>
      <c r="BH417" s="93"/>
      <c r="BI417" s="153"/>
      <c r="BJ417" s="276"/>
      <c r="BK417" s="276"/>
      <c r="BL417" s="162"/>
      <c r="BM417" s="547"/>
      <c r="BN417" s="547"/>
      <c r="BO417" s="299" t="s">
        <v>193</v>
      </c>
      <c r="BP417" s="277" t="s">
        <v>1573</v>
      </c>
      <c r="BQ417" s="154"/>
      <c r="BR417" s="1195"/>
      <c r="BS417" s="10"/>
    </row>
    <row r="418" spans="2:71" s="139" customFormat="1" ht="24" customHeight="1">
      <c r="B418" s="1998"/>
      <c r="C418" s="4669" t="s">
        <v>1577</v>
      </c>
      <c r="D418" s="924"/>
      <c r="E418" s="924"/>
      <c r="F418" s="1222" t="s">
        <v>156</v>
      </c>
      <c r="G418" s="1223"/>
      <c r="H418" s="925" t="s">
        <v>1578</v>
      </c>
      <c r="I418" s="926"/>
      <c r="J418" s="1224"/>
      <c r="K418" s="873" t="s">
        <v>156</v>
      </c>
      <c r="L418" s="1225">
        <f>IFERROR(L419/L420*100,"-")</f>
        <v>0</v>
      </c>
      <c r="M418" s="1204"/>
      <c r="N418" s="1225">
        <f>IFERROR(N419/N420*100,"-")</f>
        <v>0</v>
      </c>
      <c r="O418" s="1204"/>
      <c r="P418" s="1225" t="str">
        <f>IFERROR(P419/P420*100,"-")</f>
        <v>-</v>
      </c>
      <c r="Q418" s="1045"/>
      <c r="R418" s="1225">
        <f>IFERROR(R419/R420*100,"-")</f>
        <v>0</v>
      </c>
      <c r="S418" s="5099"/>
      <c r="T418" s="1225">
        <f>IFERROR(T419/T420*100,"-")</f>
        <v>0</v>
      </c>
      <c r="U418" s="5099"/>
      <c r="V418" s="1225" t="str">
        <f>IFERROR(V419/V420*100,"-")</f>
        <v>-</v>
      </c>
      <c r="W418" s="2097"/>
      <c r="X418" s="2331" t="str">
        <f>IFERROR(X419/X420*100,"-")</f>
        <v>-</v>
      </c>
      <c r="Y418" s="1227"/>
      <c r="Z418" s="1226" t="str">
        <f>IFERROR(Z419/Z420*100,"-")</f>
        <v>-</v>
      </c>
      <c r="AA418" s="1227"/>
      <c r="AB418" s="2332" t="str">
        <f t="shared" ref="AB418:AN418" si="36">IFERROR(AB419/AB420*100,"-")</f>
        <v>-</v>
      </c>
      <c r="AC418" s="2155" t="str">
        <f t="shared" si="36"/>
        <v>-</v>
      </c>
      <c r="AD418" s="1226" t="str">
        <f t="shared" si="36"/>
        <v>-</v>
      </c>
      <c r="AE418" s="1226" t="str">
        <f t="shared" si="36"/>
        <v>-</v>
      </c>
      <c r="AF418" s="1226" t="str">
        <f t="shared" si="36"/>
        <v>-</v>
      </c>
      <c r="AG418" s="1226" t="str">
        <f t="shared" si="36"/>
        <v>-</v>
      </c>
      <c r="AH418" s="1226" t="str">
        <f t="shared" si="36"/>
        <v>-</v>
      </c>
      <c r="AI418" s="1226" t="str">
        <f t="shared" si="36"/>
        <v>-</v>
      </c>
      <c r="AJ418" s="1226" t="str">
        <f t="shared" si="36"/>
        <v>-</v>
      </c>
      <c r="AK418" s="1226" t="str">
        <f t="shared" si="36"/>
        <v>-</v>
      </c>
      <c r="AL418" s="1226" t="str">
        <f t="shared" si="36"/>
        <v>-</v>
      </c>
      <c r="AM418" s="1226" t="str">
        <f t="shared" si="36"/>
        <v>-</v>
      </c>
      <c r="AN418" s="4741" t="str">
        <f t="shared" si="36"/>
        <v>-</v>
      </c>
      <c r="AO418" s="2331" t="str">
        <f t="shared" ref="AO418" si="37">IFERROR(AO419/AO420*100,"-")</f>
        <v>-</v>
      </c>
      <c r="AP418" s="1227"/>
      <c r="AQ418" s="1226" t="str">
        <f>IFERROR(AQ419/AQ420*100,"-")</f>
        <v>-</v>
      </c>
      <c r="AR418" s="1227"/>
      <c r="AS418" s="1226" t="str">
        <f>IFERROR(AS419/AS420*100,"-")</f>
        <v>-</v>
      </c>
      <c r="AT418" s="5100"/>
      <c r="AU418" s="2331" t="str">
        <f>IFERROR(AU419/AU420*100,"-")</f>
        <v>-</v>
      </c>
      <c r="AV418" s="1227"/>
      <c r="AW418" s="1226" t="str">
        <f>IFERROR(AW419/AW420*100,"-")</f>
        <v>-</v>
      </c>
      <c r="AX418" s="1227"/>
      <c r="AY418" s="2332" t="str">
        <f>IFERROR(AY419/AY420*100,"-")</f>
        <v>-</v>
      </c>
      <c r="AZ418" s="2155" t="str">
        <f>IFERROR(AZ419/AZ420*100,"-")</f>
        <v>-</v>
      </c>
      <c r="BA418" s="1228"/>
      <c r="BB418" s="1226" t="str">
        <f>IFERROR(BB419/BB420*100,"-")</f>
        <v>-</v>
      </c>
      <c r="BC418" s="1228"/>
      <c r="BD418" s="1226" t="str">
        <f>IFERROR(BD419/BD420*100,"-")</f>
        <v>-</v>
      </c>
      <c r="BE418" s="1226" t="str">
        <f>IFERROR(BE419/BE420*100,"-")</f>
        <v>-</v>
      </c>
      <c r="BF418" s="1229"/>
      <c r="BG418" s="1226" t="str">
        <f>IFERROR(BG419/BG420*100,"-")</f>
        <v>-</v>
      </c>
      <c r="BH418" s="1229"/>
      <c r="BI418" s="1226" t="str">
        <f>IFERROR(BI419/BI420*100,"-")</f>
        <v>-</v>
      </c>
      <c r="BJ418" s="1230" t="s">
        <v>1579</v>
      </c>
      <c r="BK418" s="1230" t="s">
        <v>1580</v>
      </c>
      <c r="BL418" s="1034"/>
      <c r="BM418" s="878"/>
      <c r="BN418" s="878"/>
      <c r="BO418" s="299" t="s">
        <v>193</v>
      </c>
      <c r="BP418" s="277" t="s">
        <v>1581</v>
      </c>
      <c r="BQ418" s="154"/>
      <c r="BR418" s="1195"/>
      <c r="BS418" s="10"/>
    </row>
    <row r="419" spans="2:71" s="139" customFormat="1" ht="24" customHeight="1">
      <c r="B419" s="1998"/>
      <c r="C419" s="1210"/>
      <c r="D419" s="936" t="s">
        <v>1582</v>
      </c>
      <c r="E419" s="924"/>
      <c r="F419" s="105" t="s">
        <v>1563</v>
      </c>
      <c r="G419" s="1211"/>
      <c r="H419" s="963"/>
      <c r="I419" s="932" t="s">
        <v>1583</v>
      </c>
      <c r="J419" s="993"/>
      <c r="K419" s="109" t="s">
        <v>1868</v>
      </c>
      <c r="L419" s="1204">
        <v>0</v>
      </c>
      <c r="M419" s="1204"/>
      <c r="N419" s="1204">
        <v>0</v>
      </c>
      <c r="O419" s="1204"/>
      <c r="P419" s="1212"/>
      <c r="Q419" s="1045"/>
      <c r="R419" s="1204">
        <v>0</v>
      </c>
      <c r="S419" s="1213"/>
      <c r="T419" s="1204">
        <v>0</v>
      </c>
      <c r="U419" s="1214"/>
      <c r="V419" s="1212"/>
      <c r="W419" s="2097"/>
      <c r="X419" s="2329">
        <v>0</v>
      </c>
      <c r="Y419" s="1212">
        <v>0</v>
      </c>
      <c r="Z419" s="1215">
        <v>0</v>
      </c>
      <c r="AA419" s="1204">
        <v>0</v>
      </c>
      <c r="AB419" s="2330"/>
      <c r="AC419" s="2154">
        <v>0</v>
      </c>
      <c r="AD419" s="1215">
        <v>0</v>
      </c>
      <c r="AE419" s="1215"/>
      <c r="AF419" s="1215">
        <v>0</v>
      </c>
      <c r="AG419" s="1215">
        <v>0</v>
      </c>
      <c r="AH419" s="1215"/>
      <c r="AI419" s="1215">
        <v>0</v>
      </c>
      <c r="AJ419" s="1215">
        <v>0</v>
      </c>
      <c r="AK419" s="1215"/>
      <c r="AL419" s="1215">
        <v>0</v>
      </c>
      <c r="AM419" s="1215">
        <v>0</v>
      </c>
      <c r="AN419" s="2540"/>
      <c r="AO419" s="2329">
        <v>0</v>
      </c>
      <c r="AP419" s="1204">
        <v>0</v>
      </c>
      <c r="AQ419" s="1215">
        <v>0</v>
      </c>
      <c r="AR419" s="1204">
        <v>0</v>
      </c>
      <c r="AS419" s="1215">
        <v>0</v>
      </c>
      <c r="AT419" s="5098">
        <v>0</v>
      </c>
      <c r="AU419" s="2329">
        <v>0</v>
      </c>
      <c r="AV419" s="1204">
        <v>0</v>
      </c>
      <c r="AW419" s="1215">
        <v>0</v>
      </c>
      <c r="AX419" s="1204">
        <v>0</v>
      </c>
      <c r="AY419" s="2330"/>
      <c r="AZ419" s="2154" t="s">
        <v>2547</v>
      </c>
      <c r="BA419" s="1204">
        <v>0.51</v>
      </c>
      <c r="BB419" s="1215" t="s">
        <v>2547</v>
      </c>
      <c r="BC419" s="1204">
        <v>0.51</v>
      </c>
      <c r="BD419" s="1215"/>
      <c r="BE419" s="1215"/>
      <c r="BF419" s="93"/>
      <c r="BG419" s="1215"/>
      <c r="BH419" s="93"/>
      <c r="BI419" s="153"/>
      <c r="BJ419" s="1202"/>
      <c r="BK419" s="1202"/>
      <c r="BL419" s="162"/>
      <c r="BM419" s="547"/>
      <c r="BN419" s="547"/>
      <c r="BO419" s="299" t="s">
        <v>193</v>
      </c>
      <c r="BP419" s="277" t="s">
        <v>1581</v>
      </c>
      <c r="BQ419" s="154"/>
      <c r="BR419" s="1195"/>
      <c r="BS419" s="10"/>
    </row>
    <row r="420" spans="2:71" s="139" customFormat="1" ht="24" customHeight="1">
      <c r="B420" s="1998"/>
      <c r="C420" s="1914"/>
      <c r="D420" s="1216" t="s">
        <v>1584</v>
      </c>
      <c r="E420" s="1217"/>
      <c r="F420" s="105" t="s">
        <v>1563</v>
      </c>
      <c r="G420" s="1218"/>
      <c r="H420" s="964"/>
      <c r="I420" s="1219" t="s">
        <v>1585</v>
      </c>
      <c r="J420" s="1220"/>
      <c r="K420" s="109" t="s">
        <v>1868</v>
      </c>
      <c r="L420" s="1198">
        <v>29176998</v>
      </c>
      <c r="M420" s="1204"/>
      <c r="N420" s="1198">
        <v>29176998</v>
      </c>
      <c r="O420" s="1204"/>
      <c r="P420" s="94"/>
      <c r="Q420" s="1045"/>
      <c r="R420" s="93">
        <v>29176998</v>
      </c>
      <c r="S420" s="5091"/>
      <c r="T420" s="1160">
        <v>29176998</v>
      </c>
      <c r="U420" s="1161"/>
      <c r="V420" s="1159"/>
      <c r="W420" s="2097"/>
      <c r="X420" s="2321">
        <v>0</v>
      </c>
      <c r="Y420" s="1159">
        <v>0</v>
      </c>
      <c r="Z420" s="1162">
        <v>0</v>
      </c>
      <c r="AA420" s="1160">
        <v>0</v>
      </c>
      <c r="AB420" s="2322"/>
      <c r="AC420" s="2150">
        <v>0</v>
      </c>
      <c r="AD420" s="1162">
        <v>0</v>
      </c>
      <c r="AE420" s="1162"/>
      <c r="AF420" s="1162">
        <v>0</v>
      </c>
      <c r="AG420" s="1162">
        <v>0</v>
      </c>
      <c r="AH420" s="1162"/>
      <c r="AI420" s="1162">
        <v>0</v>
      </c>
      <c r="AJ420" s="1162">
        <v>0</v>
      </c>
      <c r="AK420" s="1162"/>
      <c r="AL420" s="1162">
        <v>0</v>
      </c>
      <c r="AM420" s="1162">
        <v>0</v>
      </c>
      <c r="AN420" s="2539"/>
      <c r="AO420" s="2321">
        <v>0</v>
      </c>
      <c r="AP420" s="1160">
        <v>0</v>
      </c>
      <c r="AQ420" s="1162">
        <v>0</v>
      </c>
      <c r="AR420" s="1160">
        <v>0</v>
      </c>
      <c r="AS420" s="1162">
        <v>0</v>
      </c>
      <c r="AT420" s="5101">
        <v>0</v>
      </c>
      <c r="AU420" s="2321">
        <v>0</v>
      </c>
      <c r="AV420" s="1160">
        <v>0</v>
      </c>
      <c r="AW420" s="1162">
        <v>0</v>
      </c>
      <c r="AX420" s="1160">
        <v>0</v>
      </c>
      <c r="AY420" s="2322"/>
      <c r="AZ420" s="1238" t="s">
        <v>2547</v>
      </c>
      <c r="BA420" s="1201">
        <v>0.51</v>
      </c>
      <c r="BB420" s="153" t="s">
        <v>2547</v>
      </c>
      <c r="BC420" s="1221">
        <v>0.51</v>
      </c>
      <c r="BD420" s="153"/>
      <c r="BE420" s="1162"/>
      <c r="BF420" s="1160"/>
      <c r="BG420" s="1162"/>
      <c r="BH420" s="1160"/>
      <c r="BI420" s="1162"/>
      <c r="BJ420" s="714"/>
      <c r="BK420" s="714"/>
      <c r="BL420" s="165"/>
      <c r="BM420" s="1101"/>
      <c r="BN420" s="1101"/>
      <c r="BO420" s="299" t="s">
        <v>193</v>
      </c>
      <c r="BP420" s="277" t="s">
        <v>1581</v>
      </c>
      <c r="BQ420" s="1231"/>
      <c r="BR420" s="1232"/>
      <c r="BS420" s="10"/>
    </row>
    <row r="421" spans="2:71" s="139" customFormat="1" ht="24" customHeight="1">
      <c r="B421" s="1998"/>
      <c r="C421" s="4669" t="s">
        <v>1586</v>
      </c>
      <c r="D421" s="1233"/>
      <c r="E421" s="1233"/>
      <c r="F421" s="1234" t="s">
        <v>156</v>
      </c>
      <c r="G421" s="1223"/>
      <c r="H421" s="925" t="s">
        <v>1587</v>
      </c>
      <c r="I421" s="926"/>
      <c r="J421" s="992"/>
      <c r="K421" s="109" t="s">
        <v>156</v>
      </c>
      <c r="L421" s="1235" t="s">
        <v>169</v>
      </c>
      <c r="M421" s="1204"/>
      <c r="N421" s="1235" t="s">
        <v>169</v>
      </c>
      <c r="O421" s="1204"/>
      <c r="P421" s="1236"/>
      <c r="Q421" s="1045"/>
      <c r="R421" s="5102" t="s">
        <v>169</v>
      </c>
      <c r="S421" s="152" t="s">
        <v>1869</v>
      </c>
      <c r="T421" s="93" t="s">
        <v>169</v>
      </c>
      <c r="U421" s="1045" t="s">
        <v>1869</v>
      </c>
      <c r="V421" s="2107"/>
      <c r="W421" s="2097"/>
      <c r="X421" s="2182">
        <v>0</v>
      </c>
      <c r="Y421" s="94">
        <v>0</v>
      </c>
      <c r="Z421" s="153">
        <v>0</v>
      </c>
      <c r="AA421" s="93">
        <v>0</v>
      </c>
      <c r="AB421" s="2183"/>
      <c r="AC421" s="1238">
        <v>0</v>
      </c>
      <c r="AD421" s="153">
        <v>0</v>
      </c>
      <c r="AE421" s="153"/>
      <c r="AF421" s="153">
        <v>0</v>
      </c>
      <c r="AG421" s="153">
        <v>0</v>
      </c>
      <c r="AH421" s="153"/>
      <c r="AI421" s="153">
        <v>0</v>
      </c>
      <c r="AJ421" s="153">
        <v>0</v>
      </c>
      <c r="AK421" s="153"/>
      <c r="AL421" s="153">
        <v>0</v>
      </c>
      <c r="AM421" s="153">
        <v>0</v>
      </c>
      <c r="AN421" s="1241"/>
      <c r="AO421" s="2182">
        <v>0</v>
      </c>
      <c r="AP421" s="93">
        <v>0</v>
      </c>
      <c r="AQ421" s="153">
        <v>0</v>
      </c>
      <c r="AR421" s="93">
        <v>0</v>
      </c>
      <c r="AS421" s="153">
        <v>0</v>
      </c>
      <c r="AT421" s="4782">
        <v>0</v>
      </c>
      <c r="AU421" s="2182">
        <v>0</v>
      </c>
      <c r="AV421" s="93">
        <v>0</v>
      </c>
      <c r="AW421" s="153">
        <v>0</v>
      </c>
      <c r="AX421" s="93">
        <v>0</v>
      </c>
      <c r="AY421" s="2183"/>
      <c r="AZ421" s="1238">
        <v>0</v>
      </c>
      <c r="BA421" s="1201">
        <v>0</v>
      </c>
      <c r="BB421" s="153">
        <v>0</v>
      </c>
      <c r="BC421" s="1221">
        <v>0</v>
      </c>
      <c r="BD421" s="1237"/>
      <c r="BE421" s="1238"/>
      <c r="BF421" s="1239"/>
      <c r="BG421" s="1237"/>
      <c r="BH421" s="1240"/>
      <c r="BI421" s="1241"/>
      <c r="BJ421" s="276"/>
      <c r="BK421" s="1242"/>
      <c r="BL421" s="285"/>
      <c r="BM421" s="547"/>
      <c r="BN421" s="546"/>
      <c r="BO421" s="299" t="s">
        <v>193</v>
      </c>
      <c r="BP421" s="1243" t="s">
        <v>1588</v>
      </c>
      <c r="BQ421" s="265"/>
      <c r="BR421" s="1244"/>
      <c r="BS421" s="10"/>
    </row>
    <row r="422" spans="2:71" s="139" customFormat="1" ht="24" customHeight="1">
      <c r="B422" s="1998"/>
      <c r="C422" s="4669" t="s">
        <v>1589</v>
      </c>
      <c r="D422" s="924"/>
      <c r="E422" s="924"/>
      <c r="F422" s="105" t="s">
        <v>156</v>
      </c>
      <c r="G422" s="1211"/>
      <c r="H422" s="1245" t="s">
        <v>1590</v>
      </c>
      <c r="I422" s="1246"/>
      <c r="J422" s="1247"/>
      <c r="K422" s="109" t="s">
        <v>156</v>
      </c>
      <c r="L422" s="1248">
        <f>IFERROR(((L423-L424+L425)/L423)*100,"-")</f>
        <v>0.59523809523809523</v>
      </c>
      <c r="M422" s="1204"/>
      <c r="N422" s="1248">
        <f>IFERROR(((N423-N424+N425)/N423)*100,"-")</f>
        <v>32.335329341317362</v>
      </c>
      <c r="O422" s="1204"/>
      <c r="P422" s="1205" t="str">
        <f>IFERROR(((P423-P424+P425)/P423)*100,"-")</f>
        <v>-</v>
      </c>
      <c r="Q422" s="1045"/>
      <c r="R422" s="1205">
        <f>IFERROR(((R423-R424+R425)/R423)*100,"-")</f>
        <v>0.59523809523809523</v>
      </c>
      <c r="S422" s="5099"/>
      <c r="T422" s="1225">
        <f>IFERROR(((T423-T424+T425)/T423)*100,"-")</f>
        <v>32.335329341317362</v>
      </c>
      <c r="U422" s="5099"/>
      <c r="V422" s="1225" t="str">
        <f>IFERROR(((V423-V424+V425)/V423)*100,"-")</f>
        <v>-</v>
      </c>
      <c r="W422" s="2097"/>
      <c r="X422" s="2331" t="str">
        <f>IFERROR(((X423-X424+X425)/X423)*100,"-")</f>
        <v>-</v>
      </c>
      <c r="Y422" s="1227"/>
      <c r="Z422" s="1226" t="str">
        <f>IFERROR(((Z423-Z424+Z425)/Z423)*100,"-")</f>
        <v>-</v>
      </c>
      <c r="AA422" s="1227"/>
      <c r="AB422" s="2332" t="str">
        <f t="shared" ref="AB422:AN422" si="38">IFERROR(((AB423-AB424+AB425)/AB423)*100,"-")</f>
        <v>-</v>
      </c>
      <c r="AC422" s="2155" t="str">
        <f t="shared" si="38"/>
        <v>-</v>
      </c>
      <c r="AD422" s="1226" t="str">
        <f t="shared" si="38"/>
        <v>-</v>
      </c>
      <c r="AE422" s="1226" t="str">
        <f t="shared" si="38"/>
        <v>-</v>
      </c>
      <c r="AF422" s="1226" t="str">
        <f t="shared" si="38"/>
        <v>-</v>
      </c>
      <c r="AG422" s="1226" t="str">
        <f t="shared" si="38"/>
        <v>-</v>
      </c>
      <c r="AH422" s="1226" t="str">
        <f t="shared" si="38"/>
        <v>-</v>
      </c>
      <c r="AI422" s="1226" t="str">
        <f t="shared" si="38"/>
        <v>-</v>
      </c>
      <c r="AJ422" s="1226" t="str">
        <f t="shared" si="38"/>
        <v>-</v>
      </c>
      <c r="AK422" s="1226" t="str">
        <f t="shared" si="38"/>
        <v>-</v>
      </c>
      <c r="AL422" s="1226" t="str">
        <f t="shared" si="38"/>
        <v>-</v>
      </c>
      <c r="AM422" s="1226" t="str">
        <f t="shared" si="38"/>
        <v>-</v>
      </c>
      <c r="AN422" s="4741" t="str">
        <f t="shared" si="38"/>
        <v>-</v>
      </c>
      <c r="AO422" s="2331" t="str">
        <f t="shared" ref="AO422" si="39">IFERROR(((AO423-AO424+AO425)/AO423)*100,"-")</f>
        <v>-</v>
      </c>
      <c r="AP422" s="1227"/>
      <c r="AQ422" s="1226" t="str">
        <f>IFERROR(((AQ423-AQ424+AQ425)/AQ423)*100,"-")</f>
        <v>-</v>
      </c>
      <c r="AR422" s="1227"/>
      <c r="AS422" s="1226" t="str">
        <f>IFERROR(((AS423-AS424+AS425)/AS423)*100,"-")</f>
        <v>-</v>
      </c>
      <c r="AT422" s="5100"/>
      <c r="AU422" s="2331" t="str">
        <f>IFERROR(((AU423-AU424+AU425)/AU423)*100,"-")</f>
        <v>-</v>
      </c>
      <c r="AV422" s="1227"/>
      <c r="AW422" s="1226" t="str">
        <f>IFERROR(((AW423-AW424+AW425)/AW423)*100,"-")</f>
        <v>-</v>
      </c>
      <c r="AX422" s="1227"/>
      <c r="AY422" s="2332" t="str">
        <f>IFERROR(((AY423-AY424+AY425)/AY423)*100,"-")</f>
        <v>-</v>
      </c>
      <c r="AZ422" s="2153" t="str">
        <f>IFERROR(((AZ423-AZ424+AZ425)/AZ423)*100,"-")</f>
        <v>-</v>
      </c>
      <c r="BA422" s="1209"/>
      <c r="BB422" s="1207" t="str">
        <f>IFERROR(((BB423-BB424+BB425)/BB423)*100,"-")</f>
        <v>-</v>
      </c>
      <c r="BC422" s="1209"/>
      <c r="BD422" s="1207" t="str">
        <f>IFERROR(((BD423-BD424+BD425)/BD423)*100,"-")</f>
        <v>-</v>
      </c>
      <c r="BE422" s="1226" t="str">
        <f>IFERROR(((BE423-BE424+BE425)/BE423)*100,"-")</f>
        <v>-</v>
      </c>
      <c r="BF422" s="1229"/>
      <c r="BG422" s="1226" t="str">
        <f>IFERROR(((BG423-BG424+BG425)/BG423)*100,"-")</f>
        <v>-</v>
      </c>
      <c r="BH422" s="1229"/>
      <c r="BI422" s="1226" t="str">
        <f>IFERROR(((BI423-BI424+BI425)/BI423)*100,"-")</f>
        <v>-</v>
      </c>
      <c r="BJ422" s="1230" t="s">
        <v>1591</v>
      </c>
      <c r="BK422" s="1230" t="s">
        <v>1592</v>
      </c>
      <c r="BL422" s="1034"/>
      <c r="BM422" s="878"/>
      <c r="BN422" s="878"/>
      <c r="BO422" s="299" t="s">
        <v>193</v>
      </c>
      <c r="BP422" s="277" t="s">
        <v>1593</v>
      </c>
      <c r="BQ422" s="154"/>
      <c r="BR422" s="982"/>
      <c r="BS422" s="10"/>
    </row>
    <row r="423" spans="2:71" s="139" customFormat="1" ht="24" customHeight="1">
      <c r="B423" s="1998"/>
      <c r="C423" s="2034"/>
      <c r="D423" s="932" t="s">
        <v>1594</v>
      </c>
      <c r="E423" s="926"/>
      <c r="F423" s="105" t="s">
        <v>1595</v>
      </c>
      <c r="G423" s="1249"/>
      <c r="H423" s="1250"/>
      <c r="I423" s="932" t="s">
        <v>1596</v>
      </c>
      <c r="J423" s="993"/>
      <c r="K423" s="109" t="s">
        <v>1597</v>
      </c>
      <c r="L423" s="1198">
        <v>25200</v>
      </c>
      <c r="M423" s="1204"/>
      <c r="N423" s="1198">
        <v>25050</v>
      </c>
      <c r="O423" s="1204"/>
      <c r="P423" s="1212"/>
      <c r="Q423" s="1045"/>
      <c r="R423" s="1204">
        <v>25200</v>
      </c>
      <c r="S423" s="1213"/>
      <c r="T423" s="1204">
        <v>25050</v>
      </c>
      <c r="U423" s="1214"/>
      <c r="V423" s="1212"/>
      <c r="W423" s="2097"/>
      <c r="X423" s="2329">
        <v>0</v>
      </c>
      <c r="Y423" s="1204">
        <v>0</v>
      </c>
      <c r="Z423" s="1215">
        <v>0</v>
      </c>
      <c r="AA423" s="1204">
        <v>0</v>
      </c>
      <c r="AB423" s="2330"/>
      <c r="AC423" s="2154">
        <v>0</v>
      </c>
      <c r="AD423" s="1215">
        <v>0</v>
      </c>
      <c r="AE423" s="1215"/>
      <c r="AF423" s="1215">
        <v>0</v>
      </c>
      <c r="AG423" s="1215">
        <v>0</v>
      </c>
      <c r="AH423" s="1215"/>
      <c r="AI423" s="1215">
        <v>0</v>
      </c>
      <c r="AJ423" s="1215">
        <v>0</v>
      </c>
      <c r="AK423" s="1215"/>
      <c r="AL423" s="1215">
        <v>0</v>
      </c>
      <c r="AM423" s="1215">
        <v>0</v>
      </c>
      <c r="AN423" s="2540"/>
      <c r="AO423" s="2329">
        <v>0</v>
      </c>
      <c r="AP423" s="1204">
        <v>0</v>
      </c>
      <c r="AQ423" s="1215">
        <v>0</v>
      </c>
      <c r="AR423" s="1204">
        <v>0</v>
      </c>
      <c r="AS423" s="1215">
        <v>0</v>
      </c>
      <c r="AT423" s="5098">
        <v>0</v>
      </c>
      <c r="AU423" s="2329">
        <v>0</v>
      </c>
      <c r="AV423" s="1204">
        <v>0</v>
      </c>
      <c r="AW423" s="1215">
        <v>0</v>
      </c>
      <c r="AX423" s="1204">
        <v>0</v>
      </c>
      <c r="AY423" s="2330"/>
      <c r="AZ423" s="2154">
        <v>0</v>
      </c>
      <c r="BA423" s="1204">
        <v>0</v>
      </c>
      <c r="BB423" s="1215">
        <v>0</v>
      </c>
      <c r="BC423" s="1204">
        <v>0</v>
      </c>
      <c r="BD423" s="1215"/>
      <c r="BE423" s="1215"/>
      <c r="BF423" s="93"/>
      <c r="BG423" s="1215"/>
      <c r="BH423" s="93"/>
      <c r="BI423" s="153"/>
      <c r="BJ423" s="1202"/>
      <c r="BK423" s="1202"/>
      <c r="BL423" s="162"/>
      <c r="BM423" s="547"/>
      <c r="BN423" s="547"/>
      <c r="BO423" s="299" t="s">
        <v>193</v>
      </c>
      <c r="BP423" s="277" t="s">
        <v>1598</v>
      </c>
      <c r="BQ423" s="154"/>
      <c r="BR423" s="1195"/>
      <c r="BS423" s="10"/>
    </row>
    <row r="424" spans="2:71" s="139" customFormat="1" ht="24" customHeight="1">
      <c r="B424" s="1998"/>
      <c r="C424" s="4742"/>
      <c r="D424" s="1219" t="s">
        <v>1600</v>
      </c>
      <c r="E424" s="1251"/>
      <c r="F424" s="105" t="s">
        <v>1595</v>
      </c>
      <c r="G424" s="1252"/>
      <c r="H424" s="1253"/>
      <c r="I424" s="1254" t="s">
        <v>1601</v>
      </c>
      <c r="J424" s="1255"/>
      <c r="K424" s="109" t="s">
        <v>1597</v>
      </c>
      <c r="L424" s="1198">
        <v>25050</v>
      </c>
      <c r="M424" s="1199"/>
      <c r="N424" s="1198">
        <v>16950</v>
      </c>
      <c r="O424" s="1200"/>
      <c r="P424" s="94"/>
      <c r="Q424" s="1045"/>
      <c r="R424" s="93">
        <v>25050</v>
      </c>
      <c r="S424" s="152"/>
      <c r="T424" s="93">
        <v>16950</v>
      </c>
      <c r="U424" s="1045"/>
      <c r="V424" s="94"/>
      <c r="W424" s="2097"/>
      <c r="X424" s="2182">
        <v>0</v>
      </c>
      <c r="Y424" s="93">
        <v>0</v>
      </c>
      <c r="Z424" s="153">
        <v>0</v>
      </c>
      <c r="AA424" s="93">
        <v>0</v>
      </c>
      <c r="AB424" s="2183"/>
      <c r="AC424" s="1238">
        <v>0</v>
      </c>
      <c r="AD424" s="153">
        <v>0</v>
      </c>
      <c r="AE424" s="153"/>
      <c r="AF424" s="153">
        <v>0</v>
      </c>
      <c r="AG424" s="153">
        <v>0</v>
      </c>
      <c r="AH424" s="153"/>
      <c r="AI424" s="153">
        <v>0</v>
      </c>
      <c r="AJ424" s="153">
        <v>0</v>
      </c>
      <c r="AK424" s="153"/>
      <c r="AL424" s="153">
        <v>0</v>
      </c>
      <c r="AM424" s="153">
        <v>0</v>
      </c>
      <c r="AN424" s="1241"/>
      <c r="AO424" s="2182">
        <v>0</v>
      </c>
      <c r="AP424" s="93">
        <v>0</v>
      </c>
      <c r="AQ424" s="153">
        <v>0</v>
      </c>
      <c r="AR424" s="93">
        <v>0</v>
      </c>
      <c r="AS424" s="153">
        <v>0</v>
      </c>
      <c r="AT424" s="4782">
        <v>0</v>
      </c>
      <c r="AU424" s="2182">
        <v>0</v>
      </c>
      <c r="AV424" s="93">
        <v>0</v>
      </c>
      <c r="AW424" s="153">
        <v>0</v>
      </c>
      <c r="AX424" s="93">
        <v>0</v>
      </c>
      <c r="AY424" s="2183"/>
      <c r="AZ424" s="1238">
        <v>0</v>
      </c>
      <c r="BA424" s="1201">
        <v>0</v>
      </c>
      <c r="BB424" s="153">
        <v>0</v>
      </c>
      <c r="BC424" s="1221">
        <v>0</v>
      </c>
      <c r="BD424" s="153"/>
      <c r="BE424" s="153"/>
      <c r="BF424" s="93"/>
      <c r="BG424" s="153"/>
      <c r="BH424" s="93"/>
      <c r="BI424" s="153"/>
      <c r="BJ424" s="276"/>
      <c r="BK424" s="276"/>
      <c r="BL424" s="162"/>
      <c r="BM424" s="547"/>
      <c r="BN424" s="547"/>
      <c r="BO424" s="299" t="s">
        <v>193</v>
      </c>
      <c r="BP424" s="277" t="s">
        <v>1598</v>
      </c>
      <c r="BQ424" s="154"/>
      <c r="BR424" s="1195"/>
      <c r="BS424" s="10"/>
    </row>
    <row r="425" spans="2:71" s="139" customFormat="1" ht="24" customHeight="1" thickBot="1">
      <c r="B425" s="2026"/>
      <c r="C425" s="4743"/>
      <c r="D425" s="1256" t="s">
        <v>1602</v>
      </c>
      <c r="E425" s="1257"/>
      <c r="F425" s="1258" t="s">
        <v>1595</v>
      </c>
      <c r="G425" s="1259"/>
      <c r="H425" s="1260"/>
      <c r="I425" s="1256" t="s">
        <v>1603</v>
      </c>
      <c r="J425" s="1257"/>
      <c r="K425" s="1261" t="s">
        <v>1597</v>
      </c>
      <c r="L425" s="1262">
        <v>0</v>
      </c>
      <c r="M425" s="1263"/>
      <c r="N425" s="1262">
        <v>0</v>
      </c>
      <c r="O425" s="1264"/>
      <c r="P425" s="1265"/>
      <c r="Q425" s="1161"/>
      <c r="R425" s="1266">
        <v>0</v>
      </c>
      <c r="S425" s="5103"/>
      <c r="T425" s="1266">
        <v>0</v>
      </c>
      <c r="U425" s="1267"/>
      <c r="V425" s="1265"/>
      <c r="W425" s="2100"/>
      <c r="X425" s="2333">
        <v>0</v>
      </c>
      <c r="Y425" s="1266">
        <v>0</v>
      </c>
      <c r="Z425" s="1268">
        <v>0</v>
      </c>
      <c r="AA425" s="1266">
        <v>0</v>
      </c>
      <c r="AB425" s="2334"/>
      <c r="AC425" s="2156">
        <v>0</v>
      </c>
      <c r="AD425" s="1268">
        <v>0</v>
      </c>
      <c r="AE425" s="1268"/>
      <c r="AF425" s="1268">
        <v>0</v>
      </c>
      <c r="AG425" s="1268">
        <v>0</v>
      </c>
      <c r="AH425" s="1268"/>
      <c r="AI425" s="1268">
        <v>0</v>
      </c>
      <c r="AJ425" s="1268">
        <v>0</v>
      </c>
      <c r="AK425" s="1268"/>
      <c r="AL425" s="1268">
        <v>0</v>
      </c>
      <c r="AM425" s="1268">
        <v>0</v>
      </c>
      <c r="AN425" s="4744"/>
      <c r="AO425" s="2333">
        <v>0</v>
      </c>
      <c r="AP425" s="1266">
        <v>0</v>
      </c>
      <c r="AQ425" s="1268">
        <v>0</v>
      </c>
      <c r="AR425" s="1266">
        <v>0</v>
      </c>
      <c r="AS425" s="1268">
        <v>0</v>
      </c>
      <c r="AT425" s="5104">
        <v>0</v>
      </c>
      <c r="AU425" s="2333">
        <v>0</v>
      </c>
      <c r="AV425" s="1266">
        <v>0</v>
      </c>
      <c r="AW425" s="1268">
        <v>0</v>
      </c>
      <c r="AX425" s="1266">
        <v>0</v>
      </c>
      <c r="AY425" s="2334"/>
      <c r="AZ425" s="2156">
        <v>0</v>
      </c>
      <c r="BA425" s="1269">
        <v>0</v>
      </c>
      <c r="BB425" s="1268">
        <v>0</v>
      </c>
      <c r="BC425" s="1270">
        <v>0</v>
      </c>
      <c r="BD425" s="1268"/>
      <c r="BE425" s="1268"/>
      <c r="BF425" s="1266"/>
      <c r="BG425" s="1268"/>
      <c r="BH425" s="1266"/>
      <c r="BI425" s="1268"/>
      <c r="BJ425" s="595"/>
      <c r="BK425" s="1271"/>
      <c r="BL425" s="165"/>
      <c r="BM425" s="1101"/>
      <c r="BN425" s="1101"/>
      <c r="BO425" s="299" t="s">
        <v>193</v>
      </c>
      <c r="BP425" s="981" t="s">
        <v>1598</v>
      </c>
      <c r="BQ425" s="1231"/>
      <c r="BR425" s="1232"/>
      <c r="BS425" s="10"/>
    </row>
    <row r="426" spans="2:71" ht="24" customHeight="1" thickTop="1" thickBot="1">
      <c r="B426" s="1710" t="s">
        <v>1604</v>
      </c>
      <c r="C426" s="1132"/>
      <c r="D426" s="1132"/>
      <c r="E426" s="1132"/>
      <c r="F426" s="518"/>
      <c r="G426" s="1272" t="s">
        <v>1440</v>
      </c>
      <c r="H426" s="1132"/>
      <c r="I426" s="1132"/>
      <c r="J426" s="1273"/>
      <c r="K426" s="518"/>
      <c r="L426" s="600"/>
      <c r="M426" s="600"/>
      <c r="N426" s="600"/>
      <c r="O426" s="600"/>
      <c r="P426" s="600"/>
      <c r="Q426" s="1004"/>
      <c r="R426" s="600"/>
      <c r="S426" s="600"/>
      <c r="T426" s="600"/>
      <c r="U426" s="600"/>
      <c r="V426" s="600"/>
      <c r="W426" s="1004"/>
      <c r="X426" s="2271"/>
      <c r="Y426" s="600"/>
      <c r="Z426" s="600"/>
      <c r="AA426" s="600"/>
      <c r="AB426" s="2272"/>
      <c r="AC426" s="600"/>
      <c r="AD426" s="600"/>
      <c r="AE426" s="600"/>
      <c r="AF426" s="1134"/>
      <c r="AG426" s="1134"/>
      <c r="AH426" s="1134"/>
      <c r="AI426" s="1134"/>
      <c r="AJ426" s="1134"/>
      <c r="AK426" s="1134"/>
      <c r="AL426" s="1134"/>
      <c r="AM426" s="1134"/>
      <c r="AN426" s="1134"/>
      <c r="AO426" s="2410"/>
      <c r="AP426" s="1134"/>
      <c r="AQ426" s="1134"/>
      <c r="AR426" s="1134"/>
      <c r="AS426" s="1134"/>
      <c r="AT426" s="5086"/>
      <c r="AU426" s="2410"/>
      <c r="AV426" s="1134"/>
      <c r="AW426" s="1134"/>
      <c r="AX426" s="1134"/>
      <c r="AY426" s="2411"/>
      <c r="AZ426" s="1134"/>
      <c r="BA426" s="1134"/>
      <c r="BB426" s="1134"/>
      <c r="BC426" s="1134"/>
      <c r="BD426" s="1134"/>
      <c r="BE426" s="1134"/>
      <c r="BF426" s="1134"/>
      <c r="BG426" s="1134"/>
      <c r="BH426" s="1134"/>
      <c r="BI426" s="1134"/>
      <c r="BJ426" s="1133"/>
      <c r="BK426" s="1133"/>
      <c r="BL426" s="1274"/>
      <c r="BM426" s="129"/>
      <c r="BN426" s="129"/>
      <c r="BO426" s="1274"/>
      <c r="BP426" s="328"/>
      <c r="BQ426" s="328"/>
      <c r="BR426" s="1006"/>
      <c r="BS426" s="18"/>
    </row>
    <row r="427" spans="2:71" s="139" customFormat="1" ht="24" customHeight="1">
      <c r="B427" s="2031"/>
      <c r="C427" s="4738" t="s">
        <v>1605</v>
      </c>
      <c r="D427" s="1186"/>
      <c r="E427" s="1186"/>
      <c r="F427" s="755" t="s">
        <v>156</v>
      </c>
      <c r="G427" s="1275"/>
      <c r="H427" s="1276" t="s">
        <v>1606</v>
      </c>
      <c r="I427" s="1277"/>
      <c r="J427" s="1278"/>
      <c r="K427" s="758" t="s">
        <v>156</v>
      </c>
      <c r="L427" s="1279">
        <f>IFERROR(L428/L429*100,"-")</f>
        <v>0</v>
      </c>
      <c r="M427" s="1280"/>
      <c r="N427" s="1279">
        <f>IFERROR(N428/N429*100,"-")</f>
        <v>0</v>
      </c>
      <c r="O427" s="1280"/>
      <c r="P427" s="1279" t="str">
        <f>IFERROR(P428/P429*100,"-")</f>
        <v>-</v>
      </c>
      <c r="Q427" s="1045"/>
      <c r="R427" s="1279">
        <f>IFERROR(R428/R429*100,"-")</f>
        <v>0</v>
      </c>
      <c r="S427" s="5105"/>
      <c r="T427" s="1279">
        <f>IFERROR(T428/T429*100,"-")</f>
        <v>0</v>
      </c>
      <c r="U427" s="5105"/>
      <c r="V427" s="1279" t="str">
        <f>IFERROR(V428/V429*100,"-")</f>
        <v>-</v>
      </c>
      <c r="W427" s="2097"/>
      <c r="X427" s="2335" t="str">
        <f>IFERROR(X428/X429*100,"-")</f>
        <v>-</v>
      </c>
      <c r="Y427" s="1282"/>
      <c r="Z427" s="1281" t="str">
        <f>IFERROR(Z428/Z429*100,"-")</f>
        <v>-</v>
      </c>
      <c r="AA427" s="1282"/>
      <c r="AB427" s="2336" t="str">
        <f t="shared" ref="AB427:AN427" si="40">IFERROR(AB428/AB429*100,"-")</f>
        <v>-</v>
      </c>
      <c r="AC427" s="2157" t="str">
        <f t="shared" si="40"/>
        <v>-</v>
      </c>
      <c r="AD427" s="1281" t="str">
        <f t="shared" si="40"/>
        <v>-</v>
      </c>
      <c r="AE427" s="1281" t="str">
        <f t="shared" si="40"/>
        <v>-</v>
      </c>
      <c r="AF427" s="1281" t="str">
        <f t="shared" si="40"/>
        <v>-</v>
      </c>
      <c r="AG427" s="1281" t="str">
        <f t="shared" si="40"/>
        <v>-</v>
      </c>
      <c r="AH427" s="1281" t="str">
        <f t="shared" si="40"/>
        <v>-</v>
      </c>
      <c r="AI427" s="1281" t="str">
        <f t="shared" si="40"/>
        <v>-</v>
      </c>
      <c r="AJ427" s="1281" t="str">
        <f t="shared" si="40"/>
        <v>-</v>
      </c>
      <c r="AK427" s="1281" t="str">
        <f t="shared" si="40"/>
        <v>-</v>
      </c>
      <c r="AL427" s="1281" t="str">
        <f t="shared" si="40"/>
        <v>-</v>
      </c>
      <c r="AM427" s="1281" t="str">
        <f t="shared" si="40"/>
        <v>-</v>
      </c>
      <c r="AN427" s="4745" t="str">
        <f t="shared" si="40"/>
        <v>-</v>
      </c>
      <c r="AO427" s="2335" t="str">
        <f t="shared" ref="AO427" si="41">IFERROR(AO428/AO429*100,"-")</f>
        <v>-</v>
      </c>
      <c r="AP427" s="1282"/>
      <c r="AQ427" s="1281" t="str">
        <f>IFERROR(AQ428/AQ429*100,"-")</f>
        <v>-</v>
      </c>
      <c r="AR427" s="1283"/>
      <c r="AS427" s="4745" t="str">
        <f>IFERROR(AS428/AS429*100,"-")</f>
        <v>-</v>
      </c>
      <c r="AT427" s="5106"/>
      <c r="AU427" s="2335" t="str">
        <f>IFERROR(AU428/AU429*100,"-")</f>
        <v>-</v>
      </c>
      <c r="AV427" s="1282"/>
      <c r="AW427" s="1281"/>
      <c r="AX427" s="1282"/>
      <c r="AY427" s="2336"/>
      <c r="AZ427" s="2157"/>
      <c r="BA427" s="1280"/>
      <c r="BB427" s="1281"/>
      <c r="BC427" s="1280"/>
      <c r="BD427" s="1281" t="str">
        <f>IFERROR(BD428/BD429*100,"-")</f>
        <v>-</v>
      </c>
      <c r="BE427" s="1281" t="str">
        <f>IFERROR(BE428/BE429*100,"-")</f>
        <v>-</v>
      </c>
      <c r="BF427" s="1283"/>
      <c r="BG427" s="1281" t="str">
        <f>IFERROR(BG428/BG429*100,"-")</f>
        <v>-</v>
      </c>
      <c r="BH427" s="1283"/>
      <c r="BI427" s="1281" t="str">
        <f>IFERROR(BI428/BI429*100,"-")</f>
        <v>-</v>
      </c>
      <c r="BJ427" s="1194" t="s">
        <v>1607</v>
      </c>
      <c r="BK427" s="1284" t="s">
        <v>1608</v>
      </c>
      <c r="BL427" s="162"/>
      <c r="BM427" s="534"/>
      <c r="BN427" s="534"/>
      <c r="BO427" s="299" t="s">
        <v>193</v>
      </c>
      <c r="BP427" s="277" t="s">
        <v>1609</v>
      </c>
      <c r="BQ427" s="154"/>
      <c r="BR427" s="1195"/>
      <c r="BS427" s="10"/>
    </row>
    <row r="428" spans="2:71" s="139" customFormat="1" ht="24" customHeight="1">
      <c r="B428" s="2031"/>
      <c r="C428" s="1935"/>
      <c r="D428" s="1216" t="s">
        <v>1610</v>
      </c>
      <c r="E428" s="1217"/>
      <c r="F428" s="105" t="s">
        <v>33</v>
      </c>
      <c r="G428" s="475"/>
      <c r="H428" s="1285"/>
      <c r="I428" s="1219" t="s">
        <v>1611</v>
      </c>
      <c r="J428" s="1285"/>
      <c r="K428" s="109" t="s">
        <v>35</v>
      </c>
      <c r="L428" s="93">
        <v>0</v>
      </c>
      <c r="M428" s="1199"/>
      <c r="N428" s="93">
        <v>0</v>
      </c>
      <c r="O428" s="1200"/>
      <c r="P428" s="94"/>
      <c r="Q428" s="1045"/>
      <c r="R428" s="93">
        <v>0</v>
      </c>
      <c r="S428" s="1045"/>
      <c r="T428" s="93">
        <v>0</v>
      </c>
      <c r="U428" s="1045"/>
      <c r="V428" s="94"/>
      <c r="W428" s="2097"/>
      <c r="X428" s="2182">
        <v>0</v>
      </c>
      <c r="Y428" s="93">
        <v>0</v>
      </c>
      <c r="Z428" s="153">
        <v>0</v>
      </c>
      <c r="AA428" s="93">
        <v>0</v>
      </c>
      <c r="AB428" s="2183"/>
      <c r="AC428" s="1238">
        <v>0</v>
      </c>
      <c r="AD428" s="153">
        <v>0</v>
      </c>
      <c r="AE428" s="153"/>
      <c r="AF428" s="153">
        <v>0</v>
      </c>
      <c r="AG428" s="153">
        <v>0</v>
      </c>
      <c r="AH428" s="153"/>
      <c r="AI428" s="153">
        <v>0</v>
      </c>
      <c r="AJ428" s="153">
        <v>0</v>
      </c>
      <c r="AK428" s="153"/>
      <c r="AL428" s="153">
        <v>0</v>
      </c>
      <c r="AM428" s="153">
        <v>0</v>
      </c>
      <c r="AN428" s="1241"/>
      <c r="AO428" s="2182">
        <v>0</v>
      </c>
      <c r="AP428" s="93">
        <v>0</v>
      </c>
      <c r="AQ428" s="153">
        <v>0</v>
      </c>
      <c r="AR428" s="93">
        <v>0</v>
      </c>
      <c r="AS428" s="153">
        <v>0</v>
      </c>
      <c r="AT428" s="4782">
        <v>0</v>
      </c>
      <c r="AU428" s="2182">
        <v>0</v>
      </c>
      <c r="AV428" s="93">
        <v>0</v>
      </c>
      <c r="AW428" s="153">
        <v>0</v>
      </c>
      <c r="AX428" s="93">
        <v>0</v>
      </c>
      <c r="AY428" s="2183"/>
      <c r="AZ428" s="1238">
        <v>0</v>
      </c>
      <c r="BA428" s="1201">
        <v>0</v>
      </c>
      <c r="BB428" s="153">
        <v>0</v>
      </c>
      <c r="BC428" s="1201">
        <v>0</v>
      </c>
      <c r="BD428" s="153"/>
      <c r="BE428" s="153"/>
      <c r="BF428" s="93"/>
      <c r="BG428" s="153"/>
      <c r="BH428" s="93"/>
      <c r="BI428" s="153"/>
      <c r="BJ428" s="1202"/>
      <c r="BK428" s="1202"/>
      <c r="BL428" s="162"/>
      <c r="BM428" s="547"/>
      <c r="BN428" s="547"/>
      <c r="BO428" s="299" t="s">
        <v>193</v>
      </c>
      <c r="BP428" s="277" t="s">
        <v>1609</v>
      </c>
      <c r="BQ428" s="154"/>
      <c r="BR428" s="1195"/>
      <c r="BS428" s="10"/>
    </row>
    <row r="429" spans="2:71" s="139" customFormat="1" ht="24" customHeight="1">
      <c r="B429" s="2031"/>
      <c r="C429" s="4678"/>
      <c r="D429" s="1216" t="s">
        <v>1612</v>
      </c>
      <c r="E429" s="1217"/>
      <c r="F429" s="105" t="s">
        <v>33</v>
      </c>
      <c r="G429" s="475"/>
      <c r="H429" s="1285"/>
      <c r="I429" s="1219" t="s">
        <v>1613</v>
      </c>
      <c r="J429" s="1285"/>
      <c r="K429" s="109" t="s">
        <v>35</v>
      </c>
      <c r="L429" s="1198">
        <v>396981</v>
      </c>
      <c r="M429" s="1199"/>
      <c r="N429" s="1198">
        <v>569297</v>
      </c>
      <c r="O429" s="1200"/>
      <c r="P429" s="94"/>
      <c r="Q429" s="1045"/>
      <c r="R429" s="93">
        <v>396981</v>
      </c>
      <c r="S429" s="1045"/>
      <c r="T429" s="93">
        <v>569297</v>
      </c>
      <c r="U429" s="1045"/>
      <c r="V429" s="94"/>
      <c r="W429" s="2097"/>
      <c r="X429" s="2182">
        <v>0</v>
      </c>
      <c r="Y429" s="93">
        <v>0</v>
      </c>
      <c r="Z429" s="153">
        <v>0</v>
      </c>
      <c r="AA429" s="93">
        <v>0</v>
      </c>
      <c r="AB429" s="2183"/>
      <c r="AC429" s="1238">
        <v>0</v>
      </c>
      <c r="AD429" s="153">
        <v>0</v>
      </c>
      <c r="AE429" s="153"/>
      <c r="AF429" s="153">
        <v>0</v>
      </c>
      <c r="AG429" s="153">
        <v>0</v>
      </c>
      <c r="AH429" s="153"/>
      <c r="AI429" s="153">
        <v>0</v>
      </c>
      <c r="AJ429" s="153">
        <v>0</v>
      </c>
      <c r="AK429" s="153"/>
      <c r="AL429" s="153">
        <v>0</v>
      </c>
      <c r="AM429" s="153">
        <v>0</v>
      </c>
      <c r="AN429" s="1241"/>
      <c r="AO429" s="2182">
        <v>0</v>
      </c>
      <c r="AP429" s="93">
        <v>0</v>
      </c>
      <c r="AQ429" s="153">
        <v>0</v>
      </c>
      <c r="AR429" s="93">
        <v>0</v>
      </c>
      <c r="AS429" s="153">
        <v>0</v>
      </c>
      <c r="AT429" s="4782">
        <v>0</v>
      </c>
      <c r="AU429" s="2182">
        <v>0</v>
      </c>
      <c r="AV429" s="93">
        <v>0</v>
      </c>
      <c r="AW429" s="153">
        <v>0</v>
      </c>
      <c r="AX429" s="93">
        <v>0</v>
      </c>
      <c r="AY429" s="2183"/>
      <c r="AZ429" s="1238">
        <v>0</v>
      </c>
      <c r="BA429" s="1201">
        <v>0</v>
      </c>
      <c r="BB429" s="153">
        <v>0</v>
      </c>
      <c r="BC429" s="1201">
        <v>0</v>
      </c>
      <c r="BD429" s="153"/>
      <c r="BE429" s="153"/>
      <c r="BF429" s="93"/>
      <c r="BG429" s="153"/>
      <c r="BH429" s="93"/>
      <c r="BI429" s="153"/>
      <c r="BJ429" s="276"/>
      <c r="BK429" s="276"/>
      <c r="BL429" s="162"/>
      <c r="BM429" s="547"/>
      <c r="BN429" s="547"/>
      <c r="BO429" s="299" t="s">
        <v>193</v>
      </c>
      <c r="BP429" s="154" t="s">
        <v>1609</v>
      </c>
      <c r="BQ429" s="154"/>
      <c r="BR429" s="1195"/>
      <c r="BS429" s="10"/>
    </row>
    <row r="430" spans="2:71" s="139" customFormat="1" ht="24" customHeight="1">
      <c r="B430" s="2031"/>
      <c r="C430" s="4669" t="s">
        <v>1614</v>
      </c>
      <c r="D430" s="924"/>
      <c r="E430" s="924"/>
      <c r="F430" s="285" t="s">
        <v>156</v>
      </c>
      <c r="G430" s="1286"/>
      <c r="H430" s="991" t="s">
        <v>1615</v>
      </c>
      <c r="I430" s="992"/>
      <c r="J430" s="1287"/>
      <c r="K430" s="162" t="s">
        <v>156</v>
      </c>
      <c r="L430" s="1288">
        <f>IFERROR(L431/L432*100,"-")</f>
        <v>7.2726885424496288</v>
      </c>
      <c r="M430" s="1289"/>
      <c r="N430" s="1288">
        <f>IFERROR(N431/N432*100,"-")</f>
        <v>3.880341856150396</v>
      </c>
      <c r="O430" s="1289"/>
      <c r="P430" s="1290" t="str">
        <f>IFERROR(P431/P432*100,"-")</f>
        <v>-</v>
      </c>
      <c r="Q430" s="1045"/>
      <c r="R430" s="1290">
        <f>IFERROR(R431/R432*100,"-")</f>
        <v>7.2726885424496288</v>
      </c>
      <c r="S430" s="5107"/>
      <c r="T430" s="1290">
        <f>IFERROR(T431/T432*100,"-")</f>
        <v>3.880341856150396</v>
      </c>
      <c r="U430" s="5107"/>
      <c r="V430" s="1290" t="str">
        <f>IFERROR(V431/V432*100,"-")</f>
        <v>-</v>
      </c>
      <c r="W430" s="2097"/>
      <c r="X430" s="2337" t="str">
        <f>IFERROR(X431/X432*100,"-")</f>
        <v>-</v>
      </c>
      <c r="Y430" s="1198"/>
      <c r="Z430" s="1291" t="str">
        <f>IFERROR(Z431/Z432*100,"-")</f>
        <v>-</v>
      </c>
      <c r="AA430" s="1198"/>
      <c r="AB430" s="2338" t="str">
        <f t="shared" ref="AB430:AN430" si="42">IFERROR(AB431/AB432*100,"-")</f>
        <v>-</v>
      </c>
      <c r="AC430" s="2158" t="str">
        <f t="shared" si="42"/>
        <v>-</v>
      </c>
      <c r="AD430" s="1291" t="str">
        <f t="shared" si="42"/>
        <v>-</v>
      </c>
      <c r="AE430" s="1291" t="str">
        <f t="shared" si="42"/>
        <v>-</v>
      </c>
      <c r="AF430" s="1291" t="str">
        <f t="shared" si="42"/>
        <v>-</v>
      </c>
      <c r="AG430" s="1291" t="str">
        <f t="shared" si="42"/>
        <v>-</v>
      </c>
      <c r="AH430" s="1291" t="str">
        <f t="shared" si="42"/>
        <v>-</v>
      </c>
      <c r="AI430" s="1291" t="str">
        <f t="shared" si="42"/>
        <v>-</v>
      </c>
      <c r="AJ430" s="1291" t="str">
        <f t="shared" si="42"/>
        <v>-</v>
      </c>
      <c r="AK430" s="1291" t="str">
        <f t="shared" si="42"/>
        <v>-</v>
      </c>
      <c r="AL430" s="1291" t="str">
        <f t="shared" si="42"/>
        <v>-</v>
      </c>
      <c r="AM430" s="1291" t="str">
        <f t="shared" si="42"/>
        <v>-</v>
      </c>
      <c r="AN430" s="4746" t="str">
        <f t="shared" si="42"/>
        <v>-</v>
      </c>
      <c r="AO430" s="2337" t="str">
        <f t="shared" ref="AO430" si="43">IFERROR(AO431/AO432*100,"-")</f>
        <v>-</v>
      </c>
      <c r="AP430" s="1198"/>
      <c r="AQ430" s="1291" t="str">
        <f>IFERROR(AQ431/AQ432*100,"-")</f>
        <v>-</v>
      </c>
      <c r="AR430" s="1198"/>
      <c r="AS430" s="1291" t="str">
        <f>IFERROR(AS431/AS432*100,"-")</f>
        <v>-</v>
      </c>
      <c r="AT430" s="5108"/>
      <c r="AU430" s="2337" t="str">
        <f>IFERROR(AU431/AU432*100,"-")</f>
        <v>-</v>
      </c>
      <c r="AV430" s="1198"/>
      <c r="AW430" s="1291" t="str">
        <f>IFERROR(AW431/AW432*100,"-")</f>
        <v>-</v>
      </c>
      <c r="AX430" s="1198"/>
      <c r="AY430" s="2338" t="str">
        <f>IFERROR(AY431/AY432*100,"-")</f>
        <v>-</v>
      </c>
      <c r="AZ430" s="2158" t="str">
        <f>IFERROR(AZ431/AZ432*100,"-")</f>
        <v>-</v>
      </c>
      <c r="BA430" s="1204"/>
      <c r="BB430" s="1291" t="str">
        <f>IFERROR(BB431/BB432*100,"-")</f>
        <v>-</v>
      </c>
      <c r="BC430" s="1204"/>
      <c r="BD430" s="1291" t="str">
        <f>IFERROR(BD431/BD432*100,"-")</f>
        <v>-</v>
      </c>
      <c r="BE430" s="1291" t="str">
        <f>IFERROR(BE431/BE432*100,"-")</f>
        <v>-</v>
      </c>
      <c r="BF430" s="93"/>
      <c r="BG430" s="1291" t="str">
        <f>IFERROR(BG431/BG432*100,"-")</f>
        <v>-</v>
      </c>
      <c r="BH430" s="93"/>
      <c r="BI430" s="1291" t="str">
        <f>IFERROR(BI431/BI432*100,"-")</f>
        <v>-</v>
      </c>
      <c r="BJ430" s="1202" t="s">
        <v>1616</v>
      </c>
      <c r="BK430" s="1230" t="s">
        <v>1617</v>
      </c>
      <c r="BL430" s="1034"/>
      <c r="BM430" s="547"/>
      <c r="BN430" s="547"/>
      <c r="BO430" s="299" t="s">
        <v>193</v>
      </c>
      <c r="BP430" s="154" t="s">
        <v>1618</v>
      </c>
      <c r="BQ430" s="154"/>
      <c r="BR430" s="1195"/>
      <c r="BS430" s="10"/>
    </row>
    <row r="431" spans="2:71" s="139" customFormat="1" ht="24" customHeight="1">
      <c r="B431" s="2031"/>
      <c r="C431" s="1914"/>
      <c r="D431" s="936" t="s">
        <v>1619</v>
      </c>
      <c r="E431" s="924"/>
      <c r="F431" s="105" t="s">
        <v>33</v>
      </c>
      <c r="G431" s="1286"/>
      <c r="H431" s="1292"/>
      <c r="I431" s="995" t="s">
        <v>1620</v>
      </c>
      <c r="J431" s="993"/>
      <c r="K431" s="109" t="s">
        <v>35</v>
      </c>
      <c r="L431" s="1198">
        <v>23899</v>
      </c>
      <c r="M431" s="1204"/>
      <c r="N431" s="1198">
        <v>27419</v>
      </c>
      <c r="O431" s="1289"/>
      <c r="P431" s="1212"/>
      <c r="Q431" s="1045"/>
      <c r="R431" s="1204">
        <v>23899</v>
      </c>
      <c r="S431" s="1214"/>
      <c r="T431" s="1204">
        <v>27419</v>
      </c>
      <c r="U431" s="1214"/>
      <c r="V431" s="1212"/>
      <c r="W431" s="2097"/>
      <c r="X431" s="2329">
        <v>0</v>
      </c>
      <c r="Y431" s="1212">
        <v>0</v>
      </c>
      <c r="Z431" s="1215">
        <v>0</v>
      </c>
      <c r="AA431" s="1204">
        <v>0</v>
      </c>
      <c r="AB431" s="2330"/>
      <c r="AC431" s="2154">
        <v>0</v>
      </c>
      <c r="AD431" s="1215">
        <v>0</v>
      </c>
      <c r="AE431" s="1215"/>
      <c r="AF431" s="1215">
        <v>0</v>
      </c>
      <c r="AG431" s="1215">
        <v>0</v>
      </c>
      <c r="AH431" s="1215"/>
      <c r="AI431" s="1215">
        <v>0</v>
      </c>
      <c r="AJ431" s="1215">
        <v>0</v>
      </c>
      <c r="AK431" s="1215"/>
      <c r="AL431" s="1215">
        <v>0</v>
      </c>
      <c r="AM431" s="1215">
        <v>0</v>
      </c>
      <c r="AN431" s="2540"/>
      <c r="AO431" s="2329">
        <v>0</v>
      </c>
      <c r="AP431" s="1213" t="s">
        <v>2171</v>
      </c>
      <c r="AQ431" s="1215">
        <v>0</v>
      </c>
      <c r="AR431" s="1213" t="s">
        <v>2171</v>
      </c>
      <c r="AS431" s="1215">
        <v>0</v>
      </c>
      <c r="AT431" s="5109"/>
      <c r="AU431" s="2329">
        <v>0</v>
      </c>
      <c r="AV431" s="1204">
        <v>0</v>
      </c>
      <c r="AW431" s="1215">
        <v>0</v>
      </c>
      <c r="AX431" s="1204">
        <v>0</v>
      </c>
      <c r="AY431" s="2330"/>
      <c r="AZ431" s="2154">
        <v>0</v>
      </c>
      <c r="BA431" s="1204">
        <v>0</v>
      </c>
      <c r="BB431" s="1215">
        <v>0</v>
      </c>
      <c r="BC431" s="1204">
        <v>0</v>
      </c>
      <c r="BD431" s="1215"/>
      <c r="BE431" s="1215"/>
      <c r="BF431" s="93"/>
      <c r="BG431" s="1215"/>
      <c r="BH431" s="93"/>
      <c r="BI431" s="153"/>
      <c r="BJ431" s="1202"/>
      <c r="BK431" s="1230"/>
      <c r="BL431" s="1034"/>
      <c r="BM431" s="547"/>
      <c r="BN431" s="547"/>
      <c r="BO431" s="299" t="s">
        <v>193</v>
      </c>
      <c r="BP431" s="154" t="s">
        <v>1618</v>
      </c>
      <c r="BQ431" s="154"/>
      <c r="BR431" s="1195"/>
      <c r="BS431" s="10"/>
    </row>
    <row r="432" spans="2:71" s="139" customFormat="1" ht="24" customHeight="1">
      <c r="B432" s="2031"/>
      <c r="C432" s="1914"/>
      <c r="D432" s="1216" t="s">
        <v>1621</v>
      </c>
      <c r="E432" s="1217"/>
      <c r="F432" s="105" t="s">
        <v>33</v>
      </c>
      <c r="G432" s="475"/>
      <c r="H432" s="1285"/>
      <c r="I432" s="726" t="s">
        <v>1622</v>
      </c>
      <c r="J432" s="1293"/>
      <c r="K432" s="109" t="s">
        <v>35</v>
      </c>
      <c r="L432" s="1198">
        <v>328613</v>
      </c>
      <c r="M432" s="1199"/>
      <c r="N432" s="1198">
        <v>706613</v>
      </c>
      <c r="O432" s="1200"/>
      <c r="P432" s="94"/>
      <c r="Q432" s="1045"/>
      <c r="R432" s="93">
        <v>328613</v>
      </c>
      <c r="S432" s="1045"/>
      <c r="T432" s="93">
        <v>706613</v>
      </c>
      <c r="U432" s="1045"/>
      <c r="V432" s="94"/>
      <c r="W432" s="2097"/>
      <c r="X432" s="2182">
        <v>0</v>
      </c>
      <c r="Y432" s="1294" t="s">
        <v>2171</v>
      </c>
      <c r="Z432" s="153">
        <v>0</v>
      </c>
      <c r="AA432" s="152" t="s">
        <v>2171</v>
      </c>
      <c r="AB432" s="2183"/>
      <c r="AC432" s="1238">
        <v>0</v>
      </c>
      <c r="AD432" s="153">
        <v>0</v>
      </c>
      <c r="AE432" s="153"/>
      <c r="AF432" s="153">
        <v>0</v>
      </c>
      <c r="AG432" s="153">
        <v>0</v>
      </c>
      <c r="AH432" s="153"/>
      <c r="AI432" s="153">
        <v>0</v>
      </c>
      <c r="AJ432" s="153">
        <v>0</v>
      </c>
      <c r="AK432" s="153"/>
      <c r="AL432" s="153">
        <v>0</v>
      </c>
      <c r="AM432" s="153">
        <v>0</v>
      </c>
      <c r="AN432" s="1241"/>
      <c r="AO432" s="2182">
        <v>0</v>
      </c>
      <c r="AP432" s="93">
        <v>0</v>
      </c>
      <c r="AQ432" s="153">
        <v>0</v>
      </c>
      <c r="AR432" s="93">
        <v>0</v>
      </c>
      <c r="AS432" s="153">
        <v>0</v>
      </c>
      <c r="AT432" s="4782">
        <v>0</v>
      </c>
      <c r="AU432" s="2182">
        <v>0</v>
      </c>
      <c r="AV432" s="93">
        <v>0</v>
      </c>
      <c r="AW432" s="153">
        <v>0</v>
      </c>
      <c r="AX432" s="93">
        <v>0</v>
      </c>
      <c r="AY432" s="2183"/>
      <c r="AZ432" s="1238">
        <v>0</v>
      </c>
      <c r="BA432" s="1201">
        <v>0</v>
      </c>
      <c r="BB432" s="153">
        <v>0</v>
      </c>
      <c r="BC432" s="1221">
        <v>0</v>
      </c>
      <c r="BD432" s="153"/>
      <c r="BE432" s="153"/>
      <c r="BF432" s="93"/>
      <c r="BG432" s="153"/>
      <c r="BH432" s="93"/>
      <c r="BI432" s="153"/>
      <c r="BJ432" s="276"/>
      <c r="BK432" s="544"/>
      <c r="BL432" s="1034"/>
      <c r="BM432" s="547"/>
      <c r="BN432" s="547"/>
      <c r="BO432" s="299" t="s">
        <v>193</v>
      </c>
      <c r="BP432" s="154" t="s">
        <v>1618</v>
      </c>
      <c r="BQ432" s="154"/>
      <c r="BR432" s="1195"/>
      <c r="BS432" s="10"/>
    </row>
    <row r="433" spans="2:71" s="139" customFormat="1" ht="24" customHeight="1">
      <c r="B433" s="2031"/>
      <c r="C433" s="4669" t="s">
        <v>1623</v>
      </c>
      <c r="D433" s="924"/>
      <c r="E433" s="924"/>
      <c r="F433" s="285" t="s">
        <v>156</v>
      </c>
      <c r="G433" s="1223"/>
      <c r="H433" s="925" t="s">
        <v>1624</v>
      </c>
      <c r="I433" s="926"/>
      <c r="J433" s="993"/>
      <c r="K433" s="162" t="s">
        <v>156</v>
      </c>
      <c r="L433" s="1288">
        <f>IFERROR(L434/L435*100,"-")</f>
        <v>10.767786647595091</v>
      </c>
      <c r="M433" s="1289"/>
      <c r="N433" s="1288">
        <f>IFERROR(N434/N435*100,"-")</f>
        <v>14.159225569556872</v>
      </c>
      <c r="O433" s="1289"/>
      <c r="P433" s="1290" t="str">
        <f>IFERROR(P434/P435*100,"-")</f>
        <v>-</v>
      </c>
      <c r="Q433" s="1045"/>
      <c r="R433" s="1290">
        <f>IFERROR(R434/R435*100,"-")</f>
        <v>10.767786647595091</v>
      </c>
      <c r="S433" s="5107"/>
      <c r="T433" s="1290">
        <f>IFERROR(T434/T435*100,"-")</f>
        <v>14.159225569556872</v>
      </c>
      <c r="U433" s="5107"/>
      <c r="V433" s="1290" t="str">
        <f>IFERROR(V434/V435*100,"-")</f>
        <v>-</v>
      </c>
      <c r="W433" s="2097"/>
      <c r="X433" s="2337" t="str">
        <f>IFERROR(X434/X435*100,"-")</f>
        <v>-</v>
      </c>
      <c r="Y433" s="1198"/>
      <c r="Z433" s="1291" t="str">
        <f>IFERROR(Z434/Z435*100,"-")</f>
        <v>-</v>
      </c>
      <c r="AA433" s="1198"/>
      <c r="AB433" s="2338" t="str">
        <f t="shared" ref="AB433:AN433" si="44">IFERROR(AB434/AB435*100,"-")</f>
        <v>-</v>
      </c>
      <c r="AC433" s="2158" t="str">
        <f t="shared" si="44"/>
        <v>-</v>
      </c>
      <c r="AD433" s="1291" t="str">
        <f t="shared" si="44"/>
        <v>-</v>
      </c>
      <c r="AE433" s="1291" t="str">
        <f t="shared" si="44"/>
        <v>-</v>
      </c>
      <c r="AF433" s="1291" t="str">
        <f t="shared" si="44"/>
        <v>-</v>
      </c>
      <c r="AG433" s="1291" t="str">
        <f t="shared" si="44"/>
        <v>-</v>
      </c>
      <c r="AH433" s="1291" t="str">
        <f t="shared" si="44"/>
        <v>-</v>
      </c>
      <c r="AI433" s="1291" t="str">
        <f t="shared" si="44"/>
        <v>-</v>
      </c>
      <c r="AJ433" s="1291" t="str">
        <f t="shared" si="44"/>
        <v>-</v>
      </c>
      <c r="AK433" s="1291" t="str">
        <f t="shared" si="44"/>
        <v>-</v>
      </c>
      <c r="AL433" s="1291" t="str">
        <f t="shared" si="44"/>
        <v>-</v>
      </c>
      <c r="AM433" s="1291" t="str">
        <f t="shared" si="44"/>
        <v>-</v>
      </c>
      <c r="AN433" s="4746" t="str">
        <f t="shared" si="44"/>
        <v>-</v>
      </c>
      <c r="AO433" s="2337" t="str">
        <f t="shared" ref="AO433" si="45">IFERROR(AO434/AO435*100,"-")</f>
        <v>-</v>
      </c>
      <c r="AP433" s="1198"/>
      <c r="AQ433" s="1291" t="str">
        <f>IFERROR(AQ434/AQ435*100,"-")</f>
        <v>-</v>
      </c>
      <c r="AR433" s="1198"/>
      <c r="AS433" s="1291" t="str">
        <f>IFERROR(AS434/AS435*100,"-")</f>
        <v>-</v>
      </c>
      <c r="AT433" s="5108"/>
      <c r="AU433" s="2337" t="str">
        <f>IFERROR(AU434/AU435*100,"-")</f>
        <v>-</v>
      </c>
      <c r="AV433" s="1198"/>
      <c r="AW433" s="1291" t="str">
        <f>IFERROR(AW434/AW435*100,"-")</f>
        <v>-</v>
      </c>
      <c r="AX433" s="1198"/>
      <c r="AY433" s="2338" t="str">
        <f>IFERROR(AY434/AY435*100,"-")</f>
        <v>-</v>
      </c>
      <c r="AZ433" s="2158" t="str">
        <f>IFERROR(AZ434/AZ435*100,"-")</f>
        <v>-</v>
      </c>
      <c r="BA433" s="1204"/>
      <c r="BB433" s="1291" t="str">
        <f>IFERROR(BB434/BB435*100,"-")</f>
        <v>-</v>
      </c>
      <c r="BC433" s="1204"/>
      <c r="BD433" s="1291" t="str">
        <f>IFERROR(BD434/BD435*100,"-")</f>
        <v>-</v>
      </c>
      <c r="BE433" s="1291" t="str">
        <f>IFERROR(BE434/BE435*100,"-")</f>
        <v>-</v>
      </c>
      <c r="BF433" s="93"/>
      <c r="BG433" s="1291" t="str">
        <f>IFERROR(BG434/BG435*100,"-")</f>
        <v>-</v>
      </c>
      <c r="BH433" s="93"/>
      <c r="BI433" s="1291" t="str">
        <f>IFERROR(BI434/BI435*100,"-")</f>
        <v>-</v>
      </c>
      <c r="BJ433" s="1202" t="s">
        <v>1625</v>
      </c>
      <c r="BK433" s="1230" t="s">
        <v>1626</v>
      </c>
      <c r="BL433" s="1034"/>
      <c r="BM433" s="547"/>
      <c r="BN433" s="547"/>
      <c r="BO433" s="299" t="s">
        <v>193</v>
      </c>
      <c r="BP433" s="154" t="s">
        <v>1627</v>
      </c>
      <c r="BQ433" s="154"/>
      <c r="BR433" s="1195"/>
      <c r="BS433" s="10"/>
    </row>
    <row r="434" spans="2:71" s="139" customFormat="1" ht="24" customHeight="1">
      <c r="B434" s="2031"/>
      <c r="C434" s="1914"/>
      <c r="D434" s="936" t="s">
        <v>1628</v>
      </c>
      <c r="E434" s="924"/>
      <c r="F434" s="105" t="s">
        <v>33</v>
      </c>
      <c r="G434" s="1286"/>
      <c r="H434" s="1292"/>
      <c r="I434" s="995" t="s">
        <v>1629</v>
      </c>
      <c r="J434" s="993"/>
      <c r="K434" s="109" t="s">
        <v>35</v>
      </c>
      <c r="L434" s="1198">
        <v>52997</v>
      </c>
      <c r="M434" s="1204"/>
      <c r="N434" s="1198">
        <v>101802</v>
      </c>
      <c r="O434" s="1289"/>
      <c r="P434" s="1212"/>
      <c r="Q434" s="1045"/>
      <c r="R434" s="1204">
        <v>52997</v>
      </c>
      <c r="S434" s="1214"/>
      <c r="T434" s="1204">
        <v>101802</v>
      </c>
      <c r="U434" s="1214"/>
      <c r="V434" s="1212"/>
      <c r="W434" s="2097"/>
      <c r="X434" s="2329">
        <v>0</v>
      </c>
      <c r="Y434" s="1204">
        <v>0</v>
      </c>
      <c r="Z434" s="1215">
        <v>0</v>
      </c>
      <c r="AA434" s="1204">
        <v>0</v>
      </c>
      <c r="AB434" s="2330"/>
      <c r="AC434" s="2154">
        <v>0</v>
      </c>
      <c r="AD434" s="1215">
        <v>0</v>
      </c>
      <c r="AE434" s="1215"/>
      <c r="AF434" s="1215">
        <v>0</v>
      </c>
      <c r="AG434" s="1215">
        <v>0</v>
      </c>
      <c r="AH434" s="1215"/>
      <c r="AI434" s="1215">
        <v>0</v>
      </c>
      <c r="AJ434" s="1215">
        <v>0</v>
      </c>
      <c r="AK434" s="1215"/>
      <c r="AL434" s="1215">
        <v>0</v>
      </c>
      <c r="AM434" s="1215">
        <v>0</v>
      </c>
      <c r="AN434" s="2540"/>
      <c r="AO434" s="2329">
        <v>0</v>
      </c>
      <c r="AP434" s="1204">
        <v>0</v>
      </c>
      <c r="AQ434" s="1215">
        <v>0</v>
      </c>
      <c r="AR434" s="1204">
        <v>0</v>
      </c>
      <c r="AS434" s="1215">
        <v>0</v>
      </c>
      <c r="AT434" s="5098">
        <v>0</v>
      </c>
      <c r="AU434" s="2329">
        <v>0</v>
      </c>
      <c r="AV434" s="1204">
        <v>0</v>
      </c>
      <c r="AW434" s="1215">
        <v>0</v>
      </c>
      <c r="AX434" s="1204">
        <v>0</v>
      </c>
      <c r="AY434" s="2330"/>
      <c r="AZ434" s="2154">
        <v>0</v>
      </c>
      <c r="BA434" s="1204">
        <v>0</v>
      </c>
      <c r="BB434" s="1215">
        <v>0</v>
      </c>
      <c r="BC434" s="1204">
        <v>0</v>
      </c>
      <c r="BD434" s="1215"/>
      <c r="BE434" s="1215"/>
      <c r="BF434" s="93"/>
      <c r="BG434" s="1215"/>
      <c r="BH434" s="93"/>
      <c r="BI434" s="153"/>
      <c r="BJ434" s="1202"/>
      <c r="BK434" s="1230"/>
      <c r="BL434" s="1034"/>
      <c r="BM434" s="547"/>
      <c r="BN434" s="547"/>
      <c r="BO434" s="299" t="s">
        <v>193</v>
      </c>
      <c r="BP434" s="277" t="s">
        <v>1627</v>
      </c>
      <c r="BQ434" s="154"/>
      <c r="BR434" s="1195"/>
      <c r="BS434" s="10"/>
    </row>
    <row r="435" spans="2:71" s="139" customFormat="1" ht="24" customHeight="1" thickBot="1">
      <c r="B435" s="2033"/>
      <c r="C435" s="1935"/>
      <c r="D435" s="1295" t="s">
        <v>1630</v>
      </c>
      <c r="E435" s="1296"/>
      <c r="F435" s="105" t="s">
        <v>33</v>
      </c>
      <c r="G435" s="1297"/>
      <c r="H435" s="1298"/>
      <c r="I435" s="1299" t="s">
        <v>1631</v>
      </c>
      <c r="J435" s="1255"/>
      <c r="K435" s="109" t="s">
        <v>35</v>
      </c>
      <c r="L435" s="1156">
        <v>492181</v>
      </c>
      <c r="M435" s="1157"/>
      <c r="N435" s="1156">
        <v>718980</v>
      </c>
      <c r="O435" s="1158"/>
      <c r="P435" s="1159"/>
      <c r="Q435" s="1045"/>
      <c r="R435" s="1160">
        <v>492181</v>
      </c>
      <c r="S435" s="1161"/>
      <c r="T435" s="1160">
        <v>718980</v>
      </c>
      <c r="U435" s="1161"/>
      <c r="V435" s="1159"/>
      <c r="W435" s="2097"/>
      <c r="X435" s="2321">
        <v>0</v>
      </c>
      <c r="Y435" s="1160">
        <v>0</v>
      </c>
      <c r="Z435" s="1162">
        <v>0</v>
      </c>
      <c r="AA435" s="1160">
        <v>0</v>
      </c>
      <c r="AB435" s="2322"/>
      <c r="AC435" s="2150">
        <v>0</v>
      </c>
      <c r="AD435" s="1162">
        <v>0</v>
      </c>
      <c r="AE435" s="1162"/>
      <c r="AF435" s="1162">
        <v>0</v>
      </c>
      <c r="AG435" s="1162">
        <v>0</v>
      </c>
      <c r="AH435" s="1162"/>
      <c r="AI435" s="1162">
        <v>0</v>
      </c>
      <c r="AJ435" s="1162">
        <v>0</v>
      </c>
      <c r="AK435" s="1162"/>
      <c r="AL435" s="1162">
        <v>0</v>
      </c>
      <c r="AM435" s="1162">
        <v>0</v>
      </c>
      <c r="AN435" s="2539"/>
      <c r="AO435" s="2321">
        <v>0</v>
      </c>
      <c r="AP435" s="1160">
        <v>0</v>
      </c>
      <c r="AQ435" s="1162">
        <v>0</v>
      </c>
      <c r="AR435" s="1160">
        <v>0</v>
      </c>
      <c r="AS435" s="1162">
        <v>0</v>
      </c>
      <c r="AT435" s="5101">
        <v>0</v>
      </c>
      <c r="AU435" s="2321">
        <v>0</v>
      </c>
      <c r="AV435" s="1160">
        <v>0</v>
      </c>
      <c r="AW435" s="1162">
        <v>0</v>
      </c>
      <c r="AX435" s="1160">
        <v>0</v>
      </c>
      <c r="AY435" s="2322"/>
      <c r="AZ435" s="2150">
        <v>0</v>
      </c>
      <c r="BA435" s="1300">
        <v>0</v>
      </c>
      <c r="BB435" s="1162">
        <v>0</v>
      </c>
      <c r="BC435" s="1301">
        <v>0</v>
      </c>
      <c r="BD435" s="1162"/>
      <c r="BE435" s="1162"/>
      <c r="BF435" s="1160"/>
      <c r="BG435" s="1162"/>
      <c r="BH435" s="1160"/>
      <c r="BI435" s="1162"/>
      <c r="BJ435" s="714"/>
      <c r="BK435" s="596"/>
      <c r="BL435" s="1153"/>
      <c r="BM435" s="1101"/>
      <c r="BN435" s="1101"/>
      <c r="BO435" s="299" t="s">
        <v>193</v>
      </c>
      <c r="BP435" s="277" t="s">
        <v>1627</v>
      </c>
      <c r="BQ435" s="1231"/>
      <c r="BR435" s="1232"/>
      <c r="BS435" s="10"/>
    </row>
    <row r="436" spans="2:71" ht="24" customHeight="1" thickBot="1">
      <c r="B436" s="123" t="s">
        <v>1632</v>
      </c>
      <c r="C436" s="124"/>
      <c r="D436" s="124"/>
      <c r="E436" s="124"/>
      <c r="F436" s="78"/>
      <c r="G436" s="125" t="s">
        <v>2549</v>
      </c>
      <c r="H436" s="126"/>
      <c r="I436" s="126"/>
      <c r="J436" s="126"/>
      <c r="K436" s="78"/>
      <c r="L436" s="1004"/>
      <c r="M436" s="1004"/>
      <c r="N436" s="1004"/>
      <c r="O436" s="1004"/>
      <c r="P436" s="1004"/>
      <c r="Q436" s="1004"/>
      <c r="R436" s="1004"/>
      <c r="S436" s="1004"/>
      <c r="T436" s="1004"/>
      <c r="U436" s="1004"/>
      <c r="V436" s="1004"/>
      <c r="W436" s="1004"/>
      <c r="X436" s="2290"/>
      <c r="Y436" s="1004"/>
      <c r="Z436" s="1004"/>
      <c r="AA436" s="1004"/>
      <c r="AB436" s="2291"/>
      <c r="AC436" s="1004"/>
      <c r="AD436" s="1004"/>
      <c r="AE436" s="1004"/>
      <c r="AF436" s="1005"/>
      <c r="AG436" s="1005"/>
      <c r="AH436" s="1005"/>
      <c r="AI436" s="1005"/>
      <c r="AJ436" s="1005"/>
      <c r="AK436" s="1005"/>
      <c r="AL436" s="1005"/>
      <c r="AM436" s="1005"/>
      <c r="AN436" s="1005"/>
      <c r="AO436" s="2431"/>
      <c r="AP436" s="1005"/>
      <c r="AQ436" s="1005"/>
      <c r="AR436" s="1005"/>
      <c r="AS436" s="1005"/>
      <c r="AT436" s="5044"/>
      <c r="AU436" s="2431"/>
      <c r="AV436" s="1005"/>
      <c r="AW436" s="1005"/>
      <c r="AX436" s="1005"/>
      <c r="AY436" s="2432"/>
      <c r="AZ436" s="1005"/>
      <c r="BA436" s="1005"/>
      <c r="BB436" s="1005"/>
      <c r="BC436" s="1005"/>
      <c r="BD436" s="1005"/>
      <c r="BE436" s="1005"/>
      <c r="BF436" s="1005"/>
      <c r="BG436" s="1005"/>
      <c r="BH436" s="1005"/>
      <c r="BI436" s="1005"/>
      <c r="BJ436" s="80"/>
      <c r="BK436" s="80"/>
      <c r="BL436" s="1274"/>
      <c r="BM436" s="129"/>
      <c r="BN436" s="129"/>
      <c r="BO436" s="1274"/>
      <c r="BP436" s="328"/>
      <c r="BQ436" s="328"/>
      <c r="BR436" s="1006"/>
      <c r="BS436" s="18"/>
    </row>
    <row r="437" spans="2:71" ht="24" customHeight="1" thickBot="1">
      <c r="B437" s="2038"/>
      <c r="C437" s="4747" t="s">
        <v>1633</v>
      </c>
      <c r="D437" s="949"/>
      <c r="E437" s="949"/>
      <c r="F437" s="2371" t="s">
        <v>168</v>
      </c>
      <c r="G437" s="168"/>
      <c r="H437" s="949" t="s">
        <v>1634</v>
      </c>
      <c r="I437" s="949"/>
      <c r="J437" s="949"/>
      <c r="K437" s="1139"/>
      <c r="L437" s="1140"/>
      <c r="M437" s="1140"/>
      <c r="N437" s="1140"/>
      <c r="O437" s="1140"/>
      <c r="P437" s="1140"/>
      <c r="Q437" s="1140"/>
      <c r="R437" s="1140"/>
      <c r="S437" s="1140"/>
      <c r="T437" s="1140"/>
      <c r="U437" s="1140"/>
      <c r="V437" s="1140"/>
      <c r="W437" s="2374"/>
      <c r="X437" s="2317"/>
      <c r="Y437" s="1140"/>
      <c r="Z437" s="1140"/>
      <c r="AA437" s="1140"/>
      <c r="AB437" s="2318"/>
      <c r="AC437" s="2532"/>
      <c r="AD437" s="1140"/>
      <c r="AE437" s="1140"/>
      <c r="AF437" s="1302"/>
      <c r="AG437" s="1303"/>
      <c r="AH437" s="1302"/>
      <c r="AI437" s="1302"/>
      <c r="AJ437" s="1303"/>
      <c r="AK437" s="1302"/>
      <c r="AL437" s="1302"/>
      <c r="AM437" s="1303"/>
      <c r="AN437" s="4748"/>
      <c r="AO437" s="2442"/>
      <c r="AP437" s="1304"/>
      <c r="AQ437" s="1303"/>
      <c r="AR437" s="1304"/>
      <c r="AS437" s="4748"/>
      <c r="AT437" s="5110"/>
      <c r="AU437" s="2442"/>
      <c r="AV437" s="1304"/>
      <c r="AW437" s="1303"/>
      <c r="AX437" s="1304"/>
      <c r="AY437" s="2443"/>
      <c r="AZ437" s="2455"/>
      <c r="BA437" s="1304"/>
      <c r="BB437" s="1305"/>
      <c r="BC437" s="1304"/>
      <c r="BD437" s="1302"/>
      <c r="BE437" s="1302"/>
      <c r="BF437" s="954"/>
      <c r="BG437" s="1302"/>
      <c r="BH437" s="954"/>
      <c r="BI437" s="1302"/>
      <c r="BJ437" s="262"/>
      <c r="BL437" s="758"/>
      <c r="BM437" s="534"/>
      <c r="BN437" s="534"/>
      <c r="BO437" s="758"/>
      <c r="BP437" s="690"/>
      <c r="BQ437" s="1043"/>
      <c r="BR437" s="1306"/>
      <c r="BS437" s="18"/>
    </row>
    <row r="438" spans="2:71" ht="24" customHeight="1">
      <c r="B438" s="5111"/>
      <c r="C438" s="4709"/>
      <c r="D438" s="787" t="s">
        <v>1018</v>
      </c>
      <c r="E438" s="781"/>
      <c r="F438" s="285" t="s">
        <v>1636</v>
      </c>
      <c r="G438" s="106"/>
      <c r="H438" s="353"/>
      <c r="I438" s="384" t="s">
        <v>1637</v>
      </c>
      <c r="J438" s="384"/>
      <c r="K438" s="1034" t="s">
        <v>1831</v>
      </c>
      <c r="L438" s="1148">
        <v>4945.55</v>
      </c>
      <c r="M438" s="1148"/>
      <c r="N438" s="1148">
        <v>5592</v>
      </c>
      <c r="O438" s="1151"/>
      <c r="P438" s="1147"/>
      <c r="Q438" s="1045"/>
      <c r="R438" s="1148">
        <v>2892.3</v>
      </c>
      <c r="S438" s="1149" t="s">
        <v>1641</v>
      </c>
      <c r="T438" s="1148">
        <v>4113</v>
      </c>
      <c r="U438" s="1149" t="s">
        <v>1642</v>
      </c>
      <c r="V438" s="1147"/>
      <c r="W438" s="2097"/>
      <c r="X438" s="5112">
        <v>244</v>
      </c>
      <c r="Y438" s="1149" t="s">
        <v>2172</v>
      </c>
      <c r="Z438" s="1307">
        <v>288</v>
      </c>
      <c r="AA438" s="1149" t="s">
        <v>2173</v>
      </c>
      <c r="AB438" s="2320"/>
      <c r="AC438" s="5113">
        <v>244</v>
      </c>
      <c r="AD438" s="1307">
        <v>288</v>
      </c>
      <c r="AE438" s="1150"/>
      <c r="AF438" s="5114">
        <v>244</v>
      </c>
      <c r="AG438" s="1307">
        <v>288</v>
      </c>
      <c r="AH438" s="1150"/>
      <c r="AI438" s="5114">
        <v>244</v>
      </c>
      <c r="AJ438" s="1307">
        <v>288</v>
      </c>
      <c r="AK438" s="1150"/>
      <c r="AL438" s="5114">
        <v>244</v>
      </c>
      <c r="AM438" s="1307">
        <v>288</v>
      </c>
      <c r="AN438" s="2547"/>
      <c r="AO438" s="2444">
        <v>0</v>
      </c>
      <c r="AP438" s="1149" t="s">
        <v>2550</v>
      </c>
      <c r="AQ438" s="1307">
        <v>0</v>
      </c>
      <c r="AR438" s="1149" t="s">
        <v>2551</v>
      </c>
      <c r="AS438" s="5115">
        <v>2</v>
      </c>
      <c r="AT438" s="5116"/>
      <c r="AU438" s="2444">
        <v>376</v>
      </c>
      <c r="AV438" s="1149" t="s">
        <v>2552</v>
      </c>
      <c r="AW438" s="1307">
        <v>548</v>
      </c>
      <c r="AX438" s="1149" t="s">
        <v>2553</v>
      </c>
      <c r="AY438" s="2320"/>
      <c r="AZ438" s="2159">
        <v>1433.25</v>
      </c>
      <c r="BA438" s="1149" t="s">
        <v>2554</v>
      </c>
      <c r="BB438" s="1307">
        <v>643</v>
      </c>
      <c r="BC438" s="1149" t="s">
        <v>2555</v>
      </c>
      <c r="BD438" s="1150"/>
      <c r="BE438" s="1150"/>
      <c r="BF438" s="1151"/>
      <c r="BG438" s="1150"/>
      <c r="BH438" s="1151"/>
      <c r="BI438" s="1150"/>
      <c r="BJ438" s="262" t="s">
        <v>1638</v>
      </c>
      <c r="BK438" s="367" t="s">
        <v>1639</v>
      </c>
      <c r="BL438" s="1034"/>
      <c r="BM438" s="878"/>
      <c r="BN438" s="878"/>
      <c r="BO438" s="1034"/>
      <c r="BP438" s="620" t="s">
        <v>1640</v>
      </c>
      <c r="BQ438" s="277" t="s">
        <v>1024</v>
      </c>
      <c r="BR438" s="1195"/>
      <c r="BS438" s="18"/>
    </row>
    <row r="439" spans="2:71" ht="24" customHeight="1">
      <c r="B439" s="5117"/>
      <c r="C439" s="4664"/>
      <c r="D439" s="787" t="s">
        <v>1428</v>
      </c>
      <c r="E439" s="781"/>
      <c r="F439" s="285" t="s">
        <v>732</v>
      </c>
      <c r="G439" s="384"/>
      <c r="H439" s="385"/>
      <c r="I439" s="358" t="s">
        <v>1643</v>
      </c>
      <c r="J439" s="358"/>
      <c r="K439" s="162" t="s">
        <v>734</v>
      </c>
      <c r="L439" s="93">
        <v>1627</v>
      </c>
      <c r="M439" s="93"/>
      <c r="N439" s="93">
        <v>1875</v>
      </c>
      <c r="O439" s="227"/>
      <c r="P439" s="94"/>
      <c r="Q439" s="1045"/>
      <c r="R439" s="93">
        <v>1031</v>
      </c>
      <c r="S439" s="1045" t="s">
        <v>1646</v>
      </c>
      <c r="T439" s="93">
        <v>1186</v>
      </c>
      <c r="U439" s="1045" t="s">
        <v>1646</v>
      </c>
      <c r="V439" s="94"/>
      <c r="W439" s="2097"/>
      <c r="X439" s="5118">
        <v>123</v>
      </c>
      <c r="Y439" s="1045" t="s">
        <v>2175</v>
      </c>
      <c r="Z439" s="1308">
        <v>161</v>
      </c>
      <c r="AA439" s="1045" t="s">
        <v>2176</v>
      </c>
      <c r="AB439" s="2183"/>
      <c r="AC439" s="5119">
        <v>123</v>
      </c>
      <c r="AD439" s="1308">
        <v>161</v>
      </c>
      <c r="AE439" s="153"/>
      <c r="AF439" s="5120">
        <v>123</v>
      </c>
      <c r="AG439" s="1308">
        <v>161</v>
      </c>
      <c r="AH439" s="153"/>
      <c r="AI439" s="5120">
        <v>123</v>
      </c>
      <c r="AJ439" s="1308">
        <v>161</v>
      </c>
      <c r="AK439" s="153"/>
      <c r="AL439" s="5120">
        <v>123</v>
      </c>
      <c r="AM439" s="1308">
        <v>161</v>
      </c>
      <c r="AN439" s="1241"/>
      <c r="AO439" s="2445">
        <v>0</v>
      </c>
      <c r="AP439" s="1045" t="s">
        <v>2556</v>
      </c>
      <c r="AQ439" s="1308">
        <v>0</v>
      </c>
      <c r="AR439" s="1045" t="s">
        <v>2557</v>
      </c>
      <c r="AS439" s="5121">
        <v>750</v>
      </c>
      <c r="AT439" s="5122"/>
      <c r="AU439" s="2445">
        <v>94</v>
      </c>
      <c r="AV439" s="1045" t="s">
        <v>2552</v>
      </c>
      <c r="AW439" s="1308">
        <v>137</v>
      </c>
      <c r="AX439" s="1045" t="s">
        <v>2552</v>
      </c>
      <c r="AY439" s="2183"/>
      <c r="AZ439" s="2160">
        <v>379</v>
      </c>
      <c r="BA439" s="1045" t="s">
        <v>2558</v>
      </c>
      <c r="BB439" s="1308">
        <v>391</v>
      </c>
      <c r="BC439" s="1045" t="s">
        <v>2559</v>
      </c>
      <c r="BD439" s="153"/>
      <c r="BE439" s="153"/>
      <c r="BF439" s="227"/>
      <c r="BG439" s="153"/>
      <c r="BH439" s="227"/>
      <c r="BI439" s="153"/>
      <c r="BJ439" s="367" t="s">
        <v>1644</v>
      </c>
      <c r="BK439" s="367" t="s">
        <v>1643</v>
      </c>
      <c r="BL439" s="162"/>
      <c r="BM439" s="547"/>
      <c r="BN439" s="547"/>
      <c r="BO439" s="162"/>
      <c r="BP439" s="620" t="s">
        <v>1645</v>
      </c>
      <c r="BQ439" s="277" t="s">
        <v>1024</v>
      </c>
      <c r="BR439" s="982"/>
      <c r="BS439" s="18"/>
    </row>
    <row r="440" spans="2:71" ht="24" customHeight="1">
      <c r="B440" s="1761"/>
      <c r="C440" s="4750" t="s">
        <v>1647</v>
      </c>
      <c r="D440" s="4711"/>
      <c r="E440" s="4712"/>
      <c r="F440" s="2371" t="s">
        <v>168</v>
      </c>
      <c r="G440" s="685"/>
      <c r="H440" s="686" t="s">
        <v>1648</v>
      </c>
      <c r="I440" s="654"/>
      <c r="J440" s="655"/>
      <c r="K440" s="881"/>
      <c r="L440" s="1085"/>
      <c r="M440" s="1085"/>
      <c r="N440" s="1085"/>
      <c r="O440" s="1085"/>
      <c r="P440" s="1085"/>
      <c r="Q440" s="1085"/>
      <c r="R440" s="1085"/>
      <c r="S440" s="1085"/>
      <c r="T440" s="1085"/>
      <c r="U440" s="1085"/>
      <c r="V440" s="1085"/>
      <c r="W440" s="2375"/>
      <c r="X440" s="2310"/>
      <c r="Y440" s="1085"/>
      <c r="Z440" s="1085"/>
      <c r="AA440" s="1085"/>
      <c r="AB440" s="2311"/>
      <c r="AC440" s="1597"/>
      <c r="AD440" s="1085"/>
      <c r="AE440" s="1085"/>
      <c r="AF440" s="1085"/>
      <c r="AG440" s="1085"/>
      <c r="AH440" s="1085"/>
      <c r="AI440" s="1085"/>
      <c r="AJ440" s="1085"/>
      <c r="AK440" s="1085"/>
      <c r="AL440" s="1085"/>
      <c r="AM440" s="1085"/>
      <c r="AN440" s="2375"/>
      <c r="AO440" s="2310"/>
      <c r="AP440" s="1085"/>
      <c r="AQ440" s="1085"/>
      <c r="AR440" s="1085"/>
      <c r="AS440" s="2375"/>
      <c r="AT440" s="5123"/>
      <c r="AU440" s="2310"/>
      <c r="AV440" s="1085"/>
      <c r="AW440" s="1085"/>
      <c r="AX440" s="1085"/>
      <c r="AY440" s="2311"/>
      <c r="AZ440" s="1597"/>
      <c r="BA440" s="1085"/>
      <c r="BB440" s="1085"/>
      <c r="BC440" s="1085"/>
      <c r="BD440" s="1085"/>
      <c r="BE440" s="1085"/>
      <c r="BF440" s="1085"/>
      <c r="BG440" s="1085"/>
      <c r="BH440" s="1085"/>
      <c r="BI440" s="1085"/>
      <c r="BJ440" s="1309"/>
      <c r="BK440" s="1310"/>
      <c r="BL440" s="162"/>
      <c r="BM440" s="547"/>
      <c r="BN440" s="547"/>
      <c r="BO440" s="162"/>
      <c r="BP440" s="690"/>
      <c r="BQ440" s="1043"/>
      <c r="BR440" s="1044"/>
      <c r="BS440" s="18"/>
    </row>
    <row r="441" spans="2:71" ht="24" customHeight="1">
      <c r="B441" s="1761"/>
      <c r="C441" s="4601"/>
      <c r="D441" s="787" t="s">
        <v>1650</v>
      </c>
      <c r="E441" s="781"/>
      <c r="F441" s="285" t="s">
        <v>1476</v>
      </c>
      <c r="G441" s="347"/>
      <c r="H441" s="348"/>
      <c r="I441" s="495" t="s">
        <v>1651</v>
      </c>
      <c r="J441" s="360"/>
      <c r="K441" s="162" t="s">
        <v>559</v>
      </c>
      <c r="L441" s="304">
        <v>0</v>
      </c>
      <c r="M441" s="304"/>
      <c r="N441" s="304">
        <v>0</v>
      </c>
      <c r="O441" s="404"/>
      <c r="P441" s="274"/>
      <c r="Q441" s="1045"/>
      <c r="R441" s="5124">
        <v>0</v>
      </c>
      <c r="S441" s="5125">
        <v>0</v>
      </c>
      <c r="T441" s="5124">
        <v>0</v>
      </c>
      <c r="U441" s="5125">
        <v>0</v>
      </c>
      <c r="V441" s="5126">
        <v>0</v>
      </c>
      <c r="W441" s="2097"/>
      <c r="X441" s="5030"/>
      <c r="Y441" s="302"/>
      <c r="Z441" s="302"/>
      <c r="AA441" s="302"/>
      <c r="AB441" s="5031"/>
      <c r="AC441" s="5032"/>
      <c r="AD441" s="302"/>
      <c r="AE441" s="302"/>
      <c r="AF441" s="274">
        <v>0</v>
      </c>
      <c r="AG441" s="274">
        <v>0</v>
      </c>
      <c r="AH441" s="274"/>
      <c r="AI441" s="274">
        <v>0</v>
      </c>
      <c r="AJ441" s="274">
        <v>0</v>
      </c>
      <c r="AK441" s="274"/>
      <c r="AL441" s="274">
        <v>0</v>
      </c>
      <c r="AM441" s="274">
        <v>0</v>
      </c>
      <c r="AN441" s="2357"/>
      <c r="AO441" s="2446">
        <v>0</v>
      </c>
      <c r="AP441" s="505">
        <v>0</v>
      </c>
      <c r="AQ441" s="404">
        <v>0</v>
      </c>
      <c r="AR441" s="505">
        <v>0</v>
      </c>
      <c r="AS441" s="2357">
        <v>0</v>
      </c>
      <c r="AT441" s="4881">
        <v>0</v>
      </c>
      <c r="AU441" s="2213">
        <v>0</v>
      </c>
      <c r="AV441" s="503" t="s">
        <v>2560</v>
      </c>
      <c r="AW441" s="274">
        <v>0</v>
      </c>
      <c r="AX441" s="503" t="s">
        <v>2560</v>
      </c>
      <c r="AY441" s="2214"/>
      <c r="AZ441" s="2161" t="s">
        <v>2351</v>
      </c>
      <c r="BA441" s="505" t="s">
        <v>2352</v>
      </c>
      <c r="BB441" s="404" t="s">
        <v>2351</v>
      </c>
      <c r="BC441" s="505" t="s">
        <v>2352</v>
      </c>
      <c r="BD441" s="274"/>
      <c r="BE441" s="274"/>
      <c r="BF441" s="505"/>
      <c r="BG441" s="274"/>
      <c r="BH441" s="505"/>
      <c r="BI441" s="274"/>
      <c r="BJ441" s="367" t="s">
        <v>1652</v>
      </c>
      <c r="BK441" s="367" t="s">
        <v>1653</v>
      </c>
      <c r="BL441" s="162"/>
      <c r="BM441" s="547"/>
      <c r="BN441" s="547"/>
      <c r="BO441" s="162"/>
      <c r="BP441" s="277" t="s">
        <v>1654</v>
      </c>
      <c r="BQ441" s="277" t="s">
        <v>1655</v>
      </c>
      <c r="BR441" s="982"/>
      <c r="BS441" s="18"/>
    </row>
    <row r="442" spans="2:71" ht="24" customHeight="1">
      <c r="B442" s="1761"/>
      <c r="C442" s="4603"/>
      <c r="D442" s="787" t="s">
        <v>1656</v>
      </c>
      <c r="E442" s="781"/>
      <c r="F442" s="285" t="s">
        <v>1476</v>
      </c>
      <c r="G442" s="106"/>
      <c r="H442" s="353"/>
      <c r="I442" s="495" t="s">
        <v>1657</v>
      </c>
      <c r="J442" s="360"/>
      <c r="K442" s="162" t="s">
        <v>559</v>
      </c>
      <c r="L442" s="304">
        <v>0</v>
      </c>
      <c r="M442" s="304"/>
      <c r="N442" s="304">
        <v>0</v>
      </c>
      <c r="O442" s="404"/>
      <c r="P442" s="274"/>
      <c r="Q442" s="1045"/>
      <c r="R442" s="5124">
        <v>0</v>
      </c>
      <c r="S442" s="5125">
        <v>0</v>
      </c>
      <c r="T442" s="5124">
        <v>0</v>
      </c>
      <c r="U442" s="5125">
        <v>0</v>
      </c>
      <c r="V442" s="5126">
        <v>0</v>
      </c>
      <c r="W442" s="2097"/>
      <c r="X442" s="5030"/>
      <c r="Y442" s="302"/>
      <c r="Z442" s="302"/>
      <c r="AA442" s="302"/>
      <c r="AB442" s="5031"/>
      <c r="AC442" s="5032"/>
      <c r="AD442" s="302"/>
      <c r="AE442" s="302"/>
      <c r="AF442" s="274">
        <v>0</v>
      </c>
      <c r="AG442" s="274">
        <v>0</v>
      </c>
      <c r="AH442" s="274"/>
      <c r="AI442" s="274">
        <v>0</v>
      </c>
      <c r="AJ442" s="274">
        <v>0</v>
      </c>
      <c r="AK442" s="274"/>
      <c r="AL442" s="274">
        <v>0</v>
      </c>
      <c r="AM442" s="274">
        <v>0</v>
      </c>
      <c r="AN442" s="2357"/>
      <c r="AO442" s="2446">
        <v>0</v>
      </c>
      <c r="AP442" s="505">
        <v>0</v>
      </c>
      <c r="AQ442" s="404">
        <v>0</v>
      </c>
      <c r="AR442" s="505">
        <v>0</v>
      </c>
      <c r="AS442" s="2357">
        <v>0</v>
      </c>
      <c r="AT442" s="4881">
        <v>0</v>
      </c>
      <c r="AU442" s="2213">
        <v>0</v>
      </c>
      <c r="AV442" s="503" t="s">
        <v>724</v>
      </c>
      <c r="AW442" s="274">
        <v>0</v>
      </c>
      <c r="AX442" s="503" t="s">
        <v>724</v>
      </c>
      <c r="AY442" s="2214"/>
      <c r="AZ442" s="2161" t="s">
        <v>2351</v>
      </c>
      <c r="BA442" s="505" t="s">
        <v>2352</v>
      </c>
      <c r="BB442" s="404" t="s">
        <v>2351</v>
      </c>
      <c r="BC442" s="505" t="s">
        <v>2352</v>
      </c>
      <c r="BD442" s="274"/>
      <c r="BE442" s="274"/>
      <c r="BF442" s="505"/>
      <c r="BG442" s="274"/>
      <c r="BH442" s="505"/>
      <c r="BI442" s="274"/>
      <c r="BJ442" s="367" t="s">
        <v>1658</v>
      </c>
      <c r="BK442" s="367" t="s">
        <v>1659</v>
      </c>
      <c r="BL442" s="162"/>
      <c r="BM442" s="547"/>
      <c r="BN442" s="547"/>
      <c r="BO442" s="162"/>
      <c r="BP442" s="277" t="s">
        <v>1660</v>
      </c>
      <c r="BQ442" s="265"/>
      <c r="BR442" s="982"/>
      <c r="BS442" s="18"/>
    </row>
    <row r="443" spans="2:71" ht="24" customHeight="1">
      <c r="B443" s="4681"/>
      <c r="C443" s="4603"/>
      <c r="D443" s="787" t="s">
        <v>1661</v>
      </c>
      <c r="E443" s="781"/>
      <c r="F443" s="285" t="s">
        <v>1476</v>
      </c>
      <c r="G443" s="106"/>
      <c r="H443" s="353"/>
      <c r="I443" s="495" t="s">
        <v>1662</v>
      </c>
      <c r="J443" s="360"/>
      <c r="K443" s="162" t="s">
        <v>559</v>
      </c>
      <c r="L443" s="304">
        <v>0</v>
      </c>
      <c r="M443" s="304"/>
      <c r="N443" s="304">
        <v>0</v>
      </c>
      <c r="O443" s="404"/>
      <c r="P443" s="274"/>
      <c r="Q443" s="1045"/>
      <c r="R443" s="5124">
        <v>0</v>
      </c>
      <c r="S443" s="5125">
        <v>0</v>
      </c>
      <c r="T443" s="5124">
        <v>0</v>
      </c>
      <c r="U443" s="5125">
        <v>0</v>
      </c>
      <c r="V443" s="5126">
        <v>0</v>
      </c>
      <c r="W443" s="2097"/>
      <c r="X443" s="5030"/>
      <c r="Y443" s="302"/>
      <c r="Z443" s="302"/>
      <c r="AA443" s="302"/>
      <c r="AB443" s="5031"/>
      <c r="AC443" s="5032"/>
      <c r="AD443" s="302"/>
      <c r="AE443" s="302"/>
      <c r="AF443" s="274">
        <v>0</v>
      </c>
      <c r="AG443" s="274">
        <v>0</v>
      </c>
      <c r="AH443" s="274"/>
      <c r="AI443" s="274">
        <v>0</v>
      </c>
      <c r="AJ443" s="274">
        <v>0</v>
      </c>
      <c r="AK443" s="274"/>
      <c r="AL443" s="274">
        <v>0</v>
      </c>
      <c r="AM443" s="274">
        <v>0</v>
      </c>
      <c r="AN443" s="2357"/>
      <c r="AO443" s="2446">
        <v>0</v>
      </c>
      <c r="AP443" s="505">
        <v>0</v>
      </c>
      <c r="AQ443" s="404">
        <v>0</v>
      </c>
      <c r="AR443" s="505">
        <v>0</v>
      </c>
      <c r="AS443" s="2357">
        <v>0</v>
      </c>
      <c r="AT443" s="4881">
        <v>0</v>
      </c>
      <c r="AU443" s="2213">
        <v>0</v>
      </c>
      <c r="AV443" s="503" t="s">
        <v>726</v>
      </c>
      <c r="AW443" s="274">
        <v>0</v>
      </c>
      <c r="AX443" s="503" t="s">
        <v>726</v>
      </c>
      <c r="AY443" s="2214"/>
      <c r="AZ443" s="2161">
        <v>0</v>
      </c>
      <c r="BA443" s="505" t="s">
        <v>2353</v>
      </c>
      <c r="BB443" s="404">
        <v>0</v>
      </c>
      <c r="BC443" s="505" t="s">
        <v>2353</v>
      </c>
      <c r="BD443" s="274"/>
      <c r="BE443" s="274"/>
      <c r="BF443" s="505"/>
      <c r="BG443" s="274"/>
      <c r="BH443" s="505"/>
      <c r="BI443" s="274"/>
      <c r="BJ443" s="367" t="s">
        <v>1663</v>
      </c>
      <c r="BK443" s="367" t="s">
        <v>1664</v>
      </c>
      <c r="BL443" s="162"/>
      <c r="BM443" s="547"/>
      <c r="BN443" s="547"/>
      <c r="BO443" s="162"/>
      <c r="BP443" s="277" t="s">
        <v>1665</v>
      </c>
      <c r="BQ443" s="265"/>
      <c r="BR443" s="982" t="s">
        <v>1667</v>
      </c>
      <c r="BS443" s="18"/>
    </row>
    <row r="444" spans="2:71" ht="24" customHeight="1">
      <c r="B444" s="4604"/>
      <c r="C444" s="4603"/>
      <c r="D444" s="787" t="s">
        <v>1668</v>
      </c>
      <c r="E444" s="781"/>
      <c r="F444" s="285" t="s">
        <v>557</v>
      </c>
      <c r="G444" s="106"/>
      <c r="H444" s="353"/>
      <c r="I444" s="495" t="s">
        <v>1669</v>
      </c>
      <c r="J444" s="360"/>
      <c r="K444" s="162" t="s">
        <v>559</v>
      </c>
      <c r="L444" s="1003"/>
      <c r="M444" s="304"/>
      <c r="N444" s="1003"/>
      <c r="O444" s="404"/>
      <c r="P444" s="274"/>
      <c r="Q444" s="1045"/>
      <c r="R444" s="5127">
        <v>0</v>
      </c>
      <c r="S444" s="5125"/>
      <c r="T444" s="5127">
        <v>0</v>
      </c>
      <c r="U444" s="5125"/>
      <c r="V444" s="5126">
        <v>0</v>
      </c>
      <c r="W444" s="2097"/>
      <c r="X444" s="5030"/>
      <c r="Y444" s="302"/>
      <c r="Z444" s="302"/>
      <c r="AA444" s="302"/>
      <c r="AB444" s="5031"/>
      <c r="AC444" s="5032"/>
      <c r="AD444" s="302"/>
      <c r="AE444" s="302"/>
      <c r="AF444" s="274"/>
      <c r="AG444" s="274"/>
      <c r="AH444" s="274"/>
      <c r="AI444" s="274"/>
      <c r="AJ444" s="274"/>
      <c r="AK444" s="274"/>
      <c r="AL444" s="274"/>
      <c r="AM444" s="274"/>
      <c r="AN444" s="2357"/>
      <c r="AO444" s="2213">
        <v>0</v>
      </c>
      <c r="AP444" s="505"/>
      <c r="AQ444" s="274">
        <v>0</v>
      </c>
      <c r="AR444" s="505"/>
      <c r="AS444" s="2357">
        <v>0</v>
      </c>
      <c r="AT444" s="4881"/>
      <c r="AU444" s="2213"/>
      <c r="AV444" s="503"/>
      <c r="AW444" s="274"/>
      <c r="AX444" s="505"/>
      <c r="AY444" s="2214"/>
      <c r="AZ444" s="2162"/>
      <c r="BA444" s="505"/>
      <c r="BB444" s="274"/>
      <c r="BC444" s="505"/>
      <c r="BD444" s="274"/>
      <c r="BE444" s="274"/>
      <c r="BF444" s="505"/>
      <c r="BG444" s="274"/>
      <c r="BH444" s="505"/>
      <c r="BI444" s="274"/>
      <c r="BJ444" s="367" t="s">
        <v>1670</v>
      </c>
      <c r="BK444" s="367" t="s">
        <v>1671</v>
      </c>
      <c r="BL444" s="162"/>
      <c r="BM444" s="547"/>
      <c r="BN444" s="547"/>
      <c r="BO444" s="162"/>
      <c r="BP444" s="277"/>
      <c r="BQ444" s="265" t="s">
        <v>1672</v>
      </c>
      <c r="BR444" s="982"/>
      <c r="BS444" s="18"/>
    </row>
    <row r="445" spans="2:71" ht="24" customHeight="1">
      <c r="B445" s="4681"/>
      <c r="C445" s="4603"/>
      <c r="D445" s="936" t="s">
        <v>1673</v>
      </c>
      <c r="E445" s="924"/>
      <c r="F445" s="285" t="s">
        <v>557</v>
      </c>
      <c r="G445" s="106"/>
      <c r="H445" s="353"/>
      <c r="I445" s="495" t="s">
        <v>1674</v>
      </c>
      <c r="J445" s="360"/>
      <c r="K445" s="162" t="s">
        <v>559</v>
      </c>
      <c r="L445" s="403">
        <v>0</v>
      </c>
      <c r="M445" s="379"/>
      <c r="N445" s="403">
        <v>0</v>
      </c>
      <c r="O445" s="1311"/>
      <c r="P445" s="274"/>
      <c r="Q445" s="1045"/>
      <c r="R445" s="5124">
        <v>0</v>
      </c>
      <c r="S445" s="5125">
        <v>0</v>
      </c>
      <c r="T445" s="5124">
        <v>0</v>
      </c>
      <c r="U445" s="5125">
        <v>0</v>
      </c>
      <c r="V445" s="5126">
        <v>0</v>
      </c>
      <c r="W445" s="2097"/>
      <c r="X445" s="5030"/>
      <c r="Y445" s="302"/>
      <c r="Z445" s="302"/>
      <c r="AA445" s="302"/>
      <c r="AB445" s="5031"/>
      <c r="AC445" s="5032"/>
      <c r="AD445" s="302"/>
      <c r="AE445" s="302"/>
      <c r="AF445" s="274">
        <v>0</v>
      </c>
      <c r="AG445" s="274">
        <v>0</v>
      </c>
      <c r="AH445" s="274"/>
      <c r="AI445" s="274">
        <v>0</v>
      </c>
      <c r="AJ445" s="274">
        <v>0</v>
      </c>
      <c r="AK445" s="274"/>
      <c r="AL445" s="274">
        <v>0</v>
      </c>
      <c r="AM445" s="274">
        <v>0</v>
      </c>
      <c r="AN445" s="2357"/>
      <c r="AO445" s="2446">
        <v>0</v>
      </c>
      <c r="AP445" s="505">
        <v>0</v>
      </c>
      <c r="AQ445" s="404">
        <v>0</v>
      </c>
      <c r="AR445" s="505">
        <v>0</v>
      </c>
      <c r="AS445" s="2357">
        <v>0</v>
      </c>
      <c r="AT445" s="4881">
        <v>0</v>
      </c>
      <c r="AU445" s="2213">
        <v>0</v>
      </c>
      <c r="AV445" s="503" t="s">
        <v>726</v>
      </c>
      <c r="AW445" s="274">
        <v>0</v>
      </c>
      <c r="AX445" s="503" t="s">
        <v>726</v>
      </c>
      <c r="AY445" s="2214"/>
      <c r="AZ445" s="2161">
        <v>0</v>
      </c>
      <c r="BA445" s="505" t="s">
        <v>2353</v>
      </c>
      <c r="BB445" s="404">
        <v>0</v>
      </c>
      <c r="BC445" s="505" t="s">
        <v>2353</v>
      </c>
      <c r="BD445" s="274"/>
      <c r="BE445" s="274"/>
      <c r="BF445" s="505"/>
      <c r="BG445" s="274"/>
      <c r="BH445" s="505"/>
      <c r="BI445" s="274"/>
      <c r="BJ445" s="367" t="s">
        <v>1663</v>
      </c>
      <c r="BK445" s="367" t="s">
        <v>1675</v>
      </c>
      <c r="BL445" s="508"/>
      <c r="BM445" s="547"/>
      <c r="BN445" s="547"/>
      <c r="BO445" s="162"/>
      <c r="BP445" s="277" t="s">
        <v>1677</v>
      </c>
      <c r="BQ445" s="265"/>
      <c r="BR445" s="982"/>
      <c r="BS445" s="18"/>
    </row>
    <row r="446" spans="2:71" ht="24" customHeight="1">
      <c r="B446" s="4681"/>
      <c r="C446" s="4603"/>
      <c r="D446" s="936" t="s">
        <v>1679</v>
      </c>
      <c r="E446" s="924"/>
      <c r="F446" s="285" t="s">
        <v>233</v>
      </c>
      <c r="G446" s="106"/>
      <c r="H446" s="353"/>
      <c r="I446" s="495" t="s">
        <v>1353</v>
      </c>
      <c r="J446" s="360"/>
      <c r="K446" s="162" t="s">
        <v>295</v>
      </c>
      <c r="L446" s="304">
        <v>0</v>
      </c>
      <c r="M446" s="304"/>
      <c r="N446" s="304">
        <v>0</v>
      </c>
      <c r="O446" s="404"/>
      <c r="P446" s="274"/>
      <c r="Q446" s="1045"/>
      <c r="R446" s="5124">
        <v>0</v>
      </c>
      <c r="S446" s="5125">
        <v>0</v>
      </c>
      <c r="T446" s="5124">
        <v>0</v>
      </c>
      <c r="U446" s="5125">
        <v>0</v>
      </c>
      <c r="V446" s="5126">
        <v>0</v>
      </c>
      <c r="W446" s="2097"/>
      <c r="X446" s="5030"/>
      <c r="Y446" s="302"/>
      <c r="Z446" s="302"/>
      <c r="AA446" s="302"/>
      <c r="AB446" s="5031"/>
      <c r="AC446" s="5032"/>
      <c r="AD446" s="302"/>
      <c r="AE446" s="302"/>
      <c r="AF446" s="274">
        <v>0</v>
      </c>
      <c r="AG446" s="274">
        <v>0</v>
      </c>
      <c r="AH446" s="274"/>
      <c r="AI446" s="274">
        <v>0</v>
      </c>
      <c r="AJ446" s="274">
        <v>0</v>
      </c>
      <c r="AK446" s="274"/>
      <c r="AL446" s="274">
        <v>0</v>
      </c>
      <c r="AM446" s="274">
        <v>0</v>
      </c>
      <c r="AN446" s="2357"/>
      <c r="AO446" s="2446">
        <v>0</v>
      </c>
      <c r="AP446" s="505">
        <v>0</v>
      </c>
      <c r="AQ446" s="404">
        <v>0</v>
      </c>
      <c r="AR446" s="505">
        <v>0</v>
      </c>
      <c r="AS446" s="2357">
        <v>0</v>
      </c>
      <c r="AT446" s="4881">
        <v>0</v>
      </c>
      <c r="AU446" s="2213">
        <v>0</v>
      </c>
      <c r="AV446" s="503" t="s">
        <v>726</v>
      </c>
      <c r="AW446" s="274">
        <v>0</v>
      </c>
      <c r="AX446" s="503" t="s">
        <v>726</v>
      </c>
      <c r="AY446" s="2214"/>
      <c r="AZ446" s="2161">
        <v>0</v>
      </c>
      <c r="BA446" s="505" t="s">
        <v>2353</v>
      </c>
      <c r="BB446" s="404">
        <v>0</v>
      </c>
      <c r="BC446" s="505" t="s">
        <v>2353</v>
      </c>
      <c r="BD446" s="274"/>
      <c r="BE446" s="274"/>
      <c r="BF446" s="505"/>
      <c r="BG446" s="274"/>
      <c r="BH446" s="505"/>
      <c r="BI446" s="274"/>
      <c r="BJ446" s="367" t="s">
        <v>1680</v>
      </c>
      <c r="BK446" s="367" t="s">
        <v>1681</v>
      </c>
      <c r="BL446" s="162"/>
      <c r="BM446" s="547"/>
      <c r="BN446" s="547"/>
      <c r="BO446" s="162"/>
      <c r="BP446" s="277" t="s">
        <v>1357</v>
      </c>
      <c r="BQ446" s="265"/>
      <c r="BR446" s="982"/>
      <c r="BS446" s="18"/>
    </row>
    <row r="447" spans="2:71" ht="24" customHeight="1">
      <c r="B447" s="4681"/>
      <c r="C447" s="4603"/>
      <c r="D447" s="936" t="s">
        <v>1683</v>
      </c>
      <c r="E447" s="924"/>
      <c r="F447" s="285" t="s">
        <v>156</v>
      </c>
      <c r="G447" s="106"/>
      <c r="H447" s="353"/>
      <c r="I447" s="495" t="s">
        <v>1684</v>
      </c>
      <c r="J447" s="360"/>
      <c r="K447" s="162" t="s">
        <v>156</v>
      </c>
      <c r="L447" s="274"/>
      <c r="M447" s="304"/>
      <c r="N447" s="274"/>
      <c r="O447" s="404"/>
      <c r="P447" s="274"/>
      <c r="Q447" s="1045"/>
      <c r="R447" s="274"/>
      <c r="S447" s="503"/>
      <c r="T447" s="274"/>
      <c r="U447" s="503"/>
      <c r="V447" s="274"/>
      <c r="W447" s="2097"/>
      <c r="X447" s="5030"/>
      <c r="Y447" s="302"/>
      <c r="Z447" s="302"/>
      <c r="AA447" s="302"/>
      <c r="AB447" s="5031"/>
      <c r="AC447" s="5032"/>
      <c r="AD447" s="302"/>
      <c r="AE447" s="302"/>
      <c r="AF447" s="274"/>
      <c r="AG447" s="274"/>
      <c r="AH447" s="274"/>
      <c r="AI447" s="274"/>
      <c r="AJ447" s="274"/>
      <c r="AK447" s="274"/>
      <c r="AL447" s="274"/>
      <c r="AM447" s="274"/>
      <c r="AN447" s="2357"/>
      <c r="AO447" s="5128">
        <v>1</v>
      </c>
      <c r="AP447" s="5129"/>
      <c r="AQ447" s="5741">
        <v>1</v>
      </c>
      <c r="AR447" s="5130"/>
      <c r="AS447" s="5744">
        <v>1</v>
      </c>
      <c r="AT447" s="4881"/>
      <c r="AU447" s="2213"/>
      <c r="AV447" s="503"/>
      <c r="AW447" s="274"/>
      <c r="AX447" s="503"/>
      <c r="AY447" s="2214"/>
      <c r="AZ447" s="2162"/>
      <c r="BA447" s="505"/>
      <c r="BB447" s="274"/>
      <c r="BC447" s="505"/>
      <c r="BD447" s="274"/>
      <c r="BE447" s="274"/>
      <c r="BF447" s="505"/>
      <c r="BG447" s="274"/>
      <c r="BH447" s="505"/>
      <c r="BI447" s="274"/>
      <c r="BJ447" s="367" t="s">
        <v>1685</v>
      </c>
      <c r="BK447" s="367" t="s">
        <v>1686</v>
      </c>
      <c r="BL447" s="162"/>
      <c r="BM447" s="547"/>
      <c r="BN447" s="547"/>
      <c r="BO447" s="162"/>
      <c r="BP447" s="277"/>
      <c r="BQ447" s="265" t="s">
        <v>1687</v>
      </c>
      <c r="BR447" s="982"/>
      <c r="BS447" s="18"/>
    </row>
    <row r="448" spans="2:71" ht="24" customHeight="1">
      <c r="B448" s="4615"/>
      <c r="C448" s="4603"/>
      <c r="D448" s="936" t="s">
        <v>1688</v>
      </c>
      <c r="E448" s="924"/>
      <c r="F448" s="285" t="s">
        <v>557</v>
      </c>
      <c r="G448" s="106"/>
      <c r="H448" s="353"/>
      <c r="I448" s="495" t="s">
        <v>1689</v>
      </c>
      <c r="J448" s="360"/>
      <c r="K448" s="162" t="s">
        <v>559</v>
      </c>
      <c r="L448" s="1003"/>
      <c r="M448" s="304"/>
      <c r="N448" s="1003"/>
      <c r="O448" s="404"/>
      <c r="P448" s="274"/>
      <c r="Q448" s="1045"/>
      <c r="R448" s="5127">
        <v>0</v>
      </c>
      <c r="S448" s="5125"/>
      <c r="T448" s="5127">
        <v>0</v>
      </c>
      <c r="U448" s="5125"/>
      <c r="V448" s="5126">
        <v>0</v>
      </c>
      <c r="W448" s="2097"/>
      <c r="X448" s="5030"/>
      <c r="Y448" s="302"/>
      <c r="Z448" s="302"/>
      <c r="AA448" s="302"/>
      <c r="AB448" s="5031"/>
      <c r="AC448" s="5032"/>
      <c r="AD448" s="302"/>
      <c r="AE448" s="302"/>
      <c r="AF448" s="274"/>
      <c r="AG448" s="274"/>
      <c r="AH448" s="274"/>
      <c r="AI448" s="274"/>
      <c r="AJ448" s="274"/>
      <c r="AK448" s="274"/>
      <c r="AL448" s="274"/>
      <c r="AM448" s="274"/>
      <c r="AN448" s="2357"/>
      <c r="AO448" s="2213">
        <v>0</v>
      </c>
      <c r="AP448" s="505"/>
      <c r="AQ448" s="274">
        <v>0</v>
      </c>
      <c r="AR448" s="505"/>
      <c r="AS448" s="2357">
        <v>0</v>
      </c>
      <c r="AT448" s="4881"/>
      <c r="AU448" s="2213"/>
      <c r="AV448" s="503"/>
      <c r="AW448" s="274"/>
      <c r="AX448" s="505"/>
      <c r="AY448" s="2214"/>
      <c r="AZ448" s="2162"/>
      <c r="BA448" s="505"/>
      <c r="BB448" s="274"/>
      <c r="BC448" s="505"/>
      <c r="BD448" s="274"/>
      <c r="BE448" s="274"/>
      <c r="BF448" s="505"/>
      <c r="BG448" s="274"/>
      <c r="BH448" s="505"/>
      <c r="BI448" s="274"/>
      <c r="BJ448" s="367" t="s">
        <v>1690</v>
      </c>
      <c r="BK448" s="367" t="s">
        <v>1691</v>
      </c>
      <c r="BL448" s="162"/>
      <c r="BM448" s="547"/>
      <c r="BN448" s="547"/>
      <c r="BO448" s="162"/>
      <c r="BP448" s="265"/>
      <c r="BQ448" s="265" t="s">
        <v>1692</v>
      </c>
      <c r="BR448" s="982"/>
      <c r="BS448" s="18"/>
    </row>
    <row r="449" spans="1:71" ht="24" customHeight="1">
      <c r="B449" s="4604"/>
      <c r="C449" s="4602"/>
      <c r="D449" s="936" t="s">
        <v>1693</v>
      </c>
      <c r="E449" s="924"/>
      <c r="F449" s="285" t="s">
        <v>557</v>
      </c>
      <c r="G449" s="384"/>
      <c r="H449" s="385"/>
      <c r="I449" s="495" t="s">
        <v>1694</v>
      </c>
      <c r="J449" s="360"/>
      <c r="K449" s="162" t="s">
        <v>559</v>
      </c>
      <c r="L449" s="1003"/>
      <c r="M449" s="304"/>
      <c r="N449" s="1003"/>
      <c r="O449" s="404"/>
      <c r="P449" s="274"/>
      <c r="Q449" s="1045"/>
      <c r="R449" s="5127">
        <v>0</v>
      </c>
      <c r="S449" s="5125"/>
      <c r="T449" s="5127">
        <v>0</v>
      </c>
      <c r="U449" s="5125"/>
      <c r="V449" s="5126">
        <v>0</v>
      </c>
      <c r="W449" s="2097"/>
      <c r="X449" s="5030"/>
      <c r="Y449" s="302"/>
      <c r="Z449" s="302"/>
      <c r="AA449" s="302"/>
      <c r="AB449" s="5031"/>
      <c r="AC449" s="5032"/>
      <c r="AD449" s="302"/>
      <c r="AE449" s="302"/>
      <c r="AF449" s="274"/>
      <c r="AG449" s="274"/>
      <c r="AH449" s="274"/>
      <c r="AI449" s="274"/>
      <c r="AJ449" s="274"/>
      <c r="AK449" s="274"/>
      <c r="AL449" s="274"/>
      <c r="AM449" s="274"/>
      <c r="AN449" s="2357"/>
      <c r="AO449" s="2213">
        <v>0</v>
      </c>
      <c r="AP449" s="505"/>
      <c r="AQ449" s="274">
        <v>0</v>
      </c>
      <c r="AR449" s="505"/>
      <c r="AS449" s="2357">
        <v>0</v>
      </c>
      <c r="AT449" s="4881"/>
      <c r="AU449" s="2213"/>
      <c r="AV449" s="503"/>
      <c r="AW449" s="274"/>
      <c r="AX449" s="505"/>
      <c r="AY449" s="2214"/>
      <c r="AZ449" s="2162"/>
      <c r="BA449" s="505"/>
      <c r="BB449" s="274"/>
      <c r="BC449" s="505"/>
      <c r="BD449" s="274"/>
      <c r="BE449" s="274"/>
      <c r="BF449" s="505"/>
      <c r="BG449" s="274"/>
      <c r="BH449" s="505"/>
      <c r="BI449" s="274"/>
      <c r="BJ449" s="367" t="s">
        <v>1695</v>
      </c>
      <c r="BK449" s="367" t="s">
        <v>1696</v>
      </c>
      <c r="BL449" s="162"/>
      <c r="BM449" s="547"/>
      <c r="BN449" s="547"/>
      <c r="BO449" s="162"/>
      <c r="BP449" s="265"/>
      <c r="BQ449" s="265" t="s">
        <v>1697</v>
      </c>
      <c r="BR449" s="982"/>
      <c r="BS449" s="18"/>
    </row>
    <row r="450" spans="1:71" s="139" customFormat="1" ht="24" customHeight="1">
      <c r="A450" s="11"/>
      <c r="B450" s="4604"/>
      <c r="C450" s="4618" t="s">
        <v>1698</v>
      </c>
      <c r="D450" s="4751"/>
      <c r="E450" s="4752"/>
      <c r="F450" s="2371" t="s">
        <v>168</v>
      </c>
      <c r="G450" s="685"/>
      <c r="H450" s="686" t="s">
        <v>1699</v>
      </c>
      <c r="I450" s="729"/>
      <c r="J450" s="730"/>
      <c r="K450" s="881"/>
      <c r="L450" s="1085"/>
      <c r="M450" s="1085"/>
      <c r="N450" s="1085"/>
      <c r="O450" s="1085"/>
      <c r="P450" s="1085"/>
      <c r="Q450" s="1085"/>
      <c r="R450" s="1085"/>
      <c r="S450" s="1085"/>
      <c r="T450" s="1085"/>
      <c r="U450" s="1085"/>
      <c r="V450" s="1085"/>
      <c r="W450" s="2375"/>
      <c r="X450" s="2310"/>
      <c r="Y450" s="1085"/>
      <c r="Z450" s="1085"/>
      <c r="AA450" s="1085"/>
      <c r="AB450" s="2311"/>
      <c r="AC450" s="1597"/>
      <c r="AD450" s="1085"/>
      <c r="AE450" s="1085"/>
      <c r="AF450" s="319"/>
      <c r="AG450" s="319"/>
      <c r="AH450" s="319"/>
      <c r="AI450" s="319"/>
      <c r="AJ450" s="319"/>
      <c r="AK450" s="319"/>
      <c r="AL450" s="319"/>
      <c r="AM450" s="319"/>
      <c r="AN450" s="2358"/>
      <c r="AO450" s="2220"/>
      <c r="AP450" s="1042"/>
      <c r="AQ450" s="319"/>
      <c r="AR450" s="1042"/>
      <c r="AS450" s="2358"/>
      <c r="AT450" s="5054"/>
      <c r="AU450" s="2220"/>
      <c r="AV450" s="1087"/>
      <c r="AW450" s="319"/>
      <c r="AX450" s="1042"/>
      <c r="AY450" s="2221"/>
      <c r="AZ450" s="2163"/>
      <c r="BA450" s="1042"/>
      <c r="BB450" s="319"/>
      <c r="BC450" s="1042"/>
      <c r="BD450" s="319"/>
      <c r="BE450" s="319"/>
      <c r="BF450" s="1042"/>
      <c r="BG450" s="319"/>
      <c r="BH450" s="1042"/>
      <c r="BI450" s="319"/>
      <c r="BJ450" s="1309"/>
      <c r="BK450" s="1309"/>
      <c r="BL450" s="162"/>
      <c r="BM450" s="547"/>
      <c r="BN450" s="547"/>
      <c r="BO450" s="162"/>
      <c r="BP450" s="691"/>
      <c r="BQ450" s="691"/>
      <c r="BR450" s="1044"/>
      <c r="BS450" s="18"/>
    </row>
    <row r="451" spans="1:71" ht="24" customHeight="1" thickBot="1">
      <c r="B451" s="4604"/>
      <c r="C451" s="4663"/>
      <c r="D451" s="936" t="s">
        <v>1700</v>
      </c>
      <c r="E451" s="924"/>
      <c r="F451" s="285" t="s">
        <v>1476</v>
      </c>
      <c r="G451" s="347"/>
      <c r="H451" s="348"/>
      <c r="I451" s="358" t="s">
        <v>1701</v>
      </c>
      <c r="J451" s="358"/>
      <c r="K451" s="162" t="s">
        <v>559</v>
      </c>
      <c r="L451" s="304">
        <v>19</v>
      </c>
      <c r="M451" s="304"/>
      <c r="N451" s="304">
        <v>20</v>
      </c>
      <c r="O451" s="404"/>
      <c r="P451" s="274"/>
      <c r="Q451" s="1045"/>
      <c r="R451" s="382">
        <v>19</v>
      </c>
      <c r="S451" s="503" t="s">
        <v>1870</v>
      </c>
      <c r="T451" s="382">
        <v>20</v>
      </c>
      <c r="U451" s="503" t="s">
        <v>1871</v>
      </c>
      <c r="V451" s="274"/>
      <c r="W451" s="2097"/>
      <c r="X451" s="5131">
        <v>0</v>
      </c>
      <c r="Y451" s="5061">
        <v>0</v>
      </c>
      <c r="Z451" s="5132">
        <v>0</v>
      </c>
      <c r="AA451" s="5061">
        <v>0</v>
      </c>
      <c r="AB451" s="5133"/>
      <c r="AC451" s="2162">
        <v>0</v>
      </c>
      <c r="AD451" s="274">
        <v>0</v>
      </c>
      <c r="AE451" s="274"/>
      <c r="AF451" s="274">
        <v>0</v>
      </c>
      <c r="AG451" s="274">
        <v>0</v>
      </c>
      <c r="AH451" s="274"/>
      <c r="AI451" s="274">
        <v>0</v>
      </c>
      <c r="AJ451" s="274">
        <v>0</v>
      </c>
      <c r="AK451" s="274"/>
      <c r="AL451" s="274">
        <v>0</v>
      </c>
      <c r="AM451" s="274">
        <v>0</v>
      </c>
      <c r="AN451" s="2357"/>
      <c r="AO451" s="2213">
        <v>0</v>
      </c>
      <c r="AP451" s="505" t="s">
        <v>1705</v>
      </c>
      <c r="AQ451" s="274">
        <v>0</v>
      </c>
      <c r="AR451" s="505" t="s">
        <v>1705</v>
      </c>
      <c r="AS451" s="2357"/>
      <c r="AT451" s="4881" t="s">
        <v>1705</v>
      </c>
      <c r="AU451" s="2213">
        <v>0</v>
      </c>
      <c r="AV451" s="503" t="s">
        <v>2561</v>
      </c>
      <c r="AW451" s="274">
        <v>0</v>
      </c>
      <c r="AX451" s="503" t="s">
        <v>2561</v>
      </c>
      <c r="AY451" s="2214"/>
      <c r="AZ451" s="2162" t="s">
        <v>2562</v>
      </c>
      <c r="BA451" s="503" t="s">
        <v>2563</v>
      </c>
      <c r="BB451" s="274" t="s">
        <v>2564</v>
      </c>
      <c r="BC451" s="503" t="s">
        <v>2565</v>
      </c>
      <c r="BD451" s="274"/>
      <c r="BE451" s="274"/>
      <c r="BF451" s="505"/>
      <c r="BG451" s="274"/>
      <c r="BH451" s="505"/>
      <c r="BI451" s="274"/>
      <c r="BJ451" s="367" t="s">
        <v>1702</v>
      </c>
      <c r="BK451" s="367" t="s">
        <v>1703</v>
      </c>
      <c r="BL451" s="162"/>
      <c r="BM451" s="547"/>
      <c r="BN451" s="547"/>
      <c r="BO451" s="162"/>
      <c r="BP451" s="265" t="s">
        <v>1704</v>
      </c>
      <c r="BQ451" s="265"/>
      <c r="BR451" s="982"/>
      <c r="BS451" s="18"/>
    </row>
    <row r="452" spans="1:71" ht="24" customHeight="1">
      <c r="B452" s="4604"/>
      <c r="C452" s="4664"/>
      <c r="D452" s="936" t="s">
        <v>1706</v>
      </c>
      <c r="E452" s="924"/>
      <c r="F452" s="285" t="s">
        <v>1476</v>
      </c>
      <c r="G452" s="384"/>
      <c r="H452" s="385"/>
      <c r="I452" s="358" t="s">
        <v>1707</v>
      </c>
      <c r="J452" s="358"/>
      <c r="K452" s="162" t="s">
        <v>559</v>
      </c>
      <c r="L452" s="304">
        <v>15</v>
      </c>
      <c r="M452" s="304"/>
      <c r="N452" s="304">
        <v>13</v>
      </c>
      <c r="O452" s="227"/>
      <c r="P452" s="274"/>
      <c r="Q452" s="1045"/>
      <c r="R452" s="382">
        <v>15</v>
      </c>
      <c r="S452" s="503" t="s">
        <v>1872</v>
      </c>
      <c r="T452" s="382">
        <v>13</v>
      </c>
      <c r="U452" s="503" t="s">
        <v>1872</v>
      </c>
      <c r="V452" s="274"/>
      <c r="W452" s="2097"/>
      <c r="X452" s="5134">
        <v>0</v>
      </c>
      <c r="Y452" s="5135">
        <v>0</v>
      </c>
      <c r="Z452" s="5136">
        <v>0</v>
      </c>
      <c r="AA452" s="5135">
        <v>0</v>
      </c>
      <c r="AB452" s="5137"/>
      <c r="AC452" s="2162">
        <v>0</v>
      </c>
      <c r="AD452" s="274">
        <v>0</v>
      </c>
      <c r="AE452" s="274"/>
      <c r="AF452" s="274">
        <v>0</v>
      </c>
      <c r="AG452" s="274">
        <v>0</v>
      </c>
      <c r="AH452" s="274"/>
      <c r="AI452" s="274">
        <v>0</v>
      </c>
      <c r="AJ452" s="274">
        <v>0</v>
      </c>
      <c r="AK452" s="274"/>
      <c r="AL452" s="274">
        <v>0</v>
      </c>
      <c r="AM452" s="274">
        <v>0</v>
      </c>
      <c r="AN452" s="2357"/>
      <c r="AO452" s="2213">
        <v>0</v>
      </c>
      <c r="AP452" s="505">
        <v>0</v>
      </c>
      <c r="AQ452" s="274">
        <v>0</v>
      </c>
      <c r="AR452" s="505">
        <v>0</v>
      </c>
      <c r="AS452" s="2357"/>
      <c r="AT452" s="4881">
        <v>0</v>
      </c>
      <c r="AU452" s="2213">
        <v>0</v>
      </c>
      <c r="AV452" s="505">
        <v>0</v>
      </c>
      <c r="AW452" s="274">
        <v>0</v>
      </c>
      <c r="AX452" s="505">
        <v>0</v>
      </c>
      <c r="AY452" s="2214"/>
      <c r="AZ452" s="2162">
        <v>0</v>
      </c>
      <c r="BA452" s="505">
        <v>0</v>
      </c>
      <c r="BB452" s="274">
        <v>0</v>
      </c>
      <c r="BC452" s="505">
        <v>0</v>
      </c>
      <c r="BD452" s="274"/>
      <c r="BE452" s="274"/>
      <c r="BF452" s="505"/>
      <c r="BG452" s="274"/>
      <c r="BH452" s="505"/>
      <c r="BI452" s="274"/>
      <c r="BJ452" s="367" t="s">
        <v>1708</v>
      </c>
      <c r="BK452" s="367" t="s">
        <v>1709</v>
      </c>
      <c r="BL452" s="162"/>
      <c r="BM452" s="547"/>
      <c r="BN452" s="547"/>
      <c r="BO452" s="162"/>
      <c r="BP452" s="265" t="s">
        <v>1710</v>
      </c>
      <c r="BQ452" s="265" t="s">
        <v>1711</v>
      </c>
      <c r="BR452" s="982"/>
      <c r="BS452" s="18"/>
    </row>
    <row r="453" spans="1:71" ht="24" customHeight="1">
      <c r="B453" s="4604"/>
      <c r="C453" s="4609" t="s">
        <v>1712</v>
      </c>
      <c r="D453" s="497"/>
      <c r="E453" s="360"/>
      <c r="F453" s="285" t="s">
        <v>557</v>
      </c>
      <c r="G453" s="358"/>
      <c r="H453" s="359" t="s">
        <v>1713</v>
      </c>
      <c r="I453" s="497"/>
      <c r="J453" s="360"/>
      <c r="K453" s="109" t="s">
        <v>559</v>
      </c>
      <c r="L453" s="94"/>
      <c r="M453" s="93"/>
      <c r="N453" s="94"/>
      <c r="O453" s="227"/>
      <c r="P453" s="94"/>
      <c r="Q453" s="1045"/>
      <c r="R453" s="94"/>
      <c r="S453" s="1045"/>
      <c r="T453" s="94"/>
      <c r="U453" s="1045"/>
      <c r="V453" s="94"/>
      <c r="W453" s="2097"/>
      <c r="X453" s="2182"/>
      <c r="Y453" s="93"/>
      <c r="Z453" s="153"/>
      <c r="AA453" s="93"/>
      <c r="AB453" s="2183"/>
      <c r="AC453" s="1238"/>
      <c r="AD453" s="153"/>
      <c r="AE453" s="153"/>
      <c r="AF453" s="153"/>
      <c r="AG453" s="153"/>
      <c r="AH453" s="153"/>
      <c r="AI453" s="153"/>
      <c r="AJ453" s="153"/>
      <c r="AK453" s="153"/>
      <c r="AL453" s="153"/>
      <c r="AM453" s="153"/>
      <c r="AN453" s="1241"/>
      <c r="AO453" s="2182"/>
      <c r="AP453" s="93"/>
      <c r="AQ453" s="153"/>
      <c r="AR453" s="93"/>
      <c r="AS453" s="1241"/>
      <c r="AT453" s="4782"/>
      <c r="AU453" s="2182"/>
      <c r="AV453" s="93"/>
      <c r="AW453" s="153"/>
      <c r="AX453" s="93"/>
      <c r="AY453" s="2183"/>
      <c r="AZ453" s="1238"/>
      <c r="BA453" s="93"/>
      <c r="BB453" s="153"/>
      <c r="BC453" s="93"/>
      <c r="BD453" s="153"/>
      <c r="BE453" s="153"/>
      <c r="BF453" s="93"/>
      <c r="BG453" s="153"/>
      <c r="BH453" s="93"/>
      <c r="BI453" s="153"/>
      <c r="BJ453" s="276" t="s">
        <v>2566</v>
      </c>
      <c r="BK453" s="276" t="s">
        <v>1715</v>
      </c>
      <c r="BL453" s="162"/>
      <c r="BM453" s="547"/>
      <c r="BN453" s="547"/>
      <c r="BO453" s="162"/>
      <c r="BP453" s="265"/>
      <c r="BQ453" s="265" t="s">
        <v>1711</v>
      </c>
      <c r="BR453" s="982"/>
      <c r="BS453" s="18"/>
    </row>
    <row r="454" spans="1:71" ht="24" customHeight="1">
      <c r="B454" s="4604"/>
      <c r="C454" s="4753" t="s">
        <v>1722</v>
      </c>
      <c r="D454" s="497"/>
      <c r="E454" s="360"/>
      <c r="F454" s="285" t="s">
        <v>557</v>
      </c>
      <c r="G454" s="358"/>
      <c r="H454" s="359" t="s">
        <v>1723</v>
      </c>
      <c r="I454" s="497"/>
      <c r="J454" s="360"/>
      <c r="K454" s="109" t="s">
        <v>559</v>
      </c>
      <c r="L454" s="94"/>
      <c r="M454" s="93"/>
      <c r="N454" s="94"/>
      <c r="O454" s="227"/>
      <c r="P454" s="94"/>
      <c r="Q454" s="1312"/>
      <c r="R454" s="93"/>
      <c r="S454" s="1045"/>
      <c r="T454" s="93"/>
      <c r="U454" s="1045"/>
      <c r="V454" s="94"/>
      <c r="W454" s="2101"/>
      <c r="X454" s="2182"/>
      <c r="Y454" s="93"/>
      <c r="Z454" s="153"/>
      <c r="AA454" s="93"/>
      <c r="AB454" s="2183"/>
      <c r="AC454" s="1238"/>
      <c r="AD454" s="153"/>
      <c r="AE454" s="153"/>
      <c r="AF454" s="153"/>
      <c r="AG454" s="153"/>
      <c r="AH454" s="153"/>
      <c r="AI454" s="153"/>
      <c r="AJ454" s="153"/>
      <c r="AK454" s="153"/>
      <c r="AL454" s="153"/>
      <c r="AM454" s="153"/>
      <c r="AN454" s="1241"/>
      <c r="AO454" s="2182">
        <v>0</v>
      </c>
      <c r="AP454" s="93"/>
      <c r="AQ454" s="153">
        <v>0</v>
      </c>
      <c r="AR454" s="93"/>
      <c r="AS454" s="1241">
        <v>0</v>
      </c>
      <c r="AT454" s="4782"/>
      <c r="AU454" s="2182"/>
      <c r="AV454" s="93"/>
      <c r="AW454" s="153"/>
      <c r="AX454" s="93"/>
      <c r="AY454" s="2183"/>
      <c r="AZ454" s="1238"/>
      <c r="BA454" s="93"/>
      <c r="BB454" s="153"/>
      <c r="BC454" s="93"/>
      <c r="BD454" s="153"/>
      <c r="BE454" s="153"/>
      <c r="BF454" s="93"/>
      <c r="BG454" s="153"/>
      <c r="BH454" s="93"/>
      <c r="BI454" s="153"/>
      <c r="BJ454" s="276" t="s">
        <v>1724</v>
      </c>
      <c r="BK454" s="276" t="s">
        <v>1725</v>
      </c>
      <c r="BL454" s="162"/>
      <c r="BM454" s="547"/>
      <c r="BN454" s="547"/>
      <c r="BO454" s="162"/>
      <c r="BP454" s="265"/>
      <c r="BQ454" s="265" t="s">
        <v>1678</v>
      </c>
      <c r="BR454" s="982"/>
      <c r="BS454" s="18"/>
    </row>
    <row r="455" spans="1:71" s="139" customFormat="1" ht="24" customHeight="1">
      <c r="B455" s="4604"/>
      <c r="C455" s="4669" t="s">
        <v>1727</v>
      </c>
      <c r="D455" s="1313"/>
      <c r="E455" s="1313"/>
      <c r="F455" s="285" t="s">
        <v>156</v>
      </c>
      <c r="G455" s="1223"/>
      <c r="H455" s="925" t="s">
        <v>1728</v>
      </c>
      <c r="I455" s="926"/>
      <c r="J455" s="927"/>
      <c r="K455" s="109" t="s">
        <v>156</v>
      </c>
      <c r="L455" s="1314">
        <f>IFERROR(L456/L457*100,"-")</f>
        <v>58.624031007751945</v>
      </c>
      <c r="M455" s="1289"/>
      <c r="N455" s="1314">
        <f>IFERROR(N456/N457*100,"-")</f>
        <v>61.320316132031614</v>
      </c>
      <c r="O455" s="227" t="str">
        <f t="shared" ref="O455:P455" si="46">IFERROR(O456/O457*100,"-")</f>
        <v>-</v>
      </c>
      <c r="P455" s="1314" t="str">
        <f t="shared" si="46"/>
        <v>-</v>
      </c>
      <c r="Q455" s="1315"/>
      <c r="R455" s="1314">
        <f>IFERROR(R456/R457*100,"-")</f>
        <v>99.899193548387103</v>
      </c>
      <c r="S455" s="1045"/>
      <c r="T455" s="1314">
        <f>IFERROR(T456/T457*100,"-")</f>
        <v>100</v>
      </c>
      <c r="U455" s="5138"/>
      <c r="V455" s="1314">
        <f>IFERROR(V456/V457*100,"-")</f>
        <v>100</v>
      </c>
      <c r="W455" s="2102"/>
      <c r="X455" s="2447">
        <f>IFERROR(X456/X457*100,"-")</f>
        <v>96.899224806201545</v>
      </c>
      <c r="Y455" s="1198"/>
      <c r="Z455" s="1314">
        <f>IFERROR(Z456/Z457*100,"-")</f>
        <v>99.375</v>
      </c>
      <c r="AA455" s="1198"/>
      <c r="AB455" s="2448" t="str">
        <f>IFERROR(AB456/AB457*100,"-")</f>
        <v>-</v>
      </c>
      <c r="AC455" s="2164">
        <f t="shared" ref="AC455:AN455" si="47">IFERROR(AC456/AC457*100,"-")</f>
        <v>96.899224806201545</v>
      </c>
      <c r="AD455" s="1314">
        <f t="shared" si="47"/>
        <v>99.375</v>
      </c>
      <c r="AE455" s="1314" t="str">
        <f t="shared" si="47"/>
        <v>-</v>
      </c>
      <c r="AF455" s="1314">
        <f t="shared" si="47"/>
        <v>96.899224806201545</v>
      </c>
      <c r="AG455" s="1314">
        <f t="shared" si="47"/>
        <v>99.375</v>
      </c>
      <c r="AH455" s="1314" t="str">
        <f t="shared" si="47"/>
        <v>-</v>
      </c>
      <c r="AI455" s="1314">
        <f t="shared" si="47"/>
        <v>96.899224806201545</v>
      </c>
      <c r="AJ455" s="1314">
        <f t="shared" si="47"/>
        <v>99.375</v>
      </c>
      <c r="AK455" s="1314" t="str">
        <f t="shared" si="47"/>
        <v>-</v>
      </c>
      <c r="AL455" s="1314">
        <f t="shared" si="47"/>
        <v>96.899224806201545</v>
      </c>
      <c r="AM455" s="1314">
        <f t="shared" si="47"/>
        <v>99.375</v>
      </c>
      <c r="AN455" s="4755" t="str">
        <f t="shared" si="47"/>
        <v>-</v>
      </c>
      <c r="AO455" s="2447" t="str">
        <f t="shared" ref="AO455" si="48">IFERROR(AO456/AO457*100,"-")</f>
        <v>-</v>
      </c>
      <c r="AP455" s="1198"/>
      <c r="AQ455" s="1314" t="str">
        <f>IFERROR(AQ456/AQ457*100,"-")</f>
        <v>-</v>
      </c>
      <c r="AR455" s="1198"/>
      <c r="AS455" s="4755">
        <f>IFERROR(AS456/AS457*100,"-")</f>
        <v>100</v>
      </c>
      <c r="AT455" s="5108"/>
      <c r="AU455" s="2447">
        <f>IFERROR(AU456/AU457*100,"-")</f>
        <v>16.666666666666664</v>
      </c>
      <c r="AV455" s="1198"/>
      <c r="AW455" s="1314">
        <f>IFERROR(AW456/AW457*100,"-")</f>
        <v>23.743500866551127</v>
      </c>
      <c r="AX455" s="1198"/>
      <c r="AY455" s="2448" t="str">
        <f>IFERROR(AY456/AY457*100,"-")</f>
        <v>-</v>
      </c>
      <c r="AZ455" s="2164">
        <f>IFERROR(AZ456/AZ457*100,"-")</f>
        <v>0</v>
      </c>
      <c r="BA455" s="1204"/>
      <c r="BB455" s="1314">
        <f>IFERROR(BB456/BB457*100,"-")</f>
        <v>0</v>
      </c>
      <c r="BC455" s="1204"/>
      <c r="BD455" s="1314" t="str">
        <f>IFERROR(BD456/BD457*100,"-")</f>
        <v>-</v>
      </c>
      <c r="BE455" s="1314" t="str">
        <f>IFERROR(BE456/BE457*100,"-")</f>
        <v>-</v>
      </c>
      <c r="BF455" s="93"/>
      <c r="BG455" s="1314" t="str">
        <f>IFERROR(BG456/BG457*100,"-")</f>
        <v>-</v>
      </c>
      <c r="BH455" s="93"/>
      <c r="BI455" s="1314" t="str">
        <f>IFERROR(BI456/BI457*100,"-")</f>
        <v>-</v>
      </c>
      <c r="BJ455" s="1202" t="s">
        <v>1729</v>
      </c>
      <c r="BK455" s="1202" t="s">
        <v>1730</v>
      </c>
      <c r="BL455" s="508"/>
      <c r="BM455" s="547"/>
      <c r="BN455" s="547"/>
      <c r="BO455" s="162"/>
      <c r="BP455" s="265" t="s">
        <v>1732</v>
      </c>
      <c r="BQ455" s="265"/>
      <c r="BR455" s="982"/>
      <c r="BS455" s="10"/>
    </row>
    <row r="456" spans="1:71" s="139" customFormat="1" ht="24" customHeight="1" thickBot="1">
      <c r="B456" s="5139"/>
      <c r="C456" s="4757"/>
      <c r="D456" s="1317" t="s">
        <v>1733</v>
      </c>
      <c r="E456" s="1318"/>
      <c r="F456" s="285" t="s">
        <v>742</v>
      </c>
      <c r="G456" s="1319"/>
      <c r="H456" s="1320"/>
      <c r="I456" s="1321" t="s">
        <v>1734</v>
      </c>
      <c r="J456" s="1322"/>
      <c r="K456" s="109" t="s">
        <v>734</v>
      </c>
      <c r="L456" s="1204">
        <v>1210</v>
      </c>
      <c r="M456" s="1204"/>
      <c r="N456" s="1204">
        <v>1319</v>
      </c>
      <c r="O456" s="227"/>
      <c r="P456" s="1212"/>
      <c r="Q456" s="1045"/>
      <c r="R456" s="1204">
        <v>991</v>
      </c>
      <c r="S456" s="1214" t="s">
        <v>1873</v>
      </c>
      <c r="T456" s="1204">
        <v>1023</v>
      </c>
      <c r="U456" s="1214" t="s">
        <v>1874</v>
      </c>
      <c r="V456" s="1212">
        <v>1035</v>
      </c>
      <c r="W456" s="2097"/>
      <c r="X456" s="2329">
        <v>125</v>
      </c>
      <c r="Y456" s="1213" t="s">
        <v>2182</v>
      </c>
      <c r="Z456" s="1215">
        <v>159</v>
      </c>
      <c r="AA456" s="1213" t="s">
        <v>2183</v>
      </c>
      <c r="AB456" s="2330"/>
      <c r="AC456" s="2154">
        <v>125</v>
      </c>
      <c r="AD456" s="1215">
        <v>159</v>
      </c>
      <c r="AE456" s="1215"/>
      <c r="AF456" s="1215">
        <v>125</v>
      </c>
      <c r="AG456" s="1215">
        <v>159</v>
      </c>
      <c r="AH456" s="1215"/>
      <c r="AI456" s="1215">
        <v>125</v>
      </c>
      <c r="AJ456" s="1215">
        <v>159</v>
      </c>
      <c r="AK456" s="1215"/>
      <c r="AL456" s="1215">
        <v>125</v>
      </c>
      <c r="AM456" s="1215">
        <v>159</v>
      </c>
      <c r="AN456" s="2540"/>
      <c r="AO456" s="4758">
        <v>0</v>
      </c>
      <c r="AP456" s="4759">
        <v>0</v>
      </c>
      <c r="AQ456" s="4760">
        <v>0</v>
      </c>
      <c r="AR456" s="4759">
        <v>0</v>
      </c>
      <c r="AS456" s="5140">
        <f>AS457</f>
        <v>750</v>
      </c>
      <c r="AT456" s="5141">
        <v>0</v>
      </c>
      <c r="AU456" s="2329">
        <v>94</v>
      </c>
      <c r="AV456" s="1213" t="s">
        <v>2552</v>
      </c>
      <c r="AW456" s="1215">
        <v>137</v>
      </c>
      <c r="AX456" s="1213" t="s">
        <v>2567</v>
      </c>
      <c r="AY456" s="2330"/>
      <c r="AZ456" s="2154">
        <v>0</v>
      </c>
      <c r="BA456" s="1204" t="s">
        <v>2353</v>
      </c>
      <c r="BB456" s="1215">
        <v>0</v>
      </c>
      <c r="BC456" s="1204" t="s">
        <v>2353</v>
      </c>
      <c r="BD456" s="1215"/>
      <c r="BE456" s="1215"/>
      <c r="BF456" s="93"/>
      <c r="BG456" s="1215"/>
      <c r="BH456" s="93"/>
      <c r="BI456" s="153"/>
      <c r="BJ456" s="1202" t="s">
        <v>1735</v>
      </c>
      <c r="BK456" s="367" t="s">
        <v>1736</v>
      </c>
      <c r="BL456" s="508"/>
      <c r="BM456" s="547"/>
      <c r="BN456" s="547"/>
      <c r="BO456" s="162"/>
      <c r="BP456" s="265" t="s">
        <v>1732</v>
      </c>
      <c r="BQ456" s="265" t="s">
        <v>527</v>
      </c>
      <c r="BR456" s="1325"/>
      <c r="BS456" s="10"/>
    </row>
    <row r="457" spans="1:71" s="139" customFormat="1" ht="24" customHeight="1" thickBot="1">
      <c r="B457" s="5142"/>
      <c r="C457" s="1326"/>
      <c r="D457" s="1327" t="s">
        <v>1737</v>
      </c>
      <c r="E457" s="1328"/>
      <c r="F457" s="706" t="s">
        <v>742</v>
      </c>
      <c r="G457" s="1329"/>
      <c r="H457" s="1330"/>
      <c r="I457" s="1327" t="s">
        <v>1738</v>
      </c>
      <c r="J457" s="1331"/>
      <c r="K457" s="711" t="s">
        <v>734</v>
      </c>
      <c r="L457" s="1332">
        <v>2064</v>
      </c>
      <c r="M457" s="1332"/>
      <c r="N457" s="1332">
        <v>2151</v>
      </c>
      <c r="O457" s="1333"/>
      <c r="P457" s="1334"/>
      <c r="Q457" s="1267"/>
      <c r="R457" s="1266">
        <v>992</v>
      </c>
      <c r="S457" s="1267" t="s">
        <v>1875</v>
      </c>
      <c r="T457" s="1266">
        <v>1023</v>
      </c>
      <c r="U457" s="1267" t="s">
        <v>1875</v>
      </c>
      <c r="V457" s="1265">
        <v>1035</v>
      </c>
      <c r="W457" s="2103"/>
      <c r="X457" s="2190">
        <v>129</v>
      </c>
      <c r="Y457" s="4789" t="s">
        <v>2185</v>
      </c>
      <c r="Z457" s="240">
        <v>160</v>
      </c>
      <c r="AA457" s="4789" t="s">
        <v>2186</v>
      </c>
      <c r="AB457" s="2381"/>
      <c r="AC457" s="2156">
        <v>129</v>
      </c>
      <c r="AD457" s="1268">
        <v>160</v>
      </c>
      <c r="AE457" s="1268"/>
      <c r="AF457" s="1268">
        <v>129</v>
      </c>
      <c r="AG457" s="1268">
        <v>160</v>
      </c>
      <c r="AH457" s="1268"/>
      <c r="AI457" s="1268">
        <v>129</v>
      </c>
      <c r="AJ457" s="1268">
        <v>160</v>
      </c>
      <c r="AK457" s="1268"/>
      <c r="AL457" s="1268">
        <v>129</v>
      </c>
      <c r="AM457" s="1268">
        <v>160</v>
      </c>
      <c r="AN457" s="1268"/>
      <c r="AO457" s="4763">
        <v>0</v>
      </c>
      <c r="AP457" s="4764">
        <v>0</v>
      </c>
      <c r="AQ457" s="4763">
        <v>0</v>
      </c>
      <c r="AR457" s="4764">
        <v>0</v>
      </c>
      <c r="AS457" s="5143">
        <f>AS205</f>
        <v>750</v>
      </c>
      <c r="AT457" s="5144">
        <v>0</v>
      </c>
      <c r="AU457" s="2190">
        <v>564</v>
      </c>
      <c r="AV457" s="239">
        <v>0</v>
      </c>
      <c r="AW457" s="240">
        <v>577</v>
      </c>
      <c r="AX457" s="239">
        <v>0</v>
      </c>
      <c r="AY457" s="2381"/>
      <c r="AZ457" s="2156">
        <v>379</v>
      </c>
      <c r="BA457" s="1269">
        <v>0</v>
      </c>
      <c r="BB457" s="1268">
        <v>391</v>
      </c>
      <c r="BC457" s="1270">
        <v>0</v>
      </c>
      <c r="BD457" s="1268"/>
      <c r="BE457" s="1268"/>
      <c r="BF457" s="1266"/>
      <c r="BG457" s="1268"/>
      <c r="BH457" s="1266"/>
      <c r="BI457" s="1268"/>
      <c r="BJ457" s="595" t="s">
        <v>1739</v>
      </c>
      <c r="BK457" s="1180" t="s">
        <v>1740</v>
      </c>
      <c r="BL457" s="1337"/>
      <c r="BM457" s="597"/>
      <c r="BN457" s="1129"/>
      <c r="BO457" s="1338"/>
      <c r="BP457" s="1339" t="s">
        <v>1732</v>
      </c>
      <c r="BQ457" s="1340"/>
      <c r="BR457" s="1341"/>
      <c r="BS457" s="10"/>
    </row>
    <row r="458" spans="1:71" ht="24" customHeight="1">
      <c r="C458" s="481"/>
      <c r="D458" s="481"/>
      <c r="E458" s="481"/>
      <c r="G458" s="1342"/>
      <c r="H458" s="1342"/>
      <c r="I458" s="1342"/>
      <c r="J458" s="1342"/>
      <c r="L458" s="1343"/>
      <c r="M458" s="1343"/>
      <c r="N458" s="1343"/>
      <c r="O458" s="1343"/>
      <c r="P458" s="1343"/>
      <c r="Q458" s="1343"/>
      <c r="R458" s="1344"/>
      <c r="S458" s="5138"/>
      <c r="T458" s="1344"/>
      <c r="U458" s="5138"/>
      <c r="V458" s="1344"/>
      <c r="W458" s="1343"/>
      <c r="X458" s="1344"/>
      <c r="Y458" s="1344"/>
      <c r="Z458" s="1344"/>
      <c r="AA458" s="1344"/>
      <c r="AB458" s="1344"/>
      <c r="AC458" s="1344"/>
      <c r="AD458" s="1344"/>
      <c r="AE458" s="1344"/>
      <c r="AF458" s="1344"/>
      <c r="AG458" s="1344"/>
      <c r="AH458" s="1344"/>
      <c r="AI458" s="1344"/>
      <c r="AJ458" s="1344"/>
      <c r="AK458" s="1344"/>
      <c r="AL458" s="1344"/>
      <c r="AM458" s="1344"/>
      <c r="AN458" s="1344"/>
      <c r="AO458" s="1344"/>
      <c r="AP458" s="1344"/>
      <c r="AQ458" s="1344"/>
      <c r="AR458" s="1344"/>
      <c r="AS458" s="1344"/>
      <c r="AT458" s="1344"/>
      <c r="AU458" s="1344"/>
      <c r="AV458" s="1344"/>
      <c r="AW458" s="1344"/>
      <c r="AX458" s="1344"/>
      <c r="AY458" s="1344"/>
      <c r="AZ458" s="1344"/>
      <c r="BA458" s="1344"/>
      <c r="BB458" s="1344"/>
      <c r="BC458" s="1344"/>
      <c r="BD458" s="1344"/>
      <c r="BE458" s="1344"/>
      <c r="BF458" s="1344"/>
      <c r="BG458" s="1344"/>
      <c r="BH458" s="1344"/>
      <c r="BI458" s="1344"/>
    </row>
    <row r="459" spans="1:71" ht="24" customHeight="1">
      <c r="L459" s="1343"/>
      <c r="M459" s="1343"/>
      <c r="N459" s="1343"/>
      <c r="O459" s="1343"/>
      <c r="P459" s="1343"/>
      <c r="Q459" s="1343"/>
      <c r="R459" s="1344"/>
      <c r="S459" s="5138"/>
      <c r="T459" s="1344"/>
      <c r="U459" s="5138"/>
      <c r="V459" s="1344"/>
      <c r="W459" s="1343"/>
      <c r="X459" s="1344"/>
      <c r="Y459" s="1344"/>
      <c r="Z459" s="1344"/>
      <c r="AA459" s="1344"/>
      <c r="AB459" s="1344"/>
      <c r="AC459" s="1344"/>
      <c r="AD459" s="1344"/>
      <c r="AE459" s="1344"/>
      <c r="AF459" s="1344"/>
      <c r="AG459" s="1344"/>
      <c r="AH459" s="1344"/>
      <c r="AI459" s="1344"/>
      <c r="AJ459" s="1344"/>
      <c r="AK459" s="1344"/>
      <c r="AL459" s="1344"/>
      <c r="AM459" s="1344"/>
      <c r="AN459" s="1344"/>
      <c r="AO459" s="1344"/>
      <c r="AP459" s="1344"/>
      <c r="AQ459" s="1344"/>
      <c r="AR459" s="1344"/>
      <c r="AS459" s="1344"/>
      <c r="AT459" s="1344"/>
      <c r="AU459" s="1344"/>
      <c r="AV459" s="1344"/>
      <c r="AW459" s="1344"/>
      <c r="AX459" s="1344"/>
      <c r="AY459" s="1344"/>
      <c r="AZ459" s="1344"/>
      <c r="BA459" s="1344"/>
      <c r="BB459" s="1344"/>
      <c r="BC459" s="1344"/>
      <c r="BD459" s="1344"/>
      <c r="BE459" s="1344"/>
      <c r="BF459" s="1344"/>
      <c r="BG459" s="1344"/>
      <c r="BH459" s="1344"/>
      <c r="BI459" s="1344"/>
    </row>
    <row r="460" spans="1:71" ht="24" customHeight="1">
      <c r="L460" s="1343"/>
      <c r="M460" s="1343"/>
      <c r="N460" s="1343"/>
      <c r="O460" s="1343"/>
      <c r="P460" s="1343"/>
      <c r="Q460" s="1343"/>
      <c r="R460" s="1344"/>
      <c r="S460" s="5138"/>
      <c r="T460" s="1344"/>
      <c r="U460" s="5138"/>
      <c r="V460" s="1344"/>
      <c r="W460" s="1343"/>
      <c r="X460" s="1344"/>
      <c r="Y460" s="1344"/>
      <c r="Z460" s="1344"/>
      <c r="AA460" s="1344"/>
      <c r="AB460" s="1344"/>
      <c r="AC460" s="1344"/>
      <c r="AD460" s="1344"/>
      <c r="AE460" s="1344"/>
      <c r="AF460" s="1344"/>
      <c r="AG460" s="1344"/>
      <c r="AH460" s="1344"/>
      <c r="AI460" s="1344"/>
      <c r="AJ460" s="1344"/>
      <c r="AK460" s="1344"/>
      <c r="AL460" s="1344"/>
      <c r="AM460" s="1344"/>
      <c r="AN460" s="1344"/>
      <c r="AO460" s="1344"/>
      <c r="AP460" s="1344"/>
      <c r="AQ460" s="1344"/>
      <c r="AR460" s="1344"/>
      <c r="AS460" s="1344"/>
      <c r="AT460" s="1344"/>
      <c r="AU460" s="1344"/>
      <c r="AV460" s="1344"/>
      <c r="AW460" s="1344"/>
      <c r="AX460" s="1344"/>
      <c r="AY460" s="1344"/>
      <c r="AZ460" s="1344"/>
      <c r="BA460" s="1344"/>
      <c r="BB460" s="1344"/>
      <c r="BC460" s="1344"/>
      <c r="BD460" s="1344"/>
      <c r="BE460" s="1344"/>
      <c r="BF460" s="1344"/>
      <c r="BG460" s="1344"/>
      <c r="BH460" s="1344"/>
      <c r="BI460" s="1344"/>
    </row>
    <row r="461" spans="1:71" ht="24" customHeight="1">
      <c r="L461" s="1343"/>
      <c r="M461" s="1343"/>
      <c r="N461" s="1343"/>
      <c r="O461" s="1343"/>
      <c r="P461" s="1343"/>
      <c r="Q461" s="1343"/>
      <c r="R461" s="1344"/>
      <c r="S461" s="5138"/>
      <c r="T461" s="1344"/>
      <c r="U461" s="5138"/>
      <c r="V461" s="1344"/>
      <c r="W461" s="1343"/>
      <c r="X461" s="1344"/>
      <c r="Y461" s="1344"/>
      <c r="Z461" s="1344"/>
      <c r="AA461" s="1344"/>
      <c r="AB461" s="1344"/>
      <c r="AC461" s="1344"/>
      <c r="AD461" s="1344"/>
      <c r="AE461" s="1344"/>
      <c r="AF461" s="1344"/>
      <c r="AG461" s="1344"/>
      <c r="AH461" s="1344"/>
      <c r="AI461" s="1344"/>
      <c r="AJ461" s="1344"/>
      <c r="AK461" s="1344"/>
      <c r="AL461" s="1344"/>
      <c r="AM461" s="1344"/>
      <c r="AN461" s="1344"/>
      <c r="AO461" s="1344"/>
      <c r="AP461" s="1344"/>
      <c r="AQ461" s="1344"/>
      <c r="AR461" s="1344"/>
      <c r="AS461" s="1344"/>
      <c r="AT461" s="1344"/>
      <c r="AU461" s="1344"/>
      <c r="AV461" s="1344"/>
      <c r="AW461" s="1344"/>
      <c r="AX461" s="1344"/>
      <c r="AY461" s="1344"/>
      <c r="AZ461" s="1344"/>
      <c r="BA461" s="1344"/>
      <c r="BB461" s="1344"/>
      <c r="BC461" s="1344"/>
      <c r="BD461" s="1344"/>
      <c r="BE461" s="1344"/>
      <c r="BF461" s="1344"/>
      <c r="BG461" s="1344"/>
      <c r="BH461" s="1344"/>
      <c r="BI461" s="1344"/>
    </row>
    <row r="462" spans="1:71" ht="24" customHeight="1">
      <c r="L462" s="1343"/>
      <c r="M462" s="1343"/>
      <c r="N462" s="1343"/>
      <c r="O462" s="1343"/>
      <c r="P462" s="1343"/>
      <c r="Q462" s="1343"/>
      <c r="R462" s="1344"/>
      <c r="S462" s="5138"/>
      <c r="T462" s="1344"/>
      <c r="U462" s="5138"/>
      <c r="V462" s="1344"/>
      <c r="W462" s="1343"/>
      <c r="X462" s="1344"/>
      <c r="Y462" s="1344"/>
      <c r="Z462" s="1344"/>
      <c r="AA462" s="1344"/>
      <c r="AB462" s="1344"/>
      <c r="AC462" s="1344"/>
      <c r="AD462" s="1344"/>
      <c r="AE462" s="1344"/>
      <c r="AF462" s="1344"/>
      <c r="AG462" s="1344"/>
      <c r="AH462" s="1344"/>
      <c r="AI462" s="1344"/>
      <c r="AJ462" s="1344"/>
      <c r="AK462" s="1344"/>
      <c r="AL462" s="1344"/>
      <c r="AM462" s="1344"/>
      <c r="AN462" s="1344"/>
      <c r="AO462" s="1344"/>
      <c r="AP462" s="1344"/>
      <c r="AQ462" s="1344"/>
      <c r="AR462" s="1344"/>
      <c r="AS462" s="1344"/>
      <c r="AT462" s="1344"/>
      <c r="AU462" s="1344"/>
      <c r="AV462" s="1344"/>
      <c r="AW462" s="1344"/>
      <c r="AX462" s="1344"/>
      <c r="AY462" s="1344"/>
      <c r="AZ462" s="1344"/>
      <c r="BA462" s="1344"/>
      <c r="BB462" s="1344"/>
      <c r="BC462" s="1344"/>
      <c r="BD462" s="1344"/>
      <c r="BE462" s="1344"/>
      <c r="BF462" s="1344"/>
      <c r="BG462" s="1344"/>
      <c r="BH462" s="1344"/>
      <c r="BI462" s="1344"/>
    </row>
  </sheetData>
  <autoFilter ref="B12:BR457" xr:uid="{00000000-0009-0000-0000-00000E000000}"/>
  <mergeCells count="68">
    <mergeCell ref="AC11:AE11"/>
    <mergeCell ref="D97:E97"/>
    <mergeCell ref="BE11:BI11"/>
    <mergeCell ref="BP11:BR11"/>
    <mergeCell ref="D63:E63"/>
    <mergeCell ref="D64:E64"/>
    <mergeCell ref="D65:E65"/>
    <mergeCell ref="C80:E80"/>
    <mergeCell ref="AF11:AH11"/>
    <mergeCell ref="AI11:AK11"/>
    <mergeCell ref="AL11:AN11"/>
    <mergeCell ref="AO11:AT11"/>
    <mergeCell ref="AU11:AY11"/>
    <mergeCell ref="AZ11:BD11"/>
    <mergeCell ref="B11:F11"/>
    <mergeCell ref="G11:J11"/>
    <mergeCell ref="L11:Q11"/>
    <mergeCell ref="R11:W11"/>
    <mergeCell ref="X11:AB11"/>
    <mergeCell ref="C81:C82"/>
    <mergeCell ref="C84:C85"/>
    <mergeCell ref="C95:E95"/>
    <mergeCell ref="H95:J95"/>
    <mergeCell ref="D96:E96"/>
    <mergeCell ref="C112:E112"/>
    <mergeCell ref="C98:E98"/>
    <mergeCell ref="D99:E99"/>
    <mergeCell ref="D100:E100"/>
    <mergeCell ref="D102:E102"/>
    <mergeCell ref="D103:E103"/>
    <mergeCell ref="D106:E106"/>
    <mergeCell ref="D107:E107"/>
    <mergeCell ref="C108:E108"/>
    <mergeCell ref="D109:E109"/>
    <mergeCell ref="D110:E110"/>
    <mergeCell ref="C111:E111"/>
    <mergeCell ref="C134:E134"/>
    <mergeCell ref="C113:E113"/>
    <mergeCell ref="D114:E114"/>
    <mergeCell ref="D115:E115"/>
    <mergeCell ref="C116:E116"/>
    <mergeCell ref="C124:E124"/>
    <mergeCell ref="C129:E129"/>
    <mergeCell ref="C130:C131"/>
    <mergeCell ref="D130:E130"/>
    <mergeCell ref="D131:E131"/>
    <mergeCell ref="C132:E132"/>
    <mergeCell ref="C133:E133"/>
    <mergeCell ref="D280:E280"/>
    <mergeCell ref="C135:C136"/>
    <mergeCell ref="C137:E137"/>
    <mergeCell ref="C140:E140"/>
    <mergeCell ref="C141:C146"/>
    <mergeCell ref="D144:E144"/>
    <mergeCell ref="D145:E145"/>
    <mergeCell ref="D146:E146"/>
    <mergeCell ref="C148:E148"/>
    <mergeCell ref="D202:E202"/>
    <mergeCell ref="C205:E205"/>
    <mergeCell ref="D207:E207"/>
    <mergeCell ref="D209:E209"/>
    <mergeCell ref="BJ309:BJ310"/>
    <mergeCell ref="D281:E281"/>
    <mergeCell ref="D283:E283"/>
    <mergeCell ref="D285:E285"/>
    <mergeCell ref="U300:U301"/>
    <mergeCell ref="U303:U307"/>
    <mergeCell ref="U309:U310"/>
  </mergeCells>
  <phoneticPr fontId="3" type="noConversion"/>
  <pageMargins left="0.25" right="0.25" top="0.75" bottom="0.75" header="0" footer="0"/>
  <pageSetup paperSize="8" scale="23" fitToHeight="0"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BFB68-2449-403C-85E0-087573A0BCB9}">
  <sheetPr>
    <tabColor rgb="FFFFC000"/>
    <pageSetUpPr fitToPage="1"/>
  </sheetPr>
  <dimension ref="A1:AK461"/>
  <sheetViews>
    <sheetView workbookViewId="0"/>
  </sheetViews>
  <sheetFormatPr defaultColWidth="13" defaultRowHeight="16.5" outlineLevelRow="1" outlineLevelCol="7"/>
  <cols>
    <col min="1" max="1" width="1.75" style="3008" customWidth="1"/>
    <col min="2" max="2" width="7.75" style="3008" customWidth="1"/>
    <col min="3" max="3" width="36" style="3008" customWidth="1"/>
    <col min="4" max="4" width="12.75" style="3008" customWidth="1"/>
    <col min="5" max="5" width="23.75" style="3008" customWidth="1"/>
    <col min="6" max="6" width="16.375" style="3008" customWidth="1"/>
    <col min="7" max="7" width="10.375" style="3018" hidden="1" customWidth="1"/>
    <col min="8" max="8" width="28.75" style="3018" hidden="1" customWidth="1"/>
    <col min="9" max="9" width="25.375" style="3018" hidden="1" customWidth="1"/>
    <col min="10" max="10" width="82.75" style="3018" hidden="1" customWidth="1"/>
    <col min="11" max="11" width="18.375" style="3008" customWidth="1"/>
    <col min="12" max="16" width="15.75" style="3008" hidden="1" customWidth="1" outlineLevel="7"/>
    <col min="17" max="17" width="15.75" style="3008" customWidth="1" outlineLevel="7"/>
    <col min="18" max="18" width="24.875" style="3008" customWidth="1" outlineLevel="7"/>
    <col min="19" max="19" width="15.75" style="3008" customWidth="1" outlineLevel="7"/>
    <col min="20" max="20" width="19.375" style="3008" customWidth="1" outlineLevel="7"/>
    <col min="21" max="21" width="17.25" style="3008" bestFit="1" customWidth="1" outlineLevel="7"/>
    <col min="22" max="31" width="15.75" style="3008" hidden="1" customWidth="1" outlineLevel="7"/>
    <col min="32" max="32" width="43.875" style="3008" customWidth="1" outlineLevel="7"/>
    <col min="33" max="33" width="35.375" style="3008" customWidth="1" outlineLevel="7"/>
    <col min="34" max="34" width="35.25" style="3008" customWidth="1" outlineLevel="7"/>
    <col min="35" max="35" width="16.125" style="3008" customWidth="1"/>
    <col min="36" max="36" width="35.125" style="3007" customWidth="1"/>
    <col min="37" max="37" width="32.125" style="3008" customWidth="1"/>
    <col min="38" max="38" width="13" style="3008" customWidth="1"/>
    <col min="39" max="16384" width="13" style="3008"/>
  </cols>
  <sheetData>
    <row r="1" spans="1:37" ht="5.45" customHeight="1" thickBot="1">
      <c r="A1" s="3000"/>
      <c r="B1" s="3001"/>
      <c r="C1" s="3001"/>
      <c r="D1" s="3001"/>
      <c r="E1" s="3001"/>
      <c r="F1" s="3002"/>
      <c r="G1" s="3003"/>
      <c r="H1" s="3004"/>
      <c r="I1" s="3004"/>
      <c r="J1" s="3004"/>
      <c r="K1" s="3002"/>
      <c r="L1" s="3005"/>
      <c r="M1" s="3005"/>
      <c r="N1" s="3005"/>
      <c r="O1" s="3005"/>
      <c r="P1" s="3005"/>
      <c r="Q1" s="3005"/>
      <c r="R1" s="3005"/>
      <c r="S1" s="3005"/>
      <c r="T1" s="3005"/>
      <c r="U1" s="3005"/>
      <c r="V1" s="3005"/>
      <c r="W1" s="3005"/>
      <c r="X1" s="3005"/>
      <c r="Y1" s="3005"/>
      <c r="Z1" s="3005"/>
      <c r="AA1" s="3005"/>
      <c r="AB1" s="3005"/>
      <c r="AC1" s="3005"/>
      <c r="AD1" s="3005"/>
      <c r="AE1" s="3005"/>
      <c r="AF1" s="3005"/>
      <c r="AG1" s="3005"/>
      <c r="AH1" s="3002"/>
      <c r="AI1" s="3006"/>
    </row>
    <row r="2" spans="1:37" s="3016" customFormat="1" ht="33.75" hidden="1">
      <c r="A2" s="3009"/>
      <c r="B2" s="3010"/>
      <c r="C2" s="3011"/>
      <c r="D2" s="3001"/>
      <c r="E2" s="3001"/>
      <c r="F2" s="3002"/>
      <c r="G2" s="3003"/>
      <c r="H2" s="3010" t="s">
        <v>2568</v>
      </c>
      <c r="I2" s="3002"/>
      <c r="J2" s="3002"/>
      <c r="K2" s="3002"/>
      <c r="L2" s="3012"/>
      <c r="M2" s="3012"/>
      <c r="N2" s="3012"/>
      <c r="O2" s="3012"/>
      <c r="P2" s="3012"/>
      <c r="Q2" s="3012"/>
      <c r="R2" s="3012"/>
      <c r="S2" s="3012"/>
      <c r="T2" s="3012"/>
      <c r="U2" s="3012"/>
      <c r="V2" s="3012"/>
      <c r="W2" s="3012"/>
      <c r="X2" s="3012"/>
      <c r="Y2" s="3012"/>
      <c r="Z2" s="3012"/>
      <c r="AA2" s="3012"/>
      <c r="AB2" s="3012"/>
      <c r="AC2" s="3012"/>
      <c r="AD2" s="3012"/>
      <c r="AE2" s="3012"/>
      <c r="AF2" s="3012"/>
      <c r="AG2" s="3012"/>
      <c r="AH2" s="3013"/>
      <c r="AI2" s="3014"/>
      <c r="AJ2" s="3015"/>
    </row>
    <row r="3" spans="1:37" ht="9.6" hidden="1" customHeight="1">
      <c r="B3" s="3017"/>
      <c r="C3" s="3017"/>
      <c r="D3" s="3017"/>
      <c r="E3" s="3017"/>
      <c r="F3" s="3002"/>
      <c r="G3" s="3003"/>
      <c r="H3" s="3002"/>
      <c r="I3" s="3002"/>
      <c r="J3" s="3002"/>
      <c r="K3" s="3002"/>
      <c r="L3" s="3005"/>
      <c r="M3" s="3005"/>
      <c r="N3" s="3005"/>
      <c r="O3" s="3005"/>
      <c r="P3" s="3005"/>
      <c r="Q3" s="3005"/>
      <c r="R3" s="3005"/>
      <c r="S3" s="3005"/>
      <c r="T3" s="3005"/>
      <c r="U3" s="3005"/>
      <c r="V3" s="3005"/>
      <c r="W3" s="3005"/>
      <c r="X3" s="3005"/>
      <c r="Y3" s="3005"/>
      <c r="Z3" s="3005"/>
      <c r="AA3" s="3005"/>
      <c r="AB3" s="3005"/>
      <c r="AC3" s="3005"/>
      <c r="AD3" s="3005"/>
      <c r="AE3" s="3005"/>
      <c r="AF3" s="3005"/>
      <c r="AG3" s="3005"/>
      <c r="AH3" s="3002"/>
      <c r="AI3" s="3017"/>
      <c r="AJ3" s="3015"/>
    </row>
    <row r="4" spans="1:37" ht="9.6" hidden="1" customHeight="1">
      <c r="B4" s="3018"/>
      <c r="C4" s="3018"/>
      <c r="D4" s="3018"/>
      <c r="E4" s="3018"/>
      <c r="F4" s="3018"/>
      <c r="H4" s="3019"/>
      <c r="I4" s="3019"/>
      <c r="AJ4" s="3015"/>
    </row>
    <row r="5" spans="1:37" ht="20.65" hidden="1" customHeight="1">
      <c r="B5" s="3018"/>
      <c r="C5" s="3018"/>
      <c r="D5" s="3018"/>
      <c r="E5" s="3018"/>
      <c r="F5" s="3018"/>
      <c r="H5" s="3020" t="s">
        <v>2569</v>
      </c>
      <c r="I5" s="3021"/>
      <c r="J5" s="3022"/>
      <c r="K5" s="3023"/>
      <c r="T5" s="3024"/>
      <c r="U5" s="3024"/>
      <c r="V5" s="3024"/>
      <c r="W5" s="3024"/>
      <c r="X5" s="3024"/>
      <c r="Y5" s="3024"/>
      <c r="Z5" s="3024"/>
      <c r="AA5" s="3024"/>
      <c r="AB5" s="3024"/>
      <c r="AC5" s="3024"/>
      <c r="AD5" s="3024"/>
      <c r="AE5" s="3024"/>
      <c r="AF5" s="3024"/>
      <c r="AG5" s="3024"/>
      <c r="AH5" s="3024"/>
      <c r="AI5" s="3024"/>
      <c r="AJ5" s="3015"/>
      <c r="AK5" s="3025"/>
    </row>
    <row r="6" spans="1:37" ht="20.65" hidden="1" customHeight="1" outlineLevel="1">
      <c r="B6" s="3018"/>
      <c r="C6" s="3018"/>
      <c r="D6" s="3018"/>
      <c r="E6" s="3018"/>
      <c r="F6" s="3018"/>
      <c r="H6" s="3026" t="s">
        <v>2570</v>
      </c>
      <c r="J6" s="3027"/>
      <c r="K6" s="3028"/>
      <c r="T6" s="3024"/>
      <c r="U6" s="3024"/>
      <c r="V6" s="3024"/>
      <c r="W6" s="3024"/>
      <c r="X6" s="3024"/>
      <c r="Y6" s="3024"/>
      <c r="Z6" s="3024"/>
      <c r="AA6" s="3024"/>
      <c r="AB6" s="3024"/>
      <c r="AC6" s="3024"/>
      <c r="AD6" s="3024"/>
      <c r="AE6" s="3024"/>
      <c r="AF6" s="3024"/>
      <c r="AG6" s="3024"/>
      <c r="AH6" s="3024"/>
      <c r="AI6" s="3024"/>
      <c r="AJ6" s="3015"/>
      <c r="AK6" s="3025"/>
    </row>
    <row r="7" spans="1:37" ht="20.65" hidden="1" customHeight="1" outlineLevel="1">
      <c r="B7" s="3018"/>
      <c r="C7" s="3018"/>
      <c r="D7" s="3018"/>
      <c r="E7" s="3018"/>
      <c r="F7" s="3018"/>
      <c r="H7" s="3029" t="s">
        <v>2571</v>
      </c>
      <c r="J7" s="3030"/>
      <c r="K7" s="3028"/>
      <c r="T7" s="3024"/>
      <c r="U7" s="3024"/>
      <c r="V7" s="3024"/>
      <c r="W7" s="3024"/>
      <c r="X7" s="3024"/>
      <c r="Y7" s="3024"/>
      <c r="Z7" s="3024"/>
      <c r="AA7" s="3024"/>
      <c r="AB7" s="3024"/>
      <c r="AC7" s="3024"/>
      <c r="AD7" s="3024"/>
      <c r="AE7" s="3024"/>
      <c r="AF7" s="3024"/>
      <c r="AG7" s="3024"/>
      <c r="AH7" s="3024"/>
      <c r="AI7" s="3024"/>
      <c r="AJ7" s="3015"/>
      <c r="AK7" s="3025"/>
    </row>
    <row r="8" spans="1:37" ht="20.65" hidden="1" customHeight="1" collapsed="1">
      <c r="B8" s="3018"/>
      <c r="C8" s="3018"/>
      <c r="D8" s="3018"/>
      <c r="E8" s="3018"/>
      <c r="F8" s="3018"/>
      <c r="H8" s="3029" t="s">
        <v>2572</v>
      </c>
      <c r="J8" s="3031"/>
      <c r="K8" s="3028"/>
      <c r="T8" s="3024"/>
      <c r="U8" s="3024"/>
      <c r="V8" s="3024"/>
      <c r="W8" s="3024"/>
      <c r="X8" s="3024"/>
      <c r="Y8" s="3024"/>
      <c r="Z8" s="3024"/>
      <c r="AA8" s="3024"/>
      <c r="AB8" s="3024"/>
      <c r="AC8" s="3024"/>
      <c r="AD8" s="3024"/>
      <c r="AE8" s="3024"/>
      <c r="AF8" s="3024"/>
      <c r="AG8" s="3024"/>
      <c r="AH8" s="3024"/>
      <c r="AI8" s="3024"/>
      <c r="AJ8" s="3015"/>
      <c r="AK8" s="3025"/>
    </row>
    <row r="9" spans="1:37" ht="20.65" hidden="1" customHeight="1">
      <c r="B9" s="3018"/>
      <c r="C9" s="3018"/>
      <c r="D9" s="3018"/>
      <c r="E9" s="3018"/>
      <c r="F9" s="3018"/>
      <c r="H9" s="3032" t="s">
        <v>2573</v>
      </c>
      <c r="I9" s="3033"/>
      <c r="J9" s="3034"/>
      <c r="K9" s="3035"/>
      <c r="N9" s="3036"/>
      <c r="O9" s="3027" t="s">
        <v>2574</v>
      </c>
      <c r="S9" s="3036"/>
      <c r="T9" s="3027" t="s">
        <v>2574</v>
      </c>
      <c r="U9" s="3024"/>
      <c r="V9" s="3024"/>
      <c r="W9" s="3024"/>
      <c r="X9" s="3036"/>
      <c r="Y9" s="3027" t="s">
        <v>2574</v>
      </c>
      <c r="Z9" s="3024"/>
      <c r="AA9" s="3024"/>
      <c r="AB9" s="3024"/>
      <c r="AC9" s="3036"/>
      <c r="AD9" s="3027" t="s">
        <v>2574</v>
      </c>
      <c r="AE9" s="3024"/>
      <c r="AF9" s="3024"/>
      <c r="AG9" s="3024"/>
      <c r="AH9" s="3024"/>
      <c r="AI9" s="3024"/>
      <c r="AJ9" s="3015"/>
      <c r="AK9" s="3025"/>
    </row>
    <row r="10" spans="1:37" ht="11.45" hidden="1" customHeight="1" thickBot="1">
      <c r="C10" s="3037"/>
      <c r="D10" s="3037"/>
      <c r="E10" s="3037"/>
      <c r="F10" s="3038"/>
      <c r="G10" s="3039"/>
      <c r="H10" s="3040"/>
      <c r="I10" s="3040"/>
      <c r="J10" s="3040"/>
      <c r="K10" s="3038"/>
      <c r="L10" s="3041"/>
      <c r="M10" s="3041"/>
      <c r="N10" s="3041"/>
      <c r="O10" s="3041"/>
      <c r="P10" s="3041"/>
      <c r="Q10" s="3041"/>
      <c r="R10" s="3041"/>
      <c r="S10" s="3041"/>
      <c r="T10" s="3041"/>
      <c r="U10" s="3041"/>
      <c r="V10" s="3041"/>
      <c r="W10" s="3041"/>
      <c r="X10" s="3041"/>
      <c r="Y10" s="3041"/>
      <c r="Z10" s="3041"/>
      <c r="AA10" s="3041"/>
      <c r="AB10" s="3041"/>
      <c r="AC10" s="3041"/>
      <c r="AD10" s="3041"/>
      <c r="AE10" s="3041"/>
      <c r="AF10" s="3025"/>
      <c r="AG10" s="3025"/>
      <c r="AH10" s="3025"/>
      <c r="AI10" s="3037"/>
      <c r="AJ10" s="3015"/>
      <c r="AK10" s="3025"/>
    </row>
    <row r="11" spans="1:37" ht="26.65" customHeight="1" thickTop="1">
      <c r="A11" s="3042"/>
      <c r="B11" s="10226" t="s">
        <v>2575</v>
      </c>
      <c r="C11" s="10227"/>
      <c r="D11" s="10227"/>
      <c r="E11" s="10227"/>
      <c r="F11" s="10228"/>
      <c r="G11" s="10229" t="s">
        <v>2576</v>
      </c>
      <c r="H11" s="10227"/>
      <c r="I11" s="10227"/>
      <c r="J11" s="10228"/>
      <c r="K11" s="3043"/>
      <c r="L11" s="10223" t="s">
        <v>2577</v>
      </c>
      <c r="M11" s="10224"/>
      <c r="N11" s="10224"/>
      <c r="O11" s="10224"/>
      <c r="P11" s="10225"/>
      <c r="Q11" s="10223" t="s">
        <v>2578</v>
      </c>
      <c r="R11" s="10224"/>
      <c r="S11" s="10224"/>
      <c r="T11" s="10224"/>
      <c r="U11" s="10225"/>
      <c r="V11" s="10223" t="s">
        <v>2579</v>
      </c>
      <c r="W11" s="10224"/>
      <c r="X11" s="10224"/>
      <c r="Y11" s="10224"/>
      <c r="Z11" s="10225"/>
      <c r="AA11" s="10223" t="s">
        <v>2580</v>
      </c>
      <c r="AB11" s="10224"/>
      <c r="AC11" s="10224"/>
      <c r="AD11" s="10224"/>
      <c r="AE11" s="10225"/>
      <c r="AF11" s="10215" t="s">
        <v>2581</v>
      </c>
      <c r="AG11" s="10217" t="s">
        <v>2582</v>
      </c>
      <c r="AH11" s="10219" t="s">
        <v>2583</v>
      </c>
      <c r="AI11" s="10221" t="s">
        <v>2584</v>
      </c>
      <c r="AJ11" s="3015"/>
      <c r="AK11" s="3044"/>
    </row>
    <row r="12" spans="1:37" ht="44.45" customHeight="1" thickBot="1">
      <c r="A12" s="3042"/>
      <c r="B12" s="3045" t="s">
        <v>2585</v>
      </c>
      <c r="C12" s="3046" t="s">
        <v>2586</v>
      </c>
      <c r="D12" s="3047" t="s">
        <v>2587</v>
      </c>
      <c r="E12" s="3047" t="s">
        <v>2588</v>
      </c>
      <c r="F12" s="3047" t="s">
        <v>2589</v>
      </c>
      <c r="G12" s="3047" t="s">
        <v>2590</v>
      </c>
      <c r="H12" s="3047" t="s">
        <v>2591</v>
      </c>
      <c r="I12" s="3047" t="s">
        <v>2592</v>
      </c>
      <c r="J12" s="3047" t="s">
        <v>2593</v>
      </c>
      <c r="K12" s="3048" t="s">
        <v>2594</v>
      </c>
      <c r="L12" s="3049">
        <v>2021</v>
      </c>
      <c r="M12" s="3050" t="s">
        <v>2595</v>
      </c>
      <c r="N12" s="3051">
        <v>2022</v>
      </c>
      <c r="O12" s="3050" t="s">
        <v>2595</v>
      </c>
      <c r="P12" s="3052">
        <v>2023</v>
      </c>
      <c r="Q12" s="3049">
        <v>2021</v>
      </c>
      <c r="R12" s="3050" t="s">
        <v>2595</v>
      </c>
      <c r="S12" s="3051">
        <v>2022</v>
      </c>
      <c r="T12" s="3050" t="s">
        <v>2595</v>
      </c>
      <c r="U12" s="3052">
        <v>2023</v>
      </c>
      <c r="V12" s="3049">
        <v>2021</v>
      </c>
      <c r="W12" s="3050" t="s">
        <v>2595</v>
      </c>
      <c r="X12" s="3051">
        <v>2022</v>
      </c>
      <c r="Y12" s="3050" t="s">
        <v>2595</v>
      </c>
      <c r="Z12" s="3052">
        <v>2023</v>
      </c>
      <c r="AA12" s="3049">
        <v>2021</v>
      </c>
      <c r="AB12" s="3050" t="s">
        <v>2595</v>
      </c>
      <c r="AC12" s="3051">
        <v>2022</v>
      </c>
      <c r="AD12" s="3050" t="s">
        <v>2595</v>
      </c>
      <c r="AE12" s="3053">
        <v>2023</v>
      </c>
      <c r="AF12" s="10216"/>
      <c r="AG12" s="10218"/>
      <c r="AH12" s="10220"/>
      <c r="AI12" s="10222"/>
      <c r="AJ12" s="3015"/>
      <c r="AK12" s="3044"/>
    </row>
    <row r="13" spans="1:37" ht="27.75" thickTop="1" thickBot="1">
      <c r="A13" s="3042"/>
      <c r="B13" s="3054"/>
      <c r="C13" s="3055"/>
      <c r="D13" s="3055"/>
      <c r="E13" s="3055"/>
      <c r="F13" s="3056"/>
      <c r="G13" s="3057" t="s">
        <v>2596</v>
      </c>
      <c r="H13" s="3058"/>
      <c r="I13" s="3058"/>
      <c r="J13" s="3058"/>
      <c r="K13" s="3056"/>
      <c r="L13" s="3059"/>
      <c r="M13" s="3060"/>
      <c r="N13" s="3060"/>
      <c r="O13" s="3060"/>
      <c r="P13" s="3061"/>
      <c r="Q13" s="3059"/>
      <c r="R13" s="3060"/>
      <c r="S13" s="3060"/>
      <c r="T13" s="3060"/>
      <c r="U13" s="3061"/>
      <c r="V13" s="3059"/>
      <c r="W13" s="3060"/>
      <c r="X13" s="3060"/>
      <c r="Y13" s="3060"/>
      <c r="Z13" s="3061"/>
      <c r="AA13" s="3059"/>
      <c r="AB13" s="3060"/>
      <c r="AC13" s="3060"/>
      <c r="AD13" s="3060"/>
      <c r="AE13" s="3062"/>
      <c r="AF13" s="3063"/>
      <c r="AG13" s="3064"/>
      <c r="AH13" s="3064"/>
      <c r="AI13" s="75"/>
      <c r="AJ13" s="3015"/>
      <c r="AK13" s="3044"/>
    </row>
    <row r="14" spans="1:37" ht="27" thickBot="1">
      <c r="B14" s="3065" t="s">
        <v>2597</v>
      </c>
      <c r="C14" s="3066"/>
      <c r="D14" s="3066"/>
      <c r="E14" s="3066"/>
      <c r="F14" s="3067"/>
      <c r="G14" s="3068" t="s">
        <v>2598</v>
      </c>
      <c r="H14" s="3069"/>
      <c r="I14" s="3069"/>
      <c r="J14" s="3069"/>
      <c r="K14" s="3067"/>
      <c r="L14" s="3070"/>
      <c r="M14" s="3071"/>
      <c r="N14" s="3071"/>
      <c r="O14" s="3071"/>
      <c r="P14" s="3072"/>
      <c r="Q14" s="3070"/>
      <c r="R14" s="3071"/>
      <c r="S14" s="3071"/>
      <c r="T14" s="3071"/>
      <c r="U14" s="3072"/>
      <c r="V14" s="3070"/>
      <c r="W14" s="3071"/>
      <c r="X14" s="3071"/>
      <c r="Y14" s="3071"/>
      <c r="Z14" s="3072"/>
      <c r="AA14" s="3070"/>
      <c r="AB14" s="3071"/>
      <c r="AC14" s="3071"/>
      <c r="AD14" s="3071"/>
      <c r="AE14" s="3072"/>
      <c r="AF14" s="3070"/>
      <c r="AG14" s="3071"/>
      <c r="AH14" s="3071"/>
      <c r="AI14" s="3073"/>
      <c r="AJ14" s="3015"/>
    </row>
    <row r="15" spans="1:37" ht="20.100000000000001" customHeight="1">
      <c r="A15" s="3042"/>
      <c r="B15" s="3074"/>
      <c r="C15" s="3075" t="s">
        <v>2599</v>
      </c>
      <c r="D15" s="3076"/>
      <c r="E15" s="3076"/>
      <c r="F15" s="3077" t="s">
        <v>2600</v>
      </c>
      <c r="G15" s="3078"/>
      <c r="H15" s="3079" t="s">
        <v>2601</v>
      </c>
      <c r="I15" s="3079"/>
      <c r="J15" s="3080"/>
      <c r="K15" s="3081" t="s">
        <v>35</v>
      </c>
      <c r="L15" s="3082"/>
      <c r="M15" s="3083"/>
      <c r="N15" s="3083"/>
      <c r="O15" s="3083"/>
      <c r="P15" s="3084"/>
      <c r="Q15" s="3082"/>
      <c r="R15" s="3083"/>
      <c r="S15" s="3083"/>
      <c r="T15" s="3083"/>
      <c r="U15" s="3084"/>
      <c r="V15" s="3082"/>
      <c r="W15" s="3083"/>
      <c r="X15" s="3083"/>
      <c r="Y15" s="3083"/>
      <c r="Z15" s="3084"/>
      <c r="AA15" s="3082"/>
      <c r="AB15" s="3083"/>
      <c r="AC15" s="3083"/>
      <c r="AD15" s="3083"/>
      <c r="AE15" s="3084"/>
      <c r="AF15" s="3085"/>
      <c r="AG15" s="3086"/>
      <c r="AH15" s="3086"/>
      <c r="AI15" s="3087"/>
      <c r="AJ15" s="3015"/>
      <c r="AK15" s="3044"/>
    </row>
    <row r="16" spans="1:37" ht="20.100000000000001" customHeight="1">
      <c r="B16" s="3074"/>
      <c r="C16" s="3088" t="s">
        <v>2602</v>
      </c>
      <c r="D16" s="3089"/>
      <c r="E16" s="3089"/>
      <c r="F16" s="3090" t="s">
        <v>2600</v>
      </c>
      <c r="G16" s="3091"/>
      <c r="H16" s="3092" t="s">
        <v>2603</v>
      </c>
      <c r="I16" s="3092"/>
      <c r="J16" s="3093"/>
      <c r="K16" s="3094" t="s">
        <v>35</v>
      </c>
      <c r="L16" s="3082"/>
      <c r="M16" s="3083"/>
      <c r="N16" s="3083"/>
      <c r="O16" s="3083"/>
      <c r="P16" s="3084"/>
      <c r="Q16" s="3082"/>
      <c r="R16" s="3083"/>
      <c r="S16" s="3083"/>
      <c r="T16" s="3083"/>
      <c r="U16" s="3084"/>
      <c r="V16" s="3082"/>
      <c r="W16" s="3083"/>
      <c r="X16" s="3083"/>
      <c r="Y16" s="3083"/>
      <c r="Z16" s="3084"/>
      <c r="AA16" s="3082"/>
      <c r="AB16" s="3083"/>
      <c r="AC16" s="3083"/>
      <c r="AD16" s="3083"/>
      <c r="AE16" s="3084"/>
      <c r="AF16" s="3085"/>
      <c r="AG16" s="3086"/>
      <c r="AH16" s="3086"/>
      <c r="AI16" s="3095"/>
      <c r="AJ16" s="3015"/>
    </row>
    <row r="17" spans="2:36" ht="20.100000000000001" customHeight="1">
      <c r="B17" s="3096"/>
      <c r="C17" s="3088" t="s">
        <v>2604</v>
      </c>
      <c r="D17" s="3089"/>
      <c r="E17" s="3089"/>
      <c r="F17" s="3090" t="s">
        <v>2600</v>
      </c>
      <c r="G17" s="3091"/>
      <c r="H17" s="3092" t="s">
        <v>2605</v>
      </c>
      <c r="I17" s="3092"/>
      <c r="J17" s="3093"/>
      <c r="K17" s="3094" t="s">
        <v>35</v>
      </c>
      <c r="L17" s="3082"/>
      <c r="M17" s="3083"/>
      <c r="N17" s="3083"/>
      <c r="O17" s="3083"/>
      <c r="P17" s="3084"/>
      <c r="Q17" s="3082"/>
      <c r="R17" s="3083"/>
      <c r="S17" s="3083"/>
      <c r="T17" s="3083"/>
      <c r="U17" s="3084"/>
      <c r="V17" s="3082"/>
      <c r="W17" s="3083"/>
      <c r="X17" s="3083"/>
      <c r="Y17" s="3083"/>
      <c r="Z17" s="3084"/>
      <c r="AA17" s="3082"/>
      <c r="AB17" s="3083"/>
      <c r="AC17" s="3083"/>
      <c r="AD17" s="3083"/>
      <c r="AE17" s="3084"/>
      <c r="AF17" s="3085"/>
      <c r="AG17" s="3086"/>
      <c r="AH17" s="3086"/>
      <c r="AI17" s="3095"/>
      <c r="AJ17" s="3015"/>
    </row>
    <row r="18" spans="2:36" ht="20.100000000000001" customHeight="1">
      <c r="B18" s="3074"/>
      <c r="C18" s="3088" t="s">
        <v>2606</v>
      </c>
      <c r="D18" s="3089"/>
      <c r="E18" s="3089"/>
      <c r="F18" s="3090" t="s">
        <v>2600</v>
      </c>
      <c r="G18" s="3091"/>
      <c r="H18" s="3092" t="s">
        <v>2607</v>
      </c>
      <c r="I18" s="3092"/>
      <c r="J18" s="3093"/>
      <c r="K18" s="3094" t="s">
        <v>35</v>
      </c>
      <c r="L18" s="3082"/>
      <c r="M18" s="3083"/>
      <c r="N18" s="3083"/>
      <c r="O18" s="3083"/>
      <c r="P18" s="3084"/>
      <c r="Q18" s="3082"/>
      <c r="R18" s="3083"/>
      <c r="S18" s="3083"/>
      <c r="T18" s="3083"/>
      <c r="U18" s="3084"/>
      <c r="V18" s="3082"/>
      <c r="W18" s="3083"/>
      <c r="X18" s="3083"/>
      <c r="Y18" s="3083"/>
      <c r="Z18" s="3084"/>
      <c r="AA18" s="3082"/>
      <c r="AB18" s="3083"/>
      <c r="AC18" s="3083"/>
      <c r="AD18" s="3083"/>
      <c r="AE18" s="3084"/>
      <c r="AF18" s="3085"/>
      <c r="AG18" s="3086"/>
      <c r="AH18" s="3086"/>
      <c r="AI18" s="3095"/>
      <c r="AJ18" s="3015"/>
    </row>
    <row r="19" spans="2:36" ht="20.100000000000001" customHeight="1">
      <c r="B19" s="3074"/>
      <c r="C19" s="3088" t="s">
        <v>2608</v>
      </c>
      <c r="D19" s="3089"/>
      <c r="E19" s="3089"/>
      <c r="F19" s="3090" t="s">
        <v>2600</v>
      </c>
      <c r="G19" s="3091"/>
      <c r="H19" s="3092" t="s">
        <v>2609</v>
      </c>
      <c r="I19" s="3092"/>
      <c r="J19" s="3093"/>
      <c r="K19" s="3094" t="s">
        <v>35</v>
      </c>
      <c r="L19" s="3082"/>
      <c r="M19" s="3083"/>
      <c r="N19" s="3083"/>
      <c r="O19" s="3083"/>
      <c r="P19" s="3084"/>
      <c r="Q19" s="3082"/>
      <c r="R19" s="3083"/>
      <c r="S19" s="3083"/>
      <c r="T19" s="3083"/>
      <c r="U19" s="3084"/>
      <c r="V19" s="3082"/>
      <c r="W19" s="3083"/>
      <c r="X19" s="3083"/>
      <c r="Y19" s="3083"/>
      <c r="Z19" s="3084"/>
      <c r="AA19" s="3082"/>
      <c r="AB19" s="3083"/>
      <c r="AC19" s="3083"/>
      <c r="AD19" s="3083"/>
      <c r="AE19" s="3084"/>
      <c r="AF19" s="3085"/>
      <c r="AG19" s="3086"/>
      <c r="AH19" s="3086"/>
      <c r="AI19" s="3095"/>
      <c r="AJ19" s="3015"/>
    </row>
    <row r="20" spans="2:36" ht="20.100000000000001" customHeight="1">
      <c r="B20" s="3096"/>
      <c r="C20" s="3088" t="s">
        <v>2610</v>
      </c>
      <c r="D20" s="3089"/>
      <c r="E20" s="3089"/>
      <c r="F20" s="3090" t="s">
        <v>2600</v>
      </c>
      <c r="G20" s="3091"/>
      <c r="H20" s="3092" t="s">
        <v>2611</v>
      </c>
      <c r="I20" s="3092"/>
      <c r="J20" s="3093"/>
      <c r="K20" s="3094" t="s">
        <v>35</v>
      </c>
      <c r="L20" s="3082"/>
      <c r="M20" s="3083"/>
      <c r="N20" s="3083"/>
      <c r="O20" s="3083"/>
      <c r="P20" s="3084"/>
      <c r="Q20" s="3082"/>
      <c r="R20" s="3083"/>
      <c r="S20" s="3083"/>
      <c r="T20" s="3083"/>
      <c r="U20" s="3084"/>
      <c r="V20" s="3082"/>
      <c r="W20" s="3083"/>
      <c r="X20" s="3083"/>
      <c r="Y20" s="3083"/>
      <c r="Z20" s="3084"/>
      <c r="AA20" s="3082"/>
      <c r="AB20" s="3083"/>
      <c r="AC20" s="3083"/>
      <c r="AD20" s="3083"/>
      <c r="AE20" s="3084"/>
      <c r="AF20" s="3085"/>
      <c r="AG20" s="3086"/>
      <c r="AH20" s="3086"/>
      <c r="AI20" s="3095"/>
      <c r="AJ20" s="3015"/>
    </row>
    <row r="21" spans="2:36" ht="20.100000000000001" customHeight="1">
      <c r="B21" s="3074"/>
      <c r="C21" s="3088" t="s">
        <v>2612</v>
      </c>
      <c r="D21" s="3089"/>
      <c r="E21" s="3089"/>
      <c r="F21" s="3090" t="s">
        <v>2600</v>
      </c>
      <c r="G21" s="3091"/>
      <c r="H21" s="3097" t="s">
        <v>2613</v>
      </c>
      <c r="I21" s="3092"/>
      <c r="J21" s="3093"/>
      <c r="K21" s="3094" t="s">
        <v>35</v>
      </c>
      <c r="L21" s="3082"/>
      <c r="M21" s="3083"/>
      <c r="N21" s="3083"/>
      <c r="O21" s="3083"/>
      <c r="P21" s="3084"/>
      <c r="Q21" s="3082"/>
      <c r="R21" s="3083"/>
      <c r="S21" s="3083"/>
      <c r="T21" s="3083"/>
      <c r="U21" s="3084"/>
      <c r="V21" s="3082"/>
      <c r="W21" s="3083"/>
      <c r="X21" s="3083"/>
      <c r="Y21" s="3083"/>
      <c r="Z21" s="3084"/>
      <c r="AA21" s="3082"/>
      <c r="AB21" s="3083"/>
      <c r="AC21" s="3083"/>
      <c r="AD21" s="3083"/>
      <c r="AE21" s="3084"/>
      <c r="AF21" s="3085"/>
      <c r="AG21" s="3086"/>
      <c r="AH21" s="3086"/>
      <c r="AI21" s="3095"/>
      <c r="AJ21" s="3015"/>
    </row>
    <row r="22" spans="2:36" ht="20.100000000000001" customHeight="1">
      <c r="B22" s="3096"/>
      <c r="C22" s="3088" t="s">
        <v>2614</v>
      </c>
      <c r="D22" s="3089"/>
      <c r="E22" s="3089"/>
      <c r="F22" s="3090" t="s">
        <v>2600</v>
      </c>
      <c r="G22" s="3091"/>
      <c r="H22" s="3098" t="s">
        <v>2615</v>
      </c>
      <c r="I22" s="3092"/>
      <c r="J22" s="3093"/>
      <c r="K22" s="3094" t="s">
        <v>35</v>
      </c>
      <c r="L22" s="3082"/>
      <c r="M22" s="3083"/>
      <c r="N22" s="3083"/>
      <c r="O22" s="3083"/>
      <c r="P22" s="3084"/>
      <c r="Q22" s="3082"/>
      <c r="R22" s="3083"/>
      <c r="S22" s="3083"/>
      <c r="T22" s="3083"/>
      <c r="U22" s="3084"/>
      <c r="V22" s="3082"/>
      <c r="W22" s="3083"/>
      <c r="X22" s="3083"/>
      <c r="Y22" s="3083"/>
      <c r="Z22" s="3084"/>
      <c r="AA22" s="3082"/>
      <c r="AB22" s="3083"/>
      <c r="AC22" s="3083"/>
      <c r="AD22" s="3083"/>
      <c r="AE22" s="3084"/>
      <c r="AF22" s="3085"/>
      <c r="AG22" s="3086"/>
      <c r="AH22" s="3086"/>
      <c r="AI22" s="3095"/>
      <c r="AJ22" s="3015"/>
    </row>
    <row r="23" spans="2:36" ht="20.100000000000001" customHeight="1" thickBot="1">
      <c r="B23" s="3074"/>
      <c r="C23" s="3099" t="s">
        <v>2616</v>
      </c>
      <c r="D23" s="3100"/>
      <c r="E23" s="3100"/>
      <c r="F23" s="3101" t="s">
        <v>2600</v>
      </c>
      <c r="G23" s="3091"/>
      <c r="H23" s="3102" t="s">
        <v>2617</v>
      </c>
      <c r="I23" s="3102"/>
      <c r="J23" s="3103"/>
      <c r="K23" s="3104" t="s">
        <v>35</v>
      </c>
      <c r="L23" s="3082"/>
      <c r="M23" s="3083"/>
      <c r="N23" s="3083"/>
      <c r="O23" s="3083"/>
      <c r="P23" s="3084"/>
      <c r="Q23" s="3082"/>
      <c r="R23" s="3083"/>
      <c r="S23" s="3083"/>
      <c r="T23" s="3083"/>
      <c r="U23" s="3084"/>
      <c r="V23" s="3082"/>
      <c r="W23" s="3083"/>
      <c r="X23" s="3083"/>
      <c r="Y23" s="3083"/>
      <c r="Z23" s="3084"/>
      <c r="AA23" s="3082"/>
      <c r="AB23" s="3083"/>
      <c r="AC23" s="3083"/>
      <c r="AD23" s="3083"/>
      <c r="AE23" s="3084"/>
      <c r="AF23" s="3085"/>
      <c r="AG23" s="3086"/>
      <c r="AH23" s="3086"/>
      <c r="AI23" s="3095"/>
      <c r="AJ23" s="3015"/>
    </row>
    <row r="24" spans="2:36" ht="27" thickBot="1">
      <c r="B24" s="3105" t="s">
        <v>2618</v>
      </c>
      <c r="C24" s="3106"/>
      <c r="D24" s="3106"/>
      <c r="E24" s="3106"/>
      <c r="F24" s="3067"/>
      <c r="G24" s="3107" t="s">
        <v>2619</v>
      </c>
      <c r="H24" s="3108"/>
      <c r="I24" s="3108"/>
      <c r="J24" s="3108"/>
      <c r="K24" s="3067"/>
      <c r="L24" s="3109"/>
      <c r="M24" s="3110"/>
      <c r="N24" s="3110"/>
      <c r="O24" s="3110"/>
      <c r="P24" s="3111"/>
      <c r="Q24" s="3109"/>
      <c r="R24" s="3110"/>
      <c r="S24" s="3110"/>
      <c r="T24" s="3110"/>
      <c r="U24" s="3111"/>
      <c r="V24" s="3109"/>
      <c r="W24" s="3110"/>
      <c r="X24" s="3110"/>
      <c r="Y24" s="3110"/>
      <c r="Z24" s="3111"/>
      <c r="AA24" s="3109"/>
      <c r="AB24" s="3110"/>
      <c r="AC24" s="3110"/>
      <c r="AD24" s="3110"/>
      <c r="AE24" s="3111"/>
      <c r="AF24" s="3112"/>
      <c r="AG24" s="3113"/>
      <c r="AH24" s="3113"/>
      <c r="AI24" s="3114"/>
      <c r="AJ24" s="3015"/>
    </row>
    <row r="25" spans="2:36" s="3121" customFormat="1" ht="20.100000000000001" customHeight="1">
      <c r="B25" s="3096"/>
      <c r="C25" s="3075" t="s">
        <v>2620</v>
      </c>
      <c r="D25" s="3076"/>
      <c r="E25" s="3076"/>
      <c r="F25" s="3115" t="s">
        <v>2600</v>
      </c>
      <c r="G25" s="3116"/>
      <c r="H25" s="3117" t="s">
        <v>2621</v>
      </c>
      <c r="I25" s="3117"/>
      <c r="J25" s="3118"/>
      <c r="K25" s="3119" t="s">
        <v>35</v>
      </c>
      <c r="L25" s="3082"/>
      <c r="M25" s="3083"/>
      <c r="N25" s="3083"/>
      <c r="O25" s="3083"/>
      <c r="P25" s="3084"/>
      <c r="Q25" s="3082"/>
      <c r="R25" s="3083"/>
      <c r="S25" s="3083"/>
      <c r="T25" s="3083"/>
      <c r="U25" s="3084"/>
      <c r="V25" s="3082"/>
      <c r="W25" s="3083"/>
      <c r="X25" s="3083"/>
      <c r="Y25" s="3083"/>
      <c r="Z25" s="3084"/>
      <c r="AA25" s="3082"/>
      <c r="AB25" s="3083"/>
      <c r="AC25" s="3083"/>
      <c r="AD25" s="3083"/>
      <c r="AE25" s="3084"/>
      <c r="AF25" s="3085"/>
      <c r="AG25" s="3120"/>
      <c r="AH25" s="3120"/>
      <c r="AI25" s="3095"/>
      <c r="AJ25" s="3007"/>
    </row>
    <row r="26" spans="2:36" s="3121" customFormat="1" ht="20.100000000000001" customHeight="1">
      <c r="B26" s="3096"/>
      <c r="C26" s="3088" t="s">
        <v>2622</v>
      </c>
      <c r="D26" s="3089"/>
      <c r="E26" s="3089"/>
      <c r="F26" s="3090" t="s">
        <v>2600</v>
      </c>
      <c r="G26" s="3116"/>
      <c r="H26" s="3122" t="s">
        <v>2623</v>
      </c>
      <c r="I26" s="3122"/>
      <c r="J26" s="3123"/>
      <c r="K26" s="3094" t="s">
        <v>35</v>
      </c>
      <c r="L26" s="3082"/>
      <c r="M26" s="3083"/>
      <c r="N26" s="3083"/>
      <c r="O26" s="3083"/>
      <c r="P26" s="3084"/>
      <c r="Q26" s="3082"/>
      <c r="R26" s="3083"/>
      <c r="S26" s="3083"/>
      <c r="T26" s="3083"/>
      <c r="U26" s="3084"/>
      <c r="V26" s="3082"/>
      <c r="W26" s="3083"/>
      <c r="X26" s="3083"/>
      <c r="Y26" s="3083"/>
      <c r="Z26" s="3084"/>
      <c r="AA26" s="3082"/>
      <c r="AB26" s="3083"/>
      <c r="AC26" s="3083"/>
      <c r="AD26" s="3083"/>
      <c r="AE26" s="3084"/>
      <c r="AF26" s="3085"/>
      <c r="AG26" s="3120"/>
      <c r="AH26" s="3120"/>
      <c r="AI26" s="3095"/>
      <c r="AJ26" s="3007"/>
    </row>
    <row r="27" spans="2:36" s="3121" customFormat="1" ht="20.100000000000001" customHeight="1">
      <c r="B27" s="3096"/>
      <c r="C27" s="3088" t="s">
        <v>2624</v>
      </c>
      <c r="D27" s="3089"/>
      <c r="E27" s="3089"/>
      <c r="F27" s="3090" t="s">
        <v>2600</v>
      </c>
      <c r="G27" s="3116"/>
      <c r="H27" s="3122" t="s">
        <v>2625</v>
      </c>
      <c r="I27" s="3122"/>
      <c r="J27" s="3123"/>
      <c r="K27" s="3094" t="s">
        <v>35</v>
      </c>
      <c r="L27" s="3082"/>
      <c r="M27" s="3083"/>
      <c r="N27" s="3083"/>
      <c r="O27" s="3083"/>
      <c r="P27" s="3084"/>
      <c r="Q27" s="3082"/>
      <c r="R27" s="3083"/>
      <c r="S27" s="3083"/>
      <c r="T27" s="3083"/>
      <c r="U27" s="3084"/>
      <c r="V27" s="3082"/>
      <c r="W27" s="3083"/>
      <c r="X27" s="3083"/>
      <c r="Y27" s="3083"/>
      <c r="Z27" s="3084"/>
      <c r="AA27" s="3082"/>
      <c r="AB27" s="3083"/>
      <c r="AC27" s="3083"/>
      <c r="AD27" s="3083"/>
      <c r="AE27" s="3084"/>
      <c r="AF27" s="3085"/>
      <c r="AG27" s="3120"/>
      <c r="AH27" s="3120"/>
      <c r="AI27" s="3095"/>
      <c r="AJ27" s="3007"/>
    </row>
    <row r="28" spans="2:36" ht="20.100000000000001" customHeight="1">
      <c r="B28" s="3074"/>
      <c r="C28" s="3088" t="s">
        <v>2626</v>
      </c>
      <c r="D28" s="3089"/>
      <c r="E28" s="3089"/>
      <c r="F28" s="3090" t="s">
        <v>2600</v>
      </c>
      <c r="G28" s="3124"/>
      <c r="H28" s="3122" t="s">
        <v>2627</v>
      </c>
      <c r="I28" s="3122"/>
      <c r="J28" s="3123"/>
      <c r="K28" s="3094" t="s">
        <v>35</v>
      </c>
      <c r="L28" s="3082"/>
      <c r="M28" s="3083"/>
      <c r="N28" s="3083"/>
      <c r="O28" s="3083"/>
      <c r="P28" s="3084"/>
      <c r="Q28" s="3082"/>
      <c r="R28" s="3083"/>
      <c r="S28" s="3083"/>
      <c r="T28" s="3083"/>
      <c r="U28" s="3084"/>
      <c r="V28" s="3082"/>
      <c r="W28" s="3083"/>
      <c r="X28" s="3083"/>
      <c r="Y28" s="3083"/>
      <c r="Z28" s="3084"/>
      <c r="AA28" s="3082"/>
      <c r="AB28" s="3083"/>
      <c r="AC28" s="3083"/>
      <c r="AD28" s="3083"/>
      <c r="AE28" s="3084"/>
      <c r="AF28" s="3085"/>
      <c r="AG28" s="3120"/>
      <c r="AH28" s="3120"/>
      <c r="AI28" s="3095"/>
      <c r="AJ28" s="3015"/>
    </row>
    <row r="29" spans="2:36" ht="20.100000000000001" customHeight="1">
      <c r="B29" s="3074"/>
      <c r="C29" s="3088" t="s">
        <v>2628</v>
      </c>
      <c r="D29" s="3089"/>
      <c r="E29" s="3089"/>
      <c r="F29" s="3090" t="s">
        <v>2600</v>
      </c>
      <c r="G29" s="3124"/>
      <c r="H29" s="3122" t="s">
        <v>2629</v>
      </c>
      <c r="I29" s="3122"/>
      <c r="J29" s="3123"/>
      <c r="K29" s="3094" t="s">
        <v>35</v>
      </c>
      <c r="L29" s="3082"/>
      <c r="M29" s="3083"/>
      <c r="N29" s="3083"/>
      <c r="O29" s="3083"/>
      <c r="P29" s="3084"/>
      <c r="Q29" s="3082"/>
      <c r="R29" s="3083"/>
      <c r="S29" s="3083"/>
      <c r="T29" s="3083"/>
      <c r="U29" s="3084"/>
      <c r="V29" s="3082"/>
      <c r="W29" s="3083"/>
      <c r="X29" s="3083"/>
      <c r="Y29" s="3083"/>
      <c r="Z29" s="3084"/>
      <c r="AA29" s="3082"/>
      <c r="AB29" s="3083"/>
      <c r="AC29" s="3083"/>
      <c r="AD29" s="3083"/>
      <c r="AE29" s="3084"/>
      <c r="AF29" s="3085"/>
      <c r="AG29" s="3120"/>
      <c r="AH29" s="3120"/>
      <c r="AI29" s="3095"/>
      <c r="AJ29" s="3015"/>
    </row>
    <row r="30" spans="2:36" ht="20.100000000000001" customHeight="1">
      <c r="B30" s="3096"/>
      <c r="C30" s="3088" t="s">
        <v>2630</v>
      </c>
      <c r="D30" s="3089"/>
      <c r="E30" s="3089"/>
      <c r="F30" s="3090" t="s">
        <v>2600</v>
      </c>
      <c r="G30" s="3124"/>
      <c r="H30" s="3122" t="s">
        <v>2631</v>
      </c>
      <c r="I30" s="3122"/>
      <c r="J30" s="3123"/>
      <c r="K30" s="3094" t="s">
        <v>35</v>
      </c>
      <c r="L30" s="3082"/>
      <c r="M30" s="3083"/>
      <c r="N30" s="3083"/>
      <c r="O30" s="3083"/>
      <c r="P30" s="3084"/>
      <c r="Q30" s="3082"/>
      <c r="R30" s="3083"/>
      <c r="S30" s="3083"/>
      <c r="T30" s="3083"/>
      <c r="U30" s="3084"/>
      <c r="V30" s="3082"/>
      <c r="W30" s="3083"/>
      <c r="X30" s="3083"/>
      <c r="Y30" s="3083"/>
      <c r="Z30" s="3084"/>
      <c r="AA30" s="3082"/>
      <c r="AB30" s="3083"/>
      <c r="AC30" s="3083"/>
      <c r="AD30" s="3083"/>
      <c r="AE30" s="3084"/>
      <c r="AF30" s="3085"/>
      <c r="AG30" s="3120"/>
      <c r="AH30" s="3120"/>
      <c r="AI30" s="3095"/>
      <c r="AJ30" s="3015"/>
    </row>
    <row r="31" spans="2:36" ht="20.100000000000001" customHeight="1">
      <c r="B31" s="3074"/>
      <c r="C31" s="3088" t="s">
        <v>2632</v>
      </c>
      <c r="D31" s="3089"/>
      <c r="E31" s="3089"/>
      <c r="F31" s="3090" t="s">
        <v>2600</v>
      </c>
      <c r="G31" s="3124"/>
      <c r="H31" s="3122" t="s">
        <v>2633</v>
      </c>
      <c r="I31" s="3122"/>
      <c r="J31" s="3123"/>
      <c r="K31" s="3094" t="s">
        <v>35</v>
      </c>
      <c r="L31" s="3082"/>
      <c r="M31" s="3083"/>
      <c r="N31" s="3083"/>
      <c r="O31" s="3083"/>
      <c r="P31" s="3084"/>
      <c r="Q31" s="3082"/>
      <c r="R31" s="3083"/>
      <c r="S31" s="3083"/>
      <c r="T31" s="3083"/>
      <c r="U31" s="3084"/>
      <c r="V31" s="3082"/>
      <c r="W31" s="3083"/>
      <c r="X31" s="3083"/>
      <c r="Y31" s="3083"/>
      <c r="Z31" s="3084"/>
      <c r="AA31" s="3082"/>
      <c r="AB31" s="3083"/>
      <c r="AC31" s="3083"/>
      <c r="AD31" s="3083"/>
      <c r="AE31" s="3084"/>
      <c r="AF31" s="3085"/>
      <c r="AG31" s="3120"/>
      <c r="AH31" s="3120"/>
      <c r="AI31" s="3095"/>
      <c r="AJ31" s="3015"/>
    </row>
    <row r="32" spans="2:36" ht="20.100000000000001" customHeight="1">
      <c r="B32" s="3074"/>
      <c r="C32" s="3088" t="s">
        <v>2634</v>
      </c>
      <c r="D32" s="3089"/>
      <c r="E32" s="3089"/>
      <c r="F32" s="3090" t="s">
        <v>2600</v>
      </c>
      <c r="G32" s="3124"/>
      <c r="H32" s="3122" t="s">
        <v>2635</v>
      </c>
      <c r="I32" s="3122"/>
      <c r="J32" s="3123"/>
      <c r="K32" s="3094" t="s">
        <v>35</v>
      </c>
      <c r="L32" s="3082"/>
      <c r="M32" s="3083"/>
      <c r="N32" s="3083"/>
      <c r="O32" s="3083"/>
      <c r="P32" s="3084"/>
      <c r="Q32" s="3082"/>
      <c r="R32" s="3083"/>
      <c r="S32" s="3083"/>
      <c r="T32" s="3083"/>
      <c r="U32" s="3084"/>
      <c r="V32" s="3082"/>
      <c r="W32" s="3083"/>
      <c r="X32" s="3083"/>
      <c r="Y32" s="3083"/>
      <c r="Z32" s="3084"/>
      <c r="AA32" s="3082"/>
      <c r="AB32" s="3083"/>
      <c r="AC32" s="3083"/>
      <c r="AD32" s="3083"/>
      <c r="AE32" s="3084"/>
      <c r="AF32" s="3085"/>
      <c r="AG32" s="3120"/>
      <c r="AH32" s="3120"/>
      <c r="AI32" s="3095"/>
      <c r="AJ32" s="3015"/>
    </row>
    <row r="33" spans="2:36" ht="20.100000000000001" customHeight="1">
      <c r="B33" s="3074"/>
      <c r="C33" s="3088" t="s">
        <v>2636</v>
      </c>
      <c r="D33" s="3089"/>
      <c r="E33" s="3089"/>
      <c r="F33" s="3090" t="s">
        <v>2600</v>
      </c>
      <c r="G33" s="3124"/>
      <c r="H33" s="3122" t="s">
        <v>2637</v>
      </c>
      <c r="I33" s="3122"/>
      <c r="J33" s="3123"/>
      <c r="K33" s="3094" t="s">
        <v>35</v>
      </c>
      <c r="L33" s="3082"/>
      <c r="M33" s="3083"/>
      <c r="N33" s="3083"/>
      <c r="O33" s="3083"/>
      <c r="P33" s="3084"/>
      <c r="Q33" s="3082"/>
      <c r="R33" s="3083"/>
      <c r="S33" s="3083"/>
      <c r="T33" s="3083"/>
      <c r="U33" s="3084"/>
      <c r="V33" s="3082"/>
      <c r="W33" s="3083"/>
      <c r="X33" s="3083"/>
      <c r="Y33" s="3083"/>
      <c r="Z33" s="3084"/>
      <c r="AA33" s="3082"/>
      <c r="AB33" s="3083"/>
      <c r="AC33" s="3083"/>
      <c r="AD33" s="3083"/>
      <c r="AE33" s="3084"/>
      <c r="AF33" s="3085"/>
      <c r="AG33" s="3120"/>
      <c r="AH33" s="3120"/>
      <c r="AI33" s="3095"/>
      <c r="AJ33" s="3015"/>
    </row>
    <row r="34" spans="2:36" ht="20.100000000000001" customHeight="1">
      <c r="B34" s="3074"/>
      <c r="C34" s="3088" t="s">
        <v>2638</v>
      </c>
      <c r="D34" s="3089"/>
      <c r="E34" s="3089"/>
      <c r="F34" s="3090" t="s">
        <v>2600</v>
      </c>
      <c r="G34" s="3124"/>
      <c r="H34" s="3125" t="s">
        <v>2639</v>
      </c>
      <c r="I34" s="3125"/>
      <c r="J34" s="3126"/>
      <c r="K34" s="3094" t="s">
        <v>35</v>
      </c>
      <c r="L34" s="3082"/>
      <c r="M34" s="3083"/>
      <c r="N34" s="3083"/>
      <c r="O34" s="3083"/>
      <c r="P34" s="3084"/>
      <c r="Q34" s="3082"/>
      <c r="R34" s="3083"/>
      <c r="S34" s="3083"/>
      <c r="T34" s="3083"/>
      <c r="U34" s="3084"/>
      <c r="V34" s="3082"/>
      <c r="W34" s="3083"/>
      <c r="X34" s="3083"/>
      <c r="Y34" s="3083"/>
      <c r="Z34" s="3084"/>
      <c r="AA34" s="3082"/>
      <c r="AB34" s="3083"/>
      <c r="AC34" s="3083"/>
      <c r="AD34" s="3083"/>
      <c r="AE34" s="3084"/>
      <c r="AF34" s="3085"/>
      <c r="AG34" s="3120"/>
      <c r="AH34" s="3120"/>
      <c r="AI34" s="3095"/>
      <c r="AJ34" s="3015"/>
    </row>
    <row r="35" spans="2:36" ht="20.100000000000001" customHeight="1">
      <c r="B35" s="3074"/>
      <c r="C35" s="3088" t="s">
        <v>2640</v>
      </c>
      <c r="D35" s="3089"/>
      <c r="E35" s="3089"/>
      <c r="F35" s="3115" t="s">
        <v>2600</v>
      </c>
      <c r="G35" s="3124"/>
      <c r="H35" s="3125" t="s">
        <v>2641</v>
      </c>
      <c r="I35" s="3125"/>
      <c r="J35" s="3126"/>
      <c r="K35" s="3119" t="s">
        <v>35</v>
      </c>
      <c r="L35" s="3082"/>
      <c r="M35" s="3083"/>
      <c r="N35" s="3083"/>
      <c r="O35" s="3083"/>
      <c r="P35" s="3084"/>
      <c r="Q35" s="3082"/>
      <c r="R35" s="3083"/>
      <c r="S35" s="3083"/>
      <c r="T35" s="3083"/>
      <c r="U35" s="3084"/>
      <c r="V35" s="3082"/>
      <c r="W35" s="3083"/>
      <c r="X35" s="3083"/>
      <c r="Y35" s="3083"/>
      <c r="Z35" s="3084"/>
      <c r="AA35" s="3082"/>
      <c r="AB35" s="3083"/>
      <c r="AC35" s="3083"/>
      <c r="AD35" s="3083"/>
      <c r="AE35" s="3084"/>
      <c r="AF35" s="3085"/>
      <c r="AG35" s="3120"/>
      <c r="AH35" s="3120"/>
      <c r="AI35" s="3095"/>
      <c r="AJ35" s="3015"/>
    </row>
    <row r="36" spans="2:36" ht="20.100000000000001" customHeight="1">
      <c r="B36" s="3096"/>
      <c r="C36" s="3088" t="s">
        <v>2642</v>
      </c>
      <c r="D36" s="3089"/>
      <c r="E36" s="3089"/>
      <c r="F36" s="3090" t="s">
        <v>2600</v>
      </c>
      <c r="G36" s="3124"/>
      <c r="H36" s="3125" t="s">
        <v>2643</v>
      </c>
      <c r="I36" s="3125"/>
      <c r="J36" s="3126"/>
      <c r="K36" s="3094" t="s">
        <v>35</v>
      </c>
      <c r="L36" s="3082"/>
      <c r="M36" s="3083"/>
      <c r="N36" s="3083"/>
      <c r="O36" s="3083"/>
      <c r="P36" s="3084"/>
      <c r="Q36" s="3082"/>
      <c r="R36" s="3083"/>
      <c r="S36" s="3083"/>
      <c r="T36" s="3083"/>
      <c r="U36" s="3084"/>
      <c r="V36" s="3082"/>
      <c r="W36" s="3083"/>
      <c r="X36" s="3083"/>
      <c r="Y36" s="3083"/>
      <c r="Z36" s="3084"/>
      <c r="AA36" s="3082"/>
      <c r="AB36" s="3083"/>
      <c r="AC36" s="3083"/>
      <c r="AD36" s="3083"/>
      <c r="AE36" s="3084"/>
      <c r="AF36" s="3085"/>
      <c r="AG36" s="3120"/>
      <c r="AH36" s="3120"/>
      <c r="AI36" s="3095"/>
      <c r="AJ36" s="3015"/>
    </row>
    <row r="37" spans="2:36" ht="20.100000000000001" customHeight="1">
      <c r="B37" s="3074"/>
      <c r="C37" s="3088" t="s">
        <v>2644</v>
      </c>
      <c r="D37" s="3089"/>
      <c r="E37" s="3089"/>
      <c r="F37" s="3090" t="s">
        <v>2600</v>
      </c>
      <c r="G37" s="3124"/>
      <c r="H37" s="3125" t="s">
        <v>2645</v>
      </c>
      <c r="I37" s="3125"/>
      <c r="J37" s="3126"/>
      <c r="K37" s="3094" t="s">
        <v>35</v>
      </c>
      <c r="L37" s="3082"/>
      <c r="M37" s="3083"/>
      <c r="N37" s="3083"/>
      <c r="O37" s="3083"/>
      <c r="P37" s="3084"/>
      <c r="Q37" s="3082"/>
      <c r="R37" s="3083"/>
      <c r="S37" s="3083"/>
      <c r="T37" s="3083"/>
      <c r="U37" s="3084"/>
      <c r="V37" s="3082"/>
      <c r="W37" s="3083"/>
      <c r="X37" s="3083"/>
      <c r="Y37" s="3083"/>
      <c r="Z37" s="3084"/>
      <c r="AA37" s="3082"/>
      <c r="AB37" s="3083"/>
      <c r="AC37" s="3083"/>
      <c r="AD37" s="3083"/>
      <c r="AE37" s="3084"/>
      <c r="AF37" s="3085"/>
      <c r="AG37" s="3120"/>
      <c r="AH37" s="3120"/>
      <c r="AI37" s="3095"/>
      <c r="AJ37" s="3015"/>
    </row>
    <row r="38" spans="2:36" ht="20.100000000000001" customHeight="1" thickBot="1">
      <c r="B38" s="3074"/>
      <c r="C38" s="3099" t="s">
        <v>2646</v>
      </c>
      <c r="D38" s="3100"/>
      <c r="E38" s="3100"/>
      <c r="F38" s="3090" t="s">
        <v>2600</v>
      </c>
      <c r="G38" s="3124"/>
      <c r="H38" s="3127" t="s">
        <v>2647</v>
      </c>
      <c r="I38" s="3127"/>
      <c r="J38" s="3128"/>
      <c r="K38" s="3094" t="s">
        <v>35</v>
      </c>
      <c r="L38" s="3082"/>
      <c r="M38" s="3083"/>
      <c r="N38" s="3083"/>
      <c r="O38" s="3083"/>
      <c r="P38" s="3084"/>
      <c r="Q38" s="3082"/>
      <c r="R38" s="3083"/>
      <c r="S38" s="3083"/>
      <c r="T38" s="3083"/>
      <c r="U38" s="3084"/>
      <c r="V38" s="3082"/>
      <c r="W38" s="3083"/>
      <c r="X38" s="3083"/>
      <c r="Y38" s="3083"/>
      <c r="Z38" s="3084"/>
      <c r="AA38" s="3082"/>
      <c r="AB38" s="3083"/>
      <c r="AC38" s="3083"/>
      <c r="AD38" s="3083"/>
      <c r="AE38" s="3084"/>
      <c r="AF38" s="3085"/>
      <c r="AG38" s="3120"/>
      <c r="AH38" s="3120"/>
      <c r="AI38" s="3095"/>
      <c r="AJ38" s="3015"/>
    </row>
    <row r="39" spans="2:36" ht="27" thickBot="1">
      <c r="B39" s="3105" t="s">
        <v>2648</v>
      </c>
      <c r="C39" s="3106"/>
      <c r="D39" s="3106"/>
      <c r="E39" s="3106"/>
      <c r="F39" s="3067"/>
      <c r="G39" s="3107" t="s">
        <v>2649</v>
      </c>
      <c r="H39" s="3108"/>
      <c r="I39" s="3108"/>
      <c r="J39" s="3108"/>
      <c r="K39" s="3067"/>
      <c r="L39" s="3129"/>
      <c r="M39" s="3130"/>
      <c r="N39" s="3130"/>
      <c r="O39" s="3130"/>
      <c r="P39" s="3131"/>
      <c r="Q39" s="3129"/>
      <c r="R39" s="3130"/>
      <c r="S39" s="3130"/>
      <c r="T39" s="3130"/>
      <c r="U39" s="3131"/>
      <c r="V39" s="3129"/>
      <c r="W39" s="3130"/>
      <c r="X39" s="3130"/>
      <c r="Y39" s="3130"/>
      <c r="Z39" s="3131"/>
      <c r="AA39" s="3129"/>
      <c r="AB39" s="3130"/>
      <c r="AC39" s="3130"/>
      <c r="AD39" s="3130"/>
      <c r="AE39" s="3131"/>
      <c r="AF39" s="3112"/>
      <c r="AG39" s="3113"/>
      <c r="AH39" s="3113"/>
      <c r="AI39" s="3114"/>
      <c r="AJ39" s="3015"/>
    </row>
    <row r="40" spans="2:36" ht="20.100000000000001" customHeight="1">
      <c r="B40" s="3074"/>
      <c r="C40" s="3075" t="s">
        <v>2599</v>
      </c>
      <c r="D40" s="3076"/>
      <c r="E40" s="3076"/>
      <c r="F40" s="3090" t="s">
        <v>2600</v>
      </c>
      <c r="G40" s="3124"/>
      <c r="H40" s="3089" t="s">
        <v>2650</v>
      </c>
      <c r="I40" s="3089"/>
      <c r="J40" s="3089"/>
      <c r="K40" s="3094" t="s">
        <v>35</v>
      </c>
      <c r="L40" s="3132"/>
      <c r="M40" s="3133"/>
      <c r="N40" s="3134"/>
      <c r="O40" s="3133"/>
      <c r="P40" s="3135"/>
      <c r="Q40" s="3132"/>
      <c r="R40" s="3133"/>
      <c r="S40" s="3134"/>
      <c r="T40" s="3133"/>
      <c r="U40" s="3135"/>
      <c r="V40" s="3132"/>
      <c r="W40" s="3133"/>
      <c r="X40" s="3134"/>
      <c r="Y40" s="3133"/>
      <c r="Z40" s="3135"/>
      <c r="AA40" s="3132"/>
      <c r="AB40" s="3133"/>
      <c r="AC40" s="3134"/>
      <c r="AD40" s="3133"/>
      <c r="AE40" s="3135"/>
      <c r="AF40" s="3085"/>
      <c r="AG40" s="3120"/>
      <c r="AH40" s="3120"/>
      <c r="AI40" s="3095"/>
      <c r="AJ40" s="3015"/>
    </row>
    <row r="41" spans="2:36" ht="20.100000000000001" customHeight="1">
      <c r="B41" s="3074"/>
      <c r="C41" s="3088" t="s">
        <v>2602</v>
      </c>
      <c r="D41" s="3089"/>
      <c r="E41" s="3089"/>
      <c r="F41" s="3090" t="s">
        <v>2600</v>
      </c>
      <c r="G41" s="3124"/>
      <c r="H41" s="3089" t="s">
        <v>2651</v>
      </c>
      <c r="I41" s="3089"/>
      <c r="J41" s="3089"/>
      <c r="K41" s="3094" t="s">
        <v>35</v>
      </c>
      <c r="L41" s="3132"/>
      <c r="M41" s="3133"/>
      <c r="N41" s="3134"/>
      <c r="O41" s="3133"/>
      <c r="P41" s="3135"/>
      <c r="Q41" s="3132"/>
      <c r="R41" s="3133"/>
      <c r="S41" s="3134"/>
      <c r="T41" s="3133"/>
      <c r="U41" s="3135"/>
      <c r="V41" s="3132"/>
      <c r="W41" s="3133"/>
      <c r="X41" s="3134"/>
      <c r="Y41" s="3133"/>
      <c r="Z41" s="3135"/>
      <c r="AA41" s="3132"/>
      <c r="AB41" s="3133"/>
      <c r="AC41" s="3134"/>
      <c r="AD41" s="3133"/>
      <c r="AE41" s="3135"/>
      <c r="AF41" s="3085"/>
      <c r="AG41" s="3120"/>
      <c r="AH41" s="3120"/>
      <c r="AI41" s="3095"/>
      <c r="AJ41" s="3015"/>
    </row>
    <row r="42" spans="2:36" ht="20.100000000000001" customHeight="1">
      <c r="B42" s="3096"/>
      <c r="C42" s="3088" t="s">
        <v>2604</v>
      </c>
      <c r="D42" s="3089"/>
      <c r="E42" s="3089"/>
      <c r="F42" s="3090" t="s">
        <v>2600</v>
      </c>
      <c r="G42" s="3124"/>
      <c r="H42" s="3089" t="s">
        <v>2652</v>
      </c>
      <c r="I42" s="3089"/>
      <c r="J42" s="3089"/>
      <c r="K42" s="3094" t="s">
        <v>35</v>
      </c>
      <c r="L42" s="3132"/>
      <c r="M42" s="3133"/>
      <c r="N42" s="3134"/>
      <c r="O42" s="3133"/>
      <c r="P42" s="3135"/>
      <c r="Q42" s="3132"/>
      <c r="R42" s="3133"/>
      <c r="S42" s="3134"/>
      <c r="T42" s="3133"/>
      <c r="U42" s="3135"/>
      <c r="V42" s="3132"/>
      <c r="W42" s="3133"/>
      <c r="X42" s="3134"/>
      <c r="Y42" s="3133"/>
      <c r="Z42" s="3135"/>
      <c r="AA42" s="3132"/>
      <c r="AB42" s="3133"/>
      <c r="AC42" s="3134"/>
      <c r="AD42" s="3133"/>
      <c r="AE42" s="3135"/>
      <c r="AF42" s="3085"/>
      <c r="AG42" s="3120"/>
      <c r="AH42" s="3120"/>
      <c r="AI42" s="3095"/>
      <c r="AJ42" s="3015"/>
    </row>
    <row r="43" spans="2:36" ht="20.100000000000001" customHeight="1">
      <c r="B43" s="3074"/>
      <c r="C43" s="3088" t="s">
        <v>2606</v>
      </c>
      <c r="D43" s="3089"/>
      <c r="E43" s="3089"/>
      <c r="F43" s="3090" t="s">
        <v>2600</v>
      </c>
      <c r="G43" s="3124"/>
      <c r="H43" s="3089" t="s">
        <v>2653</v>
      </c>
      <c r="I43" s="3089"/>
      <c r="J43" s="3089"/>
      <c r="K43" s="3094" t="s">
        <v>35</v>
      </c>
      <c r="L43" s="3132"/>
      <c r="M43" s="3133"/>
      <c r="N43" s="3134"/>
      <c r="O43" s="3133"/>
      <c r="P43" s="3135"/>
      <c r="Q43" s="3132"/>
      <c r="R43" s="3133"/>
      <c r="S43" s="3134"/>
      <c r="T43" s="3133"/>
      <c r="U43" s="3135"/>
      <c r="V43" s="3132"/>
      <c r="W43" s="3133"/>
      <c r="X43" s="3134"/>
      <c r="Y43" s="3133"/>
      <c r="Z43" s="3135"/>
      <c r="AA43" s="3132"/>
      <c r="AB43" s="3133"/>
      <c r="AC43" s="3134"/>
      <c r="AD43" s="3133"/>
      <c r="AE43" s="3135"/>
      <c r="AF43" s="3085"/>
      <c r="AG43" s="3120"/>
      <c r="AH43" s="3120"/>
      <c r="AI43" s="3095"/>
      <c r="AJ43" s="3015"/>
    </row>
    <row r="44" spans="2:36" ht="20.100000000000001" customHeight="1">
      <c r="B44" s="3074"/>
      <c r="C44" s="3088" t="s">
        <v>2608</v>
      </c>
      <c r="D44" s="3089"/>
      <c r="E44" s="3089"/>
      <c r="F44" s="3090" t="s">
        <v>2600</v>
      </c>
      <c r="G44" s="3124"/>
      <c r="H44" s="3089" t="s">
        <v>2654</v>
      </c>
      <c r="I44" s="3089"/>
      <c r="J44" s="3089"/>
      <c r="K44" s="3094" t="s">
        <v>35</v>
      </c>
      <c r="L44" s="3132"/>
      <c r="M44" s="3133"/>
      <c r="N44" s="3134"/>
      <c r="O44" s="3133"/>
      <c r="P44" s="3135"/>
      <c r="Q44" s="3132"/>
      <c r="R44" s="3133"/>
      <c r="S44" s="3134"/>
      <c r="T44" s="3133"/>
      <c r="U44" s="3135"/>
      <c r="V44" s="3132"/>
      <c r="W44" s="3133"/>
      <c r="X44" s="3134"/>
      <c r="Y44" s="3133"/>
      <c r="Z44" s="3135"/>
      <c r="AA44" s="3132"/>
      <c r="AB44" s="3133"/>
      <c r="AC44" s="3134"/>
      <c r="AD44" s="3133"/>
      <c r="AE44" s="3135"/>
      <c r="AF44" s="3085"/>
      <c r="AG44" s="3120"/>
      <c r="AH44" s="3120"/>
      <c r="AI44" s="3095"/>
      <c r="AJ44" s="3015"/>
    </row>
    <row r="45" spans="2:36" ht="20.100000000000001" customHeight="1">
      <c r="B45" s="3096"/>
      <c r="C45" s="3088" t="s">
        <v>2610</v>
      </c>
      <c r="D45" s="3089"/>
      <c r="E45" s="3089"/>
      <c r="F45" s="3115" t="s">
        <v>2600</v>
      </c>
      <c r="G45" s="3091"/>
      <c r="H45" s="3089" t="s">
        <v>2655</v>
      </c>
      <c r="I45" s="3089"/>
      <c r="J45" s="3089"/>
      <c r="K45" s="3119" t="s">
        <v>35</v>
      </c>
      <c r="L45" s="3132"/>
      <c r="M45" s="3133"/>
      <c r="N45" s="3134"/>
      <c r="O45" s="3133"/>
      <c r="P45" s="3135"/>
      <c r="Q45" s="3132"/>
      <c r="R45" s="3133"/>
      <c r="S45" s="3134"/>
      <c r="T45" s="3133"/>
      <c r="U45" s="3135"/>
      <c r="V45" s="3132"/>
      <c r="W45" s="3133"/>
      <c r="X45" s="3134"/>
      <c r="Y45" s="3133"/>
      <c r="Z45" s="3135"/>
      <c r="AA45" s="3132"/>
      <c r="AB45" s="3133"/>
      <c r="AC45" s="3134"/>
      <c r="AD45" s="3133"/>
      <c r="AE45" s="3135"/>
      <c r="AF45" s="3085"/>
      <c r="AG45" s="3120"/>
      <c r="AH45" s="3120"/>
      <c r="AI45" s="3095"/>
      <c r="AJ45" s="3015"/>
    </row>
    <row r="46" spans="2:36" ht="20.100000000000001" customHeight="1">
      <c r="B46" s="3096"/>
      <c r="C46" s="3088" t="s">
        <v>2614</v>
      </c>
      <c r="D46" s="3089"/>
      <c r="E46" s="3089"/>
      <c r="F46" s="3090" t="s">
        <v>2600</v>
      </c>
      <c r="G46" s="3091"/>
      <c r="H46" s="3089" t="s">
        <v>2656</v>
      </c>
      <c r="I46" s="3089"/>
      <c r="J46" s="3089"/>
      <c r="K46" s="3094" t="s">
        <v>35</v>
      </c>
      <c r="L46" s="3132"/>
      <c r="M46" s="3133"/>
      <c r="N46" s="3134"/>
      <c r="O46" s="3133"/>
      <c r="P46" s="3135"/>
      <c r="Q46" s="3132"/>
      <c r="R46" s="3133"/>
      <c r="S46" s="3134"/>
      <c r="T46" s="3133"/>
      <c r="U46" s="3135"/>
      <c r="V46" s="3132"/>
      <c r="W46" s="3133"/>
      <c r="X46" s="3134"/>
      <c r="Y46" s="3133"/>
      <c r="Z46" s="3135"/>
      <c r="AA46" s="3132"/>
      <c r="AB46" s="3133"/>
      <c r="AC46" s="3134"/>
      <c r="AD46" s="3133"/>
      <c r="AE46" s="3135"/>
      <c r="AF46" s="3085"/>
      <c r="AG46" s="3120"/>
      <c r="AH46" s="3120"/>
      <c r="AI46" s="3095"/>
      <c r="AJ46" s="3015"/>
    </row>
    <row r="47" spans="2:36" ht="20.100000000000001" customHeight="1" thickBot="1">
      <c r="B47" s="3074"/>
      <c r="C47" s="3099" t="s">
        <v>2616</v>
      </c>
      <c r="D47" s="3100"/>
      <c r="E47" s="3100"/>
      <c r="F47" s="3090" t="s">
        <v>2600</v>
      </c>
      <c r="G47" s="3091"/>
      <c r="H47" s="3089" t="s">
        <v>2657</v>
      </c>
      <c r="I47" s="3089"/>
      <c r="J47" s="3089"/>
      <c r="K47" s="3094" t="s">
        <v>35</v>
      </c>
      <c r="L47" s="3132"/>
      <c r="M47" s="3133"/>
      <c r="N47" s="3134"/>
      <c r="O47" s="3133"/>
      <c r="P47" s="3135"/>
      <c r="Q47" s="3132"/>
      <c r="R47" s="3133"/>
      <c r="S47" s="3134"/>
      <c r="T47" s="3133"/>
      <c r="U47" s="3135"/>
      <c r="V47" s="3132"/>
      <c r="W47" s="3133"/>
      <c r="X47" s="3134"/>
      <c r="Y47" s="3133"/>
      <c r="Z47" s="3135"/>
      <c r="AA47" s="3132"/>
      <c r="AB47" s="3133"/>
      <c r="AC47" s="3134"/>
      <c r="AD47" s="3133"/>
      <c r="AE47" s="3135"/>
      <c r="AF47" s="3085"/>
      <c r="AG47" s="3120"/>
      <c r="AH47" s="3120"/>
      <c r="AI47" s="3095"/>
      <c r="AJ47" s="3015"/>
    </row>
    <row r="48" spans="2:36" ht="27" thickBot="1">
      <c r="B48" s="3105" t="s">
        <v>2658</v>
      </c>
      <c r="C48" s="3106"/>
      <c r="D48" s="3106"/>
      <c r="E48" s="3106"/>
      <c r="F48" s="3067"/>
      <c r="G48" s="3136" t="s">
        <v>2659</v>
      </c>
      <c r="H48" s="3108"/>
      <c r="I48" s="3108"/>
      <c r="J48" s="3108"/>
      <c r="K48" s="3067"/>
      <c r="L48" s="3109"/>
      <c r="M48" s="3110"/>
      <c r="N48" s="3110"/>
      <c r="O48" s="3110"/>
      <c r="P48" s="3111"/>
      <c r="Q48" s="3109"/>
      <c r="R48" s="3110"/>
      <c r="S48" s="3110"/>
      <c r="T48" s="3110"/>
      <c r="U48" s="3111"/>
      <c r="V48" s="3109"/>
      <c r="W48" s="3110"/>
      <c r="X48" s="3110"/>
      <c r="Y48" s="3110"/>
      <c r="Z48" s="3111"/>
      <c r="AA48" s="3109"/>
      <c r="AB48" s="3110"/>
      <c r="AC48" s="3110"/>
      <c r="AD48" s="3110"/>
      <c r="AE48" s="3111"/>
      <c r="AF48" s="3112"/>
      <c r="AG48" s="3113"/>
      <c r="AH48" s="3113"/>
      <c r="AI48" s="3114"/>
      <c r="AJ48" s="3015"/>
    </row>
    <row r="49" spans="2:36" ht="20.100000000000001" customHeight="1">
      <c r="B49" s="3096"/>
      <c r="C49" s="3075" t="s">
        <v>2620</v>
      </c>
      <c r="D49" s="3076"/>
      <c r="E49" s="3076"/>
      <c r="F49" s="3090" t="s">
        <v>2600</v>
      </c>
      <c r="G49" s="3091"/>
      <c r="H49" s="3089" t="s">
        <v>2660</v>
      </c>
      <c r="I49" s="3089"/>
      <c r="J49" s="3089"/>
      <c r="K49" s="3094" t="s">
        <v>35</v>
      </c>
      <c r="L49" s="3132"/>
      <c r="M49" s="3133"/>
      <c r="N49" s="3134"/>
      <c r="O49" s="3133"/>
      <c r="P49" s="3135"/>
      <c r="Q49" s="3132"/>
      <c r="R49" s="3133"/>
      <c r="S49" s="3134"/>
      <c r="T49" s="3133"/>
      <c r="U49" s="3135"/>
      <c r="V49" s="3132"/>
      <c r="W49" s="3133"/>
      <c r="X49" s="3134"/>
      <c r="Y49" s="3133"/>
      <c r="Z49" s="3135"/>
      <c r="AA49" s="3132"/>
      <c r="AB49" s="3133"/>
      <c r="AC49" s="3134"/>
      <c r="AD49" s="3133"/>
      <c r="AE49" s="3135"/>
      <c r="AF49" s="3085"/>
      <c r="AG49" s="3120"/>
      <c r="AH49" s="3120"/>
      <c r="AI49" s="3137"/>
      <c r="AJ49" s="3015"/>
    </row>
    <row r="50" spans="2:36" ht="20.100000000000001" customHeight="1">
      <c r="B50" s="3074"/>
      <c r="C50" s="3088" t="s">
        <v>2626</v>
      </c>
      <c r="D50" s="3089"/>
      <c r="E50" s="3089"/>
      <c r="F50" s="3090" t="s">
        <v>2600</v>
      </c>
      <c r="G50" s="3091"/>
      <c r="H50" s="3089" t="s">
        <v>2661</v>
      </c>
      <c r="I50" s="3089"/>
      <c r="J50" s="3089"/>
      <c r="K50" s="3094" t="s">
        <v>35</v>
      </c>
      <c r="L50" s="3132"/>
      <c r="M50" s="3133"/>
      <c r="N50" s="3134"/>
      <c r="O50" s="3133"/>
      <c r="P50" s="3135"/>
      <c r="Q50" s="3132"/>
      <c r="R50" s="3133"/>
      <c r="S50" s="3134"/>
      <c r="T50" s="3133"/>
      <c r="U50" s="3135"/>
      <c r="V50" s="3132"/>
      <c r="W50" s="3133"/>
      <c r="X50" s="3134"/>
      <c r="Y50" s="3133"/>
      <c r="Z50" s="3135"/>
      <c r="AA50" s="3132"/>
      <c r="AB50" s="3133"/>
      <c r="AC50" s="3134"/>
      <c r="AD50" s="3133"/>
      <c r="AE50" s="3135"/>
      <c r="AF50" s="3085"/>
      <c r="AG50" s="3120"/>
      <c r="AH50" s="3120"/>
      <c r="AI50" s="3137"/>
      <c r="AJ50" s="3015"/>
    </row>
    <row r="51" spans="2:36" ht="20.100000000000001" customHeight="1">
      <c r="B51" s="3096"/>
      <c r="C51" s="3088" t="s">
        <v>2628</v>
      </c>
      <c r="D51" s="3089"/>
      <c r="E51" s="3089"/>
      <c r="F51" s="3090" t="s">
        <v>2600</v>
      </c>
      <c r="G51" s="3091"/>
      <c r="H51" s="3089" t="s">
        <v>2662</v>
      </c>
      <c r="I51" s="3089"/>
      <c r="J51" s="3089"/>
      <c r="K51" s="3094" t="s">
        <v>35</v>
      </c>
      <c r="L51" s="3132"/>
      <c r="M51" s="3133"/>
      <c r="N51" s="3134"/>
      <c r="O51" s="3133"/>
      <c r="P51" s="3135"/>
      <c r="Q51" s="3132"/>
      <c r="R51" s="3133"/>
      <c r="S51" s="3134"/>
      <c r="T51" s="3133"/>
      <c r="U51" s="3135"/>
      <c r="V51" s="3132"/>
      <c r="W51" s="3133"/>
      <c r="X51" s="3134"/>
      <c r="Y51" s="3133"/>
      <c r="Z51" s="3135"/>
      <c r="AA51" s="3132"/>
      <c r="AB51" s="3133"/>
      <c r="AC51" s="3134"/>
      <c r="AD51" s="3133"/>
      <c r="AE51" s="3135"/>
      <c r="AF51" s="3085"/>
      <c r="AG51" s="3120"/>
      <c r="AH51" s="3120"/>
      <c r="AI51" s="3137"/>
      <c r="AJ51" s="3015"/>
    </row>
    <row r="52" spans="2:36" ht="20.100000000000001" customHeight="1">
      <c r="B52" s="3096"/>
      <c r="C52" s="3088" t="s">
        <v>2630</v>
      </c>
      <c r="D52" s="3089"/>
      <c r="E52" s="3089"/>
      <c r="F52" s="3090" t="s">
        <v>2600</v>
      </c>
      <c r="G52" s="3091"/>
      <c r="H52" s="3089" t="s">
        <v>2663</v>
      </c>
      <c r="I52" s="3089"/>
      <c r="J52" s="3089"/>
      <c r="K52" s="3094" t="s">
        <v>35</v>
      </c>
      <c r="L52" s="3132"/>
      <c r="M52" s="3133"/>
      <c r="N52" s="3134"/>
      <c r="O52" s="3133"/>
      <c r="P52" s="3135"/>
      <c r="Q52" s="3132"/>
      <c r="R52" s="3133"/>
      <c r="S52" s="3134"/>
      <c r="T52" s="3133"/>
      <c r="U52" s="3135"/>
      <c r="V52" s="3132"/>
      <c r="W52" s="3133"/>
      <c r="X52" s="3134"/>
      <c r="Y52" s="3133"/>
      <c r="Z52" s="3135"/>
      <c r="AA52" s="3132"/>
      <c r="AB52" s="3133"/>
      <c r="AC52" s="3134"/>
      <c r="AD52" s="3133"/>
      <c r="AE52" s="3135"/>
      <c r="AF52" s="3085"/>
      <c r="AG52" s="3120"/>
      <c r="AH52" s="3120"/>
      <c r="AI52" s="3137"/>
      <c r="AJ52" s="3015"/>
    </row>
    <row r="53" spans="2:36" ht="20.100000000000001" customHeight="1">
      <c r="B53" s="3096"/>
      <c r="C53" s="3088" t="s">
        <v>2664</v>
      </c>
      <c r="D53" s="3089"/>
      <c r="E53" s="3089"/>
      <c r="F53" s="3090" t="s">
        <v>2600</v>
      </c>
      <c r="G53" s="3091"/>
      <c r="H53" s="3089" t="s">
        <v>2665</v>
      </c>
      <c r="I53" s="3089"/>
      <c r="J53" s="3089"/>
      <c r="K53" s="3094" t="s">
        <v>35</v>
      </c>
      <c r="L53" s="3132"/>
      <c r="M53" s="3133"/>
      <c r="N53" s="3134"/>
      <c r="O53" s="3133"/>
      <c r="P53" s="3135"/>
      <c r="Q53" s="3132"/>
      <c r="R53" s="3133"/>
      <c r="S53" s="3134"/>
      <c r="T53" s="3133"/>
      <c r="U53" s="3135"/>
      <c r="V53" s="3132"/>
      <c r="W53" s="3133"/>
      <c r="X53" s="3134"/>
      <c r="Y53" s="3133"/>
      <c r="Z53" s="3135"/>
      <c r="AA53" s="3132"/>
      <c r="AB53" s="3133"/>
      <c r="AC53" s="3134"/>
      <c r="AD53" s="3133"/>
      <c r="AE53" s="3135"/>
      <c r="AF53" s="3085"/>
      <c r="AG53" s="3120"/>
      <c r="AH53" s="3120"/>
      <c r="AI53" s="3137"/>
      <c r="AJ53" s="3015"/>
    </row>
    <row r="54" spans="2:36" ht="20.100000000000001" customHeight="1">
      <c r="B54" s="3096"/>
      <c r="C54" s="3088" t="s">
        <v>2632</v>
      </c>
      <c r="D54" s="3089"/>
      <c r="E54" s="3089"/>
      <c r="F54" s="3090" t="s">
        <v>2600</v>
      </c>
      <c r="G54" s="3091"/>
      <c r="H54" s="3089" t="s">
        <v>2666</v>
      </c>
      <c r="I54" s="3089"/>
      <c r="J54" s="3089"/>
      <c r="K54" s="3094" t="s">
        <v>35</v>
      </c>
      <c r="L54" s="3132"/>
      <c r="M54" s="3133"/>
      <c r="N54" s="3134"/>
      <c r="O54" s="3133"/>
      <c r="P54" s="3135"/>
      <c r="Q54" s="3132"/>
      <c r="R54" s="3133"/>
      <c r="S54" s="3134"/>
      <c r="T54" s="3133"/>
      <c r="U54" s="3135"/>
      <c r="V54" s="3132"/>
      <c r="W54" s="3133"/>
      <c r="X54" s="3134"/>
      <c r="Y54" s="3133"/>
      <c r="Z54" s="3135"/>
      <c r="AA54" s="3132"/>
      <c r="AB54" s="3133"/>
      <c r="AC54" s="3134"/>
      <c r="AD54" s="3133"/>
      <c r="AE54" s="3135"/>
      <c r="AF54" s="3085"/>
      <c r="AG54" s="3120"/>
      <c r="AH54" s="3120"/>
      <c r="AI54" s="3137"/>
      <c r="AJ54" s="3015"/>
    </row>
    <row r="55" spans="2:36" ht="20.100000000000001" customHeight="1">
      <c r="B55" s="3074"/>
      <c r="C55" s="3088" t="s">
        <v>2634</v>
      </c>
      <c r="D55" s="3089"/>
      <c r="E55" s="3089"/>
      <c r="F55" s="3090" t="s">
        <v>2600</v>
      </c>
      <c r="G55" s="3091"/>
      <c r="H55" s="3089" t="s">
        <v>2667</v>
      </c>
      <c r="I55" s="3089"/>
      <c r="J55" s="3089"/>
      <c r="K55" s="3094" t="s">
        <v>35</v>
      </c>
      <c r="L55" s="3132"/>
      <c r="M55" s="3133"/>
      <c r="N55" s="3134"/>
      <c r="O55" s="3133"/>
      <c r="P55" s="3135"/>
      <c r="Q55" s="3132"/>
      <c r="R55" s="3133"/>
      <c r="S55" s="3134"/>
      <c r="T55" s="3133"/>
      <c r="U55" s="3135"/>
      <c r="V55" s="3132"/>
      <c r="W55" s="3133"/>
      <c r="X55" s="3134"/>
      <c r="Y55" s="3133"/>
      <c r="Z55" s="3135"/>
      <c r="AA55" s="3132"/>
      <c r="AB55" s="3133"/>
      <c r="AC55" s="3134"/>
      <c r="AD55" s="3133"/>
      <c r="AE55" s="3135"/>
      <c r="AF55" s="3085"/>
      <c r="AG55" s="3120"/>
      <c r="AH55" s="3120"/>
      <c r="AI55" s="3137"/>
      <c r="AJ55" s="3015"/>
    </row>
    <row r="56" spans="2:36" ht="20.100000000000001" customHeight="1">
      <c r="B56" s="3074"/>
      <c r="C56" s="3088" t="s">
        <v>2636</v>
      </c>
      <c r="D56" s="3089"/>
      <c r="E56" s="3089"/>
      <c r="F56" s="3090" t="s">
        <v>2600</v>
      </c>
      <c r="G56" s="3091"/>
      <c r="H56" s="3089" t="s">
        <v>2668</v>
      </c>
      <c r="I56" s="3089"/>
      <c r="J56" s="3089"/>
      <c r="K56" s="3094" t="s">
        <v>35</v>
      </c>
      <c r="L56" s="3132"/>
      <c r="M56" s="3133"/>
      <c r="N56" s="3134"/>
      <c r="O56" s="3133"/>
      <c r="P56" s="3135"/>
      <c r="Q56" s="3132"/>
      <c r="R56" s="3133"/>
      <c r="S56" s="3134"/>
      <c r="T56" s="3133"/>
      <c r="U56" s="3135"/>
      <c r="V56" s="3132"/>
      <c r="W56" s="3133"/>
      <c r="X56" s="3134"/>
      <c r="Y56" s="3133"/>
      <c r="Z56" s="3135"/>
      <c r="AA56" s="3132"/>
      <c r="AB56" s="3133"/>
      <c r="AC56" s="3134"/>
      <c r="AD56" s="3133"/>
      <c r="AE56" s="3135"/>
      <c r="AF56" s="3085"/>
      <c r="AG56" s="3120"/>
      <c r="AH56" s="3120"/>
      <c r="AI56" s="3137"/>
      <c r="AJ56" s="3015"/>
    </row>
    <row r="57" spans="2:36" ht="20.100000000000001" customHeight="1">
      <c r="B57" s="3096"/>
      <c r="C57" s="3088" t="s">
        <v>2640</v>
      </c>
      <c r="D57" s="3089"/>
      <c r="E57" s="3089"/>
      <c r="F57" s="3090" t="s">
        <v>2600</v>
      </c>
      <c r="G57" s="3091"/>
      <c r="H57" s="3089" t="s">
        <v>2669</v>
      </c>
      <c r="I57" s="3089"/>
      <c r="J57" s="3089"/>
      <c r="K57" s="3094" t="s">
        <v>35</v>
      </c>
      <c r="L57" s="3132"/>
      <c r="M57" s="3133"/>
      <c r="N57" s="3134"/>
      <c r="O57" s="3133"/>
      <c r="P57" s="3135"/>
      <c r="Q57" s="3132"/>
      <c r="R57" s="3133"/>
      <c r="S57" s="3134"/>
      <c r="T57" s="3133"/>
      <c r="U57" s="3135"/>
      <c r="V57" s="3132"/>
      <c r="W57" s="3133"/>
      <c r="X57" s="3134"/>
      <c r="Y57" s="3133"/>
      <c r="Z57" s="3135"/>
      <c r="AA57" s="3132"/>
      <c r="AB57" s="3133"/>
      <c r="AC57" s="3134"/>
      <c r="AD57" s="3133"/>
      <c r="AE57" s="3135"/>
      <c r="AF57" s="3085"/>
      <c r="AG57" s="3120"/>
      <c r="AH57" s="3120"/>
      <c r="AI57" s="3137"/>
      <c r="AJ57" s="3015"/>
    </row>
    <row r="58" spans="2:36" ht="20.100000000000001" customHeight="1">
      <c r="B58" s="3096"/>
      <c r="C58" s="3138" t="s">
        <v>2642</v>
      </c>
      <c r="D58" s="3139"/>
      <c r="E58" s="3139"/>
      <c r="F58" s="3090" t="s">
        <v>2600</v>
      </c>
      <c r="G58" s="3091"/>
      <c r="H58" s="3089" t="s">
        <v>2670</v>
      </c>
      <c r="I58" s="3089"/>
      <c r="J58" s="3089"/>
      <c r="K58" s="3140" t="s">
        <v>35</v>
      </c>
      <c r="L58" s="3132"/>
      <c r="M58" s="3133"/>
      <c r="N58" s="3134"/>
      <c r="O58" s="3133"/>
      <c r="P58" s="3135"/>
      <c r="Q58" s="3132"/>
      <c r="R58" s="3133"/>
      <c r="S58" s="3134"/>
      <c r="T58" s="3133"/>
      <c r="U58" s="3135"/>
      <c r="V58" s="3132"/>
      <c r="W58" s="3133"/>
      <c r="X58" s="3134"/>
      <c r="Y58" s="3133"/>
      <c r="Z58" s="3135"/>
      <c r="AA58" s="3132"/>
      <c r="AB58" s="3133"/>
      <c r="AC58" s="3134"/>
      <c r="AD58" s="3133"/>
      <c r="AE58" s="3135"/>
      <c r="AF58" s="3085"/>
      <c r="AG58" s="3120"/>
      <c r="AH58" s="3120"/>
      <c r="AI58" s="3137"/>
      <c r="AJ58" s="3015"/>
    </row>
    <row r="59" spans="2:36" ht="20.100000000000001" customHeight="1">
      <c r="B59" s="3096"/>
      <c r="C59" s="3138" t="s">
        <v>2671</v>
      </c>
      <c r="D59" s="3139"/>
      <c r="E59" s="3139"/>
      <c r="F59" s="3090" t="s">
        <v>2600</v>
      </c>
      <c r="G59" s="3091"/>
      <c r="H59" s="3089" t="s">
        <v>2672</v>
      </c>
      <c r="I59" s="3089"/>
      <c r="J59" s="3089"/>
      <c r="K59" s="3140" t="s">
        <v>35</v>
      </c>
      <c r="L59" s="3132"/>
      <c r="M59" s="3133"/>
      <c r="N59" s="3134"/>
      <c r="O59" s="3133"/>
      <c r="P59" s="3135"/>
      <c r="Q59" s="3132"/>
      <c r="R59" s="3133"/>
      <c r="S59" s="3134"/>
      <c r="T59" s="3133"/>
      <c r="U59" s="3135"/>
      <c r="V59" s="3132"/>
      <c r="W59" s="3133"/>
      <c r="X59" s="3134"/>
      <c r="Y59" s="3133"/>
      <c r="Z59" s="3135"/>
      <c r="AA59" s="3132"/>
      <c r="AB59" s="3133"/>
      <c r="AC59" s="3134"/>
      <c r="AD59" s="3133"/>
      <c r="AE59" s="3135"/>
      <c r="AF59" s="3085"/>
      <c r="AG59" s="3120"/>
      <c r="AH59" s="3120"/>
      <c r="AI59" s="3137"/>
      <c r="AJ59" s="3015"/>
    </row>
    <row r="60" spans="2:36" ht="20.100000000000001" customHeight="1">
      <c r="B60" s="3096"/>
      <c r="C60" s="3138" t="s">
        <v>2644</v>
      </c>
      <c r="D60" s="3139"/>
      <c r="E60" s="3139"/>
      <c r="F60" s="3090" t="s">
        <v>2600</v>
      </c>
      <c r="G60" s="3091"/>
      <c r="H60" s="3089" t="s">
        <v>2673</v>
      </c>
      <c r="I60" s="3089"/>
      <c r="J60" s="3089"/>
      <c r="K60" s="3141" t="s">
        <v>35</v>
      </c>
      <c r="L60" s="3132"/>
      <c r="M60" s="3133"/>
      <c r="N60" s="3134"/>
      <c r="O60" s="3133"/>
      <c r="P60" s="3135"/>
      <c r="Q60" s="3132"/>
      <c r="R60" s="3133"/>
      <c r="S60" s="3134"/>
      <c r="T60" s="3133"/>
      <c r="U60" s="3135"/>
      <c r="V60" s="3132"/>
      <c r="W60" s="3133"/>
      <c r="X60" s="3134"/>
      <c r="Y60" s="3133"/>
      <c r="Z60" s="3135"/>
      <c r="AA60" s="3132"/>
      <c r="AB60" s="3133"/>
      <c r="AC60" s="3134"/>
      <c r="AD60" s="3133"/>
      <c r="AE60" s="3135"/>
      <c r="AF60" s="3085"/>
      <c r="AG60" s="3120"/>
      <c r="AH60" s="3120"/>
      <c r="AI60" s="3137"/>
      <c r="AJ60" s="3015"/>
    </row>
    <row r="61" spans="2:36" ht="20.100000000000001" customHeight="1">
      <c r="B61" s="3096"/>
      <c r="C61" s="3138" t="s">
        <v>2646</v>
      </c>
      <c r="D61" s="3139"/>
      <c r="E61" s="3139"/>
      <c r="F61" s="3090" t="s">
        <v>2600</v>
      </c>
      <c r="G61" s="3091"/>
      <c r="H61" s="3089" t="s">
        <v>2674</v>
      </c>
      <c r="I61" s="3089"/>
      <c r="J61" s="3089"/>
      <c r="K61" s="3142" t="s">
        <v>35</v>
      </c>
      <c r="L61" s="3132"/>
      <c r="M61" s="3133"/>
      <c r="N61" s="3134"/>
      <c r="O61" s="3133"/>
      <c r="P61" s="3135"/>
      <c r="Q61" s="3132"/>
      <c r="R61" s="3133"/>
      <c r="S61" s="3134"/>
      <c r="T61" s="3133"/>
      <c r="U61" s="3135"/>
      <c r="V61" s="3132"/>
      <c r="W61" s="3133"/>
      <c r="X61" s="3134"/>
      <c r="Y61" s="3133"/>
      <c r="Z61" s="3135"/>
      <c r="AA61" s="3132"/>
      <c r="AB61" s="3133"/>
      <c r="AC61" s="3134"/>
      <c r="AD61" s="3133"/>
      <c r="AE61" s="3135"/>
      <c r="AF61" s="3085"/>
      <c r="AG61" s="3120"/>
      <c r="AH61" s="3120"/>
      <c r="AI61" s="3137"/>
      <c r="AJ61" s="3015"/>
    </row>
    <row r="62" spans="2:36" ht="20.100000000000001" customHeight="1">
      <c r="B62" s="3096"/>
      <c r="C62" s="3143" t="s">
        <v>2675</v>
      </c>
      <c r="D62" s="3144"/>
      <c r="E62" s="3144"/>
      <c r="F62" s="3145" t="s">
        <v>2676</v>
      </c>
      <c r="G62" s="3146"/>
      <c r="H62" s="3144" t="s">
        <v>2677</v>
      </c>
      <c r="I62" s="3144"/>
      <c r="J62" s="3144"/>
      <c r="K62" s="3147"/>
      <c r="L62" s="3148"/>
      <c r="M62" s="3149"/>
      <c r="N62" s="3150"/>
      <c r="O62" s="3149"/>
      <c r="P62" s="3151"/>
      <c r="Q62" s="3148"/>
      <c r="R62" s="3149"/>
      <c r="S62" s="3152"/>
      <c r="T62" s="3149"/>
      <c r="U62" s="3151"/>
      <c r="V62" s="3148"/>
      <c r="W62" s="3149"/>
      <c r="X62" s="3152"/>
      <c r="Y62" s="3149"/>
      <c r="Z62" s="3151"/>
      <c r="AA62" s="3148"/>
      <c r="AB62" s="3149"/>
      <c r="AC62" s="3150"/>
      <c r="AD62" s="3149"/>
      <c r="AE62" s="3151"/>
      <c r="AF62" s="3085"/>
      <c r="AG62" s="3120"/>
      <c r="AH62" s="3120"/>
      <c r="AI62" s="3137"/>
      <c r="AJ62" s="3015"/>
    </row>
    <row r="63" spans="2:36" ht="20.100000000000001" customHeight="1">
      <c r="B63" s="3074"/>
      <c r="C63" s="3153"/>
      <c r="D63" s="10207" t="s">
        <v>2678</v>
      </c>
      <c r="E63" s="10208"/>
      <c r="F63" s="3090" t="s">
        <v>2679</v>
      </c>
      <c r="G63" s="3091"/>
      <c r="H63" s="3154"/>
      <c r="I63" s="3155" t="s">
        <v>2680</v>
      </c>
      <c r="J63" s="3156"/>
      <c r="K63" s="5566" t="s">
        <v>2681</v>
      </c>
      <c r="L63" s="4287"/>
      <c r="M63" s="3133"/>
      <c r="N63" s="3134" t="s">
        <v>2682</v>
      </c>
      <c r="O63" s="3133"/>
      <c r="P63" s="3135"/>
      <c r="Q63" s="5569" t="s">
        <v>2683</v>
      </c>
      <c r="R63" s="5570"/>
      <c r="S63" s="5569" t="s">
        <v>2684</v>
      </c>
      <c r="T63" s="5570"/>
      <c r="U63" s="5571" t="s">
        <v>2685</v>
      </c>
      <c r="V63" s="3132"/>
      <c r="W63" s="3133"/>
      <c r="X63" s="3157" t="s">
        <v>2686</v>
      </c>
      <c r="Y63" s="3133"/>
      <c r="Z63" s="3135"/>
      <c r="AA63" s="3132"/>
      <c r="AB63" s="3133"/>
      <c r="AC63" s="3134"/>
      <c r="AD63" s="3133"/>
      <c r="AE63" s="3135"/>
      <c r="AF63" s="3085"/>
      <c r="AG63" s="3120"/>
      <c r="AH63" s="3120"/>
      <c r="AI63" s="3137"/>
      <c r="AJ63" s="3015"/>
    </row>
    <row r="64" spans="2:36" ht="33">
      <c r="B64" s="3096"/>
      <c r="C64" s="3158"/>
      <c r="D64" s="10207" t="s">
        <v>2687</v>
      </c>
      <c r="E64" s="10208"/>
      <c r="F64" s="3090" t="s">
        <v>2688</v>
      </c>
      <c r="G64" s="3091"/>
      <c r="H64" s="3159"/>
      <c r="I64" s="3160" t="s">
        <v>2689</v>
      </c>
      <c r="J64" s="3122"/>
      <c r="K64" s="5567" t="s">
        <v>2690</v>
      </c>
      <c r="L64" s="4287"/>
      <c r="M64" s="3133"/>
      <c r="N64" s="3134" t="s">
        <v>2682</v>
      </c>
      <c r="O64" s="3133"/>
      <c r="P64" s="3135"/>
      <c r="Q64" s="5572" t="s">
        <v>2691</v>
      </c>
      <c r="R64" s="5570"/>
      <c r="S64" s="5572" t="s">
        <v>2691</v>
      </c>
      <c r="T64" s="5570"/>
      <c r="U64" s="5571" t="s">
        <v>161</v>
      </c>
      <c r="V64" s="3132"/>
      <c r="W64" s="3133"/>
      <c r="X64" s="3134" t="s">
        <v>2691</v>
      </c>
      <c r="Y64" s="3133"/>
      <c r="Z64" s="3135"/>
      <c r="AA64" s="3132"/>
      <c r="AB64" s="3133"/>
      <c r="AC64" s="3134"/>
      <c r="AD64" s="3133"/>
      <c r="AE64" s="3135"/>
      <c r="AF64" s="3085"/>
      <c r="AG64" s="3120"/>
      <c r="AH64" s="3120"/>
      <c r="AI64" s="3161"/>
      <c r="AJ64" s="3015"/>
    </row>
    <row r="65" spans="1:37" ht="20.100000000000001" customHeight="1">
      <c r="B65" s="3096"/>
      <c r="C65" s="3162"/>
      <c r="D65" s="10207" t="s">
        <v>2692</v>
      </c>
      <c r="E65" s="10208"/>
      <c r="F65" s="3090" t="s">
        <v>2693</v>
      </c>
      <c r="G65" s="3091"/>
      <c r="H65" s="3163"/>
      <c r="I65" s="3160" t="s">
        <v>2694</v>
      </c>
      <c r="J65" s="3122"/>
      <c r="K65" s="5568" t="s">
        <v>2695</v>
      </c>
      <c r="L65" s="4287"/>
      <c r="M65" s="3133"/>
      <c r="N65" s="3134" t="s">
        <v>2682</v>
      </c>
      <c r="O65" s="3133"/>
      <c r="P65" s="3135"/>
      <c r="Q65" s="5572" t="s">
        <v>2696</v>
      </c>
      <c r="R65" s="5570"/>
      <c r="S65" s="5572" t="s">
        <v>2696</v>
      </c>
      <c r="T65" s="5570"/>
      <c r="U65" s="5571" t="s">
        <v>1762</v>
      </c>
      <c r="V65" s="3132"/>
      <c r="W65" s="3133"/>
      <c r="X65" s="3134" t="s">
        <v>2280</v>
      </c>
      <c r="Y65" s="3133"/>
      <c r="Z65" s="3135"/>
      <c r="AA65" s="3132"/>
      <c r="AB65" s="3133"/>
      <c r="AC65" s="3134"/>
      <c r="AD65" s="3133"/>
      <c r="AE65" s="3135"/>
      <c r="AF65" s="3085"/>
      <c r="AG65" s="3120"/>
      <c r="AH65" s="3120"/>
      <c r="AI65" s="3161"/>
      <c r="AJ65" s="3015"/>
    </row>
    <row r="66" spans="1:37" ht="20.100000000000001" customHeight="1">
      <c r="B66" s="3096"/>
      <c r="C66" s="3143" t="s">
        <v>2697</v>
      </c>
      <c r="D66" s="3144"/>
      <c r="E66" s="3144"/>
      <c r="F66" s="3145" t="s">
        <v>2676</v>
      </c>
      <c r="G66" s="3146"/>
      <c r="H66" s="3144" t="s">
        <v>2698</v>
      </c>
      <c r="I66" s="3144"/>
      <c r="J66" s="3144"/>
      <c r="K66" s="3147" t="s">
        <v>2676</v>
      </c>
      <c r="L66" s="3148"/>
      <c r="M66" s="3149"/>
      <c r="N66" s="3150"/>
      <c r="O66" s="3149"/>
      <c r="P66" s="3151"/>
      <c r="Q66" s="3148"/>
      <c r="R66" s="3149"/>
      <c r="S66" s="3150"/>
      <c r="T66" s="3149"/>
      <c r="U66" s="3151"/>
      <c r="V66" s="3148"/>
      <c r="W66" s="3149"/>
      <c r="X66" s="3150"/>
      <c r="Y66" s="3149"/>
      <c r="Z66" s="3151"/>
      <c r="AA66" s="3148"/>
      <c r="AB66" s="3149"/>
      <c r="AC66" s="3150"/>
      <c r="AD66" s="3149"/>
      <c r="AE66" s="3151"/>
      <c r="AF66" s="3085"/>
      <c r="AG66" s="3120"/>
      <c r="AH66" s="3120"/>
      <c r="AI66" s="3161"/>
      <c r="AJ66" s="3015"/>
    </row>
    <row r="67" spans="1:37" ht="20.100000000000001" customHeight="1">
      <c r="B67" s="3096"/>
      <c r="C67" s="3165"/>
      <c r="D67" s="3166" t="s">
        <v>2699</v>
      </c>
      <c r="E67" s="3167"/>
      <c r="F67" s="3090" t="s">
        <v>2600</v>
      </c>
      <c r="G67" s="3091"/>
      <c r="H67" s="3008"/>
      <c r="I67" s="3160" t="s">
        <v>2700</v>
      </c>
      <c r="J67" s="3122"/>
      <c r="K67" s="3164" t="s">
        <v>35</v>
      </c>
      <c r="L67" s="3132"/>
      <c r="M67" s="3133"/>
      <c r="N67" s="3134"/>
      <c r="O67" s="3133"/>
      <c r="P67" s="3135"/>
      <c r="Q67" s="3132"/>
      <c r="R67" s="3133"/>
      <c r="S67" s="3134"/>
      <c r="T67" s="3133"/>
      <c r="U67" s="3135">
        <v>0</v>
      </c>
      <c r="V67" s="3132"/>
      <c r="W67" s="3133"/>
      <c r="X67" s="3134"/>
      <c r="Y67" s="3133"/>
      <c r="Z67" s="3135"/>
      <c r="AA67" s="3132"/>
      <c r="AB67" s="3133"/>
      <c r="AC67" s="3134"/>
      <c r="AD67" s="3133"/>
      <c r="AE67" s="3135"/>
      <c r="AF67" s="3085"/>
      <c r="AG67" s="3120"/>
      <c r="AH67" s="3120"/>
      <c r="AI67" s="3161"/>
      <c r="AJ67" s="3015"/>
    </row>
    <row r="68" spans="1:37" ht="20.100000000000001" customHeight="1">
      <c r="B68" s="3096"/>
      <c r="C68" s="3158"/>
      <c r="D68" s="3168" t="s">
        <v>2701</v>
      </c>
      <c r="E68" s="3168"/>
      <c r="F68" s="3090" t="s">
        <v>2600</v>
      </c>
      <c r="G68" s="3091"/>
      <c r="H68" s="3159"/>
      <c r="I68" s="3160" t="s">
        <v>2702</v>
      </c>
      <c r="J68" s="3122"/>
      <c r="K68" s="3164" t="s">
        <v>35</v>
      </c>
      <c r="L68" s="3132"/>
      <c r="M68" s="3133"/>
      <c r="N68" s="3134"/>
      <c r="O68" s="3133"/>
      <c r="P68" s="3135"/>
      <c r="Q68" s="3132"/>
      <c r="R68" s="3133"/>
      <c r="S68" s="3134"/>
      <c r="T68" s="3133"/>
      <c r="U68" s="3135">
        <v>0</v>
      </c>
      <c r="V68" s="3132"/>
      <c r="W68" s="3133"/>
      <c r="X68" s="3134"/>
      <c r="Y68" s="3133"/>
      <c r="Z68" s="3135"/>
      <c r="AA68" s="3132"/>
      <c r="AB68" s="3133"/>
      <c r="AC68" s="3134"/>
      <c r="AD68" s="3133"/>
      <c r="AE68" s="3135"/>
      <c r="AF68" s="3085"/>
      <c r="AG68" s="3120"/>
      <c r="AH68" s="3120"/>
      <c r="AI68" s="3161"/>
      <c r="AJ68" s="3015"/>
    </row>
    <row r="69" spans="1:37" ht="20.100000000000001" customHeight="1">
      <c r="B69" s="3096"/>
      <c r="C69" s="3162"/>
      <c r="D69" s="3168" t="s">
        <v>2703</v>
      </c>
      <c r="E69" s="3169"/>
      <c r="F69" s="3090" t="s">
        <v>2600</v>
      </c>
      <c r="G69" s="3091"/>
      <c r="H69" s="3163"/>
      <c r="I69" s="3170" t="s">
        <v>2704</v>
      </c>
      <c r="J69" s="3156"/>
      <c r="K69" s="3164" t="s">
        <v>35</v>
      </c>
      <c r="L69" s="3132"/>
      <c r="M69" s="3133"/>
      <c r="N69" s="3134"/>
      <c r="O69" s="3133"/>
      <c r="P69" s="3135"/>
      <c r="Q69" s="3132"/>
      <c r="R69" s="3133"/>
      <c r="S69" s="3134"/>
      <c r="T69" s="3133"/>
      <c r="U69" s="3135">
        <v>0</v>
      </c>
      <c r="V69" s="3132"/>
      <c r="W69" s="3133"/>
      <c r="X69" s="3134"/>
      <c r="Y69" s="3133"/>
      <c r="Z69" s="3135"/>
      <c r="AA69" s="3132"/>
      <c r="AB69" s="3133"/>
      <c r="AC69" s="3134"/>
      <c r="AD69" s="3133"/>
      <c r="AE69" s="3135"/>
      <c r="AF69" s="3085"/>
      <c r="AG69" s="3120"/>
      <c r="AH69" s="3120"/>
      <c r="AI69" s="3161"/>
      <c r="AJ69" s="3015"/>
    </row>
    <row r="70" spans="1:37" ht="20.100000000000001" customHeight="1">
      <c r="B70" s="3096"/>
      <c r="C70" s="3143" t="s">
        <v>2705</v>
      </c>
      <c r="D70" s="3144"/>
      <c r="E70" s="3144"/>
      <c r="F70" s="3145" t="s">
        <v>2676</v>
      </c>
      <c r="G70" s="3146"/>
      <c r="H70" s="3144" t="s">
        <v>2706</v>
      </c>
      <c r="I70" s="3144"/>
      <c r="J70" s="3144"/>
      <c r="K70" s="3147" t="s">
        <v>2676</v>
      </c>
      <c r="L70" s="3148"/>
      <c r="M70" s="3149"/>
      <c r="N70" s="3150"/>
      <c r="O70" s="3149"/>
      <c r="P70" s="3151"/>
      <c r="Q70" s="3148"/>
      <c r="R70" s="3149"/>
      <c r="S70" s="3150"/>
      <c r="T70" s="3149"/>
      <c r="U70" s="3151"/>
      <c r="V70" s="3148"/>
      <c r="W70" s="3149"/>
      <c r="X70" s="3150"/>
      <c r="Y70" s="3149"/>
      <c r="Z70" s="3151"/>
      <c r="AA70" s="3148"/>
      <c r="AB70" s="3149"/>
      <c r="AC70" s="3150"/>
      <c r="AD70" s="3149"/>
      <c r="AE70" s="3151"/>
      <c r="AF70" s="3085"/>
      <c r="AG70" s="3120"/>
      <c r="AH70" s="3120"/>
      <c r="AI70" s="3161"/>
      <c r="AJ70" s="3015"/>
    </row>
    <row r="71" spans="1:37" ht="20.100000000000001" customHeight="1">
      <c r="B71" s="3096"/>
      <c r="C71" s="3165"/>
      <c r="D71" s="3171" t="s">
        <v>2707</v>
      </c>
      <c r="E71" s="3172"/>
      <c r="F71" s="3090" t="s">
        <v>2708</v>
      </c>
      <c r="G71" s="3091"/>
      <c r="H71" s="3008"/>
      <c r="I71" s="3173" t="s">
        <v>2709</v>
      </c>
      <c r="J71" s="3174"/>
      <c r="K71" s="3164" t="s">
        <v>734</v>
      </c>
      <c r="L71" s="3132"/>
      <c r="M71" s="3133"/>
      <c r="N71" s="3134">
        <v>1</v>
      </c>
      <c r="O71" s="3133"/>
      <c r="P71" s="3135"/>
      <c r="Q71" s="3132"/>
      <c r="R71" s="3133"/>
      <c r="S71" s="3134">
        <v>5</v>
      </c>
      <c r="T71" s="3133"/>
      <c r="U71" s="3135"/>
      <c r="V71" s="3132"/>
      <c r="W71" s="3133"/>
      <c r="X71" s="3134">
        <v>7</v>
      </c>
      <c r="Y71" s="3133"/>
      <c r="Z71" s="3135"/>
      <c r="AA71" s="3132"/>
      <c r="AB71" s="3133"/>
      <c r="AC71" s="3134">
        <v>1</v>
      </c>
      <c r="AD71" s="3133"/>
      <c r="AE71" s="3135"/>
      <c r="AF71" s="3085"/>
      <c r="AG71" s="3120"/>
      <c r="AH71" s="3120"/>
      <c r="AI71" s="3161"/>
      <c r="AJ71" s="3015"/>
    </row>
    <row r="72" spans="1:37" ht="20.100000000000001" customHeight="1">
      <c r="B72" s="3096"/>
      <c r="C72" s="3175"/>
      <c r="D72" s="3176" t="s">
        <v>2710</v>
      </c>
      <c r="E72" s="3177"/>
      <c r="F72" s="3090" t="s">
        <v>2708</v>
      </c>
      <c r="G72" s="3091"/>
      <c r="H72" s="3178"/>
      <c r="I72" s="3179" t="s">
        <v>2711</v>
      </c>
      <c r="J72" s="3180"/>
      <c r="K72" s="3164" t="s">
        <v>734</v>
      </c>
      <c r="L72" s="3132"/>
      <c r="M72" s="3133"/>
      <c r="N72" s="3134">
        <v>0</v>
      </c>
      <c r="O72" s="3133"/>
      <c r="P72" s="3135"/>
      <c r="Q72" s="3132"/>
      <c r="R72" s="3133"/>
      <c r="S72" s="3134">
        <v>1</v>
      </c>
      <c r="T72" s="3133"/>
      <c r="U72" s="3135"/>
      <c r="V72" s="3132"/>
      <c r="W72" s="3133"/>
      <c r="X72" s="3134">
        <v>3</v>
      </c>
      <c r="Y72" s="3133"/>
      <c r="Z72" s="3135"/>
      <c r="AA72" s="3132"/>
      <c r="AB72" s="3133"/>
      <c r="AC72" s="3134">
        <v>1</v>
      </c>
      <c r="AD72" s="3133"/>
      <c r="AE72" s="3135"/>
      <c r="AF72" s="3085"/>
      <c r="AG72" s="3120"/>
      <c r="AH72" s="3120"/>
      <c r="AI72" s="3161"/>
      <c r="AJ72" s="3015"/>
    </row>
    <row r="73" spans="1:37" ht="20.100000000000001" customHeight="1">
      <c r="B73" s="3096"/>
      <c r="C73" s="3175"/>
      <c r="D73" s="3176" t="s">
        <v>2712</v>
      </c>
      <c r="E73" s="3177"/>
      <c r="F73" s="3090" t="s">
        <v>2688</v>
      </c>
      <c r="G73" s="3091"/>
      <c r="H73" s="3178"/>
      <c r="I73" s="3181" t="s">
        <v>2713</v>
      </c>
      <c r="J73" s="3182"/>
      <c r="K73" s="3164" t="s">
        <v>2688</v>
      </c>
      <c r="L73" s="3132"/>
      <c r="M73" s="3133"/>
      <c r="N73" s="3134">
        <v>0</v>
      </c>
      <c r="O73" s="3133"/>
      <c r="P73" s="3135"/>
      <c r="Q73" s="3132"/>
      <c r="R73" s="3133"/>
      <c r="S73" s="3134">
        <v>25</v>
      </c>
      <c r="T73" s="3133"/>
      <c r="U73" s="3135"/>
      <c r="V73" s="3132"/>
      <c r="W73" s="3133"/>
      <c r="X73" s="3134">
        <v>43</v>
      </c>
      <c r="Y73" s="3133"/>
      <c r="Z73" s="3135"/>
      <c r="AA73" s="3132"/>
      <c r="AB73" s="3133"/>
      <c r="AC73" s="3134">
        <v>100</v>
      </c>
      <c r="AD73" s="3133"/>
      <c r="AE73" s="3135"/>
      <c r="AF73" s="3085"/>
      <c r="AG73" s="3120"/>
      <c r="AH73" s="3120"/>
      <c r="AI73" s="3161"/>
      <c r="AJ73" s="3015"/>
    </row>
    <row r="74" spans="1:37" ht="20.100000000000001" customHeight="1">
      <c r="B74" s="3096"/>
      <c r="C74" s="3183"/>
      <c r="D74" s="3176" t="s">
        <v>2714</v>
      </c>
      <c r="E74" s="3177"/>
      <c r="F74" s="3090" t="s">
        <v>2688</v>
      </c>
      <c r="G74" s="3091"/>
      <c r="H74" s="3098"/>
      <c r="I74" s="3184" t="s">
        <v>2715</v>
      </c>
      <c r="J74" s="3182"/>
      <c r="K74" s="3185" t="s">
        <v>2688</v>
      </c>
      <c r="L74" s="3132"/>
      <c r="M74" s="3133"/>
      <c r="N74" s="3134">
        <v>0</v>
      </c>
      <c r="O74" s="3133"/>
      <c r="P74" s="3135"/>
      <c r="Q74" s="3132"/>
      <c r="R74" s="3133"/>
      <c r="S74" s="3134">
        <v>0.04</v>
      </c>
      <c r="T74" s="3133"/>
      <c r="U74" s="3135"/>
      <c r="V74" s="3132"/>
      <c r="W74" s="3133"/>
      <c r="X74" s="3134">
        <v>0.7</v>
      </c>
      <c r="Y74" s="3133"/>
      <c r="Z74" s="3135"/>
      <c r="AA74" s="3132"/>
      <c r="AB74" s="3133"/>
      <c r="AC74" s="3134">
        <v>0.4</v>
      </c>
      <c r="AD74" s="3133"/>
      <c r="AE74" s="3135"/>
      <c r="AF74" s="3085"/>
      <c r="AG74" s="3120"/>
      <c r="AH74" s="3120"/>
      <c r="AI74" s="3137"/>
      <c r="AJ74" s="3015"/>
    </row>
    <row r="75" spans="1:37" ht="20.100000000000001" customHeight="1">
      <c r="B75" s="3096"/>
      <c r="C75" s="3143" t="s">
        <v>2716</v>
      </c>
      <c r="D75" s="3144"/>
      <c r="E75" s="3144"/>
      <c r="F75" s="3145" t="s">
        <v>2676</v>
      </c>
      <c r="G75" s="3146"/>
      <c r="H75" s="3144" t="s">
        <v>2717</v>
      </c>
      <c r="I75" s="3144"/>
      <c r="J75" s="3144"/>
      <c r="K75" s="3147" t="s">
        <v>2676</v>
      </c>
      <c r="L75" s="3186"/>
      <c r="M75" s="3187"/>
      <c r="N75" s="3188"/>
      <c r="O75" s="3187"/>
      <c r="P75" s="3189"/>
      <c r="Q75" s="3186"/>
      <c r="R75" s="3187"/>
      <c r="S75" s="3188"/>
      <c r="T75" s="3187"/>
      <c r="U75" s="3189"/>
      <c r="V75" s="3186"/>
      <c r="W75" s="3187"/>
      <c r="X75" s="3188"/>
      <c r="Y75" s="3187"/>
      <c r="Z75" s="3189"/>
      <c r="AA75" s="3186"/>
      <c r="AB75" s="3187"/>
      <c r="AC75" s="3188"/>
      <c r="AD75" s="3187"/>
      <c r="AE75" s="3189"/>
      <c r="AF75" s="3085"/>
      <c r="AG75" s="3190"/>
      <c r="AH75" s="3190"/>
      <c r="AI75" s="3191"/>
      <c r="AJ75" s="3015"/>
    </row>
    <row r="76" spans="1:37" ht="20.100000000000001" customHeight="1">
      <c r="B76" s="3096"/>
      <c r="C76" s="3165"/>
      <c r="D76" s="3192" t="s">
        <v>2718</v>
      </c>
      <c r="E76" s="3193"/>
      <c r="F76" s="3090" t="s">
        <v>2688</v>
      </c>
      <c r="G76" s="3091"/>
      <c r="H76" s="3194"/>
      <c r="I76" s="3195" t="s">
        <v>2719</v>
      </c>
      <c r="J76" s="3196"/>
      <c r="K76" s="3197" t="s">
        <v>2688</v>
      </c>
      <c r="L76" s="3198"/>
      <c r="M76" s="3199"/>
      <c r="N76" s="3200"/>
      <c r="O76" s="3199"/>
      <c r="P76" s="3201"/>
      <c r="Q76" s="3198">
        <v>44.7</v>
      </c>
      <c r="R76" s="3199"/>
      <c r="S76" s="3200"/>
      <c r="T76" s="3199"/>
      <c r="U76" s="3201"/>
      <c r="V76" s="3198">
        <v>50</v>
      </c>
      <c r="W76" s="3199"/>
      <c r="X76" s="3200"/>
      <c r="Y76" s="3199"/>
      <c r="Z76" s="3201"/>
      <c r="AA76" s="3198"/>
      <c r="AB76" s="3199"/>
      <c r="AC76" s="3200"/>
      <c r="AD76" s="3199"/>
      <c r="AE76" s="3201"/>
      <c r="AF76" s="3202"/>
      <c r="AG76" s="3190"/>
      <c r="AH76" s="3190"/>
      <c r="AI76" s="3203"/>
      <c r="AJ76" s="3015"/>
    </row>
    <row r="77" spans="1:37" ht="41.65" customHeight="1" thickBot="1">
      <c r="B77" s="3096"/>
      <c r="C77" s="3204"/>
      <c r="D77" s="3205" t="s">
        <v>2720</v>
      </c>
      <c r="E77" s="3127"/>
      <c r="F77" s="3206" t="s">
        <v>2688</v>
      </c>
      <c r="G77" s="3207"/>
      <c r="H77" s="3208"/>
      <c r="I77" s="3209" t="s">
        <v>2721</v>
      </c>
      <c r="J77" s="3210"/>
      <c r="K77" s="3211" t="s">
        <v>2688</v>
      </c>
      <c r="L77" s="3212">
        <v>100</v>
      </c>
      <c r="M77" s="3213"/>
      <c r="N77" s="3214">
        <v>100</v>
      </c>
      <c r="O77" s="3213"/>
      <c r="P77" s="3215"/>
      <c r="Q77" s="3212"/>
      <c r="R77" s="3213"/>
      <c r="S77" s="3214"/>
      <c r="T77" s="3213"/>
      <c r="U77" s="3215"/>
      <c r="V77" s="3212">
        <v>100</v>
      </c>
      <c r="W77" s="3213"/>
      <c r="X77" s="3214">
        <v>100</v>
      </c>
      <c r="Y77" s="3213"/>
      <c r="Z77" s="3215"/>
      <c r="AA77" s="3212"/>
      <c r="AB77" s="3213"/>
      <c r="AC77" s="3214"/>
      <c r="AD77" s="3213"/>
      <c r="AE77" s="3215"/>
      <c r="AF77" s="3216"/>
      <c r="AG77" s="3217"/>
      <c r="AH77" s="3217"/>
      <c r="AI77" s="3218"/>
      <c r="AJ77" s="3015"/>
    </row>
    <row r="78" spans="1:37" ht="27.75" thickTop="1" thickBot="1">
      <c r="A78" s="3042"/>
      <c r="B78" s="3219" t="s">
        <v>2722</v>
      </c>
      <c r="C78" s="3220" t="s">
        <v>2723</v>
      </c>
      <c r="D78" s="3221"/>
      <c r="E78" s="3221"/>
      <c r="F78" s="3222"/>
      <c r="G78" s="3223" t="s">
        <v>2724</v>
      </c>
      <c r="H78" s="3224"/>
      <c r="I78" s="3224"/>
      <c r="J78" s="3224"/>
      <c r="K78" s="3224"/>
      <c r="L78" s="3225"/>
      <c r="M78" s="3226"/>
      <c r="N78" s="3226"/>
      <c r="O78" s="3226"/>
      <c r="P78" s="3227"/>
      <c r="Q78" s="3225"/>
      <c r="R78" s="3226"/>
      <c r="S78" s="3226"/>
      <c r="T78" s="3226"/>
      <c r="U78" s="3227"/>
      <c r="V78" s="3225"/>
      <c r="W78" s="3226"/>
      <c r="X78" s="3226"/>
      <c r="Y78" s="3226"/>
      <c r="Z78" s="3227"/>
      <c r="AA78" s="3225"/>
      <c r="AB78" s="3226"/>
      <c r="AC78" s="3226"/>
      <c r="AD78" s="3226"/>
      <c r="AE78" s="3227"/>
      <c r="AF78" s="3228"/>
      <c r="AG78" s="3229"/>
      <c r="AH78" s="3229"/>
      <c r="AI78" s="251"/>
      <c r="AJ78" s="3015"/>
      <c r="AK78" s="3044"/>
    </row>
    <row r="79" spans="1:37" ht="27" thickBot="1">
      <c r="B79" s="3219" t="s">
        <v>2722</v>
      </c>
      <c r="C79" s="3105" t="s">
        <v>2725</v>
      </c>
      <c r="D79" s="3106"/>
      <c r="E79" s="3106"/>
      <c r="F79" s="3067"/>
      <c r="G79" s="3107" t="s">
        <v>2726</v>
      </c>
      <c r="H79" s="3108"/>
      <c r="I79" s="3108"/>
      <c r="J79" s="3108"/>
      <c r="K79" s="3067"/>
      <c r="L79" s="3129"/>
      <c r="M79" s="3130"/>
      <c r="N79" s="3130"/>
      <c r="O79" s="3130"/>
      <c r="P79" s="3131"/>
      <c r="Q79" s="3129"/>
      <c r="R79" s="3130"/>
      <c r="S79" s="3130"/>
      <c r="T79" s="3130"/>
      <c r="U79" s="3131"/>
      <c r="V79" s="3129"/>
      <c r="W79" s="3130"/>
      <c r="X79" s="3130"/>
      <c r="Y79" s="3130"/>
      <c r="Z79" s="3131"/>
      <c r="AA79" s="3129"/>
      <c r="AB79" s="3130"/>
      <c r="AC79" s="3130"/>
      <c r="AD79" s="3130"/>
      <c r="AE79" s="3131"/>
      <c r="AF79" s="3112"/>
      <c r="AG79" s="3113"/>
      <c r="AH79" s="3113"/>
      <c r="AI79" s="3114"/>
      <c r="AJ79" s="3015"/>
    </row>
    <row r="80" spans="1:37" ht="19.899999999999999" customHeight="1">
      <c r="B80" s="3219" t="s">
        <v>2722</v>
      </c>
      <c r="C80" s="10209" t="s">
        <v>648</v>
      </c>
      <c r="D80" s="10210"/>
      <c r="E80" s="10210"/>
      <c r="F80" s="3230" t="s">
        <v>212</v>
      </c>
      <c r="G80" s="3231"/>
      <c r="H80" s="3122" t="s">
        <v>2727</v>
      </c>
      <c r="I80" s="3232"/>
      <c r="J80" s="3232"/>
      <c r="K80" s="3233" t="s">
        <v>212</v>
      </c>
      <c r="L80" s="3234"/>
      <c r="M80" s="3235"/>
      <c r="N80" s="3236"/>
      <c r="O80" s="3237"/>
      <c r="P80" s="3238"/>
      <c r="Q80" s="3239"/>
      <c r="R80" s="3237"/>
      <c r="S80" s="3086"/>
      <c r="T80" s="3237"/>
      <c r="U80" s="3238"/>
      <c r="V80" s="3239"/>
      <c r="W80" s="3237"/>
      <c r="X80" s="3086"/>
      <c r="Y80" s="3237"/>
      <c r="Z80" s="3238"/>
      <c r="AA80" s="3239"/>
      <c r="AB80" s="3237"/>
      <c r="AC80" s="3086"/>
      <c r="AD80" s="3237"/>
      <c r="AE80" s="3238"/>
      <c r="AF80" s="3085"/>
      <c r="AG80" s="3120"/>
      <c r="AH80" s="3120"/>
      <c r="AI80" s="3240" t="s">
        <v>2728</v>
      </c>
      <c r="AJ80" s="3015"/>
    </row>
    <row r="81" spans="2:36" ht="19.899999999999999" customHeight="1">
      <c r="B81" s="3241" t="s">
        <v>2722</v>
      </c>
      <c r="C81" s="10211"/>
      <c r="D81" s="3242" t="s">
        <v>210</v>
      </c>
      <c r="E81" s="3242"/>
      <c r="F81" s="3115" t="s">
        <v>212</v>
      </c>
      <c r="G81" s="3243"/>
      <c r="H81" s="3008"/>
      <c r="I81" s="3244" t="s">
        <v>2729</v>
      </c>
      <c r="J81" s="3245"/>
      <c r="K81" s="3119" t="s">
        <v>212</v>
      </c>
      <c r="L81" s="3234"/>
      <c r="M81" s="3246"/>
      <c r="N81" s="3236"/>
      <c r="O81" s="3247"/>
      <c r="P81" s="3238"/>
      <c r="Q81" s="3239"/>
      <c r="R81" s="3247"/>
      <c r="S81" s="3086"/>
      <c r="T81" s="3247"/>
      <c r="U81" s="3238"/>
      <c r="V81" s="3239"/>
      <c r="W81" s="3247"/>
      <c r="X81" s="3086"/>
      <c r="Y81" s="3247"/>
      <c r="Z81" s="3238"/>
      <c r="AA81" s="3239"/>
      <c r="AB81" s="3247"/>
      <c r="AC81" s="3086"/>
      <c r="AD81" s="3247"/>
      <c r="AE81" s="3238"/>
      <c r="AF81" s="3085"/>
      <c r="AG81" s="3120"/>
      <c r="AH81" s="3120"/>
      <c r="AI81" s="3240" t="s">
        <v>2730</v>
      </c>
      <c r="AJ81" s="3015"/>
    </row>
    <row r="82" spans="2:36" ht="19.899999999999999" customHeight="1">
      <c r="B82" s="3219" t="s">
        <v>2722</v>
      </c>
      <c r="C82" s="10212"/>
      <c r="D82" s="3242" t="s">
        <v>1779</v>
      </c>
      <c r="E82" s="3242"/>
      <c r="F82" s="3115" t="s">
        <v>2731</v>
      </c>
      <c r="G82" s="3243"/>
      <c r="H82" s="3008"/>
      <c r="I82" s="3244" t="s">
        <v>2732</v>
      </c>
      <c r="J82" s="3245"/>
      <c r="K82" s="3119" t="s">
        <v>2731</v>
      </c>
      <c r="L82" s="3234"/>
      <c r="M82" s="3246"/>
      <c r="N82" s="3236"/>
      <c r="O82" s="3247"/>
      <c r="P82" s="3238"/>
      <c r="Q82" s="3239"/>
      <c r="R82" s="3247"/>
      <c r="S82" s="3086"/>
      <c r="T82" s="3247"/>
      <c r="U82" s="3238"/>
      <c r="V82" s="3239"/>
      <c r="W82" s="3247"/>
      <c r="X82" s="3086"/>
      <c r="Y82" s="3247"/>
      <c r="Z82" s="3238"/>
      <c r="AA82" s="3239"/>
      <c r="AB82" s="3247"/>
      <c r="AC82" s="3086"/>
      <c r="AD82" s="3247"/>
      <c r="AE82" s="3238"/>
      <c r="AF82" s="3085"/>
      <c r="AG82" s="3120"/>
      <c r="AH82" s="3120"/>
      <c r="AI82" s="3248" t="s">
        <v>2733</v>
      </c>
      <c r="AJ82" s="3015"/>
    </row>
    <row r="83" spans="2:36" ht="20.100000000000001" customHeight="1">
      <c r="B83" s="3219" t="s">
        <v>2722</v>
      </c>
      <c r="C83" s="3249" t="s">
        <v>223</v>
      </c>
      <c r="D83" s="3089"/>
      <c r="E83" s="3089"/>
      <c r="F83" s="3250" t="s">
        <v>2734</v>
      </c>
      <c r="G83" s="3243"/>
      <c r="H83" s="3125" t="s">
        <v>2735</v>
      </c>
      <c r="I83" s="3125"/>
      <c r="J83" s="3126"/>
      <c r="K83" s="3251" t="s">
        <v>2736</v>
      </c>
      <c r="L83" s="3252" t="str">
        <f t="shared" ref="L83" si="0">IFERROR(L84/L85,"-")</f>
        <v>-</v>
      </c>
      <c r="M83" s="3247"/>
      <c r="N83" s="3253" t="str">
        <f>IFERROR(N84/N85,"-")</f>
        <v>-</v>
      </c>
      <c r="O83" s="3247"/>
      <c r="P83" s="3254" t="str">
        <f>IFERROR(P84/P85,"-")</f>
        <v>-</v>
      </c>
      <c r="Q83" s="3252" t="str">
        <f>IFERROR(Q84/Q85,"-")</f>
        <v>-</v>
      </c>
      <c r="R83" s="3247"/>
      <c r="S83" s="3253" t="str">
        <f>IFERROR(S84/S85,"-")</f>
        <v>-</v>
      </c>
      <c r="T83" s="3247"/>
      <c r="U83" s="3254" t="str">
        <f>IFERROR(U84/U85,"-")</f>
        <v>-</v>
      </c>
      <c r="V83" s="3252" t="str">
        <f>IFERROR(V84/V85,"-")</f>
        <v>-</v>
      </c>
      <c r="W83" s="3247"/>
      <c r="X83" s="3253" t="str">
        <f>IFERROR(X84/X85,"-")</f>
        <v>-</v>
      </c>
      <c r="Y83" s="3247"/>
      <c r="Z83" s="3254" t="str">
        <f>IFERROR(Z84/Z85,"-")</f>
        <v>-</v>
      </c>
      <c r="AA83" s="3252" t="str">
        <f>IFERROR(AA84/AA85,"-")</f>
        <v>-</v>
      </c>
      <c r="AB83" s="3247"/>
      <c r="AC83" s="3253" t="str">
        <f>IFERROR(AC84/AC85,"-")</f>
        <v>-</v>
      </c>
      <c r="AD83" s="3247"/>
      <c r="AE83" s="3254" t="str">
        <f>IFERROR(AE84/AE85,"-")</f>
        <v>-</v>
      </c>
      <c r="AF83" s="3085"/>
      <c r="AG83" s="3120"/>
      <c r="AH83" s="3120"/>
      <c r="AI83" s="3240" t="s">
        <v>228</v>
      </c>
      <c r="AJ83" s="3015"/>
    </row>
    <row r="84" spans="2:36" ht="20.100000000000001" customHeight="1">
      <c r="B84" s="3219" t="s">
        <v>2722</v>
      </c>
      <c r="C84" s="10182"/>
      <c r="D84" s="3139" t="s">
        <v>2737</v>
      </c>
      <c r="E84" s="3139"/>
      <c r="F84" s="3255" t="s">
        <v>212</v>
      </c>
      <c r="G84" s="3256"/>
      <c r="H84" s="3257"/>
      <c r="I84" s="3160" t="s">
        <v>2738</v>
      </c>
      <c r="J84" s="3123"/>
      <c r="K84" s="3094" t="s">
        <v>212</v>
      </c>
      <c r="L84" s="3239"/>
      <c r="M84" s="3258"/>
      <c r="N84" s="3086"/>
      <c r="O84" s="3258"/>
      <c r="P84" s="3238"/>
      <c r="Q84" s="3239"/>
      <c r="R84" s="3258"/>
      <c r="S84" s="3086"/>
      <c r="T84" s="3258"/>
      <c r="U84" s="3238"/>
      <c r="V84" s="3239"/>
      <c r="W84" s="3258"/>
      <c r="X84" s="3086"/>
      <c r="Y84" s="3247"/>
      <c r="Z84" s="3238"/>
      <c r="AA84" s="3239"/>
      <c r="AB84" s="3258"/>
      <c r="AC84" s="3086"/>
      <c r="AD84" s="3258"/>
      <c r="AE84" s="3238"/>
      <c r="AF84" s="3085"/>
      <c r="AG84" s="3120"/>
      <c r="AH84" s="3120"/>
      <c r="AI84" s="3240" t="s">
        <v>228</v>
      </c>
      <c r="AJ84" s="3015"/>
    </row>
    <row r="85" spans="2:36" ht="20.100000000000001" customHeight="1">
      <c r="B85" s="3219" t="s">
        <v>2722</v>
      </c>
      <c r="C85" s="10199"/>
      <c r="D85" s="3089" t="s">
        <v>2739</v>
      </c>
      <c r="E85" s="3139"/>
      <c r="F85" s="3259" t="s">
        <v>2740</v>
      </c>
      <c r="G85" s="3260"/>
      <c r="H85" s="3261"/>
      <c r="I85" s="3160" t="s">
        <v>2741</v>
      </c>
      <c r="J85" s="3123"/>
      <c r="K85" s="3251" t="s">
        <v>2742</v>
      </c>
      <c r="L85" s="3239"/>
      <c r="M85" s="3258"/>
      <c r="N85" s="3086"/>
      <c r="O85" s="3258"/>
      <c r="P85" s="3238"/>
      <c r="Q85" s="3239"/>
      <c r="R85" s="3258"/>
      <c r="S85" s="3086"/>
      <c r="T85" s="3258"/>
      <c r="U85" s="3238"/>
      <c r="V85" s="3239"/>
      <c r="W85" s="3258"/>
      <c r="X85" s="3086"/>
      <c r="Y85" s="3258"/>
      <c r="Z85" s="3238"/>
      <c r="AA85" s="3239"/>
      <c r="AB85" s="3258"/>
      <c r="AC85" s="3086"/>
      <c r="AD85" s="3258"/>
      <c r="AE85" s="3238"/>
      <c r="AF85" s="3085"/>
      <c r="AG85" s="3120"/>
      <c r="AH85" s="3120"/>
      <c r="AI85" s="3240" t="s">
        <v>228</v>
      </c>
      <c r="AJ85" s="3015"/>
    </row>
    <row r="86" spans="2:36" ht="19.899999999999999" customHeight="1">
      <c r="B86" s="3262"/>
      <c r="C86" s="3263" t="s">
        <v>2743</v>
      </c>
      <c r="D86" s="3139"/>
      <c r="E86" s="3139"/>
      <c r="F86" s="3255" t="s">
        <v>212</v>
      </c>
      <c r="G86" s="3264"/>
      <c r="H86" s="3122" t="s">
        <v>2744</v>
      </c>
      <c r="I86" s="3122"/>
      <c r="J86" s="3123"/>
      <c r="K86" s="3094" t="s">
        <v>212</v>
      </c>
      <c r="L86" s="3239"/>
      <c r="M86" s="3265"/>
      <c r="N86" s="3086"/>
      <c r="O86" s="3265"/>
      <c r="P86" s="3238"/>
      <c r="Q86" s="3239"/>
      <c r="R86" s="3265"/>
      <c r="S86" s="3086"/>
      <c r="T86" s="3265"/>
      <c r="U86" s="3238"/>
      <c r="V86" s="3239"/>
      <c r="W86" s="3265"/>
      <c r="X86" s="3086"/>
      <c r="Y86" s="3265"/>
      <c r="Z86" s="3238"/>
      <c r="AA86" s="3239"/>
      <c r="AB86" s="3265"/>
      <c r="AC86" s="3086"/>
      <c r="AD86" s="3265"/>
      <c r="AE86" s="3238"/>
      <c r="AF86" s="3085"/>
      <c r="AG86" s="3120"/>
      <c r="AH86" s="3120"/>
      <c r="AI86" s="3240" t="s">
        <v>2745</v>
      </c>
      <c r="AJ86" s="3015"/>
    </row>
    <row r="87" spans="2:36" ht="19.899999999999999" customHeight="1">
      <c r="B87" s="3266"/>
      <c r="C87" s="3263" t="s">
        <v>2746</v>
      </c>
      <c r="D87" s="3089"/>
      <c r="E87" s="3089"/>
      <c r="F87" s="3090" t="s">
        <v>212</v>
      </c>
      <c r="G87" s="3264"/>
      <c r="H87" s="3267" t="s">
        <v>2747</v>
      </c>
      <c r="I87" s="3122"/>
      <c r="J87" s="3123"/>
      <c r="K87" s="3094" t="s">
        <v>212</v>
      </c>
      <c r="L87" s="3234"/>
      <c r="M87" s="3268"/>
      <c r="N87" s="3236"/>
      <c r="O87" s="3265"/>
      <c r="P87" s="3238"/>
      <c r="Q87" s="3239"/>
      <c r="R87" s="3265"/>
      <c r="S87" s="3086"/>
      <c r="T87" s="3265"/>
      <c r="U87" s="3238"/>
      <c r="V87" s="3239"/>
      <c r="W87" s="3265"/>
      <c r="X87" s="3086"/>
      <c r="Y87" s="3265"/>
      <c r="Z87" s="3238"/>
      <c r="AA87" s="3239"/>
      <c r="AB87" s="3265"/>
      <c r="AC87" s="3086"/>
      <c r="AD87" s="3265"/>
      <c r="AE87" s="3238"/>
      <c r="AF87" s="3085"/>
      <c r="AG87" s="3120"/>
      <c r="AH87" s="3120"/>
      <c r="AI87" s="3240" t="s">
        <v>250</v>
      </c>
      <c r="AJ87" s="3015"/>
    </row>
    <row r="88" spans="2:36" ht="20.100000000000001" customHeight="1">
      <c r="B88" s="3266"/>
      <c r="C88" s="3269"/>
      <c r="D88" s="3270" t="s">
        <v>2748</v>
      </c>
      <c r="E88" s="3139"/>
      <c r="F88" s="3255" t="s">
        <v>212</v>
      </c>
      <c r="G88" s="3264"/>
      <c r="H88" s="3271"/>
      <c r="I88" s="3160" t="s">
        <v>2749</v>
      </c>
      <c r="J88" s="3123"/>
      <c r="K88" s="3094" t="s">
        <v>212</v>
      </c>
      <c r="L88" s="3239"/>
      <c r="M88" s="3265"/>
      <c r="N88" s="3086"/>
      <c r="O88" s="3265"/>
      <c r="P88" s="3238"/>
      <c r="Q88" s="3239"/>
      <c r="R88" s="3265"/>
      <c r="S88" s="3086"/>
      <c r="T88" s="3265"/>
      <c r="U88" s="3238"/>
      <c r="V88" s="3239"/>
      <c r="W88" s="3265"/>
      <c r="X88" s="3086"/>
      <c r="Y88" s="3265"/>
      <c r="Z88" s="3238"/>
      <c r="AA88" s="3239"/>
      <c r="AB88" s="3265"/>
      <c r="AC88" s="3086"/>
      <c r="AD88" s="3265"/>
      <c r="AE88" s="3238"/>
      <c r="AF88" s="3272"/>
      <c r="AG88" s="3120"/>
      <c r="AH88" s="3120"/>
      <c r="AI88" s="3240" t="s">
        <v>250</v>
      </c>
      <c r="AJ88" s="3015"/>
    </row>
    <row r="89" spans="2:36" ht="20.100000000000001" customHeight="1">
      <c r="B89" s="3266"/>
      <c r="C89" s="3273"/>
      <c r="D89" s="3270" t="s">
        <v>2737</v>
      </c>
      <c r="E89" s="3139"/>
      <c r="F89" s="3255" t="s">
        <v>212</v>
      </c>
      <c r="G89" s="3264"/>
      <c r="H89" s="3274"/>
      <c r="I89" s="3160" t="s">
        <v>2738</v>
      </c>
      <c r="J89" s="3123"/>
      <c r="K89" s="3094" t="s">
        <v>212</v>
      </c>
      <c r="L89" s="3275">
        <f t="shared" ref="L89" si="1">L84</f>
        <v>0</v>
      </c>
      <c r="M89" s="3265"/>
      <c r="N89" s="3276">
        <f>N84</f>
        <v>0</v>
      </c>
      <c r="O89" s="3265"/>
      <c r="P89" s="3277">
        <f>P84</f>
        <v>0</v>
      </c>
      <c r="Q89" s="3275">
        <f>Q84</f>
        <v>0</v>
      </c>
      <c r="R89" s="3265"/>
      <c r="S89" s="3276">
        <f>S84</f>
        <v>0</v>
      </c>
      <c r="T89" s="3265"/>
      <c r="U89" s="3277">
        <f>U84</f>
        <v>0</v>
      </c>
      <c r="V89" s="3275">
        <f>V84</f>
        <v>0</v>
      </c>
      <c r="W89" s="3265"/>
      <c r="X89" s="3276">
        <f>X84</f>
        <v>0</v>
      </c>
      <c r="Y89" s="3265"/>
      <c r="Z89" s="3277">
        <f>Z84</f>
        <v>0</v>
      </c>
      <c r="AA89" s="3275">
        <f>AA84</f>
        <v>0</v>
      </c>
      <c r="AB89" s="3265"/>
      <c r="AC89" s="3276">
        <f>AC84</f>
        <v>0</v>
      </c>
      <c r="AD89" s="3265"/>
      <c r="AE89" s="3277">
        <f>AE84</f>
        <v>0</v>
      </c>
      <c r="AF89" s="3085"/>
      <c r="AG89" s="3120"/>
      <c r="AH89" s="3120"/>
      <c r="AI89" s="3240" t="s">
        <v>250</v>
      </c>
      <c r="AJ89" s="3015"/>
    </row>
    <row r="90" spans="2:36" ht="20.100000000000001" customHeight="1">
      <c r="B90" s="3219" t="s">
        <v>2722</v>
      </c>
      <c r="C90" s="3278" t="s">
        <v>2750</v>
      </c>
      <c r="D90" s="3279"/>
      <c r="E90" s="3279"/>
      <c r="F90" s="3280" t="s">
        <v>2676</v>
      </c>
      <c r="G90" s="3281"/>
      <c r="H90" s="3282" t="s">
        <v>2751</v>
      </c>
      <c r="I90" s="3283"/>
      <c r="J90" s="3284"/>
      <c r="K90" s="3285" t="s">
        <v>2676</v>
      </c>
      <c r="L90" s="3286"/>
      <c r="M90" s="3287"/>
      <c r="N90" s="3288"/>
      <c r="O90" s="3289"/>
      <c r="P90" s="3290"/>
      <c r="Q90" s="3291"/>
      <c r="R90" s="3289"/>
      <c r="S90" s="3292"/>
      <c r="T90" s="3289"/>
      <c r="U90" s="3290"/>
      <c r="V90" s="3291"/>
      <c r="W90" s="3289"/>
      <c r="X90" s="3292"/>
      <c r="Y90" s="3289"/>
      <c r="Z90" s="3290"/>
      <c r="AA90" s="3291"/>
      <c r="AB90" s="3289"/>
      <c r="AC90" s="3292"/>
      <c r="AD90" s="3289"/>
      <c r="AE90" s="3290"/>
      <c r="AF90" s="3085"/>
      <c r="AG90" s="3120"/>
      <c r="AH90" s="3120"/>
      <c r="AI90" s="3240"/>
      <c r="AJ90" s="3015"/>
    </row>
    <row r="91" spans="2:36" ht="20.100000000000001" customHeight="1">
      <c r="B91" s="3219" t="s">
        <v>2722</v>
      </c>
      <c r="C91" s="3293"/>
      <c r="D91" s="3270" t="s">
        <v>2752</v>
      </c>
      <c r="E91" s="3270"/>
      <c r="F91" s="3255" t="s">
        <v>212</v>
      </c>
      <c r="G91" s="3264"/>
      <c r="H91" s="3257"/>
      <c r="I91" s="3160" t="s">
        <v>2753</v>
      </c>
      <c r="J91" s="3123"/>
      <c r="K91" s="3094" t="s">
        <v>212</v>
      </c>
      <c r="L91" s="3239"/>
      <c r="M91" s="3265"/>
      <c r="N91" s="3086"/>
      <c r="O91" s="3265"/>
      <c r="P91" s="3238"/>
      <c r="Q91" s="3239"/>
      <c r="R91" s="3265"/>
      <c r="S91" s="3086"/>
      <c r="T91" s="3265"/>
      <c r="U91" s="3238"/>
      <c r="V91" s="3239"/>
      <c r="W91" s="3265"/>
      <c r="X91" s="3086"/>
      <c r="Y91" s="3265"/>
      <c r="Z91" s="3238"/>
      <c r="AA91" s="3239"/>
      <c r="AB91" s="3265"/>
      <c r="AC91" s="3086"/>
      <c r="AD91" s="3265"/>
      <c r="AE91" s="3238"/>
      <c r="AF91" s="3085"/>
      <c r="AG91" s="3120"/>
      <c r="AH91" s="3120"/>
      <c r="AI91" s="3248"/>
      <c r="AJ91" s="3015"/>
    </row>
    <row r="92" spans="2:36" ht="20.100000000000001" customHeight="1">
      <c r="B92" s="3219" t="s">
        <v>2722</v>
      </c>
      <c r="C92" s="3294"/>
      <c r="D92" s="3270" t="s">
        <v>2754</v>
      </c>
      <c r="E92" s="3270"/>
      <c r="F92" s="3255" t="s">
        <v>212</v>
      </c>
      <c r="G92" s="3264"/>
      <c r="H92" s="3295"/>
      <c r="I92" s="3160" t="s">
        <v>2755</v>
      </c>
      <c r="J92" s="3123"/>
      <c r="K92" s="3094" t="s">
        <v>212</v>
      </c>
      <c r="L92" s="3239"/>
      <c r="M92" s="3265"/>
      <c r="N92" s="3086"/>
      <c r="O92" s="3265"/>
      <c r="P92" s="3238"/>
      <c r="Q92" s="3239"/>
      <c r="R92" s="3265"/>
      <c r="S92" s="3086"/>
      <c r="T92" s="3265"/>
      <c r="U92" s="3238"/>
      <c r="V92" s="3239"/>
      <c r="W92" s="3265"/>
      <c r="X92" s="3086"/>
      <c r="Y92" s="3265"/>
      <c r="Z92" s="3238"/>
      <c r="AA92" s="3239"/>
      <c r="AB92" s="3265"/>
      <c r="AC92" s="3086"/>
      <c r="AD92" s="3265"/>
      <c r="AE92" s="3238"/>
      <c r="AF92" s="3085"/>
      <c r="AG92" s="3120"/>
      <c r="AH92" s="3120"/>
      <c r="AI92" s="3248"/>
      <c r="AJ92" s="3015"/>
    </row>
    <row r="93" spans="2:36" ht="20.100000000000001" customHeight="1" thickBot="1">
      <c r="B93" s="3219" t="s">
        <v>2722</v>
      </c>
      <c r="C93" s="3296"/>
      <c r="D93" s="3297" t="s">
        <v>2756</v>
      </c>
      <c r="E93" s="3298"/>
      <c r="F93" s="3255" t="s">
        <v>212</v>
      </c>
      <c r="G93" s="3299"/>
      <c r="H93" s="3300"/>
      <c r="I93" s="3301" t="s">
        <v>2751</v>
      </c>
      <c r="J93" s="3257"/>
      <c r="K93" s="3094" t="s">
        <v>212</v>
      </c>
      <c r="L93" s="3239"/>
      <c r="M93" s="3265"/>
      <c r="N93" s="3086"/>
      <c r="O93" s="3265"/>
      <c r="P93" s="3238"/>
      <c r="Q93" s="3239"/>
      <c r="R93" s="3265"/>
      <c r="S93" s="3086"/>
      <c r="T93" s="3265"/>
      <c r="U93" s="3238"/>
      <c r="V93" s="3239"/>
      <c r="W93" s="3265"/>
      <c r="X93" s="3086"/>
      <c r="Y93" s="3265"/>
      <c r="Z93" s="3238"/>
      <c r="AA93" s="3239"/>
      <c r="AB93" s="3265"/>
      <c r="AC93" s="3086"/>
      <c r="AD93" s="3265"/>
      <c r="AE93" s="3238"/>
      <c r="AF93" s="3085"/>
      <c r="AG93" s="3120"/>
      <c r="AH93" s="3120"/>
      <c r="AI93" s="3248"/>
      <c r="AJ93" s="3015"/>
    </row>
    <row r="94" spans="2:36" ht="27" thickBot="1">
      <c r="B94" s="3219" t="s">
        <v>2722</v>
      </c>
      <c r="C94" s="3105" t="s">
        <v>2757</v>
      </c>
      <c r="D94" s="3106"/>
      <c r="E94" s="3106"/>
      <c r="F94" s="3067"/>
      <c r="G94" s="3107" t="s">
        <v>2758</v>
      </c>
      <c r="H94" s="3108"/>
      <c r="I94" s="3108"/>
      <c r="J94" s="3108"/>
      <c r="K94" s="3067"/>
      <c r="L94" s="3129"/>
      <c r="M94" s="3130"/>
      <c r="N94" s="3130"/>
      <c r="O94" s="3130"/>
      <c r="P94" s="3131"/>
      <c r="Q94" s="3129"/>
      <c r="R94" s="3130"/>
      <c r="S94" s="3130"/>
      <c r="T94" s="3130"/>
      <c r="U94" s="3131"/>
      <c r="V94" s="3129"/>
      <c r="W94" s="3130"/>
      <c r="X94" s="3130"/>
      <c r="Y94" s="3130"/>
      <c r="Z94" s="3131"/>
      <c r="AA94" s="3129"/>
      <c r="AB94" s="3130"/>
      <c r="AC94" s="3130"/>
      <c r="AD94" s="3130"/>
      <c r="AE94" s="3131"/>
      <c r="AF94" s="3112"/>
      <c r="AG94" s="3113"/>
      <c r="AH94" s="3113"/>
      <c r="AI94" s="3302"/>
      <c r="AJ94" s="3015"/>
    </row>
    <row r="95" spans="2:36" ht="20.100000000000001" customHeight="1">
      <c r="B95" s="3219" t="s">
        <v>2722</v>
      </c>
      <c r="C95" s="10213" t="s">
        <v>2759</v>
      </c>
      <c r="D95" s="10214"/>
      <c r="E95" s="10214"/>
      <c r="F95" s="3077" t="s">
        <v>255</v>
      </c>
      <c r="G95" s="3303"/>
      <c r="H95" s="10214" t="s">
        <v>2760</v>
      </c>
      <c r="I95" s="10214"/>
      <c r="J95" s="10214"/>
      <c r="K95" s="3081" t="s">
        <v>255</v>
      </c>
      <c r="L95" s="3304">
        <f t="shared" ref="L95" si="2">IFERROR(L96+L97,"-")</f>
        <v>0</v>
      </c>
      <c r="M95" s="3305"/>
      <c r="N95" s="3306">
        <f>IFERROR(N96+N97,"-")</f>
        <v>0</v>
      </c>
      <c r="O95" s="3305"/>
      <c r="P95" s="3307">
        <f>IFERROR(P96+P97,"-")</f>
        <v>0</v>
      </c>
      <c r="Q95" s="3304">
        <f>IFERROR(Q96+Q97,"-")</f>
        <v>54.037363380335201</v>
      </c>
      <c r="R95" s="3305"/>
      <c r="S95" s="3306">
        <f>IFERROR(S96+S97,"-")</f>
        <v>117.93083850502801</v>
      </c>
      <c r="T95" s="3305"/>
      <c r="U95" s="3307">
        <f>IFERROR(U96+U97,"-")</f>
        <v>131.92724031512199</v>
      </c>
      <c r="V95" s="3304">
        <f>IFERROR(V96+V97,"-")</f>
        <v>0</v>
      </c>
      <c r="W95" s="3305"/>
      <c r="X95" s="3306">
        <f>IFERROR(X96+X97,"-")</f>
        <v>0</v>
      </c>
      <c r="Y95" s="3305"/>
      <c r="Z95" s="3307" t="str">
        <f>IFERROR(Z96+Z97,"-")</f>
        <v>-</v>
      </c>
      <c r="AA95" s="3304" t="str">
        <f>IFERROR(AA96+AA97,"-")</f>
        <v>-</v>
      </c>
      <c r="AB95" s="3305"/>
      <c r="AC95" s="3306" t="str">
        <f>IFERROR(AC96+AC97,"-")</f>
        <v>-</v>
      </c>
      <c r="AD95" s="3308"/>
      <c r="AE95" s="3309" t="s">
        <v>2300</v>
      </c>
      <c r="AF95" s="3085"/>
      <c r="AG95" s="3120"/>
      <c r="AH95" s="3120"/>
      <c r="AI95" s="3310" t="s">
        <v>2761</v>
      </c>
      <c r="AJ95" s="3015"/>
    </row>
    <row r="96" spans="2:36" ht="20.100000000000001" customHeight="1">
      <c r="B96" s="3219" t="s">
        <v>2722</v>
      </c>
      <c r="C96" s="3311"/>
      <c r="D96" s="10207" t="s">
        <v>2762</v>
      </c>
      <c r="E96" s="10201"/>
      <c r="F96" s="3077" t="s">
        <v>255</v>
      </c>
      <c r="G96" s="3312"/>
      <c r="H96" s="3257"/>
      <c r="I96" s="3160" t="s">
        <v>2763</v>
      </c>
      <c r="J96" s="3261"/>
      <c r="K96" s="3081" t="s">
        <v>255</v>
      </c>
      <c r="L96" s="3313"/>
      <c r="M96" s="3314"/>
      <c r="N96" s="3315"/>
      <c r="O96" s="3314"/>
      <c r="P96" s="3316"/>
      <c r="Q96" s="3313">
        <v>54.037363380335201</v>
      </c>
      <c r="R96" s="3314" t="s">
        <v>669</v>
      </c>
      <c r="S96" s="3315">
        <v>117.93083850502801</v>
      </c>
      <c r="T96" s="3314"/>
      <c r="U96" s="3316">
        <v>131.92724031512199</v>
      </c>
      <c r="V96" s="3313"/>
      <c r="W96" s="3314"/>
      <c r="X96" s="3315"/>
      <c r="Y96" s="3314"/>
      <c r="Z96" s="3316" t="s">
        <v>169</v>
      </c>
      <c r="AA96" s="3313" t="s">
        <v>169</v>
      </c>
      <c r="AB96" s="3314"/>
      <c r="AC96" s="3315" t="s">
        <v>169</v>
      </c>
      <c r="AD96" s="3314"/>
      <c r="AE96" s="3316"/>
      <c r="AF96" s="3085"/>
      <c r="AG96" s="3120"/>
      <c r="AH96" s="3120"/>
      <c r="AI96" s="3310" t="s">
        <v>2764</v>
      </c>
      <c r="AJ96" s="3015"/>
    </row>
    <row r="97" spans="2:36" ht="20.100000000000001" customHeight="1">
      <c r="B97" s="3219" t="s">
        <v>2722</v>
      </c>
      <c r="C97" s="3317"/>
      <c r="D97" s="10207" t="s">
        <v>2765</v>
      </c>
      <c r="E97" s="10201"/>
      <c r="F97" s="3077" t="s">
        <v>255</v>
      </c>
      <c r="G97" s="3312"/>
      <c r="H97" s="3261"/>
      <c r="I97" s="3318" t="s">
        <v>2766</v>
      </c>
      <c r="J97" s="3261"/>
      <c r="K97" s="3081" t="s">
        <v>255</v>
      </c>
      <c r="L97" s="3313"/>
      <c r="M97" s="3314"/>
      <c r="N97" s="3315"/>
      <c r="O97" s="3314"/>
      <c r="P97" s="3316"/>
      <c r="Q97" s="3313"/>
      <c r="R97" s="3314"/>
      <c r="S97" s="3315"/>
      <c r="T97" s="3314"/>
      <c r="U97" s="3316"/>
      <c r="V97" s="3313"/>
      <c r="W97" s="3314"/>
      <c r="X97" s="3315"/>
      <c r="Y97" s="3314"/>
      <c r="Z97" s="3316" t="s">
        <v>169</v>
      </c>
      <c r="AA97" s="3313" t="s">
        <v>169</v>
      </c>
      <c r="AB97" s="3314"/>
      <c r="AC97" s="3315" t="s">
        <v>169</v>
      </c>
      <c r="AD97" s="3314"/>
      <c r="AE97" s="3316"/>
      <c r="AF97" s="3085"/>
      <c r="AG97" s="3120"/>
      <c r="AH97" s="3120"/>
      <c r="AI97" s="3310" t="s">
        <v>2767</v>
      </c>
      <c r="AJ97" s="3015"/>
    </row>
    <row r="98" spans="2:36" ht="20.100000000000001" customHeight="1">
      <c r="B98" s="3219" t="s">
        <v>2722</v>
      </c>
      <c r="C98" s="10204" t="s">
        <v>2768</v>
      </c>
      <c r="D98" s="10205"/>
      <c r="E98" s="10205"/>
      <c r="F98" s="3250" t="s">
        <v>255</v>
      </c>
      <c r="G98" s="3319"/>
      <c r="H98" s="3125" t="s">
        <v>2769</v>
      </c>
      <c r="I98" s="3125"/>
      <c r="J98" s="3126"/>
      <c r="K98" s="3251" t="s">
        <v>255</v>
      </c>
      <c r="L98" s="3239"/>
      <c r="M98" s="3258"/>
      <c r="N98" s="3086"/>
      <c r="O98" s="3258"/>
      <c r="P98" s="3238"/>
      <c r="Q98" s="3239"/>
      <c r="R98" s="3258"/>
      <c r="S98" s="3086"/>
      <c r="T98" s="3258"/>
      <c r="U98" s="3238"/>
      <c r="V98" s="3239"/>
      <c r="W98" s="3258"/>
      <c r="X98" s="3086"/>
      <c r="Y98" s="3258"/>
      <c r="Z98" s="3238"/>
      <c r="AA98" s="3239"/>
      <c r="AB98" s="3258"/>
      <c r="AC98" s="3086"/>
      <c r="AD98" s="3258"/>
      <c r="AE98" s="3238"/>
      <c r="AF98" s="3085"/>
      <c r="AG98" s="3120"/>
      <c r="AH98" s="3120"/>
      <c r="AI98" s="3320" t="s">
        <v>300</v>
      </c>
      <c r="AJ98" s="3015"/>
    </row>
    <row r="99" spans="2:36" ht="20.100000000000001" customHeight="1">
      <c r="B99" s="3219" t="s">
        <v>2722</v>
      </c>
      <c r="C99" s="3311"/>
      <c r="D99" s="10206" t="s">
        <v>2770</v>
      </c>
      <c r="E99" s="10205"/>
      <c r="F99" s="3250" t="s">
        <v>255</v>
      </c>
      <c r="G99" s="3091"/>
      <c r="H99" s="3321"/>
      <c r="I99" s="3322" t="s">
        <v>2771</v>
      </c>
      <c r="J99" s="3126"/>
      <c r="K99" s="3251" t="s">
        <v>255</v>
      </c>
      <c r="L99" s="3239"/>
      <c r="M99" s="3258"/>
      <c r="N99" s="3086"/>
      <c r="O99" s="3258"/>
      <c r="P99" s="3238"/>
      <c r="Q99" s="3239"/>
      <c r="R99" s="3258"/>
      <c r="S99" s="3086"/>
      <c r="T99" s="3258"/>
      <c r="U99" s="3238"/>
      <c r="V99" s="3239"/>
      <c r="W99" s="3258"/>
      <c r="X99" s="3086"/>
      <c r="Y99" s="3258"/>
      <c r="Z99" s="3238"/>
      <c r="AA99" s="3239"/>
      <c r="AB99" s="3258"/>
      <c r="AC99" s="3086"/>
      <c r="AD99" s="3258"/>
      <c r="AE99" s="3238"/>
      <c r="AF99" s="3272"/>
      <c r="AG99" s="3120"/>
      <c r="AH99" s="3120"/>
      <c r="AI99" s="3320" t="s">
        <v>300</v>
      </c>
      <c r="AJ99" s="3015"/>
    </row>
    <row r="100" spans="2:36" ht="20.100000000000001" customHeight="1">
      <c r="B100" s="3219" t="s">
        <v>2722</v>
      </c>
      <c r="C100" s="3317"/>
      <c r="D100" s="10206" t="s">
        <v>2772</v>
      </c>
      <c r="E100" s="10205"/>
      <c r="F100" s="3250" t="s">
        <v>255</v>
      </c>
      <c r="G100" s="3091"/>
      <c r="H100" s="3323"/>
      <c r="I100" s="3322" t="s">
        <v>2773</v>
      </c>
      <c r="J100" s="3126"/>
      <c r="K100" s="3250" t="s">
        <v>255</v>
      </c>
      <c r="L100" s="3324">
        <f t="shared" ref="L100" si="3">L111+L112</f>
        <v>0</v>
      </c>
      <c r="M100" s="3258"/>
      <c r="N100" s="3325">
        <f>N111+N112</f>
        <v>0</v>
      </c>
      <c r="O100" s="3258"/>
      <c r="P100" s="3326">
        <f>P111+P112</f>
        <v>0</v>
      </c>
      <c r="Q100" s="3324">
        <f>Q111+Q112</f>
        <v>0</v>
      </c>
      <c r="R100" s="3258"/>
      <c r="S100" s="3325">
        <f>S111+S112</f>
        <v>0</v>
      </c>
      <c r="T100" s="3258"/>
      <c r="U100" s="3326">
        <f>U111+U112</f>
        <v>0</v>
      </c>
      <c r="V100" s="3324">
        <f>V111+V112</f>
        <v>0</v>
      </c>
      <c r="W100" s="3258"/>
      <c r="X100" s="3325">
        <f>X111+X112</f>
        <v>0</v>
      </c>
      <c r="Y100" s="3258"/>
      <c r="Z100" s="3326">
        <f>Z111+Z112</f>
        <v>0</v>
      </c>
      <c r="AA100" s="3324">
        <f>AA111+AA112</f>
        <v>0</v>
      </c>
      <c r="AB100" s="3258"/>
      <c r="AC100" s="3325">
        <f>AC111+AC112</f>
        <v>0</v>
      </c>
      <c r="AD100" s="3258"/>
      <c r="AE100" s="3326">
        <f>AE111+AE112</f>
        <v>0</v>
      </c>
      <c r="AF100" s="3085"/>
      <c r="AG100" s="3120"/>
      <c r="AH100" s="3120"/>
      <c r="AI100" s="3320" t="s">
        <v>300</v>
      </c>
      <c r="AJ100" s="3015"/>
    </row>
    <row r="101" spans="2:36" ht="20.100000000000001" customHeight="1">
      <c r="B101" s="3219" t="s">
        <v>2722</v>
      </c>
      <c r="C101" s="3327" t="s">
        <v>671</v>
      </c>
      <c r="D101" s="3328"/>
      <c r="E101" s="3089"/>
      <c r="F101" s="3115" t="s">
        <v>255</v>
      </c>
      <c r="G101" s="3091"/>
      <c r="H101" s="3329" t="s">
        <v>2763</v>
      </c>
      <c r="I101" s="3329"/>
      <c r="J101" s="3330"/>
      <c r="K101" s="3119" t="s">
        <v>255</v>
      </c>
      <c r="L101" s="3331">
        <f t="shared" ref="L101" si="4">L102+L103</f>
        <v>0</v>
      </c>
      <c r="M101" s="3314"/>
      <c r="N101" s="3332">
        <f>N102+N103</f>
        <v>0</v>
      </c>
      <c r="O101" s="3314"/>
      <c r="P101" s="3333">
        <f>P102+P103</f>
        <v>0</v>
      </c>
      <c r="Q101" s="3331">
        <f>Q102+Q103</f>
        <v>0</v>
      </c>
      <c r="R101" s="3314"/>
      <c r="S101" s="3332">
        <f>S102+S103</f>
        <v>0</v>
      </c>
      <c r="T101" s="3314"/>
      <c r="U101" s="3333">
        <f>U102+U103</f>
        <v>0</v>
      </c>
      <c r="V101" s="3331">
        <f>V102+V103</f>
        <v>0</v>
      </c>
      <c r="W101" s="3314"/>
      <c r="X101" s="3332">
        <f>X102+X103</f>
        <v>0</v>
      </c>
      <c r="Y101" s="3314"/>
      <c r="Z101" s="3333">
        <f>Z102+Z103</f>
        <v>0</v>
      </c>
      <c r="AA101" s="3331">
        <f>AA102+AA103</f>
        <v>0</v>
      </c>
      <c r="AB101" s="3314"/>
      <c r="AC101" s="3332">
        <f>AC102+AC103</f>
        <v>0</v>
      </c>
      <c r="AD101" s="3314"/>
      <c r="AE101" s="3333">
        <f>AE102+AE103</f>
        <v>0</v>
      </c>
      <c r="AF101" s="3085"/>
      <c r="AG101" s="3120"/>
      <c r="AH101" s="3120"/>
      <c r="AI101" s="3310" t="s">
        <v>269</v>
      </c>
      <c r="AJ101" s="3015"/>
    </row>
    <row r="102" spans="2:36" ht="20.100000000000001" customHeight="1">
      <c r="B102" s="3219" t="s">
        <v>2722</v>
      </c>
      <c r="C102" s="3334"/>
      <c r="D102" s="10202" t="s">
        <v>267</v>
      </c>
      <c r="E102" s="10203"/>
      <c r="F102" s="3115" t="s">
        <v>255</v>
      </c>
      <c r="G102" s="3091"/>
      <c r="H102" s="3323"/>
      <c r="I102" s="3322" t="s">
        <v>2774</v>
      </c>
      <c r="J102" s="3126"/>
      <c r="K102" s="3119" t="s">
        <v>255</v>
      </c>
      <c r="L102" s="3239"/>
      <c r="M102" s="3314"/>
      <c r="N102" s="3086"/>
      <c r="O102" s="3314"/>
      <c r="P102" s="3238"/>
      <c r="Q102" s="3239"/>
      <c r="R102" s="3314"/>
      <c r="S102" s="3086"/>
      <c r="T102" s="3314"/>
      <c r="U102" s="3238"/>
      <c r="V102" s="3239"/>
      <c r="W102" s="3314"/>
      <c r="X102" s="3086"/>
      <c r="Y102" s="3314"/>
      <c r="Z102" s="3238"/>
      <c r="AA102" s="3239"/>
      <c r="AB102" s="3314"/>
      <c r="AC102" s="3086"/>
      <c r="AD102" s="3314"/>
      <c r="AE102" s="3238"/>
      <c r="AF102" s="3085"/>
      <c r="AG102" s="3120"/>
      <c r="AH102" s="3120"/>
      <c r="AI102" s="3161" t="s">
        <v>269</v>
      </c>
      <c r="AJ102" s="3015"/>
    </row>
    <row r="103" spans="2:36" ht="20.100000000000001" customHeight="1">
      <c r="B103" s="3219" t="s">
        <v>2722</v>
      </c>
      <c r="C103" s="3335"/>
      <c r="D103" s="10175" t="s">
        <v>270</v>
      </c>
      <c r="E103" s="10176"/>
      <c r="F103" s="3259" t="s">
        <v>255</v>
      </c>
      <c r="G103" s="3091"/>
      <c r="H103" s="3323"/>
      <c r="I103" s="3322" t="s">
        <v>2775</v>
      </c>
      <c r="J103" s="3126"/>
      <c r="K103" s="3336" t="s">
        <v>255</v>
      </c>
      <c r="L103" s="3239"/>
      <c r="M103" s="3314"/>
      <c r="N103" s="3086"/>
      <c r="O103" s="3314"/>
      <c r="P103" s="3238"/>
      <c r="Q103" s="3239"/>
      <c r="R103" s="3314"/>
      <c r="S103" s="3086"/>
      <c r="T103" s="3314"/>
      <c r="U103" s="3238"/>
      <c r="V103" s="3239"/>
      <c r="W103" s="3314"/>
      <c r="X103" s="3086"/>
      <c r="Y103" s="3314"/>
      <c r="Z103" s="3238"/>
      <c r="AA103" s="3239"/>
      <c r="AB103" s="3314"/>
      <c r="AC103" s="3086"/>
      <c r="AD103" s="3314"/>
      <c r="AE103" s="3238"/>
      <c r="AF103" s="3085"/>
      <c r="AG103" s="3120"/>
      <c r="AH103" s="3120"/>
      <c r="AI103" s="3161" t="s">
        <v>269</v>
      </c>
      <c r="AJ103" s="3015"/>
    </row>
    <row r="104" spans="2:36" ht="20.100000000000001" customHeight="1">
      <c r="B104" s="3219" t="s">
        <v>2722</v>
      </c>
      <c r="C104" s="3242" t="s">
        <v>675</v>
      </c>
      <c r="D104" s="3270"/>
      <c r="E104" s="3139"/>
      <c r="F104" s="3250" t="s">
        <v>255</v>
      </c>
      <c r="G104" s="3319"/>
      <c r="H104" s="3125" t="s">
        <v>2766</v>
      </c>
      <c r="I104" s="3125"/>
      <c r="J104" s="3126"/>
      <c r="K104" s="3251" t="s">
        <v>255</v>
      </c>
      <c r="L104" s="3337">
        <f t="shared" ref="L104" si="5">L105+L106+L107</f>
        <v>0</v>
      </c>
      <c r="M104" s="3314"/>
      <c r="N104" s="3338">
        <f>N105+N106+N107</f>
        <v>0</v>
      </c>
      <c r="O104" s="3314"/>
      <c r="P104" s="3339">
        <f>P105+P106+P107</f>
        <v>0</v>
      </c>
      <c r="Q104" s="3337">
        <f>Q105+Q106+Q107</f>
        <v>0</v>
      </c>
      <c r="R104" s="3314"/>
      <c r="S104" s="3338">
        <f>S105+S106+S107</f>
        <v>0</v>
      </c>
      <c r="T104" s="3314"/>
      <c r="U104" s="3339">
        <f>U105+U106+U107</f>
        <v>0</v>
      </c>
      <c r="V104" s="3337">
        <f>V105+V106+V107</f>
        <v>0</v>
      </c>
      <c r="W104" s="3314"/>
      <c r="X104" s="3338">
        <f>X105+X106+X107</f>
        <v>0</v>
      </c>
      <c r="Y104" s="3314"/>
      <c r="Z104" s="3339">
        <f>Z105+Z106+Z107</f>
        <v>0</v>
      </c>
      <c r="AA104" s="3337">
        <f>AA105+AA106+AA107</f>
        <v>0</v>
      </c>
      <c r="AB104" s="3314"/>
      <c r="AC104" s="3338">
        <f>AC105+AC106+AC107</f>
        <v>0</v>
      </c>
      <c r="AD104" s="3314"/>
      <c r="AE104" s="3339">
        <f>AE105+AE106+AE107</f>
        <v>0</v>
      </c>
      <c r="AF104" s="3085"/>
      <c r="AG104" s="3120"/>
      <c r="AH104" s="3120"/>
      <c r="AI104" s="3310" t="s">
        <v>280</v>
      </c>
      <c r="AJ104" s="3015"/>
    </row>
    <row r="105" spans="2:36" ht="20.100000000000001" customHeight="1">
      <c r="B105" s="3219" t="s">
        <v>2722</v>
      </c>
      <c r="C105" s="3311"/>
      <c r="D105" s="3270" t="s">
        <v>2776</v>
      </c>
      <c r="E105" s="3270"/>
      <c r="F105" s="3250" t="s">
        <v>255</v>
      </c>
      <c r="G105" s="3091"/>
      <c r="H105" s="3321"/>
      <c r="I105" s="3322" t="s">
        <v>2777</v>
      </c>
      <c r="J105" s="3126"/>
      <c r="K105" s="3251" t="s">
        <v>255</v>
      </c>
      <c r="L105" s="3239"/>
      <c r="M105" s="3314"/>
      <c r="N105" s="3086"/>
      <c r="O105" s="3314"/>
      <c r="P105" s="3238"/>
      <c r="Q105" s="3239"/>
      <c r="R105" s="3314"/>
      <c r="S105" s="3086"/>
      <c r="T105" s="3314"/>
      <c r="U105" s="3238"/>
      <c r="V105" s="3239"/>
      <c r="W105" s="3314"/>
      <c r="X105" s="3086"/>
      <c r="Y105" s="3314"/>
      <c r="Z105" s="3238"/>
      <c r="AA105" s="3239"/>
      <c r="AB105" s="3314"/>
      <c r="AC105" s="3086"/>
      <c r="AD105" s="3314"/>
      <c r="AE105" s="3238"/>
      <c r="AF105" s="3085"/>
      <c r="AG105" s="3120"/>
      <c r="AH105" s="3120"/>
      <c r="AI105" s="3310" t="s">
        <v>280</v>
      </c>
      <c r="AJ105" s="3015"/>
    </row>
    <row r="106" spans="2:36" ht="20.100000000000001" customHeight="1">
      <c r="B106" s="3219" t="s">
        <v>2722</v>
      </c>
      <c r="C106" s="3340"/>
      <c r="D106" s="10175" t="s">
        <v>2778</v>
      </c>
      <c r="E106" s="10176"/>
      <c r="F106" s="3250" t="s">
        <v>255</v>
      </c>
      <c r="G106" s="3091"/>
      <c r="H106" s="3323"/>
      <c r="I106" s="3160" t="s">
        <v>2779</v>
      </c>
      <c r="J106" s="3123"/>
      <c r="K106" s="3251" t="s">
        <v>255</v>
      </c>
      <c r="L106" s="3239"/>
      <c r="M106" s="3314"/>
      <c r="N106" s="3086"/>
      <c r="O106" s="3314"/>
      <c r="P106" s="3238"/>
      <c r="Q106" s="3239"/>
      <c r="R106" s="3314"/>
      <c r="S106" s="3086"/>
      <c r="T106" s="3314"/>
      <c r="U106" s="3238"/>
      <c r="V106" s="3239"/>
      <c r="W106" s="3314"/>
      <c r="X106" s="3086"/>
      <c r="Y106" s="3314"/>
      <c r="Z106" s="3238"/>
      <c r="AA106" s="3239"/>
      <c r="AB106" s="3314"/>
      <c r="AC106" s="3086"/>
      <c r="AD106" s="3314"/>
      <c r="AE106" s="3238"/>
      <c r="AF106" s="3085"/>
      <c r="AG106" s="3120"/>
      <c r="AH106" s="3120"/>
      <c r="AI106" s="3310" t="s">
        <v>280</v>
      </c>
      <c r="AJ106" s="3015"/>
    </row>
    <row r="107" spans="2:36" ht="20.100000000000001" customHeight="1">
      <c r="B107" s="3219" t="s">
        <v>2722</v>
      </c>
      <c r="C107" s="3317"/>
      <c r="D107" s="10202" t="s">
        <v>2780</v>
      </c>
      <c r="E107" s="10203"/>
      <c r="F107" s="3250" t="s">
        <v>255</v>
      </c>
      <c r="G107" s="3091"/>
      <c r="H107" s="3341"/>
      <c r="I107" s="3160" t="s">
        <v>2781</v>
      </c>
      <c r="J107" s="3123"/>
      <c r="K107" s="3251" t="s">
        <v>255</v>
      </c>
      <c r="L107" s="3239"/>
      <c r="M107" s="3314"/>
      <c r="N107" s="3086"/>
      <c r="O107" s="3314"/>
      <c r="P107" s="3238"/>
      <c r="Q107" s="3239"/>
      <c r="R107" s="3314"/>
      <c r="S107" s="3086"/>
      <c r="T107" s="3314"/>
      <c r="U107" s="3238"/>
      <c r="V107" s="3239"/>
      <c r="W107" s="3314"/>
      <c r="X107" s="3086"/>
      <c r="Y107" s="3314"/>
      <c r="Z107" s="3238"/>
      <c r="AA107" s="3239"/>
      <c r="AB107" s="3314"/>
      <c r="AC107" s="3086"/>
      <c r="AD107" s="3314"/>
      <c r="AE107" s="3238"/>
      <c r="AF107" s="3085"/>
      <c r="AG107" s="3120"/>
      <c r="AH107" s="3120"/>
      <c r="AI107" s="3310" t="s">
        <v>280</v>
      </c>
      <c r="AJ107" s="3015"/>
    </row>
    <row r="108" spans="2:36" ht="20.100000000000001" customHeight="1">
      <c r="B108" s="3219" t="s">
        <v>2722</v>
      </c>
      <c r="C108" s="10204" t="s">
        <v>2782</v>
      </c>
      <c r="D108" s="10205"/>
      <c r="E108" s="10205"/>
      <c r="F108" s="3090" t="s">
        <v>286</v>
      </c>
      <c r="G108" s="3312"/>
      <c r="H108" s="3122" t="s">
        <v>2783</v>
      </c>
      <c r="I108" s="3122"/>
      <c r="J108" s="3123"/>
      <c r="K108" s="3094" t="s">
        <v>288</v>
      </c>
      <c r="L108" s="3342" t="str">
        <f t="shared" ref="L108" si="6">IFERROR(L109/L110,"-")</f>
        <v>-</v>
      </c>
      <c r="M108" s="3314"/>
      <c r="N108" s="3343" t="str">
        <f>IFERROR(N109/N110,"-")</f>
        <v>-</v>
      </c>
      <c r="O108" s="3314"/>
      <c r="P108" s="3344" t="str">
        <f>IFERROR(P109/P110,"-")</f>
        <v>-</v>
      </c>
      <c r="Q108" s="3342">
        <f>IFERROR(Q109/Q110,"-")</f>
        <v>0.13531714353132041</v>
      </c>
      <c r="R108" s="3314"/>
      <c r="S108" s="3343">
        <f>IFERROR(S109/S110,"-")</f>
        <v>9.9097857307294118E-2</v>
      </c>
      <c r="T108" s="3314"/>
      <c r="U108" s="3344">
        <f>IFERROR(U109/U110,"-")</f>
        <v>9.9719824790536329E-2</v>
      </c>
      <c r="V108" s="3342" t="str">
        <f>IFERROR(V109/V110,"-")</f>
        <v>-</v>
      </c>
      <c r="W108" s="3314"/>
      <c r="X108" s="3343" t="str">
        <f>IFERROR(X109/X110,"-")</f>
        <v>-</v>
      </c>
      <c r="Y108" s="3314"/>
      <c r="Z108" s="3344" t="str">
        <f>IFERROR(Z109/Z110,"-")</f>
        <v>-</v>
      </c>
      <c r="AA108" s="3342" t="str">
        <f>IFERROR(AA109/AA110,"-")</f>
        <v>-</v>
      </c>
      <c r="AB108" s="3314"/>
      <c r="AC108" s="3343" t="str">
        <f>IFERROR(AC109/AC110,"-")</f>
        <v>-</v>
      </c>
      <c r="AD108" s="3314"/>
      <c r="AE108" s="3344" t="str">
        <f>IFERROR(AE109/AE110,"-")</f>
        <v>-</v>
      </c>
      <c r="AF108" s="3085"/>
      <c r="AG108" s="3120"/>
      <c r="AH108" s="3120"/>
      <c r="AI108" s="3320" t="s">
        <v>291</v>
      </c>
      <c r="AJ108" s="3015"/>
    </row>
    <row r="109" spans="2:36" ht="20.100000000000001" customHeight="1">
      <c r="B109" s="3219" t="s">
        <v>2722</v>
      </c>
      <c r="C109" s="3311"/>
      <c r="D109" s="10206" t="s">
        <v>2759</v>
      </c>
      <c r="E109" s="10205"/>
      <c r="F109" s="3250" t="s">
        <v>255</v>
      </c>
      <c r="G109" s="3091"/>
      <c r="H109" s="3323"/>
      <c r="I109" s="3160" t="s">
        <v>2784</v>
      </c>
      <c r="J109" s="3155"/>
      <c r="K109" s="3251" t="s">
        <v>255</v>
      </c>
      <c r="L109" s="3239"/>
      <c r="M109" s="3258"/>
      <c r="N109" s="3086"/>
      <c r="O109" s="3314"/>
      <c r="P109" s="3238"/>
      <c r="Q109" s="3345">
        <v>54.037363380335201</v>
      </c>
      <c r="R109" s="3346" t="s">
        <v>669</v>
      </c>
      <c r="S109" s="3347">
        <v>117.93083850502801</v>
      </c>
      <c r="T109" s="3346"/>
      <c r="U109" s="3348">
        <v>131.92724031512199</v>
      </c>
      <c r="V109" s="3239"/>
      <c r="W109" s="3314"/>
      <c r="X109" s="3086"/>
      <c r="Y109" s="3314"/>
      <c r="Z109" s="3238"/>
      <c r="AA109" s="3239"/>
      <c r="AB109" s="3314"/>
      <c r="AC109" s="3086"/>
      <c r="AD109" s="3314"/>
      <c r="AE109" s="3238"/>
      <c r="AF109" s="3085"/>
      <c r="AG109" s="3120"/>
      <c r="AH109" s="3120"/>
      <c r="AI109" s="3320" t="s">
        <v>2785</v>
      </c>
      <c r="AJ109" s="3015"/>
    </row>
    <row r="110" spans="2:36" ht="20.100000000000001" customHeight="1">
      <c r="B110" s="3219" t="s">
        <v>2722</v>
      </c>
      <c r="C110" s="3317"/>
      <c r="D110" s="10206" t="s">
        <v>2739</v>
      </c>
      <c r="E110" s="10205"/>
      <c r="F110" s="3090" t="s">
        <v>2740</v>
      </c>
      <c r="G110" s="3091"/>
      <c r="H110" s="3323"/>
      <c r="I110" s="3160" t="s">
        <v>2741</v>
      </c>
      <c r="J110" s="3155"/>
      <c r="K110" s="3094" t="s">
        <v>295</v>
      </c>
      <c r="L110" s="3239"/>
      <c r="M110" s="3258"/>
      <c r="N110" s="3086"/>
      <c r="O110" s="3258"/>
      <c r="P110" s="3238"/>
      <c r="Q110" s="3349">
        <v>399.33863492934103</v>
      </c>
      <c r="R110" s="3247"/>
      <c r="S110" s="3350">
        <v>1190.0442825855901</v>
      </c>
      <c r="T110" s="3247"/>
      <c r="U110" s="3351">
        <v>1322.9790625107701</v>
      </c>
      <c r="V110" s="3239"/>
      <c r="W110" s="3258"/>
      <c r="X110" s="3086"/>
      <c r="Y110" s="3258"/>
      <c r="Z110" s="3238"/>
      <c r="AA110" s="3239"/>
      <c r="AB110" s="3258"/>
      <c r="AC110" s="3086"/>
      <c r="AD110" s="3314"/>
      <c r="AE110" s="3238"/>
      <c r="AF110" s="3085"/>
      <c r="AG110" s="3120"/>
      <c r="AH110" s="3120"/>
      <c r="AI110" s="3320" t="s">
        <v>291</v>
      </c>
      <c r="AJ110" s="3015"/>
    </row>
    <row r="111" spans="2:36" ht="20.100000000000001" customHeight="1">
      <c r="B111" s="3219" t="s">
        <v>2722</v>
      </c>
      <c r="C111" s="10204" t="s">
        <v>2786</v>
      </c>
      <c r="D111" s="10205"/>
      <c r="E111" s="10205"/>
      <c r="F111" s="3250" t="s">
        <v>255</v>
      </c>
      <c r="G111" s="3312"/>
      <c r="H111" s="3122" t="s">
        <v>2787</v>
      </c>
      <c r="I111" s="3122"/>
      <c r="J111" s="3123"/>
      <c r="K111" s="3251" t="s">
        <v>255</v>
      </c>
      <c r="L111" s="3239"/>
      <c r="M111" s="3258"/>
      <c r="N111" s="3086"/>
      <c r="O111" s="3258"/>
      <c r="P111" s="3238"/>
      <c r="Q111" s="3239"/>
      <c r="R111" s="3258"/>
      <c r="S111" s="3086"/>
      <c r="T111" s="3258"/>
      <c r="U111" s="3238"/>
      <c r="V111" s="3239"/>
      <c r="W111" s="3258"/>
      <c r="X111" s="3086"/>
      <c r="Y111" s="3258"/>
      <c r="Z111" s="3238"/>
      <c r="AA111" s="3239"/>
      <c r="AB111" s="3258"/>
      <c r="AC111" s="3086"/>
      <c r="AD111" s="3258"/>
      <c r="AE111" s="3238"/>
      <c r="AF111" s="3085"/>
      <c r="AG111" s="3120"/>
      <c r="AH111" s="3120"/>
      <c r="AI111" s="3320" t="s">
        <v>323</v>
      </c>
      <c r="AJ111" s="3015"/>
    </row>
    <row r="112" spans="2:36" ht="20.100000000000001" customHeight="1">
      <c r="B112" s="3219" t="s">
        <v>2722</v>
      </c>
      <c r="C112" s="10200" t="s">
        <v>2788</v>
      </c>
      <c r="D112" s="10201"/>
      <c r="E112" s="10201"/>
      <c r="F112" s="3250" t="s">
        <v>2688</v>
      </c>
      <c r="G112" s="3312"/>
      <c r="H112" s="3122" t="s">
        <v>2789</v>
      </c>
      <c r="I112" s="3122"/>
      <c r="J112" s="3123"/>
      <c r="K112" s="3251" t="s">
        <v>2688</v>
      </c>
      <c r="L112" s="3239"/>
      <c r="M112" s="3258"/>
      <c r="N112" s="3086"/>
      <c r="O112" s="3258"/>
      <c r="P112" s="3238"/>
      <c r="Q112" s="3239"/>
      <c r="R112" s="3258"/>
      <c r="S112" s="3086"/>
      <c r="T112" s="3258"/>
      <c r="U112" s="3238"/>
      <c r="V112" s="3239"/>
      <c r="W112" s="3258"/>
      <c r="X112" s="3086"/>
      <c r="Y112" s="3258"/>
      <c r="Z112" s="3238"/>
      <c r="AA112" s="3239"/>
      <c r="AB112" s="3258"/>
      <c r="AC112" s="3086"/>
      <c r="AD112" s="3258"/>
      <c r="AE112" s="3238"/>
      <c r="AF112" s="3085"/>
      <c r="AG112" s="3120"/>
      <c r="AH112" s="3120"/>
      <c r="AI112" s="3320" t="s">
        <v>2790</v>
      </c>
      <c r="AJ112" s="3015"/>
    </row>
    <row r="113" spans="2:36" ht="20.100000000000001" customHeight="1">
      <c r="B113" s="3219" t="s">
        <v>2722</v>
      </c>
      <c r="C113" s="10204" t="s">
        <v>2791</v>
      </c>
      <c r="D113" s="10205"/>
      <c r="E113" s="10205"/>
      <c r="F113" s="3250" t="s">
        <v>2792</v>
      </c>
      <c r="G113" s="3312"/>
      <c r="H113" s="3122" t="s">
        <v>2793</v>
      </c>
      <c r="I113" s="3122"/>
      <c r="J113" s="3123"/>
      <c r="K113" s="3251" t="s">
        <v>2792</v>
      </c>
      <c r="L113" s="3352">
        <f t="shared" ref="L113" si="7">L114+L115</f>
        <v>0</v>
      </c>
      <c r="M113" s="3353"/>
      <c r="N113" s="3354">
        <f>N114+N115</f>
        <v>0</v>
      </c>
      <c r="O113" s="3353"/>
      <c r="P113" s="3355">
        <f>P114+P115</f>
        <v>0</v>
      </c>
      <c r="Q113" s="3352">
        <f>Q114+Q115</f>
        <v>0</v>
      </c>
      <c r="R113" s="3353"/>
      <c r="S113" s="3354">
        <f>S114+S115</f>
        <v>0</v>
      </c>
      <c r="T113" s="3353"/>
      <c r="U113" s="3355">
        <f>U114+U115</f>
        <v>0</v>
      </c>
      <c r="V113" s="3352">
        <f>V114+V115</f>
        <v>0</v>
      </c>
      <c r="W113" s="3353"/>
      <c r="X113" s="3354">
        <f>X114+X115</f>
        <v>0</v>
      </c>
      <c r="Y113" s="3353"/>
      <c r="Z113" s="3355">
        <f>Z114+Z115</f>
        <v>0</v>
      </c>
      <c r="AA113" s="3356">
        <f>AA114+AA115</f>
        <v>0</v>
      </c>
      <c r="AB113" s="3353"/>
      <c r="AC113" s="3357">
        <f>AC114+AC115</f>
        <v>0</v>
      </c>
      <c r="AD113" s="3353"/>
      <c r="AE113" s="3355">
        <f>AE114+AE115</f>
        <v>0</v>
      </c>
      <c r="AF113" s="3085"/>
      <c r="AG113" s="3120"/>
      <c r="AH113" s="3120"/>
      <c r="AI113" s="3320" t="s">
        <v>332</v>
      </c>
      <c r="AJ113" s="3015"/>
    </row>
    <row r="114" spans="2:36" ht="20.100000000000001" customHeight="1">
      <c r="B114" s="3219" t="s">
        <v>2722</v>
      </c>
      <c r="C114" s="3311"/>
      <c r="D114" s="10206" t="s">
        <v>2794</v>
      </c>
      <c r="E114" s="10205"/>
      <c r="F114" s="3250" t="s">
        <v>2792</v>
      </c>
      <c r="G114" s="3091"/>
      <c r="H114" s="3323"/>
      <c r="I114" s="3358" t="s">
        <v>2795</v>
      </c>
      <c r="J114" s="3123"/>
      <c r="K114" s="3251" t="s">
        <v>2792</v>
      </c>
      <c r="L114" s="3239"/>
      <c r="M114" s="3258"/>
      <c r="N114" s="3086"/>
      <c r="O114" s="3258"/>
      <c r="P114" s="3238"/>
      <c r="Q114" s="3239"/>
      <c r="R114" s="3258"/>
      <c r="S114" s="3086"/>
      <c r="T114" s="3258"/>
      <c r="U114" s="3238"/>
      <c r="V114" s="3239"/>
      <c r="W114" s="3258"/>
      <c r="X114" s="3086"/>
      <c r="Y114" s="3258"/>
      <c r="Z114" s="3238"/>
      <c r="AA114" s="3239"/>
      <c r="AB114" s="3258"/>
      <c r="AC114" s="3086"/>
      <c r="AD114" s="3258"/>
      <c r="AE114" s="3238"/>
      <c r="AF114" s="3085"/>
      <c r="AG114" s="3120"/>
      <c r="AH114" s="3120"/>
      <c r="AI114" s="3320" t="s">
        <v>332</v>
      </c>
      <c r="AJ114" s="3015"/>
    </row>
    <row r="115" spans="2:36" ht="20.100000000000001" customHeight="1">
      <c r="B115" s="3219" t="s">
        <v>2722</v>
      </c>
      <c r="C115" s="3317"/>
      <c r="D115" s="10206" t="s">
        <v>2796</v>
      </c>
      <c r="E115" s="10205"/>
      <c r="F115" s="3250" t="s">
        <v>2792</v>
      </c>
      <c r="G115" s="3091"/>
      <c r="H115" s="3323"/>
      <c r="I115" s="3358" t="s">
        <v>2797</v>
      </c>
      <c r="J115" s="3126"/>
      <c r="K115" s="3251" t="s">
        <v>2792</v>
      </c>
      <c r="L115" s="3239"/>
      <c r="M115" s="3258"/>
      <c r="N115" s="3086"/>
      <c r="O115" s="3258"/>
      <c r="P115" s="3238"/>
      <c r="Q115" s="3239"/>
      <c r="R115" s="3258"/>
      <c r="S115" s="3086"/>
      <c r="T115" s="3258"/>
      <c r="U115" s="3238"/>
      <c r="V115" s="3239"/>
      <c r="W115" s="3258"/>
      <c r="X115" s="3086"/>
      <c r="Y115" s="3258"/>
      <c r="Z115" s="3238"/>
      <c r="AA115" s="3239"/>
      <c r="AB115" s="3258"/>
      <c r="AC115" s="3086"/>
      <c r="AD115" s="3258"/>
      <c r="AE115" s="3238"/>
      <c r="AF115" s="3085"/>
      <c r="AG115" s="3120"/>
      <c r="AH115" s="3120"/>
      <c r="AI115" s="3320" t="s">
        <v>332</v>
      </c>
      <c r="AJ115" s="3015"/>
    </row>
    <row r="116" spans="2:36" ht="20.100000000000001" customHeight="1">
      <c r="B116" s="3219" t="s">
        <v>2722</v>
      </c>
      <c r="C116" s="10200" t="s">
        <v>2798</v>
      </c>
      <c r="D116" s="10201"/>
      <c r="E116" s="10201"/>
      <c r="F116" s="3250" t="s">
        <v>2688</v>
      </c>
      <c r="G116" s="3312"/>
      <c r="H116" s="3122" t="s">
        <v>2799</v>
      </c>
      <c r="I116" s="3122"/>
      <c r="J116" s="3155"/>
      <c r="K116" s="3251" t="s">
        <v>2688</v>
      </c>
      <c r="L116" s="3239"/>
      <c r="M116" s="3258"/>
      <c r="N116" s="3086"/>
      <c r="O116" s="3258"/>
      <c r="P116" s="3238"/>
      <c r="Q116" s="3239"/>
      <c r="R116" s="3258"/>
      <c r="S116" s="3086"/>
      <c r="T116" s="3258"/>
      <c r="U116" s="3238"/>
      <c r="V116" s="3239"/>
      <c r="W116" s="3258"/>
      <c r="X116" s="3086"/>
      <c r="Y116" s="3258"/>
      <c r="Z116" s="3238"/>
      <c r="AA116" s="3239"/>
      <c r="AB116" s="3258"/>
      <c r="AC116" s="3086"/>
      <c r="AD116" s="3258"/>
      <c r="AE116" s="3238"/>
      <c r="AF116" s="3085"/>
      <c r="AG116" s="3120"/>
      <c r="AH116" s="3120"/>
      <c r="AI116" s="3320" t="s">
        <v>2790</v>
      </c>
      <c r="AJ116" s="3015"/>
    </row>
    <row r="117" spans="2:36" ht="20.100000000000001" customHeight="1">
      <c r="B117" s="3219" t="s">
        <v>2722</v>
      </c>
      <c r="C117" s="3269"/>
      <c r="D117" s="3168" t="s">
        <v>2800</v>
      </c>
      <c r="E117" s="3168"/>
      <c r="F117" s="3259" t="s">
        <v>2792</v>
      </c>
      <c r="G117" s="3091"/>
      <c r="H117" s="3323"/>
      <c r="I117" s="3160" t="s">
        <v>2766</v>
      </c>
      <c r="J117" s="3155"/>
      <c r="K117" s="3251" t="s">
        <v>2792</v>
      </c>
      <c r="L117" s="3239"/>
      <c r="M117" s="3258"/>
      <c r="N117" s="3086"/>
      <c r="O117" s="3258"/>
      <c r="P117" s="3238"/>
      <c r="Q117" s="3239"/>
      <c r="R117" s="3258"/>
      <c r="S117" s="3086"/>
      <c r="T117" s="3258"/>
      <c r="U117" s="3238"/>
      <c r="V117" s="3239"/>
      <c r="W117" s="3258"/>
      <c r="X117" s="3086"/>
      <c r="Y117" s="3258"/>
      <c r="Z117" s="3238"/>
      <c r="AA117" s="3239"/>
      <c r="AB117" s="3258"/>
      <c r="AC117" s="3086"/>
      <c r="AD117" s="3258"/>
      <c r="AE117" s="3238"/>
      <c r="AF117" s="3085"/>
      <c r="AG117" s="3120"/>
      <c r="AH117" s="3120"/>
      <c r="AI117" s="3359" t="s">
        <v>2767</v>
      </c>
      <c r="AJ117" s="3015"/>
    </row>
    <row r="118" spans="2:36" ht="20.100000000000001" customHeight="1">
      <c r="B118" s="3219" t="s">
        <v>2722</v>
      </c>
      <c r="C118" s="3273"/>
      <c r="D118" s="3168" t="s">
        <v>2759</v>
      </c>
      <c r="E118" s="3168"/>
      <c r="F118" s="3259" t="s">
        <v>2792</v>
      </c>
      <c r="G118" s="3360"/>
      <c r="H118" s="3323"/>
      <c r="I118" s="3160" t="s">
        <v>2760</v>
      </c>
      <c r="J118" s="3155"/>
      <c r="K118" s="3251" t="s">
        <v>2792</v>
      </c>
      <c r="L118" s="3239"/>
      <c r="M118" s="3258"/>
      <c r="N118" s="3086"/>
      <c r="O118" s="3258"/>
      <c r="P118" s="3238"/>
      <c r="Q118" s="3239"/>
      <c r="R118" s="3258"/>
      <c r="S118" s="3086"/>
      <c r="T118" s="3258"/>
      <c r="U118" s="3238"/>
      <c r="V118" s="3239"/>
      <c r="W118" s="3258"/>
      <c r="X118" s="3086"/>
      <c r="Y118" s="3258"/>
      <c r="Z118" s="3238"/>
      <c r="AA118" s="3239"/>
      <c r="AB118" s="3258"/>
      <c r="AC118" s="3086"/>
      <c r="AD118" s="3258"/>
      <c r="AE118" s="3238"/>
      <c r="AF118" s="3085"/>
      <c r="AG118" s="3120"/>
      <c r="AH118" s="3120"/>
      <c r="AI118" s="3359" t="s">
        <v>2761</v>
      </c>
      <c r="AJ118" s="3015"/>
    </row>
    <row r="119" spans="2:36" ht="20.100000000000001" customHeight="1">
      <c r="B119" s="3219" t="s">
        <v>2722</v>
      </c>
      <c r="C119" s="3278" t="s">
        <v>2801</v>
      </c>
      <c r="D119" s="3361"/>
      <c r="E119" s="3361"/>
      <c r="F119" s="3280" t="s">
        <v>2676</v>
      </c>
      <c r="G119" s="3362"/>
      <c r="H119" s="3282" t="s">
        <v>2802</v>
      </c>
      <c r="I119" s="3363"/>
      <c r="J119" s="3364"/>
      <c r="K119" s="3285" t="s">
        <v>2676</v>
      </c>
      <c r="L119" s="3291"/>
      <c r="M119" s="3365"/>
      <c r="N119" s="3292"/>
      <c r="O119" s="3365"/>
      <c r="P119" s="3290"/>
      <c r="Q119" s="3291"/>
      <c r="R119" s="3365"/>
      <c r="S119" s="3292"/>
      <c r="T119" s="3365"/>
      <c r="U119" s="3290"/>
      <c r="V119" s="3291"/>
      <c r="W119" s="3365"/>
      <c r="X119" s="3292"/>
      <c r="Y119" s="3365"/>
      <c r="Z119" s="3290"/>
      <c r="AA119" s="3291"/>
      <c r="AB119" s="3365"/>
      <c r="AC119" s="3292"/>
      <c r="AD119" s="3365"/>
      <c r="AE119" s="3290"/>
      <c r="AF119" s="3085"/>
      <c r="AG119" s="3120"/>
      <c r="AH119" s="3120"/>
      <c r="AI119" s="3320"/>
      <c r="AJ119" s="3015"/>
    </row>
    <row r="120" spans="2:36" ht="20.100000000000001" customHeight="1">
      <c r="B120" s="3219" t="s">
        <v>2722</v>
      </c>
      <c r="C120" s="3293"/>
      <c r="D120" s="3169" t="s">
        <v>2803</v>
      </c>
      <c r="E120" s="3167"/>
      <c r="F120" s="3259" t="s">
        <v>2792</v>
      </c>
      <c r="G120" s="3366"/>
      <c r="H120" s="3257"/>
      <c r="I120" s="3170" t="s">
        <v>2804</v>
      </c>
      <c r="J120" s="3155"/>
      <c r="K120" s="3251" t="s">
        <v>2792</v>
      </c>
      <c r="L120" s="3239"/>
      <c r="M120" s="3258"/>
      <c r="N120" s="3086"/>
      <c r="O120" s="3258"/>
      <c r="P120" s="3238"/>
      <c r="Q120" s="3239"/>
      <c r="R120" s="3258"/>
      <c r="S120" s="3086"/>
      <c r="T120" s="3258"/>
      <c r="U120" s="3238"/>
      <c r="V120" s="3239"/>
      <c r="W120" s="3258"/>
      <c r="X120" s="3086"/>
      <c r="Y120" s="3258"/>
      <c r="Z120" s="3238"/>
      <c r="AA120" s="3239"/>
      <c r="AB120" s="3258"/>
      <c r="AC120" s="3086"/>
      <c r="AD120" s="3258"/>
      <c r="AE120" s="3238"/>
      <c r="AF120" s="3085"/>
      <c r="AG120" s="3120"/>
      <c r="AH120" s="3120"/>
      <c r="AI120" s="3161"/>
      <c r="AJ120" s="3015"/>
    </row>
    <row r="121" spans="2:36" ht="20.100000000000001" customHeight="1">
      <c r="B121" s="3219" t="s">
        <v>2722</v>
      </c>
      <c r="C121" s="3367"/>
      <c r="D121" s="3177" t="s">
        <v>2805</v>
      </c>
      <c r="E121" s="3368"/>
      <c r="F121" s="3250" t="s">
        <v>2792</v>
      </c>
      <c r="G121" s="3319"/>
      <c r="H121" s="3369"/>
      <c r="I121" s="3160" t="s">
        <v>2806</v>
      </c>
      <c r="J121" s="3155"/>
      <c r="K121" s="3251" t="s">
        <v>2792</v>
      </c>
      <c r="L121" s="3239"/>
      <c r="M121" s="3258"/>
      <c r="N121" s="3086"/>
      <c r="O121" s="3258"/>
      <c r="P121" s="3238"/>
      <c r="Q121" s="3239"/>
      <c r="R121" s="3258"/>
      <c r="S121" s="3086"/>
      <c r="T121" s="3258"/>
      <c r="U121" s="3238"/>
      <c r="V121" s="3239"/>
      <c r="W121" s="3258"/>
      <c r="X121" s="3086"/>
      <c r="Y121" s="3258"/>
      <c r="Z121" s="3238"/>
      <c r="AA121" s="3239"/>
      <c r="AB121" s="3258"/>
      <c r="AC121" s="3086"/>
      <c r="AD121" s="3258"/>
      <c r="AE121" s="3238"/>
      <c r="AF121" s="3085"/>
      <c r="AG121" s="3120"/>
      <c r="AH121" s="3120"/>
      <c r="AI121" s="3161"/>
      <c r="AJ121" s="3015"/>
    </row>
    <row r="122" spans="2:36" ht="20.100000000000001" customHeight="1" thickBot="1">
      <c r="B122" s="3219" t="s">
        <v>2722</v>
      </c>
      <c r="C122" s="3370"/>
      <c r="D122" s="3371" t="s">
        <v>2756</v>
      </c>
      <c r="E122" s="3368"/>
      <c r="F122" s="3372" t="s">
        <v>2792</v>
      </c>
      <c r="G122" s="3373"/>
      <c r="H122" s="3374"/>
      <c r="I122" s="3301" t="s">
        <v>2807</v>
      </c>
      <c r="J122" s="3375"/>
      <c r="K122" s="3376" t="s">
        <v>2792</v>
      </c>
      <c r="L122" s="3239"/>
      <c r="M122" s="3377"/>
      <c r="N122" s="3086"/>
      <c r="O122" s="3377"/>
      <c r="P122" s="3238"/>
      <c r="Q122" s="3239"/>
      <c r="R122" s="3377"/>
      <c r="S122" s="3086"/>
      <c r="T122" s="3377"/>
      <c r="U122" s="3238"/>
      <c r="V122" s="3239"/>
      <c r="W122" s="3377"/>
      <c r="X122" s="3086"/>
      <c r="Y122" s="3377"/>
      <c r="Z122" s="3238"/>
      <c r="AA122" s="3239"/>
      <c r="AB122" s="3377"/>
      <c r="AC122" s="3086"/>
      <c r="AD122" s="3377"/>
      <c r="AE122" s="3238"/>
      <c r="AF122" s="3085"/>
      <c r="AG122" s="3190"/>
      <c r="AH122" s="3190"/>
      <c r="AI122" s="3203"/>
      <c r="AJ122" s="3015"/>
    </row>
    <row r="123" spans="2:36" ht="27" thickBot="1">
      <c r="B123" s="3219" t="s">
        <v>2722</v>
      </c>
      <c r="C123" s="3105" t="s">
        <v>2808</v>
      </c>
      <c r="D123" s="3106"/>
      <c r="E123" s="3106"/>
      <c r="F123" s="3106"/>
      <c r="G123" s="3378" t="s">
        <v>2809</v>
      </c>
      <c r="H123" s="3379"/>
      <c r="I123" s="3379"/>
      <c r="J123" s="3379"/>
      <c r="K123" s="3380"/>
      <c r="L123" s="3129"/>
      <c r="M123" s="3130"/>
      <c r="N123" s="3130"/>
      <c r="O123" s="3130"/>
      <c r="P123" s="3131"/>
      <c r="Q123" s="3129"/>
      <c r="R123" s="3130"/>
      <c r="S123" s="3130"/>
      <c r="T123" s="3130"/>
      <c r="U123" s="3131"/>
      <c r="V123" s="3129"/>
      <c r="W123" s="3130"/>
      <c r="X123" s="3130"/>
      <c r="Y123" s="3130"/>
      <c r="Z123" s="3131"/>
      <c r="AA123" s="3129"/>
      <c r="AB123" s="3130"/>
      <c r="AC123" s="3130"/>
      <c r="AD123" s="3130"/>
      <c r="AE123" s="3131"/>
      <c r="AF123" s="3112"/>
      <c r="AG123" s="3113"/>
      <c r="AH123" s="3113"/>
      <c r="AI123" s="3302"/>
      <c r="AJ123" s="3015"/>
    </row>
    <row r="124" spans="2:36" ht="20.100000000000001" customHeight="1">
      <c r="B124" s="3219" t="s">
        <v>2722</v>
      </c>
      <c r="C124" s="10189" t="s">
        <v>2810</v>
      </c>
      <c r="D124" s="10190"/>
      <c r="E124" s="10190"/>
      <c r="F124" s="3115" t="s">
        <v>2811</v>
      </c>
      <c r="G124" s="3381"/>
      <c r="H124" s="3382" t="s">
        <v>2812</v>
      </c>
      <c r="I124" s="3382"/>
      <c r="J124" s="3382"/>
      <c r="K124" s="3383" t="s">
        <v>2811</v>
      </c>
      <c r="L124" s="3384">
        <f t="shared" ref="L124" si="8">SUM(L125:L128)</f>
        <v>0</v>
      </c>
      <c r="M124" s="3385"/>
      <c r="N124" s="3386">
        <f>SUM(N125:N128)</f>
        <v>0</v>
      </c>
      <c r="O124" s="3385"/>
      <c r="P124" s="3387">
        <f>SUM(P125:P128)</f>
        <v>0</v>
      </c>
      <c r="Q124" s="3384">
        <f>SUM(Q125:Q128)</f>
        <v>36047.093980099504</v>
      </c>
      <c r="R124" s="3385"/>
      <c r="S124" s="3386">
        <f>SUM(S125:S128)</f>
        <v>64373.987004694834</v>
      </c>
      <c r="T124" s="3385"/>
      <c r="U124" s="3387">
        <f>SUM(U125:U128)</f>
        <v>76494.656121343447</v>
      </c>
      <c r="V124" s="3384">
        <f>SUM(V125:V128)</f>
        <v>0</v>
      </c>
      <c r="W124" s="3385"/>
      <c r="X124" s="3386">
        <f>SUM(X125:X128)</f>
        <v>0</v>
      </c>
      <c r="Y124" s="3385"/>
      <c r="Z124" s="3387">
        <f>SUM(Z125:Z128)</f>
        <v>0</v>
      </c>
      <c r="AA124" s="3384">
        <f>SUM(AA125:AA128)</f>
        <v>0</v>
      </c>
      <c r="AB124" s="3385"/>
      <c r="AC124" s="3386">
        <f>SUM(AC125:AC128)</f>
        <v>0</v>
      </c>
      <c r="AD124" s="3385"/>
      <c r="AE124" s="3387">
        <f>SUM(AE125:AE128)</f>
        <v>0</v>
      </c>
      <c r="AF124" s="3085"/>
      <c r="AG124" s="3120"/>
      <c r="AH124" s="3120"/>
      <c r="AI124" s="3320" t="s">
        <v>2813</v>
      </c>
      <c r="AJ124" s="3015"/>
    </row>
    <row r="125" spans="2:36" ht="20.100000000000001" customHeight="1">
      <c r="B125" s="3219" t="s">
        <v>2722</v>
      </c>
      <c r="C125" s="3388"/>
      <c r="D125" s="3389" t="s">
        <v>2814</v>
      </c>
      <c r="E125" s="3390"/>
      <c r="F125" s="3115" t="s">
        <v>2811</v>
      </c>
      <c r="G125" s="3312"/>
      <c r="H125" s="3391"/>
      <c r="I125" s="3244" t="s">
        <v>2815</v>
      </c>
      <c r="J125" s="3392"/>
      <c r="K125" s="3081" t="s">
        <v>2811</v>
      </c>
      <c r="L125" s="3239"/>
      <c r="M125" s="3258"/>
      <c r="N125" s="3086"/>
      <c r="O125" s="3258"/>
      <c r="P125" s="3238"/>
      <c r="Q125" s="3239">
        <v>36047.093980099504</v>
      </c>
      <c r="R125" s="3258"/>
      <c r="S125" s="3086">
        <v>64373.987004694834</v>
      </c>
      <c r="T125" s="3258"/>
      <c r="U125" s="3238">
        <v>76494.656121343447</v>
      </c>
      <c r="V125" s="3239"/>
      <c r="W125" s="3258"/>
      <c r="X125" s="3086"/>
      <c r="Y125" s="3258"/>
      <c r="Z125" s="3238"/>
      <c r="AA125" s="3239"/>
      <c r="AB125" s="3258"/>
      <c r="AC125" s="3086"/>
      <c r="AD125" s="3258"/>
      <c r="AE125" s="3238"/>
      <c r="AF125" s="3085"/>
      <c r="AG125" s="3120"/>
      <c r="AH125" s="3120"/>
      <c r="AI125" s="3320" t="s">
        <v>2816</v>
      </c>
      <c r="AJ125" s="3015"/>
    </row>
    <row r="126" spans="2:36" ht="20.100000000000001" customHeight="1">
      <c r="B126" s="3219" t="s">
        <v>2722</v>
      </c>
      <c r="C126" s="3393"/>
      <c r="D126" s="3389" t="s">
        <v>2817</v>
      </c>
      <c r="E126" s="3390"/>
      <c r="F126" s="3115" t="s">
        <v>2811</v>
      </c>
      <c r="G126" s="3312"/>
      <c r="I126" s="3244" t="s">
        <v>2818</v>
      </c>
      <c r="J126" s="3245"/>
      <c r="K126" s="3119" t="s">
        <v>2811</v>
      </c>
      <c r="L126" s="3239"/>
      <c r="M126" s="3394" t="s">
        <v>2819</v>
      </c>
      <c r="N126" s="3086"/>
      <c r="O126" s="3394" t="s">
        <v>2819</v>
      </c>
      <c r="P126" s="3238"/>
      <c r="Q126" s="3239"/>
      <c r="R126" s="3394" t="s">
        <v>2819</v>
      </c>
      <c r="S126" s="3086"/>
      <c r="T126" s="3394" t="s">
        <v>2819</v>
      </c>
      <c r="U126" s="3238"/>
      <c r="V126" s="3239"/>
      <c r="W126" s="3394" t="s">
        <v>2819</v>
      </c>
      <c r="X126" s="3086"/>
      <c r="Y126" s="3394" t="s">
        <v>2819</v>
      </c>
      <c r="Z126" s="3238"/>
      <c r="AA126" s="3239"/>
      <c r="AB126" s="3394" t="s">
        <v>2819</v>
      </c>
      <c r="AC126" s="3086"/>
      <c r="AD126" s="3394" t="s">
        <v>2819</v>
      </c>
      <c r="AE126" s="3238"/>
      <c r="AF126" s="3085"/>
      <c r="AG126" s="3120"/>
      <c r="AH126" s="3120"/>
      <c r="AI126" s="3320" t="s">
        <v>2816</v>
      </c>
      <c r="AJ126" s="3015"/>
    </row>
    <row r="127" spans="2:36" ht="20.100000000000001" customHeight="1">
      <c r="B127" s="3219" t="s">
        <v>2722</v>
      </c>
      <c r="C127" s="3393"/>
      <c r="D127" s="3389" t="s">
        <v>2820</v>
      </c>
      <c r="E127" s="3390"/>
      <c r="F127" s="3115" t="s">
        <v>2811</v>
      </c>
      <c r="G127" s="3312"/>
      <c r="I127" s="3244" t="s">
        <v>2821</v>
      </c>
      <c r="J127" s="3245"/>
      <c r="K127" s="3119" t="s">
        <v>2811</v>
      </c>
      <c r="L127" s="3239"/>
      <c r="M127" s="3394" t="s">
        <v>2819</v>
      </c>
      <c r="N127" s="3086"/>
      <c r="O127" s="3394" t="s">
        <v>2819</v>
      </c>
      <c r="P127" s="3238"/>
      <c r="Q127" s="3239"/>
      <c r="R127" s="3394" t="s">
        <v>2819</v>
      </c>
      <c r="S127" s="3086"/>
      <c r="T127" s="3394" t="s">
        <v>2819</v>
      </c>
      <c r="U127" s="3238"/>
      <c r="V127" s="3239"/>
      <c r="W127" s="3394" t="s">
        <v>2819</v>
      </c>
      <c r="X127" s="3086"/>
      <c r="Y127" s="3394" t="s">
        <v>2819</v>
      </c>
      <c r="Z127" s="3238"/>
      <c r="AA127" s="3239"/>
      <c r="AB127" s="3394" t="s">
        <v>2819</v>
      </c>
      <c r="AC127" s="3086"/>
      <c r="AD127" s="3394" t="s">
        <v>2819</v>
      </c>
      <c r="AE127" s="3238"/>
      <c r="AF127" s="3085"/>
      <c r="AG127" s="3120"/>
      <c r="AH127" s="3120"/>
      <c r="AI127" s="3320" t="s">
        <v>2822</v>
      </c>
      <c r="AJ127" s="3015"/>
    </row>
    <row r="128" spans="2:36" ht="20.100000000000001" customHeight="1">
      <c r="B128" s="3219" t="s">
        <v>2722</v>
      </c>
      <c r="C128" s="3395"/>
      <c r="D128" s="3389" t="s">
        <v>2823</v>
      </c>
      <c r="E128" s="3390"/>
      <c r="F128" s="3115" t="s">
        <v>2811</v>
      </c>
      <c r="G128" s="3396"/>
      <c r="I128" s="3244" t="s">
        <v>2824</v>
      </c>
      <c r="J128" s="3245"/>
      <c r="K128" s="3119" t="s">
        <v>2811</v>
      </c>
      <c r="L128" s="3239"/>
      <c r="M128" s="3394" t="s">
        <v>2819</v>
      </c>
      <c r="N128" s="3086"/>
      <c r="O128" s="3394" t="s">
        <v>2819</v>
      </c>
      <c r="P128" s="3238"/>
      <c r="Q128" s="3239"/>
      <c r="R128" s="3394" t="s">
        <v>2819</v>
      </c>
      <c r="S128" s="3086"/>
      <c r="T128" s="3394" t="s">
        <v>2819</v>
      </c>
      <c r="U128" s="3238"/>
      <c r="V128" s="3239"/>
      <c r="W128" s="3394" t="s">
        <v>2819</v>
      </c>
      <c r="X128" s="3086"/>
      <c r="Y128" s="3394" t="s">
        <v>2819</v>
      </c>
      <c r="Z128" s="3238"/>
      <c r="AA128" s="3239"/>
      <c r="AB128" s="3394" t="s">
        <v>2819</v>
      </c>
      <c r="AC128" s="3086"/>
      <c r="AD128" s="3394" t="s">
        <v>2819</v>
      </c>
      <c r="AE128" s="3238"/>
      <c r="AF128" s="3085"/>
      <c r="AG128" s="3120"/>
      <c r="AH128" s="3120"/>
      <c r="AI128" s="3320" t="s">
        <v>2822</v>
      </c>
      <c r="AJ128" s="3015"/>
    </row>
    <row r="129" spans="2:36" ht="20.100000000000001" customHeight="1">
      <c r="B129" s="3397"/>
      <c r="C129" s="10191" t="s">
        <v>2825</v>
      </c>
      <c r="D129" s="10192"/>
      <c r="E129" s="10192"/>
      <c r="F129" s="3398" t="s">
        <v>2811</v>
      </c>
      <c r="G129" s="3399"/>
      <c r="H129" s="3400" t="s">
        <v>2826</v>
      </c>
      <c r="I129" s="3400"/>
      <c r="J129" s="3401"/>
      <c r="K129" s="3119" t="s">
        <v>2811</v>
      </c>
      <c r="L129" s="3402">
        <f t="shared" ref="L129" si="9">L130-L131</f>
        <v>0</v>
      </c>
      <c r="M129" s="3258"/>
      <c r="N129" s="3403">
        <f>N130-N131</f>
        <v>0</v>
      </c>
      <c r="O129" s="3258"/>
      <c r="P129" s="3404">
        <f>P130-P131</f>
        <v>0</v>
      </c>
      <c r="Q129" s="3402">
        <f>Q130-Q131</f>
        <v>0</v>
      </c>
      <c r="R129" s="3258"/>
      <c r="S129" s="3403">
        <f>S130-S131</f>
        <v>0</v>
      </c>
      <c r="T129" s="3258"/>
      <c r="U129" s="3404">
        <f>U130-U131</f>
        <v>0</v>
      </c>
      <c r="V129" s="3402">
        <f>V130-V131</f>
        <v>0</v>
      </c>
      <c r="W129" s="3258"/>
      <c r="X129" s="3403">
        <f>X130-X131</f>
        <v>0</v>
      </c>
      <c r="Y129" s="3258"/>
      <c r="Z129" s="3404">
        <f>Z130-Z131</f>
        <v>0</v>
      </c>
      <c r="AA129" s="3402">
        <f>AA130-AA131</f>
        <v>0</v>
      </c>
      <c r="AB129" s="3258"/>
      <c r="AC129" s="3403">
        <f>AC130-AC131</f>
        <v>0</v>
      </c>
      <c r="AD129" s="3258"/>
      <c r="AE129" s="3404">
        <f>AE130-AE131</f>
        <v>0</v>
      </c>
      <c r="AF129" s="3085"/>
      <c r="AG129" s="3120"/>
      <c r="AH129" s="3120"/>
      <c r="AI129" s="3405" t="s">
        <v>374</v>
      </c>
      <c r="AJ129" s="3015"/>
    </row>
    <row r="130" spans="2:36" ht="20.100000000000001" customHeight="1">
      <c r="B130" s="3397"/>
      <c r="C130" s="10193"/>
      <c r="D130" s="10195" t="s">
        <v>2810</v>
      </c>
      <c r="E130" s="10192"/>
      <c r="F130" s="3398" t="s">
        <v>2811</v>
      </c>
      <c r="G130" s="3399"/>
      <c r="H130" s="3406"/>
      <c r="I130" s="3407" t="s">
        <v>2827</v>
      </c>
      <c r="J130" s="3408"/>
      <c r="K130" s="3119" t="s">
        <v>2811</v>
      </c>
      <c r="L130" s="3239"/>
      <c r="M130" s="3258"/>
      <c r="N130" s="3086"/>
      <c r="O130" s="3258"/>
      <c r="P130" s="3238"/>
      <c r="Q130" s="3239"/>
      <c r="R130" s="3258"/>
      <c r="S130" s="3086"/>
      <c r="T130" s="3258"/>
      <c r="U130" s="3238"/>
      <c r="V130" s="3239"/>
      <c r="W130" s="3258"/>
      <c r="X130" s="3086"/>
      <c r="Y130" s="3258"/>
      <c r="Z130" s="3238"/>
      <c r="AA130" s="3239"/>
      <c r="AB130" s="3258"/>
      <c r="AC130" s="3086"/>
      <c r="AD130" s="3258"/>
      <c r="AE130" s="3238"/>
      <c r="AF130" s="3085"/>
      <c r="AG130" s="3120"/>
      <c r="AH130" s="3120"/>
      <c r="AI130" s="3405" t="s">
        <v>374</v>
      </c>
      <c r="AJ130" s="3015"/>
    </row>
    <row r="131" spans="2:36" ht="20.100000000000001" customHeight="1">
      <c r="B131" s="3397"/>
      <c r="C131" s="10194"/>
      <c r="D131" s="10195" t="s">
        <v>2828</v>
      </c>
      <c r="E131" s="10192"/>
      <c r="F131" s="3398" t="s">
        <v>2811</v>
      </c>
      <c r="G131" s="3399"/>
      <c r="H131" s="3409"/>
      <c r="I131" s="3407" t="s">
        <v>2829</v>
      </c>
      <c r="J131" s="3408"/>
      <c r="K131" s="3119" t="s">
        <v>2811</v>
      </c>
      <c r="L131" s="3239"/>
      <c r="M131" s="3258"/>
      <c r="N131" s="3086"/>
      <c r="O131" s="3258"/>
      <c r="P131" s="3238"/>
      <c r="Q131" s="3239"/>
      <c r="R131" s="3258"/>
      <c r="S131" s="3086"/>
      <c r="T131" s="3258"/>
      <c r="U131" s="3238"/>
      <c r="V131" s="3239"/>
      <c r="W131" s="3258"/>
      <c r="X131" s="3086"/>
      <c r="Y131" s="3258"/>
      <c r="Z131" s="3238"/>
      <c r="AA131" s="3239"/>
      <c r="AB131" s="3258"/>
      <c r="AC131" s="3086"/>
      <c r="AD131" s="3258"/>
      <c r="AE131" s="3238"/>
      <c r="AF131" s="3085"/>
      <c r="AG131" s="3120"/>
      <c r="AH131" s="3120"/>
      <c r="AI131" s="3405" t="s">
        <v>374</v>
      </c>
      <c r="AJ131" s="3015"/>
    </row>
    <row r="132" spans="2:36" s="3422" customFormat="1" ht="20.100000000000001" customHeight="1">
      <c r="B132" s="3410"/>
      <c r="C132" s="10196" t="s">
        <v>2828</v>
      </c>
      <c r="D132" s="10197"/>
      <c r="E132" s="10197"/>
      <c r="F132" s="3115" t="s">
        <v>2830</v>
      </c>
      <c r="G132" s="3366"/>
      <c r="H132" s="3411" t="s">
        <v>2829</v>
      </c>
      <c r="I132" s="3411"/>
      <c r="J132" s="3412"/>
      <c r="K132" s="3413" t="s">
        <v>2830</v>
      </c>
      <c r="L132" s="3414"/>
      <c r="M132" s="3415"/>
      <c r="N132" s="3416"/>
      <c r="O132" s="3415"/>
      <c r="P132" s="3417"/>
      <c r="Q132" s="3414"/>
      <c r="R132" s="3415"/>
      <c r="S132" s="3416"/>
      <c r="T132" s="3415"/>
      <c r="U132" s="3417"/>
      <c r="V132" s="3414"/>
      <c r="W132" s="3415"/>
      <c r="X132" s="3416"/>
      <c r="Y132" s="3415"/>
      <c r="Z132" s="3417"/>
      <c r="AA132" s="3414"/>
      <c r="AB132" s="3415"/>
      <c r="AC132" s="3416"/>
      <c r="AD132" s="3415"/>
      <c r="AE132" s="3417"/>
      <c r="AF132" s="3418"/>
      <c r="AG132" s="3419"/>
      <c r="AH132" s="3419"/>
      <c r="AI132" s="3420" t="s">
        <v>366</v>
      </c>
      <c r="AJ132" s="3421"/>
    </row>
    <row r="133" spans="2:36" ht="20.100000000000001" customHeight="1">
      <c r="B133" s="3423"/>
      <c r="C133" s="10198" t="s">
        <v>2831</v>
      </c>
      <c r="D133" s="10176"/>
      <c r="E133" s="10176"/>
      <c r="F133" s="3115" t="s">
        <v>2811</v>
      </c>
      <c r="G133" s="3366"/>
      <c r="H133" s="3122" t="s">
        <v>2832</v>
      </c>
      <c r="I133" s="3122"/>
      <c r="J133" s="3123"/>
      <c r="K133" s="3141" t="s">
        <v>2811</v>
      </c>
      <c r="L133" s="3239"/>
      <c r="M133" s="3424"/>
      <c r="N133" s="3086"/>
      <c r="O133" s="3424"/>
      <c r="P133" s="3238"/>
      <c r="Q133" s="3239"/>
      <c r="R133" s="3424"/>
      <c r="S133" s="3086"/>
      <c r="T133" s="3424"/>
      <c r="U133" s="3238"/>
      <c r="V133" s="3239"/>
      <c r="W133" s="3424"/>
      <c r="X133" s="3086"/>
      <c r="Y133" s="3425"/>
      <c r="Z133" s="3238"/>
      <c r="AA133" s="3239"/>
      <c r="AB133" s="3426"/>
      <c r="AC133" s="3086"/>
      <c r="AD133" s="3426"/>
      <c r="AE133" s="3238"/>
      <c r="AF133" s="3085"/>
      <c r="AG133" s="3120"/>
      <c r="AH133" s="3120"/>
      <c r="AI133" s="3405" t="s">
        <v>379</v>
      </c>
      <c r="AJ133" s="3008"/>
    </row>
    <row r="134" spans="2:36" ht="20.100000000000001" customHeight="1">
      <c r="B134" s="3423"/>
      <c r="C134" s="10198" t="s">
        <v>2833</v>
      </c>
      <c r="D134" s="10176"/>
      <c r="E134" s="10176"/>
      <c r="F134" s="3115" t="s">
        <v>2688</v>
      </c>
      <c r="G134" s="3366"/>
      <c r="H134" s="3122" t="s">
        <v>2834</v>
      </c>
      <c r="I134" s="3122"/>
      <c r="J134" s="3123"/>
      <c r="K134" s="3141" t="s">
        <v>2688</v>
      </c>
      <c r="L134" s="3427"/>
      <c r="M134" s="3424"/>
      <c r="N134" s="3428"/>
      <c r="O134" s="3424"/>
      <c r="P134" s="3429"/>
      <c r="Q134" s="3427"/>
      <c r="R134" s="3424"/>
      <c r="S134" s="3428"/>
      <c r="T134" s="3424"/>
      <c r="U134" s="3429"/>
      <c r="V134" s="3427"/>
      <c r="W134" s="3424"/>
      <c r="X134" s="3428"/>
      <c r="Y134" s="3425"/>
      <c r="Z134" s="3429"/>
      <c r="AA134" s="3427"/>
      <c r="AB134" s="3426"/>
      <c r="AC134" s="3428"/>
      <c r="AD134" s="3426"/>
      <c r="AE134" s="3429"/>
      <c r="AF134" s="3085"/>
      <c r="AG134" s="3120"/>
      <c r="AH134" s="3120"/>
      <c r="AI134" s="3405" t="s">
        <v>384</v>
      </c>
      <c r="AJ134" s="3008"/>
    </row>
    <row r="135" spans="2:36" ht="20.100000000000001" customHeight="1">
      <c r="B135" s="3423"/>
      <c r="C135" s="10182"/>
      <c r="D135" s="3430" t="s">
        <v>2835</v>
      </c>
      <c r="E135" s="3431"/>
      <c r="F135" s="3432" t="s">
        <v>2811</v>
      </c>
      <c r="G135" s="3366"/>
      <c r="I135" s="3433" t="s">
        <v>2836</v>
      </c>
      <c r="J135" s="3330"/>
      <c r="K135" s="3141" t="s">
        <v>2811</v>
      </c>
      <c r="L135" s="3434"/>
      <c r="M135" s="3424"/>
      <c r="N135" s="3435"/>
      <c r="O135" s="3424"/>
      <c r="P135" s="3436"/>
      <c r="Q135" s="3434"/>
      <c r="R135" s="3424"/>
      <c r="S135" s="3435"/>
      <c r="T135" s="3424"/>
      <c r="U135" s="3436"/>
      <c r="V135" s="3434"/>
      <c r="W135" s="3424"/>
      <c r="X135" s="3435"/>
      <c r="Y135" s="3425"/>
      <c r="Z135" s="3436"/>
      <c r="AA135" s="3434"/>
      <c r="AB135" s="3426"/>
      <c r="AC135" s="3435"/>
      <c r="AD135" s="3426"/>
      <c r="AE135" s="3436"/>
      <c r="AF135" s="3085"/>
      <c r="AG135" s="3120"/>
      <c r="AH135" s="3120"/>
      <c r="AI135" s="3405" t="s">
        <v>384</v>
      </c>
      <c r="AJ135" s="3008"/>
    </row>
    <row r="136" spans="2:36" ht="20.100000000000001" customHeight="1">
      <c r="B136" s="3423"/>
      <c r="C136" s="10199"/>
      <c r="D136" s="3430" t="s">
        <v>2810</v>
      </c>
      <c r="E136" s="3431"/>
      <c r="F136" s="3432" t="s">
        <v>2811</v>
      </c>
      <c r="G136" s="3366"/>
      <c r="I136" s="3433" t="s">
        <v>2837</v>
      </c>
      <c r="J136" s="3330"/>
      <c r="K136" s="3141" t="s">
        <v>2811</v>
      </c>
      <c r="L136" s="3434"/>
      <c r="M136" s="3424"/>
      <c r="N136" s="3435"/>
      <c r="O136" s="3424"/>
      <c r="P136" s="3436"/>
      <c r="Q136" s="3434"/>
      <c r="R136" s="3424"/>
      <c r="S136" s="3435"/>
      <c r="T136" s="3424"/>
      <c r="U136" s="3436"/>
      <c r="V136" s="3434"/>
      <c r="W136" s="3424"/>
      <c r="X136" s="3435"/>
      <c r="Y136" s="3425"/>
      <c r="Z136" s="3436"/>
      <c r="AA136" s="3434"/>
      <c r="AB136" s="3426"/>
      <c r="AC136" s="3435"/>
      <c r="AD136" s="3426"/>
      <c r="AE136" s="3436"/>
      <c r="AF136" s="3085"/>
      <c r="AG136" s="3120"/>
      <c r="AH136" s="3120"/>
      <c r="AI136" s="3405" t="s">
        <v>384</v>
      </c>
      <c r="AJ136" s="3008"/>
    </row>
    <row r="137" spans="2:36" ht="20.100000000000001" customHeight="1">
      <c r="B137" s="3423"/>
      <c r="C137" s="10198" t="s">
        <v>2838</v>
      </c>
      <c r="D137" s="10176"/>
      <c r="E137" s="10176"/>
      <c r="F137" s="3432" t="s">
        <v>2688</v>
      </c>
      <c r="G137" s="3366"/>
      <c r="H137" s="3122" t="s">
        <v>2839</v>
      </c>
      <c r="I137" s="3122"/>
      <c r="J137" s="3123"/>
      <c r="K137" s="3141" t="s">
        <v>2688</v>
      </c>
      <c r="L137" s="3414"/>
      <c r="M137" s="3424"/>
      <c r="N137" s="3416"/>
      <c r="O137" s="3424"/>
      <c r="P137" s="3417"/>
      <c r="Q137" s="3414"/>
      <c r="R137" s="3424"/>
      <c r="S137" s="3416"/>
      <c r="T137" s="3424"/>
      <c r="U137" s="3417"/>
      <c r="V137" s="3414"/>
      <c r="W137" s="3424"/>
      <c r="X137" s="3416"/>
      <c r="Y137" s="3425"/>
      <c r="Z137" s="3417"/>
      <c r="AA137" s="3414"/>
      <c r="AB137" s="3426"/>
      <c r="AC137" s="3416"/>
      <c r="AD137" s="3426"/>
      <c r="AE137" s="3417"/>
      <c r="AF137" s="3085"/>
      <c r="AG137" s="3120"/>
      <c r="AH137" s="3120"/>
      <c r="AI137" s="3405" t="s">
        <v>390</v>
      </c>
      <c r="AJ137" s="3008"/>
    </row>
    <row r="138" spans="2:36" ht="20.100000000000001" customHeight="1">
      <c r="B138" s="3423"/>
      <c r="C138" s="3437"/>
      <c r="D138" s="3430" t="s">
        <v>2840</v>
      </c>
      <c r="E138" s="3431"/>
      <c r="F138" s="3432" t="s">
        <v>2811</v>
      </c>
      <c r="G138" s="3366"/>
      <c r="I138" s="3433" t="s">
        <v>2841</v>
      </c>
      <c r="J138" s="3330"/>
      <c r="K138" s="3141" t="s">
        <v>2811</v>
      </c>
      <c r="L138" s="3239"/>
      <c r="M138" s="3424"/>
      <c r="N138" s="3086"/>
      <c r="O138" s="3424"/>
      <c r="P138" s="3238"/>
      <c r="Q138" s="3239"/>
      <c r="R138" s="3424"/>
      <c r="S138" s="3086"/>
      <c r="T138" s="3424"/>
      <c r="U138" s="3238"/>
      <c r="V138" s="3239"/>
      <c r="W138" s="3424"/>
      <c r="X138" s="3086"/>
      <c r="Y138" s="3425"/>
      <c r="Z138" s="3238"/>
      <c r="AA138" s="3239"/>
      <c r="AB138" s="3426"/>
      <c r="AC138" s="3086"/>
      <c r="AD138" s="3426"/>
      <c r="AE138" s="3238"/>
      <c r="AF138" s="3085"/>
      <c r="AG138" s="3120"/>
      <c r="AH138" s="3120"/>
      <c r="AI138" s="3405" t="s">
        <v>390</v>
      </c>
      <c r="AJ138" s="3008"/>
    </row>
    <row r="139" spans="2:36" ht="20.100000000000001" customHeight="1">
      <c r="B139" s="3438"/>
      <c r="C139" s="3263"/>
      <c r="D139" s="3430" t="s">
        <v>2825</v>
      </c>
      <c r="E139" s="3431"/>
      <c r="F139" s="3432" t="s">
        <v>2811</v>
      </c>
      <c r="G139" s="3366"/>
      <c r="I139" s="3439" t="s">
        <v>2842</v>
      </c>
      <c r="J139" s="3330"/>
      <c r="K139" s="3141" t="s">
        <v>2811</v>
      </c>
      <c r="L139" s="3434"/>
      <c r="M139" s="3424"/>
      <c r="N139" s="3435"/>
      <c r="O139" s="3424"/>
      <c r="P139" s="3436"/>
      <c r="Q139" s="3434"/>
      <c r="R139" s="3424"/>
      <c r="S139" s="3435"/>
      <c r="T139" s="3424"/>
      <c r="U139" s="3436"/>
      <c r="V139" s="3434"/>
      <c r="W139" s="3424"/>
      <c r="X139" s="3435"/>
      <c r="Y139" s="3425"/>
      <c r="Z139" s="3436"/>
      <c r="AA139" s="3434"/>
      <c r="AB139" s="3426"/>
      <c r="AC139" s="3435"/>
      <c r="AD139" s="3426"/>
      <c r="AE139" s="3436"/>
      <c r="AF139" s="3085"/>
      <c r="AG139" s="3120"/>
      <c r="AH139" s="3120"/>
      <c r="AI139" s="3405" t="s">
        <v>390</v>
      </c>
      <c r="AJ139" s="3008"/>
    </row>
    <row r="140" spans="2:36" ht="20.100000000000001" customHeight="1">
      <c r="B140" s="3438"/>
      <c r="C140" s="10198" t="s">
        <v>2843</v>
      </c>
      <c r="D140" s="10176"/>
      <c r="E140" s="10176"/>
      <c r="F140" s="3432" t="s">
        <v>2811</v>
      </c>
      <c r="G140" s="3366"/>
      <c r="H140" s="3329" t="s">
        <v>2844</v>
      </c>
      <c r="I140" s="3329"/>
      <c r="J140" s="3440"/>
      <c r="K140" s="3141" t="s">
        <v>2811</v>
      </c>
      <c r="L140" s="3441"/>
      <c r="M140" s="3442"/>
      <c r="N140" s="3443"/>
      <c r="O140" s="3442"/>
      <c r="P140" s="3444"/>
      <c r="Q140" s="3441"/>
      <c r="R140" s="3442"/>
      <c r="S140" s="3443"/>
      <c r="T140" s="3442"/>
      <c r="U140" s="3444"/>
      <c r="V140" s="3441"/>
      <c r="W140" s="3442"/>
      <c r="X140" s="3443"/>
      <c r="Y140" s="3445"/>
      <c r="Z140" s="3444"/>
      <c r="AA140" s="3441"/>
      <c r="AB140" s="3442"/>
      <c r="AC140" s="3443"/>
      <c r="AD140" s="3442"/>
      <c r="AE140" s="3444"/>
      <c r="AF140" s="3085"/>
      <c r="AG140" s="3120"/>
      <c r="AH140" s="3120"/>
      <c r="AI140" s="3405" t="s">
        <v>397</v>
      </c>
      <c r="AJ140" s="3008"/>
    </row>
    <row r="141" spans="2:36" ht="20.100000000000001" customHeight="1">
      <c r="B141" s="3438"/>
      <c r="C141" s="10182"/>
      <c r="D141" s="3446" t="s">
        <v>2845</v>
      </c>
      <c r="E141" s="3446"/>
      <c r="F141" s="3432" t="s">
        <v>2811</v>
      </c>
      <c r="G141" s="3366"/>
      <c r="H141" s="3321"/>
      <c r="I141" s="3433" t="s">
        <v>2846</v>
      </c>
      <c r="J141" s="3330"/>
      <c r="K141" s="3141" t="s">
        <v>2811</v>
      </c>
      <c r="L141" s="3234"/>
      <c r="M141" s="3442"/>
      <c r="N141" s="3236"/>
      <c r="O141" s="3442"/>
      <c r="P141" s="3447"/>
      <c r="Q141" s="3234"/>
      <c r="R141" s="3442"/>
      <c r="S141" s="3236"/>
      <c r="T141" s="3442"/>
      <c r="U141" s="3447"/>
      <c r="V141" s="3234"/>
      <c r="W141" s="3442"/>
      <c r="X141" s="3236"/>
      <c r="Y141" s="3445"/>
      <c r="Z141" s="3447"/>
      <c r="AA141" s="3234"/>
      <c r="AB141" s="3442"/>
      <c r="AC141" s="3236"/>
      <c r="AD141" s="3442"/>
      <c r="AE141" s="3447"/>
      <c r="AF141" s="3085"/>
      <c r="AG141" s="3120"/>
      <c r="AH141" s="3120"/>
      <c r="AI141" s="3405" t="s">
        <v>397</v>
      </c>
      <c r="AJ141" s="3008"/>
    </row>
    <row r="142" spans="2:36" ht="20.100000000000001" customHeight="1">
      <c r="B142" s="3438"/>
      <c r="C142" s="10183"/>
      <c r="D142" s="3446" t="s">
        <v>400</v>
      </c>
      <c r="E142" s="3446"/>
      <c r="F142" s="3432" t="s">
        <v>2811</v>
      </c>
      <c r="G142" s="3366"/>
      <c r="H142" s="3323"/>
      <c r="I142" s="3433" t="s">
        <v>2847</v>
      </c>
      <c r="J142" s="3330"/>
      <c r="K142" s="3141" t="s">
        <v>2811</v>
      </c>
      <c r="L142" s="3234"/>
      <c r="M142" s="3442"/>
      <c r="N142" s="3236"/>
      <c r="O142" s="3442"/>
      <c r="P142" s="3447"/>
      <c r="Q142" s="3234"/>
      <c r="R142" s="3442"/>
      <c r="S142" s="3236"/>
      <c r="T142" s="3442"/>
      <c r="U142" s="3447"/>
      <c r="V142" s="3234"/>
      <c r="W142" s="3442"/>
      <c r="X142" s="3236"/>
      <c r="Y142" s="3445"/>
      <c r="Z142" s="3447"/>
      <c r="AA142" s="3234"/>
      <c r="AB142" s="3442"/>
      <c r="AC142" s="3236"/>
      <c r="AD142" s="3442"/>
      <c r="AE142" s="3447"/>
      <c r="AF142" s="3085"/>
      <c r="AG142" s="3120"/>
      <c r="AH142" s="3120"/>
      <c r="AI142" s="3405" t="s">
        <v>397</v>
      </c>
      <c r="AJ142" s="3008"/>
    </row>
    <row r="143" spans="2:36" ht="20.100000000000001" customHeight="1">
      <c r="B143" s="3438"/>
      <c r="C143" s="10183"/>
      <c r="D143" s="3446" t="s">
        <v>402</v>
      </c>
      <c r="E143" s="3446"/>
      <c r="F143" s="3432" t="s">
        <v>2811</v>
      </c>
      <c r="G143" s="3366"/>
      <c r="H143" s="3323"/>
      <c r="I143" s="3433" t="s">
        <v>2848</v>
      </c>
      <c r="J143" s="3330"/>
      <c r="K143" s="3141" t="s">
        <v>2811</v>
      </c>
      <c r="L143" s="3448"/>
      <c r="M143" s="3442"/>
      <c r="N143" s="3449"/>
      <c r="O143" s="3442"/>
      <c r="P143" s="3450"/>
      <c r="Q143" s="3448"/>
      <c r="R143" s="3442"/>
      <c r="S143" s="3449"/>
      <c r="T143" s="3442"/>
      <c r="U143" s="3450"/>
      <c r="V143" s="3448"/>
      <c r="W143" s="3442"/>
      <c r="X143" s="3449"/>
      <c r="Y143" s="3445"/>
      <c r="Z143" s="3450"/>
      <c r="AA143" s="3448"/>
      <c r="AB143" s="3442"/>
      <c r="AC143" s="3449"/>
      <c r="AD143" s="3442"/>
      <c r="AE143" s="3450"/>
      <c r="AF143" s="3085"/>
      <c r="AG143" s="3120"/>
      <c r="AH143" s="3120"/>
      <c r="AI143" s="3405" t="s">
        <v>397</v>
      </c>
      <c r="AJ143" s="3008"/>
    </row>
    <row r="144" spans="2:36" ht="20.100000000000001" customHeight="1">
      <c r="B144" s="3438"/>
      <c r="C144" s="10183"/>
      <c r="D144" s="10185" t="s">
        <v>404</v>
      </c>
      <c r="E144" s="10186"/>
      <c r="F144" s="3432" t="s">
        <v>2811</v>
      </c>
      <c r="G144" s="3366"/>
      <c r="H144" s="3323"/>
      <c r="I144" s="3433" t="s">
        <v>2849</v>
      </c>
      <c r="J144" s="3330"/>
      <c r="K144" s="3141" t="s">
        <v>2811</v>
      </c>
      <c r="L144" s="3441"/>
      <c r="M144" s="3442"/>
      <c r="N144" s="3443"/>
      <c r="O144" s="3442"/>
      <c r="P144" s="3444"/>
      <c r="Q144" s="3441"/>
      <c r="R144" s="3442"/>
      <c r="S144" s="3443"/>
      <c r="T144" s="3442"/>
      <c r="U144" s="3444"/>
      <c r="V144" s="3441"/>
      <c r="W144" s="3442"/>
      <c r="X144" s="3443"/>
      <c r="Y144" s="3445"/>
      <c r="Z144" s="3444"/>
      <c r="AA144" s="3441"/>
      <c r="AB144" s="3442"/>
      <c r="AC144" s="3443"/>
      <c r="AD144" s="3442"/>
      <c r="AE144" s="3444"/>
      <c r="AF144" s="3085"/>
      <c r="AG144" s="3120"/>
      <c r="AH144" s="3120"/>
      <c r="AI144" s="3405" t="s">
        <v>397</v>
      </c>
      <c r="AJ144" s="3008"/>
    </row>
    <row r="145" spans="2:36" ht="20.100000000000001" customHeight="1">
      <c r="B145" s="3438"/>
      <c r="C145" s="10183"/>
      <c r="D145" s="10185" t="s">
        <v>406</v>
      </c>
      <c r="E145" s="10186"/>
      <c r="F145" s="3432" t="s">
        <v>2811</v>
      </c>
      <c r="G145" s="3366"/>
      <c r="H145" s="3323"/>
      <c r="I145" s="3433" t="s">
        <v>2850</v>
      </c>
      <c r="J145" s="3330"/>
      <c r="K145" s="3141" t="s">
        <v>2811</v>
      </c>
      <c r="L145" s="3441"/>
      <c r="M145" s="3442"/>
      <c r="N145" s="3443"/>
      <c r="O145" s="3442"/>
      <c r="P145" s="3444"/>
      <c r="Q145" s="3441"/>
      <c r="R145" s="3442"/>
      <c r="S145" s="3443"/>
      <c r="T145" s="3442"/>
      <c r="U145" s="3444"/>
      <c r="V145" s="3441"/>
      <c r="W145" s="3442"/>
      <c r="X145" s="3443"/>
      <c r="Y145" s="3445"/>
      <c r="Z145" s="3444"/>
      <c r="AA145" s="3441"/>
      <c r="AB145" s="3442"/>
      <c r="AC145" s="3443"/>
      <c r="AD145" s="3442"/>
      <c r="AE145" s="3444"/>
      <c r="AF145" s="3085"/>
      <c r="AG145" s="3120"/>
      <c r="AH145" s="3120"/>
      <c r="AI145" s="3405" t="s">
        <v>397</v>
      </c>
      <c r="AJ145" s="3008"/>
    </row>
    <row r="146" spans="2:36" ht="20.100000000000001" customHeight="1" thickBot="1">
      <c r="B146" s="3438"/>
      <c r="C146" s="10184"/>
      <c r="D146" s="10187" t="s">
        <v>408</v>
      </c>
      <c r="E146" s="10188"/>
      <c r="F146" s="3451" t="s">
        <v>2811</v>
      </c>
      <c r="G146" s="3091"/>
      <c r="H146" s="3323"/>
      <c r="I146" s="3452" t="s">
        <v>2851</v>
      </c>
      <c r="J146" s="3323"/>
      <c r="K146" s="3453" t="s">
        <v>2811</v>
      </c>
      <c r="L146" s="3454"/>
      <c r="M146" s="3442"/>
      <c r="N146" s="3455"/>
      <c r="O146" s="3442"/>
      <c r="P146" s="3456"/>
      <c r="Q146" s="3454"/>
      <c r="R146" s="3442"/>
      <c r="S146" s="3455"/>
      <c r="T146" s="3442"/>
      <c r="U146" s="3456"/>
      <c r="V146" s="3454"/>
      <c r="W146" s="3442"/>
      <c r="X146" s="3455"/>
      <c r="Y146" s="3445"/>
      <c r="Z146" s="3456"/>
      <c r="AA146" s="3454"/>
      <c r="AB146" s="3442"/>
      <c r="AC146" s="3455"/>
      <c r="AD146" s="3442"/>
      <c r="AE146" s="3456"/>
      <c r="AF146" s="3085"/>
      <c r="AG146" s="3120"/>
      <c r="AH146" s="3120"/>
      <c r="AI146" s="3405" t="s">
        <v>397</v>
      </c>
      <c r="AJ146" s="3008"/>
    </row>
    <row r="147" spans="2:36" ht="27" thickBot="1">
      <c r="B147" s="3219" t="s">
        <v>2722</v>
      </c>
      <c r="C147" s="3105" t="s">
        <v>2852</v>
      </c>
      <c r="D147" s="3106"/>
      <c r="E147" s="3106"/>
      <c r="F147" s="3457"/>
      <c r="G147" s="3107" t="s">
        <v>2853</v>
      </c>
      <c r="H147" s="3458"/>
      <c r="I147" s="3108"/>
      <c r="J147" s="3113"/>
      <c r="K147" s="3131"/>
      <c r="L147" s="3129"/>
      <c r="M147" s="3130"/>
      <c r="N147" s="3130"/>
      <c r="O147" s="3130"/>
      <c r="P147" s="3131"/>
      <c r="Q147" s="3129"/>
      <c r="R147" s="3130"/>
      <c r="S147" s="3130"/>
      <c r="T147" s="3130"/>
      <c r="U147" s="3131"/>
      <c r="V147" s="3129"/>
      <c r="W147" s="3130"/>
      <c r="X147" s="3130"/>
      <c r="Y147" s="3130"/>
      <c r="Z147" s="3131"/>
      <c r="AA147" s="3129"/>
      <c r="AB147" s="3130"/>
      <c r="AC147" s="3130"/>
      <c r="AD147" s="3130"/>
      <c r="AE147" s="3131"/>
      <c r="AF147" s="3459"/>
      <c r="AG147" s="3113"/>
      <c r="AH147" s="3113"/>
      <c r="AI147" s="3302"/>
      <c r="AJ147" s="3015"/>
    </row>
    <row r="148" spans="2:36" ht="20.100000000000001" customHeight="1">
      <c r="B148" s="3219" t="s">
        <v>2722</v>
      </c>
      <c r="C148" s="10166" t="s">
        <v>2854</v>
      </c>
      <c r="D148" s="10167"/>
      <c r="E148" s="10167"/>
      <c r="F148" s="3432" t="s">
        <v>2811</v>
      </c>
      <c r="G148" s="3460"/>
      <c r="H148" s="3117" t="s">
        <v>2855</v>
      </c>
      <c r="I148" s="3117"/>
      <c r="J148" s="3461"/>
      <c r="K148" s="3141" t="s">
        <v>2811</v>
      </c>
      <c r="L148" s="3462">
        <f t="shared" ref="L148" si="10">L149+L152</f>
        <v>0</v>
      </c>
      <c r="M148" s="3463"/>
      <c r="N148" s="3464">
        <f>N149+N152</f>
        <v>0</v>
      </c>
      <c r="O148" s="3463"/>
      <c r="P148" s="3465">
        <f>P149+P152</f>
        <v>0</v>
      </c>
      <c r="Q148" s="3462">
        <f>Q149+Q152</f>
        <v>0</v>
      </c>
      <c r="R148" s="3463"/>
      <c r="S148" s="3464">
        <f>S149+S152</f>
        <v>0</v>
      </c>
      <c r="T148" s="3463"/>
      <c r="U148" s="3465">
        <f>U149+U152</f>
        <v>0</v>
      </c>
      <c r="V148" s="3462">
        <f>V149+V152</f>
        <v>0</v>
      </c>
      <c r="W148" s="3463"/>
      <c r="X148" s="3464">
        <f>X149+X152</f>
        <v>0</v>
      </c>
      <c r="Y148" s="3463"/>
      <c r="Z148" s="3465">
        <f>Z149+Z152</f>
        <v>0</v>
      </c>
      <c r="AA148" s="3462">
        <f>AA149+AA152</f>
        <v>0</v>
      </c>
      <c r="AB148" s="3463"/>
      <c r="AC148" s="3464">
        <f>AC149+AC152</f>
        <v>0</v>
      </c>
      <c r="AD148" s="3463"/>
      <c r="AE148" s="3465">
        <f>AE149+AE152</f>
        <v>0</v>
      </c>
      <c r="AF148" s="3466"/>
      <c r="AG148" s="3467"/>
      <c r="AH148" s="3468"/>
      <c r="AI148" s="3248" t="s">
        <v>418</v>
      </c>
      <c r="AJ148" s="3015"/>
    </row>
    <row r="149" spans="2:36" ht="20.100000000000001" customHeight="1">
      <c r="B149" s="3241" t="s">
        <v>2722</v>
      </c>
      <c r="C149" s="3311"/>
      <c r="D149" s="3328" t="s">
        <v>2856</v>
      </c>
      <c r="E149" s="3089"/>
      <c r="F149" s="3432" t="s">
        <v>2811</v>
      </c>
      <c r="G149" s="3469"/>
      <c r="H149" s="3039"/>
      <c r="I149" s="3470" t="s">
        <v>2857</v>
      </c>
      <c r="J149" s="3471"/>
      <c r="K149" s="3141" t="s">
        <v>2811</v>
      </c>
      <c r="L149" s="3472"/>
      <c r="M149" s="3473"/>
      <c r="N149" s="3474"/>
      <c r="O149" s="3473"/>
      <c r="P149" s="3475"/>
      <c r="Q149" s="3472"/>
      <c r="R149" s="3473"/>
      <c r="S149" s="3474"/>
      <c r="T149" s="3473"/>
      <c r="U149" s="3475"/>
      <c r="V149" s="3472"/>
      <c r="W149" s="3473"/>
      <c r="X149" s="3474"/>
      <c r="Y149" s="3473"/>
      <c r="Z149" s="3475"/>
      <c r="AA149" s="3472"/>
      <c r="AB149" s="3473"/>
      <c r="AC149" s="3474"/>
      <c r="AD149" s="3473"/>
      <c r="AE149" s="3475"/>
      <c r="AF149" s="3476"/>
      <c r="AG149" s="3477"/>
      <c r="AH149" s="3478"/>
      <c r="AI149" s="3248" t="s">
        <v>418</v>
      </c>
      <c r="AJ149" s="3015"/>
    </row>
    <row r="150" spans="2:36" ht="20.100000000000001" customHeight="1">
      <c r="B150" s="3219" t="s">
        <v>2722</v>
      </c>
      <c r="C150" s="3340"/>
      <c r="D150" s="3479"/>
      <c r="E150" s="3270" t="s">
        <v>425</v>
      </c>
      <c r="F150" s="3432" t="s">
        <v>2811</v>
      </c>
      <c r="G150" s="3469"/>
      <c r="H150" s="3039"/>
      <c r="I150" s="3480"/>
      <c r="J150" s="3173" t="s">
        <v>2858</v>
      </c>
      <c r="K150" s="3141" t="s">
        <v>2811</v>
      </c>
      <c r="L150" s="3472"/>
      <c r="M150" s="3473"/>
      <c r="N150" s="3474"/>
      <c r="O150" s="3473"/>
      <c r="P150" s="3475"/>
      <c r="Q150" s="3472"/>
      <c r="R150" s="3473"/>
      <c r="S150" s="3474"/>
      <c r="T150" s="3473"/>
      <c r="U150" s="3475"/>
      <c r="V150" s="3472"/>
      <c r="W150" s="3473"/>
      <c r="X150" s="3474"/>
      <c r="Y150" s="3473"/>
      <c r="Z150" s="3475"/>
      <c r="AA150" s="3472"/>
      <c r="AB150" s="3473"/>
      <c r="AC150" s="3474"/>
      <c r="AD150" s="3473"/>
      <c r="AE150" s="3475"/>
      <c r="AF150" s="3476"/>
      <c r="AG150" s="3478"/>
      <c r="AH150" s="3478"/>
      <c r="AI150" s="3248" t="s">
        <v>2859</v>
      </c>
      <c r="AJ150" s="3015"/>
    </row>
    <row r="151" spans="2:36" ht="20.100000000000001" customHeight="1">
      <c r="B151" s="3219" t="s">
        <v>2722</v>
      </c>
      <c r="C151" s="3340"/>
      <c r="D151" s="3481"/>
      <c r="E151" s="3270" t="s">
        <v>2860</v>
      </c>
      <c r="F151" s="3432" t="s">
        <v>2811</v>
      </c>
      <c r="G151" s="3469"/>
      <c r="H151" s="3039"/>
      <c r="I151" s="3480"/>
      <c r="J151" s="3170" t="s">
        <v>2861</v>
      </c>
      <c r="K151" s="3141" t="s">
        <v>2811</v>
      </c>
      <c r="L151" s="3472"/>
      <c r="M151" s="3473"/>
      <c r="N151" s="3474"/>
      <c r="O151" s="3473"/>
      <c r="P151" s="3475"/>
      <c r="Q151" s="3472"/>
      <c r="R151" s="3473"/>
      <c r="S151" s="3474"/>
      <c r="T151" s="3473"/>
      <c r="U151" s="3475"/>
      <c r="V151" s="3472"/>
      <c r="W151" s="3473"/>
      <c r="X151" s="3474"/>
      <c r="Y151" s="3473"/>
      <c r="Z151" s="3475"/>
      <c r="AA151" s="3472"/>
      <c r="AB151" s="3473"/>
      <c r="AC151" s="3474"/>
      <c r="AD151" s="3473"/>
      <c r="AE151" s="3475"/>
      <c r="AF151" s="3476"/>
      <c r="AG151" s="3478"/>
      <c r="AH151" s="3478"/>
      <c r="AI151" s="3248" t="s">
        <v>489</v>
      </c>
      <c r="AJ151" s="3015"/>
    </row>
    <row r="152" spans="2:36" ht="20.100000000000001" customHeight="1">
      <c r="B152" s="3219" t="s">
        <v>2722</v>
      </c>
      <c r="C152" s="3340"/>
      <c r="D152" s="3270" t="s">
        <v>444</v>
      </c>
      <c r="E152" s="3139"/>
      <c r="F152" s="3432" t="s">
        <v>2811</v>
      </c>
      <c r="G152" s="3469"/>
      <c r="H152" s="3039"/>
      <c r="I152" s="3482" t="s">
        <v>2862</v>
      </c>
      <c r="J152" s="3155"/>
      <c r="K152" s="3141" t="s">
        <v>2811</v>
      </c>
      <c r="L152" s="3472"/>
      <c r="M152" s="3473"/>
      <c r="N152" s="3474"/>
      <c r="O152" s="3473"/>
      <c r="P152" s="3475"/>
      <c r="Q152" s="3472"/>
      <c r="R152" s="3473"/>
      <c r="S152" s="3474"/>
      <c r="T152" s="3473"/>
      <c r="U152" s="3475"/>
      <c r="V152" s="3472"/>
      <c r="W152" s="3473"/>
      <c r="X152" s="3474"/>
      <c r="Y152" s="3473"/>
      <c r="Z152" s="3475"/>
      <c r="AA152" s="3472"/>
      <c r="AB152" s="3473"/>
      <c r="AC152" s="3474"/>
      <c r="AD152" s="3473"/>
      <c r="AE152" s="3475"/>
      <c r="AF152" s="3476"/>
      <c r="AG152" s="3477"/>
      <c r="AH152" s="3478"/>
      <c r="AI152" s="3248" t="s">
        <v>418</v>
      </c>
      <c r="AJ152" s="3015"/>
    </row>
    <row r="153" spans="2:36" ht="20.100000000000001" customHeight="1">
      <c r="B153" s="3219" t="s">
        <v>2722</v>
      </c>
      <c r="D153" s="3483"/>
      <c r="E153" s="3328" t="s">
        <v>2863</v>
      </c>
      <c r="F153" s="3432" t="s">
        <v>2811</v>
      </c>
      <c r="G153" s="3091"/>
      <c r="H153" s="3321"/>
      <c r="I153" s="3480"/>
      <c r="J153" s="3173" t="s">
        <v>2858</v>
      </c>
      <c r="K153" s="3141" t="s">
        <v>2811</v>
      </c>
      <c r="L153" s="3472"/>
      <c r="M153" s="3473"/>
      <c r="N153" s="3474"/>
      <c r="O153" s="3473"/>
      <c r="P153" s="3475"/>
      <c r="Q153" s="3472"/>
      <c r="R153" s="3473"/>
      <c r="S153" s="3474"/>
      <c r="T153" s="3473"/>
      <c r="U153" s="3475"/>
      <c r="V153" s="3472"/>
      <c r="W153" s="3473"/>
      <c r="X153" s="3474"/>
      <c r="Y153" s="3473"/>
      <c r="Z153" s="3475"/>
      <c r="AA153" s="3472"/>
      <c r="AB153" s="3473"/>
      <c r="AC153" s="3474"/>
      <c r="AD153" s="3473"/>
      <c r="AE153" s="3475"/>
      <c r="AF153" s="3476"/>
      <c r="AG153" s="3478"/>
      <c r="AH153" s="3478"/>
      <c r="AI153" s="3248" t="s">
        <v>2859</v>
      </c>
      <c r="AJ153" s="3015"/>
    </row>
    <row r="154" spans="2:36" ht="20.100000000000001" customHeight="1">
      <c r="B154" s="3219" t="s">
        <v>2722</v>
      </c>
      <c r="C154" s="3340"/>
      <c r="D154" s="3484"/>
      <c r="E154" s="3328" t="s">
        <v>454</v>
      </c>
      <c r="F154" s="3432" t="s">
        <v>2811</v>
      </c>
      <c r="G154" s="3091"/>
      <c r="H154" s="3341"/>
      <c r="I154" s="3485"/>
      <c r="J154" s="3322" t="s">
        <v>2864</v>
      </c>
      <c r="K154" s="3141" t="s">
        <v>2811</v>
      </c>
      <c r="L154" s="3472"/>
      <c r="M154" s="3473"/>
      <c r="N154" s="3474"/>
      <c r="O154" s="3473"/>
      <c r="P154" s="3475"/>
      <c r="Q154" s="3472"/>
      <c r="R154" s="3473"/>
      <c r="S154" s="3474"/>
      <c r="T154" s="3473"/>
      <c r="U154" s="3475"/>
      <c r="V154" s="3472"/>
      <c r="W154" s="3473"/>
      <c r="X154" s="3474"/>
      <c r="Y154" s="3473"/>
      <c r="Z154" s="3475"/>
      <c r="AA154" s="3472"/>
      <c r="AB154" s="3473"/>
      <c r="AC154" s="3474"/>
      <c r="AD154" s="3473"/>
      <c r="AE154" s="3475"/>
      <c r="AF154" s="3085"/>
      <c r="AG154" s="3478"/>
      <c r="AH154" s="3478"/>
      <c r="AI154" s="3248" t="s">
        <v>418</v>
      </c>
      <c r="AJ154" s="3015"/>
    </row>
    <row r="155" spans="2:36" ht="20.100000000000001" customHeight="1">
      <c r="B155" s="3219" t="s">
        <v>2722</v>
      </c>
      <c r="C155" s="3263" t="s">
        <v>2865</v>
      </c>
      <c r="D155" s="3139"/>
      <c r="E155" s="3139"/>
      <c r="F155" s="3432" t="s">
        <v>2866</v>
      </c>
      <c r="G155" s="3486"/>
      <c r="H155" s="3156" t="s">
        <v>2867</v>
      </c>
      <c r="I155" s="3156"/>
      <c r="J155" s="3155"/>
      <c r="K155" s="3140" t="s">
        <v>2868</v>
      </c>
      <c r="L155" s="3487" t="s">
        <v>169</v>
      </c>
      <c r="M155" s="3488"/>
      <c r="N155" s="3489" t="s">
        <v>169</v>
      </c>
      <c r="O155" s="3488"/>
      <c r="P155" s="3490" t="s">
        <v>169</v>
      </c>
      <c r="Q155" s="3487" t="s">
        <v>169</v>
      </c>
      <c r="R155" s="3488"/>
      <c r="S155" s="3489" t="s">
        <v>169</v>
      </c>
      <c r="T155" s="3488"/>
      <c r="U155" s="3490" t="s">
        <v>169</v>
      </c>
      <c r="V155" s="3487" t="s">
        <v>169</v>
      </c>
      <c r="W155" s="3488"/>
      <c r="X155" s="3489" t="s">
        <v>169</v>
      </c>
      <c r="Y155" s="3488"/>
      <c r="Z155" s="3490" t="s">
        <v>169</v>
      </c>
      <c r="AA155" s="3487" t="s">
        <v>169</v>
      </c>
      <c r="AB155" s="3488"/>
      <c r="AC155" s="3489" t="s">
        <v>169</v>
      </c>
      <c r="AD155" s="3488"/>
      <c r="AE155" s="3490" t="s">
        <v>169</v>
      </c>
      <c r="AF155" s="3085"/>
      <c r="AG155" s="3478"/>
      <c r="AH155" s="3478"/>
      <c r="AI155" s="3248" t="s">
        <v>2869</v>
      </c>
      <c r="AJ155" s="3015"/>
    </row>
    <row r="156" spans="2:36" ht="20.100000000000001" customHeight="1">
      <c r="B156" s="3219" t="s">
        <v>2722</v>
      </c>
      <c r="C156" s="3269"/>
      <c r="D156" s="3482" t="s">
        <v>2854</v>
      </c>
      <c r="E156" s="3139"/>
      <c r="F156" s="3432" t="s">
        <v>2811</v>
      </c>
      <c r="G156" s="3486"/>
      <c r="H156" s="3366"/>
      <c r="I156" s="3482" t="s">
        <v>2870</v>
      </c>
      <c r="J156" s="3155"/>
      <c r="K156" s="3140" t="s">
        <v>2871</v>
      </c>
      <c r="L156" s="3239"/>
      <c r="M156" s="3258"/>
      <c r="N156" s="3491"/>
      <c r="O156" s="3258"/>
      <c r="P156" s="3492"/>
      <c r="Q156" s="3493"/>
      <c r="R156" s="3258"/>
      <c r="S156" s="3491"/>
      <c r="T156" s="3258"/>
      <c r="U156" s="3492"/>
      <c r="V156" s="3493"/>
      <c r="W156" s="3258"/>
      <c r="X156" s="3491"/>
      <c r="Y156" s="3258"/>
      <c r="Z156" s="3492"/>
      <c r="AA156" s="3493"/>
      <c r="AB156" s="3258"/>
      <c r="AC156" s="3491"/>
      <c r="AD156" s="3258"/>
      <c r="AE156" s="3492"/>
      <c r="AF156" s="3085"/>
      <c r="AG156" s="3478"/>
      <c r="AH156" s="3478"/>
      <c r="AI156" s="3248" t="s">
        <v>2869</v>
      </c>
      <c r="AJ156" s="3015"/>
    </row>
    <row r="157" spans="2:36" ht="20.100000000000001" customHeight="1">
      <c r="B157" s="3219" t="s">
        <v>2722</v>
      </c>
      <c r="C157" s="3273"/>
      <c r="D157" s="3482" t="s">
        <v>2739</v>
      </c>
      <c r="E157" s="3139"/>
      <c r="F157" s="3432" t="s">
        <v>2740</v>
      </c>
      <c r="G157" s="3486"/>
      <c r="H157" s="3396"/>
      <c r="I157" s="3482" t="s">
        <v>2741</v>
      </c>
      <c r="J157" s="3155"/>
      <c r="K157" s="3140" t="s">
        <v>2742</v>
      </c>
      <c r="L157" s="3239"/>
      <c r="M157" s="3258"/>
      <c r="N157" s="3491"/>
      <c r="O157" s="3258"/>
      <c r="P157" s="3492"/>
      <c r="Q157" s="3493"/>
      <c r="R157" s="3258"/>
      <c r="S157" s="3491"/>
      <c r="T157" s="3258"/>
      <c r="U157" s="3492"/>
      <c r="V157" s="3493"/>
      <c r="W157" s="3258"/>
      <c r="X157" s="3491"/>
      <c r="Y157" s="3258"/>
      <c r="Z157" s="3492"/>
      <c r="AA157" s="3493"/>
      <c r="AB157" s="3258"/>
      <c r="AC157" s="3491"/>
      <c r="AD157" s="3258"/>
      <c r="AE157" s="3492"/>
      <c r="AF157" s="3085"/>
      <c r="AG157" s="3478"/>
      <c r="AH157" s="3478"/>
      <c r="AI157" s="3248" t="s">
        <v>2869</v>
      </c>
      <c r="AJ157" s="3015"/>
    </row>
    <row r="158" spans="2:36" ht="19.899999999999999" customHeight="1">
      <c r="B158" s="3262"/>
      <c r="C158" s="3263" t="s">
        <v>2872</v>
      </c>
      <c r="D158" s="3139"/>
      <c r="E158" s="3139"/>
      <c r="F158" s="3432" t="s">
        <v>2811</v>
      </c>
      <c r="G158" s="3312"/>
      <c r="H158" s="3122" t="s">
        <v>2873</v>
      </c>
      <c r="I158" s="3122"/>
      <c r="J158" s="3155"/>
      <c r="K158" s="3141" t="s">
        <v>2811</v>
      </c>
      <c r="L158" s="3239"/>
      <c r="M158" s="3258"/>
      <c r="N158" s="3086"/>
      <c r="O158" s="3258"/>
      <c r="P158" s="3238"/>
      <c r="Q158" s="3239"/>
      <c r="R158" s="3258"/>
      <c r="S158" s="3086"/>
      <c r="T158" s="3258"/>
      <c r="U158" s="3238"/>
      <c r="V158" s="3239"/>
      <c r="W158" s="3258"/>
      <c r="X158" s="3086"/>
      <c r="Y158" s="3258"/>
      <c r="Z158" s="3238"/>
      <c r="AA158" s="3239"/>
      <c r="AB158" s="3258"/>
      <c r="AC158" s="3086"/>
      <c r="AD158" s="3258"/>
      <c r="AE158" s="3238"/>
      <c r="AF158" s="3085"/>
      <c r="AG158" s="3478"/>
      <c r="AH158" s="3478"/>
      <c r="AI158" s="3248" t="s">
        <v>470</v>
      </c>
      <c r="AJ158" s="3015"/>
    </row>
    <row r="159" spans="2:36" ht="20.100000000000001" customHeight="1">
      <c r="B159" s="3262"/>
      <c r="C159" s="3269"/>
      <c r="D159" s="3270" t="s">
        <v>2874</v>
      </c>
      <c r="E159" s="3139"/>
      <c r="F159" s="3432" t="s">
        <v>2811</v>
      </c>
      <c r="G159" s="3312"/>
      <c r="H159" s="3257"/>
      <c r="I159" s="3482" t="s">
        <v>2875</v>
      </c>
      <c r="J159" s="3155"/>
      <c r="K159" s="3141" t="s">
        <v>2811</v>
      </c>
      <c r="L159" s="3239"/>
      <c r="M159" s="3258"/>
      <c r="N159" s="3086"/>
      <c r="O159" s="3258"/>
      <c r="P159" s="3238"/>
      <c r="Q159" s="3239"/>
      <c r="R159" s="3258"/>
      <c r="S159" s="3086"/>
      <c r="T159" s="3258"/>
      <c r="U159" s="3238"/>
      <c r="V159" s="3239"/>
      <c r="W159" s="3258"/>
      <c r="X159" s="3086"/>
      <c r="Y159" s="3258"/>
      <c r="Z159" s="3238"/>
      <c r="AA159" s="3239"/>
      <c r="AB159" s="3258"/>
      <c r="AC159" s="3086"/>
      <c r="AD159" s="3258"/>
      <c r="AE159" s="3238"/>
      <c r="AF159" s="3085"/>
      <c r="AG159" s="3478"/>
      <c r="AH159" s="3478"/>
      <c r="AI159" s="3248" t="s">
        <v>470</v>
      </c>
      <c r="AJ159" s="3015"/>
    </row>
    <row r="160" spans="2:36" ht="20.100000000000001" customHeight="1">
      <c r="B160" s="3262"/>
      <c r="C160" s="3273"/>
      <c r="D160" s="3270" t="s">
        <v>2876</v>
      </c>
      <c r="E160" s="3139"/>
      <c r="F160" s="3432" t="s">
        <v>2811</v>
      </c>
      <c r="G160" s="3312"/>
      <c r="H160" s="3261"/>
      <c r="I160" s="3482" t="s">
        <v>2877</v>
      </c>
      <c r="J160" s="3155"/>
      <c r="K160" s="3141" t="s">
        <v>2811</v>
      </c>
      <c r="L160" s="3239"/>
      <c r="M160" s="3258"/>
      <c r="N160" s="3086"/>
      <c r="O160" s="3258"/>
      <c r="P160" s="3238"/>
      <c r="Q160" s="3239"/>
      <c r="R160" s="3258"/>
      <c r="S160" s="3086"/>
      <c r="T160" s="3258"/>
      <c r="U160" s="3238"/>
      <c r="V160" s="3239"/>
      <c r="W160" s="3258"/>
      <c r="X160" s="3086"/>
      <c r="Y160" s="3258"/>
      <c r="Z160" s="3238"/>
      <c r="AA160" s="3239"/>
      <c r="AB160" s="3258"/>
      <c r="AC160" s="3086"/>
      <c r="AD160" s="3258"/>
      <c r="AE160" s="3238"/>
      <c r="AF160" s="3085"/>
      <c r="AG160" s="3478"/>
      <c r="AH160" s="3478"/>
      <c r="AI160" s="3248" t="s">
        <v>2878</v>
      </c>
      <c r="AJ160" s="3015"/>
    </row>
    <row r="161" spans="2:36" ht="20.100000000000001" customHeight="1">
      <c r="B161" s="3262"/>
      <c r="C161" s="3263" t="s">
        <v>476</v>
      </c>
      <c r="D161" s="3139"/>
      <c r="E161" s="3139"/>
      <c r="F161" s="3432" t="s">
        <v>2811</v>
      </c>
      <c r="G161" s="3312"/>
      <c r="H161" s="3122" t="s">
        <v>2879</v>
      </c>
      <c r="I161" s="3122"/>
      <c r="J161" s="3155"/>
      <c r="K161" s="3141" t="s">
        <v>2811</v>
      </c>
      <c r="L161" s="3402">
        <f t="shared" ref="L161" si="11">L162+L163</f>
        <v>0</v>
      </c>
      <c r="M161" s="3258"/>
      <c r="N161" s="3494">
        <f>N162+N163</f>
        <v>0</v>
      </c>
      <c r="O161" s="3258"/>
      <c r="P161" s="3495">
        <f>P162+P163</f>
        <v>0</v>
      </c>
      <c r="Q161" s="3402">
        <f>Q162+Q163</f>
        <v>0</v>
      </c>
      <c r="R161" s="3258"/>
      <c r="S161" s="3494">
        <f>S162+S163</f>
        <v>0</v>
      </c>
      <c r="T161" s="3258"/>
      <c r="U161" s="3495">
        <f>U162+U163</f>
        <v>0</v>
      </c>
      <c r="V161" s="3402">
        <f>V162+V163</f>
        <v>0</v>
      </c>
      <c r="W161" s="3258"/>
      <c r="X161" s="3494">
        <f>X162+X163</f>
        <v>0</v>
      </c>
      <c r="Y161" s="3258"/>
      <c r="Z161" s="3495">
        <f>Z162+Z163</f>
        <v>0</v>
      </c>
      <c r="AA161" s="3402">
        <f>AA162+AA163</f>
        <v>0</v>
      </c>
      <c r="AB161" s="3258"/>
      <c r="AC161" s="3494">
        <f>AC162+AC163</f>
        <v>0</v>
      </c>
      <c r="AD161" s="3258"/>
      <c r="AE161" s="3495">
        <f>AE162+AE163</f>
        <v>0</v>
      </c>
      <c r="AF161" s="3085"/>
      <c r="AG161" s="3478"/>
      <c r="AH161" s="3478"/>
      <c r="AI161" s="3248" t="s">
        <v>480</v>
      </c>
      <c r="AJ161" s="3015"/>
    </row>
    <row r="162" spans="2:36" ht="20.100000000000001" customHeight="1">
      <c r="B162" s="3262"/>
      <c r="C162" s="3311"/>
      <c r="D162" s="3496" t="s">
        <v>481</v>
      </c>
      <c r="E162" s="3496"/>
      <c r="F162" s="3432" t="s">
        <v>2811</v>
      </c>
      <c r="G162" s="3319"/>
      <c r="H162" s="3497"/>
      <c r="I162" s="3470" t="s">
        <v>2880</v>
      </c>
      <c r="J162" s="3471"/>
      <c r="K162" s="3141" t="s">
        <v>2811</v>
      </c>
      <c r="L162" s="3239"/>
      <c r="M162" s="3258"/>
      <c r="N162" s="3086"/>
      <c r="O162" s="3258"/>
      <c r="P162" s="3238"/>
      <c r="Q162" s="3239"/>
      <c r="R162" s="3258"/>
      <c r="S162" s="3086"/>
      <c r="T162" s="3258"/>
      <c r="U162" s="3238"/>
      <c r="V162" s="3239"/>
      <c r="W162" s="3258"/>
      <c r="X162" s="3086"/>
      <c r="Y162" s="3258"/>
      <c r="Z162" s="3238"/>
      <c r="AA162" s="3239"/>
      <c r="AB162" s="3258"/>
      <c r="AC162" s="3086"/>
      <c r="AD162" s="3258"/>
      <c r="AE162" s="3238"/>
      <c r="AF162" s="3085"/>
      <c r="AG162" s="3478"/>
      <c r="AH162" s="3478"/>
      <c r="AI162" s="3248" t="s">
        <v>480</v>
      </c>
      <c r="AJ162" s="3015"/>
    </row>
    <row r="163" spans="2:36" ht="20.100000000000001" customHeight="1">
      <c r="B163" s="3262"/>
      <c r="C163" s="3317"/>
      <c r="D163" s="3496" t="s">
        <v>483</v>
      </c>
      <c r="E163" s="3496"/>
      <c r="F163" s="3432" t="s">
        <v>2811</v>
      </c>
      <c r="G163" s="3319"/>
      <c r="H163" s="3498"/>
      <c r="I163" s="3470" t="s">
        <v>2881</v>
      </c>
      <c r="J163" s="3471"/>
      <c r="K163" s="3141" t="s">
        <v>2811</v>
      </c>
      <c r="L163" s="3239"/>
      <c r="M163" s="3258"/>
      <c r="N163" s="3086"/>
      <c r="O163" s="3258"/>
      <c r="P163" s="3238"/>
      <c r="Q163" s="3239"/>
      <c r="R163" s="3258"/>
      <c r="S163" s="3086"/>
      <c r="T163" s="3258"/>
      <c r="U163" s="3238"/>
      <c r="V163" s="3239"/>
      <c r="W163" s="3258"/>
      <c r="X163" s="3086"/>
      <c r="Y163" s="3258"/>
      <c r="Z163" s="3238"/>
      <c r="AA163" s="3239"/>
      <c r="AB163" s="3258"/>
      <c r="AC163" s="3086"/>
      <c r="AD163" s="3258"/>
      <c r="AE163" s="3238"/>
      <c r="AF163" s="3085"/>
      <c r="AG163" s="3478"/>
      <c r="AH163" s="3478"/>
      <c r="AI163" s="3248" t="s">
        <v>480</v>
      </c>
      <c r="AJ163" s="3015"/>
    </row>
    <row r="164" spans="2:36" ht="20.100000000000001" customHeight="1">
      <c r="B164" s="3262"/>
      <c r="C164" s="3249" t="s">
        <v>2882</v>
      </c>
      <c r="D164" s="3089"/>
      <c r="E164" s="3089"/>
      <c r="F164" s="3432" t="s">
        <v>2811</v>
      </c>
      <c r="G164" s="3319"/>
      <c r="H164" s="3125" t="s">
        <v>2883</v>
      </c>
      <c r="I164" s="3125"/>
      <c r="J164" s="3471"/>
      <c r="K164" s="3141" t="s">
        <v>2811</v>
      </c>
      <c r="L164" s="3499">
        <f t="shared" ref="L164" si="12">L165+L166</f>
        <v>0</v>
      </c>
      <c r="M164" s="3500"/>
      <c r="N164" s="3501">
        <f>N165+N166</f>
        <v>0</v>
      </c>
      <c r="O164" s="3500"/>
      <c r="P164" s="3502">
        <f>P165+P166</f>
        <v>0</v>
      </c>
      <c r="Q164" s="3499">
        <f>Q165+Q166</f>
        <v>0</v>
      </c>
      <c r="R164" s="3500"/>
      <c r="S164" s="3501">
        <f>S165+S166</f>
        <v>0</v>
      </c>
      <c r="T164" s="3500"/>
      <c r="U164" s="3502">
        <f>U165+U166</f>
        <v>0</v>
      </c>
      <c r="V164" s="3499">
        <f>V165+V166</f>
        <v>0</v>
      </c>
      <c r="W164" s="3500"/>
      <c r="X164" s="3501">
        <f>X165+X166</f>
        <v>0</v>
      </c>
      <c r="Y164" s="3500"/>
      <c r="Z164" s="3502">
        <f>Z165+Z166</f>
        <v>0</v>
      </c>
      <c r="AA164" s="3499">
        <f>AA165+AA166</f>
        <v>0</v>
      </c>
      <c r="AB164" s="3500"/>
      <c r="AC164" s="3501">
        <f>AC165+AC166</f>
        <v>0</v>
      </c>
      <c r="AD164" s="3500"/>
      <c r="AE164" s="3502">
        <f>AE165+AE166</f>
        <v>0</v>
      </c>
      <c r="AF164" s="3085"/>
      <c r="AG164" s="3478"/>
      <c r="AH164" s="3478"/>
      <c r="AI164" s="3248" t="s">
        <v>489</v>
      </c>
      <c r="AJ164" s="3015"/>
    </row>
    <row r="165" spans="2:36" ht="20.100000000000001" customHeight="1">
      <c r="B165" s="3262"/>
      <c r="C165" s="3311"/>
      <c r="D165" s="3328" t="s">
        <v>2884</v>
      </c>
      <c r="E165" s="3089"/>
      <c r="F165" s="3432" t="s">
        <v>2811</v>
      </c>
      <c r="G165" s="3319"/>
      <c r="H165" s="3497"/>
      <c r="I165" s="3470" t="s">
        <v>2885</v>
      </c>
      <c r="J165" s="3471"/>
      <c r="K165" s="3141" t="s">
        <v>2811</v>
      </c>
      <c r="L165" s="3239"/>
      <c r="M165" s="3258"/>
      <c r="N165" s="3086"/>
      <c r="O165" s="3258"/>
      <c r="P165" s="3238"/>
      <c r="Q165" s="3239"/>
      <c r="R165" s="3258"/>
      <c r="S165" s="3086"/>
      <c r="T165" s="3258"/>
      <c r="U165" s="3238"/>
      <c r="V165" s="3239"/>
      <c r="W165" s="3258"/>
      <c r="X165" s="3086"/>
      <c r="Y165" s="3258"/>
      <c r="Z165" s="3238"/>
      <c r="AA165" s="3239"/>
      <c r="AB165" s="3258"/>
      <c r="AC165" s="3086"/>
      <c r="AD165" s="3258"/>
      <c r="AE165" s="3238"/>
      <c r="AF165" s="3085"/>
      <c r="AG165" s="3478"/>
      <c r="AH165" s="3478"/>
      <c r="AI165" s="3248" t="s">
        <v>2886</v>
      </c>
      <c r="AJ165" s="3015"/>
    </row>
    <row r="166" spans="2:36" ht="20.100000000000001" customHeight="1">
      <c r="B166" s="3262"/>
      <c r="C166" s="3317"/>
      <c r="D166" s="3328" t="s">
        <v>2887</v>
      </c>
      <c r="E166" s="3089"/>
      <c r="F166" s="3432" t="s">
        <v>2811</v>
      </c>
      <c r="G166" s="3319"/>
      <c r="H166" s="3498"/>
      <c r="I166" s="3470" t="s">
        <v>2888</v>
      </c>
      <c r="J166" s="3471"/>
      <c r="K166" s="3141" t="s">
        <v>2811</v>
      </c>
      <c r="L166" s="3239"/>
      <c r="M166" s="3258"/>
      <c r="N166" s="3086"/>
      <c r="O166" s="3258"/>
      <c r="P166" s="3238"/>
      <c r="Q166" s="3239"/>
      <c r="R166" s="3258"/>
      <c r="S166" s="3086"/>
      <c r="T166" s="3258"/>
      <c r="U166" s="3238"/>
      <c r="V166" s="3239"/>
      <c r="W166" s="3258"/>
      <c r="X166" s="3086"/>
      <c r="Y166" s="3258"/>
      <c r="Z166" s="3238"/>
      <c r="AA166" s="3239"/>
      <c r="AB166" s="3258"/>
      <c r="AC166" s="3086"/>
      <c r="AD166" s="3258"/>
      <c r="AE166" s="3238"/>
      <c r="AF166" s="3085"/>
      <c r="AG166" s="3478"/>
      <c r="AH166" s="3478"/>
      <c r="AI166" s="3248" t="s">
        <v>2886</v>
      </c>
      <c r="AJ166" s="3015"/>
    </row>
    <row r="167" spans="2:36" ht="20.100000000000001" customHeight="1">
      <c r="B167" s="3219" t="s">
        <v>2722</v>
      </c>
      <c r="C167" s="3249" t="s">
        <v>2889</v>
      </c>
      <c r="D167" s="3089"/>
      <c r="E167" s="3089"/>
      <c r="F167" s="3432" t="s">
        <v>2811</v>
      </c>
      <c r="G167" s="3503"/>
      <c r="H167" s="3125" t="s">
        <v>2890</v>
      </c>
      <c r="I167" s="3125"/>
      <c r="J167" s="3471"/>
      <c r="K167" s="3141" t="s">
        <v>2811</v>
      </c>
      <c r="L167" s="3239"/>
      <c r="M167" s="3258"/>
      <c r="N167" s="3086"/>
      <c r="O167" s="3258"/>
      <c r="P167" s="3238"/>
      <c r="Q167" s="3239"/>
      <c r="R167" s="3258"/>
      <c r="S167" s="3086"/>
      <c r="T167" s="3258"/>
      <c r="U167" s="3238"/>
      <c r="V167" s="3239"/>
      <c r="W167" s="3258"/>
      <c r="X167" s="3086"/>
      <c r="Y167" s="3258"/>
      <c r="Z167" s="3238"/>
      <c r="AA167" s="3239"/>
      <c r="AB167" s="3258"/>
      <c r="AC167" s="3086"/>
      <c r="AD167" s="3258"/>
      <c r="AE167" s="3238"/>
      <c r="AF167" s="3085"/>
      <c r="AG167" s="3478"/>
      <c r="AH167" s="3478"/>
      <c r="AI167" s="3248" t="s">
        <v>2891</v>
      </c>
      <c r="AJ167" s="3015"/>
    </row>
    <row r="168" spans="2:36" ht="20.100000000000001" customHeight="1">
      <c r="B168" s="3423"/>
      <c r="C168" s="3263" t="s">
        <v>2892</v>
      </c>
      <c r="D168" s="3139"/>
      <c r="E168" s="3139"/>
      <c r="F168" s="3432" t="s">
        <v>2811</v>
      </c>
      <c r="G168" s="3358"/>
      <c r="H168" s="3122" t="s">
        <v>2893</v>
      </c>
      <c r="I168" s="3122"/>
      <c r="J168" s="3155"/>
      <c r="K168" s="3141" t="s">
        <v>2811</v>
      </c>
      <c r="L168" s="3239"/>
      <c r="M168" s="3258"/>
      <c r="N168" s="3086"/>
      <c r="O168" s="3258"/>
      <c r="P168" s="3238"/>
      <c r="Q168" s="3239"/>
      <c r="R168" s="3258"/>
      <c r="S168" s="3086"/>
      <c r="T168" s="3258"/>
      <c r="U168" s="3238"/>
      <c r="V168" s="3239"/>
      <c r="W168" s="3258"/>
      <c r="X168" s="3086"/>
      <c r="Y168" s="3258"/>
      <c r="Z168" s="3238"/>
      <c r="AA168" s="3239"/>
      <c r="AB168" s="3258"/>
      <c r="AC168" s="3086"/>
      <c r="AD168" s="3258"/>
      <c r="AE168" s="3238"/>
      <c r="AF168" s="3085"/>
      <c r="AG168" s="3478"/>
      <c r="AH168" s="3478"/>
      <c r="AI168" s="3248" t="s">
        <v>2894</v>
      </c>
      <c r="AJ168" s="3008"/>
    </row>
    <row r="169" spans="2:36" ht="20.100000000000001" customHeight="1">
      <c r="B169" s="3423"/>
      <c r="C169" s="3269"/>
      <c r="D169" s="3430" t="s">
        <v>2895</v>
      </c>
      <c r="E169" s="3504"/>
      <c r="F169" s="3432" t="s">
        <v>2811</v>
      </c>
      <c r="G169" s="3505"/>
      <c r="H169" s="3321" t="s">
        <v>2896</v>
      </c>
      <c r="I169" s="3433" t="s">
        <v>2897</v>
      </c>
      <c r="J169" s="3440"/>
      <c r="K169" s="3141" t="s">
        <v>2811</v>
      </c>
      <c r="L169" s="3239"/>
      <c r="M169" s="3258"/>
      <c r="N169" s="3086"/>
      <c r="O169" s="3258"/>
      <c r="P169" s="3238"/>
      <c r="Q169" s="3239"/>
      <c r="R169" s="3258"/>
      <c r="S169" s="3086"/>
      <c r="T169" s="3258"/>
      <c r="U169" s="3238"/>
      <c r="V169" s="3239"/>
      <c r="W169" s="3258"/>
      <c r="X169" s="3086"/>
      <c r="Y169" s="3258"/>
      <c r="Z169" s="3238"/>
      <c r="AA169" s="3239"/>
      <c r="AB169" s="3258"/>
      <c r="AC169" s="3086"/>
      <c r="AD169" s="3258"/>
      <c r="AE169" s="3238"/>
      <c r="AF169" s="3476"/>
      <c r="AG169" s="3478"/>
      <c r="AH169" s="3478"/>
      <c r="AI169" s="3248" t="s">
        <v>2894</v>
      </c>
      <c r="AJ169" s="3008"/>
    </row>
    <row r="170" spans="2:36" ht="20.100000000000001" customHeight="1">
      <c r="B170" s="3423"/>
      <c r="C170" s="3506"/>
      <c r="D170" s="3430" t="s">
        <v>2898</v>
      </c>
      <c r="E170" s="3504"/>
      <c r="F170" s="3432" t="s">
        <v>2811</v>
      </c>
      <c r="G170" s="3091"/>
      <c r="H170" s="3323"/>
      <c r="I170" s="3433" t="s">
        <v>2899</v>
      </c>
      <c r="J170" s="3440"/>
      <c r="K170" s="3141" t="s">
        <v>2811</v>
      </c>
      <c r="L170" s="3239"/>
      <c r="M170" s="3258"/>
      <c r="N170" s="3086"/>
      <c r="O170" s="3258"/>
      <c r="P170" s="3238"/>
      <c r="Q170" s="3239"/>
      <c r="R170" s="3258"/>
      <c r="S170" s="3086"/>
      <c r="T170" s="3258"/>
      <c r="U170" s="3238"/>
      <c r="V170" s="3239"/>
      <c r="W170" s="3258"/>
      <c r="X170" s="3086"/>
      <c r="Y170" s="3258"/>
      <c r="Z170" s="3238"/>
      <c r="AA170" s="3239"/>
      <c r="AB170" s="3258"/>
      <c r="AC170" s="3086"/>
      <c r="AD170" s="3258"/>
      <c r="AE170" s="3238"/>
      <c r="AF170" s="3476"/>
      <c r="AG170" s="3478"/>
      <c r="AH170" s="3478"/>
      <c r="AI170" s="3248" t="s">
        <v>2894</v>
      </c>
      <c r="AJ170" s="3008"/>
    </row>
    <row r="171" spans="2:36" ht="20.100000000000001" customHeight="1">
      <c r="B171" s="3423"/>
      <c r="C171" s="3506"/>
      <c r="D171" s="3430" t="s">
        <v>2900</v>
      </c>
      <c r="E171" s="3504"/>
      <c r="F171" s="3432" t="s">
        <v>2811</v>
      </c>
      <c r="G171" s="3091"/>
      <c r="H171" s="3323"/>
      <c r="I171" s="3433" t="s">
        <v>2901</v>
      </c>
      <c r="J171" s="3440"/>
      <c r="K171" s="3141" t="s">
        <v>2811</v>
      </c>
      <c r="L171" s="3239"/>
      <c r="M171" s="3258"/>
      <c r="N171" s="3086"/>
      <c r="O171" s="3258"/>
      <c r="P171" s="3238"/>
      <c r="Q171" s="3239"/>
      <c r="R171" s="3258"/>
      <c r="S171" s="3086"/>
      <c r="T171" s="3258"/>
      <c r="U171" s="3238"/>
      <c r="V171" s="3239"/>
      <c r="W171" s="3258"/>
      <c r="X171" s="3086"/>
      <c r="Y171" s="3258"/>
      <c r="Z171" s="3238"/>
      <c r="AA171" s="3239"/>
      <c r="AB171" s="3258"/>
      <c r="AC171" s="3086"/>
      <c r="AD171" s="3258"/>
      <c r="AE171" s="3238"/>
      <c r="AF171" s="3476"/>
      <c r="AG171" s="3478"/>
      <c r="AH171" s="3478"/>
      <c r="AI171" s="3248" t="s">
        <v>2894</v>
      </c>
      <c r="AJ171" s="3008"/>
    </row>
    <row r="172" spans="2:36" ht="20.100000000000001" customHeight="1">
      <c r="B172" s="3507"/>
      <c r="C172" s="3506"/>
      <c r="D172" s="3430" t="s">
        <v>2902</v>
      </c>
      <c r="E172" s="3504"/>
      <c r="F172" s="3432" t="s">
        <v>2811</v>
      </c>
      <c r="G172" s="3091"/>
      <c r="H172" s="3323"/>
      <c r="I172" s="3433" t="s">
        <v>2903</v>
      </c>
      <c r="J172" s="3440"/>
      <c r="K172" s="3141" t="s">
        <v>2811</v>
      </c>
      <c r="L172" s="3239"/>
      <c r="M172" s="3258"/>
      <c r="N172" s="3086"/>
      <c r="O172" s="3258"/>
      <c r="P172" s="3238"/>
      <c r="Q172" s="3239"/>
      <c r="R172" s="3258"/>
      <c r="S172" s="3086"/>
      <c r="T172" s="3258"/>
      <c r="U172" s="3238"/>
      <c r="V172" s="3239"/>
      <c r="W172" s="3258"/>
      <c r="X172" s="3086"/>
      <c r="Y172" s="3258"/>
      <c r="Z172" s="3238"/>
      <c r="AA172" s="3239"/>
      <c r="AB172" s="3258"/>
      <c r="AC172" s="3086"/>
      <c r="AD172" s="3258"/>
      <c r="AE172" s="3238"/>
      <c r="AF172" s="3476"/>
      <c r="AG172" s="3478"/>
      <c r="AH172" s="3478"/>
      <c r="AI172" s="3248" t="s">
        <v>2894</v>
      </c>
      <c r="AJ172" s="3008"/>
    </row>
    <row r="173" spans="2:36" ht="20.100000000000001" customHeight="1">
      <c r="B173" s="3423"/>
      <c r="C173" s="3506"/>
      <c r="D173" s="3430" t="s">
        <v>2904</v>
      </c>
      <c r="E173" s="3504"/>
      <c r="F173" s="3432" t="s">
        <v>2811</v>
      </c>
      <c r="G173" s="3091"/>
      <c r="H173" s="3323"/>
      <c r="I173" s="3433" t="s">
        <v>2905</v>
      </c>
      <c r="J173" s="3440"/>
      <c r="K173" s="3141" t="s">
        <v>2811</v>
      </c>
      <c r="L173" s="3239"/>
      <c r="M173" s="3258"/>
      <c r="N173" s="3086"/>
      <c r="O173" s="3258"/>
      <c r="P173" s="3238"/>
      <c r="Q173" s="3239"/>
      <c r="R173" s="3258"/>
      <c r="S173" s="3086"/>
      <c r="T173" s="3258"/>
      <c r="U173" s="3238"/>
      <c r="V173" s="3239"/>
      <c r="W173" s="3258"/>
      <c r="X173" s="3086"/>
      <c r="Y173" s="3258"/>
      <c r="Z173" s="3238"/>
      <c r="AA173" s="3239"/>
      <c r="AB173" s="3258"/>
      <c r="AC173" s="3086"/>
      <c r="AD173" s="3258"/>
      <c r="AE173" s="3238"/>
      <c r="AF173" s="3476"/>
      <c r="AG173" s="3478"/>
      <c r="AH173" s="3478"/>
      <c r="AI173" s="3248" t="s">
        <v>2894</v>
      </c>
      <c r="AJ173" s="3008"/>
    </row>
    <row r="174" spans="2:36" ht="20.100000000000001" customHeight="1">
      <c r="B174" s="3423"/>
      <c r="C174" s="3506"/>
      <c r="D174" s="3430" t="s">
        <v>2906</v>
      </c>
      <c r="E174" s="3504"/>
      <c r="F174" s="3432" t="s">
        <v>2811</v>
      </c>
      <c r="G174" s="3091"/>
      <c r="H174" s="3323"/>
      <c r="I174" s="3433" t="s">
        <v>2907</v>
      </c>
      <c r="J174" s="3440"/>
      <c r="K174" s="3141" t="s">
        <v>2811</v>
      </c>
      <c r="L174" s="3239"/>
      <c r="M174" s="3258"/>
      <c r="N174" s="3086"/>
      <c r="O174" s="3258"/>
      <c r="P174" s="3238"/>
      <c r="Q174" s="3239"/>
      <c r="R174" s="3258"/>
      <c r="S174" s="3086"/>
      <c r="T174" s="3258"/>
      <c r="U174" s="3238"/>
      <c r="V174" s="3239"/>
      <c r="W174" s="3258"/>
      <c r="X174" s="3086"/>
      <c r="Y174" s="3258"/>
      <c r="Z174" s="3238"/>
      <c r="AA174" s="3239"/>
      <c r="AB174" s="3258"/>
      <c r="AC174" s="3086"/>
      <c r="AD174" s="3258"/>
      <c r="AE174" s="3238"/>
      <c r="AF174" s="3476"/>
      <c r="AG174" s="3478"/>
      <c r="AH174" s="3478"/>
      <c r="AI174" s="3248" t="s">
        <v>2894</v>
      </c>
      <c r="AJ174" s="3008"/>
    </row>
    <row r="175" spans="2:36" ht="20.100000000000001" customHeight="1">
      <c r="B175" s="3423"/>
      <c r="C175" s="3506"/>
      <c r="D175" s="3430" t="s">
        <v>2908</v>
      </c>
      <c r="E175" s="3504"/>
      <c r="F175" s="3432" t="s">
        <v>2811</v>
      </c>
      <c r="G175" s="3091"/>
      <c r="H175" s="3323"/>
      <c r="I175" s="3433" t="s">
        <v>2909</v>
      </c>
      <c r="J175" s="3440"/>
      <c r="K175" s="3141" t="s">
        <v>2811</v>
      </c>
      <c r="L175" s="3239"/>
      <c r="M175" s="3258"/>
      <c r="N175" s="3086"/>
      <c r="O175" s="3258"/>
      <c r="P175" s="3238"/>
      <c r="Q175" s="3239"/>
      <c r="R175" s="3258"/>
      <c r="S175" s="3086"/>
      <c r="T175" s="3258"/>
      <c r="U175" s="3238"/>
      <c r="V175" s="3239"/>
      <c r="W175" s="3258"/>
      <c r="X175" s="3086"/>
      <c r="Y175" s="3258"/>
      <c r="Z175" s="3238"/>
      <c r="AA175" s="3239"/>
      <c r="AB175" s="3258"/>
      <c r="AC175" s="3086"/>
      <c r="AD175" s="3258"/>
      <c r="AE175" s="3238"/>
      <c r="AF175" s="3476"/>
      <c r="AG175" s="3478"/>
      <c r="AH175" s="3478"/>
      <c r="AI175" s="3248" t="s">
        <v>2894</v>
      </c>
      <c r="AJ175" s="3008"/>
    </row>
    <row r="176" spans="2:36" ht="20.100000000000001" customHeight="1" thickBot="1">
      <c r="B176" s="3438"/>
      <c r="C176" s="3508"/>
      <c r="D176" s="3509" t="s">
        <v>2910</v>
      </c>
      <c r="E176" s="3510"/>
      <c r="F176" s="3451" t="s">
        <v>2811</v>
      </c>
      <c r="G176" s="3091"/>
      <c r="H176" s="3323"/>
      <c r="I176" s="3511" t="s">
        <v>2911</v>
      </c>
      <c r="J176" s="3512"/>
      <c r="K176" s="3513" t="s">
        <v>2811</v>
      </c>
      <c r="L176" s="3514"/>
      <c r="M176" s="3515"/>
      <c r="N176" s="3516"/>
      <c r="O176" s="3515"/>
      <c r="P176" s="3517"/>
      <c r="Q176" s="3514"/>
      <c r="R176" s="3515"/>
      <c r="S176" s="3516"/>
      <c r="T176" s="3515"/>
      <c r="U176" s="3517"/>
      <c r="V176" s="3514"/>
      <c r="W176" s="3515"/>
      <c r="X176" s="3516"/>
      <c r="Y176" s="3515"/>
      <c r="Z176" s="3517"/>
      <c r="AA176" s="3514"/>
      <c r="AB176" s="3515"/>
      <c r="AC176" s="3516"/>
      <c r="AD176" s="3515"/>
      <c r="AE176" s="3517"/>
      <c r="AF176" s="3476"/>
      <c r="AG176" s="3518"/>
      <c r="AH176" s="3518"/>
      <c r="AI176" s="3248" t="s">
        <v>2894</v>
      </c>
      <c r="AJ176" s="3008"/>
    </row>
    <row r="177" spans="2:36" ht="27" thickBot="1">
      <c r="B177" s="3219" t="s">
        <v>2722</v>
      </c>
      <c r="C177" s="3105" t="s">
        <v>2912</v>
      </c>
      <c r="D177" s="3106"/>
      <c r="E177" s="3106"/>
      <c r="F177" s="3106"/>
      <c r="G177" s="3519" t="s">
        <v>2913</v>
      </c>
      <c r="H177" s="3520"/>
      <c r="I177" s="3108"/>
      <c r="J177" s="3108"/>
      <c r="K177" s="3521"/>
      <c r="L177" s="3129"/>
      <c r="M177" s="3130"/>
      <c r="N177" s="3130"/>
      <c r="O177" s="3130"/>
      <c r="P177" s="3131"/>
      <c r="Q177" s="3129"/>
      <c r="R177" s="3130"/>
      <c r="S177" s="3130"/>
      <c r="T177" s="3130"/>
      <c r="U177" s="3131"/>
      <c r="V177" s="3129"/>
      <c r="W177" s="3130"/>
      <c r="X177" s="3130"/>
      <c r="Y177" s="3130"/>
      <c r="Z177" s="3131"/>
      <c r="AA177" s="3129"/>
      <c r="AB177" s="3130"/>
      <c r="AC177" s="3130"/>
      <c r="AD177" s="3130"/>
      <c r="AE177" s="3131"/>
      <c r="AF177" s="3112"/>
      <c r="AG177" s="3113"/>
      <c r="AH177" s="3113"/>
      <c r="AI177" s="3302"/>
      <c r="AJ177" s="3015"/>
    </row>
    <row r="178" spans="2:36" ht="20.100000000000001" customHeight="1">
      <c r="B178" s="3219" t="s">
        <v>2722</v>
      </c>
      <c r="C178" s="3522" t="s">
        <v>2914</v>
      </c>
      <c r="D178" s="3523"/>
      <c r="E178" s="3523"/>
      <c r="F178" s="3432" t="s">
        <v>2600</v>
      </c>
      <c r="G178" s="3303"/>
      <c r="H178" s="3232" t="s">
        <v>2915</v>
      </c>
      <c r="I178" s="3232"/>
      <c r="J178" s="3261"/>
      <c r="K178" s="3141" t="s">
        <v>35</v>
      </c>
      <c r="L178" s="3239"/>
      <c r="M178" s="3424"/>
      <c r="N178" s="3086"/>
      <c r="O178" s="3424"/>
      <c r="P178" s="3238"/>
      <c r="Q178" s="3239"/>
      <c r="R178" s="3424"/>
      <c r="S178" s="3086"/>
      <c r="T178" s="3424"/>
      <c r="U178" s="3238"/>
      <c r="V178" s="3239"/>
      <c r="W178" s="3424"/>
      <c r="X178" s="3086"/>
      <c r="Y178" s="3424"/>
      <c r="Z178" s="3238"/>
      <c r="AA178" s="3239"/>
      <c r="AB178" s="3424"/>
      <c r="AC178" s="3086"/>
      <c r="AD178" s="3424"/>
      <c r="AE178" s="3238"/>
      <c r="AF178" s="3272"/>
      <c r="AG178" s="3478"/>
      <c r="AH178" s="3478"/>
      <c r="AI178" s="3524" t="s">
        <v>2916</v>
      </c>
      <c r="AJ178" s="3015"/>
    </row>
    <row r="179" spans="2:36" ht="26.25">
      <c r="B179" s="3219" t="s">
        <v>2722</v>
      </c>
      <c r="C179" s="3263" t="s">
        <v>2917</v>
      </c>
      <c r="D179" s="3139"/>
      <c r="E179" s="3139"/>
      <c r="F179" s="3432" t="s">
        <v>2600</v>
      </c>
      <c r="G179" s="3312"/>
      <c r="H179" s="3122" t="s">
        <v>2918</v>
      </c>
      <c r="I179" s="3122"/>
      <c r="J179" s="3123"/>
      <c r="K179" s="3141" t="s">
        <v>35</v>
      </c>
      <c r="L179" s="3239"/>
      <c r="M179" s="3424"/>
      <c r="N179" s="3086"/>
      <c r="O179" s="3424"/>
      <c r="P179" s="3238"/>
      <c r="Q179" s="3239"/>
      <c r="R179" s="3424"/>
      <c r="S179" s="3086"/>
      <c r="T179" s="3424"/>
      <c r="U179" s="3238"/>
      <c r="V179" s="3239"/>
      <c r="W179" s="3424"/>
      <c r="X179" s="3086"/>
      <c r="Y179" s="3424"/>
      <c r="Z179" s="3238"/>
      <c r="AA179" s="3239"/>
      <c r="AB179" s="3424"/>
      <c r="AC179" s="3086"/>
      <c r="AD179" s="3424"/>
      <c r="AE179" s="3238"/>
      <c r="AF179" s="3272"/>
      <c r="AG179" s="3478"/>
      <c r="AH179" s="3478"/>
      <c r="AI179" s="3524" t="s">
        <v>2919</v>
      </c>
      <c r="AJ179" s="3015"/>
    </row>
    <row r="180" spans="2:36" ht="20.100000000000001" customHeight="1">
      <c r="B180" s="3219" t="s">
        <v>2722</v>
      </c>
      <c r="C180" s="3139" t="s">
        <v>2920</v>
      </c>
      <c r="D180" s="3139"/>
      <c r="E180" s="3139"/>
      <c r="F180" s="3432" t="s">
        <v>2921</v>
      </c>
      <c r="G180" s="3312"/>
      <c r="H180" s="3122" t="s">
        <v>2922</v>
      </c>
      <c r="I180" s="3122"/>
      <c r="J180" s="3155"/>
      <c r="K180" s="3141" t="s">
        <v>559</v>
      </c>
      <c r="L180" s="3239"/>
      <c r="M180" s="3424"/>
      <c r="N180" s="3086"/>
      <c r="O180" s="3424"/>
      <c r="P180" s="3238"/>
      <c r="Q180" s="3239"/>
      <c r="R180" s="3424"/>
      <c r="S180" s="3086"/>
      <c r="T180" s="3424"/>
      <c r="U180" s="3238"/>
      <c r="V180" s="3239"/>
      <c r="W180" s="3424"/>
      <c r="X180" s="3086"/>
      <c r="Y180" s="3424"/>
      <c r="Z180" s="3238"/>
      <c r="AA180" s="3239"/>
      <c r="AB180" s="3424"/>
      <c r="AC180" s="3086"/>
      <c r="AD180" s="3424"/>
      <c r="AE180" s="3238"/>
      <c r="AF180" s="3085"/>
      <c r="AG180" s="3478"/>
      <c r="AH180" s="3478"/>
      <c r="AI180" s="3525" t="s">
        <v>2923</v>
      </c>
      <c r="AJ180" s="3015"/>
    </row>
    <row r="181" spans="2:36" ht="20.100000000000001" customHeight="1">
      <c r="B181" s="3219" t="s">
        <v>2722</v>
      </c>
      <c r="C181" s="3263" t="s">
        <v>2924</v>
      </c>
      <c r="D181" s="3139"/>
      <c r="E181" s="3139"/>
      <c r="F181" s="3255" t="s">
        <v>2921</v>
      </c>
      <c r="G181" s="3312"/>
      <c r="H181" s="3122" t="s">
        <v>2925</v>
      </c>
      <c r="I181" s="3122"/>
      <c r="J181" s="3155"/>
      <c r="K181" s="3140" t="s">
        <v>559</v>
      </c>
      <c r="L181" s="3239"/>
      <c r="M181" s="3424"/>
      <c r="N181" s="3086"/>
      <c r="O181" s="3424"/>
      <c r="P181" s="3238"/>
      <c r="Q181" s="3239"/>
      <c r="R181" s="3424"/>
      <c r="S181" s="3086"/>
      <c r="T181" s="3424"/>
      <c r="U181" s="3238"/>
      <c r="V181" s="3239"/>
      <c r="W181" s="3424"/>
      <c r="X181" s="3086"/>
      <c r="Y181" s="3424"/>
      <c r="Z181" s="3238"/>
      <c r="AA181" s="3239"/>
      <c r="AB181" s="3424"/>
      <c r="AC181" s="3086"/>
      <c r="AD181" s="3424"/>
      <c r="AE181" s="3238"/>
      <c r="AF181" s="3085"/>
      <c r="AG181" s="3478"/>
      <c r="AH181" s="3478"/>
      <c r="AI181" s="3524" t="s">
        <v>2926</v>
      </c>
      <c r="AJ181" s="3015"/>
    </row>
    <row r="182" spans="2:36" ht="20.100000000000001" customHeight="1">
      <c r="B182" s="3219" t="s">
        <v>2722</v>
      </c>
      <c r="C182" s="3526" t="s">
        <v>2927</v>
      </c>
      <c r="D182" s="3527"/>
      <c r="E182" s="3527"/>
      <c r="F182" s="3255" t="s">
        <v>2600</v>
      </c>
      <c r="G182" s="3396"/>
      <c r="H182" s="3122" t="s">
        <v>2928</v>
      </c>
      <c r="I182" s="3122"/>
      <c r="J182" s="3155"/>
      <c r="K182" s="3140" t="s">
        <v>35</v>
      </c>
      <c r="L182" s="3239"/>
      <c r="M182" s="3424"/>
      <c r="N182" s="3086"/>
      <c r="O182" s="3528"/>
      <c r="P182" s="3238"/>
      <c r="Q182" s="3239"/>
      <c r="R182" s="3424"/>
      <c r="S182" s="3086"/>
      <c r="T182" s="3528"/>
      <c r="U182" s="3238"/>
      <c r="V182" s="3239"/>
      <c r="W182" s="3528"/>
      <c r="X182" s="3086"/>
      <c r="Y182" s="3528"/>
      <c r="Z182" s="3238"/>
      <c r="AA182" s="3239"/>
      <c r="AB182" s="3424"/>
      <c r="AC182" s="3086"/>
      <c r="AD182" s="3424"/>
      <c r="AE182" s="3238"/>
      <c r="AF182" s="3272"/>
      <c r="AG182" s="3478"/>
      <c r="AH182" s="3478"/>
      <c r="AI182" s="3524" t="s">
        <v>2929</v>
      </c>
      <c r="AJ182" s="3529"/>
    </row>
    <row r="183" spans="2:36" ht="20.100000000000001" customHeight="1">
      <c r="B183" s="3530"/>
      <c r="C183" s="3263" t="s">
        <v>2930</v>
      </c>
      <c r="D183" s="3139"/>
      <c r="E183" s="3139"/>
      <c r="F183" s="3255" t="s">
        <v>2931</v>
      </c>
      <c r="G183" s="3358"/>
      <c r="H183" s="3122" t="s">
        <v>2932</v>
      </c>
      <c r="I183" s="3122"/>
      <c r="J183" s="3155"/>
      <c r="K183" s="3140" t="s">
        <v>2931</v>
      </c>
      <c r="L183" s="3531">
        <v>0</v>
      </c>
      <c r="M183" s="3424">
        <v>0</v>
      </c>
      <c r="N183" s="3532">
        <v>0</v>
      </c>
      <c r="O183" s="3424">
        <v>0</v>
      </c>
      <c r="P183" s="3238"/>
      <c r="Q183" s="3531">
        <v>0</v>
      </c>
      <c r="R183" s="3533" t="s">
        <v>724</v>
      </c>
      <c r="S183" s="3532">
        <v>0</v>
      </c>
      <c r="T183" s="3533" t="s">
        <v>724</v>
      </c>
      <c r="U183" s="3238"/>
      <c r="V183" s="3531" t="s">
        <v>2351</v>
      </c>
      <c r="W183" s="3424" t="s">
        <v>2352</v>
      </c>
      <c r="X183" s="3532" t="s">
        <v>2351</v>
      </c>
      <c r="Y183" s="3424" t="s">
        <v>2352</v>
      </c>
      <c r="Z183" s="3238"/>
      <c r="AA183" s="3239"/>
      <c r="AB183" s="3424"/>
      <c r="AC183" s="3086"/>
      <c r="AD183" s="3424"/>
      <c r="AE183" s="3238"/>
      <c r="AF183" s="3085"/>
      <c r="AG183" s="3478"/>
      <c r="AH183" s="3478"/>
      <c r="AI183" s="3524" t="s">
        <v>2933</v>
      </c>
      <c r="AJ183" s="3008"/>
    </row>
    <row r="184" spans="2:36" ht="20.100000000000001" customHeight="1">
      <c r="B184" s="3534"/>
      <c r="C184" s="3535"/>
      <c r="D184" s="3536" t="s">
        <v>2934</v>
      </c>
      <c r="E184" s="3537"/>
      <c r="F184" s="3255" t="s">
        <v>2931</v>
      </c>
      <c r="G184" s="3469"/>
      <c r="H184" s="3039"/>
      <c r="I184" s="3538" t="s">
        <v>2935</v>
      </c>
      <c r="J184" s="3539"/>
      <c r="K184" s="3140" t="s">
        <v>2931</v>
      </c>
      <c r="L184" s="3531">
        <v>0</v>
      </c>
      <c r="M184" s="3424">
        <v>0</v>
      </c>
      <c r="N184" s="3532">
        <v>0</v>
      </c>
      <c r="O184" s="3424">
        <v>0</v>
      </c>
      <c r="P184" s="3238"/>
      <c r="Q184" s="3531">
        <v>0</v>
      </c>
      <c r="R184" s="3533" t="s">
        <v>726</v>
      </c>
      <c r="S184" s="3532">
        <v>0</v>
      </c>
      <c r="T184" s="3533" t="s">
        <v>726</v>
      </c>
      <c r="U184" s="3238"/>
      <c r="V184" s="3531">
        <v>0</v>
      </c>
      <c r="W184" s="3424" t="s">
        <v>2353</v>
      </c>
      <c r="X184" s="3532">
        <v>0</v>
      </c>
      <c r="Y184" s="3424" t="s">
        <v>2353</v>
      </c>
      <c r="Z184" s="3238"/>
      <c r="AA184" s="3239"/>
      <c r="AB184" s="3424"/>
      <c r="AC184" s="3086"/>
      <c r="AD184" s="3424"/>
      <c r="AE184" s="3238"/>
      <c r="AF184" s="3085"/>
      <c r="AG184" s="3478"/>
      <c r="AH184" s="3478"/>
      <c r="AI184" s="3524" t="s">
        <v>2933</v>
      </c>
      <c r="AJ184" s="3008"/>
    </row>
    <row r="185" spans="2:36" ht="20.100000000000001" customHeight="1">
      <c r="B185" s="3534"/>
      <c r="C185" s="3535"/>
      <c r="D185" s="3536" t="s">
        <v>2936</v>
      </c>
      <c r="E185" s="3537"/>
      <c r="F185" s="3255" t="s">
        <v>2931</v>
      </c>
      <c r="G185" s="3469"/>
      <c r="H185" s="3039"/>
      <c r="I185" s="3538" t="s">
        <v>2937</v>
      </c>
      <c r="J185" s="3539"/>
      <c r="K185" s="3140" t="s">
        <v>2931</v>
      </c>
      <c r="L185" s="3239"/>
      <c r="M185" s="3424"/>
      <c r="N185" s="3086"/>
      <c r="O185" s="3424"/>
      <c r="P185" s="3238"/>
      <c r="Q185" s="3239"/>
      <c r="R185" s="3533"/>
      <c r="S185" s="3086"/>
      <c r="T185" s="3424"/>
      <c r="U185" s="3238"/>
      <c r="V185" s="3239"/>
      <c r="W185" s="3424"/>
      <c r="X185" s="3086"/>
      <c r="Y185" s="3424"/>
      <c r="Z185" s="3238"/>
      <c r="AA185" s="3239"/>
      <c r="AB185" s="3424"/>
      <c r="AC185" s="3086"/>
      <c r="AD185" s="3424"/>
      <c r="AE185" s="3238"/>
      <c r="AF185" s="3085"/>
      <c r="AG185" s="3478"/>
      <c r="AH185" s="3478"/>
      <c r="AI185" s="3524" t="s">
        <v>2933</v>
      </c>
      <c r="AJ185" s="3008"/>
    </row>
    <row r="186" spans="2:36" ht="20.100000000000001" customHeight="1">
      <c r="B186" s="3534"/>
      <c r="C186" s="3535"/>
      <c r="D186" s="3536" t="s">
        <v>2938</v>
      </c>
      <c r="E186" s="3537"/>
      <c r="F186" s="3255" t="s">
        <v>2931</v>
      </c>
      <c r="G186" s="3469"/>
      <c r="H186" s="3039"/>
      <c r="I186" s="3538" t="s">
        <v>2939</v>
      </c>
      <c r="J186" s="3539"/>
      <c r="K186" s="3140" t="s">
        <v>2931</v>
      </c>
      <c r="L186" s="3531">
        <v>0</v>
      </c>
      <c r="M186" s="3424">
        <v>0</v>
      </c>
      <c r="N186" s="3532">
        <v>0</v>
      </c>
      <c r="O186" s="3424">
        <v>0</v>
      </c>
      <c r="P186" s="3238"/>
      <c r="Q186" s="3531">
        <v>0</v>
      </c>
      <c r="R186" s="3533" t="s">
        <v>726</v>
      </c>
      <c r="S186" s="3532">
        <v>0</v>
      </c>
      <c r="T186" s="3533" t="s">
        <v>726</v>
      </c>
      <c r="U186" s="3238"/>
      <c r="V186" s="3531">
        <v>0</v>
      </c>
      <c r="W186" s="3424" t="s">
        <v>2353</v>
      </c>
      <c r="X186" s="3532">
        <v>0</v>
      </c>
      <c r="Y186" s="3424" t="s">
        <v>2353</v>
      </c>
      <c r="Z186" s="3238"/>
      <c r="AA186" s="3239"/>
      <c r="AB186" s="3424"/>
      <c r="AC186" s="3086"/>
      <c r="AD186" s="3424"/>
      <c r="AE186" s="3238"/>
      <c r="AF186" s="3085"/>
      <c r="AG186" s="3478"/>
      <c r="AH186" s="3478"/>
      <c r="AI186" s="3524" t="s">
        <v>2933</v>
      </c>
      <c r="AJ186" s="3008"/>
    </row>
    <row r="187" spans="2:36" ht="20.100000000000001" customHeight="1">
      <c r="B187" s="3534"/>
      <c r="C187" s="3535"/>
      <c r="D187" s="3536" t="s">
        <v>2940</v>
      </c>
      <c r="E187" s="3537"/>
      <c r="F187" s="3255" t="s">
        <v>2931</v>
      </c>
      <c r="G187" s="3469"/>
      <c r="H187" s="3039"/>
      <c r="I187" s="3538" t="s">
        <v>2941</v>
      </c>
      <c r="J187" s="3539"/>
      <c r="K187" s="3140" t="s">
        <v>2931</v>
      </c>
      <c r="L187" s="3531">
        <v>0</v>
      </c>
      <c r="M187" s="3424">
        <v>0</v>
      </c>
      <c r="N187" s="3532">
        <v>0</v>
      </c>
      <c r="O187" s="3424">
        <v>0</v>
      </c>
      <c r="P187" s="3238"/>
      <c r="Q187" s="3531">
        <v>0</v>
      </c>
      <c r="R187" s="3533" t="s">
        <v>726</v>
      </c>
      <c r="S187" s="3532">
        <v>0</v>
      </c>
      <c r="T187" s="3533" t="s">
        <v>726</v>
      </c>
      <c r="U187" s="3238"/>
      <c r="V187" s="3531">
        <v>0</v>
      </c>
      <c r="W187" s="3424" t="s">
        <v>2353</v>
      </c>
      <c r="X187" s="3532">
        <v>0</v>
      </c>
      <c r="Y187" s="3424" t="s">
        <v>2353</v>
      </c>
      <c r="Z187" s="3238"/>
      <c r="AA187" s="3239"/>
      <c r="AB187" s="3424"/>
      <c r="AC187" s="3086"/>
      <c r="AD187" s="3424"/>
      <c r="AE187" s="3238"/>
      <c r="AF187" s="3085"/>
      <c r="AG187" s="3478"/>
      <c r="AH187" s="3478"/>
      <c r="AI187" s="3524" t="s">
        <v>2933</v>
      </c>
      <c r="AJ187" s="3008"/>
    </row>
    <row r="188" spans="2:36" ht="20.100000000000001" customHeight="1">
      <c r="B188" s="3534"/>
      <c r="C188" s="3535"/>
      <c r="D188" s="3540" t="s">
        <v>2942</v>
      </c>
      <c r="E188" s="3540"/>
      <c r="F188" s="3255" t="s">
        <v>2931</v>
      </c>
      <c r="G188" s="3469"/>
      <c r="H188" s="3039"/>
      <c r="I188" s="3538" t="s">
        <v>2943</v>
      </c>
      <c r="J188" s="3539"/>
      <c r="K188" s="3140" t="s">
        <v>2931</v>
      </c>
      <c r="L188" s="3239"/>
      <c r="M188" s="3424"/>
      <c r="N188" s="3086"/>
      <c r="O188" s="3424"/>
      <c r="P188" s="3238"/>
      <c r="Q188" s="3239"/>
      <c r="R188" s="3533"/>
      <c r="S188" s="3086"/>
      <c r="T188" s="3424"/>
      <c r="U188" s="3238"/>
      <c r="V188" s="3239"/>
      <c r="W188" s="3424"/>
      <c r="X188" s="3086"/>
      <c r="Y188" s="3424"/>
      <c r="Z188" s="3238"/>
      <c r="AA188" s="3239"/>
      <c r="AB188" s="3424"/>
      <c r="AC188" s="3086"/>
      <c r="AD188" s="3424"/>
      <c r="AE188" s="3238"/>
      <c r="AF188" s="3085"/>
      <c r="AG188" s="3478"/>
      <c r="AH188" s="3478"/>
      <c r="AI188" s="3541" t="s">
        <v>2933</v>
      </c>
      <c r="AJ188" s="3008"/>
    </row>
    <row r="189" spans="2:36" ht="20.100000000000001" customHeight="1">
      <c r="B189" s="3542"/>
      <c r="C189" s="3263" t="s">
        <v>592</v>
      </c>
      <c r="D189" s="3139"/>
      <c r="E189" s="3139"/>
      <c r="F189" s="3255" t="s">
        <v>2688</v>
      </c>
      <c r="G189" s="3543"/>
      <c r="H189" s="3544" t="s">
        <v>2944</v>
      </c>
      <c r="I189" s="3544"/>
      <c r="J189" s="3539"/>
      <c r="K189" s="3140" t="s">
        <v>2688</v>
      </c>
      <c r="L189" s="3239"/>
      <c r="M189" s="3424"/>
      <c r="N189" s="3086"/>
      <c r="O189" s="3424"/>
      <c r="P189" s="3238"/>
      <c r="Q189" s="3239"/>
      <c r="R189" s="3533"/>
      <c r="S189" s="3086"/>
      <c r="T189" s="3424"/>
      <c r="U189" s="3238"/>
      <c r="V189" s="3239"/>
      <c r="W189" s="3424"/>
      <c r="X189" s="3086"/>
      <c r="Y189" s="3424"/>
      <c r="Z189" s="3238"/>
      <c r="AA189" s="3239"/>
      <c r="AB189" s="3424"/>
      <c r="AC189" s="3086"/>
      <c r="AD189" s="3424"/>
      <c r="AE189" s="3238"/>
      <c r="AF189" s="3085"/>
      <c r="AG189" s="3478"/>
      <c r="AH189" s="3478"/>
      <c r="AI189" s="3541" t="s">
        <v>2945</v>
      </c>
      <c r="AJ189" s="3008"/>
    </row>
    <row r="190" spans="2:36" ht="20.100000000000001" customHeight="1">
      <c r="B190" s="3534"/>
      <c r="C190" s="3535"/>
      <c r="D190" s="3540" t="s">
        <v>2946</v>
      </c>
      <c r="E190" s="3540"/>
      <c r="F190" s="3255" t="s">
        <v>2931</v>
      </c>
      <c r="G190" s="3469"/>
      <c r="H190" s="3039"/>
      <c r="I190" s="3538" t="s">
        <v>2947</v>
      </c>
      <c r="J190" s="3539"/>
      <c r="K190" s="3140" t="s">
        <v>2931</v>
      </c>
      <c r="L190" s="3239"/>
      <c r="M190" s="3424"/>
      <c r="N190" s="3086"/>
      <c r="O190" s="3424"/>
      <c r="P190" s="3238"/>
      <c r="Q190" s="3239"/>
      <c r="R190" s="3424"/>
      <c r="S190" s="3086"/>
      <c r="T190" s="3424"/>
      <c r="U190" s="3238"/>
      <c r="V190" s="3239"/>
      <c r="W190" s="3424"/>
      <c r="X190" s="3086"/>
      <c r="Y190" s="3424"/>
      <c r="Z190" s="3238"/>
      <c r="AA190" s="3239"/>
      <c r="AB190" s="3424"/>
      <c r="AC190" s="3086"/>
      <c r="AD190" s="3424"/>
      <c r="AE190" s="3238"/>
      <c r="AF190" s="3085"/>
      <c r="AG190" s="3478"/>
      <c r="AH190" s="3478"/>
      <c r="AI190" s="3541" t="s">
        <v>600</v>
      </c>
      <c r="AJ190" s="3008"/>
    </row>
    <row r="191" spans="2:36" ht="20.100000000000001" customHeight="1">
      <c r="B191" s="3534"/>
      <c r="C191" s="3535"/>
      <c r="D191" s="3540" t="s">
        <v>2948</v>
      </c>
      <c r="E191" s="3540"/>
      <c r="F191" s="3255" t="s">
        <v>2931</v>
      </c>
      <c r="G191" s="3469"/>
      <c r="H191" s="3039"/>
      <c r="I191" s="3538" t="s">
        <v>2949</v>
      </c>
      <c r="J191" s="3539"/>
      <c r="K191" s="3140" t="s">
        <v>2931</v>
      </c>
      <c r="L191" s="3239"/>
      <c r="M191" s="3424"/>
      <c r="N191" s="3086"/>
      <c r="O191" s="3424"/>
      <c r="P191" s="3238"/>
      <c r="Q191" s="3239"/>
      <c r="R191" s="3424"/>
      <c r="S191" s="3086"/>
      <c r="T191" s="3424"/>
      <c r="U191" s="3238"/>
      <c r="V191" s="3239"/>
      <c r="W191" s="3424"/>
      <c r="X191" s="3086"/>
      <c r="Y191" s="3424"/>
      <c r="Z191" s="3238"/>
      <c r="AA191" s="3239"/>
      <c r="AB191" s="3424"/>
      <c r="AC191" s="3086"/>
      <c r="AD191" s="3424"/>
      <c r="AE191" s="3238"/>
      <c r="AF191" s="3085"/>
      <c r="AG191" s="3478"/>
      <c r="AH191" s="3478"/>
      <c r="AI191" s="3541" t="s">
        <v>600</v>
      </c>
      <c r="AJ191" s="3008"/>
    </row>
    <row r="192" spans="2:36" ht="20.100000000000001" customHeight="1">
      <c r="B192" s="3542"/>
      <c r="C192" s="3263" t="s">
        <v>2950</v>
      </c>
      <c r="D192" s="3139"/>
      <c r="E192" s="3139"/>
      <c r="F192" s="3255" t="s">
        <v>2688</v>
      </c>
      <c r="G192" s="3543"/>
      <c r="H192" s="3544" t="s">
        <v>2951</v>
      </c>
      <c r="I192" s="3544"/>
      <c r="J192" s="3539"/>
      <c r="K192" s="3140" t="s">
        <v>2688</v>
      </c>
      <c r="L192" s="3239"/>
      <c r="M192" s="3424"/>
      <c r="N192" s="3086"/>
      <c r="O192" s="3424"/>
      <c r="P192" s="3238"/>
      <c r="Q192" s="3239"/>
      <c r="R192" s="3424"/>
      <c r="S192" s="3086"/>
      <c r="T192" s="3424"/>
      <c r="U192" s="3238"/>
      <c r="V192" s="3239"/>
      <c r="W192" s="3424"/>
      <c r="X192" s="3086"/>
      <c r="Y192" s="3424"/>
      <c r="Z192" s="3238"/>
      <c r="AA192" s="3239"/>
      <c r="AB192" s="3424"/>
      <c r="AC192" s="3086"/>
      <c r="AD192" s="3424"/>
      <c r="AE192" s="3238"/>
      <c r="AF192" s="3085"/>
      <c r="AG192" s="3478"/>
      <c r="AH192" s="3478"/>
      <c r="AI192" s="3541" t="s">
        <v>2952</v>
      </c>
      <c r="AJ192" s="3008"/>
    </row>
    <row r="193" spans="1:37" ht="20.100000000000001" customHeight="1">
      <c r="B193" s="3534"/>
      <c r="C193" s="3535"/>
      <c r="D193" s="3536" t="s">
        <v>2934</v>
      </c>
      <c r="E193" s="3537"/>
      <c r="F193" s="3255" t="s">
        <v>2931</v>
      </c>
      <c r="G193" s="3469"/>
      <c r="H193" s="3039"/>
      <c r="I193" s="3538" t="s">
        <v>2953</v>
      </c>
      <c r="J193" s="3539"/>
      <c r="K193" s="3140" t="s">
        <v>2931</v>
      </c>
      <c r="L193" s="3239"/>
      <c r="M193" s="3424"/>
      <c r="N193" s="3086"/>
      <c r="O193" s="3424"/>
      <c r="P193" s="3238"/>
      <c r="Q193" s="3239"/>
      <c r="R193" s="3424"/>
      <c r="S193" s="3086"/>
      <c r="T193" s="3424"/>
      <c r="U193" s="3238"/>
      <c r="V193" s="3239"/>
      <c r="W193" s="3424"/>
      <c r="X193" s="3086"/>
      <c r="Y193" s="3424"/>
      <c r="Z193" s="3238"/>
      <c r="AA193" s="3239"/>
      <c r="AB193" s="3424"/>
      <c r="AC193" s="3086"/>
      <c r="AD193" s="3424"/>
      <c r="AE193" s="3238"/>
      <c r="AF193" s="3085"/>
      <c r="AG193" s="3478"/>
      <c r="AH193" s="3478"/>
      <c r="AI193" s="3541" t="s">
        <v>2952</v>
      </c>
      <c r="AJ193" s="3008"/>
    </row>
    <row r="194" spans="1:37" ht="20.100000000000001" customHeight="1">
      <c r="B194" s="3534"/>
      <c r="C194" s="3535"/>
      <c r="D194" s="3536" t="s">
        <v>2936</v>
      </c>
      <c r="E194" s="3537"/>
      <c r="F194" s="3255" t="s">
        <v>2931</v>
      </c>
      <c r="G194" s="3469"/>
      <c r="H194" s="3039"/>
      <c r="I194" s="3538" t="s">
        <v>2954</v>
      </c>
      <c r="J194" s="3539"/>
      <c r="K194" s="3140" t="s">
        <v>2931</v>
      </c>
      <c r="L194" s="3239"/>
      <c r="M194" s="3424"/>
      <c r="N194" s="3086"/>
      <c r="O194" s="3424"/>
      <c r="P194" s="3238"/>
      <c r="Q194" s="3239"/>
      <c r="R194" s="3424"/>
      <c r="S194" s="3086"/>
      <c r="T194" s="3424"/>
      <c r="U194" s="3238"/>
      <c r="V194" s="3239"/>
      <c r="W194" s="3424"/>
      <c r="X194" s="3086"/>
      <c r="Y194" s="3424"/>
      <c r="Z194" s="3238"/>
      <c r="AA194" s="3239"/>
      <c r="AB194" s="3424"/>
      <c r="AC194" s="3086"/>
      <c r="AD194" s="3424"/>
      <c r="AE194" s="3238"/>
      <c r="AF194" s="3085"/>
      <c r="AG194" s="3478"/>
      <c r="AH194" s="3478"/>
      <c r="AI194" s="3541" t="s">
        <v>2952</v>
      </c>
      <c r="AJ194" s="3008"/>
    </row>
    <row r="195" spans="1:37" ht="20.100000000000001" customHeight="1">
      <c r="B195" s="3534"/>
      <c r="C195" s="3535"/>
      <c r="D195" s="3536" t="s">
        <v>2938</v>
      </c>
      <c r="E195" s="3537"/>
      <c r="F195" s="3255" t="s">
        <v>2931</v>
      </c>
      <c r="G195" s="3469"/>
      <c r="H195" s="3039"/>
      <c r="I195" s="3538" t="s">
        <v>2955</v>
      </c>
      <c r="J195" s="3539"/>
      <c r="K195" s="3140" t="s">
        <v>2931</v>
      </c>
      <c r="L195" s="3239"/>
      <c r="M195" s="3424"/>
      <c r="N195" s="3086"/>
      <c r="O195" s="3424"/>
      <c r="P195" s="3238"/>
      <c r="Q195" s="3239"/>
      <c r="R195" s="3424"/>
      <c r="S195" s="3086"/>
      <c r="T195" s="3424"/>
      <c r="U195" s="3238"/>
      <c r="V195" s="3239"/>
      <c r="W195" s="3424"/>
      <c r="X195" s="3086"/>
      <c r="Y195" s="3424"/>
      <c r="Z195" s="3238"/>
      <c r="AA195" s="3239"/>
      <c r="AB195" s="3424"/>
      <c r="AC195" s="3086"/>
      <c r="AD195" s="3424"/>
      <c r="AE195" s="3238"/>
      <c r="AF195" s="3085"/>
      <c r="AG195" s="3478"/>
      <c r="AH195" s="3478"/>
      <c r="AI195" s="3541" t="s">
        <v>2952</v>
      </c>
      <c r="AJ195" s="3008"/>
    </row>
    <row r="196" spans="1:37" ht="20.100000000000001" customHeight="1">
      <c r="B196" s="3534"/>
      <c r="C196" s="3535"/>
      <c r="D196" s="3536" t="s">
        <v>2940</v>
      </c>
      <c r="E196" s="3537"/>
      <c r="F196" s="3255" t="s">
        <v>2931</v>
      </c>
      <c r="G196" s="3469"/>
      <c r="H196" s="3039"/>
      <c r="I196" s="3538" t="s">
        <v>2956</v>
      </c>
      <c r="J196" s="3539"/>
      <c r="K196" s="3140" t="s">
        <v>2931</v>
      </c>
      <c r="L196" s="3239"/>
      <c r="M196" s="3424"/>
      <c r="N196" s="3086"/>
      <c r="O196" s="3424"/>
      <c r="P196" s="3238"/>
      <c r="Q196" s="3239"/>
      <c r="R196" s="3424"/>
      <c r="S196" s="3086"/>
      <c r="T196" s="3424"/>
      <c r="U196" s="3238"/>
      <c r="V196" s="3239"/>
      <c r="W196" s="3424"/>
      <c r="X196" s="3086"/>
      <c r="Y196" s="3424"/>
      <c r="Z196" s="3238"/>
      <c r="AA196" s="3239"/>
      <c r="AB196" s="3424"/>
      <c r="AC196" s="3086"/>
      <c r="AD196" s="3424"/>
      <c r="AE196" s="3238"/>
      <c r="AF196" s="3085"/>
      <c r="AG196" s="3478"/>
      <c r="AH196" s="3478"/>
      <c r="AI196" s="3541" t="s">
        <v>2952</v>
      </c>
      <c r="AJ196" s="3008"/>
    </row>
    <row r="197" spans="1:37" ht="20.100000000000001" customHeight="1">
      <c r="B197" s="3534"/>
      <c r="C197" s="3437"/>
      <c r="D197" s="3540" t="s">
        <v>2942</v>
      </c>
      <c r="E197" s="3540"/>
      <c r="F197" s="3255" t="s">
        <v>2931</v>
      </c>
      <c r="G197" s="3469"/>
      <c r="H197" s="3039"/>
      <c r="I197" s="3538" t="s">
        <v>2957</v>
      </c>
      <c r="J197" s="3539"/>
      <c r="K197" s="3140" t="s">
        <v>2931</v>
      </c>
      <c r="L197" s="3239"/>
      <c r="M197" s="3424"/>
      <c r="N197" s="3086"/>
      <c r="O197" s="3424"/>
      <c r="P197" s="3238"/>
      <c r="Q197" s="3239"/>
      <c r="R197" s="3424"/>
      <c r="S197" s="3086"/>
      <c r="T197" s="3424"/>
      <c r="U197" s="3238"/>
      <c r="V197" s="3239"/>
      <c r="W197" s="3424"/>
      <c r="X197" s="3086"/>
      <c r="Y197" s="3424"/>
      <c r="Z197" s="3238"/>
      <c r="AA197" s="3239"/>
      <c r="AB197" s="3424"/>
      <c r="AC197" s="3086"/>
      <c r="AD197" s="3424"/>
      <c r="AE197" s="3238"/>
      <c r="AF197" s="3085"/>
      <c r="AG197" s="3478"/>
      <c r="AH197" s="3478"/>
      <c r="AI197" s="3541" t="s">
        <v>2952</v>
      </c>
      <c r="AJ197" s="3008"/>
    </row>
    <row r="198" spans="1:37" ht="20.100000000000001" customHeight="1">
      <c r="B198" s="3534"/>
      <c r="C198" s="3263" t="s">
        <v>2958</v>
      </c>
      <c r="D198" s="3139"/>
      <c r="E198" s="3139"/>
      <c r="F198" s="3255" t="s">
        <v>2688</v>
      </c>
      <c r="G198" s="3543"/>
      <c r="H198" s="3544" t="s">
        <v>2959</v>
      </c>
      <c r="I198" s="3544"/>
      <c r="J198" s="3539"/>
      <c r="K198" s="3140" t="s">
        <v>2688</v>
      </c>
      <c r="L198" s="3239"/>
      <c r="M198" s="3424"/>
      <c r="N198" s="3086"/>
      <c r="O198" s="3424"/>
      <c r="P198" s="3238"/>
      <c r="Q198" s="3239"/>
      <c r="R198" s="3424"/>
      <c r="S198" s="3086"/>
      <c r="T198" s="3424"/>
      <c r="U198" s="3238"/>
      <c r="V198" s="3239"/>
      <c r="W198" s="3424"/>
      <c r="X198" s="3086"/>
      <c r="Y198" s="3424"/>
      <c r="Z198" s="3238"/>
      <c r="AA198" s="3239"/>
      <c r="AB198" s="3424"/>
      <c r="AC198" s="3086"/>
      <c r="AD198" s="3424"/>
      <c r="AE198" s="3238"/>
      <c r="AF198" s="3085"/>
      <c r="AG198" s="3478"/>
      <c r="AH198" s="3478"/>
      <c r="AI198" s="3541" t="s">
        <v>2960</v>
      </c>
      <c r="AJ198" s="3008"/>
    </row>
    <row r="199" spans="1:37" ht="20.100000000000001" customHeight="1">
      <c r="B199" s="3534"/>
      <c r="C199" s="3263"/>
      <c r="D199" s="3536" t="s">
        <v>2961</v>
      </c>
      <c r="E199" s="3537"/>
      <c r="F199" s="3255" t="s">
        <v>2931</v>
      </c>
      <c r="G199" s="3545"/>
      <c r="H199" s="3546"/>
      <c r="I199" s="3547" t="s">
        <v>2962</v>
      </c>
      <c r="J199" s="3539"/>
      <c r="K199" s="3140" t="s">
        <v>2931</v>
      </c>
      <c r="L199" s="3239"/>
      <c r="M199" s="3424"/>
      <c r="N199" s="3086"/>
      <c r="O199" s="3424"/>
      <c r="P199" s="3238"/>
      <c r="Q199" s="3239"/>
      <c r="R199" s="3424"/>
      <c r="S199" s="3086"/>
      <c r="T199" s="3424"/>
      <c r="U199" s="3238"/>
      <c r="V199" s="3239"/>
      <c r="W199" s="3424"/>
      <c r="X199" s="3086"/>
      <c r="Y199" s="3424"/>
      <c r="Z199" s="3238"/>
      <c r="AA199" s="3239"/>
      <c r="AB199" s="3424"/>
      <c r="AC199" s="3086"/>
      <c r="AD199" s="3424"/>
      <c r="AE199" s="3238"/>
      <c r="AF199" s="3085"/>
      <c r="AG199" s="3478"/>
      <c r="AH199" s="3478"/>
      <c r="AI199" s="3541" t="s">
        <v>2960</v>
      </c>
      <c r="AJ199" s="3008"/>
    </row>
    <row r="200" spans="1:37" ht="20.100000000000001" customHeight="1">
      <c r="B200" s="3534"/>
      <c r="C200" s="3437"/>
      <c r="D200" s="3536" t="s">
        <v>2963</v>
      </c>
      <c r="E200" s="3537"/>
      <c r="F200" s="3255" t="s">
        <v>2931</v>
      </c>
      <c r="G200" s="3548"/>
      <c r="H200" s="3549"/>
      <c r="I200" s="3547" t="s">
        <v>2964</v>
      </c>
      <c r="J200" s="3539"/>
      <c r="K200" s="3140" t="s">
        <v>2931</v>
      </c>
      <c r="L200" s="3239"/>
      <c r="M200" s="3424"/>
      <c r="N200" s="3086"/>
      <c r="O200" s="3424"/>
      <c r="P200" s="3238"/>
      <c r="Q200" s="3239"/>
      <c r="R200" s="3424"/>
      <c r="S200" s="3086"/>
      <c r="T200" s="3424"/>
      <c r="U200" s="3238"/>
      <c r="V200" s="3239"/>
      <c r="W200" s="3424"/>
      <c r="X200" s="3086"/>
      <c r="Y200" s="3424"/>
      <c r="Z200" s="3238"/>
      <c r="AA200" s="3239"/>
      <c r="AB200" s="3424"/>
      <c r="AC200" s="3086"/>
      <c r="AD200" s="3424"/>
      <c r="AE200" s="3238"/>
      <c r="AF200" s="3085"/>
      <c r="AG200" s="3478"/>
      <c r="AH200" s="3478"/>
      <c r="AI200" s="3541" t="s">
        <v>2960</v>
      </c>
      <c r="AJ200" s="3008"/>
    </row>
    <row r="201" spans="1:37" ht="20.100000000000001" customHeight="1">
      <c r="B201" s="3534"/>
      <c r="C201" s="3437"/>
      <c r="D201" s="3536" t="s">
        <v>2965</v>
      </c>
      <c r="E201" s="3537"/>
      <c r="F201" s="3255" t="s">
        <v>2931</v>
      </c>
      <c r="G201" s="3548"/>
      <c r="H201" s="3549"/>
      <c r="I201" s="3547" t="s">
        <v>2966</v>
      </c>
      <c r="J201" s="3539"/>
      <c r="K201" s="3140" t="s">
        <v>2931</v>
      </c>
      <c r="L201" s="3239"/>
      <c r="M201" s="3424"/>
      <c r="N201" s="3086"/>
      <c r="O201" s="3424"/>
      <c r="P201" s="3238"/>
      <c r="Q201" s="3239"/>
      <c r="R201" s="3424"/>
      <c r="S201" s="3086"/>
      <c r="T201" s="3424"/>
      <c r="U201" s="3238"/>
      <c r="V201" s="3239"/>
      <c r="W201" s="3424"/>
      <c r="X201" s="3086"/>
      <c r="Y201" s="3424"/>
      <c r="Z201" s="3238"/>
      <c r="AA201" s="3239"/>
      <c r="AB201" s="3424"/>
      <c r="AC201" s="3086"/>
      <c r="AD201" s="3424"/>
      <c r="AE201" s="3238"/>
      <c r="AF201" s="3085"/>
      <c r="AG201" s="3478"/>
      <c r="AH201" s="3478"/>
      <c r="AI201" s="3541" t="s">
        <v>2960</v>
      </c>
      <c r="AJ201" s="3008"/>
    </row>
    <row r="202" spans="1:37" ht="19.899999999999999" customHeight="1" thickBot="1">
      <c r="B202" s="3542"/>
      <c r="C202" s="3437"/>
      <c r="D202" s="10168" t="s">
        <v>2967</v>
      </c>
      <c r="E202" s="10169"/>
      <c r="F202" s="3255" t="s">
        <v>2931</v>
      </c>
      <c r="G202" s="3550"/>
      <c r="H202" s="3551"/>
      <c r="I202" s="3552" t="s">
        <v>2968</v>
      </c>
      <c r="J202" s="3553"/>
      <c r="K202" s="3140" t="s">
        <v>2931</v>
      </c>
      <c r="L202" s="3239"/>
      <c r="M202" s="3424"/>
      <c r="N202" s="3086"/>
      <c r="O202" s="3424"/>
      <c r="P202" s="3238"/>
      <c r="Q202" s="3239"/>
      <c r="R202" s="3424"/>
      <c r="S202" s="3086"/>
      <c r="T202" s="3424"/>
      <c r="U202" s="3238"/>
      <c r="V202" s="3239"/>
      <c r="W202" s="3424"/>
      <c r="X202" s="3086"/>
      <c r="Y202" s="3424"/>
      <c r="Z202" s="3238"/>
      <c r="AA202" s="3239"/>
      <c r="AB202" s="3424"/>
      <c r="AC202" s="3086"/>
      <c r="AD202" s="3424"/>
      <c r="AE202" s="3238"/>
      <c r="AF202" s="3085"/>
      <c r="AG202" s="3478"/>
      <c r="AH202" s="3478"/>
      <c r="AI202" s="3541" t="s">
        <v>2960</v>
      </c>
      <c r="AJ202" s="3008"/>
    </row>
    <row r="203" spans="1:37" ht="27.75" thickTop="1" thickBot="1">
      <c r="A203" s="3042"/>
      <c r="B203" s="3219" t="s">
        <v>2722</v>
      </c>
      <c r="C203" s="3220" t="s">
        <v>2969</v>
      </c>
      <c r="D203" s="3554"/>
      <c r="E203" s="3554"/>
      <c r="F203" s="3555"/>
      <c r="G203" s="3556" t="s">
        <v>2970</v>
      </c>
      <c r="H203" s="3557"/>
      <c r="I203" s="3557"/>
      <c r="J203" s="3557"/>
      <c r="K203" s="3555"/>
      <c r="L203" s="3558"/>
      <c r="M203" s="3559"/>
      <c r="N203" s="3559"/>
      <c r="O203" s="3559"/>
      <c r="P203" s="3560"/>
      <c r="Q203" s="3558"/>
      <c r="R203" s="3559"/>
      <c r="S203" s="3559"/>
      <c r="T203" s="3559"/>
      <c r="U203" s="3560"/>
      <c r="V203" s="3558"/>
      <c r="W203" s="3559"/>
      <c r="X203" s="3559"/>
      <c r="Y203" s="3559"/>
      <c r="Z203" s="3560"/>
      <c r="AA203" s="3558"/>
      <c r="AB203" s="3559"/>
      <c r="AC203" s="3559"/>
      <c r="AD203" s="3559"/>
      <c r="AE203" s="3560"/>
      <c r="AF203" s="3561"/>
      <c r="AG203" s="3562"/>
      <c r="AH203" s="3562"/>
      <c r="AI203" s="3563"/>
      <c r="AJ203" s="3015"/>
      <c r="AK203" s="3044"/>
    </row>
    <row r="204" spans="1:37" ht="27" thickBot="1">
      <c r="B204" s="3219" t="s">
        <v>2722</v>
      </c>
      <c r="C204" s="3105" t="s">
        <v>2971</v>
      </c>
      <c r="D204" s="3106"/>
      <c r="E204" s="3106"/>
      <c r="F204" s="3067"/>
      <c r="G204" s="3107" t="s">
        <v>2972</v>
      </c>
      <c r="H204" s="3108"/>
      <c r="I204" s="3108"/>
      <c r="J204" s="3108"/>
      <c r="K204" s="3067"/>
      <c r="L204" s="3129"/>
      <c r="M204" s="3130"/>
      <c r="N204" s="3130"/>
      <c r="O204" s="3130"/>
      <c r="P204" s="3131"/>
      <c r="Q204" s="3129"/>
      <c r="R204" s="3130"/>
      <c r="S204" s="3130"/>
      <c r="T204" s="3130"/>
      <c r="U204" s="3131"/>
      <c r="V204" s="3129"/>
      <c r="W204" s="3130"/>
      <c r="X204" s="3130"/>
      <c r="Y204" s="3130"/>
      <c r="Z204" s="3131"/>
      <c r="AA204" s="3129"/>
      <c r="AB204" s="3130"/>
      <c r="AC204" s="3130"/>
      <c r="AD204" s="3130"/>
      <c r="AE204" s="3131"/>
      <c r="AF204" s="3112"/>
      <c r="AG204" s="3113"/>
      <c r="AH204" s="3113"/>
      <c r="AI204" s="3302"/>
      <c r="AJ204" s="3015"/>
    </row>
    <row r="205" spans="1:37" ht="19.899999999999999" customHeight="1">
      <c r="B205" s="3219" t="s">
        <v>2722</v>
      </c>
      <c r="C205" s="10170" t="s">
        <v>731</v>
      </c>
      <c r="D205" s="10171"/>
      <c r="E205" s="10171"/>
      <c r="F205" s="3564" t="s">
        <v>732</v>
      </c>
      <c r="G205" s="10172" t="s">
        <v>2973</v>
      </c>
      <c r="H205" s="3232" t="s">
        <v>2974</v>
      </c>
      <c r="I205" s="3232"/>
      <c r="J205" s="3565"/>
      <c r="K205" s="3383" t="s">
        <v>734</v>
      </c>
      <c r="L205" s="3462">
        <f t="shared" ref="L205" si="13">SUM(L206:L209)</f>
        <v>1054</v>
      </c>
      <c r="M205" s="3566"/>
      <c r="N205" s="3464">
        <f>SUM(N206:N209)</f>
        <v>909</v>
      </c>
      <c r="O205" s="3473"/>
      <c r="P205" s="3465">
        <f>SUM(P206:P209)</f>
        <v>0</v>
      </c>
      <c r="Q205" s="3465">
        <f>SUM(Q206:Q207)</f>
        <v>1105</v>
      </c>
      <c r="R205" s="3567"/>
      <c r="S205" s="3465">
        <f>SUM(S206:S207)</f>
        <v>2446</v>
      </c>
      <c r="T205" s="3473"/>
      <c r="U205" s="3465">
        <f>SUM(U206:U207)</f>
        <v>2478</v>
      </c>
      <c r="V205" s="3462">
        <f>SUM(V206:V209)</f>
        <v>374</v>
      </c>
      <c r="W205" s="3473"/>
      <c r="X205" s="3464">
        <f>SUM(X206:X209)</f>
        <v>393</v>
      </c>
      <c r="Y205" s="3473"/>
      <c r="Z205" s="3465">
        <f>SUM(Z206:Z209)</f>
        <v>393</v>
      </c>
      <c r="AA205" s="3462">
        <f>SUM(AA206:AA209)</f>
        <v>0</v>
      </c>
      <c r="AB205" s="3567"/>
      <c r="AC205" s="3464">
        <f>SUM(AC206:AC209)</f>
        <v>0</v>
      </c>
      <c r="AD205" s="3473"/>
      <c r="AE205" s="3465">
        <f>SUM(AE206:AE209)</f>
        <v>0</v>
      </c>
      <c r="AF205" s="3568"/>
      <c r="AG205" s="3478"/>
      <c r="AH205" s="3468"/>
      <c r="AI205" s="3541" t="s">
        <v>739</v>
      </c>
      <c r="AJ205" s="3015"/>
    </row>
    <row r="206" spans="1:37" ht="20.100000000000001" customHeight="1">
      <c r="B206" s="3219" t="s">
        <v>2722</v>
      </c>
      <c r="C206" s="3569"/>
      <c r="D206" s="3540" t="s">
        <v>743</v>
      </c>
      <c r="E206" s="3540"/>
      <c r="F206" s="3432" t="s">
        <v>732</v>
      </c>
      <c r="G206" s="10173"/>
      <c r="H206" s="3321"/>
      <c r="I206" s="3570" t="s">
        <v>2975</v>
      </c>
      <c r="J206" s="3330"/>
      <c r="K206" s="3141" t="s">
        <v>734</v>
      </c>
      <c r="L206" s="3571">
        <v>52</v>
      </c>
      <c r="M206" s="3572" t="s">
        <v>748</v>
      </c>
      <c r="N206" s="3573">
        <v>77</v>
      </c>
      <c r="O206" s="3572" t="s">
        <v>748</v>
      </c>
      <c r="P206" s="3475"/>
      <c r="Q206" s="3574">
        <v>476</v>
      </c>
      <c r="R206" s="3575" t="s">
        <v>749</v>
      </c>
      <c r="S206" s="3576">
        <v>407</v>
      </c>
      <c r="T206" s="3575" t="s">
        <v>750</v>
      </c>
      <c r="U206" s="3577">
        <v>352</v>
      </c>
      <c r="V206" s="3578">
        <v>365</v>
      </c>
      <c r="W206" s="3579" t="s">
        <v>751</v>
      </c>
      <c r="X206" s="3580">
        <v>337</v>
      </c>
      <c r="Y206" s="3575" t="s">
        <v>751</v>
      </c>
      <c r="Z206" s="3581">
        <v>337</v>
      </c>
      <c r="AA206" s="3472"/>
      <c r="AB206" s="3473"/>
      <c r="AC206" s="3474"/>
      <c r="AD206" s="3473"/>
      <c r="AE206" s="3475"/>
      <c r="AF206" s="3085"/>
      <c r="AG206" s="3478"/>
      <c r="AH206" s="3478"/>
      <c r="AI206" s="3541" t="s">
        <v>739</v>
      </c>
      <c r="AJ206" s="3015"/>
    </row>
    <row r="207" spans="1:37" ht="20.100000000000001" customHeight="1">
      <c r="B207" s="3219" t="s">
        <v>2722</v>
      </c>
      <c r="C207" s="3582"/>
      <c r="D207" s="10175" t="s">
        <v>752</v>
      </c>
      <c r="E207" s="10176"/>
      <c r="F207" s="3432" t="s">
        <v>732</v>
      </c>
      <c r="G207" s="10173"/>
      <c r="H207" s="3323"/>
      <c r="I207" s="3433" t="s">
        <v>2976</v>
      </c>
      <c r="J207" s="3330"/>
      <c r="K207" s="3141" t="s">
        <v>734</v>
      </c>
      <c r="L207" s="3571">
        <v>1001</v>
      </c>
      <c r="M207" s="3572" t="s">
        <v>748</v>
      </c>
      <c r="N207" s="3573">
        <v>831</v>
      </c>
      <c r="O207" s="3572" t="s">
        <v>748</v>
      </c>
      <c r="P207" s="3475"/>
      <c r="Q207" s="3574">
        <v>629</v>
      </c>
      <c r="R207" s="3575" t="s">
        <v>755</v>
      </c>
      <c r="S207" s="3576">
        <v>2039</v>
      </c>
      <c r="T207" s="3575" t="s">
        <v>755</v>
      </c>
      <c r="U207" s="3577">
        <v>2126</v>
      </c>
      <c r="V207" s="3578">
        <v>9</v>
      </c>
      <c r="W207" s="3575" t="s">
        <v>751</v>
      </c>
      <c r="X207" s="3580">
        <v>49</v>
      </c>
      <c r="Y207" s="3575" t="s">
        <v>751</v>
      </c>
      <c r="Z207" s="3581">
        <v>49</v>
      </c>
      <c r="AA207" s="3472"/>
      <c r="AB207" s="3473"/>
      <c r="AC207" s="3474"/>
      <c r="AD207" s="3473"/>
      <c r="AE207" s="3475"/>
      <c r="AF207" s="3085"/>
      <c r="AG207" s="3478"/>
      <c r="AH207" s="3478"/>
      <c r="AI207" s="3541" t="s">
        <v>739</v>
      </c>
      <c r="AJ207" s="3015"/>
    </row>
    <row r="208" spans="1:37" s="3121" customFormat="1" ht="20.100000000000001" customHeight="1">
      <c r="B208" s="3219" t="s">
        <v>2722</v>
      </c>
      <c r="C208" s="3393"/>
      <c r="D208" s="3583" t="s">
        <v>756</v>
      </c>
      <c r="E208" s="3583"/>
      <c r="F208" s="3250" t="s">
        <v>732</v>
      </c>
      <c r="G208" s="10173"/>
      <c r="H208" s="3584"/>
      <c r="I208" s="3244" t="s">
        <v>2977</v>
      </c>
      <c r="J208" s="3245"/>
      <c r="K208" s="3251" t="s">
        <v>734</v>
      </c>
      <c r="L208" s="3585">
        <v>1</v>
      </c>
      <c r="M208" s="3567">
        <v>0</v>
      </c>
      <c r="N208" s="3586">
        <v>1</v>
      </c>
      <c r="O208" s="3567" t="s">
        <v>760</v>
      </c>
      <c r="P208" s="3587"/>
      <c r="Q208" s="3574">
        <v>5</v>
      </c>
      <c r="R208" s="3473" t="s">
        <v>761</v>
      </c>
      <c r="S208" s="3574">
        <v>5</v>
      </c>
      <c r="T208" s="3473" t="s">
        <v>761</v>
      </c>
      <c r="U208" s="3574">
        <v>5</v>
      </c>
      <c r="V208" s="3473" t="s">
        <v>762</v>
      </c>
      <c r="W208" s="3575" t="s">
        <v>763</v>
      </c>
      <c r="X208" s="3580">
        <v>7</v>
      </c>
      <c r="Y208" s="3575" t="s">
        <v>763</v>
      </c>
      <c r="Z208" s="3581">
        <v>7</v>
      </c>
      <c r="AA208" s="3585"/>
      <c r="AB208" s="3473"/>
      <c r="AC208" s="3586"/>
      <c r="AD208" s="3473"/>
      <c r="AE208" s="3587"/>
      <c r="AF208" s="3473" t="s">
        <v>762</v>
      </c>
      <c r="AG208" s="3588"/>
      <c r="AH208" s="3588"/>
      <c r="AI208" s="3589" t="s">
        <v>739</v>
      </c>
      <c r="AJ208" s="3015"/>
    </row>
    <row r="209" spans="1:37" ht="20.100000000000001" customHeight="1">
      <c r="B209" s="3219" t="s">
        <v>2722</v>
      </c>
      <c r="C209" s="3590"/>
      <c r="D209" s="10175" t="s">
        <v>2978</v>
      </c>
      <c r="E209" s="10176"/>
      <c r="F209" s="3259" t="s">
        <v>2708</v>
      </c>
      <c r="G209" s="10173"/>
      <c r="H209" s="3341"/>
      <c r="I209" s="3433" t="s">
        <v>2979</v>
      </c>
      <c r="J209" s="3330"/>
      <c r="K209" s="3336" t="s">
        <v>734</v>
      </c>
      <c r="L209" s="3571">
        <v>0</v>
      </c>
      <c r="M209" s="3567">
        <v>0</v>
      </c>
      <c r="N209" s="3573">
        <v>0</v>
      </c>
      <c r="O209" s="3567">
        <v>0</v>
      </c>
      <c r="P209" s="3475"/>
      <c r="Q209" s="3578">
        <f>Q206-4</f>
        <v>472</v>
      </c>
      <c r="R209" s="3473" t="s">
        <v>768</v>
      </c>
      <c r="S209" s="3591">
        <f>S206-4</f>
        <v>403</v>
      </c>
      <c r="T209" s="3473" t="s">
        <v>768</v>
      </c>
      <c r="U209" s="3591">
        <f>U206-4</f>
        <v>348</v>
      </c>
      <c r="V209" s="3578">
        <v>0</v>
      </c>
      <c r="W209" s="3473">
        <v>0</v>
      </c>
      <c r="X209" s="3580">
        <v>0</v>
      </c>
      <c r="Y209" s="3473">
        <v>0</v>
      </c>
      <c r="Z209" s="3581">
        <v>0</v>
      </c>
      <c r="AA209" s="3472"/>
      <c r="AB209" s="3473"/>
      <c r="AC209" s="3474"/>
      <c r="AD209" s="3473"/>
      <c r="AE209" s="3475"/>
      <c r="AF209" s="3202"/>
      <c r="AG209" s="3592"/>
      <c r="AH209" s="3592"/>
      <c r="AI209" s="3593" t="s">
        <v>739</v>
      </c>
      <c r="AJ209" s="3015"/>
    </row>
    <row r="210" spans="1:37" ht="20.100000000000001" customHeight="1">
      <c r="B210" s="3241" t="s">
        <v>2722</v>
      </c>
      <c r="C210" s="3594" t="s">
        <v>2980</v>
      </c>
      <c r="D210" s="3279"/>
      <c r="E210" s="3279"/>
      <c r="F210" s="3595" t="s">
        <v>2676</v>
      </c>
      <c r="G210" s="10173"/>
      <c r="H210" s="3282" t="s">
        <v>2981</v>
      </c>
      <c r="I210" s="3596"/>
      <c r="J210" s="3597"/>
      <c r="K210" s="3598" t="s">
        <v>2676</v>
      </c>
      <c r="L210" s="3599"/>
      <c r="M210" s="3600"/>
      <c r="N210" s="3601"/>
      <c r="O210" s="3600"/>
      <c r="P210" s="3602"/>
      <c r="Q210" s="3599"/>
      <c r="R210" s="3603"/>
      <c r="S210" s="3601"/>
      <c r="T210" s="3603"/>
      <c r="U210" s="3602"/>
      <c r="V210" s="3599"/>
      <c r="W210" s="3603"/>
      <c r="X210" s="3601"/>
      <c r="Y210" s="3603"/>
      <c r="Z210" s="3602"/>
      <c r="AA210" s="3599"/>
      <c r="AB210" s="3603"/>
      <c r="AC210" s="3292"/>
      <c r="AD210" s="3365"/>
      <c r="AE210" s="3290"/>
      <c r="AF210" s="3604"/>
      <c r="AG210" s="3605"/>
      <c r="AH210" s="3605"/>
      <c r="AI210" s="3606"/>
      <c r="AJ210" s="3015"/>
    </row>
    <row r="211" spans="1:37" ht="20.100000000000001" customHeight="1">
      <c r="B211" s="3241" t="s">
        <v>2722</v>
      </c>
      <c r="C211" s="3607"/>
      <c r="D211" s="3540" t="s">
        <v>2982</v>
      </c>
      <c r="E211" s="3540"/>
      <c r="F211" s="3255" t="s">
        <v>732</v>
      </c>
      <c r="G211" s="10173"/>
      <c r="H211" s="3257"/>
      <c r="I211" s="3608" t="s">
        <v>2983</v>
      </c>
      <c r="J211" s="3123"/>
      <c r="K211" s="3140" t="s">
        <v>734</v>
      </c>
      <c r="L211" s="3571">
        <v>52</v>
      </c>
      <c r="M211" s="3473" t="s">
        <v>775</v>
      </c>
      <c r="N211" s="3573">
        <v>77</v>
      </c>
      <c r="O211" s="3473" t="s">
        <v>775</v>
      </c>
      <c r="P211" s="3475"/>
      <c r="Q211" s="3574">
        <v>476</v>
      </c>
      <c r="R211" s="3575" t="s">
        <v>776</v>
      </c>
      <c r="S211" s="3576">
        <v>407</v>
      </c>
      <c r="T211" s="3575" t="s">
        <v>776</v>
      </c>
      <c r="U211" s="3577">
        <v>352</v>
      </c>
      <c r="V211" s="3578">
        <v>365</v>
      </c>
      <c r="W211" s="3575" t="s">
        <v>751</v>
      </c>
      <c r="X211" s="3580">
        <v>337</v>
      </c>
      <c r="Y211" s="3575" t="s">
        <v>751</v>
      </c>
      <c r="Z211" s="3475"/>
      <c r="AA211" s="3472"/>
      <c r="AB211" s="3473"/>
      <c r="AC211" s="3474"/>
      <c r="AD211" s="3473"/>
      <c r="AE211" s="3475"/>
      <c r="AF211" s="3609"/>
      <c r="AG211" s="3610"/>
      <c r="AH211" s="3610"/>
      <c r="AI211" s="3541" t="s">
        <v>770</v>
      </c>
      <c r="AJ211" s="3015"/>
    </row>
    <row r="212" spans="1:37" ht="20.100000000000001" customHeight="1">
      <c r="B212" s="3241" t="s">
        <v>2722</v>
      </c>
      <c r="C212" s="3611"/>
      <c r="D212" s="3540" t="s">
        <v>2984</v>
      </c>
      <c r="E212" s="3270"/>
      <c r="F212" s="3255" t="s">
        <v>732</v>
      </c>
      <c r="G212" s="10173"/>
      <c r="H212" s="3295"/>
      <c r="I212" s="3160" t="s">
        <v>2985</v>
      </c>
      <c r="J212" s="3123"/>
      <c r="K212" s="3140" t="s">
        <v>734</v>
      </c>
      <c r="L212" s="3571">
        <v>1002</v>
      </c>
      <c r="M212" s="3473" t="s">
        <v>775</v>
      </c>
      <c r="N212" s="3573">
        <v>832</v>
      </c>
      <c r="O212" s="3473" t="s">
        <v>775</v>
      </c>
      <c r="P212" s="3475"/>
      <c r="Q212" s="3574">
        <v>629</v>
      </c>
      <c r="R212" s="3575" t="s">
        <v>780</v>
      </c>
      <c r="S212" s="3576">
        <v>2039</v>
      </c>
      <c r="T212" s="3575" t="s">
        <v>780</v>
      </c>
      <c r="U212" s="3577">
        <v>2126</v>
      </c>
      <c r="V212" s="3578">
        <v>16</v>
      </c>
      <c r="W212" s="3575" t="s">
        <v>751</v>
      </c>
      <c r="X212" s="3580">
        <v>56</v>
      </c>
      <c r="Y212" s="3575" t="s">
        <v>751</v>
      </c>
      <c r="Z212" s="3475"/>
      <c r="AA212" s="3472"/>
      <c r="AB212" s="3473"/>
      <c r="AC212" s="3474"/>
      <c r="AD212" s="3473"/>
      <c r="AE212" s="3475"/>
      <c r="AF212" s="3085"/>
      <c r="AG212" s="3478"/>
      <c r="AH212" s="3478"/>
      <c r="AI212" s="3541" t="s">
        <v>770</v>
      </c>
      <c r="AJ212" s="3015"/>
    </row>
    <row r="213" spans="1:37" ht="19.899999999999999" customHeight="1">
      <c r="B213" s="3241" t="s">
        <v>2722</v>
      </c>
      <c r="C213" s="3611"/>
      <c r="D213" s="3540" t="s">
        <v>2986</v>
      </c>
      <c r="E213" s="3270"/>
      <c r="F213" s="3255" t="s">
        <v>732</v>
      </c>
      <c r="G213" s="10173"/>
      <c r="H213" s="3295"/>
      <c r="I213" s="3160" t="s">
        <v>2987</v>
      </c>
      <c r="J213" s="3123"/>
      <c r="K213" s="3140" t="s">
        <v>734</v>
      </c>
      <c r="L213" s="3571">
        <v>1054</v>
      </c>
      <c r="M213" s="3473">
        <v>0</v>
      </c>
      <c r="N213" s="3573">
        <v>909</v>
      </c>
      <c r="O213" s="3473">
        <v>0</v>
      </c>
      <c r="P213" s="3475"/>
      <c r="Q213" s="3574">
        <v>564</v>
      </c>
      <c r="R213" s="3575">
        <v>0</v>
      </c>
      <c r="S213" s="3576">
        <v>577</v>
      </c>
      <c r="T213" s="3473">
        <v>0</v>
      </c>
      <c r="U213" s="3577">
        <v>572</v>
      </c>
      <c r="V213" s="3578">
        <v>381</v>
      </c>
      <c r="W213" s="3473">
        <v>0</v>
      </c>
      <c r="X213" s="3580">
        <v>393</v>
      </c>
      <c r="Y213" s="3473">
        <v>0</v>
      </c>
      <c r="Z213" s="3475"/>
      <c r="AA213" s="3472"/>
      <c r="AB213" s="3473"/>
      <c r="AC213" s="3474"/>
      <c r="AD213" s="3473"/>
      <c r="AE213" s="3475"/>
      <c r="AF213" s="3085"/>
      <c r="AG213" s="3478"/>
      <c r="AH213" s="3478"/>
      <c r="AI213" s="3541" t="s">
        <v>770</v>
      </c>
      <c r="AJ213" s="3015"/>
    </row>
    <row r="214" spans="1:37" ht="20.100000000000001" customHeight="1">
      <c r="B214" s="3241" t="s">
        <v>2722</v>
      </c>
      <c r="C214" s="3611"/>
      <c r="D214" s="3540" t="s">
        <v>2988</v>
      </c>
      <c r="E214" s="3270"/>
      <c r="F214" s="3255" t="s">
        <v>732</v>
      </c>
      <c r="G214" s="10173"/>
      <c r="H214" s="3295"/>
      <c r="I214" s="3160" t="s">
        <v>2989</v>
      </c>
      <c r="J214" s="3123"/>
      <c r="K214" s="3140" t="s">
        <v>734</v>
      </c>
      <c r="L214" s="3571">
        <v>0</v>
      </c>
      <c r="M214" s="3473">
        <v>0</v>
      </c>
      <c r="N214" s="3573">
        <v>0</v>
      </c>
      <c r="O214" s="3473">
        <v>0</v>
      </c>
      <c r="P214" s="3475"/>
      <c r="Q214" s="3574">
        <v>541</v>
      </c>
      <c r="R214" s="3473">
        <v>0</v>
      </c>
      <c r="S214" s="3576">
        <v>1869</v>
      </c>
      <c r="T214" s="3473">
        <v>0</v>
      </c>
      <c r="U214" s="3577">
        <v>1906</v>
      </c>
      <c r="V214" s="3578">
        <v>0</v>
      </c>
      <c r="W214" s="3473">
        <v>0</v>
      </c>
      <c r="X214" s="3580">
        <v>0</v>
      </c>
      <c r="Y214" s="3473">
        <v>0</v>
      </c>
      <c r="Z214" s="3475"/>
      <c r="AA214" s="3472"/>
      <c r="AB214" s="3473"/>
      <c r="AC214" s="3474"/>
      <c r="AD214" s="3473"/>
      <c r="AE214" s="3475"/>
      <c r="AF214" s="3085"/>
      <c r="AG214" s="3478"/>
      <c r="AH214" s="3478"/>
      <c r="AI214" s="3541" t="s">
        <v>770</v>
      </c>
      <c r="AJ214" s="3015"/>
    </row>
    <row r="215" spans="1:37" ht="19.899999999999999" customHeight="1">
      <c r="B215" s="3241" t="s">
        <v>2722</v>
      </c>
      <c r="C215" s="3612"/>
      <c r="D215" s="3540" t="s">
        <v>2990</v>
      </c>
      <c r="E215" s="3540"/>
      <c r="F215" s="3255" t="s">
        <v>732</v>
      </c>
      <c r="G215" s="10173"/>
      <c r="H215" s="3261"/>
      <c r="I215" s="3433" t="s">
        <v>2991</v>
      </c>
      <c r="J215" s="3330"/>
      <c r="K215" s="3140" t="s">
        <v>734</v>
      </c>
      <c r="L215" s="3571">
        <v>0</v>
      </c>
      <c r="M215" s="3473">
        <v>0</v>
      </c>
      <c r="N215" s="3573">
        <v>0</v>
      </c>
      <c r="O215" s="3473">
        <v>0</v>
      </c>
      <c r="P215" s="3475"/>
      <c r="Q215" s="3571"/>
      <c r="R215" s="3473">
        <v>0</v>
      </c>
      <c r="S215" s="3573"/>
      <c r="T215" s="3473">
        <v>0</v>
      </c>
      <c r="U215" s="3475">
        <v>0</v>
      </c>
      <c r="V215" s="3578">
        <v>0</v>
      </c>
      <c r="W215" s="3473">
        <v>0</v>
      </c>
      <c r="X215" s="3580">
        <v>0</v>
      </c>
      <c r="Y215" s="3473">
        <v>0</v>
      </c>
      <c r="Z215" s="3475"/>
      <c r="AA215" s="3472"/>
      <c r="AB215" s="3473"/>
      <c r="AC215" s="3474"/>
      <c r="AD215" s="3473"/>
      <c r="AE215" s="3475"/>
      <c r="AF215" s="3085"/>
      <c r="AG215" s="3478"/>
      <c r="AH215" s="3478"/>
      <c r="AI215" s="3541" t="s">
        <v>770</v>
      </c>
      <c r="AJ215" s="3015"/>
    </row>
    <row r="216" spans="1:37" ht="20.100000000000001" customHeight="1">
      <c r="B216" s="3219" t="s">
        <v>2722</v>
      </c>
      <c r="C216" s="3613" t="s">
        <v>791</v>
      </c>
      <c r="D216" s="3614"/>
      <c r="E216" s="3615"/>
      <c r="F216" s="3616"/>
      <c r="G216" s="10173"/>
      <c r="H216" s="3282" t="s">
        <v>2992</v>
      </c>
      <c r="I216" s="3596"/>
      <c r="J216" s="3597"/>
      <c r="K216" s="3598" t="s">
        <v>2676</v>
      </c>
      <c r="L216" s="3599"/>
      <c r="M216" s="3603"/>
      <c r="N216" s="3601"/>
      <c r="O216" s="3603"/>
      <c r="P216" s="3602"/>
      <c r="Q216" s="3599"/>
      <c r="R216" s="3603"/>
      <c r="S216" s="3601"/>
      <c r="T216" s="3603"/>
      <c r="U216" s="3602"/>
      <c r="V216" s="3599"/>
      <c r="W216" s="3603"/>
      <c r="X216" s="3601"/>
      <c r="Y216" s="3603"/>
      <c r="Z216" s="3602"/>
      <c r="AA216" s="3599"/>
      <c r="AB216" s="3603"/>
      <c r="AC216" s="3292"/>
      <c r="AD216" s="3365"/>
      <c r="AE216" s="3290"/>
      <c r="AF216" s="3085"/>
      <c r="AG216" s="3478"/>
      <c r="AH216" s="3478"/>
      <c r="AI216" s="3541" t="s">
        <v>793</v>
      </c>
      <c r="AJ216" s="3015"/>
    </row>
    <row r="217" spans="1:37" ht="20.100000000000001" customHeight="1">
      <c r="B217" s="3219" t="s">
        <v>2722</v>
      </c>
      <c r="C217" s="3607"/>
      <c r="D217" s="3430" t="s">
        <v>2993</v>
      </c>
      <c r="E217" s="3431"/>
      <c r="F217" s="3255" t="s">
        <v>732</v>
      </c>
      <c r="G217" s="10173"/>
      <c r="H217" s="3257"/>
      <c r="I217" s="3170" t="s">
        <v>2994</v>
      </c>
      <c r="J217" s="3170"/>
      <c r="K217" s="3140" t="s">
        <v>734</v>
      </c>
      <c r="L217" s="3571">
        <v>541</v>
      </c>
      <c r="M217" s="3575" t="s">
        <v>748</v>
      </c>
      <c r="N217" s="3573">
        <v>452</v>
      </c>
      <c r="O217" s="3575" t="s">
        <v>748</v>
      </c>
      <c r="P217" s="3475"/>
      <c r="Q217" s="3574">
        <v>568</v>
      </c>
      <c r="R217" s="3575" t="s">
        <v>801</v>
      </c>
      <c r="S217" s="3576">
        <v>1195</v>
      </c>
      <c r="T217" s="3575" t="s">
        <v>801</v>
      </c>
      <c r="U217" s="3577">
        <v>1190</v>
      </c>
      <c r="V217" s="3578">
        <v>293</v>
      </c>
      <c r="W217" s="3575" t="s">
        <v>751</v>
      </c>
      <c r="X217" s="3580">
        <v>281</v>
      </c>
      <c r="Y217" s="3575" t="s">
        <v>751</v>
      </c>
      <c r="Z217" s="3475"/>
      <c r="AA217" s="3472"/>
      <c r="AB217" s="3473"/>
      <c r="AC217" s="3474"/>
      <c r="AD217" s="3473"/>
      <c r="AE217" s="3475"/>
      <c r="AF217" s="3085"/>
      <c r="AG217" s="3478"/>
      <c r="AH217" s="3478"/>
      <c r="AI217" s="3541" t="s">
        <v>793</v>
      </c>
      <c r="AJ217" s="3015"/>
    </row>
    <row r="218" spans="1:37" ht="19.899999999999999" customHeight="1">
      <c r="B218" s="3219" t="s">
        <v>2722</v>
      </c>
      <c r="C218" s="3612"/>
      <c r="D218" s="3430" t="s">
        <v>2995</v>
      </c>
      <c r="E218" s="3431"/>
      <c r="F218" s="3255" t="s">
        <v>732</v>
      </c>
      <c r="G218" s="10173"/>
      <c r="H218" s="3261"/>
      <c r="I218" s="3617" t="s">
        <v>1807</v>
      </c>
      <c r="J218" s="3617"/>
      <c r="K218" s="3140" t="s">
        <v>734</v>
      </c>
      <c r="L218" s="3571">
        <v>513</v>
      </c>
      <c r="M218" s="3575" t="s">
        <v>748</v>
      </c>
      <c r="N218" s="3573">
        <v>457</v>
      </c>
      <c r="O218" s="3575" t="s">
        <v>748</v>
      </c>
      <c r="P218" s="3475"/>
      <c r="Q218" s="3574">
        <v>537</v>
      </c>
      <c r="R218" s="3575" t="s">
        <v>801</v>
      </c>
      <c r="S218" s="3576">
        <v>1251</v>
      </c>
      <c r="T218" s="3575" t="s">
        <v>801</v>
      </c>
      <c r="U218" s="3577">
        <v>1288</v>
      </c>
      <c r="V218" s="3578">
        <v>88</v>
      </c>
      <c r="W218" s="3575" t="s">
        <v>751</v>
      </c>
      <c r="X218" s="3580">
        <v>112</v>
      </c>
      <c r="Y218" s="3575" t="s">
        <v>751</v>
      </c>
      <c r="Z218" s="3475"/>
      <c r="AA218" s="3472"/>
      <c r="AB218" s="3473"/>
      <c r="AC218" s="3474"/>
      <c r="AD218" s="3473"/>
      <c r="AE218" s="3475"/>
      <c r="AF218" s="3085"/>
      <c r="AG218" s="3478"/>
      <c r="AH218" s="3478"/>
      <c r="AI218" s="3541" t="s">
        <v>793</v>
      </c>
      <c r="AJ218" s="3015"/>
    </row>
    <row r="219" spans="1:37" ht="19.899999999999999" customHeight="1">
      <c r="B219" s="3219" t="s">
        <v>2722</v>
      </c>
      <c r="C219" s="3613" t="s">
        <v>2996</v>
      </c>
      <c r="D219" s="3614"/>
      <c r="E219" s="3618"/>
      <c r="F219" s="3595" t="s">
        <v>2676</v>
      </c>
      <c r="G219" s="10173"/>
      <c r="H219" s="3619" t="s">
        <v>2997</v>
      </c>
      <c r="I219" s="3620"/>
      <c r="J219" s="3621"/>
      <c r="K219" s="3598" t="s">
        <v>2676</v>
      </c>
      <c r="L219" s="3599"/>
      <c r="M219" s="3622"/>
      <c r="N219" s="3601"/>
      <c r="O219" s="3622"/>
      <c r="P219" s="3602"/>
      <c r="Q219" s="3599"/>
      <c r="R219" s="3622"/>
      <c r="S219" s="3601"/>
      <c r="T219" s="3622"/>
      <c r="U219" s="3602"/>
      <c r="V219" s="3599"/>
      <c r="W219" s="3622"/>
      <c r="X219" s="3601"/>
      <c r="Y219" s="3622"/>
      <c r="Z219" s="3602"/>
      <c r="AA219" s="3599"/>
      <c r="AB219" s="3603"/>
      <c r="AC219" s="3292"/>
      <c r="AD219" s="3365"/>
      <c r="AE219" s="3290"/>
      <c r="AF219" s="3085"/>
      <c r="AG219" s="3478"/>
      <c r="AH219" s="3478"/>
      <c r="AI219" s="3541" t="s">
        <v>2998</v>
      </c>
      <c r="AJ219" s="3015"/>
    </row>
    <row r="220" spans="1:37" ht="20.100000000000001" customHeight="1">
      <c r="A220" s="3623"/>
      <c r="B220" s="3219" t="s">
        <v>2722</v>
      </c>
      <c r="C220" s="3624"/>
      <c r="D220" s="3430" t="s">
        <v>2993</v>
      </c>
      <c r="E220" s="3431"/>
      <c r="F220" s="3625" t="s">
        <v>2688</v>
      </c>
      <c r="G220" s="10173"/>
      <c r="H220" s="3626"/>
      <c r="I220" s="3170" t="s">
        <v>2999</v>
      </c>
      <c r="J220" s="3155"/>
      <c r="K220" s="3627" t="s">
        <v>2688</v>
      </c>
      <c r="L220" s="3472"/>
      <c r="M220" s="3628"/>
      <c r="N220" s="3474"/>
      <c r="O220" s="3629"/>
      <c r="P220" s="3475"/>
      <c r="Q220" s="5562">
        <v>1</v>
      </c>
      <c r="R220" s="5563"/>
      <c r="S220" s="5564">
        <v>1</v>
      </c>
      <c r="T220" s="5563"/>
      <c r="U220" s="5565">
        <v>1</v>
      </c>
      <c r="V220" s="3472"/>
      <c r="W220" s="3628"/>
      <c r="X220" s="3474"/>
      <c r="Y220" s="3628"/>
      <c r="Z220" s="3475"/>
      <c r="AA220" s="3472"/>
      <c r="AB220" s="3628"/>
      <c r="AC220" s="3474"/>
      <c r="AD220" s="3628"/>
      <c r="AE220" s="3475"/>
      <c r="AF220" s="3085"/>
      <c r="AG220" s="3633"/>
      <c r="AH220" s="3633"/>
      <c r="AI220" s="3541" t="s">
        <v>2998</v>
      </c>
      <c r="AJ220" s="3015"/>
      <c r="AK220" s="3623"/>
    </row>
    <row r="221" spans="1:37" ht="20.100000000000001" customHeight="1">
      <c r="A221" s="3623"/>
      <c r="B221" s="3219" t="s">
        <v>2722</v>
      </c>
      <c r="C221" s="3634"/>
      <c r="D221" s="3430" t="s">
        <v>2995</v>
      </c>
      <c r="E221" s="3431"/>
      <c r="F221" s="3625" t="s">
        <v>2688</v>
      </c>
      <c r="G221" s="10173"/>
      <c r="H221" s="3635"/>
      <c r="I221" s="3617" t="s">
        <v>3000</v>
      </c>
      <c r="J221" s="3440"/>
      <c r="K221" s="3627" t="s">
        <v>2688</v>
      </c>
      <c r="L221" s="3472"/>
      <c r="M221" s="3628"/>
      <c r="N221" s="3474"/>
      <c r="O221" s="3629"/>
      <c r="P221" s="3475"/>
      <c r="Q221" s="5562">
        <v>0</v>
      </c>
      <c r="R221" s="5563"/>
      <c r="S221" s="5564">
        <v>0</v>
      </c>
      <c r="T221" s="5563"/>
      <c r="U221" s="5565">
        <v>0</v>
      </c>
      <c r="V221" s="3472"/>
      <c r="W221" s="3628"/>
      <c r="X221" s="3474"/>
      <c r="Y221" s="3628"/>
      <c r="Z221" s="3475"/>
      <c r="AA221" s="3472"/>
      <c r="AB221" s="3628"/>
      <c r="AC221" s="3474"/>
      <c r="AD221" s="3628"/>
      <c r="AE221" s="3475"/>
      <c r="AF221" s="3085"/>
      <c r="AG221" s="3633"/>
      <c r="AH221" s="3633"/>
      <c r="AI221" s="3541" t="s">
        <v>2998</v>
      </c>
      <c r="AJ221" s="3015"/>
      <c r="AK221" s="3623"/>
    </row>
    <row r="222" spans="1:37" ht="20.100000000000001" hidden="1" customHeight="1">
      <c r="A222" s="3623"/>
      <c r="B222" s="3636"/>
      <c r="C222" s="3637" t="s">
        <v>3001</v>
      </c>
      <c r="D222" s="3614"/>
      <c r="E222" s="3614"/>
      <c r="F222" s="3595" t="s">
        <v>2676</v>
      </c>
      <c r="G222" s="10173"/>
      <c r="H222" s="3638" t="s">
        <v>3002</v>
      </c>
      <c r="I222" s="3620"/>
      <c r="J222" s="3621"/>
      <c r="K222" s="3598" t="s">
        <v>2676</v>
      </c>
      <c r="L222" s="3599"/>
      <c r="M222" s="3639"/>
      <c r="N222" s="3601"/>
      <c r="O222" s="3640"/>
      <c r="P222" s="3602"/>
      <c r="Q222" s="3599"/>
      <c r="R222" s="3640"/>
      <c r="S222" s="3601"/>
      <c r="T222" s="3640"/>
      <c r="U222" s="3602"/>
      <c r="V222" s="3599"/>
      <c r="W222" s="3639"/>
      <c r="X222" s="3601"/>
      <c r="Y222" s="3639"/>
      <c r="Z222" s="3602"/>
      <c r="AA222" s="3599"/>
      <c r="AB222" s="3639"/>
      <c r="AC222" s="3292"/>
      <c r="AD222" s="3641"/>
      <c r="AE222" s="3290"/>
      <c r="AF222" s="3085"/>
      <c r="AG222" s="3478"/>
      <c r="AH222" s="3633"/>
      <c r="AI222" s="3642"/>
      <c r="AJ222" s="3015"/>
      <c r="AK222" s="3623"/>
    </row>
    <row r="223" spans="1:37" ht="20.100000000000001" hidden="1" customHeight="1">
      <c r="B223" s="3542"/>
      <c r="C223" s="3643"/>
      <c r="D223" s="3430" t="s">
        <v>2993</v>
      </c>
      <c r="E223" s="3431"/>
      <c r="F223" s="3255" t="s">
        <v>2688</v>
      </c>
      <c r="G223" s="10173"/>
      <c r="H223" s="3321"/>
      <c r="I223" s="3170" t="s">
        <v>2999</v>
      </c>
      <c r="J223" s="3155"/>
      <c r="K223" s="3140" t="s">
        <v>2688</v>
      </c>
      <c r="L223" s="3472"/>
      <c r="M223" s="3628"/>
      <c r="N223" s="3474"/>
      <c r="O223" s="3629"/>
      <c r="P223" s="3475"/>
      <c r="Q223" s="3472"/>
      <c r="R223" s="3629"/>
      <c r="S223" s="3474"/>
      <c r="T223" s="3629"/>
      <c r="U223" s="3475"/>
      <c r="V223" s="3472"/>
      <c r="W223" s="3628"/>
      <c r="X223" s="3474"/>
      <c r="Y223" s="3628"/>
      <c r="Z223" s="3475"/>
      <c r="AA223" s="3472"/>
      <c r="AB223" s="3628"/>
      <c r="AC223" s="3474"/>
      <c r="AD223" s="3628"/>
      <c r="AE223" s="3475"/>
      <c r="AF223" s="3085"/>
      <c r="AG223" s="3478"/>
      <c r="AH223" s="3478"/>
      <c r="AI223" s="3541"/>
      <c r="AJ223" s="3015"/>
    </row>
    <row r="224" spans="1:37" ht="20.100000000000001" hidden="1" customHeight="1">
      <c r="B224" s="3542"/>
      <c r="C224" s="3644"/>
      <c r="D224" s="3430" t="s">
        <v>2995</v>
      </c>
      <c r="E224" s="3431"/>
      <c r="F224" s="3255" t="s">
        <v>2688</v>
      </c>
      <c r="G224" s="10173"/>
      <c r="H224" s="3341"/>
      <c r="I224" s="3617" t="s">
        <v>3000</v>
      </c>
      <c r="J224" s="3440"/>
      <c r="K224" s="3140" t="s">
        <v>2688</v>
      </c>
      <c r="L224" s="3472"/>
      <c r="M224" s="3628"/>
      <c r="N224" s="3474"/>
      <c r="O224" s="3629"/>
      <c r="P224" s="3475"/>
      <c r="Q224" s="3472"/>
      <c r="R224" s="3629"/>
      <c r="S224" s="3474"/>
      <c r="T224" s="3629"/>
      <c r="U224" s="3475"/>
      <c r="V224" s="3472"/>
      <c r="W224" s="3628"/>
      <c r="X224" s="3474"/>
      <c r="Y224" s="3628"/>
      <c r="Z224" s="3475"/>
      <c r="AA224" s="3472"/>
      <c r="AB224" s="3628"/>
      <c r="AC224" s="3474"/>
      <c r="AD224" s="3628"/>
      <c r="AE224" s="3475"/>
      <c r="AF224" s="3085"/>
      <c r="AG224" s="3478"/>
      <c r="AH224" s="3478"/>
      <c r="AI224" s="3541"/>
      <c r="AJ224" s="3015"/>
    </row>
    <row r="225" spans="2:36" ht="20.100000000000001" customHeight="1">
      <c r="B225" s="3219" t="s">
        <v>2722</v>
      </c>
      <c r="C225" s="3637" t="s">
        <v>3003</v>
      </c>
      <c r="D225" s="3614"/>
      <c r="E225" s="3645"/>
      <c r="F225" s="3595" t="s">
        <v>2676</v>
      </c>
      <c r="G225" s="10173"/>
      <c r="H225" s="3638" t="s">
        <v>3004</v>
      </c>
      <c r="I225" s="3620"/>
      <c r="J225" s="3621"/>
      <c r="K225" s="3598" t="s">
        <v>2676</v>
      </c>
      <c r="L225" s="3599"/>
      <c r="M225" s="3603"/>
      <c r="N225" s="3601"/>
      <c r="O225" s="3622"/>
      <c r="P225" s="3602"/>
      <c r="Q225" s="3599"/>
      <c r="R225" s="3622"/>
      <c r="S225" s="3601"/>
      <c r="T225" s="3622"/>
      <c r="U225" s="3602"/>
      <c r="V225" s="3599"/>
      <c r="W225" s="3603"/>
      <c r="X225" s="3601"/>
      <c r="Y225" s="3603"/>
      <c r="Z225" s="3602"/>
      <c r="AA225" s="3599"/>
      <c r="AB225" s="3603"/>
      <c r="AC225" s="3292"/>
      <c r="AD225" s="3365"/>
      <c r="AE225" s="3290"/>
      <c r="AF225" s="3085"/>
      <c r="AG225" s="3478"/>
      <c r="AH225" s="3478"/>
      <c r="AI225" s="3541" t="s">
        <v>822</v>
      </c>
      <c r="AJ225" s="3015"/>
    </row>
    <row r="226" spans="2:36" ht="20.100000000000001" customHeight="1">
      <c r="B226" s="3219" t="s">
        <v>2722</v>
      </c>
      <c r="C226" s="3643"/>
      <c r="D226" s="3430" t="s">
        <v>3005</v>
      </c>
      <c r="E226" s="3431"/>
      <c r="F226" s="3255" t="s">
        <v>732</v>
      </c>
      <c r="G226" s="10173"/>
      <c r="H226" s="3505"/>
      <c r="I226" s="3617" t="s">
        <v>3006</v>
      </c>
      <c r="J226" s="3617"/>
      <c r="K226" s="3140" t="s">
        <v>734</v>
      </c>
      <c r="L226" s="3571">
        <v>272</v>
      </c>
      <c r="M226" s="3575" t="s">
        <v>748</v>
      </c>
      <c r="N226" s="3573">
        <v>209</v>
      </c>
      <c r="O226" s="3575" t="s">
        <v>748</v>
      </c>
      <c r="P226" s="3475"/>
      <c r="Q226" s="3574">
        <v>809</v>
      </c>
      <c r="R226" s="3575" t="s">
        <v>801</v>
      </c>
      <c r="S226" s="3576">
        <v>2118</v>
      </c>
      <c r="T226" s="3575" t="s">
        <v>801</v>
      </c>
      <c r="U226" s="3577">
        <v>2144</v>
      </c>
      <c r="V226" s="3578">
        <v>116</v>
      </c>
      <c r="W226" s="3575" t="s">
        <v>751</v>
      </c>
      <c r="X226" s="3580">
        <v>114</v>
      </c>
      <c r="Y226" s="3575" t="s">
        <v>751</v>
      </c>
      <c r="Z226" s="3475"/>
      <c r="AA226" s="3472"/>
      <c r="AB226" s="3473"/>
      <c r="AC226" s="3474"/>
      <c r="AD226" s="3473"/>
      <c r="AE226" s="3475"/>
      <c r="AF226" s="3085"/>
      <c r="AG226" s="3646"/>
      <c r="AH226" s="3478"/>
      <c r="AI226" s="3541" t="s">
        <v>822</v>
      </c>
      <c r="AJ226" s="3015"/>
    </row>
    <row r="227" spans="2:36" ht="20.100000000000001" customHeight="1">
      <c r="B227" s="3219" t="s">
        <v>2722</v>
      </c>
      <c r="C227" s="3647"/>
      <c r="D227" s="3430" t="s">
        <v>3007</v>
      </c>
      <c r="E227" s="3431"/>
      <c r="F227" s="3255" t="s">
        <v>732</v>
      </c>
      <c r="G227" s="10173"/>
      <c r="H227" s="3091"/>
      <c r="I227" s="3039" t="s">
        <v>3008</v>
      </c>
      <c r="J227" s="3039"/>
      <c r="K227" s="3140" t="s">
        <v>734</v>
      </c>
      <c r="L227" s="3571">
        <v>778</v>
      </c>
      <c r="M227" s="3575" t="s">
        <v>748</v>
      </c>
      <c r="N227" s="3573">
        <v>694</v>
      </c>
      <c r="O227" s="3575" t="s">
        <v>748</v>
      </c>
      <c r="P227" s="3475"/>
      <c r="Q227" s="3574">
        <v>294</v>
      </c>
      <c r="R227" s="3575" t="s">
        <v>801</v>
      </c>
      <c r="S227" s="3576">
        <v>327</v>
      </c>
      <c r="T227" s="3575" t="s">
        <v>801</v>
      </c>
      <c r="U227" s="3577">
        <v>333</v>
      </c>
      <c r="V227" s="3578">
        <v>257</v>
      </c>
      <c r="W227" s="3575" t="s">
        <v>751</v>
      </c>
      <c r="X227" s="3580">
        <v>270</v>
      </c>
      <c r="Y227" s="3575" t="s">
        <v>751</v>
      </c>
      <c r="Z227" s="3475"/>
      <c r="AA227" s="3472"/>
      <c r="AB227" s="3473"/>
      <c r="AC227" s="3474"/>
      <c r="AD227" s="3473"/>
      <c r="AE227" s="3475"/>
      <c r="AF227" s="3085"/>
      <c r="AG227" s="3478"/>
      <c r="AH227" s="3478"/>
      <c r="AI227" s="3541" t="s">
        <v>822</v>
      </c>
      <c r="AJ227" s="3015"/>
    </row>
    <row r="228" spans="2:36" ht="20.100000000000001" customHeight="1">
      <c r="B228" s="3219" t="s">
        <v>2722</v>
      </c>
      <c r="C228" s="3644"/>
      <c r="D228" s="3430" t="s">
        <v>3009</v>
      </c>
      <c r="E228" s="3431"/>
      <c r="F228" s="3255" t="s">
        <v>732</v>
      </c>
      <c r="G228" s="10173"/>
      <c r="H228" s="3360"/>
      <c r="I228" s="3617" t="s">
        <v>1811</v>
      </c>
      <c r="J228" s="3617"/>
      <c r="K228" s="3140" t="s">
        <v>734</v>
      </c>
      <c r="L228" s="3571">
        <v>4</v>
      </c>
      <c r="M228" s="3575" t="s">
        <v>748</v>
      </c>
      <c r="N228" s="3573">
        <v>6</v>
      </c>
      <c r="O228" s="3575" t="s">
        <v>748</v>
      </c>
      <c r="P228" s="3475"/>
      <c r="Q228" s="3574">
        <v>2</v>
      </c>
      <c r="R228" s="3575" t="s">
        <v>801</v>
      </c>
      <c r="S228" s="3576">
        <v>1</v>
      </c>
      <c r="T228" s="3575" t="s">
        <v>801</v>
      </c>
      <c r="U228" s="3577">
        <v>1</v>
      </c>
      <c r="V228" s="3578">
        <v>8</v>
      </c>
      <c r="W228" s="3575" t="s">
        <v>751</v>
      </c>
      <c r="X228" s="3580">
        <v>9</v>
      </c>
      <c r="Y228" s="3575" t="s">
        <v>751</v>
      </c>
      <c r="Z228" s="3475"/>
      <c r="AA228" s="3472"/>
      <c r="AB228" s="3473"/>
      <c r="AC228" s="3474"/>
      <c r="AD228" s="3473"/>
      <c r="AE228" s="3475"/>
      <c r="AF228" s="3085"/>
      <c r="AG228" s="3478"/>
      <c r="AH228" s="3478"/>
      <c r="AI228" s="3541" t="s">
        <v>822</v>
      </c>
      <c r="AJ228" s="3015"/>
    </row>
    <row r="229" spans="2:36" ht="20.100000000000001" customHeight="1">
      <c r="B229" s="3219" t="s">
        <v>2722</v>
      </c>
      <c r="C229" s="3648" t="s">
        <v>3010</v>
      </c>
      <c r="D229" s="3504"/>
      <c r="E229" s="3504"/>
      <c r="F229" s="3255" t="s">
        <v>732</v>
      </c>
      <c r="G229" s="10173"/>
      <c r="H229" s="3329" t="s">
        <v>3011</v>
      </c>
      <c r="I229" s="3329"/>
      <c r="J229" s="3330"/>
      <c r="K229" s="3140" t="s">
        <v>734</v>
      </c>
      <c r="L229" s="3571">
        <v>0</v>
      </c>
      <c r="M229" s="3473">
        <v>0</v>
      </c>
      <c r="N229" s="3573">
        <v>0</v>
      </c>
      <c r="O229" s="3473">
        <v>0</v>
      </c>
      <c r="P229" s="3475"/>
      <c r="Q229" s="3574">
        <f>SUM(Q226:Q228)-4</f>
        <v>1101</v>
      </c>
      <c r="R229" s="3473" t="s">
        <v>842</v>
      </c>
      <c r="S229" s="3574">
        <f>SUM(S226:S228)-4</f>
        <v>2442</v>
      </c>
      <c r="T229" s="3473" t="s">
        <v>842</v>
      </c>
      <c r="U229" s="3574">
        <f>SUM(U226:U228)-4</f>
        <v>2474</v>
      </c>
      <c r="V229" s="3578">
        <v>0</v>
      </c>
      <c r="W229" s="3473">
        <v>0</v>
      </c>
      <c r="X229" s="3580">
        <v>0</v>
      </c>
      <c r="Y229" s="3473">
        <v>0</v>
      </c>
      <c r="Z229" s="3475"/>
      <c r="AA229" s="3472"/>
      <c r="AB229" s="3473"/>
      <c r="AC229" s="3474"/>
      <c r="AD229" s="3473"/>
      <c r="AE229" s="3475"/>
      <c r="AF229" s="3085"/>
      <c r="AG229" s="3478"/>
      <c r="AH229" s="3478"/>
      <c r="AI229" s="3541" t="s">
        <v>837</v>
      </c>
      <c r="AJ229" s="3015"/>
    </row>
    <row r="230" spans="2:36" ht="20.100000000000001" customHeight="1">
      <c r="B230" s="3219" t="s">
        <v>2722</v>
      </c>
      <c r="C230" s="3637" t="s">
        <v>3012</v>
      </c>
      <c r="D230" s="3649"/>
      <c r="E230" s="3649"/>
      <c r="F230" s="3595" t="s">
        <v>2676</v>
      </c>
      <c r="G230" s="10173"/>
      <c r="H230" s="3638" t="s">
        <v>3013</v>
      </c>
      <c r="I230" s="3650"/>
      <c r="J230" s="3597"/>
      <c r="K230" s="3598" t="s">
        <v>2676</v>
      </c>
      <c r="L230" s="3599"/>
      <c r="M230" s="3603"/>
      <c r="N230" s="3601"/>
      <c r="O230" s="3603"/>
      <c r="P230" s="3602"/>
      <c r="Q230" s="3599"/>
      <c r="R230" s="3603"/>
      <c r="S230" s="3601"/>
      <c r="T230" s="3603"/>
      <c r="U230" s="3602"/>
      <c r="V230" s="3599"/>
      <c r="W230" s="3603"/>
      <c r="X230" s="3601"/>
      <c r="Y230" s="3603"/>
      <c r="Z230" s="3602"/>
      <c r="AA230" s="3599"/>
      <c r="AB230" s="3603"/>
      <c r="AC230" s="3292"/>
      <c r="AD230" s="3365"/>
      <c r="AE230" s="3290"/>
      <c r="AF230" s="3085"/>
      <c r="AG230" s="3478"/>
      <c r="AH230" s="3478"/>
      <c r="AI230" s="3541" t="s">
        <v>3014</v>
      </c>
      <c r="AJ230" s="3015"/>
    </row>
    <row r="231" spans="2:36" ht="20.100000000000001" customHeight="1">
      <c r="B231" s="3219" t="s">
        <v>2722</v>
      </c>
      <c r="C231" s="3651"/>
      <c r="D231" s="3430" t="s">
        <v>3005</v>
      </c>
      <c r="E231" s="3431"/>
      <c r="F231" s="3255" t="s">
        <v>732</v>
      </c>
      <c r="G231" s="10173"/>
      <c r="H231" s="3321"/>
      <c r="I231" s="3433" t="s">
        <v>3006</v>
      </c>
      <c r="J231" s="3330"/>
      <c r="K231" s="3140" t="s">
        <v>734</v>
      </c>
      <c r="L231" s="3472"/>
      <c r="M231" s="3473"/>
      <c r="N231" s="3474"/>
      <c r="O231" s="3473"/>
      <c r="P231" s="3475"/>
      <c r="Q231" s="3472"/>
      <c r="R231" s="3473"/>
      <c r="S231" s="3474">
        <v>0</v>
      </c>
      <c r="T231" s="3473"/>
      <c r="U231" s="3475">
        <v>0</v>
      </c>
      <c r="V231" s="3472"/>
      <c r="W231" s="3473"/>
      <c r="X231" s="3474"/>
      <c r="Y231" s="3473"/>
      <c r="Z231" s="3475"/>
      <c r="AA231" s="3472"/>
      <c r="AB231" s="3473"/>
      <c r="AC231" s="3474"/>
      <c r="AD231" s="3473"/>
      <c r="AE231" s="3475"/>
      <c r="AF231" s="3085"/>
      <c r="AG231" s="3646"/>
      <c r="AH231" s="3478"/>
      <c r="AI231" s="3541" t="s">
        <v>3014</v>
      </c>
      <c r="AJ231" s="3015"/>
    </row>
    <row r="232" spans="2:36" ht="20.100000000000001" customHeight="1">
      <c r="B232" s="3219" t="s">
        <v>2722</v>
      </c>
      <c r="C232" s="3647"/>
      <c r="D232" s="3430" t="s">
        <v>3007</v>
      </c>
      <c r="E232" s="3431"/>
      <c r="F232" s="3255" t="s">
        <v>732</v>
      </c>
      <c r="G232" s="10173"/>
      <c r="H232" s="3323"/>
      <c r="I232" s="3433" t="s">
        <v>3008</v>
      </c>
      <c r="J232" s="3330"/>
      <c r="K232" s="3140" t="s">
        <v>734</v>
      </c>
      <c r="L232" s="3472"/>
      <c r="M232" s="3473"/>
      <c r="N232" s="3474"/>
      <c r="O232" s="3473"/>
      <c r="P232" s="3475"/>
      <c r="Q232" s="3574">
        <v>5</v>
      </c>
      <c r="R232" s="3473" t="s">
        <v>762</v>
      </c>
      <c r="S232" s="3576">
        <v>5</v>
      </c>
      <c r="T232" s="3473" t="s">
        <v>762</v>
      </c>
      <c r="U232" s="3577">
        <v>5</v>
      </c>
      <c r="V232" s="3472"/>
      <c r="W232" s="3473"/>
      <c r="X232" s="3474"/>
      <c r="Y232" s="3473"/>
      <c r="Z232" s="3475"/>
      <c r="AA232" s="3472"/>
      <c r="AB232" s="3473"/>
      <c r="AC232" s="3474"/>
      <c r="AD232" s="3473"/>
      <c r="AE232" s="3475"/>
      <c r="AF232" s="3473"/>
      <c r="AG232" s="3478"/>
      <c r="AH232" s="3478"/>
      <c r="AI232" s="3541" t="s">
        <v>3014</v>
      </c>
      <c r="AJ232" s="3015"/>
    </row>
    <row r="233" spans="2:36" ht="20.100000000000001" customHeight="1">
      <c r="B233" s="3219" t="s">
        <v>2722</v>
      </c>
      <c r="C233" s="3644"/>
      <c r="D233" s="3430" t="s">
        <v>3009</v>
      </c>
      <c r="E233" s="3431"/>
      <c r="F233" s="3255" t="s">
        <v>732</v>
      </c>
      <c r="G233" s="10173"/>
      <c r="H233" s="3341"/>
      <c r="I233" s="3433" t="s">
        <v>1811</v>
      </c>
      <c r="J233" s="3330"/>
      <c r="K233" s="3140" t="s">
        <v>734</v>
      </c>
      <c r="L233" s="3472"/>
      <c r="M233" s="3473"/>
      <c r="N233" s="3474"/>
      <c r="O233" s="3473"/>
      <c r="P233" s="3475"/>
      <c r="Q233" s="3472"/>
      <c r="R233" s="3473"/>
      <c r="S233" s="3474">
        <v>0</v>
      </c>
      <c r="T233" s="3473"/>
      <c r="U233" s="3475">
        <v>0</v>
      </c>
      <c r="V233" s="3472"/>
      <c r="W233" s="3473"/>
      <c r="X233" s="3474"/>
      <c r="Y233" s="3473"/>
      <c r="Z233" s="3475"/>
      <c r="AA233" s="3472"/>
      <c r="AB233" s="3473"/>
      <c r="AC233" s="3474"/>
      <c r="AD233" s="3473"/>
      <c r="AE233" s="3475"/>
      <c r="AF233" s="3085"/>
      <c r="AG233" s="3478"/>
      <c r="AH233" s="3478"/>
      <c r="AI233" s="3541" t="s">
        <v>3014</v>
      </c>
      <c r="AJ233" s="3015"/>
    </row>
    <row r="234" spans="2:36" ht="20.100000000000001" customHeight="1">
      <c r="B234" s="3219" t="s">
        <v>2722</v>
      </c>
      <c r="C234" s="3270" t="s">
        <v>3015</v>
      </c>
      <c r="D234" s="3652"/>
      <c r="E234" s="3652"/>
      <c r="F234" s="3255" t="s">
        <v>2708</v>
      </c>
      <c r="G234" s="10173"/>
      <c r="H234" s="3329" t="s">
        <v>3016</v>
      </c>
      <c r="I234" s="3329"/>
      <c r="J234" s="3330"/>
      <c r="K234" s="3140" t="s">
        <v>734</v>
      </c>
      <c r="L234" s="3472"/>
      <c r="M234" s="3473"/>
      <c r="N234" s="3573">
        <v>0</v>
      </c>
      <c r="O234" s="3473"/>
      <c r="P234" s="3475"/>
      <c r="Q234" s="3574">
        <v>58</v>
      </c>
      <c r="R234" s="3473"/>
      <c r="S234" s="3653">
        <v>58</v>
      </c>
      <c r="T234" s="3473"/>
      <c r="U234" s="3577">
        <v>64</v>
      </c>
      <c r="V234" s="3472"/>
      <c r="W234" s="3473"/>
      <c r="X234" s="3580">
        <v>3</v>
      </c>
      <c r="Y234" s="3473"/>
      <c r="Z234" s="3475"/>
      <c r="AA234" s="3472"/>
      <c r="AB234" s="3473"/>
      <c r="AC234" s="3474"/>
      <c r="AD234" s="3473"/>
      <c r="AE234" s="3475"/>
      <c r="AF234" s="3085"/>
      <c r="AG234" s="3478"/>
      <c r="AH234" s="3478"/>
      <c r="AI234" s="3541" t="s">
        <v>3017</v>
      </c>
      <c r="AJ234" s="3015"/>
    </row>
    <row r="235" spans="2:36" ht="20.100000000000001" customHeight="1">
      <c r="B235" s="3219" t="s">
        <v>2722</v>
      </c>
      <c r="C235" s="3270" t="s">
        <v>3018</v>
      </c>
      <c r="D235" s="3652"/>
      <c r="E235" s="3654"/>
      <c r="F235" s="3255" t="s">
        <v>2688</v>
      </c>
      <c r="G235" s="10173"/>
      <c r="H235" s="3329" t="s">
        <v>3019</v>
      </c>
      <c r="I235" s="3329"/>
      <c r="J235" s="3330"/>
      <c r="K235" s="3140" t="s">
        <v>2688</v>
      </c>
      <c r="L235" s="3472"/>
      <c r="M235" s="3473"/>
      <c r="N235" s="3573">
        <v>0</v>
      </c>
      <c r="O235" s="3473"/>
      <c r="P235" s="3475"/>
      <c r="Q235" s="3655">
        <f>Q234/Q213</f>
        <v>0.10283687943262411</v>
      </c>
      <c r="R235" s="3473" t="s">
        <v>862</v>
      </c>
      <c r="S235" s="3655">
        <f>S234/S213</f>
        <v>0.10051993067590988</v>
      </c>
      <c r="T235" s="3473" t="s">
        <v>862</v>
      </c>
      <c r="U235" s="3655">
        <f>U234/U213</f>
        <v>0.11188811188811189</v>
      </c>
      <c r="V235" s="3472"/>
      <c r="W235" s="3473"/>
      <c r="X235" s="3580">
        <v>0.43</v>
      </c>
      <c r="Y235" s="3473"/>
      <c r="Z235" s="3475"/>
      <c r="AA235" s="3472"/>
      <c r="AB235" s="3473"/>
      <c r="AC235" s="3474"/>
      <c r="AD235" s="3473"/>
      <c r="AE235" s="3475"/>
      <c r="AF235" s="3085"/>
      <c r="AG235" s="3478"/>
      <c r="AH235" s="3478"/>
      <c r="AI235" s="3541" t="s">
        <v>3017</v>
      </c>
      <c r="AJ235" s="3015"/>
    </row>
    <row r="236" spans="2:36" ht="20.100000000000001" customHeight="1">
      <c r="B236" s="3219" t="s">
        <v>2722</v>
      </c>
      <c r="C236" s="3656" t="s">
        <v>2714</v>
      </c>
      <c r="D236" s="3657"/>
      <c r="E236" s="3658"/>
      <c r="F236" s="3255" t="s">
        <v>2688</v>
      </c>
      <c r="G236" s="10173"/>
      <c r="H236" s="3329" t="s">
        <v>3020</v>
      </c>
      <c r="I236" s="3329"/>
      <c r="J236" s="3330"/>
      <c r="K236" s="3140" t="s">
        <v>2688</v>
      </c>
      <c r="L236" s="3472"/>
      <c r="M236" s="3473"/>
      <c r="N236" s="3573">
        <v>0</v>
      </c>
      <c r="O236" s="3473"/>
      <c r="P236" s="3475"/>
      <c r="Q236" s="3655">
        <f>Q234/(Q213+Q214)</f>
        <v>5.2488687782805431E-2</v>
      </c>
      <c r="R236" s="3473" t="s">
        <v>869</v>
      </c>
      <c r="S236" s="3655">
        <f>S234/(S213+S214)</f>
        <v>2.3712183156173343E-2</v>
      </c>
      <c r="T236" s="3473" t="s">
        <v>869</v>
      </c>
      <c r="U236" s="3655">
        <f>U234/(U213+U214)</f>
        <v>2.5827280064568199E-2</v>
      </c>
      <c r="V236" s="3472"/>
      <c r="W236" s="3473"/>
      <c r="X236" s="3580">
        <v>7.0000000000000001E-3</v>
      </c>
      <c r="Y236" s="3473"/>
      <c r="Z236" s="3475"/>
      <c r="AA236" s="3472"/>
      <c r="AB236" s="3473"/>
      <c r="AC236" s="3474"/>
      <c r="AD236" s="3473"/>
      <c r="AE236" s="3475"/>
      <c r="AF236" s="3085"/>
      <c r="AG236" s="3478"/>
      <c r="AH236" s="3478"/>
      <c r="AI236" s="3541" t="s">
        <v>3017</v>
      </c>
      <c r="AJ236" s="3015"/>
    </row>
    <row r="237" spans="2:36" ht="20.100000000000001" customHeight="1" thickBot="1">
      <c r="B237" s="3219" t="s">
        <v>2722</v>
      </c>
      <c r="C237" s="3656" t="s">
        <v>3021</v>
      </c>
      <c r="D237" s="3657"/>
      <c r="E237" s="3658"/>
      <c r="F237" s="3659" t="s">
        <v>2688</v>
      </c>
      <c r="G237" s="10174"/>
      <c r="H237" s="3660" t="s">
        <v>3022</v>
      </c>
      <c r="I237" s="3660"/>
      <c r="J237" s="3661"/>
      <c r="K237" s="3662" t="s">
        <v>2688</v>
      </c>
      <c r="L237" s="3663"/>
      <c r="M237" s="3664"/>
      <c r="N237" s="3665"/>
      <c r="O237" s="3664"/>
      <c r="P237" s="3666"/>
      <c r="Q237" s="3663"/>
      <c r="R237" s="3664"/>
      <c r="S237" s="3665"/>
      <c r="T237" s="3664"/>
      <c r="U237" s="3666"/>
      <c r="V237" s="3663"/>
      <c r="W237" s="3664"/>
      <c r="X237" s="3665"/>
      <c r="Y237" s="3664"/>
      <c r="Z237" s="3666"/>
      <c r="AA237" s="3663"/>
      <c r="AB237" s="3664"/>
      <c r="AC237" s="3665"/>
      <c r="AD237" s="3664"/>
      <c r="AE237" s="3666"/>
      <c r="AF237" s="3085"/>
      <c r="AG237" s="3667"/>
      <c r="AH237" s="3478"/>
      <c r="AI237" s="3248" t="s">
        <v>3014</v>
      </c>
      <c r="AJ237" s="3015"/>
    </row>
    <row r="238" spans="2:36" ht="29.45" customHeight="1" thickBot="1">
      <c r="B238" s="3219" t="s">
        <v>2722</v>
      </c>
      <c r="C238" s="3105" t="s">
        <v>3023</v>
      </c>
      <c r="D238" s="3106"/>
      <c r="E238" s="3106"/>
      <c r="F238" s="3067"/>
      <c r="G238" s="3519" t="s">
        <v>3024</v>
      </c>
      <c r="H238" s="3108"/>
      <c r="I238" s="3108"/>
      <c r="J238" s="3108"/>
      <c r="K238" s="3067"/>
      <c r="L238" s="3668"/>
      <c r="M238" s="3669"/>
      <c r="N238" s="3669"/>
      <c r="O238" s="3669"/>
      <c r="P238" s="3670"/>
      <c r="Q238" s="3668"/>
      <c r="R238" s="3669"/>
      <c r="S238" s="3669"/>
      <c r="T238" s="3669"/>
      <c r="U238" s="3670"/>
      <c r="V238" s="3668"/>
      <c r="W238" s="3669"/>
      <c r="X238" s="3669"/>
      <c r="Y238" s="3669"/>
      <c r="Z238" s="3670"/>
      <c r="AA238" s="3668"/>
      <c r="AB238" s="3669"/>
      <c r="AC238" s="3669"/>
      <c r="AD238" s="3669"/>
      <c r="AE238" s="3670"/>
      <c r="AF238" s="3112"/>
      <c r="AG238" s="3671"/>
      <c r="AH238" s="3671"/>
      <c r="AI238" s="3672"/>
      <c r="AJ238" s="3015"/>
    </row>
    <row r="239" spans="2:36" ht="20.100000000000001" customHeight="1">
      <c r="B239" s="3219" t="s">
        <v>2722</v>
      </c>
      <c r="C239" s="3673" t="s">
        <v>3025</v>
      </c>
      <c r="D239" s="3076"/>
      <c r="E239" s="3076"/>
      <c r="F239" s="3564" t="s">
        <v>732</v>
      </c>
      <c r="G239" s="10177" t="s">
        <v>2973</v>
      </c>
      <c r="H239" s="3674" t="s">
        <v>3026</v>
      </c>
      <c r="I239" s="3117"/>
      <c r="J239" s="3118"/>
      <c r="K239" s="3383" t="s">
        <v>734</v>
      </c>
      <c r="L239" s="3675">
        <f t="shared" ref="L239" si="14">L240+L241</f>
        <v>173</v>
      </c>
      <c r="M239" s="3676"/>
      <c r="N239" s="3677">
        <f>N240+N241</f>
        <v>107</v>
      </c>
      <c r="O239" s="3678"/>
      <c r="P239" s="3679">
        <f>P240+P241</f>
        <v>0</v>
      </c>
      <c r="Q239" s="3680">
        <v>1246</v>
      </c>
      <c r="R239" s="3676" t="s">
        <v>801</v>
      </c>
      <c r="S239" s="3680">
        <v>2548</v>
      </c>
      <c r="T239" s="3678"/>
      <c r="U239" s="3679">
        <f>U240+U241</f>
        <v>2016</v>
      </c>
      <c r="V239" s="3675">
        <f>V240+V241</f>
        <v>16</v>
      </c>
      <c r="W239" s="3676"/>
      <c r="X239" s="3677">
        <f>X240+X241</f>
        <v>86</v>
      </c>
      <c r="Y239" s="3678"/>
      <c r="Z239" s="3679">
        <f>Z240+Z241</f>
        <v>0</v>
      </c>
      <c r="AA239" s="3675">
        <f>AA240+AA241</f>
        <v>0</v>
      </c>
      <c r="AB239" s="3676"/>
      <c r="AC239" s="3677">
        <f>AC240+AC241</f>
        <v>0</v>
      </c>
      <c r="AD239" s="3678"/>
      <c r="AE239" s="3679">
        <f>AE240+AE241</f>
        <v>0</v>
      </c>
      <c r="AF239" s="3568"/>
      <c r="AG239" s="3478"/>
      <c r="AH239" s="3468"/>
      <c r="AI239" s="3541" t="s">
        <v>883</v>
      </c>
      <c r="AJ239" s="3015"/>
    </row>
    <row r="240" spans="2:36" ht="19.5" customHeight="1">
      <c r="B240" s="3219" t="s">
        <v>2722</v>
      </c>
      <c r="C240" s="3311"/>
      <c r="D240" s="3242" t="s">
        <v>3027</v>
      </c>
      <c r="E240" s="3242"/>
      <c r="F240" s="3115" t="s">
        <v>732</v>
      </c>
      <c r="G240" s="10178"/>
      <c r="H240" s="3681"/>
      <c r="I240" s="3244" t="s">
        <v>3028</v>
      </c>
      <c r="J240" s="3245"/>
      <c r="K240" s="3119" t="s">
        <v>734</v>
      </c>
      <c r="L240" s="3578">
        <v>173</v>
      </c>
      <c r="M240" s="3575" t="s">
        <v>887</v>
      </c>
      <c r="N240" s="3580">
        <v>107</v>
      </c>
      <c r="O240" s="3575" t="s">
        <v>887</v>
      </c>
      <c r="P240" s="3475"/>
      <c r="Q240" s="3591"/>
      <c r="R240" s="3575" t="s">
        <v>888</v>
      </c>
      <c r="S240" s="3580"/>
      <c r="T240" s="3575" t="s">
        <v>888</v>
      </c>
      <c r="U240" s="3475"/>
      <c r="V240" s="3578">
        <v>16</v>
      </c>
      <c r="W240" s="3575" t="s">
        <v>887</v>
      </c>
      <c r="X240" s="3580">
        <v>86</v>
      </c>
      <c r="Y240" s="3575" t="s">
        <v>887</v>
      </c>
      <c r="Z240" s="3475"/>
      <c r="AA240" s="3472"/>
      <c r="AB240" s="3473"/>
      <c r="AC240" s="3474"/>
      <c r="AD240" s="3473"/>
      <c r="AE240" s="3475"/>
      <c r="AF240" s="3085"/>
      <c r="AG240" s="3478"/>
      <c r="AH240" s="3478"/>
      <c r="AI240" s="3541" t="s">
        <v>883</v>
      </c>
      <c r="AJ240" s="3015"/>
    </row>
    <row r="241" spans="2:36" ht="20.100000000000001" customHeight="1">
      <c r="B241" s="3219" t="s">
        <v>2722</v>
      </c>
      <c r="C241" s="3317"/>
      <c r="D241" s="3682" t="s">
        <v>3029</v>
      </c>
      <c r="E241" s="3674"/>
      <c r="F241" s="3115" t="s">
        <v>732</v>
      </c>
      <c r="G241" s="10178"/>
      <c r="H241" s="3683"/>
      <c r="I241" s="3244" t="s">
        <v>3030</v>
      </c>
      <c r="J241" s="3245"/>
      <c r="K241" s="3119" t="s">
        <v>734</v>
      </c>
      <c r="L241" s="3578">
        <v>0</v>
      </c>
      <c r="M241" s="3473">
        <v>0</v>
      </c>
      <c r="N241" s="3580">
        <v>0</v>
      </c>
      <c r="O241" s="3473">
        <v>0</v>
      </c>
      <c r="P241" s="3475"/>
      <c r="Q241" s="3591">
        <v>1246</v>
      </c>
      <c r="R241" s="3473">
        <v>0</v>
      </c>
      <c r="S241" s="3653">
        <f>S239</f>
        <v>2548</v>
      </c>
      <c r="T241" s="3575">
        <v>0</v>
      </c>
      <c r="U241" s="3653">
        <v>2016</v>
      </c>
      <c r="V241" s="3578">
        <v>0</v>
      </c>
      <c r="W241" s="3473">
        <v>0</v>
      </c>
      <c r="X241" s="3580">
        <v>0</v>
      </c>
      <c r="Y241" s="3473">
        <v>0</v>
      </c>
      <c r="Z241" s="3475"/>
      <c r="AA241" s="3472"/>
      <c r="AB241" s="3473"/>
      <c r="AC241" s="3474"/>
      <c r="AD241" s="3473"/>
      <c r="AE241" s="3475"/>
      <c r="AF241" s="3085"/>
      <c r="AG241" s="3478"/>
      <c r="AH241" s="3478"/>
      <c r="AI241" s="3541" t="s">
        <v>883</v>
      </c>
      <c r="AJ241" s="3015"/>
    </row>
    <row r="242" spans="2:36" ht="20.100000000000001" customHeight="1">
      <c r="B242" s="3219" t="s">
        <v>2722</v>
      </c>
      <c r="C242" s="3684" t="s">
        <v>3031</v>
      </c>
      <c r="D242" s="3685"/>
      <c r="E242" s="3685"/>
      <c r="F242" s="3686" t="s">
        <v>2676</v>
      </c>
      <c r="G242" s="10178"/>
      <c r="H242" s="3687" t="s">
        <v>3032</v>
      </c>
      <c r="I242" s="3596"/>
      <c r="J242" s="3597"/>
      <c r="K242" s="3688" t="s">
        <v>2676</v>
      </c>
      <c r="L242" s="3689"/>
      <c r="M242" s="3603"/>
      <c r="N242" s="3690"/>
      <c r="O242" s="3603"/>
      <c r="P242" s="3602"/>
      <c r="Q242" s="3602">
        <f>Q243+Q244</f>
        <v>1246</v>
      </c>
      <c r="R242" s="3603"/>
      <c r="S242" s="3602">
        <f>S243+S244</f>
        <v>2548</v>
      </c>
      <c r="T242" s="3622"/>
      <c r="U242" s="3602">
        <f>U243+U244</f>
        <v>2016</v>
      </c>
      <c r="V242" s="3689"/>
      <c r="W242" s="3603"/>
      <c r="X242" s="3690"/>
      <c r="Y242" s="3603"/>
      <c r="Z242" s="3602"/>
      <c r="AA242" s="3599"/>
      <c r="AB242" s="3603"/>
      <c r="AC242" s="3601"/>
      <c r="AD242" s="3603"/>
      <c r="AE242" s="3602"/>
      <c r="AF242" s="3604"/>
      <c r="AG242" s="3605"/>
      <c r="AH242" s="3605"/>
      <c r="AI242" s="3606"/>
      <c r="AJ242" s="3015"/>
    </row>
    <row r="243" spans="2:36" ht="20.100000000000001" customHeight="1">
      <c r="B243" s="3219" t="s">
        <v>2722</v>
      </c>
      <c r="C243" s="3607"/>
      <c r="D243" s="3430" t="s">
        <v>2993</v>
      </c>
      <c r="E243" s="3431"/>
      <c r="F243" s="3432" t="s">
        <v>732</v>
      </c>
      <c r="G243" s="10178"/>
      <c r="H243" s="3691"/>
      <c r="I243" s="3692" t="s">
        <v>3033</v>
      </c>
      <c r="J243" s="3693"/>
      <c r="K243" s="3119" t="s">
        <v>734</v>
      </c>
      <c r="L243" s="3578">
        <v>99</v>
      </c>
      <c r="M243" s="3575" t="s">
        <v>748</v>
      </c>
      <c r="N243" s="3580">
        <v>69</v>
      </c>
      <c r="O243" s="3575" t="s">
        <v>748</v>
      </c>
      <c r="P243" s="3475"/>
      <c r="Q243" s="3591">
        <v>566</v>
      </c>
      <c r="R243" s="3575" t="s">
        <v>801</v>
      </c>
      <c r="S243" s="3653">
        <v>1235</v>
      </c>
      <c r="T243" s="3575" t="s">
        <v>801</v>
      </c>
      <c r="U243" s="3577">
        <v>964</v>
      </c>
      <c r="V243" s="3578">
        <v>7</v>
      </c>
      <c r="W243" s="3575" t="s">
        <v>751</v>
      </c>
      <c r="X243" s="3580">
        <v>41</v>
      </c>
      <c r="Y243" s="3575" t="s">
        <v>751</v>
      </c>
      <c r="Z243" s="3475"/>
      <c r="AA243" s="3472"/>
      <c r="AB243" s="3473"/>
      <c r="AC243" s="3474"/>
      <c r="AD243" s="3473"/>
      <c r="AE243" s="3475"/>
      <c r="AF243" s="3085"/>
      <c r="AG243" s="3478"/>
      <c r="AH243" s="3478"/>
      <c r="AI243" s="3541" t="s">
        <v>892</v>
      </c>
      <c r="AJ243" s="3015"/>
    </row>
    <row r="244" spans="2:36" ht="20.100000000000001" customHeight="1">
      <c r="B244" s="3219" t="s">
        <v>2722</v>
      </c>
      <c r="C244" s="3612"/>
      <c r="D244" s="3430" t="s">
        <v>2995</v>
      </c>
      <c r="E244" s="3431"/>
      <c r="F244" s="3432" t="s">
        <v>732</v>
      </c>
      <c r="G244" s="10178"/>
      <c r="H244" s="3260"/>
      <c r="I244" s="3692" t="s">
        <v>3034</v>
      </c>
      <c r="J244" s="3693"/>
      <c r="K244" s="3119" t="s">
        <v>734</v>
      </c>
      <c r="L244" s="3578">
        <v>74</v>
      </c>
      <c r="M244" s="3575" t="s">
        <v>748</v>
      </c>
      <c r="N244" s="3580">
        <v>38</v>
      </c>
      <c r="O244" s="3575" t="s">
        <v>748</v>
      </c>
      <c r="P244" s="3475"/>
      <c r="Q244" s="3591">
        <v>680</v>
      </c>
      <c r="R244" s="3575" t="s">
        <v>801</v>
      </c>
      <c r="S244" s="3653">
        <v>1313</v>
      </c>
      <c r="T244" s="3575" t="s">
        <v>801</v>
      </c>
      <c r="U244" s="3577">
        <v>1052</v>
      </c>
      <c r="V244" s="3578">
        <v>9</v>
      </c>
      <c r="W244" s="3575" t="s">
        <v>751</v>
      </c>
      <c r="X244" s="3580">
        <v>45</v>
      </c>
      <c r="Y244" s="3575" t="s">
        <v>751</v>
      </c>
      <c r="Z244" s="3475"/>
      <c r="AA244" s="3472"/>
      <c r="AB244" s="3473"/>
      <c r="AC244" s="3474"/>
      <c r="AD244" s="3473"/>
      <c r="AE244" s="3475"/>
      <c r="AF244" s="3085"/>
      <c r="AG244" s="3478"/>
      <c r="AH244" s="3478"/>
      <c r="AI244" s="3541" t="s">
        <v>892</v>
      </c>
      <c r="AJ244" s="3015"/>
    </row>
    <row r="245" spans="2:36" ht="20.100000000000001" customHeight="1">
      <c r="B245" s="3219" t="s">
        <v>2722</v>
      </c>
      <c r="C245" s="3684" t="s">
        <v>3035</v>
      </c>
      <c r="D245" s="3685"/>
      <c r="E245" s="3685"/>
      <c r="F245" s="3686" t="s">
        <v>2676</v>
      </c>
      <c r="G245" s="10178"/>
      <c r="H245" s="3694" t="s">
        <v>3036</v>
      </c>
      <c r="I245" s="3694"/>
      <c r="J245" s="3694"/>
      <c r="K245" s="3688" t="s">
        <v>2676</v>
      </c>
      <c r="L245" s="3689"/>
      <c r="M245" s="3622"/>
      <c r="N245" s="3690"/>
      <c r="O245" s="3622"/>
      <c r="P245" s="3602"/>
      <c r="Q245" s="3602">
        <f>SUM(Q246:Q248)</f>
        <v>1246</v>
      </c>
      <c r="R245" s="3622"/>
      <c r="S245" s="3602">
        <f>SUM(S246:S248)</f>
        <v>2548</v>
      </c>
      <c r="T245" s="3622"/>
      <c r="U245" s="3602">
        <f>SUM(U246:U248)</f>
        <v>2016</v>
      </c>
      <c r="V245" s="3689"/>
      <c r="W245" s="3622"/>
      <c r="X245" s="3690"/>
      <c r="Y245" s="3622"/>
      <c r="Z245" s="3602"/>
      <c r="AA245" s="3599"/>
      <c r="AB245" s="3603"/>
      <c r="AC245" s="3601"/>
      <c r="AD245" s="3603"/>
      <c r="AE245" s="3602"/>
      <c r="AF245" s="3604"/>
      <c r="AG245" s="3605"/>
      <c r="AH245" s="3605"/>
      <c r="AI245" s="3606"/>
      <c r="AJ245" s="3015"/>
    </row>
    <row r="246" spans="2:36" ht="20.100000000000001" customHeight="1">
      <c r="B246" s="3219" t="s">
        <v>2722</v>
      </c>
      <c r="D246" s="3430" t="s">
        <v>3005</v>
      </c>
      <c r="E246" s="3431"/>
      <c r="F246" s="3432" t="s">
        <v>732</v>
      </c>
      <c r="G246" s="10178"/>
      <c r="H246" s="3691"/>
      <c r="I246" s="3692" t="s">
        <v>3037</v>
      </c>
      <c r="J246" s="3693"/>
      <c r="K246" s="3119" t="s">
        <v>734</v>
      </c>
      <c r="L246" s="3578">
        <v>97</v>
      </c>
      <c r="M246" s="3575" t="s">
        <v>748</v>
      </c>
      <c r="N246" s="3580">
        <v>46</v>
      </c>
      <c r="O246" s="3575" t="s">
        <v>748</v>
      </c>
      <c r="P246" s="3475"/>
      <c r="Q246" s="3591">
        <v>1225</v>
      </c>
      <c r="R246" s="3575" t="s">
        <v>801</v>
      </c>
      <c r="S246" s="3653">
        <v>2512</v>
      </c>
      <c r="T246" s="3575" t="s">
        <v>801</v>
      </c>
      <c r="U246" s="3577">
        <v>1993</v>
      </c>
      <c r="V246" s="3578">
        <v>9</v>
      </c>
      <c r="W246" s="3575" t="s">
        <v>751</v>
      </c>
      <c r="X246" s="3580">
        <v>54</v>
      </c>
      <c r="Y246" s="3575" t="s">
        <v>751</v>
      </c>
      <c r="Z246" s="3475"/>
      <c r="AA246" s="3472"/>
      <c r="AB246" s="3473"/>
      <c r="AC246" s="3474"/>
      <c r="AD246" s="3473"/>
      <c r="AE246" s="3475"/>
      <c r="AF246" s="3085"/>
      <c r="AG246" s="3478"/>
      <c r="AH246" s="3478"/>
      <c r="AI246" s="3541" t="s">
        <v>899</v>
      </c>
      <c r="AJ246" s="3015"/>
    </row>
    <row r="247" spans="2:36" ht="20.100000000000001" customHeight="1">
      <c r="B247" s="3219" t="s">
        <v>2722</v>
      </c>
      <c r="C247" s="3611"/>
      <c r="D247" s="3430" t="s">
        <v>3007</v>
      </c>
      <c r="E247" s="3431"/>
      <c r="F247" s="3432" t="s">
        <v>732</v>
      </c>
      <c r="G247" s="10178"/>
      <c r="H247" s="3256"/>
      <c r="I247" s="3692" t="s">
        <v>3038</v>
      </c>
      <c r="J247" s="3693"/>
      <c r="K247" s="3119" t="s">
        <v>734</v>
      </c>
      <c r="L247" s="3578">
        <v>76</v>
      </c>
      <c r="M247" s="3575" t="s">
        <v>748</v>
      </c>
      <c r="N247" s="3580">
        <v>61</v>
      </c>
      <c r="O247" s="3575" t="s">
        <v>748</v>
      </c>
      <c r="P247" s="3475"/>
      <c r="Q247" s="3591">
        <v>21</v>
      </c>
      <c r="R247" s="3575" t="s">
        <v>801</v>
      </c>
      <c r="S247" s="3653">
        <v>36</v>
      </c>
      <c r="T247" s="3575" t="s">
        <v>801</v>
      </c>
      <c r="U247" s="3577">
        <v>23</v>
      </c>
      <c r="V247" s="3578">
        <v>7</v>
      </c>
      <c r="W247" s="3575" t="s">
        <v>751</v>
      </c>
      <c r="X247" s="3580">
        <v>30</v>
      </c>
      <c r="Y247" s="3575" t="s">
        <v>751</v>
      </c>
      <c r="Z247" s="3475"/>
      <c r="AA247" s="3472"/>
      <c r="AB247" s="3473"/>
      <c r="AC247" s="3474"/>
      <c r="AD247" s="3473"/>
      <c r="AE247" s="3475"/>
      <c r="AF247" s="3085"/>
      <c r="AG247" s="3478"/>
      <c r="AH247" s="3478"/>
      <c r="AI247" s="3541" t="s">
        <v>899</v>
      </c>
      <c r="AJ247" s="3015"/>
    </row>
    <row r="248" spans="2:36" ht="20.100000000000001" customHeight="1">
      <c r="B248" s="3219" t="s">
        <v>2722</v>
      </c>
      <c r="C248" s="3612"/>
      <c r="D248" s="3430" t="s">
        <v>3009</v>
      </c>
      <c r="E248" s="3431"/>
      <c r="F248" s="3432" t="s">
        <v>732</v>
      </c>
      <c r="G248" s="10178"/>
      <c r="H248" s="3260"/>
      <c r="I248" s="3692" t="s">
        <v>3039</v>
      </c>
      <c r="J248" s="3693"/>
      <c r="K248" s="3119" t="s">
        <v>734</v>
      </c>
      <c r="L248" s="3578">
        <v>0</v>
      </c>
      <c r="M248" s="3575" t="s">
        <v>748</v>
      </c>
      <c r="N248" s="3580">
        <v>0</v>
      </c>
      <c r="O248" s="3575" t="s">
        <v>748</v>
      </c>
      <c r="P248" s="3475"/>
      <c r="Q248" s="3591"/>
      <c r="R248" s="3575" t="s">
        <v>801</v>
      </c>
      <c r="S248" s="3653"/>
      <c r="T248" s="3575" t="s">
        <v>801</v>
      </c>
      <c r="U248" s="3475">
        <v>0</v>
      </c>
      <c r="V248" s="3578">
        <v>0</v>
      </c>
      <c r="W248" s="3575" t="s">
        <v>751</v>
      </c>
      <c r="X248" s="3580">
        <v>2</v>
      </c>
      <c r="Y248" s="3575" t="s">
        <v>751</v>
      </c>
      <c r="Z248" s="3475"/>
      <c r="AA248" s="3472"/>
      <c r="AB248" s="3473"/>
      <c r="AC248" s="3474"/>
      <c r="AD248" s="3473"/>
      <c r="AE248" s="3475"/>
      <c r="AF248" s="3085"/>
      <c r="AG248" s="3478"/>
      <c r="AH248" s="3478"/>
      <c r="AI248" s="3541" t="s">
        <v>899</v>
      </c>
      <c r="AJ248" s="3015"/>
    </row>
    <row r="249" spans="2:36" ht="20.100000000000001" hidden="1" customHeight="1">
      <c r="B249" s="3695"/>
      <c r="C249" s="3263" t="s">
        <v>3040</v>
      </c>
      <c r="D249" s="3652"/>
      <c r="E249" s="3652"/>
      <c r="F249" s="3432" t="s">
        <v>2708</v>
      </c>
      <c r="G249" s="10178"/>
      <c r="H249" s="3431" t="s">
        <v>3041</v>
      </c>
      <c r="I249" s="3329"/>
      <c r="J249" s="3330"/>
      <c r="K249" s="3141" t="s">
        <v>734</v>
      </c>
      <c r="L249" s="3578">
        <v>0</v>
      </c>
      <c r="M249" s="3696">
        <v>0</v>
      </c>
      <c r="N249" s="3580">
        <v>0</v>
      </c>
      <c r="O249" s="3696">
        <v>0</v>
      </c>
      <c r="P249" s="3697"/>
      <c r="Q249" s="3578"/>
      <c r="R249" s="3696">
        <v>0</v>
      </c>
      <c r="S249" s="3580"/>
      <c r="T249" s="3696">
        <v>0</v>
      </c>
      <c r="U249" s="3697"/>
      <c r="V249" s="3578">
        <v>0</v>
      </c>
      <c r="W249" s="3696">
        <v>0</v>
      </c>
      <c r="X249" s="3580">
        <v>0</v>
      </c>
      <c r="Y249" s="3696">
        <v>0</v>
      </c>
      <c r="Z249" s="3697"/>
      <c r="AA249" s="3698"/>
      <c r="AB249" s="3696"/>
      <c r="AC249" s="3699"/>
      <c r="AD249" s="3696"/>
      <c r="AE249" s="3697"/>
      <c r="AF249" s="3085"/>
      <c r="AG249" s="3478"/>
      <c r="AH249" s="3478"/>
      <c r="AI249" s="3541" t="s">
        <v>3042</v>
      </c>
      <c r="AJ249" s="3015"/>
    </row>
    <row r="250" spans="2:36" ht="20.100000000000001" customHeight="1">
      <c r="B250" s="3219" t="s">
        <v>2722</v>
      </c>
      <c r="C250" s="3700" t="s">
        <v>3043</v>
      </c>
      <c r="D250" s="3504"/>
      <c r="E250" s="3504"/>
      <c r="F250" s="3255" t="s">
        <v>2708</v>
      </c>
      <c r="G250" s="10178"/>
      <c r="H250" s="3694" t="s">
        <v>3044</v>
      </c>
      <c r="I250" s="3694"/>
      <c r="J250" s="3694"/>
      <c r="K250" s="3688" t="s">
        <v>3045</v>
      </c>
      <c r="L250" s="3701">
        <f t="shared" ref="L250" si="15">L251+L252</f>
        <v>437</v>
      </c>
      <c r="M250" s="3473"/>
      <c r="N250" s="3702">
        <f>N251+N252</f>
        <v>231</v>
      </c>
      <c r="O250" s="3473"/>
      <c r="P250" s="3703">
        <f>P251+P252</f>
        <v>0</v>
      </c>
      <c r="Q250" s="3703">
        <f>Q251+Q252</f>
        <v>1241</v>
      </c>
      <c r="R250" s="3473"/>
      <c r="S250" s="3703">
        <f>S251+S252</f>
        <v>2122</v>
      </c>
      <c r="T250" s="3473"/>
      <c r="U250" s="3703">
        <f>U251+U252</f>
        <v>2050</v>
      </c>
      <c r="V250" s="3701">
        <f>V251+V252</f>
        <v>103</v>
      </c>
      <c r="W250" s="3473"/>
      <c r="X250" s="3702">
        <f>X251+X252</f>
        <v>74</v>
      </c>
      <c r="Y250" s="3473"/>
      <c r="Z250" s="3703">
        <f>Z251+Z252</f>
        <v>0</v>
      </c>
      <c r="AA250" s="3701">
        <f>AA251+AA252</f>
        <v>0</v>
      </c>
      <c r="AB250" s="3473"/>
      <c r="AC250" s="3702">
        <f>AC251+AC252</f>
        <v>0</v>
      </c>
      <c r="AD250" s="3473"/>
      <c r="AE250" s="3703">
        <f>AE251+AE252</f>
        <v>0</v>
      </c>
      <c r="AF250" s="3085"/>
      <c r="AG250" s="3478"/>
      <c r="AH250" s="3478"/>
      <c r="AI250" s="3541" t="s">
        <v>919</v>
      </c>
      <c r="AJ250" s="3015"/>
    </row>
    <row r="251" spans="2:36" ht="20.100000000000001" customHeight="1">
      <c r="B251" s="3219" t="s">
        <v>2722</v>
      </c>
      <c r="C251" s="3704"/>
      <c r="D251" s="3430" t="s">
        <v>3046</v>
      </c>
      <c r="E251" s="3431"/>
      <c r="F251" s="3255" t="s">
        <v>2708</v>
      </c>
      <c r="G251" s="10178"/>
      <c r="H251" s="3691"/>
      <c r="I251" s="3692" t="s">
        <v>3047</v>
      </c>
      <c r="J251" s="3693"/>
      <c r="K251" s="3094" t="s">
        <v>734</v>
      </c>
      <c r="L251" s="3578">
        <v>202</v>
      </c>
      <c r="M251" s="3575" t="s">
        <v>748</v>
      </c>
      <c r="N251" s="3580">
        <v>84</v>
      </c>
      <c r="O251" s="3575" t="s">
        <v>748</v>
      </c>
      <c r="P251" s="3475"/>
      <c r="Q251" s="3591">
        <v>1212</v>
      </c>
      <c r="R251" s="3575" t="s">
        <v>801</v>
      </c>
      <c r="S251" s="3653">
        <v>2112</v>
      </c>
      <c r="T251" s="3575" t="s">
        <v>801</v>
      </c>
      <c r="U251" s="3577">
        <v>2038</v>
      </c>
      <c r="V251" s="3578">
        <v>103</v>
      </c>
      <c r="W251" s="3575" t="s">
        <v>751</v>
      </c>
      <c r="X251" s="3580">
        <v>74</v>
      </c>
      <c r="Y251" s="3575" t="s">
        <v>751</v>
      </c>
      <c r="Z251" s="3475"/>
      <c r="AA251" s="3472"/>
      <c r="AB251" s="3473"/>
      <c r="AC251" s="3474"/>
      <c r="AD251" s="3473"/>
      <c r="AE251" s="3475"/>
      <c r="AF251" s="3085"/>
      <c r="AG251" s="3478"/>
      <c r="AH251" s="3478"/>
      <c r="AI251" s="3541" t="s">
        <v>3048</v>
      </c>
      <c r="AJ251" s="3015"/>
    </row>
    <row r="252" spans="2:36" ht="20.100000000000001" customHeight="1">
      <c r="B252" s="3219" t="s">
        <v>2722</v>
      </c>
      <c r="C252" s="3705"/>
      <c r="D252" s="3430" t="s">
        <v>3049</v>
      </c>
      <c r="E252" s="3431"/>
      <c r="F252" s="3255" t="s">
        <v>2708</v>
      </c>
      <c r="G252" s="10178"/>
      <c r="H252" s="3260"/>
      <c r="I252" s="3692" t="s">
        <v>3050</v>
      </c>
      <c r="J252" s="3693"/>
      <c r="K252" s="3094" t="s">
        <v>734</v>
      </c>
      <c r="L252" s="3578">
        <v>235</v>
      </c>
      <c r="M252" s="3575" t="s">
        <v>748</v>
      </c>
      <c r="N252" s="3580">
        <v>147</v>
      </c>
      <c r="O252" s="3575" t="s">
        <v>748</v>
      </c>
      <c r="P252" s="3475"/>
      <c r="Q252" s="3591">
        <v>29</v>
      </c>
      <c r="R252" s="3575" t="s">
        <v>801</v>
      </c>
      <c r="S252" s="3653">
        <v>10</v>
      </c>
      <c r="T252" s="3575" t="s">
        <v>801</v>
      </c>
      <c r="U252" s="3577">
        <v>12</v>
      </c>
      <c r="V252" s="3578">
        <v>0</v>
      </c>
      <c r="W252" s="3575" t="s">
        <v>751</v>
      </c>
      <c r="X252" s="3580">
        <v>0</v>
      </c>
      <c r="Y252" s="3575" t="s">
        <v>751</v>
      </c>
      <c r="Z252" s="3475"/>
      <c r="AA252" s="3472"/>
      <c r="AB252" s="3473"/>
      <c r="AC252" s="3474"/>
      <c r="AD252" s="3473"/>
      <c r="AE252" s="3475"/>
      <c r="AF252" s="3085"/>
      <c r="AG252" s="3478"/>
      <c r="AH252" s="3478"/>
      <c r="AI252" s="3541" t="s">
        <v>919</v>
      </c>
      <c r="AJ252" s="3015"/>
    </row>
    <row r="253" spans="2:36" ht="20.100000000000001" customHeight="1">
      <c r="B253" s="3219" t="s">
        <v>2722</v>
      </c>
      <c r="C253" s="3706" t="s">
        <v>3051</v>
      </c>
      <c r="D253" s="3614"/>
      <c r="E253" s="3614"/>
      <c r="F253" s="3686" t="s">
        <v>2676</v>
      </c>
      <c r="G253" s="10178"/>
      <c r="H253" s="3687" t="s">
        <v>3052</v>
      </c>
      <c r="I253" s="3707"/>
      <c r="J253" s="3707"/>
      <c r="K253" s="3688" t="s">
        <v>2676</v>
      </c>
      <c r="L253" s="3689"/>
      <c r="M253" s="3622"/>
      <c r="N253" s="3690"/>
      <c r="O253" s="3622"/>
      <c r="P253" s="3602"/>
      <c r="Q253" s="3689"/>
      <c r="R253" s="3622"/>
      <c r="S253" s="3690"/>
      <c r="T253" s="3622"/>
      <c r="U253" s="3602"/>
      <c r="V253" s="3689"/>
      <c r="W253" s="3622"/>
      <c r="X253" s="3690"/>
      <c r="Y253" s="3622"/>
      <c r="Z253" s="3602"/>
      <c r="AA253" s="3599"/>
      <c r="AB253" s="3603"/>
      <c r="AC253" s="3601"/>
      <c r="AD253" s="3603"/>
      <c r="AE253" s="3602"/>
      <c r="AF253" s="3604"/>
      <c r="AG253" s="3605"/>
      <c r="AH253" s="3605"/>
      <c r="AI253" s="3606"/>
      <c r="AJ253" s="3015"/>
    </row>
    <row r="254" spans="2:36" ht="20.100000000000001" customHeight="1">
      <c r="B254" s="3219" t="s">
        <v>2722</v>
      </c>
      <c r="C254" s="3708"/>
      <c r="D254" s="3430" t="s">
        <v>2993</v>
      </c>
      <c r="E254" s="3431"/>
      <c r="F254" s="3255" t="s">
        <v>2688</v>
      </c>
      <c r="G254" s="10178"/>
      <c r="H254" s="3691"/>
      <c r="I254" s="3430" t="s">
        <v>3053</v>
      </c>
      <c r="J254" s="3709"/>
      <c r="K254" s="3094" t="s">
        <v>2688</v>
      </c>
      <c r="L254" s="3472"/>
      <c r="M254" s="3473"/>
      <c r="N254" s="3474"/>
      <c r="O254" s="3473"/>
      <c r="P254" s="3475"/>
      <c r="Q254" s="3630">
        <v>0.48679867986798681</v>
      </c>
      <c r="R254" s="3575" t="s">
        <v>801</v>
      </c>
      <c r="S254" s="3631">
        <v>0.47916666666666669</v>
      </c>
      <c r="T254" s="3575" t="s">
        <v>801</v>
      </c>
      <c r="U254" s="3632">
        <v>0.48527968596663396</v>
      </c>
      <c r="V254" s="3472"/>
      <c r="W254" s="3473"/>
      <c r="X254" s="3474"/>
      <c r="Y254" s="3473"/>
      <c r="Z254" s="3475"/>
      <c r="AA254" s="3472"/>
      <c r="AB254" s="3473"/>
      <c r="AC254" s="3474"/>
      <c r="AD254" s="3473"/>
      <c r="AE254" s="3475"/>
      <c r="AF254" s="3085"/>
      <c r="AG254" s="3478"/>
      <c r="AH254" s="3478"/>
      <c r="AI254" s="3541" t="s">
        <v>927</v>
      </c>
      <c r="AJ254" s="3015"/>
    </row>
    <row r="255" spans="2:36" ht="20.100000000000001" customHeight="1">
      <c r="B255" s="3219" t="s">
        <v>2722</v>
      </c>
      <c r="C255" s="3710"/>
      <c r="D255" s="3430" t="s">
        <v>2995</v>
      </c>
      <c r="E255" s="3431"/>
      <c r="F255" s="3255" t="s">
        <v>2688</v>
      </c>
      <c r="G255" s="10178"/>
      <c r="H255" s="3256"/>
      <c r="I255" s="3430" t="s">
        <v>3054</v>
      </c>
      <c r="J255" s="3709"/>
      <c r="K255" s="3094" t="s">
        <v>2688</v>
      </c>
      <c r="L255" s="3472"/>
      <c r="M255" s="3473"/>
      <c r="N255" s="3474"/>
      <c r="O255" s="3473"/>
      <c r="P255" s="3475"/>
      <c r="Q255" s="3630">
        <v>0.51320132013201325</v>
      </c>
      <c r="R255" s="3575" t="s">
        <v>801</v>
      </c>
      <c r="S255" s="3631">
        <v>0.52083333333333337</v>
      </c>
      <c r="T255" s="3575" t="s">
        <v>801</v>
      </c>
      <c r="U255" s="3632">
        <v>0.51472031403336604</v>
      </c>
      <c r="V255" s="3472"/>
      <c r="W255" s="3473"/>
      <c r="X255" s="3474"/>
      <c r="Y255" s="3473"/>
      <c r="Z255" s="3475"/>
      <c r="AA255" s="3472"/>
      <c r="AB255" s="3473"/>
      <c r="AC255" s="3474"/>
      <c r="AD255" s="3473"/>
      <c r="AE255" s="3475"/>
      <c r="AF255" s="3085"/>
      <c r="AG255" s="3478"/>
      <c r="AH255" s="3478"/>
      <c r="AI255" s="3541" t="s">
        <v>927</v>
      </c>
      <c r="AJ255" s="3015"/>
    </row>
    <row r="256" spans="2:36" ht="20.100000000000001" customHeight="1">
      <c r="B256" s="3219" t="s">
        <v>2722</v>
      </c>
      <c r="C256" s="3710"/>
      <c r="D256" s="3430" t="s">
        <v>3005</v>
      </c>
      <c r="E256" s="3431"/>
      <c r="F256" s="3255" t="s">
        <v>2688</v>
      </c>
      <c r="G256" s="10178"/>
      <c r="H256" s="3256"/>
      <c r="I256" s="3430" t="s">
        <v>3055</v>
      </c>
      <c r="J256" s="3709"/>
      <c r="K256" s="3094" t="s">
        <v>2688</v>
      </c>
      <c r="L256" s="3472"/>
      <c r="M256" s="3473"/>
      <c r="N256" s="3474"/>
      <c r="O256" s="3473"/>
      <c r="P256" s="3475"/>
      <c r="Q256" s="3630">
        <v>0.93151815181518149</v>
      </c>
      <c r="R256" s="3575" t="s">
        <v>801</v>
      </c>
      <c r="S256" s="3631">
        <v>0.9726672950047125</v>
      </c>
      <c r="T256" s="3575" t="s">
        <v>801</v>
      </c>
      <c r="U256" s="3632">
        <v>0.97644749754661431</v>
      </c>
      <c r="V256" s="3472"/>
      <c r="W256" s="3473"/>
      <c r="X256" s="3474"/>
      <c r="Y256" s="3473"/>
      <c r="Z256" s="3475"/>
      <c r="AA256" s="3472"/>
      <c r="AB256" s="3473"/>
      <c r="AC256" s="3474"/>
      <c r="AD256" s="3473"/>
      <c r="AE256" s="3475"/>
      <c r="AF256" s="3085"/>
      <c r="AG256" s="3478"/>
      <c r="AH256" s="3478"/>
      <c r="AI256" s="3541" t="s">
        <v>927</v>
      </c>
      <c r="AJ256" s="3015"/>
    </row>
    <row r="257" spans="2:36" ht="20.100000000000001" customHeight="1">
      <c r="B257" s="3219" t="s">
        <v>2722</v>
      </c>
      <c r="C257" s="3710"/>
      <c r="D257" s="3430" t="s">
        <v>3007</v>
      </c>
      <c r="E257" s="3431"/>
      <c r="F257" s="3255" t="s">
        <v>2688</v>
      </c>
      <c r="G257" s="10178"/>
      <c r="H257" s="3256"/>
      <c r="I257" s="3430" t="s">
        <v>3056</v>
      </c>
      <c r="J257" s="3709"/>
      <c r="K257" s="3094" t="s">
        <v>2688</v>
      </c>
      <c r="L257" s="3472"/>
      <c r="M257" s="3473"/>
      <c r="N257" s="3474"/>
      <c r="O257" s="3473"/>
      <c r="P257" s="3475"/>
      <c r="Q257" s="3630">
        <v>6.8481848184818478E-2</v>
      </c>
      <c r="R257" s="3575" t="s">
        <v>801</v>
      </c>
      <c r="S257" s="3631">
        <v>2.6861451460885956E-2</v>
      </c>
      <c r="T257" s="3575" t="s">
        <v>801</v>
      </c>
      <c r="U257" s="3632">
        <v>2.3552502453385672E-2</v>
      </c>
      <c r="V257" s="3472"/>
      <c r="W257" s="3473"/>
      <c r="X257" s="3474"/>
      <c r="Y257" s="3473"/>
      <c r="Z257" s="3475"/>
      <c r="AA257" s="3472"/>
      <c r="AB257" s="3473"/>
      <c r="AC257" s="3474"/>
      <c r="AD257" s="3473"/>
      <c r="AE257" s="3475"/>
      <c r="AF257" s="3085"/>
      <c r="AG257" s="3478"/>
      <c r="AH257" s="3478"/>
      <c r="AI257" s="3541" t="s">
        <v>927</v>
      </c>
      <c r="AJ257" s="3015"/>
    </row>
    <row r="258" spans="2:36" ht="20.100000000000001" customHeight="1">
      <c r="B258" s="3219" t="s">
        <v>2722</v>
      </c>
      <c r="C258" s="3711"/>
      <c r="D258" s="3430" t="s">
        <v>3009</v>
      </c>
      <c r="E258" s="3431"/>
      <c r="F258" s="3255" t="s">
        <v>2688</v>
      </c>
      <c r="G258" s="10178"/>
      <c r="H258" s="3260"/>
      <c r="I258" s="3430" t="s">
        <v>3057</v>
      </c>
      <c r="J258" s="3709"/>
      <c r="K258" s="3094" t="s">
        <v>2688</v>
      </c>
      <c r="L258" s="3472"/>
      <c r="M258" s="3473"/>
      <c r="N258" s="3474"/>
      <c r="O258" s="3473"/>
      <c r="P258" s="3475"/>
      <c r="Q258" s="3712"/>
      <c r="R258" s="3575" t="s">
        <v>801</v>
      </c>
      <c r="S258" s="3631">
        <v>4.71253534401508E-4</v>
      </c>
      <c r="T258" s="3575" t="s">
        <v>801</v>
      </c>
      <c r="U258" s="3632">
        <v>0</v>
      </c>
      <c r="V258" s="3472"/>
      <c r="W258" s="3473"/>
      <c r="X258" s="3474"/>
      <c r="Y258" s="3473"/>
      <c r="Z258" s="3475"/>
      <c r="AA258" s="3472"/>
      <c r="AB258" s="3473"/>
      <c r="AC258" s="3474"/>
      <c r="AD258" s="3473"/>
      <c r="AE258" s="3475"/>
      <c r="AF258" s="3085"/>
      <c r="AG258" s="3478"/>
      <c r="AH258" s="3478"/>
      <c r="AI258" s="3541" t="s">
        <v>927</v>
      </c>
      <c r="AJ258" s="3015"/>
    </row>
    <row r="259" spans="2:36" ht="20.100000000000001" customHeight="1">
      <c r="B259" s="3219" t="s">
        <v>2722</v>
      </c>
      <c r="C259" s="3706" t="s">
        <v>3058</v>
      </c>
      <c r="D259" s="3614"/>
      <c r="E259" s="3614"/>
      <c r="F259" s="3686" t="s">
        <v>2676</v>
      </c>
      <c r="G259" s="10178"/>
      <c r="H259" s="3687" t="s">
        <v>3059</v>
      </c>
      <c r="I259" s="3713"/>
      <c r="J259" s="3707"/>
      <c r="K259" s="3688" t="s">
        <v>2676</v>
      </c>
      <c r="L259" s="3291"/>
      <c r="M259" s="3365"/>
      <c r="N259" s="3292"/>
      <c r="O259" s="3365"/>
      <c r="P259" s="3290"/>
      <c r="Q259" s="3291"/>
      <c r="R259" s="3365"/>
      <c r="S259" s="3292"/>
      <c r="T259" s="3365"/>
      <c r="U259" s="3290"/>
      <c r="V259" s="3291"/>
      <c r="W259" s="3365"/>
      <c r="X259" s="3292"/>
      <c r="Y259" s="3365"/>
      <c r="Z259" s="3290"/>
      <c r="AA259" s="3291"/>
      <c r="AB259" s="3365"/>
      <c r="AC259" s="3292"/>
      <c r="AD259" s="3365"/>
      <c r="AE259" s="3290"/>
      <c r="AF259" s="3604"/>
      <c r="AG259" s="3605"/>
      <c r="AH259" s="3605"/>
      <c r="AI259" s="3606"/>
      <c r="AJ259" s="3015"/>
    </row>
    <row r="260" spans="2:36" ht="20.100000000000001" customHeight="1">
      <c r="B260" s="3219" t="s">
        <v>2722</v>
      </c>
      <c r="C260" s="3708"/>
      <c r="D260" s="3430" t="s">
        <v>2993</v>
      </c>
      <c r="E260" s="3431"/>
      <c r="F260" s="3255" t="s">
        <v>2688</v>
      </c>
      <c r="G260" s="10178"/>
      <c r="H260" s="3691"/>
      <c r="I260" s="3430" t="s">
        <v>3053</v>
      </c>
      <c r="J260" s="3709"/>
      <c r="K260" s="3094" t="s">
        <v>2688</v>
      </c>
      <c r="L260" s="3239"/>
      <c r="M260" s="3258"/>
      <c r="N260" s="3086"/>
      <c r="O260" s="3258"/>
      <c r="P260" s="3238"/>
      <c r="Q260" s="3714">
        <v>0.51724137931034486</v>
      </c>
      <c r="R260" s="3575" t="s">
        <v>801</v>
      </c>
      <c r="S260" s="3715">
        <v>0.6</v>
      </c>
      <c r="T260" s="3575" t="s">
        <v>801</v>
      </c>
      <c r="U260" s="3716">
        <v>0.75</v>
      </c>
      <c r="V260" s="3239"/>
      <c r="W260" s="3258"/>
      <c r="X260" s="3086"/>
      <c r="Y260" s="3258"/>
      <c r="Z260" s="3238"/>
      <c r="AA260" s="3239"/>
      <c r="AB260" s="3258"/>
      <c r="AC260" s="3086"/>
      <c r="AD260" s="3258"/>
      <c r="AE260" s="3238"/>
      <c r="AF260" s="3085"/>
      <c r="AG260" s="3478"/>
      <c r="AH260" s="3478"/>
      <c r="AI260" s="3541" t="s">
        <v>919</v>
      </c>
      <c r="AJ260" s="3015"/>
    </row>
    <row r="261" spans="2:36" ht="20.100000000000001" customHeight="1">
      <c r="B261" s="3219" t="s">
        <v>2722</v>
      </c>
      <c r="C261" s="3710"/>
      <c r="D261" s="3430" t="s">
        <v>2995</v>
      </c>
      <c r="E261" s="3431"/>
      <c r="F261" s="3255" t="s">
        <v>2688</v>
      </c>
      <c r="G261" s="10178"/>
      <c r="H261" s="3256"/>
      <c r="I261" s="3430" t="s">
        <v>3054</v>
      </c>
      <c r="J261" s="3709"/>
      <c r="K261" s="3094" t="s">
        <v>2688</v>
      </c>
      <c r="L261" s="3239"/>
      <c r="M261" s="3258"/>
      <c r="N261" s="3086"/>
      <c r="O261" s="3258"/>
      <c r="P261" s="3238"/>
      <c r="Q261" s="3714">
        <v>0.48275862068965519</v>
      </c>
      <c r="R261" s="3575" t="s">
        <v>801</v>
      </c>
      <c r="S261" s="3715">
        <v>0.4</v>
      </c>
      <c r="T261" s="3575" t="s">
        <v>801</v>
      </c>
      <c r="U261" s="3716">
        <v>0.25</v>
      </c>
      <c r="V261" s="3239"/>
      <c r="W261" s="3258"/>
      <c r="X261" s="3086"/>
      <c r="Y261" s="3258"/>
      <c r="Z261" s="3238"/>
      <c r="AA261" s="3239"/>
      <c r="AB261" s="3258"/>
      <c r="AC261" s="3086"/>
      <c r="AD261" s="3258"/>
      <c r="AE261" s="3238"/>
      <c r="AF261" s="3085"/>
      <c r="AG261" s="3478"/>
      <c r="AH261" s="3478"/>
      <c r="AI261" s="3541" t="s">
        <v>919</v>
      </c>
      <c r="AJ261" s="3015"/>
    </row>
    <row r="262" spans="2:36" ht="20.100000000000001" customHeight="1">
      <c r="B262" s="3219" t="s">
        <v>2722</v>
      </c>
      <c r="C262" s="3710"/>
      <c r="D262" s="3430" t="s">
        <v>3005</v>
      </c>
      <c r="E262" s="3431"/>
      <c r="F262" s="3255" t="s">
        <v>2688</v>
      </c>
      <c r="G262" s="10178"/>
      <c r="H262" s="3256"/>
      <c r="I262" s="3430" t="s">
        <v>3055</v>
      </c>
      <c r="J262" s="3709"/>
      <c r="K262" s="3094" t="s">
        <v>2688</v>
      </c>
      <c r="L262" s="3239"/>
      <c r="M262" s="3258"/>
      <c r="N262" s="3086"/>
      <c r="O262" s="3258"/>
      <c r="P262" s="3238"/>
      <c r="Q262" s="3714">
        <v>0.51724137931034486</v>
      </c>
      <c r="R262" s="3575" t="s">
        <v>801</v>
      </c>
      <c r="S262" s="3715">
        <v>0.8</v>
      </c>
      <c r="T262" s="3575" t="s">
        <v>801</v>
      </c>
      <c r="U262" s="3716">
        <v>0.5</v>
      </c>
      <c r="V262" s="3239"/>
      <c r="W262" s="3258"/>
      <c r="X262" s="3086"/>
      <c r="Y262" s="3258"/>
      <c r="Z262" s="3238"/>
      <c r="AA262" s="3239"/>
      <c r="AB262" s="3258"/>
      <c r="AC262" s="3086"/>
      <c r="AD262" s="3258"/>
      <c r="AE262" s="3238"/>
      <c r="AF262" s="3085"/>
      <c r="AG262" s="3478"/>
      <c r="AH262" s="3478"/>
      <c r="AI262" s="3541" t="s">
        <v>919</v>
      </c>
      <c r="AJ262" s="3015"/>
    </row>
    <row r="263" spans="2:36" ht="20.100000000000001" customHeight="1">
      <c r="B263" s="3219" t="s">
        <v>2722</v>
      </c>
      <c r="C263" s="3717"/>
      <c r="D263" s="3682" t="s">
        <v>3007</v>
      </c>
      <c r="E263" s="3674"/>
      <c r="F263" s="3090" t="s">
        <v>2688</v>
      </c>
      <c r="G263" s="10178"/>
      <c r="H263" s="3256"/>
      <c r="I263" s="3682" t="s">
        <v>3056</v>
      </c>
      <c r="J263" s="3709"/>
      <c r="K263" s="3094" t="s">
        <v>2688</v>
      </c>
      <c r="L263" s="3239"/>
      <c r="M263" s="3258"/>
      <c r="N263" s="3086"/>
      <c r="O263" s="3258"/>
      <c r="P263" s="3238"/>
      <c r="Q263" s="3714">
        <v>0.48275862068965519</v>
      </c>
      <c r="R263" s="3575" t="s">
        <v>801</v>
      </c>
      <c r="S263" s="3715">
        <v>0.2</v>
      </c>
      <c r="T263" s="3575" t="s">
        <v>801</v>
      </c>
      <c r="U263" s="3716">
        <v>0.5</v>
      </c>
      <c r="V263" s="3239"/>
      <c r="W263" s="3258"/>
      <c r="X263" s="3086"/>
      <c r="Y263" s="3258"/>
      <c r="Z263" s="3238"/>
      <c r="AA263" s="3239"/>
      <c r="AB263" s="3258"/>
      <c r="AC263" s="3086"/>
      <c r="AD263" s="3258"/>
      <c r="AE263" s="3238"/>
      <c r="AF263" s="3085"/>
      <c r="AG263" s="3478"/>
      <c r="AH263" s="3478"/>
      <c r="AI263" s="3541" t="s">
        <v>919</v>
      </c>
      <c r="AJ263" s="3015"/>
    </row>
    <row r="264" spans="2:36" ht="20.100000000000001" customHeight="1" thickBot="1">
      <c r="B264" s="3219" t="s">
        <v>2722</v>
      </c>
      <c r="C264" s="3718"/>
      <c r="D264" s="3682" t="s">
        <v>3009</v>
      </c>
      <c r="E264" s="3674"/>
      <c r="F264" s="3659" t="s">
        <v>2688</v>
      </c>
      <c r="G264" s="10179"/>
      <c r="H264" s="3719"/>
      <c r="I264" s="3720" t="s">
        <v>3057</v>
      </c>
      <c r="J264" s="3721"/>
      <c r="K264" s="3662" t="s">
        <v>2688</v>
      </c>
      <c r="L264" s="3514"/>
      <c r="M264" s="3515"/>
      <c r="N264" s="3516"/>
      <c r="O264" s="3515"/>
      <c r="P264" s="3517"/>
      <c r="Q264" s="3722">
        <v>0</v>
      </c>
      <c r="R264" s="3575" t="s">
        <v>801</v>
      </c>
      <c r="S264" s="3723">
        <v>0</v>
      </c>
      <c r="T264" s="3575" t="s">
        <v>801</v>
      </c>
      <c r="U264" s="3716">
        <v>0</v>
      </c>
      <c r="V264" s="3514"/>
      <c r="W264" s="3515"/>
      <c r="X264" s="3516"/>
      <c r="Y264" s="3515"/>
      <c r="Z264" s="3517"/>
      <c r="AA264" s="3514"/>
      <c r="AB264" s="3515"/>
      <c r="AC264" s="3516"/>
      <c r="AD264" s="3515"/>
      <c r="AE264" s="3517"/>
      <c r="AF264" s="3724"/>
      <c r="AG264" s="3478"/>
      <c r="AH264" s="3518"/>
      <c r="AI264" s="3541" t="s">
        <v>919</v>
      </c>
      <c r="AJ264" s="3015"/>
    </row>
    <row r="265" spans="2:36" ht="27" thickBot="1">
      <c r="B265" s="3219" t="s">
        <v>2722</v>
      </c>
      <c r="C265" s="3105" t="s">
        <v>3060</v>
      </c>
      <c r="D265" s="3106"/>
      <c r="E265" s="3106"/>
      <c r="F265" s="3067"/>
      <c r="G265" s="3107" t="s">
        <v>3061</v>
      </c>
      <c r="H265" s="3108"/>
      <c r="I265" s="3725"/>
      <c r="J265" s="3725"/>
      <c r="K265" s="3067"/>
      <c r="L265" s="3129"/>
      <c r="M265" s="3130"/>
      <c r="N265" s="3130"/>
      <c r="O265" s="3130"/>
      <c r="P265" s="3131"/>
      <c r="Q265" s="3129"/>
      <c r="R265" s="3130"/>
      <c r="S265" s="3130"/>
      <c r="T265" s="3130"/>
      <c r="U265" s="3131"/>
      <c r="V265" s="3129"/>
      <c r="W265" s="3130"/>
      <c r="X265" s="3130"/>
      <c r="Y265" s="3130"/>
      <c r="Z265" s="3131"/>
      <c r="AA265" s="3129"/>
      <c r="AB265" s="3130"/>
      <c r="AC265" s="3130"/>
      <c r="AD265" s="3130"/>
      <c r="AE265" s="3131"/>
      <c r="AF265" s="3112"/>
      <c r="AG265" s="3069"/>
      <c r="AH265" s="3069"/>
      <c r="AI265" s="3726"/>
      <c r="AJ265" s="3015"/>
    </row>
    <row r="266" spans="2:36" ht="20.100000000000001" hidden="1" customHeight="1" thickBot="1">
      <c r="B266" s="3219" t="s">
        <v>2722</v>
      </c>
      <c r="C266" s="3727" t="s">
        <v>3062</v>
      </c>
      <c r="D266" s="3728"/>
      <c r="E266" s="3729"/>
      <c r="F266" s="3730" t="s">
        <v>2921</v>
      </c>
      <c r="G266" s="3731"/>
      <c r="H266" s="3732" t="s">
        <v>3063</v>
      </c>
      <c r="I266" s="3732"/>
      <c r="J266" s="3733"/>
      <c r="K266" s="3734" t="s">
        <v>559</v>
      </c>
      <c r="L266" s="3735">
        <v>0</v>
      </c>
      <c r="M266" s="3736">
        <v>0</v>
      </c>
      <c r="N266" s="3737">
        <v>0</v>
      </c>
      <c r="O266" s="3736">
        <v>0</v>
      </c>
      <c r="P266" s="3738"/>
      <c r="Q266" s="3735"/>
      <c r="R266" s="3736">
        <v>0</v>
      </c>
      <c r="S266" s="3737">
        <v>0</v>
      </c>
      <c r="T266" s="3736">
        <v>0</v>
      </c>
      <c r="U266" s="3738"/>
      <c r="V266" s="3735">
        <v>0</v>
      </c>
      <c r="W266" s="3736">
        <v>0</v>
      </c>
      <c r="X266" s="3737">
        <v>0</v>
      </c>
      <c r="Y266" s="3736">
        <v>0</v>
      </c>
      <c r="Z266" s="3738"/>
      <c r="AA266" s="3739"/>
      <c r="AB266" s="3736"/>
      <c r="AC266" s="3740"/>
      <c r="AD266" s="3736"/>
      <c r="AE266" s="3738"/>
      <c r="AF266" s="3568"/>
      <c r="AG266" s="3468"/>
      <c r="AH266" s="3741"/>
      <c r="AI266" s="3742" t="s">
        <v>3064</v>
      </c>
      <c r="AJ266" s="3015"/>
    </row>
    <row r="267" spans="2:36" ht="20.100000000000001" hidden="1" customHeight="1">
      <c r="B267" s="3219" t="s">
        <v>2722</v>
      </c>
      <c r="C267" s="3727" t="s">
        <v>3065</v>
      </c>
      <c r="D267" s="3728"/>
      <c r="E267" s="3729"/>
      <c r="F267" s="3255" t="s">
        <v>2921</v>
      </c>
      <c r="G267" s="3743"/>
      <c r="H267" s="3732" t="s">
        <v>3066</v>
      </c>
      <c r="I267" s="3732"/>
      <c r="J267" s="3733"/>
      <c r="K267" s="3140" t="s">
        <v>559</v>
      </c>
      <c r="L267" s="3744">
        <v>0</v>
      </c>
      <c r="M267" s="3424">
        <v>0</v>
      </c>
      <c r="N267" s="3745">
        <v>0</v>
      </c>
      <c r="O267" s="3424">
        <v>0</v>
      </c>
      <c r="P267" s="3238"/>
      <c r="Q267" s="3744"/>
      <c r="R267" s="3424">
        <v>0</v>
      </c>
      <c r="S267" s="3745">
        <v>0</v>
      </c>
      <c r="T267" s="3424">
        <v>0</v>
      </c>
      <c r="U267" s="3238"/>
      <c r="V267" s="3744">
        <v>0</v>
      </c>
      <c r="W267" s="3424">
        <v>0</v>
      </c>
      <c r="X267" s="3745">
        <v>0</v>
      </c>
      <c r="Y267" s="3424">
        <v>0</v>
      </c>
      <c r="Z267" s="3238"/>
      <c r="AA267" s="3239"/>
      <c r="AB267" s="3424"/>
      <c r="AC267" s="3086"/>
      <c r="AD267" s="3424"/>
      <c r="AE267" s="3238"/>
      <c r="AF267" s="3085"/>
      <c r="AG267" s="3478"/>
      <c r="AH267" s="3746"/>
      <c r="AI267" s="3747" t="s">
        <v>3067</v>
      </c>
      <c r="AJ267" s="3015"/>
    </row>
    <row r="268" spans="2:36" ht="20.100000000000001" customHeight="1">
      <c r="B268" s="3241" t="s">
        <v>2722</v>
      </c>
      <c r="C268" s="3727" t="s">
        <v>3068</v>
      </c>
      <c r="D268" s="3728"/>
      <c r="E268" s="3729"/>
      <c r="F268" s="3255" t="s">
        <v>2676</v>
      </c>
      <c r="G268" s="3748"/>
      <c r="H268" s="3732" t="s">
        <v>3069</v>
      </c>
      <c r="I268" s="3732"/>
      <c r="J268" s="3733"/>
      <c r="K268" s="3749" t="s">
        <v>2676</v>
      </c>
      <c r="L268" s="3744"/>
      <c r="M268" s="3424"/>
      <c r="N268" s="3745"/>
      <c r="O268" s="3424"/>
      <c r="P268" s="3238"/>
      <c r="Q268" s="3744"/>
      <c r="R268" s="3424"/>
      <c r="S268" s="3745"/>
      <c r="T268" s="3424"/>
      <c r="U268" s="3238"/>
      <c r="V268" s="3744"/>
      <c r="W268" s="3424"/>
      <c r="X268" s="3745"/>
      <c r="Y268" s="3424"/>
      <c r="Z268" s="3238"/>
      <c r="AA268" s="3239"/>
      <c r="AB268" s="3424"/>
      <c r="AC268" s="3086"/>
      <c r="AD268" s="3424"/>
      <c r="AE268" s="3238"/>
      <c r="AF268" s="3085"/>
      <c r="AG268" s="3478"/>
      <c r="AH268" s="3746"/>
      <c r="AI268" s="3750" t="s">
        <v>3070</v>
      </c>
      <c r="AJ268" s="3015"/>
    </row>
    <row r="269" spans="2:36" ht="20.100000000000001" hidden="1" customHeight="1">
      <c r="B269" s="3219" t="s">
        <v>2722</v>
      </c>
      <c r="C269" s="3751" t="s">
        <v>3071</v>
      </c>
      <c r="D269" s="3752"/>
      <c r="E269" s="3752"/>
      <c r="F269" s="3255" t="s">
        <v>2688</v>
      </c>
      <c r="G269" s="3748"/>
      <c r="H269" s="3732" t="s">
        <v>3072</v>
      </c>
      <c r="I269" s="3732"/>
      <c r="J269" s="3733"/>
      <c r="K269" s="3753" t="s">
        <v>2688</v>
      </c>
      <c r="L269" s="3754" t="str">
        <f t="shared" ref="L269" si="16">IFERROR(L270/L271*100,"-")</f>
        <v>-</v>
      </c>
      <c r="M269" s="3696"/>
      <c r="N269" s="3755" t="str">
        <f>IFERROR(N270/N271*100,"-")</f>
        <v>-</v>
      </c>
      <c r="O269" s="3696"/>
      <c r="P269" s="3756" t="str">
        <f>IFERROR(P270/P271*100,"-")</f>
        <v>-</v>
      </c>
      <c r="Q269" s="3754"/>
      <c r="R269" s="3696"/>
      <c r="S269" s="3755">
        <f>IFERROR(S270/S271*100,"-")</f>
        <v>26.343154246100518</v>
      </c>
      <c r="T269" s="3696"/>
      <c r="U269" s="3756" t="str">
        <f>IFERROR(U270/U271*100,"-")</f>
        <v>-</v>
      </c>
      <c r="V269" s="3754">
        <f>IFERROR(V270/V271*100,"-")</f>
        <v>100</v>
      </c>
      <c r="W269" s="3696"/>
      <c r="X269" s="3755">
        <f>IFERROR(X270/X271*100,"-")</f>
        <v>0</v>
      </c>
      <c r="Y269" s="3696"/>
      <c r="Z269" s="3756" t="str">
        <f>IFERROR(Z270/Z271*100,"-")</f>
        <v>-</v>
      </c>
      <c r="AA269" s="3754" t="str">
        <f>IFERROR(AA270/AA271*100,"-")</f>
        <v>-</v>
      </c>
      <c r="AB269" s="3696"/>
      <c r="AC269" s="3755" t="str">
        <f>IFERROR(AC270/AC271*100,"-")</f>
        <v>-</v>
      </c>
      <c r="AD269" s="3696"/>
      <c r="AE269" s="3756" t="str">
        <f>IFERROR(AE270/AE271*100,"-")</f>
        <v>-</v>
      </c>
      <c r="AF269" s="3085"/>
      <c r="AG269" s="3478"/>
      <c r="AH269" s="3746"/>
      <c r="AI269" s="3757" t="s">
        <v>3073</v>
      </c>
      <c r="AJ269" s="3015"/>
    </row>
    <row r="270" spans="2:36" ht="20.100000000000001" hidden="1" customHeight="1">
      <c r="B270" s="3219" t="s">
        <v>2722</v>
      </c>
      <c r="C270" s="3758"/>
      <c r="D270" s="3759" t="s">
        <v>3074</v>
      </c>
      <c r="E270" s="3752"/>
      <c r="F270" s="3255" t="s">
        <v>2708</v>
      </c>
      <c r="G270" s="3743"/>
      <c r="H270" s="3760"/>
      <c r="I270" s="3733" t="s">
        <v>3075</v>
      </c>
      <c r="J270" s="3733"/>
      <c r="K270" s="3753" t="s">
        <v>734</v>
      </c>
      <c r="L270" s="3578">
        <v>0</v>
      </c>
      <c r="M270" s="3696">
        <v>0</v>
      </c>
      <c r="N270" s="3580">
        <v>0</v>
      </c>
      <c r="O270" s="3696">
        <v>0</v>
      </c>
      <c r="P270" s="3475"/>
      <c r="Q270" s="3578"/>
      <c r="R270" s="3761" t="s">
        <v>2422</v>
      </c>
      <c r="S270" s="3580">
        <v>152</v>
      </c>
      <c r="T270" s="3761" t="s">
        <v>2423</v>
      </c>
      <c r="U270" s="3475"/>
      <c r="V270" s="3578">
        <v>379</v>
      </c>
      <c r="W270" s="3762" t="s">
        <v>2424</v>
      </c>
      <c r="X270" s="3580">
        <v>0</v>
      </c>
      <c r="Y270" s="3761" t="s">
        <v>2425</v>
      </c>
      <c r="Z270" s="3475"/>
      <c r="AA270" s="3472"/>
      <c r="AB270" s="3696"/>
      <c r="AC270" s="3474"/>
      <c r="AD270" s="3696"/>
      <c r="AE270" s="3475"/>
      <c r="AF270" s="3085"/>
      <c r="AG270" s="3478"/>
      <c r="AH270" s="3746"/>
      <c r="AI270" s="3763" t="s">
        <v>3073</v>
      </c>
      <c r="AJ270" s="3015"/>
    </row>
    <row r="271" spans="2:36" ht="20.100000000000001" hidden="1" customHeight="1">
      <c r="B271" s="3219" t="s">
        <v>2722</v>
      </c>
      <c r="C271" s="3764"/>
      <c r="D271" s="3759" t="s">
        <v>3076</v>
      </c>
      <c r="E271" s="3752"/>
      <c r="F271" s="3255" t="s">
        <v>2708</v>
      </c>
      <c r="G271" s="3743"/>
      <c r="H271" s="3765"/>
      <c r="I271" s="3733" t="s">
        <v>3077</v>
      </c>
      <c r="J271" s="3733"/>
      <c r="K271" s="3753" t="s">
        <v>734</v>
      </c>
      <c r="L271" s="3578">
        <v>0</v>
      </c>
      <c r="M271" s="3696">
        <v>0</v>
      </c>
      <c r="N271" s="3580">
        <v>0</v>
      </c>
      <c r="O271" s="3696">
        <v>0</v>
      </c>
      <c r="P271" s="3475"/>
      <c r="Q271" s="3578"/>
      <c r="R271" s="3696">
        <v>0</v>
      </c>
      <c r="S271" s="3580">
        <v>577</v>
      </c>
      <c r="T271" s="3696">
        <v>0</v>
      </c>
      <c r="U271" s="3475"/>
      <c r="V271" s="3578">
        <v>379</v>
      </c>
      <c r="W271" s="3696">
        <v>0</v>
      </c>
      <c r="X271" s="3580">
        <v>391</v>
      </c>
      <c r="Y271" s="3696">
        <v>0</v>
      </c>
      <c r="Z271" s="3475"/>
      <c r="AA271" s="3472"/>
      <c r="AB271" s="3696"/>
      <c r="AC271" s="3474"/>
      <c r="AD271" s="3696"/>
      <c r="AE271" s="3475"/>
      <c r="AF271" s="3085"/>
      <c r="AG271" s="3478"/>
      <c r="AH271" s="3746"/>
      <c r="AI271" s="3763" t="s">
        <v>3073</v>
      </c>
      <c r="AJ271" s="3015"/>
    </row>
    <row r="272" spans="2:36" ht="20.100000000000001" hidden="1" customHeight="1">
      <c r="B272" s="3219" t="s">
        <v>2722</v>
      </c>
      <c r="C272" s="3751" t="s">
        <v>3078</v>
      </c>
      <c r="D272" s="3752"/>
      <c r="E272" s="3752"/>
      <c r="F272" s="3255" t="s">
        <v>2688</v>
      </c>
      <c r="G272" s="3358"/>
      <c r="H272" s="3122" t="s">
        <v>3079</v>
      </c>
      <c r="I272" s="3122"/>
      <c r="J272" s="3155"/>
      <c r="K272" s="3753" t="s">
        <v>2688</v>
      </c>
      <c r="L272" s="3766" t="str">
        <f t="shared" ref="L272" si="17">IFERROR(L273/L274*100,"-")</f>
        <v>-</v>
      </c>
      <c r="M272" s="3424"/>
      <c r="N272" s="3767" t="str">
        <f>IFERROR(N273/N274*100,"-")</f>
        <v>-</v>
      </c>
      <c r="O272" s="3424"/>
      <c r="P272" s="3768" t="str">
        <f>IFERROR(P273/P274*100,"-")</f>
        <v>-</v>
      </c>
      <c r="Q272" s="3766"/>
      <c r="R272" s="3424"/>
      <c r="S272" s="3767">
        <f>IFERROR(S273/S274*100,"-")</f>
        <v>0</v>
      </c>
      <c r="T272" s="3424"/>
      <c r="U272" s="3768" t="str">
        <f>IFERROR(U273/U274*100,"-")</f>
        <v>-</v>
      </c>
      <c r="V272" s="3766">
        <f>IFERROR(V273/V274*100,"-")</f>
        <v>0</v>
      </c>
      <c r="W272" s="3424"/>
      <c r="X272" s="3767">
        <f>IFERROR(X273/X274*100,"-")</f>
        <v>0</v>
      </c>
      <c r="Y272" s="3424"/>
      <c r="Z272" s="3768" t="str">
        <f>IFERROR(Z273/Z274*100,"-")</f>
        <v>-</v>
      </c>
      <c r="AA272" s="3766" t="str">
        <f>IFERROR(AA273/AA274*100,"-")</f>
        <v>-</v>
      </c>
      <c r="AB272" s="3424"/>
      <c r="AC272" s="3767" t="str">
        <f>IFERROR(AC273/AC274*100,"-")</f>
        <v>-</v>
      </c>
      <c r="AD272" s="3424"/>
      <c r="AE272" s="3768" t="str">
        <f>IFERROR(AE273/AE274*100,"-")</f>
        <v>-</v>
      </c>
      <c r="AF272" s="3085"/>
      <c r="AG272" s="3478"/>
      <c r="AH272" s="3746"/>
      <c r="AI272" s="3763" t="s">
        <v>3080</v>
      </c>
      <c r="AJ272" s="3015"/>
    </row>
    <row r="273" spans="2:36" ht="20.100000000000001" hidden="1" customHeight="1">
      <c r="B273" s="3219" t="s">
        <v>2722</v>
      </c>
      <c r="C273" s="3708"/>
      <c r="D273" s="3759" t="s">
        <v>3081</v>
      </c>
      <c r="E273" s="3752"/>
      <c r="F273" s="3255" t="s">
        <v>2708</v>
      </c>
      <c r="G273" s="3173"/>
      <c r="H273" s="3769"/>
      <c r="I273" s="3471" t="s">
        <v>3082</v>
      </c>
      <c r="J273" s="3471"/>
      <c r="K273" s="3753" t="s">
        <v>734</v>
      </c>
      <c r="L273" s="3578">
        <v>0</v>
      </c>
      <c r="M273" s="3696">
        <v>0</v>
      </c>
      <c r="N273" s="3580">
        <v>0</v>
      </c>
      <c r="O273" s="3696">
        <v>0</v>
      </c>
      <c r="P273" s="3475"/>
      <c r="Q273" s="3578"/>
      <c r="R273" s="3696">
        <v>0</v>
      </c>
      <c r="S273" s="3580">
        <v>0</v>
      </c>
      <c r="T273" s="3696">
        <v>0</v>
      </c>
      <c r="U273" s="3475"/>
      <c r="V273" s="3578">
        <v>0</v>
      </c>
      <c r="W273" s="3761" t="s">
        <v>2429</v>
      </c>
      <c r="X273" s="3580">
        <v>0</v>
      </c>
      <c r="Y273" s="3761" t="s">
        <v>2429</v>
      </c>
      <c r="Z273" s="3475"/>
      <c r="AA273" s="3472"/>
      <c r="AB273" s="3696"/>
      <c r="AC273" s="3474"/>
      <c r="AD273" s="3696"/>
      <c r="AE273" s="3475"/>
      <c r="AF273" s="3085"/>
      <c r="AG273" s="3478"/>
      <c r="AH273" s="3770"/>
      <c r="AI273" s="3763" t="s">
        <v>3080</v>
      </c>
      <c r="AJ273" s="3015"/>
    </row>
    <row r="274" spans="2:36" ht="20.100000000000001" hidden="1" customHeight="1">
      <c r="B274" s="3219" t="s">
        <v>2722</v>
      </c>
      <c r="C274" s="3711"/>
      <c r="D274" s="3752" t="s">
        <v>3083</v>
      </c>
      <c r="E274" s="3771"/>
      <c r="F274" s="3255" t="s">
        <v>2708</v>
      </c>
      <c r="G274" s="3173"/>
      <c r="H274" s="3503"/>
      <c r="I274" s="3471" t="s">
        <v>3084</v>
      </c>
      <c r="J274" s="3471"/>
      <c r="K274" s="3753" t="s">
        <v>734</v>
      </c>
      <c r="L274" s="3578">
        <v>0</v>
      </c>
      <c r="M274" s="3696">
        <v>0</v>
      </c>
      <c r="N274" s="3580">
        <v>0</v>
      </c>
      <c r="O274" s="3696">
        <v>0</v>
      </c>
      <c r="P274" s="3475"/>
      <c r="Q274" s="3578"/>
      <c r="R274" s="3696">
        <v>0</v>
      </c>
      <c r="S274" s="3580">
        <v>577</v>
      </c>
      <c r="T274" s="3696">
        <v>0</v>
      </c>
      <c r="U274" s="3475"/>
      <c r="V274" s="3578">
        <v>379</v>
      </c>
      <c r="W274" s="3761">
        <v>0</v>
      </c>
      <c r="X274" s="3580">
        <v>391</v>
      </c>
      <c r="Y274" s="3761">
        <v>0</v>
      </c>
      <c r="Z274" s="3475"/>
      <c r="AA274" s="3472"/>
      <c r="AB274" s="3696"/>
      <c r="AC274" s="3474"/>
      <c r="AD274" s="3696"/>
      <c r="AE274" s="3475"/>
      <c r="AF274" s="3085"/>
      <c r="AG274" s="3772"/>
      <c r="AH274" s="3478"/>
      <c r="AI274" s="3763" t="s">
        <v>3080</v>
      </c>
      <c r="AJ274" s="3015"/>
    </row>
    <row r="275" spans="2:36" ht="20.100000000000001" customHeight="1">
      <c r="B275" s="3773" t="s">
        <v>2722</v>
      </c>
      <c r="C275" s="3774" t="s">
        <v>3085</v>
      </c>
      <c r="D275" s="3092"/>
      <c r="E275" s="3092"/>
      <c r="F275" s="3255" t="s">
        <v>2688</v>
      </c>
      <c r="G275" s="10180" t="s">
        <v>3086</v>
      </c>
      <c r="H275" s="3471" t="s">
        <v>3087</v>
      </c>
      <c r="I275" s="3471"/>
      <c r="J275" s="3461"/>
      <c r="K275" s="3081" t="s">
        <v>2688</v>
      </c>
      <c r="L275" s="3775"/>
      <c r="M275" s="3776"/>
      <c r="N275" s="3777"/>
      <c r="O275" s="3776"/>
      <c r="P275" s="3778"/>
      <c r="Q275" s="3779">
        <f>Q276/Q213</f>
        <v>0.12234042553191489</v>
      </c>
      <c r="R275" s="3780" t="s">
        <v>1005</v>
      </c>
      <c r="S275" s="3779">
        <f>S276/S213</f>
        <v>0.15771230502599654</v>
      </c>
      <c r="T275" s="3780" t="s">
        <v>1005</v>
      </c>
      <c r="U275" s="3779">
        <f>U276/U213</f>
        <v>0.16783216783216784</v>
      </c>
      <c r="V275" s="3775"/>
      <c r="W275" s="3776"/>
      <c r="X275" s="3777"/>
      <c r="Y275" s="3776"/>
      <c r="Z275" s="3778"/>
      <c r="AA275" s="3775"/>
      <c r="AB275" s="3776"/>
      <c r="AC275" s="3777"/>
      <c r="AD275" s="3776"/>
      <c r="AE275" s="3778"/>
      <c r="AF275" s="3609"/>
      <c r="AG275" s="3478"/>
      <c r="AH275" s="3781"/>
      <c r="AI275" s="3763" t="s">
        <v>1003</v>
      </c>
      <c r="AJ275" s="3015"/>
    </row>
    <row r="276" spans="2:36" ht="20.100000000000001" customHeight="1">
      <c r="B276" s="3773" t="s">
        <v>2722</v>
      </c>
      <c r="C276" s="3249" t="s">
        <v>3088</v>
      </c>
      <c r="D276" s="3089"/>
      <c r="E276" s="3089"/>
      <c r="F276" s="3782" t="s">
        <v>2708</v>
      </c>
      <c r="G276" s="10181"/>
      <c r="H276" s="3125" t="s">
        <v>3089</v>
      </c>
      <c r="I276" s="3125"/>
      <c r="K276" s="3783" t="s">
        <v>734</v>
      </c>
      <c r="L276" s="3784"/>
      <c r="M276" s="3785"/>
      <c r="N276" s="3786"/>
      <c r="O276" s="3785"/>
      <c r="P276" s="3787"/>
      <c r="Q276" s="3591">
        <v>69</v>
      </c>
      <c r="R276" s="3473" t="s">
        <v>1009</v>
      </c>
      <c r="S276" s="3653">
        <v>91</v>
      </c>
      <c r="T276" s="3473" t="s">
        <v>1009</v>
      </c>
      <c r="U276" s="3577">
        <v>96</v>
      </c>
      <c r="V276" s="3784"/>
      <c r="W276" s="3785"/>
      <c r="X276" s="3786"/>
      <c r="Y276" s="3785"/>
      <c r="Z276" s="3787"/>
      <c r="AA276" s="3784"/>
      <c r="AB276" s="3785"/>
      <c r="AC276" s="3786"/>
      <c r="AD276" s="3785"/>
      <c r="AE276" s="3787"/>
      <c r="AF276" s="3085"/>
      <c r="AG276" s="3478"/>
      <c r="AH276" s="3788"/>
      <c r="AI276" s="3763" t="s">
        <v>1003</v>
      </c>
      <c r="AJ276" s="3015"/>
    </row>
    <row r="277" spans="2:36" ht="20.100000000000001" customHeight="1" thickBot="1">
      <c r="B277" s="3219" t="s">
        <v>2722</v>
      </c>
      <c r="C277" s="3789" t="s">
        <v>3090</v>
      </c>
      <c r="D277" s="3102"/>
      <c r="E277" s="3102"/>
      <c r="F277" s="3790" t="s">
        <v>3091</v>
      </c>
      <c r="G277" s="3791"/>
      <c r="H277" s="3792" t="s">
        <v>3092</v>
      </c>
      <c r="I277" s="3792"/>
      <c r="J277" s="3471"/>
      <c r="K277" s="3793" t="s">
        <v>3093</v>
      </c>
      <c r="L277" s="3794"/>
      <c r="M277" s="3795"/>
      <c r="N277" s="3796"/>
      <c r="O277" s="3795"/>
      <c r="P277" s="3666"/>
      <c r="Q277" s="3794"/>
      <c r="R277" s="3795"/>
      <c r="S277" s="3796"/>
      <c r="T277" s="3795"/>
      <c r="U277" s="3666"/>
      <c r="V277" s="3794"/>
      <c r="W277" s="3795"/>
      <c r="X277" s="3796"/>
      <c r="Y277" s="3795"/>
      <c r="Z277" s="3666"/>
      <c r="AA277" s="3663"/>
      <c r="AB277" s="3664"/>
      <c r="AC277" s="3665"/>
      <c r="AD277" s="3664"/>
      <c r="AE277" s="3666"/>
      <c r="AF277" s="3724"/>
      <c r="AG277" s="3478"/>
      <c r="AH277" s="3478"/>
      <c r="AI277" s="3248" t="s">
        <v>3094</v>
      </c>
      <c r="AJ277" s="3015"/>
    </row>
    <row r="278" spans="2:36" s="3810" customFormat="1" ht="27" thickBot="1">
      <c r="B278" s="3797" t="s">
        <v>2722</v>
      </c>
      <c r="C278" s="3798" t="s">
        <v>3095</v>
      </c>
      <c r="D278" s="3799"/>
      <c r="E278" s="3799"/>
      <c r="F278" s="3800"/>
      <c r="G278" s="3801" t="s">
        <v>3096</v>
      </c>
      <c r="H278" s="3802"/>
      <c r="I278" s="3802"/>
      <c r="J278" s="3802"/>
      <c r="K278" s="3800"/>
      <c r="L278" s="3803"/>
      <c r="M278" s="3804"/>
      <c r="N278" s="3804"/>
      <c r="O278" s="3804"/>
      <c r="P278" s="3805"/>
      <c r="Q278" s="3803"/>
      <c r="R278" s="3804"/>
      <c r="S278" s="3804"/>
      <c r="T278" s="3804"/>
      <c r="U278" s="3805"/>
      <c r="V278" s="3803"/>
      <c r="W278" s="3804"/>
      <c r="X278" s="3804"/>
      <c r="Y278" s="3804"/>
      <c r="Z278" s="3805"/>
      <c r="AA278" s="3803"/>
      <c r="AB278" s="3804"/>
      <c r="AC278" s="3804"/>
      <c r="AD278" s="3804"/>
      <c r="AE278" s="3805"/>
      <c r="AF278" s="3806"/>
      <c r="AG278" s="3807"/>
      <c r="AH278" s="3807"/>
      <c r="AI278" s="3808"/>
      <c r="AJ278" s="3809"/>
    </row>
    <row r="279" spans="2:36" s="3810" customFormat="1" ht="20.100000000000001" customHeight="1">
      <c r="B279" s="3797" t="s">
        <v>2722</v>
      </c>
      <c r="C279" s="3811" t="s">
        <v>3097</v>
      </c>
      <c r="D279" s="3812"/>
      <c r="E279" s="3812"/>
      <c r="F279" s="3813" t="s">
        <v>1636</v>
      </c>
      <c r="G279" s="3814"/>
      <c r="H279" s="3815" t="s">
        <v>3098</v>
      </c>
      <c r="I279" s="3815"/>
      <c r="J279" s="3816"/>
      <c r="K279" s="3817" t="s">
        <v>1831</v>
      </c>
      <c r="L279" s="3818">
        <f t="shared" ref="L279" si="18">IFERROR(L280/L281,"-")</f>
        <v>2.8823529411764706</v>
      </c>
      <c r="M279" s="3819"/>
      <c r="N279" s="3820">
        <f>IFERROR(N280/N281,"-")</f>
        <v>1.2893289328932893</v>
      </c>
      <c r="O279" s="3819"/>
      <c r="P279" s="3821" t="str">
        <f>IFERROR(P280/P281,"-")</f>
        <v>-</v>
      </c>
      <c r="Q279" s="3818">
        <f>IFERROR(Q280/Q281,"-")</f>
        <v>1.1507092198581561</v>
      </c>
      <c r="R279" s="3819"/>
      <c r="S279" s="3820">
        <f>IFERROR(S280/S281,"-")</f>
        <v>1.0797227036395147</v>
      </c>
      <c r="T279" s="3819"/>
      <c r="U279" s="3821">
        <f>IFERROR(U280/U281,"-")</f>
        <v>1.3601398601398602</v>
      </c>
      <c r="V279" s="3818">
        <f>IFERROR(V280/V281,"-")</f>
        <v>2.079155672823219</v>
      </c>
      <c r="W279" s="3819"/>
      <c r="X279" s="3820">
        <f>IFERROR(X280/X281,"-")</f>
        <v>8.1892583120204598</v>
      </c>
      <c r="Y279" s="3819"/>
      <c r="Z279" s="3822"/>
      <c r="AA279" s="3823"/>
      <c r="AB279" s="3819"/>
      <c r="AC279" s="3824"/>
      <c r="AD279" s="3819"/>
      <c r="AE279" s="3822"/>
      <c r="AF279" s="3825"/>
      <c r="AG279" s="3826"/>
      <c r="AH279" s="3826"/>
      <c r="AI279" s="3827" t="s">
        <v>3099</v>
      </c>
      <c r="AJ279" s="3809"/>
    </row>
    <row r="280" spans="2:36" s="3810" customFormat="1" ht="20.100000000000001" customHeight="1">
      <c r="B280" s="3797" t="s">
        <v>2722</v>
      </c>
      <c r="C280" s="3828"/>
      <c r="D280" s="10164" t="s">
        <v>3100</v>
      </c>
      <c r="E280" s="10165"/>
      <c r="F280" s="3829" t="s">
        <v>3101</v>
      </c>
      <c r="G280" s="3830"/>
      <c r="H280" s="3831"/>
      <c r="I280" s="3832" t="s">
        <v>3102</v>
      </c>
      <c r="J280" s="3833"/>
      <c r="K280" s="3834" t="s">
        <v>1831</v>
      </c>
      <c r="L280" s="3835">
        <v>3038</v>
      </c>
      <c r="M280" s="3836" t="s">
        <v>1028</v>
      </c>
      <c r="N280" s="3837">
        <v>1172</v>
      </c>
      <c r="O280" s="3836" t="s">
        <v>1029</v>
      </c>
      <c r="P280" s="3838"/>
      <c r="Q280" s="3835">
        <v>649</v>
      </c>
      <c r="R280" s="3839">
        <v>0</v>
      </c>
      <c r="S280" s="3837">
        <v>623</v>
      </c>
      <c r="T280" s="3839">
        <v>0</v>
      </c>
      <c r="U280" s="3838">
        <v>778</v>
      </c>
      <c r="V280" s="3835">
        <v>788</v>
      </c>
      <c r="W280" s="3836" t="s">
        <v>1030</v>
      </c>
      <c r="X280" s="3837">
        <v>3202</v>
      </c>
      <c r="Y280" s="3836" t="s">
        <v>1030</v>
      </c>
      <c r="Z280" s="3838"/>
      <c r="AA280" s="3840"/>
      <c r="AB280" s="3839"/>
      <c r="AC280" s="3841"/>
      <c r="AD280" s="3839"/>
      <c r="AE280" s="3838"/>
      <c r="AF280" s="3842"/>
      <c r="AG280" s="3843"/>
      <c r="AH280" s="3843"/>
      <c r="AI280" s="3827" t="s">
        <v>3099</v>
      </c>
      <c r="AJ280" s="3809"/>
    </row>
    <row r="281" spans="2:36" s="3810" customFormat="1" ht="20.100000000000001" customHeight="1">
      <c r="B281" s="3797" t="s">
        <v>2722</v>
      </c>
      <c r="C281" s="3844"/>
      <c r="D281" s="10164" t="s">
        <v>3103</v>
      </c>
      <c r="E281" s="10165"/>
      <c r="F281" s="3829" t="s">
        <v>2708</v>
      </c>
      <c r="G281" s="3830"/>
      <c r="H281" s="3845"/>
      <c r="I281" s="3832" t="s">
        <v>3104</v>
      </c>
      <c r="J281" s="3833"/>
      <c r="K281" s="3834" t="s">
        <v>734</v>
      </c>
      <c r="L281" s="3835">
        <v>1054</v>
      </c>
      <c r="M281" s="3836" t="s">
        <v>1034</v>
      </c>
      <c r="N281" s="3837">
        <v>909</v>
      </c>
      <c r="O281" s="3836" t="s">
        <v>1035</v>
      </c>
      <c r="P281" s="3838"/>
      <c r="Q281" s="3846">
        <v>564</v>
      </c>
      <c r="R281" s="3839" t="s">
        <v>759</v>
      </c>
      <c r="S281" s="3847">
        <v>577</v>
      </c>
      <c r="T281" s="3839" t="s">
        <v>759</v>
      </c>
      <c r="U281" s="3848">
        <f>U213</f>
        <v>572</v>
      </c>
      <c r="V281" s="3835">
        <v>379</v>
      </c>
      <c r="W281" s="3839">
        <v>0</v>
      </c>
      <c r="X281" s="3837">
        <v>391</v>
      </c>
      <c r="Y281" s="3839">
        <v>0</v>
      </c>
      <c r="Z281" s="3838"/>
      <c r="AA281" s="3840"/>
      <c r="AB281" s="3839"/>
      <c r="AC281" s="3841"/>
      <c r="AD281" s="3839"/>
      <c r="AE281" s="3838"/>
      <c r="AF281" s="3842"/>
      <c r="AG281" s="3843"/>
      <c r="AH281" s="3843"/>
      <c r="AI281" s="3827" t="s">
        <v>3099</v>
      </c>
      <c r="AJ281" s="3809"/>
    </row>
    <row r="282" spans="2:36" s="3810" customFormat="1" ht="20.100000000000001" customHeight="1">
      <c r="B282" s="3797" t="s">
        <v>2722</v>
      </c>
      <c r="C282" s="3849" t="s">
        <v>3105</v>
      </c>
      <c r="D282" s="3850"/>
      <c r="E282" s="3850"/>
      <c r="F282" s="3851" t="s">
        <v>1042</v>
      </c>
      <c r="G282" s="3830"/>
      <c r="H282" s="3852" t="s">
        <v>3106</v>
      </c>
      <c r="I282" s="3852"/>
      <c r="J282" s="3833"/>
      <c r="K282" s="3853" t="s">
        <v>3107</v>
      </c>
      <c r="L282" s="3854">
        <f t="shared" ref="L282" si="19">IFERROR(L283/L281,"-")</f>
        <v>37.950664136622393</v>
      </c>
      <c r="M282" s="3839"/>
      <c r="N282" s="3855">
        <f>IFERROR(N283/N281,"-")</f>
        <v>0</v>
      </c>
      <c r="O282" s="3839"/>
      <c r="P282" s="3856" t="str">
        <f>IFERROR(P283/P281,"-")</f>
        <v>-</v>
      </c>
      <c r="Q282" s="3854">
        <f>IFERROR(Q283/Q281,"-")</f>
        <v>1132.6860088652481</v>
      </c>
      <c r="R282" s="3839" t="s">
        <v>145</v>
      </c>
      <c r="S282" s="3855">
        <f>IFERROR(S283/S281,"-")</f>
        <v>2714.4675043327557</v>
      </c>
      <c r="T282" s="3839" t="s">
        <v>145</v>
      </c>
      <c r="U282" s="3857">
        <f>IFERROR(U283/U281,"-")</f>
        <v>1242220.2797202796</v>
      </c>
      <c r="V282" s="3854">
        <f>IFERROR(V283/V281,"-")</f>
        <v>194.93041680300195</v>
      </c>
      <c r="W282" s="3839"/>
      <c r="X282" s="3855">
        <f>IFERROR(X283/X281,"-")</f>
        <v>1473.4989959510995</v>
      </c>
      <c r="Y282" s="3839"/>
      <c r="Z282" s="3856" t="str">
        <f>IFERROR(Z283/Z281,"-")</f>
        <v>-</v>
      </c>
      <c r="AA282" s="3854" t="str">
        <f>IFERROR(AA283/AA281,"-")</f>
        <v>-</v>
      </c>
      <c r="AB282" s="3839"/>
      <c r="AC282" s="3855" t="str">
        <f>IFERROR(AC283/AC281,"-")</f>
        <v>-</v>
      </c>
      <c r="AD282" s="3839"/>
      <c r="AE282" s="3856" t="str">
        <f>IFERROR(AE283/AE281,"-")</f>
        <v>-</v>
      </c>
      <c r="AF282" s="3842"/>
      <c r="AG282" s="3843"/>
      <c r="AH282" s="3843"/>
      <c r="AI282" s="3827" t="s">
        <v>3108</v>
      </c>
      <c r="AJ282" s="3809"/>
    </row>
    <row r="283" spans="2:36" s="3810" customFormat="1" ht="20.100000000000001" customHeight="1">
      <c r="B283" s="3797" t="s">
        <v>2722</v>
      </c>
      <c r="C283" s="3858"/>
      <c r="D283" s="10164" t="s">
        <v>3109</v>
      </c>
      <c r="E283" s="10165"/>
      <c r="F283" s="3851" t="s">
        <v>3110</v>
      </c>
      <c r="G283" s="3859"/>
      <c r="H283" s="3860"/>
      <c r="I283" s="3861" t="s">
        <v>3111</v>
      </c>
      <c r="J283" s="3862"/>
      <c r="K283" s="3853" t="s">
        <v>3107</v>
      </c>
      <c r="L283" s="3835">
        <v>40000</v>
      </c>
      <c r="M283" s="3839">
        <v>37.950664136622393</v>
      </c>
      <c r="N283" s="3837">
        <v>0</v>
      </c>
      <c r="O283" s="3839" t="s">
        <v>1049</v>
      </c>
      <c r="P283" s="3838"/>
      <c r="Q283" s="3835">
        <v>638834.90899999999</v>
      </c>
      <c r="R283" s="3839" t="s">
        <v>145</v>
      </c>
      <c r="S283" s="3863">
        <v>1566247.75</v>
      </c>
      <c r="T283" s="3839" t="s">
        <v>145</v>
      </c>
      <c r="U283" s="3857">
        <v>710550000</v>
      </c>
      <c r="V283" s="3835">
        <v>73878.627968337736</v>
      </c>
      <c r="W283" s="3839"/>
      <c r="X283" s="3837">
        <v>576138.10741687985</v>
      </c>
      <c r="Y283" s="3839"/>
      <c r="Z283" s="3838"/>
      <c r="AA283" s="3840"/>
      <c r="AB283" s="3839"/>
      <c r="AC283" s="3841"/>
      <c r="AD283" s="3839"/>
      <c r="AE283" s="3838"/>
      <c r="AF283" s="3842"/>
      <c r="AG283" s="3843"/>
      <c r="AH283" s="3843"/>
      <c r="AI283" s="3827" t="s">
        <v>3108</v>
      </c>
      <c r="AJ283" s="3809"/>
    </row>
    <row r="284" spans="2:36" s="3810" customFormat="1" ht="20.100000000000001" customHeight="1">
      <c r="B284" s="3864" t="s">
        <v>2722</v>
      </c>
      <c r="C284" s="3865" t="s">
        <v>3112</v>
      </c>
      <c r="D284" s="3866"/>
      <c r="E284" s="3866"/>
      <c r="F284" s="3867" t="s">
        <v>1051</v>
      </c>
      <c r="G284" s="10161" t="s">
        <v>3113</v>
      </c>
      <c r="H284" s="3868" t="s">
        <v>3114</v>
      </c>
      <c r="I284" s="3868"/>
      <c r="J284" s="3862"/>
      <c r="K284" s="3869" t="s">
        <v>3115</v>
      </c>
      <c r="L284" s="3854" t="str">
        <f t="shared" ref="L284" si="20">IFERROR(L285/L286*100,"-")</f>
        <v>-</v>
      </c>
      <c r="M284" s="3870"/>
      <c r="N284" s="3855" t="str">
        <f>IFERROR(N285/N286*100,"-")</f>
        <v>-</v>
      </c>
      <c r="O284" s="3870"/>
      <c r="P284" s="3856" t="str">
        <f>IFERROR(P285/P286*100,"-")</f>
        <v>-</v>
      </c>
      <c r="Q284" s="3854">
        <f>IFERROR(Q285/Q286*100,"-")</f>
        <v>0</v>
      </c>
      <c r="R284" s="3870"/>
      <c r="S284" s="3855">
        <f>IFERROR(S285/S286*100,"-")</f>
        <v>0</v>
      </c>
      <c r="T284" s="3870"/>
      <c r="U284" s="3856" t="str">
        <f>IFERROR(U285/U286*100,"-")</f>
        <v>-</v>
      </c>
      <c r="V284" s="3854" t="str">
        <f>IFERROR(V285/V286*100,"-")</f>
        <v>-</v>
      </c>
      <c r="W284" s="3870"/>
      <c r="X284" s="3855" t="str">
        <f>IFERROR(X285/X286*100,"-")</f>
        <v>-</v>
      </c>
      <c r="Y284" s="3870"/>
      <c r="Z284" s="3856" t="str">
        <f>IFERROR(Z285/Z286*100,"-")</f>
        <v>-</v>
      </c>
      <c r="AA284" s="3854" t="str">
        <f>IFERROR(AA285/AA286*100,"-")</f>
        <v>-</v>
      </c>
      <c r="AB284" s="3870"/>
      <c r="AC284" s="3855" t="str">
        <f>IFERROR(AC285/AC286*100,"-")</f>
        <v>-</v>
      </c>
      <c r="AD284" s="3870"/>
      <c r="AE284" s="3856" t="str">
        <f>IFERROR(AE285/AE222,"-")</f>
        <v>-</v>
      </c>
      <c r="AF284" s="3871"/>
      <c r="AG284" s="3843"/>
      <c r="AH284" s="3843"/>
      <c r="AI284" s="3827" t="s">
        <v>3116</v>
      </c>
      <c r="AJ284" s="3872"/>
    </row>
    <row r="285" spans="2:36" s="3810" customFormat="1" ht="20.100000000000001" customHeight="1">
      <c r="B285" s="3864" t="s">
        <v>2722</v>
      </c>
      <c r="C285" s="3873"/>
      <c r="D285" s="10164" t="s">
        <v>3117</v>
      </c>
      <c r="E285" s="10165"/>
      <c r="F285" s="3874" t="s">
        <v>2708</v>
      </c>
      <c r="G285" s="10162"/>
      <c r="H285" s="3875"/>
      <c r="I285" s="3862" t="s">
        <v>3118</v>
      </c>
      <c r="J285" s="3862"/>
      <c r="K285" s="3876" t="s">
        <v>734</v>
      </c>
      <c r="L285" s="3835">
        <v>0</v>
      </c>
      <c r="M285" s="3877" t="s">
        <v>1065</v>
      </c>
      <c r="N285" s="3837">
        <v>0</v>
      </c>
      <c r="O285" s="3877" t="s">
        <v>1065</v>
      </c>
      <c r="P285" s="3838"/>
      <c r="Q285" s="3835">
        <v>0</v>
      </c>
      <c r="R285" s="3877" t="s">
        <v>1066</v>
      </c>
      <c r="S285" s="3837">
        <v>0</v>
      </c>
      <c r="T285" s="3877" t="s">
        <v>1066</v>
      </c>
      <c r="U285" s="3838"/>
      <c r="V285" s="3835">
        <v>0</v>
      </c>
      <c r="W285" s="3877" t="s">
        <v>1067</v>
      </c>
      <c r="X285" s="3837">
        <v>0</v>
      </c>
      <c r="Y285" s="3877" t="s">
        <v>1068</v>
      </c>
      <c r="Z285" s="3838"/>
      <c r="AA285" s="3840"/>
      <c r="AB285" s="3870"/>
      <c r="AC285" s="3841"/>
      <c r="AD285" s="3870"/>
      <c r="AE285" s="3838"/>
      <c r="AF285" s="3871"/>
      <c r="AG285" s="3843"/>
      <c r="AH285" s="3843"/>
      <c r="AI285" s="3827" t="s">
        <v>3116</v>
      </c>
      <c r="AJ285" s="3872"/>
    </row>
    <row r="286" spans="2:36" s="3810" customFormat="1" ht="20.100000000000001" customHeight="1" thickBot="1">
      <c r="B286" s="3864" t="s">
        <v>2722</v>
      </c>
      <c r="C286" s="3878"/>
      <c r="D286" s="3879" t="s">
        <v>3119</v>
      </c>
      <c r="E286" s="3880"/>
      <c r="F286" s="3881" t="s">
        <v>2708</v>
      </c>
      <c r="G286" s="10163"/>
      <c r="H286" s="3882"/>
      <c r="I286" s="3883" t="s">
        <v>3120</v>
      </c>
      <c r="J286" s="3884"/>
      <c r="K286" s="3885" t="s">
        <v>734</v>
      </c>
      <c r="L286" s="3886">
        <v>0</v>
      </c>
      <c r="M286" s="3887" t="s">
        <v>1065</v>
      </c>
      <c r="N286" s="3888">
        <v>0</v>
      </c>
      <c r="O286" s="3887" t="s">
        <v>1065</v>
      </c>
      <c r="P286" s="3889"/>
      <c r="Q286" s="3886">
        <v>564</v>
      </c>
      <c r="R286" s="3887" t="s">
        <v>1073</v>
      </c>
      <c r="S286" s="3888">
        <v>577</v>
      </c>
      <c r="T286" s="3887" t="s">
        <v>1073</v>
      </c>
      <c r="U286" s="3889">
        <v>0</v>
      </c>
      <c r="V286" s="3886">
        <v>0</v>
      </c>
      <c r="W286" s="3887" t="s">
        <v>1067</v>
      </c>
      <c r="X286" s="3888">
        <v>0</v>
      </c>
      <c r="Y286" s="3887" t="s">
        <v>1068</v>
      </c>
      <c r="Z286" s="3889"/>
      <c r="AA286" s="3890"/>
      <c r="AB286" s="3891"/>
      <c r="AC286" s="3892"/>
      <c r="AD286" s="3891"/>
      <c r="AE286" s="3889"/>
      <c r="AF286" s="3893"/>
      <c r="AG286" s="3894"/>
      <c r="AH286" s="3894"/>
      <c r="AI286" s="3827" t="s">
        <v>3116</v>
      </c>
      <c r="AJ286" s="3872"/>
    </row>
    <row r="287" spans="2:36" ht="27" thickBot="1">
      <c r="B287" s="3219" t="s">
        <v>2722</v>
      </c>
      <c r="C287" s="3105" t="s">
        <v>3121</v>
      </c>
      <c r="D287" s="3106"/>
      <c r="E287" s="3106"/>
      <c r="F287" s="3067"/>
      <c r="G287" s="3895" t="s">
        <v>3122</v>
      </c>
      <c r="H287" s="3725"/>
      <c r="I287" s="3725"/>
      <c r="J287" s="3725"/>
      <c r="K287" s="3067"/>
      <c r="L287" s="3129"/>
      <c r="M287" s="3130"/>
      <c r="N287" s="3130"/>
      <c r="O287" s="3130"/>
      <c r="P287" s="3131"/>
      <c r="Q287" s="3129"/>
      <c r="R287" s="3130"/>
      <c r="S287" s="3130"/>
      <c r="T287" s="3130"/>
      <c r="U287" s="3131"/>
      <c r="V287" s="3129"/>
      <c r="W287" s="3130"/>
      <c r="X287" s="3130"/>
      <c r="Y287" s="3130"/>
      <c r="Z287" s="3131"/>
      <c r="AA287" s="3129"/>
      <c r="AB287" s="3130"/>
      <c r="AC287" s="3130"/>
      <c r="AD287" s="3130"/>
      <c r="AE287" s="3131"/>
      <c r="AF287" s="3112"/>
      <c r="AG287" s="3113"/>
      <c r="AH287" s="3113"/>
      <c r="AI287" s="3302"/>
      <c r="AJ287" s="3015"/>
    </row>
    <row r="288" spans="2:36" ht="19.350000000000001" customHeight="1">
      <c r="B288" s="3219" t="s">
        <v>2722</v>
      </c>
      <c r="C288" s="3896" t="s">
        <v>3123</v>
      </c>
      <c r="D288" s="3897"/>
      <c r="E288" s="3897"/>
      <c r="F288" s="3898" t="s">
        <v>2676</v>
      </c>
      <c r="G288" s="3899"/>
      <c r="H288" s="3897" t="s">
        <v>3124</v>
      </c>
      <c r="I288" s="3897"/>
      <c r="J288" s="3897"/>
      <c r="K288" s="3900" t="s">
        <v>2676</v>
      </c>
      <c r="L288" s="3901"/>
      <c r="M288" s="3902"/>
      <c r="N288" s="3903"/>
      <c r="O288" s="3902"/>
      <c r="P288" s="3904"/>
      <c r="Q288" s="3901"/>
      <c r="R288" s="3902"/>
      <c r="S288" s="3903"/>
      <c r="T288" s="3902"/>
      <c r="U288" s="3904"/>
      <c r="V288" s="3901"/>
      <c r="W288" s="3902"/>
      <c r="X288" s="3903"/>
      <c r="Y288" s="3902"/>
      <c r="Z288" s="3904"/>
      <c r="AA288" s="3905"/>
      <c r="AB288" s="3906"/>
      <c r="AC288" s="3907"/>
      <c r="AD288" s="3906"/>
      <c r="AE288" s="3904"/>
      <c r="AF288" s="3604"/>
      <c r="AG288" s="3605"/>
      <c r="AH288" s="3605"/>
      <c r="AI288" s="3606"/>
      <c r="AJ288" s="3015"/>
    </row>
    <row r="289" spans="2:36" ht="19.350000000000001" customHeight="1">
      <c r="B289" s="3219" t="s">
        <v>2722</v>
      </c>
      <c r="C289" s="3908"/>
      <c r="D289" s="3909" t="s">
        <v>3125</v>
      </c>
      <c r="E289" s="3910"/>
      <c r="F289" s="3255" t="s">
        <v>2688</v>
      </c>
      <c r="G289" s="3091"/>
      <c r="H289" s="3323"/>
      <c r="I289" s="3911" t="s">
        <v>3126</v>
      </c>
      <c r="J289" s="3341"/>
      <c r="K289" s="3912" t="s">
        <v>154</v>
      </c>
      <c r="L289" s="3913">
        <v>0</v>
      </c>
      <c r="M289" s="3914"/>
      <c r="N289" s="3915">
        <v>0</v>
      </c>
      <c r="O289" s="3914"/>
      <c r="P289" s="3316"/>
      <c r="Q289" s="3913">
        <v>0</v>
      </c>
      <c r="R289" s="3914"/>
      <c r="S289" s="3915">
        <v>0</v>
      </c>
      <c r="T289" s="3914"/>
      <c r="U289" s="3316"/>
      <c r="V289" s="3913">
        <v>28.571428571428569</v>
      </c>
      <c r="W289" s="3914"/>
      <c r="X289" s="3915">
        <v>28.571428571428569</v>
      </c>
      <c r="Y289" s="3914"/>
      <c r="Z289" s="3316"/>
      <c r="AA289" s="3313"/>
      <c r="AB289" s="3916"/>
      <c r="AC289" s="3315"/>
      <c r="AD289" s="3916"/>
      <c r="AE289" s="3316"/>
      <c r="AF289" s="3609"/>
      <c r="AG289" s="3478"/>
      <c r="AH289" s="3610"/>
      <c r="AI289" s="3405" t="s">
        <v>3127</v>
      </c>
      <c r="AJ289" s="3015"/>
    </row>
    <row r="290" spans="2:36" ht="19.350000000000001" customHeight="1">
      <c r="B290" s="3219" t="s">
        <v>2722</v>
      </c>
      <c r="C290" s="3908"/>
      <c r="D290" s="3430" t="s">
        <v>3128</v>
      </c>
      <c r="E290" s="3431"/>
      <c r="F290" s="3255" t="s">
        <v>154</v>
      </c>
      <c r="G290" s="3091"/>
      <c r="H290" s="3323"/>
      <c r="I290" s="3433" t="s">
        <v>3129</v>
      </c>
      <c r="J290" s="3330"/>
      <c r="K290" s="3094" t="s">
        <v>154</v>
      </c>
      <c r="L290" s="3239"/>
      <c r="M290" s="3265"/>
      <c r="N290" s="3086"/>
      <c r="O290" s="3265"/>
      <c r="P290" s="3238"/>
      <c r="Q290" s="3631">
        <f>5/5</f>
        <v>1</v>
      </c>
      <c r="R290" s="3265"/>
      <c r="S290" s="3631">
        <f>5/5</f>
        <v>1</v>
      </c>
      <c r="T290" s="3265"/>
      <c r="U290" s="3632">
        <f>5/5</f>
        <v>1</v>
      </c>
      <c r="V290" s="3239"/>
      <c r="W290" s="3265"/>
      <c r="X290" s="3086"/>
      <c r="Y290" s="3265"/>
      <c r="Z290" s="3238"/>
      <c r="AA290" s="3239"/>
      <c r="AB290" s="3258"/>
      <c r="AC290" s="3086"/>
      <c r="AD290" s="3258"/>
      <c r="AE290" s="3238"/>
      <c r="AF290" s="3085"/>
      <c r="AG290" s="3478"/>
      <c r="AH290" s="3478"/>
      <c r="AI290" s="3405" t="s">
        <v>3127</v>
      </c>
      <c r="AJ290" s="3015"/>
    </row>
    <row r="291" spans="2:36" ht="19.350000000000001" customHeight="1">
      <c r="B291" s="3219" t="s">
        <v>2722</v>
      </c>
      <c r="C291" s="3908"/>
      <c r="D291" s="3713" t="s">
        <v>3130</v>
      </c>
      <c r="E291" s="3687"/>
      <c r="F291" s="3145" t="s">
        <v>154</v>
      </c>
      <c r="G291" s="3091"/>
      <c r="H291" s="3323"/>
      <c r="I291" s="3596" t="s">
        <v>3131</v>
      </c>
      <c r="J291" s="3597"/>
      <c r="K291" s="3917" t="s">
        <v>154</v>
      </c>
      <c r="L291" s="3291"/>
      <c r="M291" s="3289"/>
      <c r="N291" s="3292"/>
      <c r="O291" s="3289"/>
      <c r="P291" s="3290"/>
      <c r="Q291" s="3291"/>
      <c r="R291" s="3289"/>
      <c r="S291" s="3292"/>
      <c r="T291" s="3289"/>
      <c r="U291" s="3290"/>
      <c r="V291" s="3291"/>
      <c r="W291" s="3289"/>
      <c r="X291" s="3292"/>
      <c r="Y291" s="3289"/>
      <c r="Z291" s="3290"/>
      <c r="AA291" s="3291"/>
      <c r="AB291" s="3365"/>
      <c r="AC291" s="3292"/>
      <c r="AD291" s="3365"/>
      <c r="AE291" s="3290"/>
      <c r="AF291" s="3604"/>
      <c r="AG291" s="3605"/>
      <c r="AH291" s="3605"/>
      <c r="AI291" s="3606"/>
      <c r="AJ291" s="3015"/>
    </row>
    <row r="292" spans="2:36" ht="19.350000000000001" customHeight="1">
      <c r="B292" s="3219" t="s">
        <v>2722</v>
      </c>
      <c r="C292" s="3908"/>
      <c r="E292" s="3264" t="s">
        <v>1833</v>
      </c>
      <c r="F292" s="3255" t="s">
        <v>154</v>
      </c>
      <c r="G292" s="3091"/>
      <c r="H292" s="3323"/>
      <c r="I292" s="3008"/>
      <c r="J292" s="3692" t="s">
        <v>3132</v>
      </c>
      <c r="K292" s="3094" t="s">
        <v>154</v>
      </c>
      <c r="L292" s="3239"/>
      <c r="M292" s="3265"/>
      <c r="N292" s="3086"/>
      <c r="O292" s="3265"/>
      <c r="P292" s="3238"/>
      <c r="Q292" s="3239"/>
      <c r="R292" s="3265"/>
      <c r="S292" s="3086"/>
      <c r="T292" s="3265"/>
      <c r="U292" s="3238"/>
      <c r="V292" s="3239"/>
      <c r="W292" s="3265"/>
      <c r="X292" s="3086"/>
      <c r="Y292" s="3265"/>
      <c r="Z292" s="3238"/>
      <c r="AA292" s="3239"/>
      <c r="AB292" s="3258"/>
      <c r="AC292" s="3086"/>
      <c r="AD292" s="3258"/>
      <c r="AE292" s="3238"/>
      <c r="AF292" s="3085"/>
      <c r="AG292" s="3478"/>
      <c r="AH292" s="3478"/>
      <c r="AI292" s="3405" t="s">
        <v>3127</v>
      </c>
      <c r="AJ292" s="3015"/>
    </row>
    <row r="293" spans="2:36" ht="19.350000000000001" customHeight="1">
      <c r="B293" s="3219" t="s">
        <v>2722</v>
      </c>
      <c r="C293" s="3908"/>
      <c r="D293" s="3918"/>
      <c r="E293" s="3264" t="s">
        <v>1834</v>
      </c>
      <c r="F293" s="3255" t="s">
        <v>154</v>
      </c>
      <c r="G293" s="3091"/>
      <c r="H293" s="3323"/>
      <c r="I293" s="3919"/>
      <c r="J293" s="3692" t="s">
        <v>3133</v>
      </c>
      <c r="K293" s="3094" t="s">
        <v>154</v>
      </c>
      <c r="L293" s="3239"/>
      <c r="M293" s="3265"/>
      <c r="N293" s="3086"/>
      <c r="O293" s="3265"/>
      <c r="P293" s="3238"/>
      <c r="Q293" s="3631">
        <f>5/5</f>
        <v>1</v>
      </c>
      <c r="R293" s="3265"/>
      <c r="S293" s="3631">
        <f>5/5</f>
        <v>1</v>
      </c>
      <c r="T293" s="3265"/>
      <c r="U293" s="3632">
        <f>5/5</f>
        <v>1</v>
      </c>
      <c r="V293" s="3239"/>
      <c r="W293" s="3265"/>
      <c r="X293" s="3086"/>
      <c r="Y293" s="3265"/>
      <c r="Z293" s="3238"/>
      <c r="AA293" s="3239"/>
      <c r="AB293" s="3258"/>
      <c r="AC293" s="3086"/>
      <c r="AD293" s="3258"/>
      <c r="AE293" s="3238"/>
      <c r="AF293" s="3085"/>
      <c r="AG293" s="3478"/>
      <c r="AH293" s="3478"/>
      <c r="AI293" s="3405" t="s">
        <v>3127</v>
      </c>
      <c r="AJ293" s="3015"/>
    </row>
    <row r="294" spans="2:36" ht="19.350000000000001" customHeight="1">
      <c r="B294" s="3219" t="s">
        <v>2722</v>
      </c>
      <c r="C294" s="3908"/>
      <c r="D294" s="3920"/>
      <c r="E294" s="3264" t="s">
        <v>1835</v>
      </c>
      <c r="F294" s="3255" t="s">
        <v>154</v>
      </c>
      <c r="G294" s="3091"/>
      <c r="H294" s="3323"/>
      <c r="I294" s="3921"/>
      <c r="J294" s="3692" t="s">
        <v>3134</v>
      </c>
      <c r="K294" s="3094" t="s">
        <v>154</v>
      </c>
      <c r="L294" s="3239"/>
      <c r="M294" s="3265"/>
      <c r="N294" s="3086"/>
      <c r="O294" s="3265"/>
      <c r="P294" s="3238"/>
      <c r="Q294" s="3239"/>
      <c r="R294" s="3265"/>
      <c r="S294" s="3086"/>
      <c r="T294" s="3265"/>
      <c r="U294" s="3238"/>
      <c r="V294" s="3239"/>
      <c r="W294" s="3265"/>
      <c r="X294" s="3086"/>
      <c r="Y294" s="3265"/>
      <c r="Z294" s="3238"/>
      <c r="AA294" s="3239"/>
      <c r="AB294" s="3258"/>
      <c r="AC294" s="3086"/>
      <c r="AD294" s="3258"/>
      <c r="AE294" s="3238"/>
      <c r="AF294" s="3085"/>
      <c r="AG294" s="3478"/>
      <c r="AH294" s="3478"/>
      <c r="AI294" s="3405" t="s">
        <v>3127</v>
      </c>
      <c r="AJ294" s="3015"/>
    </row>
    <row r="295" spans="2:36" ht="19.350000000000001" customHeight="1">
      <c r="B295" s="3241" t="s">
        <v>2722</v>
      </c>
      <c r="C295" s="3908"/>
      <c r="D295" s="3430" t="s">
        <v>3135</v>
      </c>
      <c r="E295" s="3431"/>
      <c r="F295" s="3255" t="s">
        <v>154</v>
      </c>
      <c r="G295" s="3091"/>
      <c r="H295" s="3323"/>
      <c r="I295" s="3433" t="s">
        <v>3136</v>
      </c>
      <c r="J295" s="3330"/>
      <c r="K295" s="3094" t="s">
        <v>154</v>
      </c>
      <c r="L295" s="3744">
        <v>13.738019169329075</v>
      </c>
      <c r="M295" s="3265"/>
      <c r="N295" s="3745">
        <v>16</v>
      </c>
      <c r="O295" s="3265"/>
      <c r="P295" s="3238"/>
      <c r="Q295" s="3922">
        <v>0.46551724137931033</v>
      </c>
      <c r="R295" s="3265" t="s">
        <v>1096</v>
      </c>
      <c r="S295" s="3655">
        <v>0.44827586206896552</v>
      </c>
      <c r="T295" s="3265" t="s">
        <v>1096</v>
      </c>
      <c r="U295" s="3632">
        <v>0.46875</v>
      </c>
      <c r="V295" s="3744">
        <v>15.789473684210526</v>
      </c>
      <c r="W295" s="3265"/>
      <c r="X295" s="3745">
        <v>16.666666666666664</v>
      </c>
      <c r="Y295" s="3265"/>
      <c r="Z295" s="3238"/>
      <c r="AA295" s="3239"/>
      <c r="AB295" s="3265"/>
      <c r="AC295" s="3086"/>
      <c r="AD295" s="3258"/>
      <c r="AE295" s="3238"/>
      <c r="AF295" s="3085"/>
      <c r="AG295" s="3478"/>
      <c r="AH295" s="3478"/>
      <c r="AI295" s="3405" t="s">
        <v>3137</v>
      </c>
      <c r="AJ295" s="3015"/>
    </row>
    <row r="296" spans="2:36" ht="19.149999999999999" customHeight="1">
      <c r="B296" s="3219" t="s">
        <v>2722</v>
      </c>
      <c r="C296" s="3908"/>
      <c r="D296" s="3264" t="s">
        <v>3138</v>
      </c>
      <c r="E296" s="3264"/>
      <c r="F296" s="3255" t="s">
        <v>154</v>
      </c>
      <c r="G296" s="3091"/>
      <c r="H296" s="3323"/>
      <c r="I296" s="3433" t="s">
        <v>3139</v>
      </c>
      <c r="J296" s="3330"/>
      <c r="K296" s="3094" t="s">
        <v>154</v>
      </c>
      <c r="L296" s="3744">
        <v>1.4388489208633095</v>
      </c>
      <c r="M296" s="3265"/>
      <c r="N296" s="3745">
        <v>3.5087719298245612</v>
      </c>
      <c r="O296" s="3265"/>
      <c r="P296" s="3238"/>
      <c r="Q296" s="3744">
        <v>0</v>
      </c>
      <c r="R296" s="3265"/>
      <c r="S296" s="3745">
        <v>0</v>
      </c>
      <c r="T296" s="3265"/>
      <c r="U296" s="3238"/>
      <c r="V296" s="3744">
        <v>40</v>
      </c>
      <c r="W296" s="3265"/>
      <c r="X296" s="3745">
        <v>40</v>
      </c>
      <c r="Y296" s="3265"/>
      <c r="Z296" s="3238"/>
      <c r="AA296" s="3239"/>
      <c r="AB296" s="3258"/>
      <c r="AC296" s="3086"/>
      <c r="AD296" s="3258"/>
      <c r="AE296" s="3238"/>
      <c r="AF296" s="3085"/>
      <c r="AG296" s="3478"/>
      <c r="AH296" s="3478"/>
      <c r="AI296" s="3405" t="s">
        <v>3140</v>
      </c>
      <c r="AJ296" s="3015"/>
    </row>
    <row r="297" spans="2:36" ht="19.350000000000001" customHeight="1">
      <c r="B297" s="3219" t="s">
        <v>2722</v>
      </c>
      <c r="C297" s="3908"/>
      <c r="D297" s="3691" t="s">
        <v>3141</v>
      </c>
      <c r="E297" s="3691"/>
      <c r="F297" s="3255" t="s">
        <v>154</v>
      </c>
      <c r="G297" s="3091"/>
      <c r="H297" s="3323"/>
      <c r="I297" s="3433" t="s">
        <v>3142</v>
      </c>
      <c r="J297" s="3330"/>
      <c r="K297" s="3140" t="s">
        <v>154</v>
      </c>
      <c r="L297" s="3744">
        <v>85.882637262472798</v>
      </c>
      <c r="M297" s="3265"/>
      <c r="N297" s="3745">
        <v>82.247056388175423</v>
      </c>
      <c r="O297" s="3265"/>
      <c r="P297" s="3238"/>
      <c r="Q297" s="3922">
        <v>0.4418189959965067</v>
      </c>
      <c r="R297" s="3265" t="s">
        <v>1110</v>
      </c>
      <c r="S297" s="3655">
        <v>0.44798236662473767</v>
      </c>
      <c r="T297" s="3265" t="s">
        <v>1110</v>
      </c>
      <c r="U297" s="3632">
        <v>0.46103553977874623</v>
      </c>
      <c r="V297" s="3744">
        <v>156.08059219041078</v>
      </c>
      <c r="W297" s="3265"/>
      <c r="X297" s="3745">
        <v>104.04324918526433</v>
      </c>
      <c r="Y297" s="3265"/>
      <c r="Z297" s="3238"/>
      <c r="AA297" s="3239"/>
      <c r="AB297" s="3258"/>
      <c r="AC297" s="3086"/>
      <c r="AD297" s="3258"/>
      <c r="AE297" s="3238"/>
      <c r="AF297" s="3085"/>
      <c r="AG297" s="3478"/>
      <c r="AH297" s="3478"/>
      <c r="AI297" s="3405" t="s">
        <v>1107</v>
      </c>
      <c r="AJ297" s="3015"/>
    </row>
    <row r="298" spans="2:36" ht="19.350000000000001" hidden="1" customHeight="1">
      <c r="B298" s="3219" t="s">
        <v>2722</v>
      </c>
      <c r="C298" s="3923" t="s">
        <v>3143</v>
      </c>
      <c r="D298" s="3694"/>
      <c r="E298" s="3694"/>
      <c r="F298" s="3145" t="s">
        <v>2676</v>
      </c>
      <c r="G298" s="3924"/>
      <c r="H298" s="3694" t="s">
        <v>3144</v>
      </c>
      <c r="I298" s="3694"/>
      <c r="J298" s="3694"/>
      <c r="K298" s="3917" t="s">
        <v>2676</v>
      </c>
      <c r="L298" s="3925"/>
      <c r="M298" s="3289"/>
      <c r="N298" s="3926"/>
      <c r="O298" s="3289"/>
      <c r="P298" s="3290"/>
      <c r="Q298" s="3925"/>
      <c r="R298" s="3289"/>
      <c r="S298" s="3926"/>
      <c r="T298" s="3289"/>
      <c r="U298" s="3290"/>
      <c r="V298" s="3925"/>
      <c r="W298" s="3289"/>
      <c r="X298" s="3926"/>
      <c r="Y298" s="3289"/>
      <c r="Z298" s="3290"/>
      <c r="AA298" s="3291"/>
      <c r="AB298" s="3365"/>
      <c r="AC298" s="3292"/>
      <c r="AD298" s="3365"/>
      <c r="AE298" s="3290"/>
      <c r="AF298" s="3085"/>
      <c r="AG298" s="3478"/>
      <c r="AH298" s="3478"/>
      <c r="AI298" s="3405"/>
      <c r="AJ298" s="3015"/>
    </row>
    <row r="299" spans="2:36" ht="19.350000000000001" hidden="1" customHeight="1">
      <c r="B299" s="3219" t="s">
        <v>2722</v>
      </c>
      <c r="C299" s="3908"/>
      <c r="D299" s="3927" t="s">
        <v>3145</v>
      </c>
      <c r="E299" s="3928"/>
      <c r="F299" s="3145" t="s">
        <v>2708</v>
      </c>
      <c r="G299" s="3091"/>
      <c r="H299" s="3323"/>
      <c r="I299" s="3929" t="s">
        <v>3146</v>
      </c>
      <c r="J299" s="3597"/>
      <c r="K299" s="3917" t="s">
        <v>734</v>
      </c>
      <c r="L299" s="3925"/>
      <c r="M299" s="3289"/>
      <c r="N299" s="3926"/>
      <c r="O299" s="3289"/>
      <c r="P299" s="3290"/>
      <c r="Q299" s="3925"/>
      <c r="R299" s="3289"/>
      <c r="S299" s="3926"/>
      <c r="T299" s="3289"/>
      <c r="U299" s="3290"/>
      <c r="V299" s="3925"/>
      <c r="W299" s="3289"/>
      <c r="X299" s="3926"/>
      <c r="Y299" s="3289"/>
      <c r="Z299" s="3290"/>
      <c r="AA299" s="3291"/>
      <c r="AB299" s="3365"/>
      <c r="AC299" s="3292"/>
      <c r="AD299" s="3365"/>
      <c r="AE299" s="3290"/>
      <c r="AF299" s="3085"/>
      <c r="AG299" s="3478"/>
      <c r="AH299" s="3478"/>
      <c r="AI299" s="3405"/>
      <c r="AJ299" s="3015"/>
    </row>
    <row r="300" spans="2:36" ht="19.350000000000001" hidden="1" customHeight="1">
      <c r="B300" s="3219" t="s">
        <v>2722</v>
      </c>
      <c r="C300" s="3908"/>
      <c r="D300" s="3930"/>
      <c r="E300" s="3931" t="s">
        <v>3147</v>
      </c>
      <c r="F300" s="3255" t="s">
        <v>2708</v>
      </c>
      <c r="G300" s="3091"/>
      <c r="H300" s="3323"/>
      <c r="I300" s="3505"/>
      <c r="J300" s="3748" t="s">
        <v>3148</v>
      </c>
      <c r="K300" s="3094" t="s">
        <v>734</v>
      </c>
      <c r="L300" s="3744" t="s">
        <v>2682</v>
      </c>
      <c r="M300" s="3265"/>
      <c r="N300" s="3745" t="s">
        <v>2682</v>
      </c>
      <c r="O300" s="3265"/>
      <c r="P300" s="3238"/>
      <c r="Q300" s="3744">
        <v>0</v>
      </c>
      <c r="R300" s="3265"/>
      <c r="S300" s="3745">
        <v>0</v>
      </c>
      <c r="T300" s="3265"/>
      <c r="U300" s="3238"/>
      <c r="V300" s="3744">
        <v>140</v>
      </c>
      <c r="W300" s="3265"/>
      <c r="X300" s="3745">
        <v>163</v>
      </c>
      <c r="Y300" s="3265"/>
      <c r="Z300" s="3238"/>
      <c r="AA300" s="3239"/>
      <c r="AB300" s="3258"/>
      <c r="AC300" s="3086"/>
      <c r="AD300" s="3258"/>
      <c r="AE300" s="3238"/>
      <c r="AF300" s="3085"/>
      <c r="AG300" s="3478"/>
      <c r="AH300" s="3478"/>
      <c r="AI300" s="3405" t="s">
        <v>1120</v>
      </c>
      <c r="AJ300" s="3015"/>
    </row>
    <row r="301" spans="2:36" ht="19.350000000000001" hidden="1" customHeight="1">
      <c r="B301" s="3219" t="s">
        <v>2722</v>
      </c>
      <c r="C301" s="3908"/>
      <c r="D301" s="3932"/>
      <c r="E301" s="3931" t="s">
        <v>3149</v>
      </c>
      <c r="F301" s="3255" t="s">
        <v>2708</v>
      </c>
      <c r="G301" s="3091"/>
      <c r="H301" s="3323"/>
      <c r="I301" s="3360"/>
      <c r="J301" s="3748" t="s">
        <v>1840</v>
      </c>
      <c r="K301" s="3094" t="s">
        <v>734</v>
      </c>
      <c r="L301" s="3744" t="s">
        <v>2682</v>
      </c>
      <c r="M301" s="3265"/>
      <c r="N301" s="3745" t="s">
        <v>2682</v>
      </c>
      <c r="O301" s="3265"/>
      <c r="P301" s="3238"/>
      <c r="Q301" s="3744">
        <v>0</v>
      </c>
      <c r="R301" s="3265"/>
      <c r="S301" s="3745">
        <v>0</v>
      </c>
      <c r="T301" s="3265"/>
      <c r="U301" s="3238"/>
      <c r="V301" s="3744">
        <v>17</v>
      </c>
      <c r="W301" s="3265"/>
      <c r="X301" s="3745">
        <v>15</v>
      </c>
      <c r="Y301" s="3265"/>
      <c r="Z301" s="3238"/>
      <c r="AA301" s="3239"/>
      <c r="AB301" s="3258"/>
      <c r="AC301" s="3086"/>
      <c r="AD301" s="3258"/>
      <c r="AE301" s="3238"/>
      <c r="AF301" s="3085"/>
      <c r="AG301" s="3478"/>
      <c r="AH301" s="3478"/>
      <c r="AI301" s="3405" t="s">
        <v>1120</v>
      </c>
      <c r="AJ301" s="3015"/>
    </row>
    <row r="302" spans="2:36" ht="19.350000000000001" hidden="1" customHeight="1">
      <c r="B302" s="3219" t="s">
        <v>2722</v>
      </c>
      <c r="C302" s="3908"/>
      <c r="D302" s="3927" t="s">
        <v>3150</v>
      </c>
      <c r="E302" s="3928"/>
      <c r="F302" s="3145" t="s">
        <v>2708</v>
      </c>
      <c r="G302" s="3091"/>
      <c r="H302" s="3323"/>
      <c r="I302" s="3929" t="s">
        <v>3151</v>
      </c>
      <c r="J302" s="3933"/>
      <c r="K302" s="3917" t="s">
        <v>734</v>
      </c>
      <c r="L302" s="3925"/>
      <c r="M302" s="3289"/>
      <c r="N302" s="3926"/>
      <c r="O302" s="3289"/>
      <c r="P302" s="3290"/>
      <c r="Q302" s="3925"/>
      <c r="R302" s="3289"/>
      <c r="S302" s="3926"/>
      <c r="T302" s="3289"/>
      <c r="U302" s="3290"/>
      <c r="V302" s="3925"/>
      <c r="W302" s="3289"/>
      <c r="X302" s="3926"/>
      <c r="Y302" s="3289"/>
      <c r="Z302" s="3290"/>
      <c r="AA302" s="3291"/>
      <c r="AB302" s="3365"/>
      <c r="AC302" s="3292"/>
      <c r="AD302" s="3365"/>
      <c r="AE302" s="3290"/>
      <c r="AF302" s="3085"/>
      <c r="AG302" s="3478"/>
      <c r="AH302" s="3478"/>
      <c r="AI302" s="3248" t="s">
        <v>1129</v>
      </c>
      <c r="AJ302" s="3015"/>
    </row>
    <row r="303" spans="2:36" ht="19.350000000000001" hidden="1" customHeight="1">
      <c r="B303" s="3219" t="s">
        <v>2722</v>
      </c>
      <c r="C303" s="3908"/>
      <c r="E303" s="3264" t="s">
        <v>1841</v>
      </c>
      <c r="F303" s="3255" t="s">
        <v>732</v>
      </c>
      <c r="G303" s="3091"/>
      <c r="H303" s="3323"/>
      <c r="I303" s="3505"/>
      <c r="J303" s="3748" t="s">
        <v>3152</v>
      </c>
      <c r="K303" s="3094" t="s">
        <v>734</v>
      </c>
      <c r="L303" s="3239"/>
      <c r="M303" s="3258"/>
      <c r="N303" s="3086"/>
      <c r="O303" s="3258"/>
      <c r="P303" s="3238"/>
      <c r="Q303" s="3239"/>
      <c r="R303" s="3258"/>
      <c r="S303" s="3086"/>
      <c r="T303" s="3258"/>
      <c r="U303" s="3238"/>
      <c r="V303" s="3239"/>
      <c r="W303" s="3258"/>
      <c r="X303" s="3086"/>
      <c r="Y303" s="3258"/>
      <c r="Z303" s="3238"/>
      <c r="AA303" s="3239"/>
      <c r="AB303" s="3258"/>
      <c r="AC303" s="3086"/>
      <c r="AD303" s="3258"/>
      <c r="AE303" s="3238"/>
      <c r="AF303" s="3085"/>
      <c r="AG303" s="3478"/>
      <c r="AH303" s="3478"/>
      <c r="AI303" s="3248" t="s">
        <v>1129</v>
      </c>
      <c r="AJ303" s="3015"/>
    </row>
    <row r="304" spans="2:36" ht="19.350000000000001" hidden="1" customHeight="1">
      <c r="B304" s="3219" t="s">
        <v>2722</v>
      </c>
      <c r="C304" s="3908"/>
      <c r="E304" s="3264" t="s">
        <v>1843</v>
      </c>
      <c r="F304" s="3255" t="s">
        <v>732</v>
      </c>
      <c r="G304" s="3091"/>
      <c r="H304" s="3323"/>
      <c r="I304" s="3360"/>
      <c r="J304" s="3748" t="s">
        <v>3153</v>
      </c>
      <c r="K304" s="3094" t="s">
        <v>734</v>
      </c>
      <c r="L304" s="3239"/>
      <c r="M304" s="3258"/>
      <c r="N304" s="3086"/>
      <c r="O304" s="3258"/>
      <c r="P304" s="3238"/>
      <c r="Q304" s="3239"/>
      <c r="R304" s="3258"/>
      <c r="S304" s="3086"/>
      <c r="T304" s="3258"/>
      <c r="U304" s="3238"/>
      <c r="V304" s="3239"/>
      <c r="W304" s="3258"/>
      <c r="X304" s="3086"/>
      <c r="Y304" s="3258"/>
      <c r="Z304" s="3238"/>
      <c r="AA304" s="3239"/>
      <c r="AB304" s="3258"/>
      <c r="AC304" s="3086"/>
      <c r="AD304" s="3258"/>
      <c r="AE304" s="3238"/>
      <c r="AF304" s="3085"/>
      <c r="AG304" s="3478"/>
      <c r="AH304" s="3478"/>
      <c r="AI304" s="3934" t="s">
        <v>1129</v>
      </c>
      <c r="AJ304" s="3015"/>
    </row>
    <row r="305" spans="2:36" ht="19.350000000000001" hidden="1" customHeight="1">
      <c r="B305" s="3219" t="s">
        <v>2722</v>
      </c>
      <c r="C305" s="3908"/>
      <c r="D305" s="3264" t="s">
        <v>1844</v>
      </c>
      <c r="E305" s="3264"/>
      <c r="F305" s="3255" t="s">
        <v>154</v>
      </c>
      <c r="G305" s="3091"/>
      <c r="H305" s="3323"/>
      <c r="I305" s="3433" t="s">
        <v>3154</v>
      </c>
      <c r="J305" s="3330"/>
      <c r="K305" s="3094" t="s">
        <v>154</v>
      </c>
      <c r="L305" s="3239"/>
      <c r="M305" s="3265"/>
      <c r="N305" s="3086"/>
      <c r="O305" s="3265"/>
      <c r="P305" s="3238"/>
      <c r="Q305" s="3239"/>
      <c r="R305" s="3265"/>
      <c r="S305" s="3086"/>
      <c r="T305" s="3265"/>
      <c r="U305" s="3238"/>
      <c r="V305" s="3239"/>
      <c r="W305" s="3265"/>
      <c r="X305" s="3086"/>
      <c r="Y305" s="3265"/>
      <c r="Z305" s="3238"/>
      <c r="AA305" s="3239"/>
      <c r="AB305" s="3258"/>
      <c r="AC305" s="3086"/>
      <c r="AD305" s="3258"/>
      <c r="AE305" s="3238"/>
      <c r="AF305" s="3085"/>
      <c r="AG305" s="3478"/>
      <c r="AH305" s="3478"/>
      <c r="AI305" s="3934" t="s">
        <v>1143</v>
      </c>
      <c r="AJ305" s="3015"/>
    </row>
    <row r="306" spans="2:36" ht="19.350000000000001" hidden="1" customHeight="1">
      <c r="B306" s="3219" t="s">
        <v>2722</v>
      </c>
      <c r="C306" s="3908"/>
      <c r="D306" s="3264" t="s">
        <v>1845</v>
      </c>
      <c r="E306" s="3264"/>
      <c r="F306" s="3255" t="s">
        <v>154</v>
      </c>
      <c r="G306" s="3091"/>
      <c r="H306" s="3323"/>
      <c r="I306" s="3433" t="s">
        <v>3155</v>
      </c>
      <c r="J306" s="3330"/>
      <c r="K306" s="3094" t="s">
        <v>154</v>
      </c>
      <c r="L306" s="3239"/>
      <c r="M306" s="3265"/>
      <c r="N306" s="3086"/>
      <c r="O306" s="3265"/>
      <c r="P306" s="3238"/>
      <c r="Q306" s="3239"/>
      <c r="R306" s="3265"/>
      <c r="S306" s="3086"/>
      <c r="T306" s="3265"/>
      <c r="U306" s="3238"/>
      <c r="V306" s="3239"/>
      <c r="W306" s="3265"/>
      <c r="X306" s="3086"/>
      <c r="Y306" s="3265"/>
      <c r="Z306" s="3238"/>
      <c r="AA306" s="3239"/>
      <c r="AB306" s="3258"/>
      <c r="AC306" s="3086"/>
      <c r="AD306" s="3258"/>
      <c r="AE306" s="3238"/>
      <c r="AF306" s="3085"/>
      <c r="AG306" s="3478"/>
      <c r="AH306" s="3478"/>
      <c r="AI306" s="3934" t="s">
        <v>1143</v>
      </c>
      <c r="AJ306" s="3015"/>
    </row>
    <row r="307" spans="2:36" ht="19.350000000000001" hidden="1" customHeight="1">
      <c r="B307" s="3219" t="s">
        <v>2722</v>
      </c>
      <c r="C307" s="3764"/>
      <c r="D307" s="3264" t="s">
        <v>1846</v>
      </c>
      <c r="E307" s="3264"/>
      <c r="F307" s="3255" t="s">
        <v>154</v>
      </c>
      <c r="G307" s="3091"/>
      <c r="H307" s="3341"/>
      <c r="I307" s="3433" t="s">
        <v>3156</v>
      </c>
      <c r="J307" s="3330"/>
      <c r="K307" s="3094" t="s">
        <v>154</v>
      </c>
      <c r="L307" s="3239"/>
      <c r="M307" s="3265"/>
      <c r="N307" s="3086"/>
      <c r="O307" s="3265"/>
      <c r="P307" s="3238"/>
      <c r="Q307" s="3239"/>
      <c r="R307" s="3265"/>
      <c r="S307" s="3086"/>
      <c r="T307" s="3265"/>
      <c r="U307" s="3238"/>
      <c r="V307" s="3239"/>
      <c r="W307" s="3265"/>
      <c r="X307" s="3086"/>
      <c r="Y307" s="3265"/>
      <c r="Z307" s="3238"/>
      <c r="AA307" s="3239"/>
      <c r="AB307" s="3265"/>
      <c r="AC307" s="3086"/>
      <c r="AD307" s="3265"/>
      <c r="AE307" s="3238"/>
      <c r="AF307" s="3085"/>
      <c r="AG307" s="3478"/>
      <c r="AH307" s="3478"/>
      <c r="AI307" s="3248" t="s">
        <v>1154</v>
      </c>
      <c r="AJ307" s="3015"/>
    </row>
    <row r="308" spans="2:36" ht="19.350000000000001" customHeight="1">
      <c r="B308" s="3219" t="s">
        <v>2722</v>
      </c>
      <c r="C308" s="3923" t="s">
        <v>3157</v>
      </c>
      <c r="D308" s="3694"/>
      <c r="E308" s="3694"/>
      <c r="F308" s="3145" t="s">
        <v>732</v>
      </c>
      <c r="G308" s="3146"/>
      <c r="H308" s="3638" t="s">
        <v>3158</v>
      </c>
      <c r="I308" s="3596"/>
      <c r="J308" s="3597"/>
      <c r="K308" s="3917" t="s">
        <v>734</v>
      </c>
      <c r="L308" s="3291"/>
      <c r="M308" s="3289"/>
      <c r="N308" s="3292"/>
      <c r="O308" s="3289"/>
      <c r="P308" s="3290"/>
      <c r="Q308" s="3291"/>
      <c r="R308" s="3289"/>
      <c r="S308" s="3292" t="s">
        <v>3159</v>
      </c>
      <c r="T308" s="3289"/>
      <c r="U308" s="3290"/>
      <c r="V308" s="3291"/>
      <c r="W308" s="3289"/>
      <c r="X308" s="3292"/>
      <c r="Y308" s="3289"/>
      <c r="Z308" s="3290"/>
      <c r="AA308" s="3291"/>
      <c r="AB308" s="3289"/>
      <c r="AC308" s="3292"/>
      <c r="AD308" s="3289"/>
      <c r="AE308" s="3290"/>
      <c r="AF308" s="3604"/>
      <c r="AG308" s="3605"/>
      <c r="AH308" s="3605"/>
      <c r="AI308" s="3606"/>
      <c r="AJ308" s="3015"/>
    </row>
    <row r="309" spans="2:36" ht="19.350000000000001" customHeight="1">
      <c r="B309" s="3219" t="s">
        <v>2722</v>
      </c>
      <c r="C309" s="3935"/>
      <c r="D309" s="3264" t="s">
        <v>1847</v>
      </c>
      <c r="E309" s="3264"/>
      <c r="F309" s="3255" t="s">
        <v>732</v>
      </c>
      <c r="G309" s="3091"/>
      <c r="H309" s="3321"/>
      <c r="I309" s="3692" t="s">
        <v>3160</v>
      </c>
      <c r="J309" s="3692"/>
      <c r="K309" s="3094" t="s">
        <v>734</v>
      </c>
      <c r="L309" s="3239"/>
      <c r="M309" s="3258"/>
      <c r="N309" s="3086"/>
      <c r="O309" s="3258"/>
      <c r="P309" s="3238"/>
      <c r="Q309" s="3936">
        <v>34</v>
      </c>
      <c r="R309" s="3258" t="s">
        <v>1165</v>
      </c>
      <c r="S309" s="3937">
        <v>4</v>
      </c>
      <c r="T309" s="3258"/>
      <c r="U309" s="3938">
        <v>13</v>
      </c>
      <c r="V309" s="3239"/>
      <c r="W309" s="3258"/>
      <c r="X309" s="3086"/>
      <c r="Y309" s="3258"/>
      <c r="Z309" s="3238"/>
      <c r="AA309" s="3239"/>
      <c r="AB309" s="3258"/>
      <c r="AC309" s="3086"/>
      <c r="AD309" s="3258"/>
      <c r="AE309" s="3238"/>
      <c r="AF309" s="3085"/>
      <c r="AG309" s="3478"/>
      <c r="AH309" s="3478"/>
      <c r="AI309" s="3248" t="s">
        <v>1163</v>
      </c>
      <c r="AJ309" s="3015"/>
    </row>
    <row r="310" spans="2:36" ht="19.350000000000001" customHeight="1">
      <c r="B310" s="3219" t="s">
        <v>2722</v>
      </c>
      <c r="C310" s="3939"/>
      <c r="D310" s="3264" t="s">
        <v>1849</v>
      </c>
      <c r="E310" s="3940"/>
      <c r="F310" s="3255" t="s">
        <v>732</v>
      </c>
      <c r="G310" s="3091"/>
      <c r="H310" s="3341"/>
      <c r="I310" s="3692" t="s">
        <v>3161</v>
      </c>
      <c r="J310" s="3692"/>
      <c r="K310" s="3094" t="s">
        <v>734</v>
      </c>
      <c r="L310" s="3239"/>
      <c r="M310" s="3258"/>
      <c r="N310" s="3086"/>
      <c r="O310" s="3258"/>
      <c r="P310" s="3238"/>
      <c r="Q310" s="3936">
        <v>19</v>
      </c>
      <c r="R310" s="3258" t="s">
        <v>1165</v>
      </c>
      <c r="S310" s="3937">
        <v>10</v>
      </c>
      <c r="T310" s="3258"/>
      <c r="U310" s="3938">
        <v>11</v>
      </c>
      <c r="V310" s="3239"/>
      <c r="W310" s="3258"/>
      <c r="X310" s="3086"/>
      <c r="Y310" s="3258"/>
      <c r="Z310" s="3238"/>
      <c r="AA310" s="3239"/>
      <c r="AB310" s="3258"/>
      <c r="AC310" s="3086"/>
      <c r="AD310" s="3258"/>
      <c r="AE310" s="3238"/>
      <c r="AF310" s="3085"/>
      <c r="AG310" s="3478"/>
      <c r="AH310" s="3478"/>
      <c r="AI310" s="3248" t="s">
        <v>1163</v>
      </c>
      <c r="AJ310" s="3015"/>
    </row>
    <row r="311" spans="2:36" ht="19.350000000000001" customHeight="1">
      <c r="B311" s="3219" t="s">
        <v>2722</v>
      </c>
      <c r="C311" s="3923" t="s">
        <v>3162</v>
      </c>
      <c r="D311" s="3694"/>
      <c r="E311" s="3694"/>
      <c r="F311" s="3145" t="s">
        <v>732</v>
      </c>
      <c r="G311" s="3924"/>
      <c r="H311" s="3694" t="s">
        <v>3163</v>
      </c>
      <c r="I311" s="3694"/>
      <c r="J311" s="3694"/>
      <c r="K311" s="3917" t="s">
        <v>2676</v>
      </c>
      <c r="L311" s="3291"/>
      <c r="M311" s="3365"/>
      <c r="N311" s="3292"/>
      <c r="O311" s="3365"/>
      <c r="P311" s="3290"/>
      <c r="Q311" s="3291"/>
      <c r="R311" s="3365"/>
      <c r="S311" s="3292"/>
      <c r="T311" s="3365"/>
      <c r="U311" s="3290"/>
      <c r="V311" s="3291"/>
      <c r="W311" s="3365"/>
      <c r="X311" s="3292"/>
      <c r="Y311" s="3365"/>
      <c r="Z311" s="3290"/>
      <c r="AA311" s="3291"/>
      <c r="AB311" s="3365"/>
      <c r="AC311" s="3292"/>
      <c r="AD311" s="3365"/>
      <c r="AE311" s="3290"/>
      <c r="AF311" s="3604"/>
      <c r="AG311" s="3605"/>
      <c r="AH311" s="3605"/>
      <c r="AI311" s="3606"/>
      <c r="AJ311" s="3015"/>
    </row>
    <row r="312" spans="2:36" ht="19.350000000000001" customHeight="1">
      <c r="B312" s="3219" t="s">
        <v>2722</v>
      </c>
      <c r="C312" s="3708"/>
      <c r="D312" s="3264" t="s">
        <v>1850</v>
      </c>
      <c r="E312" s="3264"/>
      <c r="F312" s="3255" t="s">
        <v>732</v>
      </c>
      <c r="G312" s="3091"/>
      <c r="H312" s="3321"/>
      <c r="I312" s="3433" t="s">
        <v>3164</v>
      </c>
      <c r="J312" s="3330"/>
      <c r="K312" s="3094" t="s">
        <v>734</v>
      </c>
      <c r="L312" s="3941" t="s">
        <v>2471</v>
      </c>
      <c r="M312" s="3258">
        <v>2</v>
      </c>
      <c r="N312" s="3942" t="s">
        <v>2471</v>
      </c>
      <c r="O312" s="3258"/>
      <c r="P312" s="3943">
        <v>0</v>
      </c>
      <c r="Q312" s="3744">
        <v>0</v>
      </c>
      <c r="R312" s="3258">
        <v>0</v>
      </c>
      <c r="S312" s="3745">
        <v>0</v>
      </c>
      <c r="T312" s="3258"/>
      <c r="U312" s="3943">
        <v>0</v>
      </c>
      <c r="V312" s="3744" t="s">
        <v>2472</v>
      </c>
      <c r="W312" s="3258">
        <v>0</v>
      </c>
      <c r="X312" s="3745" t="s">
        <v>2472</v>
      </c>
      <c r="Y312" s="3258"/>
      <c r="Z312" s="3238"/>
      <c r="AA312" s="3239"/>
      <c r="AB312" s="3258"/>
      <c r="AC312" s="3086"/>
      <c r="AD312" s="3258"/>
      <c r="AE312" s="3238"/>
      <c r="AF312" s="3085"/>
      <c r="AG312" s="3478"/>
      <c r="AH312" s="3478"/>
      <c r="AI312" s="3248" t="s">
        <v>1174</v>
      </c>
      <c r="AJ312" s="3015"/>
    </row>
    <row r="313" spans="2:36" ht="19.350000000000001" customHeight="1">
      <c r="B313" s="3219" t="s">
        <v>2722</v>
      </c>
      <c r="C313" s="3711"/>
      <c r="D313" s="3264" t="s">
        <v>3165</v>
      </c>
      <c r="E313" s="3264"/>
      <c r="F313" s="3255" t="s">
        <v>2708</v>
      </c>
      <c r="G313" s="3091"/>
      <c r="H313" s="3341"/>
      <c r="I313" s="3264" t="s">
        <v>3166</v>
      </c>
      <c r="J313" s="3264"/>
      <c r="K313" s="3094" t="s">
        <v>734</v>
      </c>
      <c r="L313" s="3944">
        <v>0</v>
      </c>
      <c r="M313" s="3377">
        <v>0</v>
      </c>
      <c r="N313" s="3945">
        <v>0</v>
      </c>
      <c r="O313" s="3377"/>
      <c r="P313" s="3946">
        <v>0</v>
      </c>
      <c r="Q313" s="3944">
        <v>0</v>
      </c>
      <c r="R313" s="3377">
        <v>0</v>
      </c>
      <c r="S313" s="3945">
        <v>0</v>
      </c>
      <c r="T313" s="3377"/>
      <c r="U313" s="3946">
        <v>0</v>
      </c>
      <c r="V313" s="3944" t="s">
        <v>2472</v>
      </c>
      <c r="W313" s="3377">
        <v>0</v>
      </c>
      <c r="X313" s="3945" t="s">
        <v>2472</v>
      </c>
      <c r="Y313" s="3377"/>
      <c r="Z313" s="3436"/>
      <c r="AA313" s="3434"/>
      <c r="AB313" s="3377"/>
      <c r="AC313" s="3435"/>
      <c r="AD313" s="3377"/>
      <c r="AE313" s="3436"/>
      <c r="AF313" s="3085"/>
      <c r="AG313" s="3478"/>
      <c r="AH313" s="3478"/>
      <c r="AI313" s="3248" t="s">
        <v>1174</v>
      </c>
      <c r="AJ313" s="3015"/>
    </row>
    <row r="314" spans="2:36" ht="19.350000000000001" customHeight="1">
      <c r="B314" s="3219" t="s">
        <v>2722</v>
      </c>
      <c r="C314" s="3706" t="s">
        <v>3167</v>
      </c>
      <c r="D314" s="3614"/>
      <c r="E314" s="3947"/>
      <c r="F314" s="3898" t="s">
        <v>2676</v>
      </c>
      <c r="G314" s="3924"/>
      <c r="H314" s="3694" t="s">
        <v>3168</v>
      </c>
      <c r="I314" s="3694"/>
      <c r="J314" s="3694"/>
      <c r="K314" s="3917" t="s">
        <v>2676</v>
      </c>
      <c r="L314" s="3948"/>
      <c r="M314" s="3949"/>
      <c r="N314" s="3950"/>
      <c r="O314" s="3949"/>
      <c r="P314" s="3951"/>
      <c r="Q314" s="3948"/>
      <c r="R314" s="3949"/>
      <c r="S314" s="3950"/>
      <c r="T314" s="3949"/>
      <c r="U314" s="3951"/>
      <c r="V314" s="3948"/>
      <c r="W314" s="3949"/>
      <c r="X314" s="3950"/>
      <c r="Y314" s="3949"/>
      <c r="Z314" s="3952"/>
      <c r="AA314" s="3953"/>
      <c r="AB314" s="3949"/>
      <c r="AC314" s="3954"/>
      <c r="AD314" s="3949"/>
      <c r="AE314" s="3952"/>
      <c r="AF314" s="3604"/>
      <c r="AG314" s="3605"/>
      <c r="AH314" s="3605"/>
      <c r="AI314" s="3606"/>
      <c r="AJ314" s="3015"/>
    </row>
    <row r="315" spans="2:36" ht="19.350000000000001" customHeight="1">
      <c r="B315" s="3219" t="s">
        <v>2722</v>
      </c>
      <c r="C315" s="3708"/>
      <c r="D315" s="3264" t="s">
        <v>3169</v>
      </c>
      <c r="E315" s="3264"/>
      <c r="F315" s="3255" t="s">
        <v>2688</v>
      </c>
      <c r="G315" s="3955"/>
      <c r="H315" s="3956"/>
      <c r="I315" s="3957" t="s">
        <v>3170</v>
      </c>
      <c r="J315" s="3958"/>
      <c r="K315" s="3094" t="s">
        <v>2688</v>
      </c>
      <c r="L315" s="3744">
        <v>92.694497153700198</v>
      </c>
      <c r="M315" s="3265"/>
      <c r="N315" s="3745">
        <v>94.71947194719472</v>
      </c>
      <c r="O315" s="3265"/>
      <c r="P315" s="3238"/>
      <c r="Q315" s="3959">
        <v>665</v>
      </c>
      <c r="R315" s="3265" t="s">
        <v>1194</v>
      </c>
      <c r="S315" s="3960">
        <v>542</v>
      </c>
      <c r="T315" s="3265"/>
      <c r="U315" s="3938">
        <v>561</v>
      </c>
      <c r="V315" s="3744">
        <v>95.778364116094977</v>
      </c>
      <c r="W315" s="3265"/>
      <c r="X315" s="3745">
        <v>89.258312020460366</v>
      </c>
      <c r="Y315" s="3265"/>
      <c r="Z315" s="3238"/>
      <c r="AA315" s="3239"/>
      <c r="AB315" s="3258"/>
      <c r="AC315" s="3086"/>
      <c r="AD315" s="3258"/>
      <c r="AE315" s="3238"/>
      <c r="AF315" s="3085"/>
      <c r="AG315" s="3478"/>
      <c r="AH315" s="3478"/>
      <c r="AI315" s="3248" t="s">
        <v>3171</v>
      </c>
      <c r="AJ315" s="3015"/>
    </row>
    <row r="316" spans="2:36" ht="19.350000000000001" customHeight="1">
      <c r="B316" s="3219" t="s">
        <v>2722</v>
      </c>
      <c r="C316" s="3710"/>
      <c r="D316" s="3264" t="s">
        <v>3172</v>
      </c>
      <c r="E316" s="3264"/>
      <c r="F316" s="3255" t="s">
        <v>2688</v>
      </c>
      <c r="G316" s="3955"/>
      <c r="H316" s="3961"/>
      <c r="I316" s="3957" t="s">
        <v>3173</v>
      </c>
      <c r="J316" s="3958"/>
      <c r="K316" s="3094" t="s">
        <v>2688</v>
      </c>
      <c r="L316" s="3744">
        <v>92.694497153700198</v>
      </c>
      <c r="M316" s="3265"/>
      <c r="N316" s="3745">
        <v>94.71947194719472</v>
      </c>
      <c r="O316" s="3265"/>
      <c r="P316" s="3238"/>
      <c r="Q316" s="3744"/>
      <c r="R316" s="3265"/>
      <c r="S316" s="3745"/>
      <c r="T316" s="3265"/>
      <c r="U316" s="3238"/>
      <c r="V316" s="3744">
        <v>96.569920844327171</v>
      </c>
      <c r="W316" s="3265"/>
      <c r="X316" s="3745">
        <v>90.025575447570333</v>
      </c>
      <c r="Y316" s="3265"/>
      <c r="Z316" s="3238"/>
      <c r="AA316" s="3239"/>
      <c r="AB316" s="3258"/>
      <c r="AC316" s="3086"/>
      <c r="AD316" s="3258"/>
      <c r="AE316" s="3238"/>
      <c r="AF316" s="3085"/>
      <c r="AG316" s="3478"/>
      <c r="AH316" s="3478"/>
      <c r="AI316" s="3248" t="s">
        <v>3171</v>
      </c>
      <c r="AJ316" s="3015"/>
    </row>
    <row r="317" spans="2:36" ht="19.350000000000001" customHeight="1">
      <c r="B317" s="3219" t="s">
        <v>2722</v>
      </c>
      <c r="C317" s="3711"/>
      <c r="D317" s="3931" t="s">
        <v>3174</v>
      </c>
      <c r="E317" s="3962"/>
      <c r="F317" s="3255" t="s">
        <v>2688</v>
      </c>
      <c r="G317" s="3955"/>
      <c r="H317" s="3963"/>
      <c r="I317" s="3748" t="s">
        <v>1852</v>
      </c>
      <c r="J317" s="3748"/>
      <c r="K317" s="3094" t="s">
        <v>2688</v>
      </c>
      <c r="L317" s="3744">
        <v>92.694497153700198</v>
      </c>
      <c r="M317" s="3265"/>
      <c r="N317" s="3745">
        <v>94.71947194719472</v>
      </c>
      <c r="O317" s="3265"/>
      <c r="P317" s="3238"/>
      <c r="Q317" s="3744"/>
      <c r="R317" s="3265"/>
      <c r="S317" s="3745"/>
      <c r="T317" s="3265"/>
      <c r="U317" s="3238"/>
      <c r="V317" s="3744">
        <v>96.569920844327171</v>
      </c>
      <c r="W317" s="3265"/>
      <c r="X317" s="3745">
        <v>90.025575447570333</v>
      </c>
      <c r="Y317" s="3265"/>
      <c r="Z317" s="3238"/>
      <c r="AA317" s="3239"/>
      <c r="AB317" s="3258"/>
      <c r="AC317" s="3086"/>
      <c r="AD317" s="3258"/>
      <c r="AE317" s="3238"/>
      <c r="AF317" s="3085"/>
      <c r="AG317" s="3477"/>
      <c r="AH317" s="3478"/>
      <c r="AI317" s="3248" t="s">
        <v>3171</v>
      </c>
      <c r="AJ317" s="3015"/>
    </row>
    <row r="318" spans="2:36" ht="19.350000000000001" customHeight="1">
      <c r="B318" s="3219" t="s">
        <v>2722</v>
      </c>
      <c r="C318" s="3751" t="s">
        <v>3175</v>
      </c>
      <c r="D318" s="3752"/>
      <c r="E318" s="3752"/>
      <c r="F318" s="3255" t="s">
        <v>2688</v>
      </c>
      <c r="G318" s="3955"/>
      <c r="H318" s="3732" t="s">
        <v>3176</v>
      </c>
      <c r="I318" s="3732"/>
      <c r="J318" s="3958"/>
      <c r="K318" s="3094" t="s">
        <v>2688</v>
      </c>
      <c r="L318" s="3402">
        <f t="shared" ref="L318" si="21">IFERROR(L319/L320*100,"-")</f>
        <v>8302.3336329535396</v>
      </c>
      <c r="M318" s="3258"/>
      <c r="N318" s="3494">
        <f>IFERROR(N319/N320*100,"-")</f>
        <v>6970.5534619517111</v>
      </c>
      <c r="O318" s="3258"/>
      <c r="P318" s="3495" t="str">
        <f>IFERROR(P319/P320*100,"-")</f>
        <v>-</v>
      </c>
      <c r="Q318" s="5469">
        <f>IFERROR(Q319/Q320*100,"-")</f>
        <v>7.8456599564427547</v>
      </c>
      <c r="R318" s="3500"/>
      <c r="S318" s="5470">
        <f>IFERROR(S319/S320*100,"-")</f>
        <v>7.4125433273036654</v>
      </c>
      <c r="T318" s="5471"/>
      <c r="U318" s="5472">
        <f>IFERROR(U319/U320*100,"-")</f>
        <v>6.5984879239003984</v>
      </c>
      <c r="V318" s="3402">
        <f>IFERROR(V319/V320*100,"-")</f>
        <v>3.9979412259403513</v>
      </c>
      <c r="W318" s="3258"/>
      <c r="X318" s="3494">
        <f>IFERROR(X319/X320*100,"-")</f>
        <v>3.1804838441454444</v>
      </c>
      <c r="Y318" s="3258"/>
      <c r="Z318" s="3495" t="str">
        <f>IFERROR(Z319/Z320*100,"-")</f>
        <v>-</v>
      </c>
      <c r="AA318" s="3402" t="str">
        <f>IFERROR(AA319/AA320*100,"-")</f>
        <v>-</v>
      </c>
      <c r="AB318" s="3258"/>
      <c r="AC318" s="3494" t="str">
        <f>IFERROR(AC319/AC320*100,"-")</f>
        <v>-</v>
      </c>
      <c r="AD318" s="3258"/>
      <c r="AE318" s="3495" t="str">
        <f>IFERROR(AE319/AE320*100,"-")</f>
        <v>-</v>
      </c>
      <c r="AF318" s="3964"/>
      <c r="AG318" s="3478"/>
      <c r="AH318" s="3478"/>
      <c r="AI318" s="3248" t="s">
        <v>3177</v>
      </c>
      <c r="AJ318" s="3015"/>
    </row>
    <row r="319" spans="2:36" ht="19.350000000000001" customHeight="1">
      <c r="B319" s="3219" t="s">
        <v>2722</v>
      </c>
      <c r="C319" s="3758"/>
      <c r="D319" s="3965" t="s">
        <v>3178</v>
      </c>
      <c r="E319" s="3966"/>
      <c r="F319" s="3255" t="s">
        <v>2600</v>
      </c>
      <c r="G319" s="3955"/>
      <c r="H319" s="3760"/>
      <c r="I319" s="3963" t="s">
        <v>3179</v>
      </c>
      <c r="J319" s="3963"/>
      <c r="K319" s="3094" t="s">
        <v>35</v>
      </c>
      <c r="L319" s="3913">
        <v>195954584.22174096</v>
      </c>
      <c r="M319" s="3967" t="s">
        <v>3180</v>
      </c>
      <c r="N319" s="3915">
        <v>165088566.73236036</v>
      </c>
      <c r="O319" s="3967" t="s">
        <v>2482</v>
      </c>
      <c r="P319" s="3316"/>
      <c r="Q319" s="3968">
        <f>109944389.628/(564-1)</f>
        <v>195283.10768738901</v>
      </c>
      <c r="R319" s="3967" t="s">
        <v>1213</v>
      </c>
      <c r="S319" s="3969">
        <f>133633721.429/(577-1)</f>
        <v>232002.98859201389</v>
      </c>
      <c r="T319" s="3967" t="s">
        <v>1214</v>
      </c>
      <c r="U319" s="3970">
        <f>139533462.5/571</f>
        <v>244366.83450087564</v>
      </c>
      <c r="V319" s="3913">
        <v>79152000</v>
      </c>
      <c r="W319" s="3916">
        <v>0</v>
      </c>
      <c r="X319" s="3915">
        <v>79752000</v>
      </c>
      <c r="Y319" s="3916">
        <v>0</v>
      </c>
      <c r="Z319" s="3316"/>
      <c r="AA319" s="3313"/>
      <c r="AB319" s="3916"/>
      <c r="AC319" s="3315"/>
      <c r="AD319" s="3916"/>
      <c r="AE319" s="3316"/>
      <c r="AF319" s="3971"/>
      <c r="AG319" s="3478"/>
      <c r="AH319" s="3478"/>
      <c r="AI319" s="3248" t="s">
        <v>3177</v>
      </c>
      <c r="AJ319" s="3015"/>
    </row>
    <row r="320" spans="2:36" ht="19.149999999999999" customHeight="1">
      <c r="B320" s="3219" t="s">
        <v>2722</v>
      </c>
      <c r="C320" s="3764"/>
      <c r="D320" s="3972" t="s">
        <v>3181</v>
      </c>
      <c r="E320" s="3973"/>
      <c r="F320" s="3255" t="s">
        <v>2600</v>
      </c>
      <c r="G320" s="3955"/>
      <c r="H320" s="3765"/>
      <c r="I320" s="3974" t="s">
        <v>3182</v>
      </c>
      <c r="J320" s="3974"/>
      <c r="K320" s="3094" t="s">
        <v>35</v>
      </c>
      <c r="L320" s="3744">
        <v>2360235</v>
      </c>
      <c r="M320" s="3975" t="s">
        <v>2484</v>
      </c>
      <c r="N320" s="3745">
        <v>2368371</v>
      </c>
      <c r="O320" s="3975" t="s">
        <v>2484</v>
      </c>
      <c r="P320" s="3238"/>
      <c r="Q320" s="3959">
        <v>2489059.0309999995</v>
      </c>
      <c r="R320" s="3975" t="s">
        <v>1220</v>
      </c>
      <c r="S320" s="3960">
        <v>3129870.2530000005</v>
      </c>
      <c r="T320" s="3975" t="s">
        <v>1214</v>
      </c>
      <c r="U320" s="3938">
        <v>3703376.2480000001</v>
      </c>
      <c r="V320" s="3744">
        <v>1979819000</v>
      </c>
      <c r="W320" s="3258">
        <v>0</v>
      </c>
      <c r="X320" s="3745">
        <v>2507543000</v>
      </c>
      <c r="Y320" s="3258">
        <v>0</v>
      </c>
      <c r="Z320" s="3238"/>
      <c r="AA320" s="3239"/>
      <c r="AB320" s="3258"/>
      <c r="AC320" s="3086"/>
      <c r="AD320" s="3258"/>
      <c r="AE320" s="3238"/>
      <c r="AF320" s="3971"/>
      <c r="AG320" s="3478"/>
      <c r="AH320" s="3478"/>
      <c r="AI320" s="3248" t="s">
        <v>3177</v>
      </c>
      <c r="AJ320" s="3015"/>
    </row>
    <row r="321" spans="1:37" ht="19.350000000000001" hidden="1" customHeight="1">
      <c r="B321" s="3219" t="s">
        <v>2722</v>
      </c>
      <c r="C321" s="3976" t="s">
        <v>3183</v>
      </c>
      <c r="D321" s="3977"/>
      <c r="E321" s="3977"/>
      <c r="F321" s="3255" t="s">
        <v>2688</v>
      </c>
      <c r="G321" s="3955"/>
      <c r="H321" s="3978" t="s">
        <v>3184</v>
      </c>
      <c r="I321" s="3978"/>
      <c r="J321" s="3974"/>
      <c r="K321" s="3094" t="s">
        <v>2688</v>
      </c>
      <c r="L321" s="3342">
        <f t="shared" ref="L321" si="22">IFERROR(L322/L323*100,"-")</f>
        <v>0</v>
      </c>
      <c r="M321" s="3979"/>
      <c r="N321" s="3343">
        <f>IFERROR(N322/N323*100,"-")</f>
        <v>0</v>
      </c>
      <c r="O321" s="3980"/>
      <c r="P321" s="3344" t="str">
        <f>IFERROR(P322/P323*100,"-")</f>
        <v>-</v>
      </c>
      <c r="Q321" s="3342">
        <f>IFERROR(Q322/Q323*100,"-")</f>
        <v>0</v>
      </c>
      <c r="R321" s="3980"/>
      <c r="S321" s="3343">
        <f>IFERROR(S322/S323*100,"-")</f>
        <v>0</v>
      </c>
      <c r="T321" s="3980"/>
      <c r="U321" s="3981" t="str">
        <f>IFERROR(U322/U323*100,"-")</f>
        <v>-</v>
      </c>
      <c r="V321" s="3342">
        <f>IFERROR(V322/V323*100,"-")</f>
        <v>0</v>
      </c>
      <c r="W321" s="3979"/>
      <c r="X321" s="3343">
        <f>IFERROR(X322/X323*100,"-")</f>
        <v>0</v>
      </c>
      <c r="Y321" s="3979"/>
      <c r="Z321" s="3344">
        <f>IFERROR(Z322/Z323*100,"-")</f>
        <v>0</v>
      </c>
      <c r="AA321" s="3342" t="str">
        <f>IFERROR(AA322/AA323*100,"-")</f>
        <v>-</v>
      </c>
      <c r="AB321" s="3979"/>
      <c r="AC321" s="3343" t="str">
        <f>IFERROR(AC322/AC323*100,"-")</f>
        <v>-</v>
      </c>
      <c r="AD321" s="3979"/>
      <c r="AE321" s="3344" t="str">
        <f>IFERROR(AE322/AE323*100,"-")</f>
        <v>-</v>
      </c>
      <c r="AF321" s="3971"/>
      <c r="AG321" s="3478"/>
      <c r="AH321" s="3478"/>
      <c r="AI321" s="3248" t="s">
        <v>3185</v>
      </c>
      <c r="AJ321" s="3015"/>
    </row>
    <row r="322" spans="1:37" ht="19.350000000000001" hidden="1" customHeight="1" thickBot="1">
      <c r="B322" s="3219" t="s">
        <v>2722</v>
      </c>
      <c r="C322" s="3982"/>
      <c r="D322" s="3983" t="s">
        <v>3186</v>
      </c>
      <c r="E322" s="3983"/>
      <c r="F322" s="3255" t="s">
        <v>2600</v>
      </c>
      <c r="G322" s="3955"/>
      <c r="H322" s="3974"/>
      <c r="I322" s="3984" t="s">
        <v>3187</v>
      </c>
      <c r="J322" s="3974"/>
      <c r="K322" s="3094" t="s">
        <v>35</v>
      </c>
      <c r="L322" s="3239"/>
      <c r="M322" s="3985"/>
      <c r="N322" s="3086"/>
      <c r="O322" s="3985"/>
      <c r="P322" s="3238"/>
      <c r="Q322" s="3239"/>
      <c r="R322" s="3986"/>
      <c r="S322" s="3086"/>
      <c r="T322" s="3985"/>
      <c r="U322" s="3938"/>
      <c r="V322" s="3239"/>
      <c r="W322" s="3986"/>
      <c r="X322" s="3086"/>
      <c r="Y322" s="3986"/>
      <c r="Z322" s="3238"/>
      <c r="AA322" s="3239"/>
      <c r="AB322" s="3986"/>
      <c r="AC322" s="3086"/>
      <c r="AD322" s="3986"/>
      <c r="AE322" s="3238"/>
      <c r="AF322" s="3971"/>
      <c r="AG322" s="3478"/>
      <c r="AH322" s="3478"/>
      <c r="AI322" s="3248" t="s">
        <v>3185</v>
      </c>
      <c r="AJ322" s="3015"/>
    </row>
    <row r="323" spans="1:37" ht="19.350000000000001" hidden="1" customHeight="1" thickBot="1">
      <c r="B323" s="3219" t="s">
        <v>2722</v>
      </c>
      <c r="C323" s="3987"/>
      <c r="D323" s="3988" t="s">
        <v>3103</v>
      </c>
      <c r="E323" s="3977"/>
      <c r="F323" s="3255" t="s">
        <v>2600</v>
      </c>
      <c r="G323" s="3955"/>
      <c r="H323" s="3974"/>
      <c r="I323" s="3984" t="s">
        <v>3104</v>
      </c>
      <c r="J323" s="3974"/>
      <c r="K323" s="3094" t="s">
        <v>35</v>
      </c>
      <c r="L323" s="3989">
        <v>1054</v>
      </c>
      <c r="M323" s="3990"/>
      <c r="N323" s="3991">
        <v>909</v>
      </c>
      <c r="O323" s="3990"/>
      <c r="P323" s="3992">
        <v>0</v>
      </c>
      <c r="Q323" s="3989">
        <v>1105</v>
      </c>
      <c r="R323" s="3990"/>
      <c r="S323" s="3991">
        <v>2446</v>
      </c>
      <c r="T323" s="3990"/>
      <c r="U323" s="3993">
        <v>0</v>
      </c>
      <c r="V323" s="3989">
        <v>381</v>
      </c>
      <c r="W323" s="3994"/>
      <c r="X323" s="3991">
        <v>393</v>
      </c>
      <c r="Y323" s="3994"/>
      <c r="Z323" s="3992">
        <v>393</v>
      </c>
      <c r="AA323" s="3989">
        <v>0</v>
      </c>
      <c r="AB323" s="3994"/>
      <c r="AC323" s="3991">
        <v>0</v>
      </c>
      <c r="AD323" s="3994"/>
      <c r="AE323" s="3992">
        <v>0</v>
      </c>
      <c r="AF323" s="3971"/>
      <c r="AG323" s="3478"/>
      <c r="AH323" s="3478"/>
      <c r="AI323" s="3248" t="s">
        <v>3185</v>
      </c>
      <c r="AJ323" s="3015"/>
    </row>
    <row r="324" spans="1:37" ht="19.350000000000001" customHeight="1" thickBot="1">
      <c r="B324" s="3219" t="s">
        <v>2722</v>
      </c>
      <c r="C324" s="3976" t="s">
        <v>3188</v>
      </c>
      <c r="D324" s="3977"/>
      <c r="E324" s="3977"/>
      <c r="F324" s="3995" t="s">
        <v>2688</v>
      </c>
      <c r="G324" s="3360"/>
      <c r="H324" s="3996" t="s">
        <v>3189</v>
      </c>
      <c r="I324" s="3997"/>
      <c r="J324" s="3998"/>
      <c r="K324" s="3912" t="s">
        <v>2688</v>
      </c>
      <c r="L324" s="3313"/>
      <c r="M324" s="3916"/>
      <c r="N324" s="3315"/>
      <c r="O324" s="3916"/>
      <c r="P324" s="3316"/>
      <c r="Q324" s="3999">
        <f>7714582/4420000</f>
        <v>1.7453805429864253</v>
      </c>
      <c r="R324" s="4000"/>
      <c r="S324" s="4001">
        <f>7584148/4420000</f>
        <v>1.715870588235294</v>
      </c>
      <c r="T324" s="3916"/>
      <c r="U324" s="4002">
        <f>7896877/4680000</f>
        <v>1.6873668803418804</v>
      </c>
      <c r="V324" s="3313"/>
      <c r="W324" s="3916"/>
      <c r="X324" s="3315"/>
      <c r="Y324" s="3916"/>
      <c r="Z324" s="3316"/>
      <c r="AA324" s="3313"/>
      <c r="AB324" s="3916"/>
      <c r="AC324" s="3315"/>
      <c r="AD324" s="3916"/>
      <c r="AE324" s="3316"/>
      <c r="AF324" s="3964"/>
      <c r="AG324" s="3478"/>
      <c r="AH324" s="3478"/>
      <c r="AI324" s="3310" t="s">
        <v>3190</v>
      </c>
      <c r="AJ324" s="3015"/>
    </row>
    <row r="325" spans="1:37" ht="27" thickBot="1">
      <c r="B325" s="3219" t="s">
        <v>2722</v>
      </c>
      <c r="C325" s="3105" t="s">
        <v>3191</v>
      </c>
      <c r="D325" s="3106"/>
      <c r="E325" s="3106"/>
      <c r="F325" s="3106"/>
      <c r="G325" s="3895" t="s">
        <v>3192</v>
      </c>
      <c r="H325" s="3108"/>
      <c r="I325" s="3108"/>
      <c r="J325" s="3108"/>
      <c r="K325" s="3106"/>
      <c r="L325" s="3129"/>
      <c r="M325" s="3130"/>
      <c r="N325" s="3130"/>
      <c r="O325" s="3130"/>
      <c r="P325" s="3131"/>
      <c r="Q325" s="3129"/>
      <c r="R325" s="3130"/>
      <c r="S325" s="3130"/>
      <c r="T325" s="3130"/>
      <c r="U325" s="3131"/>
      <c r="V325" s="3129"/>
      <c r="W325" s="3130"/>
      <c r="X325" s="3130"/>
      <c r="Y325" s="3130"/>
      <c r="Z325" s="3131"/>
      <c r="AA325" s="3129"/>
      <c r="AB325" s="3130"/>
      <c r="AC325" s="3130"/>
      <c r="AD325" s="3130"/>
      <c r="AE325" s="3131"/>
      <c r="AF325" s="3129"/>
      <c r="AG325" s="3130"/>
      <c r="AH325" s="3069"/>
      <c r="AI325" s="4003"/>
      <c r="AJ325" s="3623"/>
      <c r="AK325" s="3623"/>
    </row>
    <row r="326" spans="1:37" s="3121" customFormat="1" ht="20.100000000000001" customHeight="1">
      <c r="A326" s="3008"/>
      <c r="B326" s="3219" t="s">
        <v>2722</v>
      </c>
      <c r="C326" s="4004" t="s">
        <v>3193</v>
      </c>
      <c r="D326" s="4005"/>
      <c r="E326" s="4005"/>
      <c r="F326" s="3686" t="s">
        <v>2676</v>
      </c>
      <c r="G326" s="4006"/>
      <c r="H326" s="4007" t="s">
        <v>3194</v>
      </c>
      <c r="I326" s="4007"/>
      <c r="J326" s="4008"/>
      <c r="K326" s="3688" t="s">
        <v>2676</v>
      </c>
      <c r="L326" s="4009"/>
      <c r="M326" s="4010"/>
      <c r="N326" s="4011"/>
      <c r="O326" s="4010"/>
      <c r="P326" s="4012"/>
      <c r="Q326" s="4009"/>
      <c r="R326" s="4010"/>
      <c r="S326" s="4011"/>
      <c r="T326" s="4010"/>
      <c r="U326" s="4012"/>
      <c r="V326" s="4009"/>
      <c r="W326" s="4010"/>
      <c r="X326" s="4011"/>
      <c r="Y326" s="4010"/>
      <c r="Z326" s="4012"/>
      <c r="AA326" s="4009"/>
      <c r="AB326" s="4010"/>
      <c r="AC326" s="4011"/>
      <c r="AD326" s="4010"/>
      <c r="AE326" s="4012"/>
      <c r="AF326" s="4013"/>
      <c r="AG326" s="4014"/>
      <c r="AH326" s="4014"/>
      <c r="AI326" s="4015"/>
      <c r="AJ326" s="3015"/>
    </row>
    <row r="327" spans="1:37" ht="20.100000000000001" customHeight="1">
      <c r="B327" s="3219" t="s">
        <v>2722</v>
      </c>
      <c r="C327" s="3294"/>
      <c r="D327" s="3931" t="s">
        <v>3195</v>
      </c>
      <c r="E327" s="3931"/>
      <c r="F327" s="3432" t="s">
        <v>154</v>
      </c>
      <c r="G327" s="3312"/>
      <c r="H327" s="3295"/>
      <c r="I327" s="3318" t="s">
        <v>3196</v>
      </c>
      <c r="J327" s="3261"/>
      <c r="K327" s="3081" t="s">
        <v>154</v>
      </c>
      <c r="L327" s="4016"/>
      <c r="M327" s="4017"/>
      <c r="N327" s="4018"/>
      <c r="O327" s="4017"/>
      <c r="P327" s="4019"/>
      <c r="Q327" s="4016"/>
      <c r="R327" s="4017"/>
      <c r="S327" s="4018"/>
      <c r="T327" s="4017"/>
      <c r="U327" s="4019"/>
      <c r="V327" s="4016"/>
      <c r="W327" s="4017"/>
      <c r="X327" s="4018"/>
      <c r="Y327" s="4017"/>
      <c r="Z327" s="4019"/>
      <c r="AA327" s="4016"/>
      <c r="AB327" s="4017"/>
      <c r="AC327" s="4018"/>
      <c r="AD327" s="4017"/>
      <c r="AE327" s="4019"/>
      <c r="AF327" s="3964"/>
      <c r="AG327" s="3478"/>
      <c r="AH327" s="3478"/>
      <c r="AI327" s="3934" t="s">
        <v>1240</v>
      </c>
      <c r="AJ327" s="3015"/>
    </row>
    <row r="328" spans="1:37" ht="20.100000000000001" hidden="1" customHeight="1">
      <c r="B328" s="3219" t="s">
        <v>2722</v>
      </c>
      <c r="C328" s="3294"/>
      <c r="D328" s="3931" t="s">
        <v>3197</v>
      </c>
      <c r="E328" s="3931"/>
      <c r="F328" s="3432" t="s">
        <v>154</v>
      </c>
      <c r="G328" s="3312"/>
      <c r="H328" s="3295"/>
      <c r="I328" s="3957" t="s">
        <v>3198</v>
      </c>
      <c r="J328" s="3974"/>
      <c r="K328" s="3119" t="s">
        <v>154</v>
      </c>
      <c r="L328" s="3234"/>
      <c r="M328" s="4020"/>
      <c r="N328" s="3236"/>
      <c r="O328" s="4020"/>
      <c r="P328" s="3447"/>
      <c r="Q328" s="3234"/>
      <c r="R328" s="4020"/>
      <c r="S328" s="3236"/>
      <c r="T328" s="4020"/>
      <c r="U328" s="3447"/>
      <c r="V328" s="3234"/>
      <c r="W328" s="4020"/>
      <c r="X328" s="3236"/>
      <c r="Y328" s="4020"/>
      <c r="Z328" s="3447"/>
      <c r="AA328" s="3234"/>
      <c r="AB328" s="4020"/>
      <c r="AC328" s="3236"/>
      <c r="AD328" s="4020"/>
      <c r="AE328" s="3447"/>
      <c r="AF328" s="3971"/>
      <c r="AG328" s="3478"/>
      <c r="AH328" s="3478"/>
      <c r="AI328" s="3934" t="s">
        <v>3199</v>
      </c>
      <c r="AJ328" s="3015"/>
    </row>
    <row r="329" spans="1:37" ht="20.100000000000001" customHeight="1">
      <c r="B329" s="3219" t="s">
        <v>2722</v>
      </c>
      <c r="C329" s="3294"/>
      <c r="D329" s="3983" t="s">
        <v>3200</v>
      </c>
      <c r="E329" s="3983"/>
      <c r="F329" s="3115" t="s">
        <v>154</v>
      </c>
      <c r="G329" s="3312"/>
      <c r="H329" s="3295"/>
      <c r="I329" s="3984" t="s">
        <v>3201</v>
      </c>
      <c r="J329" s="3974"/>
      <c r="K329" s="3119" t="s">
        <v>154</v>
      </c>
      <c r="L329" s="3234"/>
      <c r="M329" s="4020"/>
      <c r="N329" s="3236"/>
      <c r="O329" s="4020"/>
      <c r="P329" s="3447"/>
      <c r="Q329" s="3234"/>
      <c r="R329" s="4020"/>
      <c r="S329" s="3236"/>
      <c r="T329" s="4020"/>
      <c r="U329" s="3447"/>
      <c r="V329" s="3234"/>
      <c r="W329" s="4020"/>
      <c r="X329" s="3236"/>
      <c r="Y329" s="4020"/>
      <c r="Z329" s="3447"/>
      <c r="AA329" s="3234"/>
      <c r="AB329" s="4020"/>
      <c r="AC329" s="3236"/>
      <c r="AD329" s="4020"/>
      <c r="AE329" s="3447"/>
      <c r="AF329" s="3971"/>
      <c r="AG329" s="3478"/>
      <c r="AH329" s="3478"/>
      <c r="AI329" s="3934" t="s">
        <v>1240</v>
      </c>
      <c r="AJ329" s="3015"/>
    </row>
    <row r="330" spans="1:37" s="3121" customFormat="1" ht="20.100000000000001" hidden="1" customHeight="1">
      <c r="A330" s="3008"/>
      <c r="B330" s="3219" t="s">
        <v>2722</v>
      </c>
      <c r="C330" s="4021"/>
      <c r="D330" s="3983" t="s">
        <v>3202</v>
      </c>
      <c r="E330" s="3983"/>
      <c r="F330" s="3115" t="s">
        <v>154</v>
      </c>
      <c r="G330" s="3312"/>
      <c r="H330" s="3261"/>
      <c r="I330" s="3984" t="s">
        <v>3203</v>
      </c>
      <c r="J330" s="3974"/>
      <c r="K330" s="3119" t="s">
        <v>154</v>
      </c>
      <c r="L330" s="3234"/>
      <c r="M330" s="4020"/>
      <c r="N330" s="3236"/>
      <c r="O330" s="4020"/>
      <c r="P330" s="3447"/>
      <c r="Q330" s="3234"/>
      <c r="R330" s="4020"/>
      <c r="S330" s="3236"/>
      <c r="T330" s="4020"/>
      <c r="U330" s="3447"/>
      <c r="V330" s="3234"/>
      <c r="W330" s="4020"/>
      <c r="X330" s="3236"/>
      <c r="Y330" s="4020"/>
      <c r="Z330" s="3447"/>
      <c r="AA330" s="3234"/>
      <c r="AB330" s="4020"/>
      <c r="AC330" s="3236"/>
      <c r="AD330" s="4020"/>
      <c r="AE330" s="3447"/>
      <c r="AF330" s="3971"/>
      <c r="AG330" s="3478"/>
      <c r="AH330" s="3478"/>
      <c r="AI330" s="3934" t="s">
        <v>3199</v>
      </c>
      <c r="AJ330" s="3015"/>
    </row>
    <row r="331" spans="1:37" ht="20.100000000000001" customHeight="1">
      <c r="B331" s="3219" t="s">
        <v>2722</v>
      </c>
      <c r="C331" s="3751" t="s">
        <v>3204</v>
      </c>
      <c r="D331" s="3752"/>
      <c r="E331" s="3752"/>
      <c r="F331" s="3115" t="s">
        <v>2921</v>
      </c>
      <c r="G331" s="3955"/>
      <c r="H331" s="3732" t="s">
        <v>3205</v>
      </c>
      <c r="I331" s="3732"/>
      <c r="J331" s="3958"/>
      <c r="K331" s="3094" t="s">
        <v>559</v>
      </c>
      <c r="L331" s="3234">
        <v>3</v>
      </c>
      <c r="M331" s="4022" t="s">
        <v>1256</v>
      </c>
      <c r="N331" s="3236">
        <v>2</v>
      </c>
      <c r="O331" s="4020" t="s">
        <v>1257</v>
      </c>
      <c r="P331" s="3447"/>
      <c r="Q331" s="3234">
        <v>0</v>
      </c>
      <c r="R331" s="4020">
        <v>0</v>
      </c>
      <c r="S331" s="3236">
        <v>0</v>
      </c>
      <c r="T331" s="4020">
        <v>0</v>
      </c>
      <c r="U331" s="3447"/>
      <c r="V331" s="3234">
        <v>0</v>
      </c>
      <c r="W331" s="4020" t="s">
        <v>2496</v>
      </c>
      <c r="X331" s="3236">
        <v>0</v>
      </c>
      <c r="Y331" s="4020" t="s">
        <v>2496</v>
      </c>
      <c r="Z331" s="3447"/>
      <c r="AA331" s="3234"/>
      <c r="AB331" s="4020"/>
      <c r="AC331" s="3236"/>
      <c r="AD331" s="4020"/>
      <c r="AE331" s="3447"/>
      <c r="AF331" s="3971"/>
      <c r="AG331" s="3478"/>
      <c r="AH331" s="3478"/>
      <c r="AI331" s="3934" t="s">
        <v>3206</v>
      </c>
      <c r="AJ331" s="3015"/>
    </row>
    <row r="332" spans="1:37" ht="20.100000000000001" customHeight="1">
      <c r="B332" s="3219" t="s">
        <v>2722</v>
      </c>
      <c r="C332" s="3751" t="s">
        <v>3207</v>
      </c>
      <c r="D332" s="3752"/>
      <c r="E332" s="3752"/>
      <c r="F332" s="3115" t="s">
        <v>2921</v>
      </c>
      <c r="G332" s="3955"/>
      <c r="H332" s="3732" t="s">
        <v>3208</v>
      </c>
      <c r="I332" s="3732"/>
      <c r="J332" s="3958"/>
      <c r="K332" s="3094" t="s">
        <v>559</v>
      </c>
      <c r="L332" s="3234"/>
      <c r="M332" s="4022"/>
      <c r="N332" s="3236"/>
      <c r="O332" s="4020"/>
      <c r="P332" s="3447"/>
      <c r="Q332" s="3234"/>
      <c r="R332" s="4020"/>
      <c r="S332" s="3236"/>
      <c r="T332" s="4020"/>
      <c r="U332" s="3447"/>
      <c r="V332" s="3234"/>
      <c r="W332" s="4020"/>
      <c r="X332" s="3236"/>
      <c r="Y332" s="4020"/>
      <c r="Z332" s="3447"/>
      <c r="AA332" s="3234"/>
      <c r="AB332" s="4020"/>
      <c r="AC332" s="3236"/>
      <c r="AD332" s="4020"/>
      <c r="AE332" s="3447"/>
      <c r="AF332" s="3971"/>
      <c r="AG332" s="3478"/>
      <c r="AH332" s="3478"/>
      <c r="AI332" s="3934" t="s">
        <v>1240</v>
      </c>
      <c r="AJ332" s="3015"/>
    </row>
    <row r="333" spans="1:37" ht="20.100000000000001" customHeight="1">
      <c r="B333" s="3219" t="s">
        <v>2722</v>
      </c>
      <c r="C333" s="3751" t="s">
        <v>3209</v>
      </c>
      <c r="D333" s="3752"/>
      <c r="E333" s="3752"/>
      <c r="F333" s="3115" t="s">
        <v>2921</v>
      </c>
      <c r="G333" s="3955"/>
      <c r="H333" s="3732" t="s">
        <v>3210</v>
      </c>
      <c r="I333" s="3732"/>
      <c r="J333" s="3958"/>
      <c r="K333" s="3094" t="s">
        <v>559</v>
      </c>
      <c r="L333" s="3234">
        <v>0</v>
      </c>
      <c r="M333" s="4020">
        <v>0</v>
      </c>
      <c r="N333" s="3236">
        <v>0</v>
      </c>
      <c r="O333" s="4020">
        <v>0</v>
      </c>
      <c r="P333" s="3447"/>
      <c r="Q333" s="3234">
        <v>0</v>
      </c>
      <c r="R333" s="4020">
        <v>0</v>
      </c>
      <c r="S333" s="3236">
        <v>0</v>
      </c>
      <c r="T333" s="4020">
        <v>0</v>
      </c>
      <c r="U333" s="3447"/>
      <c r="V333" s="3234">
        <v>0</v>
      </c>
      <c r="W333" s="4020" t="s">
        <v>2496</v>
      </c>
      <c r="X333" s="3236">
        <v>0</v>
      </c>
      <c r="Y333" s="4020" t="s">
        <v>2496</v>
      </c>
      <c r="Z333" s="3447"/>
      <c r="AA333" s="3234"/>
      <c r="AB333" s="4020"/>
      <c r="AC333" s="3236"/>
      <c r="AD333" s="4020"/>
      <c r="AE333" s="3447"/>
      <c r="AF333" s="3971"/>
      <c r="AG333" s="3478"/>
      <c r="AH333" s="3478"/>
      <c r="AI333" s="3248" t="s">
        <v>3211</v>
      </c>
      <c r="AJ333" s="3015"/>
    </row>
    <row r="334" spans="1:37" ht="20.100000000000001" customHeight="1">
      <c r="B334" s="3219" t="s">
        <v>2722</v>
      </c>
      <c r="C334" s="3651"/>
      <c r="D334" s="3759" t="s">
        <v>3212</v>
      </c>
      <c r="E334" s="3752"/>
      <c r="F334" s="3115" t="s">
        <v>2688</v>
      </c>
      <c r="G334" s="3955"/>
      <c r="H334" s="4023"/>
      <c r="I334" s="3984" t="s">
        <v>3213</v>
      </c>
      <c r="J334" s="3974"/>
      <c r="K334" s="3094" t="s">
        <v>2688</v>
      </c>
      <c r="L334" s="3234"/>
      <c r="M334" s="4020"/>
      <c r="N334" s="3236"/>
      <c r="O334" s="4020"/>
      <c r="P334" s="3447"/>
      <c r="Q334" s="3234"/>
      <c r="R334" s="4020"/>
      <c r="S334" s="3236"/>
      <c r="T334" s="4020"/>
      <c r="U334" s="3447"/>
      <c r="V334" s="3234"/>
      <c r="W334" s="4020"/>
      <c r="X334" s="3236"/>
      <c r="Y334" s="4020"/>
      <c r="Z334" s="3447"/>
      <c r="AA334" s="3234"/>
      <c r="AB334" s="4020"/>
      <c r="AC334" s="3236"/>
      <c r="AD334" s="4020"/>
      <c r="AE334" s="3447"/>
      <c r="AF334" s="3971"/>
      <c r="AG334" s="3478"/>
      <c r="AH334" s="3478"/>
      <c r="AI334" s="3934" t="s">
        <v>1207</v>
      </c>
      <c r="AJ334" s="3015"/>
    </row>
    <row r="335" spans="1:37" ht="20.100000000000001" customHeight="1">
      <c r="B335" s="3219" t="s">
        <v>2722</v>
      </c>
      <c r="C335" s="3590"/>
      <c r="D335" s="3759" t="s">
        <v>3214</v>
      </c>
      <c r="E335" s="3752"/>
      <c r="F335" s="3115" t="s">
        <v>2688</v>
      </c>
      <c r="G335" s="3955"/>
      <c r="H335" s="4024"/>
      <c r="I335" s="3984" t="s">
        <v>3215</v>
      </c>
      <c r="J335" s="3974"/>
      <c r="K335" s="3094" t="s">
        <v>2688</v>
      </c>
      <c r="L335" s="3234"/>
      <c r="M335" s="4020"/>
      <c r="N335" s="3236"/>
      <c r="O335" s="4020"/>
      <c r="P335" s="3447"/>
      <c r="Q335" s="3234"/>
      <c r="R335" s="4020"/>
      <c r="S335" s="3236"/>
      <c r="T335" s="4020"/>
      <c r="U335" s="3447"/>
      <c r="V335" s="3234"/>
      <c r="W335" s="4020"/>
      <c r="X335" s="3236"/>
      <c r="Y335" s="4020"/>
      <c r="Z335" s="3447"/>
      <c r="AA335" s="3234"/>
      <c r="AB335" s="4020"/>
      <c r="AC335" s="3236"/>
      <c r="AD335" s="4020"/>
      <c r="AE335" s="3447"/>
      <c r="AF335" s="3971"/>
      <c r="AG335" s="3478"/>
      <c r="AH335" s="3478"/>
      <c r="AI335" s="4025" t="s">
        <v>1207</v>
      </c>
      <c r="AJ335" s="3015"/>
    </row>
    <row r="336" spans="1:37" ht="20.100000000000001" customHeight="1">
      <c r="B336" s="3219" t="s">
        <v>2722</v>
      </c>
      <c r="C336" s="3976" t="s">
        <v>3216</v>
      </c>
      <c r="D336" s="3977"/>
      <c r="E336" s="3977"/>
      <c r="F336" s="3115" t="s">
        <v>3217</v>
      </c>
      <c r="G336" s="3955"/>
      <c r="H336" s="3978" t="s">
        <v>3218</v>
      </c>
      <c r="I336" s="3978"/>
      <c r="J336" s="3974"/>
      <c r="K336" s="3094" t="s">
        <v>3219</v>
      </c>
      <c r="L336" s="4026">
        <f>L337/L338*1000000</f>
        <v>1.363170407206264</v>
      </c>
      <c r="M336" s="4027"/>
      <c r="N336" s="4028">
        <f>N337/N338*1000000</f>
        <v>1.0537452212654217</v>
      </c>
      <c r="O336" s="4027"/>
      <c r="P336" s="4029"/>
      <c r="Q336" s="4026" t="e">
        <f>Q337/Q338*1000000</f>
        <v>#DIV/0!</v>
      </c>
      <c r="R336" s="4027"/>
      <c r="S336" s="4028" t="e">
        <f>S337/S338*1000000</f>
        <v>#DIV/0!</v>
      </c>
      <c r="T336" s="4027"/>
      <c r="U336" s="4029"/>
      <c r="V336" s="4026">
        <f>V337/V338*1000000</f>
        <v>0</v>
      </c>
      <c r="W336" s="4027"/>
      <c r="X336" s="4028">
        <f>X337/X338*1000000</f>
        <v>0</v>
      </c>
      <c r="Y336" s="4027"/>
      <c r="Z336" s="4029"/>
      <c r="AA336" s="4026"/>
      <c r="AB336" s="4027"/>
      <c r="AC336" s="4028"/>
      <c r="AD336" s="4027"/>
      <c r="AE336" s="4029"/>
      <c r="AF336" s="3971"/>
      <c r="AG336" s="3478"/>
      <c r="AH336" s="3478"/>
      <c r="AI336" s="4025" t="s">
        <v>3220</v>
      </c>
      <c r="AJ336" s="3015"/>
    </row>
    <row r="337" spans="2:36" ht="20.100000000000001" customHeight="1">
      <c r="B337" s="3219" t="s">
        <v>2722</v>
      </c>
      <c r="C337" s="4030"/>
      <c r="D337" s="3759" t="s">
        <v>3221</v>
      </c>
      <c r="E337" s="3752"/>
      <c r="F337" s="3115" t="s">
        <v>2921</v>
      </c>
      <c r="G337" s="3955"/>
      <c r="H337" s="4023"/>
      <c r="I337" s="3984" t="s">
        <v>3222</v>
      </c>
      <c r="J337" s="3974"/>
      <c r="K337" s="3094" t="s">
        <v>559</v>
      </c>
      <c r="L337" s="3234">
        <v>3</v>
      </c>
      <c r="M337" s="4031" t="s">
        <v>1283</v>
      </c>
      <c r="N337" s="3236">
        <v>2</v>
      </c>
      <c r="O337" s="4031" t="s">
        <v>1284</v>
      </c>
      <c r="P337" s="3447"/>
      <c r="Q337" s="3234">
        <v>0</v>
      </c>
      <c r="R337" s="4032">
        <v>0</v>
      </c>
      <c r="S337" s="3236">
        <v>0</v>
      </c>
      <c r="T337" s="4032">
        <v>0</v>
      </c>
      <c r="U337" s="3447"/>
      <c r="V337" s="3234">
        <v>0</v>
      </c>
      <c r="W337" s="4032" t="s">
        <v>2496</v>
      </c>
      <c r="X337" s="3236">
        <v>0</v>
      </c>
      <c r="Y337" s="4032" t="s">
        <v>2496</v>
      </c>
      <c r="Z337" s="3447"/>
      <c r="AA337" s="3234"/>
      <c r="AB337" s="4032"/>
      <c r="AC337" s="3236"/>
      <c r="AD337" s="4032"/>
      <c r="AE337" s="3447"/>
      <c r="AF337" s="3971"/>
      <c r="AG337" s="3478"/>
      <c r="AH337" s="3478"/>
      <c r="AI337" s="4033" t="s">
        <v>3220</v>
      </c>
      <c r="AJ337" s="3015"/>
    </row>
    <row r="338" spans="2:36" ht="20.100000000000001" customHeight="1">
      <c r="B338" s="3219" t="s">
        <v>2722</v>
      </c>
      <c r="C338" s="4034"/>
      <c r="D338" s="3988" t="s">
        <v>3223</v>
      </c>
      <c r="E338" s="3977"/>
      <c r="F338" s="3090" t="s">
        <v>3101</v>
      </c>
      <c r="G338" s="3955"/>
      <c r="H338" s="4024"/>
      <c r="I338" s="3984" t="s">
        <v>3224</v>
      </c>
      <c r="J338" s="3974"/>
      <c r="K338" s="3094" t="s">
        <v>1831</v>
      </c>
      <c r="L338" s="4035">
        <v>2200752</v>
      </c>
      <c r="M338" s="4031" t="s">
        <v>1296</v>
      </c>
      <c r="N338" s="4036">
        <v>1897992</v>
      </c>
      <c r="O338" s="4031" t="s">
        <v>1297</v>
      </c>
      <c r="P338" s="3447"/>
      <c r="Q338" s="4035"/>
      <c r="R338" s="4031"/>
      <c r="S338" s="4036"/>
      <c r="T338" s="4031"/>
      <c r="U338" s="3447"/>
      <c r="V338" s="4035">
        <v>749808</v>
      </c>
      <c r="W338" s="4031" t="s">
        <v>1300</v>
      </c>
      <c r="X338" s="4036">
        <v>773424</v>
      </c>
      <c r="Y338" s="4031" t="s">
        <v>1300</v>
      </c>
      <c r="Z338" s="3447"/>
      <c r="AA338" s="3234"/>
      <c r="AB338" s="4032"/>
      <c r="AC338" s="3236"/>
      <c r="AD338" s="4032"/>
      <c r="AE338" s="3447"/>
      <c r="AF338" s="3971"/>
      <c r="AG338" s="3478"/>
      <c r="AH338" s="3478"/>
      <c r="AI338" s="4033" t="s">
        <v>3220</v>
      </c>
      <c r="AJ338" s="3015"/>
    </row>
    <row r="339" spans="2:36" ht="20.100000000000001" hidden="1" customHeight="1">
      <c r="B339" s="3219" t="s">
        <v>2722</v>
      </c>
      <c r="C339" s="3976" t="s">
        <v>3225</v>
      </c>
      <c r="D339" s="3977"/>
      <c r="E339" s="3977"/>
      <c r="F339" s="3090" t="s">
        <v>3217</v>
      </c>
      <c r="G339" s="3955"/>
      <c r="H339" s="3978" t="s">
        <v>3226</v>
      </c>
      <c r="I339" s="3978"/>
      <c r="J339" s="3974"/>
      <c r="K339" s="3140" t="s">
        <v>3219</v>
      </c>
      <c r="L339" s="3234"/>
      <c r="M339" s="4032"/>
      <c r="N339" s="3236"/>
      <c r="O339" s="4032"/>
      <c r="P339" s="3447"/>
      <c r="Q339" s="3234"/>
      <c r="R339" s="4032"/>
      <c r="S339" s="3236"/>
      <c r="T339" s="4032"/>
      <c r="U339" s="3447"/>
      <c r="V339" s="3234"/>
      <c r="W339" s="4032"/>
      <c r="X339" s="3236"/>
      <c r="Y339" s="4032"/>
      <c r="Z339" s="3447"/>
      <c r="AA339" s="3234"/>
      <c r="AB339" s="4032"/>
      <c r="AC339" s="3236"/>
      <c r="AD339" s="4032"/>
      <c r="AE339" s="3447"/>
      <c r="AF339" s="3971"/>
      <c r="AG339" s="3478"/>
      <c r="AH339" s="3478"/>
      <c r="AI339" s="3248" t="s">
        <v>3227</v>
      </c>
      <c r="AJ339" s="3015"/>
    </row>
    <row r="340" spans="2:36" ht="20.100000000000001" hidden="1" customHeight="1">
      <c r="B340" s="3219" t="s">
        <v>2722</v>
      </c>
      <c r="C340" s="4030"/>
      <c r="D340" s="3988" t="s">
        <v>3228</v>
      </c>
      <c r="E340" s="3977"/>
      <c r="F340" s="3090" t="s">
        <v>2921</v>
      </c>
      <c r="G340" s="3955"/>
      <c r="H340" s="4023"/>
      <c r="I340" s="3984" t="s">
        <v>3229</v>
      </c>
      <c r="J340" s="3974"/>
      <c r="K340" s="3140" t="s">
        <v>559</v>
      </c>
      <c r="L340" s="3234"/>
      <c r="M340" s="4032"/>
      <c r="N340" s="3236"/>
      <c r="O340" s="4032"/>
      <c r="P340" s="3447"/>
      <c r="Q340" s="3234"/>
      <c r="R340" s="4032"/>
      <c r="S340" s="3236"/>
      <c r="T340" s="4032"/>
      <c r="U340" s="3447"/>
      <c r="V340" s="3234"/>
      <c r="W340" s="4032"/>
      <c r="X340" s="3236"/>
      <c r="Y340" s="4032"/>
      <c r="Z340" s="3447"/>
      <c r="AA340" s="3234"/>
      <c r="AB340" s="4032"/>
      <c r="AC340" s="3236"/>
      <c r="AD340" s="4032"/>
      <c r="AE340" s="3447"/>
      <c r="AF340" s="3971"/>
      <c r="AG340" s="3478"/>
      <c r="AH340" s="3478"/>
      <c r="AI340" s="3248" t="s">
        <v>3227</v>
      </c>
      <c r="AJ340" s="3015"/>
    </row>
    <row r="341" spans="2:36" ht="20.100000000000001" hidden="1" customHeight="1">
      <c r="B341" s="3219" t="s">
        <v>2722</v>
      </c>
      <c r="C341" s="4034"/>
      <c r="D341" s="3988" t="s">
        <v>3230</v>
      </c>
      <c r="E341" s="3977"/>
      <c r="F341" s="3090" t="s">
        <v>3101</v>
      </c>
      <c r="G341" s="3955"/>
      <c r="H341" s="4024"/>
      <c r="I341" s="3974" t="s">
        <v>1856</v>
      </c>
      <c r="J341" s="3974"/>
      <c r="K341" s="3140" t="s">
        <v>1831</v>
      </c>
      <c r="L341" s="3234"/>
      <c r="M341" s="4032"/>
      <c r="N341" s="3236"/>
      <c r="O341" s="4032"/>
      <c r="P341" s="3447"/>
      <c r="Q341" s="3234"/>
      <c r="R341" s="4032"/>
      <c r="S341" s="3236"/>
      <c r="T341" s="4032"/>
      <c r="U341" s="3447"/>
      <c r="V341" s="3234"/>
      <c r="W341" s="4032"/>
      <c r="X341" s="3236"/>
      <c r="Y341" s="4032"/>
      <c r="Z341" s="3447"/>
      <c r="AA341" s="3234"/>
      <c r="AB341" s="4032"/>
      <c r="AC341" s="3236"/>
      <c r="AD341" s="4032"/>
      <c r="AE341" s="3447"/>
      <c r="AF341" s="3971"/>
      <c r="AG341" s="3478"/>
      <c r="AH341" s="3478"/>
      <c r="AI341" s="3248" t="s">
        <v>3227</v>
      </c>
      <c r="AJ341" s="3015"/>
    </row>
    <row r="342" spans="2:36" ht="20.100000000000001" hidden="1" customHeight="1">
      <c r="B342" s="3219" t="s">
        <v>2722</v>
      </c>
      <c r="C342" s="3976" t="s">
        <v>3231</v>
      </c>
      <c r="D342" s="3977"/>
      <c r="E342" s="3977"/>
      <c r="F342" s="3090" t="s">
        <v>3232</v>
      </c>
      <c r="G342" s="3955"/>
      <c r="H342" s="3978" t="s">
        <v>3233</v>
      </c>
      <c r="I342" s="3978"/>
      <c r="J342" s="3974"/>
      <c r="K342" s="3140" t="s">
        <v>3234</v>
      </c>
      <c r="L342" s="3234"/>
      <c r="M342" s="4032"/>
      <c r="N342" s="3236"/>
      <c r="O342" s="4032"/>
      <c r="P342" s="3447"/>
      <c r="Q342" s="3234"/>
      <c r="R342" s="4032"/>
      <c r="S342" s="3236"/>
      <c r="T342" s="4032"/>
      <c r="U342" s="3447"/>
      <c r="V342" s="3234"/>
      <c r="W342" s="4032"/>
      <c r="X342" s="3236"/>
      <c r="Y342" s="4032"/>
      <c r="Z342" s="3447"/>
      <c r="AA342" s="3234"/>
      <c r="AB342" s="4032"/>
      <c r="AC342" s="3236"/>
      <c r="AD342" s="4032"/>
      <c r="AE342" s="3447"/>
      <c r="AF342" s="3971"/>
      <c r="AG342" s="3478"/>
      <c r="AH342" s="3478"/>
      <c r="AI342" s="3248" t="s">
        <v>3235</v>
      </c>
      <c r="AJ342" s="3015"/>
    </row>
    <row r="343" spans="2:36" ht="20.100000000000001" hidden="1" customHeight="1">
      <c r="B343" s="3219" t="s">
        <v>2722</v>
      </c>
      <c r="C343" s="4030"/>
      <c r="D343" s="3988" t="s">
        <v>3236</v>
      </c>
      <c r="E343" s="3977"/>
      <c r="F343" s="3090" t="s">
        <v>2921</v>
      </c>
      <c r="G343" s="3955"/>
      <c r="H343" s="4023"/>
      <c r="I343" s="3984" t="s">
        <v>3237</v>
      </c>
      <c r="J343" s="3974"/>
      <c r="K343" s="3140" t="s">
        <v>559</v>
      </c>
      <c r="L343" s="3234"/>
      <c r="M343" s="4032"/>
      <c r="N343" s="3236"/>
      <c r="O343" s="4032"/>
      <c r="P343" s="3447"/>
      <c r="Q343" s="3234"/>
      <c r="R343" s="4032"/>
      <c r="S343" s="3236"/>
      <c r="T343" s="4032"/>
      <c r="U343" s="3447"/>
      <c r="V343" s="3234"/>
      <c r="W343" s="4032"/>
      <c r="X343" s="3236"/>
      <c r="Y343" s="4032"/>
      <c r="Z343" s="3447"/>
      <c r="AA343" s="3234"/>
      <c r="AB343" s="4032"/>
      <c r="AC343" s="3236"/>
      <c r="AD343" s="4032"/>
      <c r="AE343" s="3447"/>
      <c r="AF343" s="3971"/>
      <c r="AG343" s="3478"/>
      <c r="AH343" s="3478"/>
      <c r="AI343" s="3248" t="s">
        <v>3235</v>
      </c>
      <c r="AJ343" s="3015"/>
    </row>
    <row r="344" spans="2:36" ht="20.100000000000001" hidden="1" customHeight="1">
      <c r="B344" s="3219" t="s">
        <v>2722</v>
      </c>
      <c r="C344" s="4034"/>
      <c r="D344" s="3988" t="s">
        <v>3223</v>
      </c>
      <c r="E344" s="3977"/>
      <c r="F344" s="3090" t="s">
        <v>3101</v>
      </c>
      <c r="G344" s="3955"/>
      <c r="H344" s="4024"/>
      <c r="I344" s="3984" t="s">
        <v>3224</v>
      </c>
      <c r="J344" s="3974"/>
      <c r="K344" s="3140" t="s">
        <v>1831</v>
      </c>
      <c r="L344" s="4037">
        <f>L338</f>
        <v>2200752</v>
      </c>
      <c r="M344" s="4032"/>
      <c r="N344" s="4038">
        <f>N338</f>
        <v>1897992</v>
      </c>
      <c r="O344" s="4032"/>
      <c r="P344" s="4039">
        <f>P338</f>
        <v>0</v>
      </c>
      <c r="Q344" s="4037">
        <f>Q338</f>
        <v>0</v>
      </c>
      <c r="R344" s="4032"/>
      <c r="S344" s="4038">
        <f>S338</f>
        <v>0</v>
      </c>
      <c r="T344" s="4032"/>
      <c r="U344" s="4039">
        <f>U338</f>
        <v>0</v>
      </c>
      <c r="V344" s="4037">
        <f>V338</f>
        <v>749808</v>
      </c>
      <c r="W344" s="4032"/>
      <c r="X344" s="4038">
        <f>X338</f>
        <v>773424</v>
      </c>
      <c r="Y344" s="4032"/>
      <c r="Z344" s="4039">
        <f>Z338</f>
        <v>0</v>
      </c>
      <c r="AA344" s="4037">
        <f>AA338</f>
        <v>0</v>
      </c>
      <c r="AB344" s="4032"/>
      <c r="AC344" s="4038">
        <f>AC338</f>
        <v>0</v>
      </c>
      <c r="AD344" s="4032"/>
      <c r="AE344" s="4039">
        <f>AE338</f>
        <v>0</v>
      </c>
      <c r="AF344" s="3971"/>
      <c r="AG344" s="3478"/>
      <c r="AH344" s="3478"/>
      <c r="AI344" s="3248" t="s">
        <v>3235</v>
      </c>
      <c r="AJ344" s="3015"/>
    </row>
    <row r="345" spans="2:36" ht="20.100000000000001" hidden="1" customHeight="1">
      <c r="B345" s="3219" t="s">
        <v>2722</v>
      </c>
      <c r="C345" s="3976" t="s">
        <v>3238</v>
      </c>
      <c r="D345" s="3977"/>
      <c r="E345" s="3977"/>
      <c r="F345" s="3090" t="s">
        <v>3239</v>
      </c>
      <c r="G345" s="3312"/>
      <c r="H345" s="3125" t="s">
        <v>3240</v>
      </c>
      <c r="I345" s="3125"/>
      <c r="J345" s="3126"/>
      <c r="K345" s="3140" t="s">
        <v>3234</v>
      </c>
      <c r="L345" s="3234"/>
      <c r="M345" s="4032"/>
      <c r="N345" s="3236"/>
      <c r="O345" s="4032"/>
      <c r="P345" s="3447"/>
      <c r="Q345" s="3234"/>
      <c r="R345" s="4032"/>
      <c r="S345" s="3236"/>
      <c r="T345" s="4032"/>
      <c r="U345" s="3447"/>
      <c r="V345" s="3234"/>
      <c r="W345" s="4032"/>
      <c r="X345" s="3236"/>
      <c r="Y345" s="4032"/>
      <c r="Z345" s="3447"/>
      <c r="AA345" s="3234"/>
      <c r="AB345" s="4032"/>
      <c r="AC345" s="3236"/>
      <c r="AD345" s="4032"/>
      <c r="AE345" s="3447"/>
      <c r="AF345" s="3971"/>
      <c r="AG345" s="3478"/>
      <c r="AH345" s="3478"/>
      <c r="AI345" s="3248" t="s">
        <v>3199</v>
      </c>
      <c r="AJ345" s="3015"/>
    </row>
    <row r="346" spans="2:36" ht="20.100000000000001" hidden="1" customHeight="1">
      <c r="B346" s="3219" t="s">
        <v>2722</v>
      </c>
      <c r="C346" s="4030"/>
      <c r="D346" s="3988" t="s">
        <v>3236</v>
      </c>
      <c r="E346" s="3977"/>
      <c r="F346" s="3090" t="s">
        <v>2921</v>
      </c>
      <c r="G346" s="3955"/>
      <c r="H346" s="4023"/>
      <c r="I346" s="3984" t="s">
        <v>3241</v>
      </c>
      <c r="J346" s="3974"/>
      <c r="K346" s="3140" t="s">
        <v>559</v>
      </c>
      <c r="L346" s="3234"/>
      <c r="M346" s="4032"/>
      <c r="N346" s="3236"/>
      <c r="O346" s="4032"/>
      <c r="P346" s="3447"/>
      <c r="Q346" s="3234"/>
      <c r="R346" s="4032"/>
      <c r="S346" s="3236"/>
      <c r="T346" s="4032"/>
      <c r="U346" s="3447"/>
      <c r="V346" s="3234"/>
      <c r="W346" s="4032"/>
      <c r="X346" s="3236"/>
      <c r="Y346" s="4032"/>
      <c r="Z346" s="3447"/>
      <c r="AA346" s="3234"/>
      <c r="AB346" s="4032"/>
      <c r="AC346" s="3236"/>
      <c r="AD346" s="4032"/>
      <c r="AE346" s="3447"/>
      <c r="AF346" s="3971"/>
      <c r="AG346" s="3478"/>
      <c r="AH346" s="3478"/>
      <c r="AI346" s="3248" t="s">
        <v>3199</v>
      </c>
      <c r="AJ346" s="3015"/>
    </row>
    <row r="347" spans="2:36" ht="20.100000000000001" hidden="1" customHeight="1">
      <c r="B347" s="3219" t="s">
        <v>2722</v>
      </c>
      <c r="C347" s="4034"/>
      <c r="D347" s="3988" t="s">
        <v>3223</v>
      </c>
      <c r="E347" s="3977"/>
      <c r="F347" s="3090" t="s">
        <v>3101</v>
      </c>
      <c r="G347" s="3955"/>
      <c r="H347" s="4024"/>
      <c r="I347" s="3984" t="s">
        <v>3224</v>
      </c>
      <c r="J347" s="3974"/>
      <c r="K347" s="3140" t="s">
        <v>1831</v>
      </c>
      <c r="L347" s="4037">
        <f>L338</f>
        <v>2200752</v>
      </c>
      <c r="M347" s="4032"/>
      <c r="N347" s="4038">
        <f>N338</f>
        <v>1897992</v>
      </c>
      <c r="O347" s="4032"/>
      <c r="P347" s="3447">
        <f>P338</f>
        <v>0</v>
      </c>
      <c r="Q347" s="3234">
        <f>Q338</f>
        <v>0</v>
      </c>
      <c r="R347" s="4032"/>
      <c r="S347" s="3236">
        <f>S338</f>
        <v>0</v>
      </c>
      <c r="T347" s="4032"/>
      <c r="U347" s="3447">
        <f>U338</f>
        <v>0</v>
      </c>
      <c r="V347" s="3234">
        <f>V338</f>
        <v>749808</v>
      </c>
      <c r="W347" s="4032"/>
      <c r="X347" s="3236">
        <f>X338</f>
        <v>773424</v>
      </c>
      <c r="Y347" s="4032"/>
      <c r="Z347" s="3447"/>
      <c r="AA347" s="3234"/>
      <c r="AB347" s="4032"/>
      <c r="AC347" s="3236"/>
      <c r="AD347" s="4032"/>
      <c r="AE347" s="3447"/>
      <c r="AF347" s="3971"/>
      <c r="AG347" s="3478"/>
      <c r="AH347" s="3478"/>
      <c r="AI347" s="3248" t="s">
        <v>3199</v>
      </c>
      <c r="AJ347" s="3015"/>
    </row>
    <row r="348" spans="2:36" ht="20.100000000000001" hidden="1" customHeight="1">
      <c r="B348" s="3219" t="s">
        <v>2722</v>
      </c>
      <c r="C348" s="3976" t="s">
        <v>3242</v>
      </c>
      <c r="D348" s="3977"/>
      <c r="E348" s="3977"/>
      <c r="F348" s="3090" t="s">
        <v>2921</v>
      </c>
      <c r="G348" s="3955"/>
      <c r="H348" s="3978" t="s">
        <v>3243</v>
      </c>
      <c r="I348" s="3978"/>
      <c r="J348" s="3974"/>
      <c r="K348" s="3094" t="s">
        <v>559</v>
      </c>
      <c r="L348" s="3234">
        <v>0</v>
      </c>
      <c r="M348" s="4020"/>
      <c r="N348" s="3236">
        <v>0</v>
      </c>
      <c r="O348" s="4020"/>
      <c r="P348" s="3447"/>
      <c r="Q348" s="3234">
        <v>0</v>
      </c>
      <c r="R348" s="4020"/>
      <c r="S348" s="3236">
        <v>0</v>
      </c>
      <c r="T348" s="4020"/>
      <c r="U348" s="3447"/>
      <c r="V348" s="3234">
        <v>0</v>
      </c>
      <c r="W348" s="4020"/>
      <c r="X348" s="3236">
        <v>0</v>
      </c>
      <c r="Y348" s="4020"/>
      <c r="Z348" s="3447"/>
      <c r="AA348" s="3234"/>
      <c r="AB348" s="4020"/>
      <c r="AC348" s="3236"/>
      <c r="AD348" s="4020"/>
      <c r="AE348" s="3447"/>
      <c r="AF348" s="3971"/>
      <c r="AG348" s="3478"/>
      <c r="AH348" s="3478"/>
      <c r="AI348" s="4040" t="s">
        <v>3244</v>
      </c>
      <c r="AJ348" s="3015"/>
    </row>
    <row r="349" spans="2:36" ht="20.100000000000001" customHeight="1">
      <c r="B349" s="3219" t="s">
        <v>2722</v>
      </c>
      <c r="C349" s="3976" t="s">
        <v>3245</v>
      </c>
      <c r="D349" s="3977"/>
      <c r="E349" s="3977"/>
      <c r="F349" s="3090" t="s">
        <v>2921</v>
      </c>
      <c r="G349" s="3955"/>
      <c r="H349" s="3978" t="s">
        <v>3246</v>
      </c>
      <c r="I349" s="3978"/>
      <c r="J349" s="3974"/>
      <c r="K349" s="3094" t="s">
        <v>559</v>
      </c>
      <c r="L349" s="3234"/>
      <c r="M349" s="4020"/>
      <c r="N349" s="3236"/>
      <c r="O349" s="4020"/>
      <c r="P349" s="3447"/>
      <c r="Q349" s="3234"/>
      <c r="R349" s="4020"/>
      <c r="S349" s="3236"/>
      <c r="T349" s="4020"/>
      <c r="U349" s="3447"/>
      <c r="V349" s="3234"/>
      <c r="W349" s="4020"/>
      <c r="X349" s="3236"/>
      <c r="Y349" s="4020"/>
      <c r="Z349" s="3447"/>
      <c r="AA349" s="3234"/>
      <c r="AB349" s="4020"/>
      <c r="AC349" s="3236"/>
      <c r="AD349" s="4020"/>
      <c r="AE349" s="3447"/>
      <c r="AF349" s="3971"/>
      <c r="AG349" s="3478"/>
      <c r="AH349" s="3478"/>
      <c r="AI349" s="4040" t="s">
        <v>3220</v>
      </c>
      <c r="AJ349" s="3015"/>
    </row>
    <row r="350" spans="2:36" ht="20.100000000000001" customHeight="1">
      <c r="B350" s="3219" t="s">
        <v>2722</v>
      </c>
      <c r="C350" s="3976" t="s">
        <v>3247</v>
      </c>
      <c r="D350" s="3977"/>
      <c r="E350" s="3977"/>
      <c r="F350" s="3101" t="s">
        <v>2921</v>
      </c>
      <c r="G350" s="3955"/>
      <c r="H350" s="3978" t="s">
        <v>3248</v>
      </c>
      <c r="I350" s="3978"/>
      <c r="J350" s="4023"/>
      <c r="K350" s="3104" t="s">
        <v>559</v>
      </c>
      <c r="L350" s="3441"/>
      <c r="M350" s="4041"/>
      <c r="N350" s="3443"/>
      <c r="O350" s="4041"/>
      <c r="P350" s="3444"/>
      <c r="Q350" s="3441"/>
      <c r="R350" s="4041"/>
      <c r="S350" s="3443"/>
      <c r="T350" s="4041"/>
      <c r="U350" s="3444"/>
      <c r="V350" s="3441"/>
      <c r="W350" s="4041"/>
      <c r="X350" s="3443"/>
      <c r="Y350" s="4041"/>
      <c r="Z350" s="3444"/>
      <c r="AA350" s="3441"/>
      <c r="AB350" s="4041"/>
      <c r="AC350" s="3443"/>
      <c r="AD350" s="4041"/>
      <c r="AE350" s="3444"/>
      <c r="AF350" s="3971"/>
      <c r="AG350" s="3478"/>
      <c r="AH350" s="3478"/>
      <c r="AI350" s="3405" t="s">
        <v>3249</v>
      </c>
      <c r="AJ350" s="3015"/>
    </row>
    <row r="351" spans="2:36" ht="20.100000000000001" customHeight="1">
      <c r="B351" s="3219" t="s">
        <v>2722</v>
      </c>
      <c r="C351" s="3249" t="s">
        <v>3250</v>
      </c>
      <c r="D351" s="3089"/>
      <c r="E351" s="3089"/>
      <c r="F351" s="3090" t="s">
        <v>2688</v>
      </c>
      <c r="G351" s="4042"/>
      <c r="H351" s="4043" t="s">
        <v>3251</v>
      </c>
      <c r="I351" s="4043"/>
      <c r="J351" s="4044"/>
      <c r="K351" s="3094" t="s">
        <v>2688</v>
      </c>
      <c r="L351" s="3234"/>
      <c r="M351" s="4020"/>
      <c r="N351" s="3236"/>
      <c r="O351" s="4020"/>
      <c r="P351" s="3447"/>
      <c r="Q351" s="3234"/>
      <c r="R351" s="4020"/>
      <c r="S351" s="3236"/>
      <c r="T351" s="4020"/>
      <c r="U351" s="3447"/>
      <c r="V351" s="3234"/>
      <c r="W351" s="4020"/>
      <c r="X351" s="3236"/>
      <c r="Y351" s="4020"/>
      <c r="Z351" s="3447"/>
      <c r="AA351" s="3234"/>
      <c r="AB351" s="4020"/>
      <c r="AC351" s="3236"/>
      <c r="AD351" s="4020"/>
      <c r="AE351" s="3447"/>
      <c r="AF351" s="3971"/>
      <c r="AG351" s="3478"/>
      <c r="AH351" s="3478"/>
      <c r="AI351" s="3405" t="s">
        <v>3252</v>
      </c>
      <c r="AJ351" s="3015"/>
    </row>
    <row r="352" spans="2:36" ht="20.100000000000001" customHeight="1">
      <c r="B352" s="3219" t="s">
        <v>2722</v>
      </c>
      <c r="C352" s="4030"/>
      <c r="D352" s="3988" t="s">
        <v>3253</v>
      </c>
      <c r="E352" s="3977"/>
      <c r="F352" s="3090" t="s">
        <v>2708</v>
      </c>
      <c r="G352" s="3955"/>
      <c r="H352" s="4023"/>
      <c r="I352" s="3984" t="s">
        <v>3254</v>
      </c>
      <c r="J352" s="3974"/>
      <c r="K352" s="3094" t="s">
        <v>734</v>
      </c>
      <c r="L352" s="3234">
        <v>0</v>
      </c>
      <c r="M352" s="4020">
        <v>0</v>
      </c>
      <c r="N352" s="3236">
        <v>0</v>
      </c>
      <c r="O352" s="4020">
        <v>0</v>
      </c>
      <c r="P352" s="3447"/>
      <c r="Q352" s="3234">
        <v>428</v>
      </c>
      <c r="R352" s="4022" t="s">
        <v>1348</v>
      </c>
      <c r="S352" s="3236">
        <v>427</v>
      </c>
      <c r="T352" s="4022" t="s">
        <v>1348</v>
      </c>
      <c r="U352" s="3447">
        <v>0</v>
      </c>
      <c r="V352" s="3234">
        <v>0</v>
      </c>
      <c r="W352" s="4022" t="s">
        <v>1350</v>
      </c>
      <c r="X352" s="3236">
        <v>0</v>
      </c>
      <c r="Y352" s="4022" t="s">
        <v>1350</v>
      </c>
      <c r="Z352" s="3447"/>
      <c r="AA352" s="3234"/>
      <c r="AB352" s="4020"/>
      <c r="AC352" s="3236"/>
      <c r="AD352" s="4020"/>
      <c r="AE352" s="3447"/>
      <c r="AF352" s="3971"/>
      <c r="AG352" s="3478"/>
      <c r="AH352" s="3478"/>
      <c r="AI352" s="3405" t="s">
        <v>3252</v>
      </c>
      <c r="AJ352" s="3015"/>
    </row>
    <row r="353" spans="2:36" ht="20.100000000000001" customHeight="1" thickBot="1">
      <c r="B353" s="3219" t="s">
        <v>2722</v>
      </c>
      <c r="C353" s="4034"/>
      <c r="D353" s="3983" t="s">
        <v>3255</v>
      </c>
      <c r="E353" s="3983"/>
      <c r="F353" s="3101" t="s">
        <v>2708</v>
      </c>
      <c r="G353" s="3765"/>
      <c r="H353" s="4024"/>
      <c r="I353" s="3984" t="s">
        <v>1861</v>
      </c>
      <c r="J353" s="4023"/>
      <c r="K353" s="3104" t="s">
        <v>734</v>
      </c>
      <c r="L353" s="3441">
        <v>0</v>
      </c>
      <c r="M353" s="4041">
        <v>0</v>
      </c>
      <c r="N353" s="3443">
        <v>0</v>
      </c>
      <c r="O353" s="4041">
        <v>0</v>
      </c>
      <c r="P353" s="3444"/>
      <c r="Q353" s="3441">
        <v>564</v>
      </c>
      <c r="R353" s="4041" t="s">
        <v>759</v>
      </c>
      <c r="S353" s="3443">
        <v>577</v>
      </c>
      <c r="T353" s="4041" t="s">
        <v>759</v>
      </c>
      <c r="U353" s="3444"/>
      <c r="V353" s="3441">
        <v>379</v>
      </c>
      <c r="W353" s="4041">
        <v>0</v>
      </c>
      <c r="X353" s="3443">
        <v>391</v>
      </c>
      <c r="Y353" s="4041">
        <v>0</v>
      </c>
      <c r="Z353" s="3444"/>
      <c r="AA353" s="3441"/>
      <c r="AB353" s="4041"/>
      <c r="AC353" s="3443"/>
      <c r="AD353" s="4041"/>
      <c r="AE353" s="3444"/>
      <c r="AF353" s="3971"/>
      <c r="AG353" s="3478"/>
      <c r="AH353" s="3478"/>
      <c r="AI353" s="3405" t="s">
        <v>3252</v>
      </c>
      <c r="AJ353" s="3015"/>
    </row>
    <row r="354" spans="2:36" ht="20.100000000000001" hidden="1" customHeight="1" thickBot="1">
      <c r="B354" s="3219" t="s">
        <v>2722</v>
      </c>
      <c r="C354" s="3976" t="s">
        <v>3256</v>
      </c>
      <c r="D354" s="3977"/>
      <c r="E354" s="3977"/>
      <c r="F354" s="3101" t="s">
        <v>2688</v>
      </c>
      <c r="G354" s="3748"/>
      <c r="H354" s="3978" t="s">
        <v>3257</v>
      </c>
      <c r="I354" s="3978"/>
      <c r="J354" s="4045"/>
      <c r="K354" s="3104" t="s">
        <v>2688</v>
      </c>
      <c r="L354" s="3441"/>
      <c r="M354" s="4041"/>
      <c r="N354" s="3443"/>
      <c r="O354" s="4041"/>
      <c r="P354" s="3444"/>
      <c r="Q354" s="3441"/>
      <c r="R354" s="4041"/>
      <c r="S354" s="3443"/>
      <c r="T354" s="4041"/>
      <c r="U354" s="3444"/>
      <c r="V354" s="3441"/>
      <c r="W354" s="4041"/>
      <c r="X354" s="3443"/>
      <c r="Y354" s="4041"/>
      <c r="Z354" s="3444"/>
      <c r="AA354" s="3441"/>
      <c r="AB354" s="4041"/>
      <c r="AC354" s="3443"/>
      <c r="AD354" s="4041"/>
      <c r="AE354" s="3444"/>
      <c r="AF354" s="3971"/>
      <c r="AG354" s="3478"/>
      <c r="AH354" s="3478"/>
      <c r="AI354" s="3248" t="s">
        <v>3258</v>
      </c>
      <c r="AJ354" s="3015"/>
    </row>
    <row r="355" spans="2:36" ht="20.100000000000001" hidden="1" customHeight="1" thickBot="1">
      <c r="B355" s="3219" t="s">
        <v>2722</v>
      </c>
      <c r="C355" s="4030"/>
      <c r="D355" s="4046" t="s">
        <v>3259</v>
      </c>
      <c r="E355" s="4047"/>
      <c r="F355" s="3101" t="s">
        <v>3091</v>
      </c>
      <c r="G355" s="3760"/>
      <c r="H355" s="4023"/>
      <c r="I355" s="3984" t="s">
        <v>3260</v>
      </c>
      <c r="J355" s="4023"/>
      <c r="K355" s="3104" t="s">
        <v>3093</v>
      </c>
      <c r="L355" s="3441"/>
      <c r="M355" s="4041"/>
      <c r="N355" s="3443"/>
      <c r="O355" s="4041"/>
      <c r="P355" s="3444"/>
      <c r="Q355" s="3441"/>
      <c r="R355" s="4041"/>
      <c r="S355" s="3443"/>
      <c r="T355" s="4041"/>
      <c r="U355" s="3444"/>
      <c r="V355" s="3441"/>
      <c r="W355" s="4041"/>
      <c r="X355" s="3443"/>
      <c r="Y355" s="4041"/>
      <c r="Z355" s="3444"/>
      <c r="AA355" s="3441"/>
      <c r="AB355" s="4041"/>
      <c r="AC355" s="3443"/>
      <c r="AD355" s="4041"/>
      <c r="AE355" s="3444"/>
      <c r="AF355" s="3971"/>
      <c r="AG355" s="3478"/>
      <c r="AH355" s="3478"/>
      <c r="AI355" s="3248" t="s">
        <v>3258</v>
      </c>
      <c r="AJ355" s="3015"/>
    </row>
    <row r="356" spans="2:36" ht="20.100000000000001" hidden="1" customHeight="1" thickBot="1">
      <c r="B356" s="3219" t="s">
        <v>2722</v>
      </c>
      <c r="C356" s="4034"/>
      <c r="D356" s="3988" t="s">
        <v>3261</v>
      </c>
      <c r="E356" s="3977"/>
      <c r="F356" s="3101" t="s">
        <v>3091</v>
      </c>
      <c r="G356" s="3765"/>
      <c r="H356" s="4024"/>
      <c r="I356" s="3984" t="s">
        <v>3262</v>
      </c>
      <c r="J356" s="4023"/>
      <c r="K356" s="3104" t="s">
        <v>3093</v>
      </c>
      <c r="L356" s="3441"/>
      <c r="M356" s="4041"/>
      <c r="N356" s="3443"/>
      <c r="O356" s="4041"/>
      <c r="P356" s="3444"/>
      <c r="Q356" s="3441"/>
      <c r="R356" s="4041"/>
      <c r="S356" s="3443"/>
      <c r="T356" s="4041"/>
      <c r="U356" s="3444"/>
      <c r="V356" s="3441"/>
      <c r="W356" s="4041"/>
      <c r="X356" s="3443"/>
      <c r="Y356" s="4041"/>
      <c r="Z356" s="3444"/>
      <c r="AA356" s="3441"/>
      <c r="AB356" s="4041"/>
      <c r="AC356" s="3443"/>
      <c r="AD356" s="4041"/>
      <c r="AE356" s="3444"/>
      <c r="AF356" s="3971"/>
      <c r="AG356" s="3478"/>
      <c r="AH356" s="3478"/>
      <c r="AI356" s="3248" t="s">
        <v>3258</v>
      </c>
      <c r="AJ356" s="3015"/>
    </row>
    <row r="357" spans="2:36" ht="20.100000000000001" hidden="1" customHeight="1" thickBot="1">
      <c r="B357" s="3219" t="s">
        <v>2722</v>
      </c>
      <c r="C357" s="3976" t="s">
        <v>3263</v>
      </c>
      <c r="D357" s="3977"/>
      <c r="E357" s="3977"/>
      <c r="F357" s="3101" t="s">
        <v>2688</v>
      </c>
      <c r="G357" s="3748"/>
      <c r="H357" s="3978" t="s">
        <v>3264</v>
      </c>
      <c r="I357" s="3978"/>
      <c r="J357" s="4045"/>
      <c r="K357" s="3104" t="s">
        <v>2688</v>
      </c>
      <c r="L357" s="3441"/>
      <c r="M357" s="4041"/>
      <c r="N357" s="3443"/>
      <c r="O357" s="4041"/>
      <c r="P357" s="3444"/>
      <c r="Q357" s="3441"/>
      <c r="R357" s="4041"/>
      <c r="S357" s="3443"/>
      <c r="T357" s="4041"/>
      <c r="U357" s="3444"/>
      <c r="V357" s="3441"/>
      <c r="W357" s="4041"/>
      <c r="X357" s="3443"/>
      <c r="Y357" s="4041"/>
      <c r="Z357" s="3444"/>
      <c r="AA357" s="3441"/>
      <c r="AB357" s="4041"/>
      <c r="AC357" s="3443"/>
      <c r="AD357" s="4041"/>
      <c r="AE357" s="3444"/>
      <c r="AF357" s="3971"/>
      <c r="AG357" s="3478"/>
      <c r="AH357" s="3478"/>
      <c r="AI357" s="3248" t="s">
        <v>3265</v>
      </c>
      <c r="AJ357" s="3015"/>
    </row>
    <row r="358" spans="2:36" ht="20.100000000000001" hidden="1" customHeight="1" thickBot="1">
      <c r="B358" s="3219" t="s">
        <v>2722</v>
      </c>
      <c r="C358" s="4030"/>
      <c r="D358" s="3988" t="s">
        <v>3266</v>
      </c>
      <c r="E358" s="3977"/>
      <c r="F358" s="3101" t="s">
        <v>3091</v>
      </c>
      <c r="G358" s="3760"/>
      <c r="H358" s="4023"/>
      <c r="I358" s="3322" t="s">
        <v>3267</v>
      </c>
      <c r="J358" s="3497"/>
      <c r="K358" s="3104" t="s">
        <v>3093</v>
      </c>
      <c r="L358" s="3441"/>
      <c r="M358" s="4041"/>
      <c r="N358" s="3443"/>
      <c r="O358" s="4041"/>
      <c r="P358" s="3444"/>
      <c r="Q358" s="3441"/>
      <c r="R358" s="4041"/>
      <c r="S358" s="3443"/>
      <c r="T358" s="4041"/>
      <c r="U358" s="3444"/>
      <c r="V358" s="3441"/>
      <c r="W358" s="4041"/>
      <c r="X358" s="3443"/>
      <c r="Y358" s="4041"/>
      <c r="Z358" s="3444"/>
      <c r="AA358" s="3441"/>
      <c r="AB358" s="4041"/>
      <c r="AC358" s="3443"/>
      <c r="AD358" s="4041"/>
      <c r="AE358" s="3444"/>
      <c r="AF358" s="3971"/>
      <c r="AG358" s="3478"/>
      <c r="AH358" s="3478"/>
      <c r="AI358" s="3248" t="s">
        <v>3265</v>
      </c>
      <c r="AJ358" s="3015"/>
    </row>
    <row r="359" spans="2:36" ht="20.100000000000001" hidden="1" customHeight="1" thickBot="1">
      <c r="B359" s="3219" t="s">
        <v>2722</v>
      </c>
      <c r="C359" s="4034"/>
      <c r="D359" s="3988" t="s">
        <v>3268</v>
      </c>
      <c r="E359" s="3977"/>
      <c r="F359" s="3101" t="s">
        <v>3091</v>
      </c>
      <c r="G359" s="3765"/>
      <c r="H359" s="4024"/>
      <c r="I359" s="3322" t="s">
        <v>1862</v>
      </c>
      <c r="J359" s="3497"/>
      <c r="K359" s="3104" t="s">
        <v>3093</v>
      </c>
      <c r="L359" s="3441"/>
      <c r="M359" s="4041"/>
      <c r="N359" s="3443"/>
      <c r="O359" s="4041"/>
      <c r="P359" s="3444"/>
      <c r="Q359" s="3441"/>
      <c r="R359" s="4041"/>
      <c r="S359" s="3443"/>
      <c r="T359" s="4041"/>
      <c r="U359" s="3444"/>
      <c r="V359" s="3441"/>
      <c r="W359" s="4041"/>
      <c r="X359" s="3443"/>
      <c r="Y359" s="4041"/>
      <c r="Z359" s="3444"/>
      <c r="AA359" s="3441"/>
      <c r="AB359" s="4041"/>
      <c r="AC359" s="3443"/>
      <c r="AD359" s="4041"/>
      <c r="AE359" s="3444"/>
      <c r="AF359" s="3971"/>
      <c r="AG359" s="3478"/>
      <c r="AH359" s="3478"/>
      <c r="AI359" s="3934" t="s">
        <v>3265</v>
      </c>
      <c r="AJ359" s="3015"/>
    </row>
    <row r="360" spans="2:36" ht="20.100000000000001" hidden="1" customHeight="1" thickBot="1">
      <c r="B360" s="3219" t="s">
        <v>2722</v>
      </c>
      <c r="C360" s="4048" t="s">
        <v>3269</v>
      </c>
      <c r="D360" s="3329"/>
      <c r="E360" s="3329"/>
      <c r="F360" s="4049" t="s">
        <v>2688</v>
      </c>
      <c r="G360" s="3692"/>
      <c r="H360" s="4050" t="s">
        <v>3270</v>
      </c>
      <c r="I360" s="4050"/>
      <c r="J360" s="4051"/>
      <c r="K360" s="3104" t="s">
        <v>2688</v>
      </c>
      <c r="L360" s="3441"/>
      <c r="M360" s="4041"/>
      <c r="N360" s="3443"/>
      <c r="O360" s="4041"/>
      <c r="P360" s="3444"/>
      <c r="Q360" s="3441"/>
      <c r="R360" s="4041"/>
      <c r="S360" s="3443"/>
      <c r="T360" s="4041"/>
      <c r="U360" s="3444"/>
      <c r="V360" s="3441"/>
      <c r="W360" s="4041"/>
      <c r="X360" s="3443"/>
      <c r="Y360" s="4041"/>
      <c r="Z360" s="3444"/>
      <c r="AA360" s="3441"/>
      <c r="AB360" s="4041"/>
      <c r="AC360" s="3443"/>
      <c r="AD360" s="4041"/>
      <c r="AE360" s="3444"/>
      <c r="AF360" s="3971"/>
      <c r="AG360" s="3478"/>
      <c r="AH360" s="3478"/>
      <c r="AI360" s="3934" t="s">
        <v>3271</v>
      </c>
      <c r="AJ360" s="3015"/>
    </row>
    <row r="361" spans="2:36" ht="20.100000000000001" hidden="1" customHeight="1" thickBot="1">
      <c r="B361" s="3219" t="s">
        <v>2722</v>
      </c>
      <c r="C361" s="3758"/>
      <c r="D361" s="3759" t="s">
        <v>1863</v>
      </c>
      <c r="E361" s="3752"/>
      <c r="F361" s="4049" t="s">
        <v>3091</v>
      </c>
      <c r="G361" s="3505"/>
      <c r="H361" s="3321"/>
      <c r="I361" s="3160" t="s">
        <v>3272</v>
      </c>
      <c r="J361" s="3257"/>
      <c r="K361" s="3104" t="s">
        <v>3093</v>
      </c>
      <c r="L361" s="3441"/>
      <c r="M361" s="4041"/>
      <c r="N361" s="3443"/>
      <c r="O361" s="4041"/>
      <c r="P361" s="3444"/>
      <c r="Q361" s="3441"/>
      <c r="R361" s="4041"/>
      <c r="S361" s="3443"/>
      <c r="T361" s="4041"/>
      <c r="U361" s="3444"/>
      <c r="V361" s="3441"/>
      <c r="W361" s="4041"/>
      <c r="X361" s="3443"/>
      <c r="Y361" s="4041"/>
      <c r="Z361" s="3444"/>
      <c r="AA361" s="3441"/>
      <c r="AB361" s="4041"/>
      <c r="AC361" s="3443"/>
      <c r="AD361" s="4041"/>
      <c r="AE361" s="3444"/>
      <c r="AF361" s="3971"/>
      <c r="AG361" s="3478"/>
      <c r="AH361" s="3478"/>
      <c r="AI361" s="3934" t="s">
        <v>3271</v>
      </c>
      <c r="AJ361" s="3015"/>
    </row>
    <row r="362" spans="2:36" ht="20.100000000000001" hidden="1" customHeight="1" thickBot="1">
      <c r="B362" s="3219" t="s">
        <v>2722</v>
      </c>
      <c r="C362" s="3764"/>
      <c r="D362" s="3759" t="s">
        <v>1864</v>
      </c>
      <c r="E362" s="3752"/>
      <c r="F362" s="4049" t="s">
        <v>3091</v>
      </c>
      <c r="G362" s="3360"/>
      <c r="H362" s="3341"/>
      <c r="I362" s="3160" t="s">
        <v>1862</v>
      </c>
      <c r="J362" s="3257"/>
      <c r="K362" s="3104" t="s">
        <v>3093</v>
      </c>
      <c r="L362" s="3441"/>
      <c r="M362" s="4041"/>
      <c r="N362" s="3443"/>
      <c r="O362" s="4041"/>
      <c r="P362" s="3444"/>
      <c r="Q362" s="3441"/>
      <c r="R362" s="4041"/>
      <c r="S362" s="3443"/>
      <c r="T362" s="4041"/>
      <c r="U362" s="3444"/>
      <c r="V362" s="3441"/>
      <c r="W362" s="4041"/>
      <c r="X362" s="3443"/>
      <c r="Y362" s="4041"/>
      <c r="Z362" s="3444"/>
      <c r="AA362" s="3441"/>
      <c r="AB362" s="4041"/>
      <c r="AC362" s="3443"/>
      <c r="AD362" s="4041"/>
      <c r="AE362" s="3444"/>
      <c r="AF362" s="3971"/>
      <c r="AG362" s="3478"/>
      <c r="AH362" s="3478"/>
      <c r="AI362" s="3934" t="s">
        <v>3271</v>
      </c>
      <c r="AJ362" s="3015"/>
    </row>
    <row r="363" spans="2:36" ht="20.100000000000001" hidden="1" customHeight="1" thickBot="1">
      <c r="B363" s="3219" t="s">
        <v>2722</v>
      </c>
      <c r="C363" s="4048" t="s">
        <v>3273</v>
      </c>
      <c r="D363" s="3329"/>
      <c r="E363" s="3329"/>
      <c r="F363" s="4049" t="s">
        <v>2688</v>
      </c>
      <c r="G363" s="3692"/>
      <c r="H363" s="3329" t="s">
        <v>3274</v>
      </c>
      <c r="I363" s="3329"/>
      <c r="J363" s="3321"/>
      <c r="K363" s="3142" t="s">
        <v>2688</v>
      </c>
      <c r="L363" s="3441"/>
      <c r="M363" s="4041"/>
      <c r="N363" s="3443"/>
      <c r="O363" s="4041"/>
      <c r="P363" s="3444"/>
      <c r="Q363" s="3441"/>
      <c r="R363" s="4041"/>
      <c r="S363" s="3443"/>
      <c r="T363" s="4041"/>
      <c r="U363" s="3444"/>
      <c r="V363" s="3441"/>
      <c r="W363" s="4041"/>
      <c r="X363" s="3443"/>
      <c r="Y363" s="4041"/>
      <c r="Z363" s="3444"/>
      <c r="AA363" s="3441"/>
      <c r="AB363" s="4041"/>
      <c r="AC363" s="3443"/>
      <c r="AD363" s="4041"/>
      <c r="AE363" s="3444"/>
      <c r="AF363" s="3971"/>
      <c r="AG363" s="3478"/>
      <c r="AH363" s="3478"/>
      <c r="AI363" s="3934" t="s">
        <v>3271</v>
      </c>
      <c r="AJ363" s="3015"/>
    </row>
    <row r="364" spans="2:36" ht="20.100000000000001" hidden="1" customHeight="1" thickBot="1">
      <c r="B364" s="3219" t="s">
        <v>2722</v>
      </c>
      <c r="C364" s="3758"/>
      <c r="D364" s="3759" t="s">
        <v>3275</v>
      </c>
      <c r="E364" s="3752"/>
      <c r="F364" s="4049" t="s">
        <v>3091</v>
      </c>
      <c r="G364" s="3505"/>
      <c r="H364" s="3321"/>
      <c r="I364" s="3160" t="s">
        <v>3276</v>
      </c>
      <c r="J364" s="3257"/>
      <c r="K364" s="3104" t="s">
        <v>3093</v>
      </c>
      <c r="L364" s="3441"/>
      <c r="M364" s="4041"/>
      <c r="N364" s="3443"/>
      <c r="O364" s="4041"/>
      <c r="P364" s="3444"/>
      <c r="Q364" s="3441"/>
      <c r="R364" s="4041"/>
      <c r="S364" s="3443"/>
      <c r="T364" s="4041"/>
      <c r="U364" s="3444"/>
      <c r="V364" s="3441"/>
      <c r="W364" s="4041"/>
      <c r="X364" s="3443"/>
      <c r="Y364" s="4041"/>
      <c r="Z364" s="3444"/>
      <c r="AA364" s="3441"/>
      <c r="AB364" s="4041"/>
      <c r="AC364" s="3443"/>
      <c r="AD364" s="4041"/>
      <c r="AE364" s="3444"/>
      <c r="AF364" s="3971"/>
      <c r="AG364" s="3478"/>
      <c r="AH364" s="3478"/>
      <c r="AI364" s="3934" t="s">
        <v>3271</v>
      </c>
      <c r="AJ364" s="3015"/>
    </row>
    <row r="365" spans="2:36" ht="20.100000000000001" hidden="1" customHeight="1" thickBot="1">
      <c r="B365" s="3219" t="s">
        <v>2722</v>
      </c>
      <c r="C365" s="3764"/>
      <c r="D365" s="3759" t="s">
        <v>3277</v>
      </c>
      <c r="F365" s="4049" t="s">
        <v>3091</v>
      </c>
      <c r="G365" s="3360"/>
      <c r="H365" s="3341"/>
      <c r="I365" s="4052" t="s">
        <v>1865</v>
      </c>
      <c r="J365" s="3330"/>
      <c r="K365" s="3094" t="s">
        <v>3093</v>
      </c>
      <c r="L365" s="3441"/>
      <c r="M365" s="4041"/>
      <c r="N365" s="3443"/>
      <c r="O365" s="4041"/>
      <c r="P365" s="3444"/>
      <c r="Q365" s="3441"/>
      <c r="R365" s="4041"/>
      <c r="S365" s="3443"/>
      <c r="T365" s="4041"/>
      <c r="U365" s="3444"/>
      <c r="V365" s="3441"/>
      <c r="W365" s="4041"/>
      <c r="X365" s="3443"/>
      <c r="Y365" s="4041"/>
      <c r="Z365" s="3444"/>
      <c r="AA365" s="3441"/>
      <c r="AB365" s="4041"/>
      <c r="AC365" s="3443"/>
      <c r="AD365" s="4041"/>
      <c r="AE365" s="3444"/>
      <c r="AF365" s="3971"/>
      <c r="AG365" s="3478"/>
      <c r="AH365" s="3478"/>
      <c r="AI365" s="3248" t="s">
        <v>3271</v>
      </c>
      <c r="AJ365" s="3015"/>
    </row>
    <row r="366" spans="2:36" ht="20.100000000000001" hidden="1" customHeight="1" thickBot="1">
      <c r="B366" s="3219" t="s">
        <v>2722</v>
      </c>
      <c r="C366" s="3708" t="s">
        <v>3278</v>
      </c>
      <c r="D366" s="3752"/>
      <c r="E366" s="3752"/>
      <c r="F366" s="4049" t="s">
        <v>2921</v>
      </c>
      <c r="G366" s="3358"/>
      <c r="H366" s="3122" t="s">
        <v>1866</v>
      </c>
      <c r="I366" s="3122"/>
      <c r="J366" s="3257"/>
      <c r="K366" s="3104" t="s">
        <v>559</v>
      </c>
      <c r="L366" s="3441"/>
      <c r="M366" s="4041"/>
      <c r="N366" s="3443"/>
      <c r="O366" s="4041"/>
      <c r="P366" s="3444"/>
      <c r="Q366" s="3441"/>
      <c r="R366" s="4041"/>
      <c r="S366" s="3443"/>
      <c r="T366" s="4041"/>
      <c r="U366" s="3444"/>
      <c r="V366" s="3441"/>
      <c r="W366" s="4041"/>
      <c r="X366" s="3443"/>
      <c r="Y366" s="4041"/>
      <c r="Z366" s="3444"/>
      <c r="AA366" s="3441"/>
      <c r="AB366" s="4041"/>
      <c r="AC366" s="3443"/>
      <c r="AD366" s="4041"/>
      <c r="AE366" s="3444"/>
      <c r="AF366" s="3971"/>
      <c r="AG366" s="3478"/>
      <c r="AH366" s="3478"/>
      <c r="AI366" s="4053" t="s">
        <v>3279</v>
      </c>
      <c r="AJ366" s="3015"/>
    </row>
    <row r="367" spans="2:36" ht="20.100000000000001" hidden="1" customHeight="1" thickBot="1">
      <c r="B367" s="3219" t="s">
        <v>2722</v>
      </c>
      <c r="C367" s="3751" t="s">
        <v>3280</v>
      </c>
      <c r="D367" s="3752"/>
      <c r="E367" s="3752"/>
      <c r="F367" s="3255" t="s">
        <v>2688</v>
      </c>
      <c r="G367" s="3748"/>
      <c r="H367" s="3732" t="s">
        <v>3281</v>
      </c>
      <c r="I367" s="3732"/>
      <c r="J367" s="3956"/>
      <c r="K367" s="3104" t="s">
        <v>2688</v>
      </c>
      <c r="L367" s="3234"/>
      <c r="M367" s="4020"/>
      <c r="N367" s="3236"/>
      <c r="O367" s="4020"/>
      <c r="P367" s="3447"/>
      <c r="Q367" s="3234"/>
      <c r="R367" s="4020"/>
      <c r="S367" s="3236"/>
      <c r="T367" s="4020"/>
      <c r="U367" s="3447"/>
      <c r="V367" s="3234"/>
      <c r="W367" s="4020"/>
      <c r="X367" s="3236"/>
      <c r="Y367" s="4020"/>
      <c r="Z367" s="3447"/>
      <c r="AA367" s="3234"/>
      <c r="AB367" s="4020"/>
      <c r="AC367" s="3236"/>
      <c r="AD367" s="4020"/>
      <c r="AE367" s="3447"/>
      <c r="AF367" s="3971"/>
      <c r="AG367" s="3478"/>
      <c r="AH367" s="3478"/>
      <c r="AI367" s="3248" t="s">
        <v>3282</v>
      </c>
      <c r="AJ367" s="3015"/>
    </row>
    <row r="368" spans="2:36" ht="27" thickBot="1">
      <c r="B368" s="3219" t="s">
        <v>2722</v>
      </c>
      <c r="C368" s="4054" t="s">
        <v>3283</v>
      </c>
      <c r="D368" s="3106"/>
      <c r="E368" s="3106"/>
      <c r="F368" s="3106"/>
      <c r="G368" s="3519" t="s">
        <v>3284</v>
      </c>
      <c r="H368" s="3106"/>
      <c r="I368" s="3108"/>
      <c r="J368" s="3108"/>
      <c r="K368" s="3067"/>
      <c r="L368" s="4055"/>
      <c r="M368" s="4056"/>
      <c r="N368" s="4056"/>
      <c r="O368" s="4056"/>
      <c r="P368" s="4057"/>
      <c r="Q368" s="4055"/>
      <c r="R368" s="4056"/>
      <c r="S368" s="4056"/>
      <c r="T368" s="4056"/>
      <c r="U368" s="4057"/>
      <c r="V368" s="4055"/>
      <c r="W368" s="4056"/>
      <c r="X368" s="4056"/>
      <c r="Y368" s="4056"/>
      <c r="Z368" s="4057"/>
      <c r="AA368" s="4055"/>
      <c r="AB368" s="4056"/>
      <c r="AC368" s="4056"/>
      <c r="AD368" s="4056"/>
      <c r="AE368" s="4057"/>
      <c r="AF368" s="3112"/>
      <c r="AG368" s="3113"/>
      <c r="AH368" s="3113"/>
      <c r="AI368" s="3302"/>
      <c r="AJ368" s="3015"/>
    </row>
    <row r="369" spans="1:37" ht="20.100000000000001" hidden="1" customHeight="1">
      <c r="B369" s="4058"/>
      <c r="C369" s="3076" t="s">
        <v>3285</v>
      </c>
      <c r="D369" s="3076"/>
      <c r="E369" s="3076"/>
      <c r="F369" s="4059" t="s">
        <v>2740</v>
      </c>
      <c r="G369" s="4060"/>
      <c r="H369" s="4061" t="s">
        <v>3286</v>
      </c>
      <c r="I369" s="4061"/>
      <c r="J369" s="4062"/>
      <c r="K369" s="4063" t="s">
        <v>295</v>
      </c>
      <c r="L369" s="4064"/>
      <c r="M369" s="4065"/>
      <c r="N369" s="4066"/>
      <c r="O369" s="4065"/>
      <c r="P369" s="4067"/>
      <c r="Q369" s="4064"/>
      <c r="R369" s="4068"/>
      <c r="S369" s="4066"/>
      <c r="T369" s="4065"/>
      <c r="U369" s="4067"/>
      <c r="V369" s="4064"/>
      <c r="W369" s="4069"/>
      <c r="X369" s="4066"/>
      <c r="Y369" s="4068"/>
      <c r="Z369" s="4067"/>
      <c r="AA369" s="4064"/>
      <c r="AB369" s="4065"/>
      <c r="AC369" s="4066"/>
      <c r="AD369" s="4065"/>
      <c r="AE369" s="4067"/>
      <c r="AF369" s="4070"/>
      <c r="AG369" s="3468"/>
      <c r="AH369" s="3468"/>
      <c r="AI369" s="3248" t="s">
        <v>3287</v>
      </c>
      <c r="AJ369" s="3015"/>
    </row>
    <row r="370" spans="1:37" ht="20.100000000000001" hidden="1" customHeight="1">
      <c r="B370" s="3219" t="s">
        <v>2722</v>
      </c>
      <c r="C370" s="3273" t="s">
        <v>3288</v>
      </c>
      <c r="D370" s="4071"/>
      <c r="E370" s="4072"/>
      <c r="F370" s="4059" t="s">
        <v>3289</v>
      </c>
      <c r="G370" s="3505"/>
      <c r="H370" s="3329" t="s">
        <v>3290</v>
      </c>
      <c r="I370" s="3329"/>
      <c r="J370" s="3341"/>
      <c r="K370" s="4073" t="s">
        <v>3291</v>
      </c>
      <c r="L370" s="4074">
        <v>0</v>
      </c>
      <c r="M370" s="4075">
        <v>0</v>
      </c>
      <c r="N370" s="4076">
        <v>0</v>
      </c>
      <c r="O370" s="4075">
        <v>0</v>
      </c>
      <c r="P370" s="4077"/>
      <c r="Q370" s="4074">
        <v>500000000</v>
      </c>
      <c r="R370" s="4078" t="s">
        <v>2517</v>
      </c>
      <c r="S370" s="4076">
        <v>0</v>
      </c>
      <c r="T370" s="4075">
        <v>0</v>
      </c>
      <c r="U370" s="4077"/>
      <c r="V370" s="4074">
        <v>0</v>
      </c>
      <c r="W370" s="4079" t="s">
        <v>2518</v>
      </c>
      <c r="X370" s="4076">
        <v>0</v>
      </c>
      <c r="Y370" s="4078" t="s">
        <v>2519</v>
      </c>
      <c r="Z370" s="4077"/>
      <c r="AA370" s="4074"/>
      <c r="AB370" s="4075"/>
      <c r="AC370" s="4076"/>
      <c r="AD370" s="4075"/>
      <c r="AE370" s="4077"/>
      <c r="AF370" s="4080"/>
      <c r="AG370" s="3610"/>
      <c r="AH370" s="3610"/>
      <c r="AI370" s="3248" t="s">
        <v>3292</v>
      </c>
      <c r="AJ370" s="3015"/>
    </row>
    <row r="371" spans="1:37" ht="20.100000000000001" customHeight="1">
      <c r="B371" s="3219" t="s">
        <v>2722</v>
      </c>
      <c r="C371" s="4081" t="s">
        <v>3293</v>
      </c>
      <c r="D371" s="3431"/>
      <c r="E371" s="3431"/>
      <c r="F371" s="4059" t="s">
        <v>3294</v>
      </c>
      <c r="G371" s="3078"/>
      <c r="H371" s="3329" t="s">
        <v>3295</v>
      </c>
      <c r="I371" s="3329"/>
      <c r="J371" s="3330"/>
      <c r="K371" s="3094" t="s">
        <v>3296</v>
      </c>
      <c r="L371" s="4082"/>
      <c r="M371" s="4083"/>
      <c r="N371" s="4084"/>
      <c r="O371" s="4083"/>
      <c r="P371" s="4085"/>
      <c r="Q371" s="4082"/>
      <c r="R371" s="4083"/>
      <c r="S371" s="4084"/>
      <c r="T371" s="4083"/>
      <c r="U371" s="4085"/>
      <c r="V371" s="4082"/>
      <c r="W371" s="4083"/>
      <c r="X371" s="4084"/>
      <c r="Y371" s="4083"/>
      <c r="Z371" s="4085"/>
      <c r="AA371" s="4082"/>
      <c r="AB371" s="4083"/>
      <c r="AC371" s="4084"/>
      <c r="AD371" s="4083"/>
      <c r="AE371" s="4085"/>
      <c r="AF371" s="4080"/>
      <c r="AG371" s="3478"/>
      <c r="AH371" s="3478"/>
      <c r="AI371" s="3248" t="s">
        <v>3297</v>
      </c>
      <c r="AJ371" s="3015"/>
    </row>
    <row r="372" spans="1:37" ht="20.100000000000001" customHeight="1">
      <c r="B372" s="3219" t="s">
        <v>2722</v>
      </c>
      <c r="C372" s="3637" t="s">
        <v>3298</v>
      </c>
      <c r="D372" s="3614"/>
      <c r="E372" s="3614"/>
      <c r="F372" s="4086" t="s">
        <v>2676</v>
      </c>
      <c r="G372" s="4087"/>
      <c r="H372" s="3687" t="s">
        <v>3299</v>
      </c>
      <c r="I372" s="3614"/>
      <c r="J372" s="3597"/>
      <c r="K372" s="4088" t="s">
        <v>2676</v>
      </c>
      <c r="L372" s="3286"/>
      <c r="M372" s="4089"/>
      <c r="N372" s="3288"/>
      <c r="O372" s="4089"/>
      <c r="P372" s="4090"/>
      <c r="Q372" s="3286">
        <v>500000</v>
      </c>
      <c r="R372" s="4089" t="s">
        <v>3300</v>
      </c>
      <c r="S372" s="3288"/>
      <c r="T372" s="4089"/>
      <c r="U372" s="4090"/>
      <c r="V372" s="3286"/>
      <c r="W372" s="4089"/>
      <c r="X372" s="3288"/>
      <c r="Y372" s="4089"/>
      <c r="Z372" s="4090"/>
      <c r="AA372" s="3286"/>
      <c r="AB372" s="4089"/>
      <c r="AC372" s="3288"/>
      <c r="AD372" s="4089"/>
      <c r="AE372" s="4090"/>
      <c r="AF372" s="3604"/>
      <c r="AG372" s="3605"/>
      <c r="AH372" s="3605"/>
      <c r="AI372" s="3606"/>
      <c r="AJ372" s="3015"/>
    </row>
    <row r="373" spans="1:37" ht="20.100000000000001" customHeight="1">
      <c r="B373" s="3219" t="s">
        <v>2722</v>
      </c>
      <c r="C373" s="3651"/>
      <c r="D373" s="3759" t="s">
        <v>3101</v>
      </c>
      <c r="E373" s="3752"/>
      <c r="F373" s="4059" t="s">
        <v>3101</v>
      </c>
      <c r="G373" s="3091"/>
      <c r="H373" s="3321"/>
      <c r="I373" s="3433" t="s">
        <v>3301</v>
      </c>
      <c r="J373" s="3440"/>
      <c r="K373" s="3140" t="s">
        <v>1831</v>
      </c>
      <c r="L373" s="3234">
        <v>0</v>
      </c>
      <c r="M373" s="3442">
        <v>0</v>
      </c>
      <c r="N373" s="3236">
        <v>0</v>
      </c>
      <c r="O373" s="3442">
        <v>0</v>
      </c>
      <c r="P373" s="3447"/>
      <c r="Q373" s="3234">
        <v>0</v>
      </c>
      <c r="R373" s="3442">
        <v>0</v>
      </c>
      <c r="S373" s="3236">
        <v>0</v>
      </c>
      <c r="T373" s="3442">
        <v>0</v>
      </c>
      <c r="U373" s="3447"/>
      <c r="V373" s="3234">
        <v>0</v>
      </c>
      <c r="W373" s="4091" t="s">
        <v>1426</v>
      </c>
      <c r="X373" s="3236">
        <v>0</v>
      </c>
      <c r="Y373" s="4091" t="s">
        <v>1426</v>
      </c>
      <c r="Z373" s="3447"/>
      <c r="AA373" s="3234"/>
      <c r="AB373" s="3442"/>
      <c r="AC373" s="3236"/>
      <c r="AD373" s="3442"/>
      <c r="AE373" s="3447"/>
      <c r="AF373" s="4092"/>
      <c r="AG373" s="3478"/>
      <c r="AH373" s="4093"/>
      <c r="AI373" s="3248" t="s">
        <v>3302</v>
      </c>
      <c r="AJ373" s="3015"/>
    </row>
    <row r="374" spans="1:37" ht="20.100000000000001" customHeight="1" thickBot="1">
      <c r="B374" s="4094" t="s">
        <v>2722</v>
      </c>
      <c r="C374" s="4095"/>
      <c r="D374" s="4096" t="s">
        <v>3303</v>
      </c>
      <c r="E374" s="4097"/>
      <c r="F374" s="4098" t="s">
        <v>2708</v>
      </c>
      <c r="G374" s="4099"/>
      <c r="H374" s="4099"/>
      <c r="I374" s="4100" t="s">
        <v>3304</v>
      </c>
      <c r="J374" s="4101"/>
      <c r="K374" s="4102" t="s">
        <v>734</v>
      </c>
      <c r="L374" s="4103">
        <v>0</v>
      </c>
      <c r="M374" s="4104">
        <v>0</v>
      </c>
      <c r="N374" s="4105">
        <v>0</v>
      </c>
      <c r="O374" s="4104">
        <v>0</v>
      </c>
      <c r="P374" s="4106"/>
      <c r="Q374" s="4103">
        <v>0</v>
      </c>
      <c r="R374" s="4104">
        <v>0</v>
      </c>
      <c r="S374" s="4105">
        <v>0</v>
      </c>
      <c r="T374" s="4104">
        <v>0</v>
      </c>
      <c r="U374" s="4106"/>
      <c r="V374" s="4103">
        <v>0</v>
      </c>
      <c r="W374" s="4107" t="s">
        <v>1426</v>
      </c>
      <c r="X374" s="4105">
        <v>0</v>
      </c>
      <c r="Y374" s="4107" t="s">
        <v>1426</v>
      </c>
      <c r="Z374" s="4106"/>
      <c r="AA374" s="4103"/>
      <c r="AB374" s="4104"/>
      <c r="AC374" s="4105"/>
      <c r="AD374" s="4104"/>
      <c r="AE374" s="4106"/>
      <c r="AF374" s="4108"/>
      <c r="AG374" s="3518"/>
      <c r="AH374" s="4109"/>
      <c r="AI374" s="4110" t="s">
        <v>3305</v>
      </c>
      <c r="AJ374" s="3015"/>
    </row>
    <row r="375" spans="1:37" ht="20.100000000000001" hidden="1" customHeight="1" thickBot="1">
      <c r="B375" s="4111"/>
      <c r="C375" s="4112" t="s">
        <v>3306</v>
      </c>
      <c r="D375" s="4113"/>
      <c r="E375" s="4113"/>
      <c r="F375" s="4114" t="s">
        <v>2688</v>
      </c>
      <c r="G375" s="4115"/>
      <c r="H375" s="4116" t="s">
        <v>3307</v>
      </c>
      <c r="I375" s="4117"/>
      <c r="J375" s="4118"/>
      <c r="K375" s="3912" t="s">
        <v>2688</v>
      </c>
      <c r="L375" s="4016"/>
      <c r="M375" s="4017"/>
      <c r="N375" s="4018"/>
      <c r="O375" s="4017"/>
      <c r="P375" s="4119"/>
      <c r="Q375" s="4016"/>
      <c r="R375" s="4017"/>
      <c r="S375" s="4018"/>
      <c r="T375" s="4017"/>
      <c r="U375" s="4019"/>
      <c r="V375" s="4120"/>
      <c r="W375" s="4017"/>
      <c r="X375" s="4018"/>
      <c r="Y375" s="4017"/>
      <c r="Z375" s="4018"/>
      <c r="AA375" s="4018"/>
      <c r="AB375" s="4017"/>
      <c r="AC375" s="4018"/>
      <c r="AD375" s="4017"/>
      <c r="AE375" s="4018"/>
      <c r="AF375" s="3912"/>
      <c r="AG375" s="3610"/>
      <c r="AH375" s="3610"/>
      <c r="AI375" s="4121"/>
      <c r="AJ375" s="3015"/>
    </row>
    <row r="376" spans="1:37" ht="27.75" hidden="1" thickTop="1" thickBot="1">
      <c r="A376" s="3042"/>
      <c r="B376" s="3220" t="s">
        <v>3308</v>
      </c>
      <c r="C376" s="3554"/>
      <c r="D376" s="3554"/>
      <c r="E376" s="3554"/>
      <c r="F376" s="3555"/>
      <c r="G376" s="3556" t="s">
        <v>3309</v>
      </c>
      <c r="H376" s="3554"/>
      <c r="I376" s="3557"/>
      <c r="J376" s="3557"/>
      <c r="K376" s="3555"/>
      <c r="L376" s="4122"/>
      <c r="M376" s="4123"/>
      <c r="N376" s="4123"/>
      <c r="O376" s="4123"/>
      <c r="P376" s="4123"/>
      <c r="Q376" s="4122"/>
      <c r="R376" s="4123"/>
      <c r="S376" s="4123"/>
      <c r="T376" s="4123"/>
      <c r="U376" s="4124"/>
      <c r="V376" s="4123"/>
      <c r="W376" s="4123"/>
      <c r="X376" s="4123"/>
      <c r="Y376" s="4123"/>
      <c r="Z376" s="4123"/>
      <c r="AA376" s="4123"/>
      <c r="AB376" s="4123"/>
      <c r="AC376" s="4123"/>
      <c r="AD376" s="4123"/>
      <c r="AE376" s="4123"/>
      <c r="AF376" s="3559"/>
      <c r="AG376" s="3559"/>
      <c r="AH376" s="3559"/>
      <c r="AI376" s="1055"/>
      <c r="AJ376" s="3015"/>
      <c r="AK376" s="3044"/>
    </row>
    <row r="377" spans="1:37" ht="27" hidden="1" thickBot="1">
      <c r="B377" s="3105" t="s">
        <v>3310</v>
      </c>
      <c r="C377" s="3106"/>
      <c r="D377" s="3106"/>
      <c r="E377" s="3106"/>
      <c r="F377" s="3067"/>
      <c r="G377" s="3107" t="s">
        <v>3311</v>
      </c>
      <c r="H377" s="3106"/>
      <c r="I377" s="3106"/>
      <c r="J377" s="3108"/>
      <c r="K377" s="3067"/>
      <c r="L377" s="4055"/>
      <c r="M377" s="4056"/>
      <c r="N377" s="4056"/>
      <c r="O377" s="4056"/>
      <c r="P377" s="4056"/>
      <c r="Q377" s="4055"/>
      <c r="R377" s="4056"/>
      <c r="S377" s="4056"/>
      <c r="T377" s="4056"/>
      <c r="U377" s="4057"/>
      <c r="V377" s="4056"/>
      <c r="W377" s="4056"/>
      <c r="X377" s="4056"/>
      <c r="Y377" s="4056"/>
      <c r="Z377" s="4056"/>
      <c r="AA377" s="4056"/>
      <c r="AB377" s="4056"/>
      <c r="AC377" s="4056"/>
      <c r="AD377" s="4056"/>
      <c r="AE377" s="4056"/>
      <c r="AF377" s="3069"/>
      <c r="AG377" s="3069"/>
      <c r="AH377" s="3069"/>
      <c r="AI377" s="4125"/>
      <c r="AJ377" s="3015"/>
    </row>
    <row r="378" spans="1:37" ht="20.100000000000001" hidden="1" customHeight="1">
      <c r="B378" s="3695"/>
      <c r="C378" s="4126" t="s">
        <v>3312</v>
      </c>
      <c r="D378" s="4127"/>
      <c r="E378" s="4127"/>
      <c r="F378" s="4088" t="s">
        <v>2676</v>
      </c>
      <c r="G378" s="4128"/>
      <c r="H378" s="3650" t="s">
        <v>3313</v>
      </c>
      <c r="I378" s="3650"/>
      <c r="J378" s="3597"/>
      <c r="K378" s="4014" t="s">
        <v>734</v>
      </c>
      <c r="L378" s="4009"/>
      <c r="M378" s="4010"/>
      <c r="N378" s="4011"/>
      <c r="O378" s="4010"/>
      <c r="P378" s="4129"/>
      <c r="Q378" s="4009"/>
      <c r="R378" s="4010"/>
      <c r="S378" s="4011"/>
      <c r="T378" s="4010"/>
      <c r="U378" s="4012"/>
      <c r="V378" s="4130"/>
      <c r="W378" s="4010"/>
      <c r="X378" s="4011"/>
      <c r="Y378" s="4010"/>
      <c r="Z378" s="4011"/>
      <c r="AA378" s="4011"/>
      <c r="AB378" s="4010"/>
      <c r="AC378" s="4011"/>
      <c r="AD378" s="4010"/>
      <c r="AE378" s="4011"/>
      <c r="AF378" s="3912"/>
      <c r="AG378" s="3478"/>
      <c r="AH378" s="3478"/>
      <c r="AI378" s="4131"/>
      <c r="AJ378" s="3015"/>
    </row>
    <row r="379" spans="1:37" ht="20.100000000000001" hidden="1" customHeight="1">
      <c r="B379" s="3695"/>
      <c r="C379" s="4132"/>
      <c r="D379" s="3759" t="s">
        <v>3314</v>
      </c>
      <c r="E379" s="3752"/>
      <c r="F379" s="3090" t="s">
        <v>732</v>
      </c>
      <c r="G379" s="3091"/>
      <c r="H379" s="3323"/>
      <c r="I379" s="3998" t="s">
        <v>1446</v>
      </c>
      <c r="J379" s="3998"/>
      <c r="K379" s="3912" t="s">
        <v>734</v>
      </c>
      <c r="L379" s="4133">
        <v>0</v>
      </c>
      <c r="M379" s="4134">
        <v>0</v>
      </c>
      <c r="N379" s="4135">
        <v>0</v>
      </c>
      <c r="O379" s="4134">
        <v>0</v>
      </c>
      <c r="P379" s="4136"/>
      <c r="Q379" s="4133">
        <v>0</v>
      </c>
      <c r="R379" s="4134">
        <v>0</v>
      </c>
      <c r="S379" s="4135">
        <v>0</v>
      </c>
      <c r="T379" s="4134">
        <v>0</v>
      </c>
      <c r="U379" s="4137"/>
      <c r="V379" s="4138" t="s">
        <v>2526</v>
      </c>
      <c r="W379" s="4134" t="s">
        <v>2527</v>
      </c>
      <c r="X379" s="4135" t="s">
        <v>2526</v>
      </c>
      <c r="Y379" s="4134" t="s">
        <v>2527</v>
      </c>
      <c r="Z379" s="4135"/>
      <c r="AA379" s="4135"/>
      <c r="AB379" s="4134"/>
      <c r="AC379" s="4135"/>
      <c r="AD379" s="4134"/>
      <c r="AE379" s="4135"/>
      <c r="AF379" s="3912"/>
      <c r="AG379" s="3478"/>
      <c r="AH379" s="3478"/>
      <c r="AI379" s="4139" t="s">
        <v>1449</v>
      </c>
      <c r="AJ379" s="3015"/>
    </row>
    <row r="380" spans="1:37" ht="20.100000000000001" hidden="1" customHeight="1">
      <c r="B380" s="3695"/>
      <c r="C380" s="4140"/>
      <c r="D380" s="3759" t="s">
        <v>3315</v>
      </c>
      <c r="E380" s="3752"/>
      <c r="F380" s="3090" t="s">
        <v>732</v>
      </c>
      <c r="G380" s="3091"/>
      <c r="H380" s="3323"/>
      <c r="I380" s="3693" t="s">
        <v>3316</v>
      </c>
      <c r="J380" s="3693"/>
      <c r="K380" s="3094" t="s">
        <v>734</v>
      </c>
      <c r="L380" s="3472">
        <v>0</v>
      </c>
      <c r="M380" s="3473">
        <v>0</v>
      </c>
      <c r="N380" s="3474">
        <v>0</v>
      </c>
      <c r="O380" s="3473">
        <v>0</v>
      </c>
      <c r="P380" s="4141"/>
      <c r="Q380" s="3472">
        <v>0</v>
      </c>
      <c r="R380" s="3473">
        <v>0</v>
      </c>
      <c r="S380" s="3474">
        <v>0</v>
      </c>
      <c r="T380" s="3473">
        <v>0</v>
      </c>
      <c r="U380" s="3475"/>
      <c r="V380" s="4142" t="s">
        <v>2528</v>
      </c>
      <c r="W380" s="3575">
        <v>0</v>
      </c>
      <c r="X380" s="4143" t="s">
        <v>2528</v>
      </c>
      <c r="Y380" s="3473">
        <v>0</v>
      </c>
      <c r="Z380" s="3474"/>
      <c r="AA380" s="3474"/>
      <c r="AB380" s="3473"/>
      <c r="AC380" s="3474"/>
      <c r="AD380" s="3473"/>
      <c r="AE380" s="3474"/>
      <c r="AF380" s="3094"/>
      <c r="AG380" s="3478"/>
      <c r="AH380" s="3478"/>
      <c r="AI380" s="4139" t="s">
        <v>1455</v>
      </c>
      <c r="AJ380" s="3015"/>
    </row>
    <row r="381" spans="1:37" ht="20.100000000000001" hidden="1" customHeight="1">
      <c r="B381" s="3695"/>
      <c r="C381" s="3939"/>
      <c r="D381" s="3759" t="s">
        <v>3317</v>
      </c>
      <c r="E381" s="3752"/>
      <c r="F381" s="3090" t="s">
        <v>732</v>
      </c>
      <c r="G381" s="3360"/>
      <c r="H381" s="3341"/>
      <c r="I381" s="3244" t="s">
        <v>3318</v>
      </c>
      <c r="J381" s="3245"/>
      <c r="K381" s="3094" t="s">
        <v>734</v>
      </c>
      <c r="L381" s="3472">
        <v>0</v>
      </c>
      <c r="M381" s="3473">
        <v>0</v>
      </c>
      <c r="N381" s="3474">
        <v>0</v>
      </c>
      <c r="O381" s="3473">
        <v>0</v>
      </c>
      <c r="P381" s="4141"/>
      <c r="Q381" s="3472">
        <v>0</v>
      </c>
      <c r="R381" s="3473">
        <v>0</v>
      </c>
      <c r="S381" s="3474">
        <v>0</v>
      </c>
      <c r="T381" s="3473">
        <v>0</v>
      </c>
      <c r="U381" s="3475"/>
      <c r="V381" s="4142" t="s">
        <v>2529</v>
      </c>
      <c r="W381" s="3575" t="s">
        <v>2530</v>
      </c>
      <c r="X381" s="4143" t="s">
        <v>2529</v>
      </c>
      <c r="Y381" s="3473" t="s">
        <v>2530</v>
      </c>
      <c r="Z381" s="3474"/>
      <c r="AA381" s="3474"/>
      <c r="AB381" s="3473"/>
      <c r="AC381" s="3474"/>
      <c r="AD381" s="3473"/>
      <c r="AE381" s="3474"/>
      <c r="AF381" s="3094"/>
      <c r="AG381" s="3478"/>
      <c r="AH381" s="3478"/>
      <c r="AI381" s="4139" t="s">
        <v>1460</v>
      </c>
      <c r="AJ381" s="3015"/>
    </row>
    <row r="382" spans="1:37" ht="20.100000000000001" hidden="1" customHeight="1">
      <c r="B382" s="3695"/>
      <c r="C382" s="4144" t="s">
        <v>3319</v>
      </c>
      <c r="D382" s="4145"/>
      <c r="E382" s="4146"/>
      <c r="F382" s="4088" t="s">
        <v>2676</v>
      </c>
      <c r="G382" s="3929"/>
      <c r="H382" s="3638" t="s">
        <v>3320</v>
      </c>
      <c r="I382" s="3707"/>
      <c r="J382" s="3707"/>
      <c r="K382" s="3285" t="s">
        <v>2676</v>
      </c>
      <c r="L382" s="3599"/>
      <c r="M382" s="3603"/>
      <c r="N382" s="3601"/>
      <c r="O382" s="3603"/>
      <c r="P382" s="4147"/>
      <c r="Q382" s="3599"/>
      <c r="R382" s="3603"/>
      <c r="S382" s="3601"/>
      <c r="T382" s="3603"/>
      <c r="U382" s="3602"/>
      <c r="V382" s="4148"/>
      <c r="W382" s="3603"/>
      <c r="X382" s="3601"/>
      <c r="Y382" s="3603"/>
      <c r="Z382" s="3601"/>
      <c r="AA382" s="3601"/>
      <c r="AB382" s="3603"/>
      <c r="AC382" s="3601"/>
      <c r="AD382" s="3603"/>
      <c r="AE382" s="3601"/>
      <c r="AF382" s="3912"/>
      <c r="AG382" s="3478"/>
      <c r="AH382" s="3478"/>
      <c r="AI382" s="4131"/>
      <c r="AJ382" s="3015"/>
    </row>
    <row r="383" spans="1:37" ht="20.100000000000001" hidden="1" customHeight="1">
      <c r="B383" s="3695"/>
      <c r="C383" s="4149"/>
      <c r="D383" s="3759" t="s">
        <v>3314</v>
      </c>
      <c r="E383" s="3752"/>
      <c r="F383" s="3090" t="s">
        <v>154</v>
      </c>
      <c r="G383" s="3505"/>
      <c r="H383" s="4051"/>
      <c r="I383" s="3693" t="s">
        <v>3321</v>
      </c>
      <c r="J383" s="3693"/>
      <c r="K383" s="3094" t="s">
        <v>154</v>
      </c>
      <c r="L383" s="3472"/>
      <c r="M383" s="3473"/>
      <c r="N383" s="3474"/>
      <c r="O383" s="3473"/>
      <c r="P383" s="4141"/>
      <c r="Q383" s="3472"/>
      <c r="R383" s="3473"/>
      <c r="S383" s="3474"/>
      <c r="T383" s="3473"/>
      <c r="U383" s="3475"/>
      <c r="V383" s="4142"/>
      <c r="W383" s="3575"/>
      <c r="X383" s="4143"/>
      <c r="Y383" s="3473"/>
      <c r="Z383" s="3474"/>
      <c r="AA383" s="3474"/>
      <c r="AB383" s="3473"/>
      <c r="AC383" s="3474"/>
      <c r="AD383" s="3473"/>
      <c r="AE383" s="3474"/>
      <c r="AF383" s="3094"/>
      <c r="AG383" s="3478"/>
      <c r="AH383" s="3478"/>
      <c r="AI383" s="4139" t="s">
        <v>1465</v>
      </c>
      <c r="AJ383" s="3015"/>
    </row>
    <row r="384" spans="1:37" ht="20.100000000000001" hidden="1" customHeight="1">
      <c r="B384" s="3695"/>
      <c r="C384" s="4150"/>
      <c r="D384" s="3759" t="s">
        <v>3322</v>
      </c>
      <c r="E384" s="3752"/>
      <c r="F384" s="3659" t="s">
        <v>154</v>
      </c>
      <c r="G384" s="4151"/>
      <c r="H384" s="4152"/>
      <c r="I384" s="4153" t="s">
        <v>1467</v>
      </c>
      <c r="J384" s="4153"/>
      <c r="K384" s="3662" t="s">
        <v>154</v>
      </c>
      <c r="L384" s="3663"/>
      <c r="M384" s="3664"/>
      <c r="N384" s="3665"/>
      <c r="O384" s="3664"/>
      <c r="P384" s="4154"/>
      <c r="Q384" s="3663"/>
      <c r="R384" s="3664"/>
      <c r="S384" s="3665"/>
      <c r="T384" s="3664"/>
      <c r="U384" s="3666"/>
      <c r="V384" s="4155"/>
      <c r="W384" s="4156"/>
      <c r="X384" s="4157"/>
      <c r="Y384" s="3664"/>
      <c r="Z384" s="3665"/>
      <c r="AA384" s="3665"/>
      <c r="AB384" s="3664"/>
      <c r="AC384" s="3665"/>
      <c r="AD384" s="3664"/>
      <c r="AE384" s="3665"/>
      <c r="AF384" s="3662"/>
      <c r="AG384" s="3478"/>
      <c r="AH384" s="3478"/>
      <c r="AI384" s="4139" t="s">
        <v>1465</v>
      </c>
      <c r="AJ384" s="3015"/>
    </row>
    <row r="385" spans="2:36" ht="27" hidden="1" thickBot="1">
      <c r="B385" s="3105" t="s">
        <v>3323</v>
      </c>
      <c r="C385" s="3106"/>
      <c r="D385" s="3106"/>
      <c r="E385" s="3106"/>
      <c r="F385" s="3067"/>
      <c r="G385" s="3107" t="s">
        <v>3324</v>
      </c>
      <c r="H385" s="3108"/>
      <c r="I385" s="3108"/>
      <c r="J385" s="3108"/>
      <c r="K385" s="3067"/>
      <c r="L385" s="4055"/>
      <c r="M385" s="4056"/>
      <c r="N385" s="4056"/>
      <c r="O385" s="4056"/>
      <c r="P385" s="4056"/>
      <c r="Q385" s="4055"/>
      <c r="R385" s="4056"/>
      <c r="S385" s="4056"/>
      <c r="T385" s="4056"/>
      <c r="U385" s="4057"/>
      <c r="V385" s="4158"/>
      <c r="W385" s="4158"/>
      <c r="X385" s="4158"/>
      <c r="Y385" s="4056"/>
      <c r="Z385" s="4056"/>
      <c r="AA385" s="4056"/>
      <c r="AB385" s="4056"/>
      <c r="AC385" s="4056"/>
      <c r="AD385" s="4056"/>
      <c r="AE385" s="4056"/>
      <c r="AF385" s="3069"/>
      <c r="AG385" s="3069"/>
      <c r="AH385" s="3069"/>
      <c r="AI385" s="4125"/>
      <c r="AJ385" s="3015"/>
    </row>
    <row r="386" spans="2:36" ht="20.100000000000001" hidden="1" customHeight="1">
      <c r="B386" s="4159"/>
      <c r="C386" s="4160" t="s">
        <v>3325</v>
      </c>
      <c r="D386" s="4161"/>
      <c r="E386" s="4161"/>
      <c r="F386" s="3145" t="s">
        <v>2676</v>
      </c>
      <c r="G386" s="3707"/>
      <c r="H386" s="3650" t="s">
        <v>3326</v>
      </c>
      <c r="I386" s="3650"/>
      <c r="J386" s="3597"/>
      <c r="K386" s="3917" t="s">
        <v>2676</v>
      </c>
      <c r="L386" s="4162"/>
      <c r="M386" s="4163"/>
      <c r="N386" s="4164"/>
      <c r="O386" s="4163"/>
      <c r="P386" s="4165"/>
      <c r="Q386" s="4162"/>
      <c r="R386" s="4163"/>
      <c r="S386" s="4164"/>
      <c r="T386" s="4163"/>
      <c r="U386" s="4166"/>
      <c r="V386" s="4167"/>
      <c r="W386" s="4168"/>
      <c r="X386" s="4169"/>
      <c r="Y386" s="4163"/>
      <c r="Z386" s="4164"/>
      <c r="AA386" s="4164"/>
      <c r="AB386" s="4163"/>
      <c r="AC386" s="4164"/>
      <c r="AD386" s="4163"/>
      <c r="AE386" s="4164"/>
      <c r="AF386" s="3140"/>
      <c r="AG386" s="3468"/>
      <c r="AH386" s="3468"/>
      <c r="AI386" s="4131"/>
      <c r="AJ386" s="3015"/>
    </row>
    <row r="387" spans="2:36" ht="20.100000000000001" hidden="1" customHeight="1">
      <c r="B387" s="4170"/>
      <c r="C387" s="4140"/>
      <c r="D387" s="3759" t="s">
        <v>3314</v>
      </c>
      <c r="E387" s="3752"/>
      <c r="F387" s="3090" t="s">
        <v>1471</v>
      </c>
      <c r="G387" s="3091"/>
      <c r="H387" s="3323"/>
      <c r="I387" s="3360" t="s">
        <v>1472</v>
      </c>
      <c r="J387" s="3360"/>
      <c r="K387" s="4171" t="s">
        <v>559</v>
      </c>
      <c r="L387" s="3472">
        <v>0</v>
      </c>
      <c r="M387" s="3696">
        <v>0</v>
      </c>
      <c r="N387" s="3474">
        <v>0</v>
      </c>
      <c r="O387" s="3696">
        <v>0</v>
      </c>
      <c r="P387" s="4141"/>
      <c r="Q387" s="3472">
        <v>0</v>
      </c>
      <c r="R387" s="3696">
        <v>0</v>
      </c>
      <c r="S387" s="3474">
        <v>0</v>
      </c>
      <c r="T387" s="3696">
        <v>0</v>
      </c>
      <c r="U387" s="3475"/>
      <c r="V387" s="4142" t="s">
        <v>2532</v>
      </c>
      <c r="W387" s="3761" t="s">
        <v>2533</v>
      </c>
      <c r="X387" s="4143" t="s">
        <v>2532</v>
      </c>
      <c r="Y387" s="3696" t="s">
        <v>2533</v>
      </c>
      <c r="Z387" s="3474"/>
      <c r="AA387" s="3474"/>
      <c r="AB387" s="3696"/>
      <c r="AC387" s="3474"/>
      <c r="AD387" s="3696"/>
      <c r="AE387" s="3474"/>
      <c r="AF387" s="4171"/>
      <c r="AG387" s="3610"/>
      <c r="AH387" s="3610"/>
      <c r="AI387" s="4139" t="s">
        <v>1475</v>
      </c>
      <c r="AJ387" s="3015"/>
    </row>
    <row r="388" spans="2:36" ht="20.100000000000001" hidden="1" customHeight="1">
      <c r="B388" s="3542"/>
      <c r="C388" s="3711"/>
      <c r="D388" s="3759" t="s">
        <v>3322</v>
      </c>
      <c r="E388" s="3752"/>
      <c r="F388" s="3090" t="s">
        <v>1476</v>
      </c>
      <c r="G388" s="3360"/>
      <c r="H388" s="3341"/>
      <c r="I388" s="3692" t="s">
        <v>3327</v>
      </c>
      <c r="J388" s="3692"/>
      <c r="K388" s="3140" t="s">
        <v>3093</v>
      </c>
      <c r="L388" s="3472">
        <v>0</v>
      </c>
      <c r="M388" s="3696">
        <v>0</v>
      </c>
      <c r="N388" s="3474">
        <v>0</v>
      </c>
      <c r="O388" s="3696">
        <v>0</v>
      </c>
      <c r="P388" s="4141"/>
      <c r="Q388" s="3472">
        <v>0</v>
      </c>
      <c r="R388" s="3696">
        <v>0</v>
      </c>
      <c r="S388" s="3474">
        <v>0</v>
      </c>
      <c r="T388" s="3696">
        <v>0</v>
      </c>
      <c r="U388" s="3475"/>
      <c r="V388" s="4142" t="s">
        <v>2534</v>
      </c>
      <c r="W388" s="3761" t="s">
        <v>2535</v>
      </c>
      <c r="X388" s="4143" t="s">
        <v>2534</v>
      </c>
      <c r="Y388" s="3696" t="s">
        <v>2535</v>
      </c>
      <c r="Z388" s="3474"/>
      <c r="AA388" s="3474"/>
      <c r="AB388" s="3696"/>
      <c r="AC388" s="3474"/>
      <c r="AD388" s="3696"/>
      <c r="AE388" s="3474"/>
      <c r="AF388" s="3140"/>
      <c r="AG388" s="3478"/>
      <c r="AH388" s="3478"/>
      <c r="AI388" s="4139" t="s">
        <v>3328</v>
      </c>
      <c r="AJ388" s="3015"/>
    </row>
    <row r="389" spans="2:36" ht="20.100000000000001" hidden="1" customHeight="1">
      <c r="B389" s="3542"/>
      <c r="C389" s="3637" t="s">
        <v>3329</v>
      </c>
      <c r="D389" s="3614"/>
      <c r="E389" s="3614"/>
      <c r="F389" s="3145" t="s">
        <v>2676</v>
      </c>
      <c r="G389" s="3707"/>
      <c r="H389" s="3650" t="s">
        <v>3330</v>
      </c>
      <c r="I389" s="3650"/>
      <c r="J389" s="3597"/>
      <c r="K389" s="3917" t="s">
        <v>2676</v>
      </c>
      <c r="L389" s="3286"/>
      <c r="M389" s="4089"/>
      <c r="N389" s="3288"/>
      <c r="O389" s="4089"/>
      <c r="P389" s="4172"/>
      <c r="Q389" s="3286"/>
      <c r="R389" s="4089"/>
      <c r="S389" s="3288"/>
      <c r="T389" s="4089"/>
      <c r="U389" s="4090"/>
      <c r="V389" s="4173"/>
      <c r="W389" s="4174"/>
      <c r="X389" s="4175"/>
      <c r="Y389" s="4089"/>
      <c r="Z389" s="3288"/>
      <c r="AA389" s="3288"/>
      <c r="AB389" s="4089"/>
      <c r="AC389" s="3288"/>
      <c r="AD389" s="4089"/>
      <c r="AE389" s="3288"/>
      <c r="AF389" s="3140"/>
      <c r="AG389" s="3478"/>
      <c r="AH389" s="3478"/>
      <c r="AI389" s="4131"/>
      <c r="AJ389" s="3015"/>
    </row>
    <row r="390" spans="2:36" ht="20.100000000000001" hidden="1" customHeight="1">
      <c r="B390" s="3542"/>
      <c r="C390" s="3708"/>
      <c r="D390" s="3759" t="s">
        <v>3331</v>
      </c>
      <c r="E390" s="3752"/>
      <c r="F390" s="3090" t="s">
        <v>1476</v>
      </c>
      <c r="G390" s="3505"/>
      <c r="H390" s="3321"/>
      <c r="I390" s="3692" t="s">
        <v>3332</v>
      </c>
      <c r="J390" s="3692"/>
      <c r="K390" s="3140" t="s">
        <v>559</v>
      </c>
      <c r="L390" s="3472">
        <v>0</v>
      </c>
      <c r="M390" s="3696">
        <v>0</v>
      </c>
      <c r="N390" s="3474">
        <v>0</v>
      </c>
      <c r="O390" s="3696">
        <v>0</v>
      </c>
      <c r="P390" s="4141"/>
      <c r="Q390" s="3472">
        <v>0</v>
      </c>
      <c r="R390" s="3696">
        <v>0</v>
      </c>
      <c r="S390" s="3474">
        <v>0</v>
      </c>
      <c r="T390" s="3696">
        <v>0</v>
      </c>
      <c r="U390" s="3475"/>
      <c r="V390" s="4142" t="s">
        <v>2536</v>
      </c>
      <c r="W390" s="3761" t="s">
        <v>2537</v>
      </c>
      <c r="X390" s="4143" t="s">
        <v>2536</v>
      </c>
      <c r="Y390" s="3696" t="s">
        <v>2537</v>
      </c>
      <c r="Z390" s="3474"/>
      <c r="AA390" s="3474"/>
      <c r="AB390" s="3696"/>
      <c r="AC390" s="3474"/>
      <c r="AD390" s="3696"/>
      <c r="AE390" s="3474"/>
      <c r="AF390" s="3140"/>
      <c r="AG390" s="3478"/>
      <c r="AH390" s="3478"/>
      <c r="AI390" s="4139" t="s">
        <v>1487</v>
      </c>
      <c r="AJ390" s="3015"/>
    </row>
    <row r="391" spans="2:36" ht="20.100000000000001" hidden="1" customHeight="1">
      <c r="B391" s="3542"/>
      <c r="C391" s="3711"/>
      <c r="D391" s="3759" t="s">
        <v>3333</v>
      </c>
      <c r="E391" s="3752"/>
      <c r="F391" s="3090" t="s">
        <v>1476</v>
      </c>
      <c r="G391" s="3360"/>
      <c r="H391" s="3341"/>
      <c r="I391" s="3692" t="s">
        <v>3334</v>
      </c>
      <c r="J391" s="3692"/>
      <c r="K391" s="3140" t="s">
        <v>559</v>
      </c>
      <c r="L391" s="3472"/>
      <c r="M391" s="3696"/>
      <c r="N391" s="3474"/>
      <c r="O391" s="3696"/>
      <c r="P391" s="4141"/>
      <c r="Q391" s="3472"/>
      <c r="R391" s="3696"/>
      <c r="S391" s="3474"/>
      <c r="T391" s="3696"/>
      <c r="U391" s="3475"/>
      <c r="V391" s="4142"/>
      <c r="W391" s="3761"/>
      <c r="X391" s="4143" t="s">
        <v>2676</v>
      </c>
      <c r="Y391" s="4176"/>
      <c r="Z391" s="3474"/>
      <c r="AA391" s="3474"/>
      <c r="AB391" s="3696"/>
      <c r="AC391" s="3474"/>
      <c r="AD391" s="3696"/>
      <c r="AE391" s="3474"/>
      <c r="AF391" s="3140"/>
      <c r="AG391" s="3478"/>
      <c r="AH391" s="3478"/>
      <c r="AI391" s="4139" t="s">
        <v>1492</v>
      </c>
      <c r="AJ391" s="3015"/>
    </row>
    <row r="392" spans="2:36" ht="20.100000000000001" hidden="1" customHeight="1">
      <c r="B392" s="3542"/>
      <c r="C392" s="4177" t="s">
        <v>3335</v>
      </c>
      <c r="D392" s="3650"/>
      <c r="E392" s="3597"/>
      <c r="F392" s="3145" t="s">
        <v>2676</v>
      </c>
      <c r="G392" s="3707"/>
      <c r="H392" s="3650" t="s">
        <v>3336</v>
      </c>
      <c r="I392" s="3650"/>
      <c r="J392" s="3597"/>
      <c r="K392" s="3917" t="s">
        <v>2676</v>
      </c>
      <c r="L392" s="3286"/>
      <c r="M392" s="4089"/>
      <c r="N392" s="3288"/>
      <c r="O392" s="4089"/>
      <c r="P392" s="4172"/>
      <c r="Q392" s="3286"/>
      <c r="R392" s="4089"/>
      <c r="S392" s="3288"/>
      <c r="T392" s="4089"/>
      <c r="U392" s="4090"/>
      <c r="V392" s="4173"/>
      <c r="W392" s="4174"/>
      <c r="X392" s="4175"/>
      <c r="Y392" s="4178"/>
      <c r="Z392" s="3288"/>
      <c r="AA392" s="3288"/>
      <c r="AB392" s="4089"/>
      <c r="AC392" s="3288"/>
      <c r="AD392" s="4089"/>
      <c r="AE392" s="3288"/>
      <c r="AF392" s="3140"/>
      <c r="AG392" s="3478"/>
      <c r="AH392" s="3478"/>
      <c r="AI392" s="4131"/>
      <c r="AJ392" s="3015"/>
    </row>
    <row r="393" spans="2:36" s="3121" customFormat="1" ht="20.100000000000001" hidden="1" customHeight="1">
      <c r="B393" s="3262"/>
      <c r="C393" s="3008"/>
      <c r="D393" s="3759" t="s">
        <v>3337</v>
      </c>
      <c r="E393" s="3752"/>
      <c r="F393" s="3090" t="s">
        <v>154</v>
      </c>
      <c r="G393" s="3505"/>
      <c r="H393" s="4051"/>
      <c r="I393" s="3693" t="s">
        <v>3338</v>
      </c>
      <c r="J393" s="3693"/>
      <c r="K393" s="3094" t="s">
        <v>154</v>
      </c>
      <c r="L393" s="4179">
        <v>0</v>
      </c>
      <c r="M393" s="3500">
        <v>0</v>
      </c>
      <c r="N393" s="4180">
        <v>0</v>
      </c>
      <c r="O393" s="3500">
        <v>0</v>
      </c>
      <c r="P393" s="4181"/>
      <c r="Q393" s="4179">
        <v>0</v>
      </c>
      <c r="R393" s="3500">
        <v>0</v>
      </c>
      <c r="S393" s="4180">
        <v>0</v>
      </c>
      <c r="T393" s="3500">
        <v>0</v>
      </c>
      <c r="U393" s="4182"/>
      <c r="V393" s="4183" t="s">
        <v>2538</v>
      </c>
      <c r="W393" s="4184">
        <v>1</v>
      </c>
      <c r="X393" s="4185" t="s">
        <v>2538</v>
      </c>
      <c r="Y393" s="3500">
        <v>1</v>
      </c>
      <c r="Z393" s="4180"/>
      <c r="AA393" s="4180"/>
      <c r="AB393" s="3500"/>
      <c r="AC393" s="4180"/>
      <c r="AD393" s="3500"/>
      <c r="AE393" s="4180"/>
      <c r="AF393" s="3140"/>
      <c r="AG393" s="3478"/>
      <c r="AH393" s="3478"/>
      <c r="AI393" s="4139" t="s">
        <v>1499</v>
      </c>
      <c r="AJ393" s="3015"/>
    </row>
    <row r="394" spans="2:36" s="3121" customFormat="1" ht="20.100000000000001" hidden="1" customHeight="1">
      <c r="B394" s="3262"/>
      <c r="C394" s="3710"/>
      <c r="D394" s="3759" t="s">
        <v>3339</v>
      </c>
      <c r="E394" s="3752"/>
      <c r="F394" s="3090" t="s">
        <v>154</v>
      </c>
      <c r="G394" s="3091"/>
      <c r="H394" s="3584"/>
      <c r="I394" s="3693" t="s">
        <v>3340</v>
      </c>
      <c r="J394" s="3693"/>
      <c r="K394" s="3094" t="s">
        <v>154</v>
      </c>
      <c r="L394" s="4179">
        <v>0</v>
      </c>
      <c r="M394" s="3500">
        <v>0</v>
      </c>
      <c r="N394" s="4180">
        <v>0</v>
      </c>
      <c r="O394" s="3500">
        <v>0</v>
      </c>
      <c r="P394" s="4181"/>
      <c r="Q394" s="4179">
        <v>0</v>
      </c>
      <c r="R394" s="3500">
        <v>0</v>
      </c>
      <c r="S394" s="4180">
        <v>0</v>
      </c>
      <c r="T394" s="3500">
        <v>0</v>
      </c>
      <c r="U394" s="4182"/>
      <c r="V394" s="4183" t="s">
        <v>2539</v>
      </c>
      <c r="W394" s="4184" t="s">
        <v>169</v>
      </c>
      <c r="X394" s="4185" t="s">
        <v>2538</v>
      </c>
      <c r="Y394" s="3500" t="s">
        <v>169</v>
      </c>
      <c r="Z394" s="4180"/>
      <c r="AA394" s="4180"/>
      <c r="AB394" s="3500"/>
      <c r="AC394" s="4180"/>
      <c r="AD394" s="3500"/>
      <c r="AE394" s="4180"/>
      <c r="AF394" s="3140"/>
      <c r="AG394" s="3478"/>
      <c r="AH394" s="3478"/>
      <c r="AI394" s="4139" t="s">
        <v>1504</v>
      </c>
      <c r="AJ394" s="3015"/>
    </row>
    <row r="395" spans="2:36" s="3121" customFormat="1" ht="20.100000000000001" hidden="1" customHeight="1">
      <c r="B395" s="3262"/>
      <c r="C395" s="3710"/>
      <c r="D395" s="3759" t="s">
        <v>3341</v>
      </c>
      <c r="E395" s="3752"/>
      <c r="F395" s="3090" t="s">
        <v>154</v>
      </c>
      <c r="G395" s="3091"/>
      <c r="H395" s="3584"/>
      <c r="I395" s="3693" t="s">
        <v>3342</v>
      </c>
      <c r="J395" s="3693"/>
      <c r="K395" s="3094" t="s">
        <v>154</v>
      </c>
      <c r="L395" s="4179">
        <v>0</v>
      </c>
      <c r="M395" s="3500">
        <v>0</v>
      </c>
      <c r="N395" s="4180">
        <v>0</v>
      </c>
      <c r="O395" s="3500">
        <v>0</v>
      </c>
      <c r="P395" s="4181"/>
      <c r="Q395" s="4179">
        <v>0</v>
      </c>
      <c r="R395" s="3500">
        <v>0</v>
      </c>
      <c r="S395" s="4180">
        <v>0</v>
      </c>
      <c r="T395" s="3500">
        <v>0</v>
      </c>
      <c r="U395" s="4182"/>
      <c r="V395" s="4183" t="s">
        <v>2540</v>
      </c>
      <c r="W395" s="4184" t="s">
        <v>169</v>
      </c>
      <c r="X395" s="4185" t="s">
        <v>2540</v>
      </c>
      <c r="Y395" s="3500" t="s">
        <v>169</v>
      </c>
      <c r="Z395" s="4180"/>
      <c r="AA395" s="4180"/>
      <c r="AB395" s="3500"/>
      <c r="AC395" s="4180"/>
      <c r="AD395" s="3500"/>
      <c r="AE395" s="4180"/>
      <c r="AF395" s="3140"/>
      <c r="AG395" s="3478"/>
      <c r="AH395" s="3478"/>
      <c r="AI395" s="4139" t="s">
        <v>1509</v>
      </c>
      <c r="AJ395" s="3015"/>
    </row>
    <row r="396" spans="2:36" s="3121" customFormat="1" ht="20.100000000000001" hidden="1" customHeight="1">
      <c r="B396" s="3262"/>
      <c r="C396" s="3710"/>
      <c r="D396" s="3759" t="s">
        <v>3343</v>
      </c>
      <c r="E396" s="3752"/>
      <c r="F396" s="3090" t="s">
        <v>154</v>
      </c>
      <c r="G396" s="3091"/>
      <c r="H396" s="3584"/>
      <c r="I396" s="3693" t="s">
        <v>3344</v>
      </c>
      <c r="J396" s="3693"/>
      <c r="K396" s="3094" t="s">
        <v>154</v>
      </c>
      <c r="L396" s="4179">
        <v>0</v>
      </c>
      <c r="M396" s="3500">
        <v>0</v>
      </c>
      <c r="N396" s="4180">
        <v>0</v>
      </c>
      <c r="O396" s="3500">
        <v>0</v>
      </c>
      <c r="P396" s="4181"/>
      <c r="Q396" s="4179">
        <v>0</v>
      </c>
      <c r="R396" s="3500">
        <v>0</v>
      </c>
      <c r="S396" s="4180">
        <v>0</v>
      </c>
      <c r="T396" s="3500">
        <v>0</v>
      </c>
      <c r="U396" s="4182"/>
      <c r="V396" s="4183" t="s">
        <v>2541</v>
      </c>
      <c r="W396" s="4184" t="s">
        <v>169</v>
      </c>
      <c r="X396" s="4185" t="s">
        <v>2541</v>
      </c>
      <c r="Y396" s="3500" t="s">
        <v>169</v>
      </c>
      <c r="Z396" s="4180"/>
      <c r="AA396" s="4180"/>
      <c r="AB396" s="3500"/>
      <c r="AC396" s="4180"/>
      <c r="AD396" s="3500"/>
      <c r="AE396" s="4180"/>
      <c r="AF396" s="3140"/>
      <c r="AG396" s="3478"/>
      <c r="AH396" s="3478"/>
      <c r="AI396" s="4139" t="s">
        <v>1514</v>
      </c>
      <c r="AJ396" s="3015"/>
    </row>
    <row r="397" spans="2:36" s="3121" customFormat="1" ht="20.100000000000001" hidden="1" customHeight="1">
      <c r="B397" s="3262"/>
      <c r="C397" s="4186"/>
      <c r="D397" s="3759" t="s">
        <v>3345</v>
      </c>
      <c r="E397" s="3752"/>
      <c r="F397" s="3090" t="s">
        <v>154</v>
      </c>
      <c r="G397" s="3360"/>
      <c r="H397" s="3392"/>
      <c r="I397" s="3693" t="s">
        <v>3346</v>
      </c>
      <c r="J397" s="3693"/>
      <c r="K397" s="3094" t="s">
        <v>154</v>
      </c>
      <c r="L397" s="4179">
        <v>0</v>
      </c>
      <c r="M397" s="3500">
        <v>0</v>
      </c>
      <c r="N397" s="4180">
        <v>0</v>
      </c>
      <c r="O397" s="3500">
        <v>0</v>
      </c>
      <c r="P397" s="4181"/>
      <c r="Q397" s="4179">
        <v>0</v>
      </c>
      <c r="R397" s="3500">
        <v>0</v>
      </c>
      <c r="S397" s="4180">
        <v>0</v>
      </c>
      <c r="T397" s="3500">
        <v>0</v>
      </c>
      <c r="U397" s="4182"/>
      <c r="V397" s="4183" t="s">
        <v>2542</v>
      </c>
      <c r="W397" s="4184" t="s">
        <v>169</v>
      </c>
      <c r="X397" s="4185" t="s">
        <v>2542</v>
      </c>
      <c r="Y397" s="3500" t="s">
        <v>169</v>
      </c>
      <c r="Z397" s="4180"/>
      <c r="AA397" s="4180"/>
      <c r="AB397" s="3500"/>
      <c r="AC397" s="4180"/>
      <c r="AD397" s="3500"/>
      <c r="AE397" s="4180"/>
      <c r="AF397" s="3140"/>
      <c r="AG397" s="3478"/>
      <c r="AH397" s="3478"/>
      <c r="AI397" s="4139" t="s">
        <v>1519</v>
      </c>
      <c r="AJ397" s="3015"/>
    </row>
    <row r="398" spans="2:36" s="3121" customFormat="1" ht="20.100000000000001" hidden="1" customHeight="1">
      <c r="B398" s="3397"/>
      <c r="C398" s="3976" t="s">
        <v>1520</v>
      </c>
      <c r="D398" s="3977"/>
      <c r="E398" s="3977"/>
      <c r="F398" s="3090" t="s">
        <v>2708</v>
      </c>
      <c r="G398" s="3692"/>
      <c r="H398" s="3329" t="s">
        <v>3347</v>
      </c>
      <c r="I398" s="3329"/>
      <c r="J398" s="3330"/>
      <c r="K398" s="3094" t="s">
        <v>734</v>
      </c>
      <c r="L398" s="3472">
        <v>0</v>
      </c>
      <c r="M398" s="3473">
        <v>0</v>
      </c>
      <c r="N398" s="3474">
        <v>0</v>
      </c>
      <c r="O398" s="3473">
        <v>0</v>
      </c>
      <c r="P398" s="4141"/>
      <c r="Q398" s="3472">
        <v>0</v>
      </c>
      <c r="R398" s="3473">
        <v>0</v>
      </c>
      <c r="S398" s="3474">
        <v>0</v>
      </c>
      <c r="T398" s="3473">
        <v>0</v>
      </c>
      <c r="U398" s="3475"/>
      <c r="V398" s="4142" t="s">
        <v>2543</v>
      </c>
      <c r="W398" s="3575" t="s">
        <v>2544</v>
      </c>
      <c r="X398" s="4143" t="s">
        <v>2543</v>
      </c>
      <c r="Y398" s="3473" t="s">
        <v>2544</v>
      </c>
      <c r="Z398" s="3474"/>
      <c r="AA398" s="3474"/>
      <c r="AB398" s="3473"/>
      <c r="AC398" s="3474"/>
      <c r="AD398" s="3473"/>
      <c r="AE398" s="3474"/>
      <c r="AF398" s="3140"/>
      <c r="AG398" s="3478"/>
      <c r="AH398" s="3478"/>
      <c r="AI398" s="4187" t="s">
        <v>3348</v>
      </c>
      <c r="AJ398" s="3015"/>
    </row>
    <row r="399" spans="2:36" s="3121" customFormat="1" ht="20.100000000000001" hidden="1" customHeight="1">
      <c r="B399" s="4188"/>
      <c r="C399" s="3976" t="s">
        <v>1523</v>
      </c>
      <c r="D399" s="3977"/>
      <c r="E399" s="3977"/>
      <c r="F399" s="3090" t="s">
        <v>2708</v>
      </c>
      <c r="G399" s="3692"/>
      <c r="H399" s="3329" t="s">
        <v>3349</v>
      </c>
      <c r="I399" s="3329"/>
      <c r="J399" s="3330"/>
      <c r="K399" s="3094" t="s">
        <v>734</v>
      </c>
      <c r="L399" s="3472">
        <v>0</v>
      </c>
      <c r="M399" s="3473">
        <v>0</v>
      </c>
      <c r="N399" s="3474">
        <v>0</v>
      </c>
      <c r="O399" s="3473">
        <v>0</v>
      </c>
      <c r="P399" s="4141"/>
      <c r="Q399" s="3472">
        <v>0</v>
      </c>
      <c r="R399" s="3473">
        <v>0</v>
      </c>
      <c r="S399" s="3474">
        <v>0</v>
      </c>
      <c r="T399" s="3473">
        <v>0</v>
      </c>
      <c r="U399" s="3475"/>
      <c r="V399" s="4142" t="s">
        <v>2545</v>
      </c>
      <c r="W399" s="3575" t="s">
        <v>169</v>
      </c>
      <c r="X399" s="4143" t="s">
        <v>2545</v>
      </c>
      <c r="Y399" s="3473" t="s">
        <v>169</v>
      </c>
      <c r="Z399" s="3474"/>
      <c r="AA399" s="3474"/>
      <c r="AB399" s="3473"/>
      <c r="AC399" s="3474"/>
      <c r="AD399" s="3473"/>
      <c r="AE399" s="3474"/>
      <c r="AF399" s="3142"/>
      <c r="AG399" s="3592"/>
      <c r="AH399" s="3770"/>
      <c r="AI399" s="4189" t="s">
        <v>3350</v>
      </c>
      <c r="AJ399" s="3015"/>
    </row>
    <row r="400" spans="2:36" s="3121" customFormat="1" ht="20.100000000000001" hidden="1" customHeight="1">
      <c r="B400" s="3397"/>
      <c r="C400" s="3976" t="s">
        <v>3351</v>
      </c>
      <c r="D400" s="3977"/>
      <c r="E400" s="3977"/>
      <c r="F400" s="3090" t="s">
        <v>2688</v>
      </c>
      <c r="G400" s="3692"/>
      <c r="H400" s="3329" t="s">
        <v>3352</v>
      </c>
      <c r="I400" s="3329"/>
      <c r="J400" s="3321"/>
      <c r="K400" s="3104" t="s">
        <v>2688</v>
      </c>
      <c r="L400" s="4190"/>
      <c r="M400" s="4191"/>
      <c r="N400" s="4192"/>
      <c r="O400" s="4191"/>
      <c r="P400" s="4193"/>
      <c r="Q400" s="4190"/>
      <c r="R400" s="4191"/>
      <c r="S400" s="4192"/>
      <c r="T400" s="4191"/>
      <c r="U400" s="4194"/>
      <c r="V400" s="4195"/>
      <c r="W400" s="4196"/>
      <c r="X400" s="4197"/>
      <c r="Y400" s="4191"/>
      <c r="Z400" s="4192"/>
      <c r="AA400" s="4192"/>
      <c r="AB400" s="4191"/>
      <c r="AC400" s="4192"/>
      <c r="AD400" s="4191"/>
      <c r="AE400" s="4192"/>
      <c r="AF400" s="4198"/>
      <c r="AG400" s="4199"/>
      <c r="AH400" s="3746"/>
      <c r="AI400" s="4200" t="s">
        <v>3353</v>
      </c>
      <c r="AJ400" s="3015"/>
    </row>
    <row r="401" spans="2:36" s="3121" customFormat="1" ht="20.100000000000001" hidden="1" customHeight="1">
      <c r="B401" s="4201"/>
      <c r="C401" s="3987"/>
      <c r="D401" s="3988" t="s">
        <v>3354</v>
      </c>
      <c r="E401" s="3977"/>
      <c r="F401" s="3090" t="s">
        <v>2708</v>
      </c>
      <c r="G401" s="3760"/>
      <c r="H401" s="4023"/>
      <c r="I401" s="3984" t="s">
        <v>3355</v>
      </c>
      <c r="J401" s="4202"/>
      <c r="K401" s="3094" t="s">
        <v>734</v>
      </c>
      <c r="L401" s="3472"/>
      <c r="M401" s="3473"/>
      <c r="N401" s="3474"/>
      <c r="O401" s="3473"/>
      <c r="P401" s="4141"/>
      <c r="Q401" s="3472"/>
      <c r="R401" s="3473"/>
      <c r="S401" s="3474"/>
      <c r="T401" s="3473"/>
      <c r="U401" s="3475"/>
      <c r="V401" s="4142"/>
      <c r="W401" s="3575"/>
      <c r="X401" s="4143"/>
      <c r="Y401" s="3473"/>
      <c r="Z401" s="3474"/>
      <c r="AA401" s="3474"/>
      <c r="AB401" s="3473"/>
      <c r="AC401" s="3474"/>
      <c r="AD401" s="3473"/>
      <c r="AE401" s="3474"/>
      <c r="AF401" s="4203"/>
      <c r="AG401" s="4199"/>
      <c r="AH401" s="3746"/>
      <c r="AI401" s="4204" t="s">
        <v>3353</v>
      </c>
      <c r="AJ401" s="3015"/>
    </row>
    <row r="402" spans="2:36" s="3121" customFormat="1" ht="20.100000000000001" hidden="1" customHeight="1">
      <c r="B402" s="4205"/>
      <c r="C402" s="4206"/>
      <c r="D402" s="4207" t="s">
        <v>3356</v>
      </c>
      <c r="E402" s="4208"/>
      <c r="F402" s="3659" t="s">
        <v>2708</v>
      </c>
      <c r="G402" s="4209"/>
      <c r="H402" s="4210"/>
      <c r="I402" s="4211" t="s">
        <v>3357</v>
      </c>
      <c r="J402" s="4212"/>
      <c r="K402" s="3662" t="s">
        <v>734</v>
      </c>
      <c r="L402" s="4213">
        <f>L398</f>
        <v>0</v>
      </c>
      <c r="M402" s="3664"/>
      <c r="N402" s="4214">
        <f>N398</f>
        <v>0</v>
      </c>
      <c r="O402" s="3664"/>
      <c r="P402" s="4154"/>
      <c r="Q402" s="3663"/>
      <c r="R402" s="3664"/>
      <c r="S402" s="3665"/>
      <c r="T402" s="3664"/>
      <c r="U402" s="3666"/>
      <c r="V402" s="4215"/>
      <c r="W402" s="3664"/>
      <c r="X402" s="3665"/>
      <c r="Y402" s="3664"/>
      <c r="Z402" s="3665"/>
      <c r="AA402" s="3665"/>
      <c r="AB402" s="3664"/>
      <c r="AC402" s="3665"/>
      <c r="AD402" s="3664"/>
      <c r="AE402" s="3665"/>
      <c r="AF402" s="4216"/>
      <c r="AG402" s="4217"/>
      <c r="AH402" s="4218"/>
      <c r="AI402" s="4219" t="s">
        <v>3353</v>
      </c>
      <c r="AJ402" s="3015"/>
    </row>
    <row r="403" spans="2:36" ht="27" hidden="1" thickBot="1">
      <c r="B403" s="4220" t="s">
        <v>3358</v>
      </c>
      <c r="C403" s="4221"/>
      <c r="D403" s="4221"/>
      <c r="E403" s="4221"/>
      <c r="F403" s="3457"/>
      <c r="G403" s="3895" t="s">
        <v>3359</v>
      </c>
      <c r="H403" s="4222"/>
      <c r="I403" s="4222"/>
      <c r="J403" s="4222"/>
      <c r="K403" s="3457"/>
      <c r="L403" s="4223"/>
      <c r="M403" s="4224"/>
      <c r="N403" s="4224"/>
      <c r="O403" s="4224"/>
      <c r="P403" s="4224"/>
      <c r="Q403" s="4223"/>
      <c r="R403" s="4224"/>
      <c r="S403" s="4224"/>
      <c r="T403" s="4224"/>
      <c r="U403" s="4225"/>
      <c r="V403" s="4224"/>
      <c r="W403" s="4224"/>
      <c r="X403" s="4224"/>
      <c r="Y403" s="4224"/>
      <c r="Z403" s="4224"/>
      <c r="AA403" s="4224"/>
      <c r="AB403" s="4224"/>
      <c r="AC403" s="4224"/>
      <c r="AD403" s="4224"/>
      <c r="AE403" s="4224"/>
      <c r="AF403" s="4226"/>
      <c r="AG403" s="4226"/>
      <c r="AH403" s="4227"/>
      <c r="AI403" s="4228"/>
      <c r="AJ403" s="3015"/>
    </row>
    <row r="404" spans="2:36" ht="20.100000000000001" hidden="1" customHeight="1">
      <c r="B404" s="4229"/>
      <c r="C404" s="4230" t="s">
        <v>3323</v>
      </c>
      <c r="D404" s="4231"/>
      <c r="E404" s="4231"/>
      <c r="F404" s="4232" t="s">
        <v>2676</v>
      </c>
      <c r="G404" s="4128"/>
      <c r="H404" s="4231" t="s">
        <v>3360</v>
      </c>
      <c r="I404" s="4231"/>
      <c r="J404" s="4231"/>
      <c r="K404" s="4233" t="s">
        <v>2676</v>
      </c>
      <c r="L404" s="4009"/>
      <c r="M404" s="4010"/>
      <c r="N404" s="4011"/>
      <c r="O404" s="4010"/>
      <c r="P404" s="4129"/>
      <c r="Q404" s="4009"/>
      <c r="R404" s="4010"/>
      <c r="S404" s="4011"/>
      <c r="T404" s="4010"/>
      <c r="U404" s="4012"/>
      <c r="V404" s="4130"/>
      <c r="W404" s="4010"/>
      <c r="X404" s="4011"/>
      <c r="Y404" s="4010"/>
      <c r="Z404" s="4011"/>
      <c r="AA404" s="4011"/>
      <c r="AB404" s="4010"/>
      <c r="AC404" s="4011"/>
      <c r="AD404" s="4010"/>
      <c r="AE404" s="4011"/>
      <c r="AF404" s="3140"/>
      <c r="AG404" s="4234"/>
      <c r="AH404" s="4235"/>
      <c r="AI404" s="4236"/>
      <c r="AJ404" s="3015"/>
    </row>
    <row r="405" spans="2:36" ht="20.100000000000001" hidden="1" customHeight="1">
      <c r="B405" s="4237"/>
      <c r="C405" s="4140"/>
      <c r="D405" s="4238" t="s">
        <v>3361</v>
      </c>
      <c r="E405" s="3966"/>
      <c r="F405" s="4114" t="s">
        <v>2600</v>
      </c>
      <c r="G405" s="3091"/>
      <c r="H405" s="3323"/>
      <c r="I405" s="3360" t="s">
        <v>3362</v>
      </c>
      <c r="J405" s="3360"/>
      <c r="K405" s="4171" t="s">
        <v>35</v>
      </c>
      <c r="L405" s="4239">
        <v>0</v>
      </c>
      <c r="M405" s="4240">
        <v>0</v>
      </c>
      <c r="N405" s="4241">
        <v>0</v>
      </c>
      <c r="O405" s="4240">
        <v>0</v>
      </c>
      <c r="P405" s="4242"/>
      <c r="Q405" s="4239">
        <v>0</v>
      </c>
      <c r="R405" s="4240">
        <v>0</v>
      </c>
      <c r="S405" s="4241">
        <v>0</v>
      </c>
      <c r="T405" s="4240">
        <v>0</v>
      </c>
      <c r="U405" s="4243"/>
      <c r="V405" s="4244">
        <v>0</v>
      </c>
      <c r="W405" s="4240">
        <v>0</v>
      </c>
      <c r="X405" s="4241">
        <v>0</v>
      </c>
      <c r="Y405" s="4240">
        <v>0</v>
      </c>
      <c r="Z405" s="4241"/>
      <c r="AA405" s="4241"/>
      <c r="AB405" s="4240"/>
      <c r="AC405" s="4241"/>
      <c r="AD405" s="4240"/>
      <c r="AE405" s="4241"/>
      <c r="AF405" s="4245"/>
      <c r="AG405" s="4246"/>
      <c r="AH405" s="4247"/>
      <c r="AI405" s="4187" t="s">
        <v>3363</v>
      </c>
      <c r="AJ405" s="3015"/>
    </row>
    <row r="406" spans="2:36" ht="20.100000000000001" hidden="1" customHeight="1">
      <c r="B406" s="4248"/>
      <c r="C406" s="3939"/>
      <c r="D406" s="3759" t="s">
        <v>3315</v>
      </c>
      <c r="E406" s="3752"/>
      <c r="F406" s="3255" t="s">
        <v>2600</v>
      </c>
      <c r="G406" s="3360"/>
      <c r="H406" s="3341"/>
      <c r="I406" s="3505" t="s">
        <v>3364</v>
      </c>
      <c r="J406" s="3505"/>
      <c r="K406" s="3142" t="s">
        <v>35</v>
      </c>
      <c r="L406" s="4249">
        <v>0</v>
      </c>
      <c r="M406" s="4250">
        <v>0</v>
      </c>
      <c r="N406" s="4251">
        <v>0</v>
      </c>
      <c r="O406" s="4250">
        <v>0</v>
      </c>
      <c r="P406" s="4252"/>
      <c r="Q406" s="4249">
        <v>0</v>
      </c>
      <c r="R406" s="4250">
        <v>0</v>
      </c>
      <c r="S406" s="4251">
        <v>0</v>
      </c>
      <c r="T406" s="4250">
        <v>0</v>
      </c>
      <c r="U406" s="4253"/>
      <c r="V406" s="4254">
        <v>0</v>
      </c>
      <c r="W406" s="4250">
        <v>0</v>
      </c>
      <c r="X406" s="4251">
        <v>0</v>
      </c>
      <c r="Y406" s="4250">
        <v>0</v>
      </c>
      <c r="Z406" s="4251"/>
      <c r="AA406" s="4251"/>
      <c r="AB406" s="4250"/>
      <c r="AC406" s="4251"/>
      <c r="AD406" s="4250"/>
      <c r="AE406" s="4251"/>
      <c r="AF406" s="3142"/>
      <c r="AG406" s="3770"/>
      <c r="AH406" s="3592"/>
      <c r="AI406" s="4139" t="s">
        <v>1544</v>
      </c>
      <c r="AJ406" s="3015"/>
    </row>
    <row r="407" spans="2:36" ht="20.100000000000001" hidden="1" customHeight="1">
      <c r="B407" s="3534"/>
      <c r="C407" s="4255" t="s">
        <v>3365</v>
      </c>
      <c r="D407" s="3728"/>
      <c r="E407" s="3728"/>
      <c r="F407" s="3090" t="s">
        <v>2688</v>
      </c>
      <c r="G407" s="3692"/>
      <c r="H407" s="3329" t="s">
        <v>3366</v>
      </c>
      <c r="I407" s="3329"/>
      <c r="J407" s="3330"/>
      <c r="K407" s="3140" t="s">
        <v>154</v>
      </c>
      <c r="L407" s="3234">
        <v>0</v>
      </c>
      <c r="M407" s="3442"/>
      <c r="N407" s="3236">
        <v>0</v>
      </c>
      <c r="O407" s="3442"/>
      <c r="P407" s="4256"/>
      <c r="Q407" s="3234">
        <v>0</v>
      </c>
      <c r="R407" s="3442"/>
      <c r="S407" s="3236">
        <v>0</v>
      </c>
      <c r="T407" s="3442"/>
      <c r="U407" s="3447"/>
      <c r="V407" s="4257">
        <v>0</v>
      </c>
      <c r="W407" s="3442"/>
      <c r="X407" s="3236">
        <v>0</v>
      </c>
      <c r="Y407" s="3442"/>
      <c r="Z407" s="3236"/>
      <c r="AA407" s="3236"/>
      <c r="AB407" s="3442"/>
      <c r="AC407" s="3236"/>
      <c r="AD407" s="3442"/>
      <c r="AE407" s="3236"/>
      <c r="AF407" s="3140"/>
      <c r="AG407" s="3746"/>
      <c r="AH407" s="3478"/>
      <c r="AI407" s="4139" t="s">
        <v>3367</v>
      </c>
      <c r="AJ407" s="3015"/>
    </row>
    <row r="408" spans="2:36" ht="20.100000000000001" hidden="1" customHeight="1">
      <c r="B408" s="3534"/>
      <c r="C408" s="3935"/>
      <c r="D408" s="3988" t="s">
        <v>3368</v>
      </c>
      <c r="E408" s="3977"/>
      <c r="F408" s="3090" t="s">
        <v>2600</v>
      </c>
      <c r="G408" s="3505"/>
      <c r="H408" s="3321"/>
      <c r="I408" s="3692" t="s">
        <v>3369</v>
      </c>
      <c r="J408" s="3692"/>
      <c r="K408" s="3140" t="s">
        <v>35</v>
      </c>
      <c r="L408" s="3234">
        <v>0</v>
      </c>
      <c r="M408" s="3442">
        <v>0</v>
      </c>
      <c r="N408" s="3236">
        <v>0</v>
      </c>
      <c r="O408" s="3442">
        <v>0</v>
      </c>
      <c r="P408" s="4256"/>
      <c r="Q408" s="3234">
        <v>0</v>
      </c>
      <c r="R408" s="3442">
        <v>0</v>
      </c>
      <c r="S408" s="3236">
        <v>0</v>
      </c>
      <c r="T408" s="3442">
        <v>0</v>
      </c>
      <c r="U408" s="3447"/>
      <c r="V408" s="4257">
        <v>0</v>
      </c>
      <c r="W408" s="3442">
        <v>0</v>
      </c>
      <c r="X408" s="3236">
        <v>0</v>
      </c>
      <c r="Y408" s="3442">
        <v>0</v>
      </c>
      <c r="Z408" s="3236"/>
      <c r="AA408" s="3236"/>
      <c r="AB408" s="3442"/>
      <c r="AC408" s="3236"/>
      <c r="AD408" s="3442"/>
      <c r="AE408" s="3236"/>
      <c r="AF408" s="3142"/>
      <c r="AG408" s="3746"/>
      <c r="AH408" s="3592"/>
      <c r="AI408" s="4258" t="s">
        <v>3367</v>
      </c>
      <c r="AJ408" s="3015"/>
    </row>
    <row r="409" spans="2:36" ht="20.100000000000001" hidden="1" customHeight="1">
      <c r="B409" s="4248"/>
      <c r="C409" s="4150"/>
      <c r="D409" s="4259" t="s">
        <v>3370</v>
      </c>
      <c r="E409" s="4260"/>
      <c r="F409" s="4261" t="s">
        <v>2600</v>
      </c>
      <c r="G409" s="4151"/>
      <c r="H409" s="4099"/>
      <c r="I409" s="4262" t="s">
        <v>3371</v>
      </c>
      <c r="J409" s="4262"/>
      <c r="K409" s="4102" t="s">
        <v>35</v>
      </c>
      <c r="L409" s="4103">
        <v>0</v>
      </c>
      <c r="M409" s="4104">
        <v>0</v>
      </c>
      <c r="N409" s="4105">
        <v>0</v>
      </c>
      <c r="O409" s="4104">
        <v>0</v>
      </c>
      <c r="P409" s="4263"/>
      <c r="Q409" s="4103">
        <v>0</v>
      </c>
      <c r="R409" s="4104">
        <v>0</v>
      </c>
      <c r="S409" s="4105">
        <v>0</v>
      </c>
      <c r="T409" s="4104">
        <v>0</v>
      </c>
      <c r="U409" s="4106"/>
      <c r="V409" s="4264">
        <v>0</v>
      </c>
      <c r="W409" s="4104">
        <v>0</v>
      </c>
      <c r="X409" s="4105">
        <v>0</v>
      </c>
      <c r="Y409" s="4104">
        <v>0</v>
      </c>
      <c r="Z409" s="4105"/>
      <c r="AA409" s="4105"/>
      <c r="AB409" s="4104"/>
      <c r="AC409" s="4105"/>
      <c r="AD409" s="4104"/>
      <c r="AE409" s="4105"/>
      <c r="AF409" s="4265"/>
      <c r="AG409" s="4266"/>
      <c r="AH409" s="3518"/>
      <c r="AI409" s="4267" t="s">
        <v>3367</v>
      </c>
      <c r="AJ409" s="3015"/>
    </row>
    <row r="410" spans="2:36" ht="27" hidden="1" thickBot="1">
      <c r="B410" s="3105" t="s">
        <v>3372</v>
      </c>
      <c r="C410" s="4221"/>
      <c r="D410" s="4221"/>
      <c r="E410" s="4221"/>
      <c r="F410" s="4221"/>
      <c r="G410" s="3895" t="s">
        <v>3373</v>
      </c>
      <c r="H410" s="3725"/>
      <c r="I410" s="3725"/>
      <c r="J410" s="3725"/>
      <c r="K410" s="3457"/>
      <c r="L410" s="4223"/>
      <c r="M410" s="4224"/>
      <c r="N410" s="4224"/>
      <c r="O410" s="4224"/>
      <c r="P410" s="4224"/>
      <c r="Q410" s="4223"/>
      <c r="R410" s="4224"/>
      <c r="S410" s="4224"/>
      <c r="T410" s="4224"/>
      <c r="U410" s="4225"/>
      <c r="V410" s="4224"/>
      <c r="W410" s="4224"/>
      <c r="X410" s="4224"/>
      <c r="Y410" s="4224"/>
      <c r="Z410" s="4224"/>
      <c r="AA410" s="4224"/>
      <c r="AB410" s="4224"/>
      <c r="AC410" s="4224"/>
      <c r="AD410" s="4224"/>
      <c r="AE410" s="4224"/>
      <c r="AF410" s="4268"/>
      <c r="AG410" s="4226"/>
      <c r="AH410" s="4226"/>
      <c r="AI410" s="4228"/>
      <c r="AJ410" s="3015"/>
    </row>
    <row r="411" spans="2:36" s="3121" customFormat="1" ht="20.100000000000001" hidden="1" customHeight="1">
      <c r="B411" s="4269"/>
      <c r="C411" s="4270" t="s">
        <v>3374</v>
      </c>
      <c r="D411" s="4271"/>
      <c r="E411" s="4271"/>
      <c r="F411" s="3730" t="s">
        <v>2688</v>
      </c>
      <c r="G411" s="4060"/>
      <c r="H411" s="4061" t="s">
        <v>3375</v>
      </c>
      <c r="I411" s="4061"/>
      <c r="J411" s="4272"/>
      <c r="K411" s="3734" t="s">
        <v>2688</v>
      </c>
      <c r="L411" s="4273" t="str">
        <f t="shared" ref="L411" si="23">IFERROR(L412/L413*100,"-")</f>
        <v>-</v>
      </c>
      <c r="M411" s="4274"/>
      <c r="N411" s="4275" t="str">
        <f>IFERROR(N412/N413*100,"-")</f>
        <v>-</v>
      </c>
      <c r="O411" s="4276" t="str">
        <f>IFERROR(O413/O412*100,"-")</f>
        <v>-</v>
      </c>
      <c r="P411" s="4277" t="str">
        <f>IFERROR(P412/P413*100,"-")</f>
        <v>-</v>
      </c>
      <c r="Q411" s="4273" t="str">
        <f>IFERROR(Q412/Q413*100,"-")</f>
        <v>-</v>
      </c>
      <c r="R411" s="4274"/>
      <c r="S411" s="4275" t="str">
        <f>IFERROR(S412/S413*100,"-")</f>
        <v>-</v>
      </c>
      <c r="T411" s="4274"/>
      <c r="U411" s="4278" t="str">
        <f>IFERROR(U412/U413*100,"-")</f>
        <v>-</v>
      </c>
      <c r="V411" s="4279" t="str">
        <f>IFERROR(V412/V413*100,"-")</f>
        <v>-</v>
      </c>
      <c r="W411" s="4280"/>
      <c r="X411" s="4275" t="str">
        <f>IFERROR(X412/X413*100,"-")</f>
        <v>-</v>
      </c>
      <c r="Y411" s="4280"/>
      <c r="Z411" s="4275" t="str">
        <f>IFERROR(Z412/Z413*100,"-")</f>
        <v>-</v>
      </c>
      <c r="AA411" s="4275" t="str">
        <f>IFERROR(AA412/AA413*100,"-")</f>
        <v>-</v>
      </c>
      <c r="AB411" s="4065"/>
      <c r="AC411" s="4275" t="str">
        <f>IFERROR(AC412/AC413*100,"-")</f>
        <v>-</v>
      </c>
      <c r="AD411" s="4065"/>
      <c r="AE411" s="4275" t="str">
        <f>IFERROR(AE412/AE413*100,"-")</f>
        <v>-</v>
      </c>
      <c r="AF411" s="3734"/>
      <c r="AG411" s="3468"/>
      <c r="AH411" s="3468"/>
      <c r="AI411" s="4139" t="s">
        <v>3376</v>
      </c>
      <c r="AJ411" s="3007"/>
    </row>
    <row r="412" spans="2:36" s="3121" customFormat="1" ht="20.100000000000001" hidden="1" customHeight="1">
      <c r="B412" s="4281"/>
      <c r="C412" s="4030"/>
      <c r="D412" s="4282" t="s">
        <v>3377</v>
      </c>
      <c r="E412" s="4283"/>
      <c r="F412" s="3090" t="s">
        <v>3378</v>
      </c>
      <c r="G412" s="4284"/>
      <c r="H412" s="4051"/>
      <c r="I412" s="4285" t="s">
        <v>3379</v>
      </c>
      <c r="J412" s="4285"/>
      <c r="K412" s="3094" t="s">
        <v>3380</v>
      </c>
      <c r="L412" s="3132">
        <v>0</v>
      </c>
      <c r="M412" s="3133">
        <v>0</v>
      </c>
      <c r="N412" s="3134">
        <v>0</v>
      </c>
      <c r="O412" s="3133">
        <v>0</v>
      </c>
      <c r="P412" s="4286"/>
      <c r="Q412" s="3132">
        <v>0</v>
      </c>
      <c r="R412" s="3133">
        <v>0</v>
      </c>
      <c r="S412" s="3134">
        <v>0</v>
      </c>
      <c r="T412" s="3133">
        <v>0</v>
      </c>
      <c r="U412" s="3135"/>
      <c r="V412" s="4287" t="s">
        <v>2547</v>
      </c>
      <c r="W412" s="4288">
        <v>0.51</v>
      </c>
      <c r="X412" s="3134" t="s">
        <v>2547</v>
      </c>
      <c r="Y412" s="4288">
        <v>0.51</v>
      </c>
      <c r="Z412" s="3134"/>
      <c r="AA412" s="3134"/>
      <c r="AB412" s="3133"/>
      <c r="AC412" s="3134"/>
      <c r="AD412" s="3133"/>
      <c r="AE412" s="3134"/>
      <c r="AF412" s="3140"/>
      <c r="AG412" s="3478"/>
      <c r="AH412" s="3478"/>
      <c r="AI412" s="4139" t="s">
        <v>3376</v>
      </c>
      <c r="AJ412" s="3007"/>
    </row>
    <row r="413" spans="2:36" s="3121" customFormat="1" ht="20.100000000000001" hidden="1" customHeight="1">
      <c r="B413" s="4281"/>
      <c r="C413" s="4034"/>
      <c r="D413" s="4282" t="s">
        <v>3381</v>
      </c>
      <c r="E413" s="4289"/>
      <c r="F413" s="3090" t="s">
        <v>3378</v>
      </c>
      <c r="G413" s="3998"/>
      <c r="H413" s="3392"/>
      <c r="I413" s="4285" t="s">
        <v>1568</v>
      </c>
      <c r="J413" s="4285"/>
      <c r="K413" s="3094" t="s">
        <v>3380</v>
      </c>
      <c r="L413" s="3132">
        <v>0</v>
      </c>
      <c r="M413" s="3133">
        <v>0</v>
      </c>
      <c r="N413" s="3134">
        <v>0</v>
      </c>
      <c r="O413" s="3133">
        <v>0</v>
      </c>
      <c r="P413" s="4286"/>
      <c r="Q413" s="3132">
        <v>0</v>
      </c>
      <c r="R413" s="3133">
        <v>0</v>
      </c>
      <c r="S413" s="3134">
        <v>0</v>
      </c>
      <c r="T413" s="3133">
        <v>0</v>
      </c>
      <c r="U413" s="3135"/>
      <c r="V413" s="4287" t="s">
        <v>2547</v>
      </c>
      <c r="W413" s="4288">
        <v>0.51</v>
      </c>
      <c r="X413" s="3134" t="s">
        <v>2547</v>
      </c>
      <c r="Y413" s="4288">
        <v>0.51</v>
      </c>
      <c r="Z413" s="3134"/>
      <c r="AA413" s="3134"/>
      <c r="AB413" s="3133"/>
      <c r="AC413" s="3134"/>
      <c r="AD413" s="3133"/>
      <c r="AE413" s="3134"/>
      <c r="AF413" s="3140"/>
      <c r="AG413" s="3478"/>
      <c r="AH413" s="3478"/>
      <c r="AI413" s="4139" t="s">
        <v>3376</v>
      </c>
      <c r="AJ413" s="3007"/>
    </row>
    <row r="414" spans="2:36" s="3121" customFormat="1" ht="20.100000000000001" hidden="1" customHeight="1">
      <c r="B414" s="4281"/>
      <c r="C414" s="3976" t="s">
        <v>3382</v>
      </c>
      <c r="D414" s="3977"/>
      <c r="E414" s="3977"/>
      <c r="F414" s="3090" t="s">
        <v>2688</v>
      </c>
      <c r="G414" s="3692"/>
      <c r="H414" s="3329" t="s">
        <v>3383</v>
      </c>
      <c r="I414" s="3329"/>
      <c r="J414" s="3440"/>
      <c r="K414" s="3094" t="s">
        <v>2688</v>
      </c>
      <c r="L414" s="4290" t="str">
        <f t="shared" ref="L414" si="24">IFERROR(L415/L416*100,"-")</f>
        <v>-</v>
      </c>
      <c r="M414" s="4291"/>
      <c r="N414" s="4292" t="str">
        <f>IFERROR(N415/N416*100,"-")</f>
        <v>-</v>
      </c>
      <c r="O414" s="4291"/>
      <c r="P414" s="4293" t="str">
        <f>IFERROR(P415/P416*100,"-")</f>
        <v>-</v>
      </c>
      <c r="Q414" s="4290" t="str">
        <f>IFERROR(Q415/Q416*100,"-")</f>
        <v>-</v>
      </c>
      <c r="R414" s="4291"/>
      <c r="S414" s="4292" t="str">
        <f>IFERROR(S415/S416*100,"-")</f>
        <v>-</v>
      </c>
      <c r="T414" s="4291"/>
      <c r="U414" s="4294" t="str">
        <f>IFERROR(U415/U416*100,"-")</f>
        <v>-</v>
      </c>
      <c r="V414" s="4295" t="str">
        <f>IFERROR(V415/V416*100,"-")</f>
        <v>-</v>
      </c>
      <c r="W414" s="4296"/>
      <c r="X414" s="4292" t="str">
        <f>IFERROR(X415/X416*100,"-")</f>
        <v>-</v>
      </c>
      <c r="Y414" s="4296"/>
      <c r="Z414" s="4292" t="str">
        <f>IFERROR(Z415/Z416*100,"-")</f>
        <v>-</v>
      </c>
      <c r="AA414" s="4292" t="str">
        <f>IFERROR(AA415/AA416*100,"-")</f>
        <v>-</v>
      </c>
      <c r="AB414" s="4083"/>
      <c r="AC414" s="4292" t="str">
        <f>IFERROR(AC415/AC416*100,"-")</f>
        <v>-</v>
      </c>
      <c r="AD414" s="4083"/>
      <c r="AE414" s="4292" t="str">
        <f>IFERROR(AE415/AE416*100,"-")</f>
        <v>-</v>
      </c>
      <c r="AF414" s="3140"/>
      <c r="AG414" s="3478"/>
      <c r="AH414" s="3478"/>
      <c r="AI414" s="4139" t="s">
        <v>3384</v>
      </c>
      <c r="AJ414" s="3007"/>
    </row>
    <row r="415" spans="2:36" s="3121" customFormat="1" ht="20.100000000000001" hidden="1" customHeight="1">
      <c r="B415" s="4281"/>
      <c r="C415" s="4297"/>
      <c r="D415" s="3988" t="s">
        <v>3385</v>
      </c>
      <c r="E415" s="3977"/>
      <c r="F415" s="3090" t="s">
        <v>3378</v>
      </c>
      <c r="G415" s="4298"/>
      <c r="H415" s="4023"/>
      <c r="I415" s="3984" t="s">
        <v>3386</v>
      </c>
      <c r="J415" s="4202"/>
      <c r="K415" s="3094" t="s">
        <v>3380</v>
      </c>
      <c r="L415" s="4299">
        <v>0</v>
      </c>
      <c r="M415" s="4300">
        <v>0</v>
      </c>
      <c r="N415" s="4301">
        <v>0</v>
      </c>
      <c r="O415" s="4300">
        <v>0</v>
      </c>
      <c r="P415" s="4302"/>
      <c r="Q415" s="4299">
        <v>0</v>
      </c>
      <c r="R415" s="4300">
        <v>0</v>
      </c>
      <c r="S415" s="4301">
        <v>0</v>
      </c>
      <c r="T415" s="4300">
        <v>0</v>
      </c>
      <c r="U415" s="4303"/>
      <c r="V415" s="4304" t="s">
        <v>2548</v>
      </c>
      <c r="W415" s="4300">
        <v>0.4</v>
      </c>
      <c r="X415" s="4301" t="s">
        <v>2548</v>
      </c>
      <c r="Y415" s="4300">
        <v>0.4</v>
      </c>
      <c r="Z415" s="4301"/>
      <c r="AA415" s="4301"/>
      <c r="AB415" s="3133"/>
      <c r="AC415" s="4301"/>
      <c r="AD415" s="3133"/>
      <c r="AE415" s="3134"/>
      <c r="AF415" s="3140"/>
      <c r="AG415" s="3478"/>
      <c r="AH415" s="3478"/>
      <c r="AI415" s="4139" t="s">
        <v>3384</v>
      </c>
      <c r="AJ415" s="3007"/>
    </row>
    <row r="416" spans="2:36" s="3121" customFormat="1" ht="20.100000000000001" hidden="1" customHeight="1">
      <c r="B416" s="4281"/>
      <c r="C416" s="4297"/>
      <c r="D416" s="4305" t="s">
        <v>3381</v>
      </c>
      <c r="E416" s="4306"/>
      <c r="F416" s="3090" t="s">
        <v>3378</v>
      </c>
      <c r="G416" s="4307"/>
      <c r="H416" s="4024"/>
      <c r="I416" s="4308" t="s">
        <v>3387</v>
      </c>
      <c r="J416" s="4309"/>
      <c r="K416" s="3094" t="s">
        <v>3380</v>
      </c>
      <c r="L416" s="3132">
        <v>0</v>
      </c>
      <c r="M416" s="3133">
        <v>0</v>
      </c>
      <c r="N416" s="3134">
        <v>0</v>
      </c>
      <c r="O416" s="3133">
        <v>0</v>
      </c>
      <c r="P416" s="4286"/>
      <c r="Q416" s="3132">
        <v>0</v>
      </c>
      <c r="R416" s="3133">
        <v>0</v>
      </c>
      <c r="S416" s="3134">
        <v>0</v>
      </c>
      <c r="T416" s="3133">
        <v>0</v>
      </c>
      <c r="U416" s="3135"/>
      <c r="V416" s="4287" t="s">
        <v>2548</v>
      </c>
      <c r="W416" s="4288">
        <v>0.4</v>
      </c>
      <c r="X416" s="3134" t="s">
        <v>2548</v>
      </c>
      <c r="Y416" s="4310">
        <v>0.4</v>
      </c>
      <c r="Z416" s="3134"/>
      <c r="AA416" s="3134"/>
      <c r="AB416" s="3133"/>
      <c r="AC416" s="3134"/>
      <c r="AD416" s="3133"/>
      <c r="AE416" s="3134"/>
      <c r="AF416" s="3140"/>
      <c r="AG416" s="3478"/>
      <c r="AH416" s="3478"/>
      <c r="AI416" s="4139" t="s">
        <v>3384</v>
      </c>
      <c r="AJ416" s="3007"/>
    </row>
    <row r="417" spans="2:36" s="3121" customFormat="1" ht="20.100000000000001" hidden="1" customHeight="1">
      <c r="B417" s="4281"/>
      <c r="C417" s="3976" t="s">
        <v>3388</v>
      </c>
      <c r="D417" s="3977"/>
      <c r="E417" s="3977"/>
      <c r="F417" s="4311" t="s">
        <v>2688</v>
      </c>
      <c r="G417" s="4312"/>
      <c r="H417" s="3978" t="s">
        <v>3389</v>
      </c>
      <c r="I417" s="4047"/>
      <c r="J417" s="4313"/>
      <c r="K417" s="3912" t="s">
        <v>2688</v>
      </c>
      <c r="L417" s="4314" t="str">
        <f t="shared" ref="L417" si="25">IFERROR(L418/L419*100,"-")</f>
        <v>-</v>
      </c>
      <c r="M417" s="4315"/>
      <c r="N417" s="4316" t="str">
        <f>IFERROR(N418/N419*100,"-")</f>
        <v>-</v>
      </c>
      <c r="O417" s="4315"/>
      <c r="P417" s="4317" t="str">
        <f>IFERROR(P418/P419*100,"-")</f>
        <v>-</v>
      </c>
      <c r="Q417" s="4314" t="str">
        <f>IFERROR(Q418/Q419*100,"-")</f>
        <v>-</v>
      </c>
      <c r="R417" s="4315"/>
      <c r="S417" s="4316" t="str">
        <f>IFERROR(S418/S419*100,"-")</f>
        <v>-</v>
      </c>
      <c r="T417" s="4315"/>
      <c r="U417" s="4318" t="str">
        <f>IFERROR(U418/U419*100,"-")</f>
        <v>-</v>
      </c>
      <c r="V417" s="4319" t="str">
        <f>IFERROR(V418/V419*100,"-")</f>
        <v>-</v>
      </c>
      <c r="W417" s="4320"/>
      <c r="X417" s="4316" t="str">
        <f>IFERROR(X418/X419*100,"-")</f>
        <v>-</v>
      </c>
      <c r="Y417" s="4320"/>
      <c r="Z417" s="4316" t="str">
        <f>IFERROR(Z418/Z419*100,"-")</f>
        <v>-</v>
      </c>
      <c r="AA417" s="4316" t="str">
        <f>IFERROR(AA418/AA419*100,"-")</f>
        <v>-</v>
      </c>
      <c r="AB417" s="4321"/>
      <c r="AC417" s="4316" t="str">
        <f>IFERROR(AC418/AC419*100,"-")</f>
        <v>-</v>
      </c>
      <c r="AD417" s="4321"/>
      <c r="AE417" s="4316" t="str">
        <f>IFERROR(AE418/AE419*100,"-")</f>
        <v>-</v>
      </c>
      <c r="AF417" s="4171"/>
      <c r="AG417" s="3610"/>
      <c r="AH417" s="3610"/>
      <c r="AI417" s="4139" t="s">
        <v>3390</v>
      </c>
      <c r="AJ417" s="3007"/>
    </row>
    <row r="418" spans="2:36" s="3121" customFormat="1" ht="20.100000000000001" hidden="1" customHeight="1">
      <c r="B418" s="4281"/>
      <c r="C418" s="4297"/>
      <c r="D418" s="3988" t="s">
        <v>3391</v>
      </c>
      <c r="E418" s="3977"/>
      <c r="F418" s="3090" t="s">
        <v>3378</v>
      </c>
      <c r="G418" s="4298"/>
      <c r="H418" s="4023"/>
      <c r="I418" s="3984" t="s">
        <v>3392</v>
      </c>
      <c r="J418" s="4202"/>
      <c r="K418" s="3094" t="s">
        <v>3380</v>
      </c>
      <c r="L418" s="4299">
        <v>0</v>
      </c>
      <c r="M418" s="4300">
        <v>0</v>
      </c>
      <c r="N418" s="4301">
        <v>0</v>
      </c>
      <c r="O418" s="4300">
        <v>0</v>
      </c>
      <c r="P418" s="4302"/>
      <c r="Q418" s="4299">
        <v>0</v>
      </c>
      <c r="R418" s="4300">
        <v>0</v>
      </c>
      <c r="S418" s="4301">
        <v>0</v>
      </c>
      <c r="T418" s="4300">
        <v>0</v>
      </c>
      <c r="U418" s="4303"/>
      <c r="V418" s="4304" t="s">
        <v>2547</v>
      </c>
      <c r="W418" s="4300">
        <v>0.51</v>
      </c>
      <c r="X418" s="4301" t="s">
        <v>2547</v>
      </c>
      <c r="Y418" s="4300">
        <v>0.51</v>
      </c>
      <c r="Z418" s="4301"/>
      <c r="AA418" s="4301"/>
      <c r="AB418" s="3133"/>
      <c r="AC418" s="4301"/>
      <c r="AD418" s="3133"/>
      <c r="AE418" s="3134"/>
      <c r="AF418" s="3140"/>
      <c r="AG418" s="3478"/>
      <c r="AH418" s="3478"/>
      <c r="AI418" s="4139" t="s">
        <v>3390</v>
      </c>
      <c r="AJ418" s="3007"/>
    </row>
    <row r="419" spans="2:36" s="3121" customFormat="1" ht="20.100000000000001" hidden="1" customHeight="1">
      <c r="B419" s="4281"/>
      <c r="C419" s="3982"/>
      <c r="D419" s="4305" t="s">
        <v>3393</v>
      </c>
      <c r="E419" s="4306"/>
      <c r="F419" s="3090" t="s">
        <v>3378</v>
      </c>
      <c r="G419" s="4307"/>
      <c r="H419" s="4024"/>
      <c r="I419" s="4308" t="s">
        <v>3394</v>
      </c>
      <c r="J419" s="4309"/>
      <c r="K419" s="3094" t="s">
        <v>3380</v>
      </c>
      <c r="L419" s="4249">
        <v>0</v>
      </c>
      <c r="M419" s="4322">
        <v>0</v>
      </c>
      <c r="N419" s="4251">
        <v>0</v>
      </c>
      <c r="O419" s="4322">
        <v>0</v>
      </c>
      <c r="P419" s="4252"/>
      <c r="Q419" s="4249">
        <v>0</v>
      </c>
      <c r="R419" s="4322">
        <v>0</v>
      </c>
      <c r="S419" s="4251">
        <v>0</v>
      </c>
      <c r="T419" s="4322">
        <v>0</v>
      </c>
      <c r="U419" s="4253"/>
      <c r="V419" s="4287" t="s">
        <v>2547</v>
      </c>
      <c r="W419" s="4288">
        <v>0.51</v>
      </c>
      <c r="X419" s="3134" t="s">
        <v>2547</v>
      </c>
      <c r="Y419" s="4310">
        <v>0.51</v>
      </c>
      <c r="Z419" s="3134"/>
      <c r="AA419" s="4251"/>
      <c r="AB419" s="4322"/>
      <c r="AC419" s="4251"/>
      <c r="AD419" s="4322"/>
      <c r="AE419" s="4251"/>
      <c r="AF419" s="3142"/>
      <c r="AG419" s="3592"/>
      <c r="AH419" s="3592"/>
      <c r="AI419" s="4139" t="s">
        <v>3390</v>
      </c>
      <c r="AJ419" s="3007"/>
    </row>
    <row r="420" spans="2:36" s="3121" customFormat="1" ht="20.100000000000001" hidden="1" customHeight="1">
      <c r="B420" s="4281"/>
      <c r="C420" s="3976" t="s">
        <v>3395</v>
      </c>
      <c r="D420" s="4323"/>
      <c r="E420" s="4323"/>
      <c r="F420" s="4324" t="s">
        <v>2688</v>
      </c>
      <c r="G420" s="4312"/>
      <c r="H420" s="3978" t="s">
        <v>3396</v>
      </c>
      <c r="I420" s="4047"/>
      <c r="J420" s="4325"/>
      <c r="K420" s="3094" t="s">
        <v>2688</v>
      </c>
      <c r="L420" s="3132">
        <v>0</v>
      </c>
      <c r="M420" s="3133">
        <v>0</v>
      </c>
      <c r="N420" s="3134">
        <v>0</v>
      </c>
      <c r="O420" s="3133">
        <v>0</v>
      </c>
      <c r="P420" s="4286"/>
      <c r="Q420" s="3132">
        <v>0</v>
      </c>
      <c r="R420" s="3133">
        <v>0</v>
      </c>
      <c r="S420" s="3134">
        <v>0</v>
      </c>
      <c r="T420" s="3133">
        <v>0</v>
      </c>
      <c r="U420" s="3135"/>
      <c r="V420" s="4287">
        <v>0</v>
      </c>
      <c r="W420" s="4288">
        <v>0</v>
      </c>
      <c r="X420" s="3134">
        <v>0</v>
      </c>
      <c r="Y420" s="4310">
        <v>0</v>
      </c>
      <c r="Z420" s="4326"/>
      <c r="AA420" s="4287"/>
      <c r="AB420" s="4327"/>
      <c r="AC420" s="4326"/>
      <c r="AD420" s="4328"/>
      <c r="AE420" s="4286"/>
      <c r="AF420" s="3255"/>
      <c r="AG420" s="3478"/>
      <c r="AH420" s="3477"/>
      <c r="AI420" s="4329" t="s">
        <v>3397</v>
      </c>
      <c r="AJ420" s="3007"/>
    </row>
    <row r="421" spans="2:36" s="3121" customFormat="1" ht="20.100000000000001" hidden="1" customHeight="1">
      <c r="B421" s="4281"/>
      <c r="C421" s="3976" t="s">
        <v>3398</v>
      </c>
      <c r="D421" s="3977"/>
      <c r="E421" s="3977"/>
      <c r="F421" s="3090" t="s">
        <v>2688</v>
      </c>
      <c r="G421" s="4298"/>
      <c r="H421" s="4330" t="s">
        <v>3399</v>
      </c>
      <c r="I421" s="4331"/>
      <c r="J421" s="4332"/>
      <c r="K421" s="3094" t="s">
        <v>2688</v>
      </c>
      <c r="L421" s="4314" t="str">
        <f t="shared" ref="L421" si="26">IFERROR(((L422-L423+L424)/L422)*100,"-")</f>
        <v>-</v>
      </c>
      <c r="M421" s="4315"/>
      <c r="N421" s="4316" t="str">
        <f>IFERROR(((N422-N423+N424)/N422)*100,"-")</f>
        <v>-</v>
      </c>
      <c r="O421" s="4315"/>
      <c r="P421" s="4317" t="str">
        <f>IFERROR(((P422-P423+P424)/P422)*100,"-")</f>
        <v>-</v>
      </c>
      <c r="Q421" s="4314" t="str">
        <f>IFERROR(((Q422-Q423+Q424)/Q422)*100,"-")</f>
        <v>-</v>
      </c>
      <c r="R421" s="4315"/>
      <c r="S421" s="4316" t="str">
        <f>IFERROR(((S422-S423+S424)/S422)*100,"-")</f>
        <v>-</v>
      </c>
      <c r="T421" s="4315"/>
      <c r="U421" s="4318" t="str">
        <f>IFERROR(((U422-U423+U424)/U422)*100,"-")</f>
        <v>-</v>
      </c>
      <c r="V421" s="4295" t="str">
        <f>IFERROR(((V422-V423+V424)/V422)*100,"-")</f>
        <v>-</v>
      </c>
      <c r="W421" s="4296"/>
      <c r="X421" s="4292" t="str">
        <f>IFERROR(((X422-X423+X424)/X422)*100,"-")</f>
        <v>-</v>
      </c>
      <c r="Y421" s="4296"/>
      <c r="Z421" s="4292" t="str">
        <f>IFERROR(((Z422-Z423+Z424)/Z422)*100,"-")</f>
        <v>-</v>
      </c>
      <c r="AA421" s="4316" t="str">
        <f>IFERROR(((AA422-AA423+AA424)/AA422)*100,"-")</f>
        <v>-</v>
      </c>
      <c r="AB421" s="4321"/>
      <c r="AC421" s="4316" t="str">
        <f>IFERROR(((AC422-AC423+AC424)/AC422)*100,"-")</f>
        <v>-</v>
      </c>
      <c r="AD421" s="4321"/>
      <c r="AE421" s="4316" t="str">
        <f>IFERROR(((AE422-AE423+AE424)/AE422)*100,"-")</f>
        <v>-</v>
      </c>
      <c r="AF421" s="4171"/>
      <c r="AG421" s="3610"/>
      <c r="AH421" s="3610"/>
      <c r="AI421" s="4139" t="s">
        <v>3400</v>
      </c>
      <c r="AJ421" s="3007"/>
    </row>
    <row r="422" spans="2:36" s="3121" customFormat="1" ht="20.100000000000001" hidden="1" customHeight="1">
      <c r="B422" s="4281"/>
      <c r="C422" s="4333"/>
      <c r="D422" s="3984" t="s">
        <v>3401</v>
      </c>
      <c r="E422" s="4047"/>
      <c r="F422" s="3090" t="s">
        <v>3294</v>
      </c>
      <c r="G422" s="4334"/>
      <c r="H422" s="4335"/>
      <c r="I422" s="3984" t="s">
        <v>3402</v>
      </c>
      <c r="J422" s="4202"/>
      <c r="K422" s="3094" t="s">
        <v>3296</v>
      </c>
      <c r="L422" s="4299">
        <v>0</v>
      </c>
      <c r="M422" s="4300">
        <v>0</v>
      </c>
      <c r="N422" s="4301">
        <v>0</v>
      </c>
      <c r="O422" s="4300">
        <v>0</v>
      </c>
      <c r="P422" s="4302"/>
      <c r="Q422" s="4299">
        <v>0</v>
      </c>
      <c r="R422" s="4300">
        <v>0</v>
      </c>
      <c r="S422" s="4301">
        <v>0</v>
      </c>
      <c r="T422" s="4300">
        <v>0</v>
      </c>
      <c r="U422" s="4303"/>
      <c r="V422" s="4304">
        <v>0</v>
      </c>
      <c r="W422" s="4300">
        <v>0</v>
      </c>
      <c r="X422" s="4301">
        <v>0</v>
      </c>
      <c r="Y422" s="4300">
        <v>0</v>
      </c>
      <c r="Z422" s="4301"/>
      <c r="AA422" s="4301"/>
      <c r="AB422" s="3133"/>
      <c r="AC422" s="4301"/>
      <c r="AD422" s="3133"/>
      <c r="AE422" s="3134"/>
      <c r="AF422" s="3140"/>
      <c r="AG422" s="3478"/>
      <c r="AH422" s="3478"/>
      <c r="AI422" s="4139" t="s">
        <v>1598</v>
      </c>
      <c r="AJ422" s="3007"/>
    </row>
    <row r="423" spans="2:36" s="3121" customFormat="1" ht="20.100000000000001" hidden="1" customHeight="1">
      <c r="B423" s="4281"/>
      <c r="C423" s="4336"/>
      <c r="D423" s="4308" t="s">
        <v>3403</v>
      </c>
      <c r="E423" s="4337"/>
      <c r="F423" s="3090" t="s">
        <v>3294</v>
      </c>
      <c r="G423" s="4338"/>
      <c r="H423" s="4339"/>
      <c r="I423" s="4340" t="s">
        <v>3404</v>
      </c>
      <c r="J423" s="4341"/>
      <c r="K423" s="3094" t="s">
        <v>3296</v>
      </c>
      <c r="L423" s="3132">
        <v>0</v>
      </c>
      <c r="M423" s="3133">
        <v>0</v>
      </c>
      <c r="N423" s="3134">
        <v>0</v>
      </c>
      <c r="O423" s="3133">
        <v>0</v>
      </c>
      <c r="P423" s="4286"/>
      <c r="Q423" s="3132">
        <v>0</v>
      </c>
      <c r="R423" s="3133">
        <v>0</v>
      </c>
      <c r="S423" s="3134">
        <v>0</v>
      </c>
      <c r="T423" s="3133">
        <v>0</v>
      </c>
      <c r="U423" s="3135"/>
      <c r="V423" s="4287">
        <v>0</v>
      </c>
      <c r="W423" s="4288">
        <v>0</v>
      </c>
      <c r="X423" s="3134">
        <v>0</v>
      </c>
      <c r="Y423" s="4310">
        <v>0</v>
      </c>
      <c r="Z423" s="3134"/>
      <c r="AA423" s="3134"/>
      <c r="AB423" s="3133"/>
      <c r="AC423" s="3134"/>
      <c r="AD423" s="3133"/>
      <c r="AE423" s="3134"/>
      <c r="AF423" s="3140"/>
      <c r="AG423" s="3478"/>
      <c r="AH423" s="3478"/>
      <c r="AI423" s="4139" t="s">
        <v>1598</v>
      </c>
      <c r="AJ423" s="3007"/>
    </row>
    <row r="424" spans="2:36" s="3121" customFormat="1" ht="20.100000000000001" hidden="1" customHeight="1">
      <c r="B424" s="4342"/>
      <c r="C424" s="4343"/>
      <c r="D424" s="4344" t="s">
        <v>3405</v>
      </c>
      <c r="E424" s="4345"/>
      <c r="F424" s="4346" t="s">
        <v>3294</v>
      </c>
      <c r="G424" s="4347"/>
      <c r="H424" s="4348"/>
      <c r="I424" s="4344" t="s">
        <v>3406</v>
      </c>
      <c r="J424" s="4345"/>
      <c r="K424" s="4349" t="s">
        <v>3296</v>
      </c>
      <c r="L424" s="4350">
        <v>0</v>
      </c>
      <c r="M424" s="4351">
        <v>0</v>
      </c>
      <c r="N424" s="4352">
        <v>0</v>
      </c>
      <c r="O424" s="4351">
        <v>0</v>
      </c>
      <c r="P424" s="4353"/>
      <c r="Q424" s="4350">
        <v>0</v>
      </c>
      <c r="R424" s="4351">
        <v>0</v>
      </c>
      <c r="S424" s="4352">
        <v>0</v>
      </c>
      <c r="T424" s="4351">
        <v>0</v>
      </c>
      <c r="U424" s="4354"/>
      <c r="V424" s="4355">
        <v>0</v>
      </c>
      <c r="W424" s="4356">
        <v>0</v>
      </c>
      <c r="X424" s="4352">
        <v>0</v>
      </c>
      <c r="Y424" s="4357">
        <v>0</v>
      </c>
      <c r="Z424" s="4352"/>
      <c r="AA424" s="4352"/>
      <c r="AB424" s="4351"/>
      <c r="AC424" s="4352"/>
      <c r="AD424" s="4351"/>
      <c r="AE424" s="4352"/>
      <c r="AF424" s="3142"/>
      <c r="AG424" s="3592"/>
      <c r="AH424" s="3592"/>
      <c r="AI424" s="4187" t="s">
        <v>1598</v>
      </c>
      <c r="AJ424" s="3007"/>
    </row>
    <row r="425" spans="2:36" ht="27" hidden="1" thickBot="1">
      <c r="B425" s="4358" t="s">
        <v>3407</v>
      </c>
      <c r="C425" s="4221"/>
      <c r="D425" s="4221"/>
      <c r="E425" s="4221"/>
      <c r="F425" s="3457"/>
      <c r="G425" s="4359" t="s">
        <v>3408</v>
      </c>
      <c r="H425" s="4221"/>
      <c r="I425" s="4221"/>
      <c r="J425" s="4360"/>
      <c r="K425" s="3457"/>
      <c r="L425" s="4223"/>
      <c r="M425" s="4224"/>
      <c r="N425" s="4224"/>
      <c r="O425" s="4224"/>
      <c r="P425" s="4224"/>
      <c r="Q425" s="4223"/>
      <c r="R425" s="4224"/>
      <c r="S425" s="4224"/>
      <c r="T425" s="4224"/>
      <c r="U425" s="4225"/>
      <c r="V425" s="4224"/>
      <c r="W425" s="4224"/>
      <c r="X425" s="4224"/>
      <c r="Y425" s="4224"/>
      <c r="Z425" s="4224"/>
      <c r="AA425" s="4224"/>
      <c r="AB425" s="4224"/>
      <c r="AC425" s="4224"/>
      <c r="AD425" s="4224"/>
      <c r="AE425" s="4224"/>
      <c r="AF425" s="4361"/>
      <c r="AG425" s="3113"/>
      <c r="AH425" s="3113"/>
      <c r="AI425" s="4362"/>
      <c r="AJ425" s="3015"/>
    </row>
    <row r="426" spans="2:36" s="3121" customFormat="1" ht="20.100000000000001" hidden="1" customHeight="1">
      <c r="B426" s="4363"/>
      <c r="C426" s="4270" t="s">
        <v>3409</v>
      </c>
      <c r="D426" s="4271"/>
      <c r="E426" s="4271"/>
      <c r="F426" s="3730" t="s">
        <v>2688</v>
      </c>
      <c r="G426" s="4364"/>
      <c r="H426" s="4365" t="s">
        <v>3410</v>
      </c>
      <c r="I426" s="4366"/>
      <c r="J426" s="4367"/>
      <c r="K426" s="3734" t="s">
        <v>2688</v>
      </c>
      <c r="L426" s="4368" t="str">
        <f t="shared" ref="L426" si="27">IFERROR(L427/L428*100,"-")</f>
        <v>-</v>
      </c>
      <c r="M426" s="4369"/>
      <c r="N426" s="4370" t="str">
        <f>IFERROR(N427/N428*100,"-")</f>
        <v>-</v>
      </c>
      <c r="O426" s="4371"/>
      <c r="P426" s="4372" t="str">
        <f>IFERROR(P427/P428*100,"-")</f>
        <v>-</v>
      </c>
      <c r="Q426" s="4368" t="str">
        <f>IFERROR(Q427/Q428*100,"-")</f>
        <v>-</v>
      </c>
      <c r="R426" s="4369"/>
      <c r="S426" s="4370"/>
      <c r="T426" s="4369"/>
      <c r="U426" s="4373"/>
      <c r="V426" s="4374"/>
      <c r="W426" s="4375"/>
      <c r="X426" s="4370"/>
      <c r="Y426" s="4375"/>
      <c r="Z426" s="4370" t="str">
        <f>IFERROR(Z427/Z428*100,"-")</f>
        <v>-</v>
      </c>
      <c r="AA426" s="4370" t="str">
        <f>IFERROR(AA427/AA428*100,"-")</f>
        <v>-</v>
      </c>
      <c r="AB426" s="4371"/>
      <c r="AC426" s="4370" t="str">
        <f>IFERROR(AC427/AC428*100,"-")</f>
        <v>-</v>
      </c>
      <c r="AD426" s="4371"/>
      <c r="AE426" s="4370" t="str">
        <f>IFERROR(AE427/AE428*100,"-")</f>
        <v>-</v>
      </c>
      <c r="AF426" s="3140"/>
      <c r="AG426" s="3468"/>
      <c r="AH426" s="3468"/>
      <c r="AI426" s="4139" t="s">
        <v>3411</v>
      </c>
      <c r="AJ426" s="3007"/>
    </row>
    <row r="427" spans="2:36" s="3121" customFormat="1" ht="20.100000000000001" hidden="1" customHeight="1">
      <c r="B427" s="4363"/>
      <c r="C427" s="4030"/>
      <c r="D427" s="4305" t="s">
        <v>3412</v>
      </c>
      <c r="E427" s="4306"/>
      <c r="F427" s="3090" t="s">
        <v>2600</v>
      </c>
      <c r="G427" s="4376"/>
      <c r="H427" s="4377"/>
      <c r="I427" s="4308" t="s">
        <v>3413</v>
      </c>
      <c r="J427" s="4377"/>
      <c r="K427" s="3094" t="s">
        <v>35</v>
      </c>
      <c r="L427" s="3132">
        <v>0</v>
      </c>
      <c r="M427" s="3133">
        <v>0</v>
      </c>
      <c r="N427" s="3134">
        <v>0</v>
      </c>
      <c r="O427" s="3133">
        <v>0</v>
      </c>
      <c r="P427" s="4286"/>
      <c r="Q427" s="3132">
        <v>0</v>
      </c>
      <c r="R427" s="3133">
        <v>0</v>
      </c>
      <c r="S427" s="3134">
        <v>0</v>
      </c>
      <c r="T427" s="3133">
        <v>0</v>
      </c>
      <c r="U427" s="3135"/>
      <c r="V427" s="4287">
        <v>0</v>
      </c>
      <c r="W427" s="4288">
        <v>0</v>
      </c>
      <c r="X427" s="3134">
        <v>0</v>
      </c>
      <c r="Y427" s="4288">
        <v>0</v>
      </c>
      <c r="Z427" s="3134"/>
      <c r="AA427" s="3134"/>
      <c r="AB427" s="3133"/>
      <c r="AC427" s="3134"/>
      <c r="AD427" s="3133"/>
      <c r="AE427" s="3134"/>
      <c r="AF427" s="3140"/>
      <c r="AG427" s="3478"/>
      <c r="AH427" s="3478"/>
      <c r="AI427" s="4139" t="s">
        <v>3411</v>
      </c>
      <c r="AJ427" s="3007"/>
    </row>
    <row r="428" spans="2:36" s="3121" customFormat="1" ht="20.100000000000001" hidden="1" customHeight="1">
      <c r="B428" s="4363"/>
      <c r="C428" s="4034"/>
      <c r="D428" s="4305" t="s">
        <v>3414</v>
      </c>
      <c r="E428" s="4306"/>
      <c r="F428" s="3090" t="s">
        <v>2600</v>
      </c>
      <c r="G428" s="4376"/>
      <c r="H428" s="4377"/>
      <c r="I428" s="4308" t="s">
        <v>3415</v>
      </c>
      <c r="J428" s="4377"/>
      <c r="K428" s="3094" t="s">
        <v>35</v>
      </c>
      <c r="L428" s="3132">
        <v>0</v>
      </c>
      <c r="M428" s="3133">
        <v>0</v>
      </c>
      <c r="N428" s="3134">
        <v>0</v>
      </c>
      <c r="O428" s="3133">
        <v>0</v>
      </c>
      <c r="P428" s="4286"/>
      <c r="Q428" s="3132">
        <v>0</v>
      </c>
      <c r="R428" s="3133">
        <v>0</v>
      </c>
      <c r="S428" s="3134">
        <v>0</v>
      </c>
      <c r="T428" s="3133">
        <v>0</v>
      </c>
      <c r="U428" s="3135"/>
      <c r="V428" s="4287">
        <v>0</v>
      </c>
      <c r="W428" s="4288">
        <v>0</v>
      </c>
      <c r="X428" s="3134">
        <v>0</v>
      </c>
      <c r="Y428" s="4288">
        <v>0</v>
      </c>
      <c r="Z428" s="3134"/>
      <c r="AA428" s="3134"/>
      <c r="AB428" s="3133"/>
      <c r="AC428" s="3134"/>
      <c r="AD428" s="3133"/>
      <c r="AE428" s="3134"/>
      <c r="AF428" s="3140"/>
      <c r="AG428" s="3478"/>
      <c r="AH428" s="3478"/>
      <c r="AI428" s="4378" t="s">
        <v>3411</v>
      </c>
      <c r="AJ428" s="3007"/>
    </row>
    <row r="429" spans="2:36" s="3121" customFormat="1" ht="20.100000000000001" hidden="1" customHeight="1">
      <c r="B429" s="4363"/>
      <c r="C429" s="3976" t="s">
        <v>3416</v>
      </c>
      <c r="D429" s="3977"/>
      <c r="E429" s="3977"/>
      <c r="F429" s="3255" t="s">
        <v>2688</v>
      </c>
      <c r="G429" s="4379"/>
      <c r="H429" s="4043" t="s">
        <v>3417</v>
      </c>
      <c r="I429" s="4325"/>
      <c r="J429" s="4380"/>
      <c r="K429" s="3140" t="s">
        <v>2688</v>
      </c>
      <c r="L429" s="4381" t="str">
        <f t="shared" ref="L429" si="28">IFERROR(L430/L431*100,"-")</f>
        <v>-</v>
      </c>
      <c r="M429" s="4382"/>
      <c r="N429" s="4383" t="str">
        <f>IFERROR(N430/N431*100,"-")</f>
        <v>-</v>
      </c>
      <c r="O429" s="4382"/>
      <c r="P429" s="4384" t="str">
        <f>IFERROR(P430/P431*100,"-")</f>
        <v>-</v>
      </c>
      <c r="Q429" s="4381" t="str">
        <f>IFERROR(Q430/Q431*100,"-")</f>
        <v>-</v>
      </c>
      <c r="R429" s="4382"/>
      <c r="S429" s="4383" t="str">
        <f>IFERROR(S430/S431*100,"-")</f>
        <v>-</v>
      </c>
      <c r="T429" s="4382"/>
      <c r="U429" s="4385" t="str">
        <f>IFERROR(U430/U431*100,"-")</f>
        <v>-</v>
      </c>
      <c r="V429" s="4386" t="str">
        <f>IFERROR(V430/V431*100,"-")</f>
        <v>-</v>
      </c>
      <c r="W429" s="4300"/>
      <c r="X429" s="4383" t="str">
        <f>IFERROR(X430/X431*100,"-")</f>
        <v>-</v>
      </c>
      <c r="Y429" s="4300"/>
      <c r="Z429" s="4383" t="str">
        <f>IFERROR(Z430/Z431*100,"-")</f>
        <v>-</v>
      </c>
      <c r="AA429" s="4383" t="str">
        <f>IFERROR(AA430/AA431*100,"-")</f>
        <v>-</v>
      </c>
      <c r="AB429" s="3133"/>
      <c r="AC429" s="4383" t="str">
        <f>IFERROR(AC430/AC431*100,"-")</f>
        <v>-</v>
      </c>
      <c r="AD429" s="3133"/>
      <c r="AE429" s="4383" t="str">
        <f>IFERROR(AE430/AE431*100,"-")</f>
        <v>-</v>
      </c>
      <c r="AF429" s="4171"/>
      <c r="AG429" s="3478"/>
      <c r="AH429" s="3478"/>
      <c r="AI429" s="4378" t="s">
        <v>3418</v>
      </c>
      <c r="AJ429" s="3007"/>
    </row>
    <row r="430" spans="2:36" s="3121" customFormat="1" ht="20.100000000000001" hidden="1" customHeight="1">
      <c r="B430" s="4363"/>
      <c r="C430" s="3982"/>
      <c r="D430" s="3988" t="s">
        <v>3419</v>
      </c>
      <c r="E430" s="3977"/>
      <c r="F430" s="3090" t="s">
        <v>2600</v>
      </c>
      <c r="G430" s="4379"/>
      <c r="H430" s="4044"/>
      <c r="I430" s="4046" t="s">
        <v>3420</v>
      </c>
      <c r="J430" s="4202"/>
      <c r="K430" s="3094" t="s">
        <v>35</v>
      </c>
      <c r="L430" s="4299">
        <v>0</v>
      </c>
      <c r="M430" s="4387" t="s">
        <v>2171</v>
      </c>
      <c r="N430" s="4301">
        <v>0</v>
      </c>
      <c r="O430" s="4387" t="s">
        <v>2171</v>
      </c>
      <c r="P430" s="4302"/>
      <c r="Q430" s="4299">
        <v>0</v>
      </c>
      <c r="R430" s="4300">
        <v>0</v>
      </c>
      <c r="S430" s="4301">
        <v>0</v>
      </c>
      <c r="T430" s="4300">
        <v>0</v>
      </c>
      <c r="U430" s="4303"/>
      <c r="V430" s="4304">
        <v>0</v>
      </c>
      <c r="W430" s="4300">
        <v>0</v>
      </c>
      <c r="X430" s="4301">
        <v>0</v>
      </c>
      <c r="Y430" s="4300">
        <v>0</v>
      </c>
      <c r="Z430" s="4301"/>
      <c r="AA430" s="4301"/>
      <c r="AB430" s="3133"/>
      <c r="AC430" s="4301"/>
      <c r="AD430" s="3133"/>
      <c r="AE430" s="3134"/>
      <c r="AF430" s="4171"/>
      <c r="AG430" s="3478"/>
      <c r="AH430" s="3478"/>
      <c r="AI430" s="4378" t="s">
        <v>3418</v>
      </c>
      <c r="AJ430" s="3007"/>
    </row>
    <row r="431" spans="2:36" s="3121" customFormat="1" ht="20.100000000000001" hidden="1" customHeight="1">
      <c r="B431" s="4363"/>
      <c r="C431" s="3982"/>
      <c r="D431" s="4305" t="s">
        <v>3421</v>
      </c>
      <c r="E431" s="4306"/>
      <c r="F431" s="3090" t="s">
        <v>2600</v>
      </c>
      <c r="G431" s="4376"/>
      <c r="H431" s="4377"/>
      <c r="I431" s="3682" t="s">
        <v>3422</v>
      </c>
      <c r="J431" s="4388"/>
      <c r="K431" s="3094" t="s">
        <v>35</v>
      </c>
      <c r="L431" s="3132">
        <v>0</v>
      </c>
      <c r="M431" s="3133">
        <v>0</v>
      </c>
      <c r="N431" s="3134">
        <v>0</v>
      </c>
      <c r="O431" s="3133">
        <v>0</v>
      </c>
      <c r="P431" s="4286"/>
      <c r="Q431" s="3132">
        <v>0</v>
      </c>
      <c r="R431" s="3133">
        <v>0</v>
      </c>
      <c r="S431" s="3134">
        <v>0</v>
      </c>
      <c r="T431" s="3133">
        <v>0</v>
      </c>
      <c r="U431" s="3135"/>
      <c r="V431" s="4287">
        <v>0</v>
      </c>
      <c r="W431" s="4288">
        <v>0</v>
      </c>
      <c r="X431" s="3134">
        <v>0</v>
      </c>
      <c r="Y431" s="4310">
        <v>0</v>
      </c>
      <c r="Z431" s="3134"/>
      <c r="AA431" s="3134"/>
      <c r="AB431" s="3133"/>
      <c r="AC431" s="3134"/>
      <c r="AD431" s="3133"/>
      <c r="AE431" s="3134"/>
      <c r="AF431" s="4171"/>
      <c r="AG431" s="3478"/>
      <c r="AH431" s="3478"/>
      <c r="AI431" s="4378" t="s">
        <v>3418</v>
      </c>
      <c r="AJ431" s="3007"/>
    </row>
    <row r="432" spans="2:36" s="3121" customFormat="1" ht="20.100000000000001" hidden="1" customHeight="1">
      <c r="B432" s="4363"/>
      <c r="C432" s="3976" t="s">
        <v>3423</v>
      </c>
      <c r="D432" s="3977"/>
      <c r="E432" s="3977"/>
      <c r="F432" s="3255" t="s">
        <v>2688</v>
      </c>
      <c r="G432" s="4312"/>
      <c r="H432" s="3978" t="s">
        <v>3424</v>
      </c>
      <c r="I432" s="4047"/>
      <c r="J432" s="4202"/>
      <c r="K432" s="3140" t="s">
        <v>2688</v>
      </c>
      <c r="L432" s="4381" t="str">
        <f t="shared" ref="L432" si="29">IFERROR(L433/L434*100,"-")</f>
        <v>-</v>
      </c>
      <c r="M432" s="4382"/>
      <c r="N432" s="4383" t="str">
        <f>IFERROR(N433/N434*100,"-")</f>
        <v>-</v>
      </c>
      <c r="O432" s="4382"/>
      <c r="P432" s="4384" t="str">
        <f>IFERROR(P433/P434*100,"-")</f>
        <v>-</v>
      </c>
      <c r="Q432" s="4381" t="str">
        <f>IFERROR(Q433/Q434*100,"-")</f>
        <v>-</v>
      </c>
      <c r="R432" s="4382"/>
      <c r="S432" s="4383" t="str">
        <f>IFERROR(S433/S434*100,"-")</f>
        <v>-</v>
      </c>
      <c r="T432" s="4382"/>
      <c r="U432" s="4385" t="str">
        <f>IFERROR(U433/U434*100,"-")</f>
        <v>-</v>
      </c>
      <c r="V432" s="4386" t="str">
        <f>IFERROR(V433/V434*100,"-")</f>
        <v>-</v>
      </c>
      <c r="W432" s="4300"/>
      <c r="X432" s="4383" t="str">
        <f>IFERROR(X433/X434*100,"-")</f>
        <v>-</v>
      </c>
      <c r="Y432" s="4300"/>
      <c r="Z432" s="4383" t="str">
        <f>IFERROR(Z433/Z434*100,"-")</f>
        <v>-</v>
      </c>
      <c r="AA432" s="4383" t="str">
        <f>IFERROR(AA433/AA434*100,"-")</f>
        <v>-</v>
      </c>
      <c r="AB432" s="3133"/>
      <c r="AC432" s="4383" t="str">
        <f>IFERROR(AC433/AC434*100,"-")</f>
        <v>-</v>
      </c>
      <c r="AD432" s="3133"/>
      <c r="AE432" s="4383" t="str">
        <f>IFERROR(AE433/AE434*100,"-")</f>
        <v>-</v>
      </c>
      <c r="AF432" s="4171"/>
      <c r="AG432" s="3478"/>
      <c r="AH432" s="3478"/>
      <c r="AI432" s="4378" t="s">
        <v>3425</v>
      </c>
      <c r="AJ432" s="3007"/>
    </row>
    <row r="433" spans="2:36" s="3121" customFormat="1" ht="20.100000000000001" hidden="1" customHeight="1">
      <c r="B433" s="4363"/>
      <c r="C433" s="3982"/>
      <c r="D433" s="3988" t="s">
        <v>3426</v>
      </c>
      <c r="E433" s="3977"/>
      <c r="F433" s="3090" t="s">
        <v>2600</v>
      </c>
      <c r="G433" s="4379"/>
      <c r="H433" s="4044"/>
      <c r="I433" s="4046" t="s">
        <v>3427</v>
      </c>
      <c r="J433" s="4202"/>
      <c r="K433" s="3094" t="s">
        <v>35</v>
      </c>
      <c r="L433" s="4299">
        <v>0</v>
      </c>
      <c r="M433" s="4300">
        <v>0</v>
      </c>
      <c r="N433" s="4301">
        <v>0</v>
      </c>
      <c r="O433" s="4300">
        <v>0</v>
      </c>
      <c r="P433" s="4302"/>
      <c r="Q433" s="4299">
        <v>0</v>
      </c>
      <c r="R433" s="4300">
        <v>0</v>
      </c>
      <c r="S433" s="4301">
        <v>0</v>
      </c>
      <c r="T433" s="4300">
        <v>0</v>
      </c>
      <c r="U433" s="4303"/>
      <c r="V433" s="4304">
        <v>0</v>
      </c>
      <c r="W433" s="4300">
        <v>0</v>
      </c>
      <c r="X433" s="4301">
        <v>0</v>
      </c>
      <c r="Y433" s="4300">
        <v>0</v>
      </c>
      <c r="Z433" s="4301"/>
      <c r="AA433" s="4301"/>
      <c r="AB433" s="3133"/>
      <c r="AC433" s="4301"/>
      <c r="AD433" s="3133"/>
      <c r="AE433" s="3134"/>
      <c r="AF433" s="4171"/>
      <c r="AG433" s="3478"/>
      <c r="AH433" s="3478"/>
      <c r="AI433" s="4139" t="s">
        <v>3425</v>
      </c>
      <c r="AJ433" s="3007"/>
    </row>
    <row r="434" spans="2:36" s="3121" customFormat="1" ht="20.100000000000001" hidden="1" customHeight="1">
      <c r="B434" s="4389"/>
      <c r="C434" s="4030"/>
      <c r="D434" s="4390" t="s">
        <v>3428</v>
      </c>
      <c r="E434" s="4391"/>
      <c r="F434" s="3090" t="s">
        <v>2600</v>
      </c>
      <c r="G434" s="4392"/>
      <c r="H434" s="4393"/>
      <c r="I434" s="4394" t="s">
        <v>3429</v>
      </c>
      <c r="J434" s="4341"/>
      <c r="K434" s="3094" t="s">
        <v>35</v>
      </c>
      <c r="L434" s="4249">
        <v>0</v>
      </c>
      <c r="M434" s="4322">
        <v>0</v>
      </c>
      <c r="N434" s="4251">
        <v>0</v>
      </c>
      <c r="O434" s="4322">
        <v>0</v>
      </c>
      <c r="P434" s="4252"/>
      <c r="Q434" s="4249">
        <v>0</v>
      </c>
      <c r="R434" s="4322">
        <v>0</v>
      </c>
      <c r="S434" s="4251">
        <v>0</v>
      </c>
      <c r="T434" s="4322">
        <v>0</v>
      </c>
      <c r="U434" s="4253"/>
      <c r="V434" s="4254">
        <v>0</v>
      </c>
      <c r="W434" s="4395">
        <v>0</v>
      </c>
      <c r="X434" s="4251">
        <v>0</v>
      </c>
      <c r="Y434" s="4396">
        <v>0</v>
      </c>
      <c r="Z434" s="4251"/>
      <c r="AA434" s="4251"/>
      <c r="AB434" s="4322"/>
      <c r="AC434" s="4251"/>
      <c r="AD434" s="4322"/>
      <c r="AE434" s="4251"/>
      <c r="AF434" s="4245"/>
      <c r="AG434" s="3592"/>
      <c r="AH434" s="3592"/>
      <c r="AI434" s="4139" t="s">
        <v>3425</v>
      </c>
      <c r="AJ434" s="3007"/>
    </row>
    <row r="435" spans="2:36" ht="27" hidden="1" thickBot="1">
      <c r="B435" s="3105" t="s">
        <v>3430</v>
      </c>
      <c r="C435" s="3106"/>
      <c r="D435" s="3106"/>
      <c r="E435" s="3106"/>
      <c r="F435" s="3067"/>
      <c r="G435" s="3107" t="s">
        <v>3431</v>
      </c>
      <c r="H435" s="3108"/>
      <c r="I435" s="3108"/>
      <c r="J435" s="3108"/>
      <c r="K435" s="3067"/>
      <c r="L435" s="4055"/>
      <c r="M435" s="4056"/>
      <c r="N435" s="4056"/>
      <c r="O435" s="4056"/>
      <c r="P435" s="4056"/>
      <c r="Q435" s="4055"/>
      <c r="R435" s="4056"/>
      <c r="S435" s="4056"/>
      <c r="T435" s="4056"/>
      <c r="U435" s="4057"/>
      <c r="V435" s="4056"/>
      <c r="W435" s="4056"/>
      <c r="X435" s="4056"/>
      <c r="Y435" s="4056"/>
      <c r="Z435" s="4056"/>
      <c r="AA435" s="4056"/>
      <c r="AB435" s="4056"/>
      <c r="AC435" s="4056"/>
      <c r="AD435" s="4056"/>
      <c r="AE435" s="4056"/>
      <c r="AF435" s="4361"/>
      <c r="AG435" s="3113"/>
      <c r="AH435" s="3113"/>
      <c r="AI435" s="4362"/>
      <c r="AJ435" s="3015"/>
    </row>
    <row r="436" spans="2:36" ht="20.100000000000001" hidden="1" customHeight="1">
      <c r="B436" s="4397"/>
      <c r="C436" s="4398" t="s">
        <v>3432</v>
      </c>
      <c r="D436" s="4007"/>
      <c r="E436" s="4007"/>
      <c r="F436" s="3145" t="s">
        <v>2676</v>
      </c>
      <c r="G436" s="3146"/>
      <c r="H436" s="4007" t="s">
        <v>3433</v>
      </c>
      <c r="I436" s="4007"/>
      <c r="J436" s="4007"/>
      <c r="K436" s="4233"/>
      <c r="L436" s="4399"/>
      <c r="M436" s="4400"/>
      <c r="N436" s="4401"/>
      <c r="O436" s="4400"/>
      <c r="P436" s="4402"/>
      <c r="Q436" s="4399"/>
      <c r="R436" s="4400"/>
      <c r="S436" s="4401"/>
      <c r="T436" s="4400"/>
      <c r="U436" s="4403"/>
      <c r="V436" s="4404"/>
      <c r="W436" s="4400"/>
      <c r="X436" s="4405"/>
      <c r="Y436" s="4400"/>
      <c r="Z436" s="4406"/>
      <c r="AA436" s="4406"/>
      <c r="AB436" s="4010"/>
      <c r="AC436" s="4406"/>
      <c r="AD436" s="4010"/>
      <c r="AE436" s="4406"/>
      <c r="AF436" s="3734"/>
      <c r="AG436" s="3468"/>
      <c r="AH436" s="3468"/>
      <c r="AI436" s="4407"/>
      <c r="AJ436" s="3015"/>
    </row>
    <row r="437" spans="2:36" ht="20.100000000000001" hidden="1" customHeight="1">
      <c r="B437" s="4408"/>
      <c r="C437" s="4140"/>
      <c r="D437" s="3759" t="s">
        <v>3101</v>
      </c>
      <c r="E437" s="3752"/>
      <c r="F437" s="3255" t="s">
        <v>1636</v>
      </c>
      <c r="G437" s="3091"/>
      <c r="H437" s="3323"/>
      <c r="I437" s="3360" t="s">
        <v>1637</v>
      </c>
      <c r="J437" s="3360"/>
      <c r="K437" s="4171" t="s">
        <v>1831</v>
      </c>
      <c r="L437" s="4409">
        <v>0</v>
      </c>
      <c r="M437" s="4410" t="s">
        <v>2550</v>
      </c>
      <c r="N437" s="4411">
        <v>0</v>
      </c>
      <c r="O437" s="4410" t="s">
        <v>2551</v>
      </c>
      <c r="P437" s="4242"/>
      <c r="Q437" s="4409">
        <v>376</v>
      </c>
      <c r="R437" s="4410" t="s">
        <v>2552</v>
      </c>
      <c r="S437" s="4411">
        <v>548</v>
      </c>
      <c r="T437" s="4410" t="s">
        <v>2553</v>
      </c>
      <c r="U437" s="4243"/>
      <c r="V437" s="4412">
        <v>1433.25</v>
      </c>
      <c r="W437" s="4410" t="s">
        <v>2554</v>
      </c>
      <c r="X437" s="4411">
        <v>643</v>
      </c>
      <c r="Y437" s="4410" t="s">
        <v>2555</v>
      </c>
      <c r="Z437" s="4241"/>
      <c r="AA437" s="4241"/>
      <c r="AB437" s="4240"/>
      <c r="AC437" s="4241"/>
      <c r="AD437" s="4240"/>
      <c r="AE437" s="4241"/>
      <c r="AF437" s="4171"/>
      <c r="AG437" s="3610"/>
      <c r="AH437" s="3610"/>
      <c r="AI437" s="4121" t="s">
        <v>1640</v>
      </c>
      <c r="AJ437" s="3015"/>
    </row>
    <row r="438" spans="2:36" ht="20.100000000000001" hidden="1" customHeight="1">
      <c r="B438" s="4413"/>
      <c r="C438" s="3939"/>
      <c r="D438" s="3759" t="s">
        <v>3303</v>
      </c>
      <c r="E438" s="3752"/>
      <c r="F438" s="3255" t="s">
        <v>732</v>
      </c>
      <c r="G438" s="3360"/>
      <c r="H438" s="3341"/>
      <c r="I438" s="3692" t="s">
        <v>3434</v>
      </c>
      <c r="J438" s="3692"/>
      <c r="K438" s="3140" t="s">
        <v>734</v>
      </c>
      <c r="L438" s="4414">
        <v>0</v>
      </c>
      <c r="M438" s="4415" t="s">
        <v>2556</v>
      </c>
      <c r="N438" s="4416">
        <v>0</v>
      </c>
      <c r="O438" s="4415" t="s">
        <v>2557</v>
      </c>
      <c r="P438" s="4286"/>
      <c r="Q438" s="4414">
        <v>94</v>
      </c>
      <c r="R438" s="4415" t="s">
        <v>2552</v>
      </c>
      <c r="S438" s="4416">
        <v>137</v>
      </c>
      <c r="T438" s="4415" t="s">
        <v>2552</v>
      </c>
      <c r="U438" s="3135"/>
      <c r="V438" s="4417">
        <v>379</v>
      </c>
      <c r="W438" s="4415" t="s">
        <v>2558</v>
      </c>
      <c r="X438" s="4416">
        <v>391</v>
      </c>
      <c r="Y438" s="4415" t="s">
        <v>2559</v>
      </c>
      <c r="Z438" s="3134"/>
      <c r="AA438" s="3134"/>
      <c r="AB438" s="3199"/>
      <c r="AC438" s="3134"/>
      <c r="AD438" s="3199"/>
      <c r="AE438" s="3134"/>
      <c r="AF438" s="3140"/>
      <c r="AG438" s="3478"/>
      <c r="AH438" s="3478"/>
      <c r="AI438" s="4121" t="s">
        <v>1645</v>
      </c>
      <c r="AJ438" s="3015"/>
    </row>
    <row r="439" spans="2:36" ht="20.100000000000001" hidden="1" customHeight="1">
      <c r="B439" s="4413"/>
      <c r="C439" s="4418" t="s">
        <v>3435</v>
      </c>
      <c r="D439" s="4145"/>
      <c r="E439" s="4146"/>
      <c r="F439" s="3145" t="s">
        <v>2676</v>
      </c>
      <c r="G439" s="3929"/>
      <c r="H439" s="3638" t="s">
        <v>3436</v>
      </c>
      <c r="I439" s="3596"/>
      <c r="J439" s="3597"/>
      <c r="K439" s="3917"/>
      <c r="L439" s="4419"/>
      <c r="M439" s="4420"/>
      <c r="N439" s="4420"/>
      <c r="O439" s="4420"/>
      <c r="P439" s="4421"/>
      <c r="Q439" s="4419"/>
      <c r="R439" s="4420"/>
      <c r="S439" s="4420"/>
      <c r="T439" s="4420"/>
      <c r="U439" s="4422"/>
      <c r="V439" s="4423"/>
      <c r="W439" s="4420"/>
      <c r="X439" s="4420"/>
      <c r="Y439" s="4420"/>
      <c r="Z439" s="4420"/>
      <c r="AA439" s="4420"/>
      <c r="AB439" s="4420"/>
      <c r="AC439" s="4420"/>
      <c r="AD439" s="4420"/>
      <c r="AE439" s="4420"/>
      <c r="AF439" s="3140"/>
      <c r="AG439" s="3478"/>
      <c r="AH439" s="3478"/>
      <c r="AI439" s="4407"/>
      <c r="AJ439" s="3015"/>
    </row>
    <row r="440" spans="2:36" ht="20.100000000000001" hidden="1" customHeight="1">
      <c r="B440" s="4413"/>
      <c r="C440" s="3643"/>
      <c r="D440" s="3759" t="s">
        <v>3437</v>
      </c>
      <c r="E440" s="3752"/>
      <c r="F440" s="3255" t="s">
        <v>1476</v>
      </c>
      <c r="G440" s="3505"/>
      <c r="H440" s="3321"/>
      <c r="I440" s="3433" t="s">
        <v>3438</v>
      </c>
      <c r="J440" s="3658"/>
      <c r="K440" s="3140" t="s">
        <v>559</v>
      </c>
      <c r="L440" s="4424">
        <v>0</v>
      </c>
      <c r="M440" s="3442">
        <v>0</v>
      </c>
      <c r="N440" s="4425">
        <v>0</v>
      </c>
      <c r="O440" s="3442">
        <v>0</v>
      </c>
      <c r="P440" s="4426"/>
      <c r="Q440" s="4427">
        <v>0</v>
      </c>
      <c r="R440" s="4091" t="s">
        <v>2560</v>
      </c>
      <c r="S440" s="4428">
        <v>0</v>
      </c>
      <c r="T440" s="4091" t="s">
        <v>2560</v>
      </c>
      <c r="U440" s="4429"/>
      <c r="V440" s="4430" t="s">
        <v>2351</v>
      </c>
      <c r="W440" s="3442" t="s">
        <v>2352</v>
      </c>
      <c r="X440" s="4425" t="s">
        <v>2351</v>
      </c>
      <c r="Y440" s="3442" t="s">
        <v>2352</v>
      </c>
      <c r="Z440" s="4428"/>
      <c r="AA440" s="4428"/>
      <c r="AB440" s="3442"/>
      <c r="AC440" s="4428"/>
      <c r="AD440" s="3442"/>
      <c r="AE440" s="4428"/>
      <c r="AF440" s="3140"/>
      <c r="AG440" s="3478"/>
      <c r="AH440" s="3478"/>
      <c r="AI440" s="4139" t="s">
        <v>3439</v>
      </c>
      <c r="AJ440" s="3015"/>
    </row>
    <row r="441" spans="2:36" ht="20.100000000000001" hidden="1" customHeight="1">
      <c r="B441" s="4413"/>
      <c r="C441" s="3647"/>
      <c r="D441" s="3759" t="s">
        <v>3440</v>
      </c>
      <c r="E441" s="3752"/>
      <c r="F441" s="3255" t="s">
        <v>1476</v>
      </c>
      <c r="G441" s="3091"/>
      <c r="H441" s="3323"/>
      <c r="I441" s="3433" t="s">
        <v>3441</v>
      </c>
      <c r="J441" s="3658"/>
      <c r="K441" s="3140" t="s">
        <v>559</v>
      </c>
      <c r="L441" s="4424">
        <v>0</v>
      </c>
      <c r="M441" s="3442">
        <v>0</v>
      </c>
      <c r="N441" s="4425">
        <v>0</v>
      </c>
      <c r="O441" s="3442">
        <v>0</v>
      </c>
      <c r="P441" s="4426"/>
      <c r="Q441" s="4427">
        <v>0</v>
      </c>
      <c r="R441" s="4091" t="s">
        <v>724</v>
      </c>
      <c r="S441" s="4428">
        <v>0</v>
      </c>
      <c r="T441" s="4091" t="s">
        <v>724</v>
      </c>
      <c r="U441" s="4429"/>
      <c r="V441" s="4430" t="s">
        <v>2351</v>
      </c>
      <c r="W441" s="3442" t="s">
        <v>2352</v>
      </c>
      <c r="X441" s="4425" t="s">
        <v>2351</v>
      </c>
      <c r="Y441" s="3442" t="s">
        <v>2352</v>
      </c>
      <c r="Z441" s="4428"/>
      <c r="AA441" s="4428"/>
      <c r="AB441" s="3442"/>
      <c r="AC441" s="4428"/>
      <c r="AD441" s="3442"/>
      <c r="AE441" s="4428"/>
      <c r="AF441" s="3140"/>
      <c r="AG441" s="3478"/>
      <c r="AH441" s="3478"/>
      <c r="AI441" s="4139" t="s">
        <v>3442</v>
      </c>
      <c r="AJ441" s="3015"/>
    </row>
    <row r="442" spans="2:36" ht="20.100000000000001" hidden="1" customHeight="1">
      <c r="B442" s="4048"/>
      <c r="C442" s="3647"/>
      <c r="D442" s="3759" t="s">
        <v>3443</v>
      </c>
      <c r="E442" s="3752"/>
      <c r="F442" s="3255" t="s">
        <v>1476</v>
      </c>
      <c r="G442" s="3091"/>
      <c r="H442" s="3323"/>
      <c r="I442" s="3433" t="s">
        <v>3444</v>
      </c>
      <c r="J442" s="3658"/>
      <c r="K442" s="3140" t="s">
        <v>559</v>
      </c>
      <c r="L442" s="4424">
        <v>0</v>
      </c>
      <c r="M442" s="3442">
        <v>0</v>
      </c>
      <c r="N442" s="4425">
        <v>0</v>
      </c>
      <c r="O442" s="3442">
        <v>0</v>
      </c>
      <c r="P442" s="4426"/>
      <c r="Q442" s="4427">
        <v>0</v>
      </c>
      <c r="R442" s="4091" t="s">
        <v>726</v>
      </c>
      <c r="S442" s="4428">
        <v>0</v>
      </c>
      <c r="T442" s="4091" t="s">
        <v>726</v>
      </c>
      <c r="U442" s="4429"/>
      <c r="V442" s="4430">
        <v>0</v>
      </c>
      <c r="W442" s="3442" t="s">
        <v>2353</v>
      </c>
      <c r="X442" s="4425">
        <v>0</v>
      </c>
      <c r="Y442" s="3442" t="s">
        <v>2353</v>
      </c>
      <c r="Z442" s="4428"/>
      <c r="AA442" s="4428"/>
      <c r="AB442" s="3442"/>
      <c r="AC442" s="4428"/>
      <c r="AD442" s="3442"/>
      <c r="AE442" s="4428"/>
      <c r="AF442" s="3140"/>
      <c r="AG442" s="3478"/>
      <c r="AH442" s="3478"/>
      <c r="AI442" s="4139" t="s">
        <v>3445</v>
      </c>
      <c r="AJ442" s="3015"/>
    </row>
    <row r="443" spans="2:36" ht="20.100000000000001" hidden="1" customHeight="1">
      <c r="B443" s="3648"/>
      <c r="C443" s="3647"/>
      <c r="D443" s="3759" t="s">
        <v>3446</v>
      </c>
      <c r="E443" s="3752"/>
      <c r="F443" s="3255" t="s">
        <v>2921</v>
      </c>
      <c r="G443" s="3091"/>
      <c r="H443" s="3323"/>
      <c r="I443" s="3433" t="s">
        <v>3447</v>
      </c>
      <c r="J443" s="3658"/>
      <c r="K443" s="3140" t="s">
        <v>559</v>
      </c>
      <c r="L443" s="4427"/>
      <c r="M443" s="3442"/>
      <c r="N443" s="4428"/>
      <c r="O443" s="3442"/>
      <c r="P443" s="4426"/>
      <c r="Q443" s="4427"/>
      <c r="R443" s="4091"/>
      <c r="S443" s="4428"/>
      <c r="T443" s="3442"/>
      <c r="U443" s="4429"/>
      <c r="V443" s="4431"/>
      <c r="W443" s="3442"/>
      <c r="X443" s="4428"/>
      <c r="Y443" s="3442"/>
      <c r="Z443" s="4428"/>
      <c r="AA443" s="4428"/>
      <c r="AB443" s="3442"/>
      <c r="AC443" s="4428"/>
      <c r="AD443" s="3442"/>
      <c r="AE443" s="4428"/>
      <c r="AF443" s="3140"/>
      <c r="AG443" s="3478"/>
      <c r="AH443" s="3478"/>
      <c r="AI443" s="4139"/>
      <c r="AJ443" s="3015"/>
    </row>
    <row r="444" spans="2:36" ht="20.100000000000001" hidden="1" customHeight="1">
      <c r="B444" s="4048"/>
      <c r="C444" s="3647"/>
      <c r="D444" s="3988" t="s">
        <v>3448</v>
      </c>
      <c r="E444" s="3977"/>
      <c r="F444" s="3255" t="s">
        <v>2921</v>
      </c>
      <c r="G444" s="3091"/>
      <c r="H444" s="3323"/>
      <c r="I444" s="3433" t="s">
        <v>3449</v>
      </c>
      <c r="J444" s="3658"/>
      <c r="K444" s="3140" t="s">
        <v>559</v>
      </c>
      <c r="L444" s="4424">
        <v>0</v>
      </c>
      <c r="M444" s="3442">
        <v>0</v>
      </c>
      <c r="N444" s="4425">
        <v>0</v>
      </c>
      <c r="O444" s="3442">
        <v>0</v>
      </c>
      <c r="P444" s="4426"/>
      <c r="Q444" s="4427">
        <v>0</v>
      </c>
      <c r="R444" s="4091" t="s">
        <v>726</v>
      </c>
      <c r="S444" s="4428">
        <v>0</v>
      </c>
      <c r="T444" s="4091" t="s">
        <v>726</v>
      </c>
      <c r="U444" s="4429"/>
      <c r="V444" s="4430">
        <v>0</v>
      </c>
      <c r="W444" s="3442" t="s">
        <v>2353</v>
      </c>
      <c r="X444" s="4425">
        <v>0</v>
      </c>
      <c r="Y444" s="3442" t="s">
        <v>2353</v>
      </c>
      <c r="Z444" s="4428"/>
      <c r="AA444" s="4428"/>
      <c r="AB444" s="3442"/>
      <c r="AC444" s="4428"/>
      <c r="AD444" s="3442"/>
      <c r="AE444" s="4428"/>
      <c r="AF444" s="3446"/>
      <c r="AG444" s="3478"/>
      <c r="AH444" s="3478"/>
      <c r="AI444" s="4139" t="s">
        <v>3450</v>
      </c>
      <c r="AJ444" s="3015"/>
    </row>
    <row r="445" spans="2:36" ht="20.100000000000001" hidden="1" customHeight="1">
      <c r="B445" s="4048"/>
      <c r="C445" s="3647"/>
      <c r="D445" s="3988" t="s">
        <v>3451</v>
      </c>
      <c r="E445" s="3977"/>
      <c r="F445" s="3255" t="s">
        <v>2740</v>
      </c>
      <c r="G445" s="3091"/>
      <c r="H445" s="3323"/>
      <c r="I445" s="3433" t="s">
        <v>3257</v>
      </c>
      <c r="J445" s="3658"/>
      <c r="K445" s="3140" t="s">
        <v>295</v>
      </c>
      <c r="L445" s="4424">
        <v>0</v>
      </c>
      <c r="M445" s="3442">
        <v>0</v>
      </c>
      <c r="N445" s="4425">
        <v>0</v>
      </c>
      <c r="O445" s="3442">
        <v>0</v>
      </c>
      <c r="P445" s="4426"/>
      <c r="Q445" s="4427">
        <v>0</v>
      </c>
      <c r="R445" s="4091" t="s">
        <v>726</v>
      </c>
      <c r="S445" s="4428">
        <v>0</v>
      </c>
      <c r="T445" s="4091" t="s">
        <v>726</v>
      </c>
      <c r="U445" s="4429"/>
      <c r="V445" s="4430">
        <v>0</v>
      </c>
      <c r="W445" s="3442" t="s">
        <v>2353</v>
      </c>
      <c r="X445" s="4425">
        <v>0</v>
      </c>
      <c r="Y445" s="3442" t="s">
        <v>2353</v>
      </c>
      <c r="Z445" s="4428"/>
      <c r="AA445" s="4428"/>
      <c r="AB445" s="3442"/>
      <c r="AC445" s="4428"/>
      <c r="AD445" s="3442"/>
      <c r="AE445" s="4428"/>
      <c r="AF445" s="3140"/>
      <c r="AG445" s="3478"/>
      <c r="AH445" s="3478"/>
      <c r="AI445" s="4139" t="s">
        <v>3258</v>
      </c>
      <c r="AJ445" s="3015"/>
    </row>
    <row r="446" spans="2:36" ht="20.100000000000001" hidden="1" customHeight="1">
      <c r="B446" s="4048"/>
      <c r="C446" s="3647"/>
      <c r="D446" s="3988" t="s">
        <v>3452</v>
      </c>
      <c r="E446" s="3977"/>
      <c r="F446" s="3255" t="s">
        <v>2688</v>
      </c>
      <c r="G446" s="3091"/>
      <c r="H446" s="3323"/>
      <c r="I446" s="3433" t="s">
        <v>3453</v>
      </c>
      <c r="J446" s="3658"/>
      <c r="K446" s="3140" t="s">
        <v>2688</v>
      </c>
      <c r="L446" s="4427"/>
      <c r="M446" s="3442"/>
      <c r="N446" s="4428"/>
      <c r="O446" s="3442"/>
      <c r="P446" s="4426"/>
      <c r="Q446" s="4427"/>
      <c r="R446" s="4091"/>
      <c r="S446" s="4428"/>
      <c r="T446" s="4091"/>
      <c r="U446" s="4429"/>
      <c r="V446" s="4431"/>
      <c r="W446" s="3442"/>
      <c r="X446" s="4428"/>
      <c r="Y446" s="3442"/>
      <c r="Z446" s="4428"/>
      <c r="AA446" s="4428"/>
      <c r="AB446" s="3442"/>
      <c r="AC446" s="4428"/>
      <c r="AD446" s="3442"/>
      <c r="AE446" s="4428"/>
      <c r="AF446" s="3140"/>
      <c r="AG446" s="3478"/>
      <c r="AH446" s="3478"/>
      <c r="AI446" s="4139"/>
      <c r="AJ446" s="3015"/>
    </row>
    <row r="447" spans="2:36" ht="20.100000000000001" hidden="1" customHeight="1">
      <c r="B447" s="3700"/>
      <c r="C447" s="3647"/>
      <c r="D447" s="3988" t="s">
        <v>3454</v>
      </c>
      <c r="E447" s="3977"/>
      <c r="F447" s="3255" t="s">
        <v>2921</v>
      </c>
      <c r="G447" s="3091"/>
      <c r="H447" s="3323"/>
      <c r="I447" s="3433" t="s">
        <v>3455</v>
      </c>
      <c r="J447" s="3658"/>
      <c r="K447" s="3140" t="s">
        <v>559</v>
      </c>
      <c r="L447" s="4427"/>
      <c r="M447" s="3442"/>
      <c r="N447" s="4428"/>
      <c r="O447" s="3442"/>
      <c r="P447" s="4426"/>
      <c r="Q447" s="4427"/>
      <c r="R447" s="4091"/>
      <c r="S447" s="4428"/>
      <c r="T447" s="3442"/>
      <c r="U447" s="4429"/>
      <c r="V447" s="4431"/>
      <c r="W447" s="3442"/>
      <c r="X447" s="4428"/>
      <c r="Y447" s="3442"/>
      <c r="Z447" s="4428"/>
      <c r="AA447" s="4428"/>
      <c r="AB447" s="3442"/>
      <c r="AC447" s="4428"/>
      <c r="AD447" s="3442"/>
      <c r="AE447" s="4428"/>
      <c r="AF447" s="3140"/>
      <c r="AG447" s="3478"/>
      <c r="AH447" s="3478"/>
      <c r="AI447" s="4432"/>
      <c r="AJ447" s="3015"/>
    </row>
    <row r="448" spans="2:36" ht="20.100000000000001" hidden="1" customHeight="1">
      <c r="B448" s="3648"/>
      <c r="C448" s="3644"/>
      <c r="D448" s="3988" t="s">
        <v>3456</v>
      </c>
      <c r="E448" s="3977"/>
      <c r="F448" s="3255" t="s">
        <v>2921</v>
      </c>
      <c r="G448" s="3360"/>
      <c r="H448" s="3341"/>
      <c r="I448" s="3433" t="s">
        <v>3457</v>
      </c>
      <c r="J448" s="3658"/>
      <c r="K448" s="3140" t="s">
        <v>559</v>
      </c>
      <c r="L448" s="4427"/>
      <c r="M448" s="3442"/>
      <c r="N448" s="4428"/>
      <c r="O448" s="3442"/>
      <c r="P448" s="4426"/>
      <c r="Q448" s="4427"/>
      <c r="R448" s="4091"/>
      <c r="S448" s="4428"/>
      <c r="T448" s="3442"/>
      <c r="U448" s="4429"/>
      <c r="V448" s="4431"/>
      <c r="W448" s="3442"/>
      <c r="X448" s="4428"/>
      <c r="Y448" s="3442"/>
      <c r="Z448" s="4428"/>
      <c r="AA448" s="4428"/>
      <c r="AB448" s="3442"/>
      <c r="AC448" s="4428"/>
      <c r="AD448" s="3442"/>
      <c r="AE448" s="4428"/>
      <c r="AF448" s="3140"/>
      <c r="AG448" s="3478"/>
      <c r="AH448" s="3478"/>
      <c r="AI448" s="4432"/>
      <c r="AJ448" s="3015"/>
    </row>
    <row r="449" spans="1:36" s="3121" customFormat="1" ht="19.149999999999999" hidden="1" customHeight="1">
      <c r="A449" s="3008"/>
      <c r="B449" s="3648"/>
      <c r="C449" s="3706" t="s">
        <v>3458</v>
      </c>
      <c r="D449" s="4433"/>
      <c r="E449" s="4434"/>
      <c r="F449" s="3145" t="s">
        <v>2676</v>
      </c>
      <c r="G449" s="3929"/>
      <c r="H449" s="3638" t="s">
        <v>3459</v>
      </c>
      <c r="I449" s="4435"/>
      <c r="J449" s="4436"/>
      <c r="K449" s="3917"/>
      <c r="L449" s="4437"/>
      <c r="M449" s="4089"/>
      <c r="N449" s="3287"/>
      <c r="O449" s="4089"/>
      <c r="P449" s="4438"/>
      <c r="Q449" s="4437"/>
      <c r="R449" s="4174"/>
      <c r="S449" s="3287"/>
      <c r="T449" s="4089"/>
      <c r="U449" s="4439"/>
      <c r="V449" s="4440"/>
      <c r="W449" s="4089"/>
      <c r="X449" s="3287"/>
      <c r="Y449" s="4089"/>
      <c r="Z449" s="3287"/>
      <c r="AA449" s="3287"/>
      <c r="AB449" s="4089"/>
      <c r="AC449" s="3287"/>
      <c r="AD449" s="4089"/>
      <c r="AE449" s="3287"/>
      <c r="AF449" s="3140"/>
      <c r="AG449" s="3478"/>
      <c r="AH449" s="3478"/>
      <c r="AI449" s="4441"/>
      <c r="AJ449" s="3015"/>
    </row>
    <row r="450" spans="1:36" ht="20.100000000000001" hidden="1" customHeight="1">
      <c r="B450" s="3266"/>
      <c r="C450" s="3935"/>
      <c r="D450" s="3988" t="s">
        <v>3460</v>
      </c>
      <c r="E450" s="3977"/>
      <c r="F450" s="3255" t="s">
        <v>1476</v>
      </c>
      <c r="G450" s="3505"/>
      <c r="H450" s="3321"/>
      <c r="I450" s="3692" t="s">
        <v>3461</v>
      </c>
      <c r="J450" s="3692"/>
      <c r="K450" s="3140" t="s">
        <v>559</v>
      </c>
      <c r="L450" s="4427">
        <v>0</v>
      </c>
      <c r="M450" s="3442" t="s">
        <v>1705</v>
      </c>
      <c r="N450" s="4428">
        <v>0</v>
      </c>
      <c r="O450" s="3442" t="s">
        <v>1705</v>
      </c>
      <c r="P450" s="4426"/>
      <c r="Q450" s="4427">
        <v>0</v>
      </c>
      <c r="R450" s="4091" t="s">
        <v>2561</v>
      </c>
      <c r="S450" s="4428">
        <v>0</v>
      </c>
      <c r="T450" s="4091" t="s">
        <v>2561</v>
      </c>
      <c r="U450" s="4429"/>
      <c r="V450" s="4431" t="s">
        <v>2562</v>
      </c>
      <c r="W450" s="4091" t="s">
        <v>2563</v>
      </c>
      <c r="X450" s="4428" t="s">
        <v>2564</v>
      </c>
      <c r="Y450" s="4091" t="s">
        <v>2565</v>
      </c>
      <c r="Z450" s="4428"/>
      <c r="AA450" s="4428"/>
      <c r="AB450" s="3442"/>
      <c r="AC450" s="4428"/>
      <c r="AD450" s="3442"/>
      <c r="AE450" s="4428"/>
      <c r="AF450" s="3140"/>
      <c r="AG450" s="3478"/>
      <c r="AH450" s="3478"/>
      <c r="AI450" s="4432" t="s">
        <v>3462</v>
      </c>
      <c r="AJ450" s="3015"/>
    </row>
    <row r="451" spans="1:36" ht="20.100000000000001" hidden="1" customHeight="1">
      <c r="B451" s="4048"/>
      <c r="C451" s="3939"/>
      <c r="D451" s="3988" t="s">
        <v>3463</v>
      </c>
      <c r="E451" s="3977"/>
      <c r="F451" s="3255" t="s">
        <v>1476</v>
      </c>
      <c r="G451" s="3360"/>
      <c r="H451" s="3341"/>
      <c r="I451" s="3692" t="s">
        <v>3464</v>
      </c>
      <c r="J451" s="3692"/>
      <c r="K451" s="3140" t="s">
        <v>559</v>
      </c>
      <c r="L451" s="4427">
        <v>0</v>
      </c>
      <c r="M451" s="3442">
        <v>0</v>
      </c>
      <c r="N451" s="4428">
        <v>0</v>
      </c>
      <c r="O451" s="3442">
        <v>0</v>
      </c>
      <c r="P451" s="4426"/>
      <c r="Q451" s="4427">
        <v>0</v>
      </c>
      <c r="R451" s="3442">
        <v>0</v>
      </c>
      <c r="S451" s="4428">
        <v>0</v>
      </c>
      <c r="T451" s="3442">
        <v>0</v>
      </c>
      <c r="U451" s="4429"/>
      <c r="V451" s="4431">
        <v>0</v>
      </c>
      <c r="W451" s="3442">
        <v>0</v>
      </c>
      <c r="X451" s="4428">
        <v>0</v>
      </c>
      <c r="Y451" s="3442">
        <v>0</v>
      </c>
      <c r="Z451" s="4428"/>
      <c r="AA451" s="4428"/>
      <c r="AB451" s="3442"/>
      <c r="AC451" s="4428"/>
      <c r="AD451" s="3442"/>
      <c r="AE451" s="4428"/>
      <c r="AF451" s="3140"/>
      <c r="AG451" s="3478"/>
      <c r="AH451" s="3478"/>
      <c r="AI451" s="4432" t="s">
        <v>1710</v>
      </c>
      <c r="AJ451" s="3015"/>
    </row>
    <row r="452" spans="1:36" ht="20.100000000000001" hidden="1" customHeight="1">
      <c r="B452" s="3542"/>
      <c r="C452" s="3656" t="s">
        <v>3465</v>
      </c>
      <c r="D452" s="3657"/>
      <c r="E452" s="3658"/>
      <c r="F452" s="3255" t="s">
        <v>2921</v>
      </c>
      <c r="G452" s="3692"/>
      <c r="H452" s="3329" t="s">
        <v>3466</v>
      </c>
      <c r="I452" s="3657"/>
      <c r="J452" s="3658"/>
      <c r="K452" s="3094" t="s">
        <v>559</v>
      </c>
      <c r="L452" s="3132"/>
      <c r="M452" s="3133"/>
      <c r="N452" s="3134"/>
      <c r="O452" s="3133"/>
      <c r="P452" s="4286"/>
      <c r="Q452" s="3132"/>
      <c r="R452" s="3133"/>
      <c r="S452" s="3134"/>
      <c r="T452" s="3133"/>
      <c r="U452" s="3135"/>
      <c r="V452" s="4287"/>
      <c r="W452" s="3133"/>
      <c r="X452" s="3134"/>
      <c r="Y452" s="3133"/>
      <c r="Z452" s="3134"/>
      <c r="AA452" s="3134"/>
      <c r="AB452" s="3133"/>
      <c r="AC452" s="3134"/>
      <c r="AD452" s="3133"/>
      <c r="AE452" s="3134"/>
      <c r="AF452" s="3140"/>
      <c r="AG452" s="3478"/>
      <c r="AH452" s="3478"/>
      <c r="AI452" s="4432"/>
      <c r="AJ452" s="3015"/>
    </row>
    <row r="453" spans="1:36" ht="20.100000000000001" hidden="1" customHeight="1">
      <c r="B453" s="3542"/>
      <c r="C453" s="4442" t="s">
        <v>3467</v>
      </c>
      <c r="D453" s="3657"/>
      <c r="E453" s="3658"/>
      <c r="F453" s="3255" t="s">
        <v>2921</v>
      </c>
      <c r="G453" s="3692"/>
      <c r="H453" s="3329" t="s">
        <v>3468</v>
      </c>
      <c r="I453" s="3657"/>
      <c r="J453" s="3658"/>
      <c r="K453" s="3094" t="s">
        <v>559</v>
      </c>
      <c r="L453" s="3132"/>
      <c r="M453" s="3133"/>
      <c r="N453" s="3134"/>
      <c r="O453" s="3133"/>
      <c r="P453" s="4286"/>
      <c r="Q453" s="3132"/>
      <c r="R453" s="3133"/>
      <c r="S453" s="3134"/>
      <c r="T453" s="3133"/>
      <c r="U453" s="3135"/>
      <c r="V453" s="4287"/>
      <c r="W453" s="3133"/>
      <c r="X453" s="3134"/>
      <c r="Y453" s="3133"/>
      <c r="Z453" s="3134"/>
      <c r="AA453" s="3134"/>
      <c r="AB453" s="3133"/>
      <c r="AC453" s="3134"/>
      <c r="AD453" s="3133"/>
      <c r="AE453" s="3134"/>
      <c r="AF453" s="3140"/>
      <c r="AG453" s="3478"/>
      <c r="AH453" s="3478"/>
      <c r="AI453" s="4432"/>
      <c r="AJ453" s="3015"/>
    </row>
    <row r="454" spans="1:36" s="3121" customFormat="1" ht="20.100000000000001" hidden="1" customHeight="1">
      <c r="B454" s="4443"/>
      <c r="C454" s="3976" t="s">
        <v>3469</v>
      </c>
      <c r="D454" s="4444"/>
      <c r="E454" s="4444"/>
      <c r="F454" s="3255" t="s">
        <v>2688</v>
      </c>
      <c r="G454" s="4312"/>
      <c r="H454" s="3978" t="s">
        <v>3470</v>
      </c>
      <c r="I454" s="4047"/>
      <c r="J454" s="4445"/>
      <c r="K454" s="3094" t="s">
        <v>2688</v>
      </c>
      <c r="L454" s="4446" t="str">
        <f t="shared" ref="L454" si="30">IFERROR(L455/L456*100,"-")</f>
        <v>-</v>
      </c>
      <c r="M454" s="4382"/>
      <c r="N454" s="4447" t="str">
        <f>IFERROR(N455/N456*100,"-")</f>
        <v>-</v>
      </c>
      <c r="O454" s="4382"/>
      <c r="P454" s="4448" t="str">
        <f>IFERROR(P455/P456*100,"-")</f>
        <v>-</v>
      </c>
      <c r="Q454" s="4446">
        <f>IFERROR(Q455/Q456*100,"-")</f>
        <v>16.666666666666664</v>
      </c>
      <c r="R454" s="4382"/>
      <c r="S454" s="4447">
        <f>IFERROR(S455/S456*100,"-")</f>
        <v>23.743500866551127</v>
      </c>
      <c r="T454" s="4382"/>
      <c r="U454" s="4449" t="str">
        <f>IFERROR(U455/U456*100,"-")</f>
        <v>-</v>
      </c>
      <c r="V454" s="4450">
        <f>IFERROR(V455/V456*100,"-")</f>
        <v>0</v>
      </c>
      <c r="W454" s="4300"/>
      <c r="X454" s="4447">
        <f>IFERROR(X455/X456*100,"-")</f>
        <v>0</v>
      </c>
      <c r="Y454" s="4300"/>
      <c r="Z454" s="4447" t="str">
        <f>IFERROR(Z455/Z456*100,"-")</f>
        <v>-</v>
      </c>
      <c r="AA454" s="4447" t="str">
        <f>IFERROR(AA455/AA456*100,"-")</f>
        <v>-</v>
      </c>
      <c r="AB454" s="3133"/>
      <c r="AC454" s="4447" t="str">
        <f>IFERROR(AC455/AC456*100,"-")</f>
        <v>-</v>
      </c>
      <c r="AD454" s="3133"/>
      <c r="AE454" s="4447" t="str">
        <f>IFERROR(AE455/AE456*100,"-")</f>
        <v>-</v>
      </c>
      <c r="AF454" s="3446"/>
      <c r="AG454" s="3478"/>
      <c r="AH454" s="3478"/>
      <c r="AI454" s="4432" t="s">
        <v>3471</v>
      </c>
      <c r="AJ454" s="3007"/>
    </row>
    <row r="455" spans="1:36" s="3121" customFormat="1" ht="20.100000000000001" hidden="1" customHeight="1">
      <c r="B455" s="4451"/>
      <c r="C455" s="4452"/>
      <c r="D455" s="4453" t="s">
        <v>3472</v>
      </c>
      <c r="E455" s="4454"/>
      <c r="F455" s="3255" t="s">
        <v>2708</v>
      </c>
      <c r="G455" s="4455"/>
      <c r="H455" s="4456"/>
      <c r="I455" s="4457" t="s">
        <v>3473</v>
      </c>
      <c r="J455" s="4458"/>
      <c r="K455" s="3094" t="s">
        <v>734</v>
      </c>
      <c r="L455" s="4459">
        <v>0</v>
      </c>
      <c r="M455" s="4460">
        <v>0</v>
      </c>
      <c r="N455" s="4461">
        <v>0</v>
      </c>
      <c r="O455" s="4460">
        <v>0</v>
      </c>
      <c r="P455" s="4462"/>
      <c r="Q455" s="4299">
        <v>94</v>
      </c>
      <c r="R455" s="4387" t="s">
        <v>2552</v>
      </c>
      <c r="S455" s="4301">
        <v>137</v>
      </c>
      <c r="T455" s="4387" t="s">
        <v>2567</v>
      </c>
      <c r="U455" s="4303"/>
      <c r="V455" s="4304">
        <v>0</v>
      </c>
      <c r="W455" s="4300" t="s">
        <v>2353</v>
      </c>
      <c r="X455" s="4301">
        <v>0</v>
      </c>
      <c r="Y455" s="4300" t="s">
        <v>2353</v>
      </c>
      <c r="Z455" s="4301"/>
      <c r="AA455" s="4301"/>
      <c r="AB455" s="3133"/>
      <c r="AC455" s="4301"/>
      <c r="AD455" s="3133"/>
      <c r="AE455" s="3134"/>
      <c r="AF455" s="3446"/>
      <c r="AG455" s="3478"/>
      <c r="AH455" s="3478"/>
      <c r="AI455" s="4432" t="s">
        <v>3471</v>
      </c>
      <c r="AJ455" s="3007"/>
    </row>
    <row r="456" spans="1:36" s="3121" customFormat="1" ht="22.9" hidden="1" customHeight="1">
      <c r="B456" s="4463"/>
      <c r="C456" s="4464"/>
      <c r="D456" s="4465" t="s">
        <v>3474</v>
      </c>
      <c r="E456" s="4466"/>
      <c r="F456" s="3659" t="s">
        <v>2708</v>
      </c>
      <c r="G456" s="4467"/>
      <c r="H456" s="4468"/>
      <c r="I456" s="4465" t="s">
        <v>3475</v>
      </c>
      <c r="J456" s="4469"/>
      <c r="K456" s="3662" t="s">
        <v>734</v>
      </c>
      <c r="L456" s="4470">
        <v>0</v>
      </c>
      <c r="M456" s="4471">
        <v>0</v>
      </c>
      <c r="N456" s="4470">
        <v>0</v>
      </c>
      <c r="O456" s="4471">
        <v>0</v>
      </c>
      <c r="P456" s="4472"/>
      <c r="Q456" s="3212">
        <v>564</v>
      </c>
      <c r="R456" s="3213">
        <v>0</v>
      </c>
      <c r="S456" s="3214">
        <v>577</v>
      </c>
      <c r="T456" s="3213">
        <v>0</v>
      </c>
      <c r="U456" s="3215"/>
      <c r="V456" s="4355">
        <v>379</v>
      </c>
      <c r="W456" s="4356">
        <v>0</v>
      </c>
      <c r="X456" s="4352">
        <v>391</v>
      </c>
      <c r="Y456" s="4357">
        <v>0</v>
      </c>
      <c r="Z456" s="4352"/>
      <c r="AA456" s="4352"/>
      <c r="AB456" s="4351"/>
      <c r="AC456" s="4352"/>
      <c r="AD456" s="4351"/>
      <c r="AE456" s="4352"/>
      <c r="AF456" s="4473"/>
      <c r="AG456" s="3518"/>
      <c r="AH456" s="4218"/>
      <c r="AI456" s="4474" t="s">
        <v>3471</v>
      </c>
      <c r="AJ456" s="3007"/>
    </row>
    <row r="457" spans="1:36">
      <c r="C457" s="3422"/>
      <c r="D457" s="3422"/>
      <c r="E457" s="3422"/>
      <c r="G457" s="4475"/>
      <c r="H457" s="4475"/>
      <c r="I457" s="4475"/>
      <c r="J457" s="4475"/>
      <c r="L457" s="4476"/>
      <c r="M457" s="4476"/>
      <c r="N457" s="4476"/>
      <c r="O457" s="4476"/>
      <c r="P457" s="4476"/>
      <c r="Q457" s="4476"/>
      <c r="R457" s="4476"/>
      <c r="S457" s="4476"/>
      <c r="T457" s="4476"/>
      <c r="U457" s="4476"/>
      <c r="V457" s="4476"/>
      <c r="W457" s="4476"/>
      <c r="X457" s="4476"/>
      <c r="Y457" s="4476"/>
      <c r="Z457" s="4476"/>
      <c r="AA457" s="4476"/>
      <c r="AB457" s="4476"/>
      <c r="AC457" s="4476"/>
      <c r="AD457" s="4476"/>
      <c r="AE457" s="4476"/>
    </row>
    <row r="458" spans="1:36">
      <c r="L458" s="4476"/>
      <c r="M458" s="4476"/>
      <c r="N458" s="4476"/>
      <c r="O458" s="4476"/>
      <c r="P458" s="4476"/>
      <c r="Q458" s="4476"/>
      <c r="R458" s="4476"/>
      <c r="S458" s="4476"/>
      <c r="T458" s="4476"/>
      <c r="U458" s="4476"/>
      <c r="V458" s="4476"/>
      <c r="W458" s="4476"/>
      <c r="X458" s="4476"/>
      <c r="Y458" s="4476"/>
      <c r="Z458" s="4476"/>
      <c r="AA458" s="4476"/>
      <c r="AB458" s="4476"/>
      <c r="AC458" s="4476"/>
      <c r="AD458" s="4476"/>
      <c r="AE458" s="4476"/>
    </row>
    <row r="459" spans="1:36">
      <c r="L459" s="4476"/>
      <c r="M459" s="4476"/>
      <c r="N459" s="4476"/>
      <c r="O459" s="4476"/>
      <c r="P459" s="4476"/>
      <c r="Q459" s="4476"/>
      <c r="R459" s="4476"/>
      <c r="S459" s="4476"/>
      <c r="T459" s="4476"/>
      <c r="U459" s="4476"/>
      <c r="V459" s="4476"/>
      <c r="W459" s="4476"/>
      <c r="X459" s="4476"/>
      <c r="Y459" s="4476"/>
      <c r="Z459" s="4476"/>
      <c r="AA459" s="4476"/>
      <c r="AB459" s="4476"/>
      <c r="AC459" s="4476"/>
      <c r="AD459" s="4476"/>
      <c r="AE459" s="4476"/>
    </row>
    <row r="460" spans="1:36">
      <c r="L460" s="4476"/>
      <c r="M460" s="4476"/>
      <c r="N460" s="4476"/>
      <c r="O460" s="4476"/>
      <c r="P460" s="4476"/>
      <c r="Q460" s="4476"/>
      <c r="R460" s="4476"/>
      <c r="S460" s="4476"/>
      <c r="T460" s="4476"/>
      <c r="U460" s="4476"/>
      <c r="V460" s="4476"/>
      <c r="W460" s="4476"/>
      <c r="X460" s="4476"/>
      <c r="Y460" s="4476"/>
      <c r="Z460" s="4476"/>
      <c r="AA460" s="4476"/>
      <c r="AB460" s="4476"/>
      <c r="AC460" s="4476"/>
      <c r="AD460" s="4476"/>
      <c r="AE460" s="4476"/>
    </row>
    <row r="461" spans="1:36">
      <c r="L461" s="4476"/>
      <c r="M461" s="4476"/>
      <c r="N461" s="4476"/>
      <c r="O461" s="4476"/>
      <c r="P461" s="4476"/>
      <c r="Q461" s="4476"/>
      <c r="R461" s="4476"/>
      <c r="S461" s="4476"/>
      <c r="T461" s="4476"/>
      <c r="U461" s="4476"/>
      <c r="V461" s="4476"/>
      <c r="W461" s="4476"/>
      <c r="X461" s="4476"/>
      <c r="Y461" s="4476"/>
      <c r="Z461" s="4476"/>
      <c r="AA461" s="4476"/>
      <c r="AB461" s="4476"/>
      <c r="AC461" s="4476"/>
      <c r="AD461" s="4476"/>
      <c r="AE461" s="4476"/>
    </row>
  </sheetData>
  <autoFilter ref="B12:AI456" xr:uid="{00000000-0009-0000-0000-000000000000}"/>
  <mergeCells count="64">
    <mergeCell ref="D63:E63"/>
    <mergeCell ref="D64:E64"/>
    <mergeCell ref="B11:F11"/>
    <mergeCell ref="G11:J11"/>
    <mergeCell ref="L11:P11"/>
    <mergeCell ref="H95:J95"/>
    <mergeCell ref="AF11:AF12"/>
    <mergeCell ref="AG11:AG12"/>
    <mergeCell ref="AH11:AH12"/>
    <mergeCell ref="AI11:AI12"/>
    <mergeCell ref="Q11:U11"/>
    <mergeCell ref="V11:Z11"/>
    <mergeCell ref="AA11:AE11"/>
    <mergeCell ref="D102:E102"/>
    <mergeCell ref="D65:E65"/>
    <mergeCell ref="C80:E80"/>
    <mergeCell ref="C81:C82"/>
    <mergeCell ref="C84:C85"/>
    <mergeCell ref="C95:E95"/>
    <mergeCell ref="D96:E96"/>
    <mergeCell ref="D97:E97"/>
    <mergeCell ref="C98:E98"/>
    <mergeCell ref="D99:E99"/>
    <mergeCell ref="D100:E100"/>
    <mergeCell ref="C116:E116"/>
    <mergeCell ref="D103:E103"/>
    <mergeCell ref="D106:E106"/>
    <mergeCell ref="D107:E107"/>
    <mergeCell ref="C108:E108"/>
    <mergeCell ref="D109:E109"/>
    <mergeCell ref="D110:E110"/>
    <mergeCell ref="C111:E111"/>
    <mergeCell ref="C112:E112"/>
    <mergeCell ref="C113:E113"/>
    <mergeCell ref="D114:E114"/>
    <mergeCell ref="D115:E115"/>
    <mergeCell ref="C141:C146"/>
    <mergeCell ref="D144:E144"/>
    <mergeCell ref="D145:E145"/>
    <mergeCell ref="D146:E146"/>
    <mergeCell ref="C124:E124"/>
    <mergeCell ref="C129:E129"/>
    <mergeCell ref="C130:C131"/>
    <mergeCell ref="D130:E130"/>
    <mergeCell ref="D131:E131"/>
    <mergeCell ref="C132:E132"/>
    <mergeCell ref="C133:E133"/>
    <mergeCell ref="C134:E134"/>
    <mergeCell ref="C135:C136"/>
    <mergeCell ref="C137:E137"/>
    <mergeCell ref="C140:E140"/>
    <mergeCell ref="G284:G286"/>
    <mergeCell ref="D285:E285"/>
    <mergeCell ref="C148:E148"/>
    <mergeCell ref="D202:E202"/>
    <mergeCell ref="C205:E205"/>
    <mergeCell ref="G205:G237"/>
    <mergeCell ref="D207:E207"/>
    <mergeCell ref="D209:E209"/>
    <mergeCell ref="G239:G264"/>
    <mergeCell ref="G275:G276"/>
    <mergeCell ref="D280:E280"/>
    <mergeCell ref="D281:E281"/>
    <mergeCell ref="D283:E283"/>
  </mergeCells>
  <phoneticPr fontId="3" type="noConversion"/>
  <pageMargins left="0.25" right="0.25" top="0.75" bottom="0.75" header="0" footer="0"/>
  <pageSetup paperSize="8" scale="32" fitToHeight="0"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5EB70-C879-418E-BD8E-D64AFEA6A5D8}">
  <sheetPr>
    <tabColor rgb="FFFFC000"/>
    <pageSetUpPr fitToPage="1"/>
  </sheetPr>
  <dimension ref="A1:AK461"/>
  <sheetViews>
    <sheetView workbookViewId="0"/>
  </sheetViews>
  <sheetFormatPr defaultColWidth="13" defaultRowHeight="16.5" outlineLevelRow="1" outlineLevelCol="7"/>
  <cols>
    <col min="1" max="1" width="1.625" style="11" customWidth="1"/>
    <col min="2" max="2" width="7.75" style="11" customWidth="1"/>
    <col min="3" max="3" width="36" style="11" customWidth="1"/>
    <col min="4" max="4" width="12.75" style="11" customWidth="1"/>
    <col min="5" max="5" width="23.625" style="11" customWidth="1"/>
    <col min="6" max="6" width="16.375" style="11" customWidth="1"/>
    <col min="7" max="7" width="10.375" style="22" hidden="1" customWidth="1"/>
    <col min="8" max="8" width="28.625" style="22" hidden="1" customWidth="1"/>
    <col min="9" max="9" width="25.375" style="22" hidden="1" customWidth="1"/>
    <col min="10" max="10" width="42.875" style="22" hidden="1" customWidth="1"/>
    <col min="11" max="11" width="18.375" style="11" customWidth="1"/>
    <col min="12" max="21" width="15.625" style="11" hidden="1" customWidth="1" outlineLevel="7"/>
    <col min="22" max="26" width="15.625" style="11" customWidth="1" outlineLevel="7"/>
    <col min="27" max="31" width="15.625" style="11" hidden="1" customWidth="1" outlineLevel="7"/>
    <col min="32" max="32" width="43.875" style="11" customWidth="1" outlineLevel="7"/>
    <col min="33" max="34" width="35.375" style="11" customWidth="1" outlineLevel="7"/>
    <col min="35" max="35" width="16.125" style="11" customWidth="1"/>
    <col min="36" max="36" width="35.125" style="10" customWidth="1"/>
    <col min="37" max="37" width="32.125" style="11" customWidth="1"/>
    <col min="38" max="38" width="13" style="11" customWidth="1"/>
    <col min="39" max="16384" width="13" style="11"/>
  </cols>
  <sheetData>
    <row r="1" spans="1:37" ht="5.45" customHeight="1" thickBot="1">
      <c r="A1" s="1"/>
      <c r="B1" s="2"/>
      <c r="C1" s="2"/>
      <c r="D1" s="2"/>
      <c r="E1" s="2"/>
      <c r="F1" s="3"/>
      <c r="G1" s="4"/>
      <c r="H1" s="5"/>
      <c r="I1" s="5"/>
      <c r="J1" s="5"/>
      <c r="K1" s="3"/>
      <c r="L1" s="7"/>
      <c r="M1" s="7"/>
      <c r="N1" s="7"/>
      <c r="O1" s="7"/>
      <c r="P1" s="7"/>
      <c r="Q1" s="7"/>
      <c r="R1" s="7"/>
      <c r="S1" s="7"/>
      <c r="T1" s="7"/>
      <c r="U1" s="7"/>
      <c r="V1" s="7"/>
      <c r="W1" s="7"/>
      <c r="X1" s="7"/>
      <c r="Y1" s="7"/>
      <c r="Z1" s="7"/>
      <c r="AA1" s="7"/>
      <c r="AB1" s="7"/>
      <c r="AC1" s="7"/>
      <c r="AD1" s="7"/>
      <c r="AE1" s="7"/>
      <c r="AF1" s="7"/>
      <c r="AG1" s="7"/>
      <c r="AH1" s="3"/>
      <c r="AI1" s="9"/>
    </row>
    <row r="2" spans="1:37" s="19" customFormat="1" ht="33.75" hidden="1">
      <c r="A2" s="12"/>
      <c r="B2" s="13"/>
      <c r="C2" s="14"/>
      <c r="D2" s="2"/>
      <c r="E2" s="2"/>
      <c r="F2" s="3"/>
      <c r="G2" s="4"/>
      <c r="H2" s="13" t="s">
        <v>3476</v>
      </c>
      <c r="I2" s="3"/>
      <c r="J2" s="3"/>
      <c r="K2" s="3"/>
      <c r="L2" s="16"/>
      <c r="M2" s="16"/>
      <c r="N2" s="16"/>
      <c r="O2" s="16"/>
      <c r="P2" s="16"/>
      <c r="Q2" s="16"/>
      <c r="R2" s="16"/>
      <c r="S2" s="16"/>
      <c r="T2" s="16"/>
      <c r="U2" s="16"/>
      <c r="V2" s="16"/>
      <c r="W2" s="16"/>
      <c r="X2" s="16"/>
      <c r="Y2" s="16"/>
      <c r="Z2" s="16"/>
      <c r="AA2" s="16"/>
      <c r="AB2" s="16"/>
      <c r="AC2" s="16"/>
      <c r="AD2" s="16"/>
      <c r="AE2" s="16"/>
      <c r="AF2" s="16"/>
      <c r="AG2" s="16"/>
      <c r="AH2" s="15"/>
      <c r="AI2" s="17"/>
      <c r="AJ2" s="18"/>
    </row>
    <row r="3" spans="1:37" ht="9.6" hidden="1" customHeight="1">
      <c r="B3" s="20"/>
      <c r="C3" s="20"/>
      <c r="D3" s="20"/>
      <c r="E3" s="20"/>
      <c r="F3" s="3"/>
      <c r="G3" s="4"/>
      <c r="H3" s="3"/>
      <c r="I3" s="3"/>
      <c r="J3" s="3"/>
      <c r="K3" s="3"/>
      <c r="L3" s="7"/>
      <c r="M3" s="7"/>
      <c r="N3" s="7"/>
      <c r="O3" s="7"/>
      <c r="P3" s="7"/>
      <c r="Q3" s="7"/>
      <c r="R3" s="7"/>
      <c r="S3" s="7"/>
      <c r="T3" s="7"/>
      <c r="U3" s="7"/>
      <c r="V3" s="7"/>
      <c r="W3" s="7"/>
      <c r="X3" s="7"/>
      <c r="Y3" s="7"/>
      <c r="Z3" s="7"/>
      <c r="AA3" s="7"/>
      <c r="AB3" s="7"/>
      <c r="AC3" s="7"/>
      <c r="AD3" s="7"/>
      <c r="AE3" s="7"/>
      <c r="AF3" s="7"/>
      <c r="AG3" s="7"/>
      <c r="AH3" s="3"/>
      <c r="AI3" s="20"/>
      <c r="AJ3" s="18"/>
    </row>
    <row r="4" spans="1:37" ht="9.6" hidden="1" customHeight="1">
      <c r="B4" s="22"/>
      <c r="C4" s="22"/>
      <c r="D4" s="22"/>
      <c r="E4" s="22"/>
      <c r="F4" s="22"/>
      <c r="H4" s="21"/>
      <c r="I4" s="21"/>
      <c r="AJ4" s="18"/>
    </row>
    <row r="5" spans="1:37" ht="20.65" hidden="1" customHeight="1">
      <c r="B5" s="22"/>
      <c r="C5" s="22"/>
      <c r="D5" s="22"/>
      <c r="E5" s="22"/>
      <c r="F5" s="22"/>
      <c r="H5" s="1700" t="s">
        <v>3477</v>
      </c>
      <c r="I5" s="4477"/>
      <c r="J5" s="4478"/>
      <c r="K5" s="4479"/>
      <c r="T5" s="32"/>
      <c r="U5" s="32"/>
      <c r="V5" s="32"/>
      <c r="W5" s="32"/>
      <c r="X5" s="32"/>
      <c r="Y5" s="32"/>
      <c r="Z5" s="32"/>
      <c r="AA5" s="32"/>
      <c r="AB5" s="32"/>
      <c r="AC5" s="32"/>
      <c r="AD5" s="32"/>
      <c r="AE5" s="32"/>
      <c r="AF5" s="32"/>
      <c r="AG5" s="32"/>
      <c r="AH5" s="32"/>
      <c r="AI5" s="32"/>
      <c r="AJ5" s="18"/>
      <c r="AK5" s="24"/>
    </row>
    <row r="6" spans="1:37" ht="20.65" hidden="1" customHeight="1" outlineLevel="1">
      <c r="B6" s="22"/>
      <c r="C6" s="22"/>
      <c r="D6" s="22"/>
      <c r="E6" s="22"/>
      <c r="F6" s="22"/>
      <c r="H6" s="4480" t="s">
        <v>3478</v>
      </c>
      <c r="J6" s="35"/>
      <c r="K6" s="4481"/>
      <c r="T6" s="32"/>
      <c r="U6" s="32"/>
      <c r="V6" s="32"/>
      <c r="W6" s="32"/>
      <c r="X6" s="32"/>
      <c r="Y6" s="32"/>
      <c r="Z6" s="32"/>
      <c r="AA6" s="32"/>
      <c r="AB6" s="32"/>
      <c r="AC6" s="32"/>
      <c r="AD6" s="32"/>
      <c r="AE6" s="32"/>
      <c r="AF6" s="32"/>
      <c r="AG6" s="32"/>
      <c r="AH6" s="32"/>
      <c r="AI6" s="32"/>
      <c r="AJ6" s="18"/>
      <c r="AK6" s="24"/>
    </row>
    <row r="7" spans="1:37" ht="20.65" hidden="1" customHeight="1" outlineLevel="1">
      <c r="B7" s="22"/>
      <c r="C7" s="22"/>
      <c r="D7" s="22"/>
      <c r="E7" s="22"/>
      <c r="F7" s="22"/>
      <c r="H7" s="1701" t="s">
        <v>3479</v>
      </c>
      <c r="J7" s="31"/>
      <c r="K7" s="4481"/>
      <c r="T7" s="32"/>
      <c r="U7" s="32"/>
      <c r="V7" s="32"/>
      <c r="W7" s="32"/>
      <c r="X7" s="32"/>
      <c r="Y7" s="32"/>
      <c r="Z7" s="32"/>
      <c r="AA7" s="32"/>
      <c r="AB7" s="32"/>
      <c r="AC7" s="32"/>
      <c r="AD7" s="32"/>
      <c r="AE7" s="32"/>
      <c r="AF7" s="32"/>
      <c r="AG7" s="32"/>
      <c r="AH7" s="32"/>
      <c r="AI7" s="32"/>
      <c r="AJ7" s="18"/>
      <c r="AK7" s="24"/>
    </row>
    <row r="8" spans="1:37" ht="20.65" hidden="1" customHeight="1" collapsed="1">
      <c r="B8" s="22"/>
      <c r="C8" s="22"/>
      <c r="D8" s="22"/>
      <c r="E8" s="22"/>
      <c r="F8" s="22"/>
      <c r="H8" s="1701" t="s">
        <v>3480</v>
      </c>
      <c r="J8" s="37"/>
      <c r="K8" s="4481"/>
      <c r="T8" s="32"/>
      <c r="U8" s="32"/>
      <c r="V8" s="32"/>
      <c r="W8" s="32"/>
      <c r="X8" s="32"/>
      <c r="Y8" s="32"/>
      <c r="Z8" s="32"/>
      <c r="AA8" s="32"/>
      <c r="AB8" s="32"/>
      <c r="AC8" s="32"/>
      <c r="AD8" s="32"/>
      <c r="AE8" s="32"/>
      <c r="AF8" s="32"/>
      <c r="AG8" s="32"/>
      <c r="AH8" s="32"/>
      <c r="AI8" s="32"/>
      <c r="AJ8" s="18"/>
      <c r="AK8" s="24"/>
    </row>
    <row r="9" spans="1:37" ht="20.65" hidden="1" customHeight="1">
      <c r="B9" s="22"/>
      <c r="C9" s="22"/>
      <c r="D9" s="22"/>
      <c r="E9" s="22"/>
      <c r="F9" s="22"/>
      <c r="H9" s="1702" t="s">
        <v>3481</v>
      </c>
      <c r="I9" s="4482"/>
      <c r="J9" s="4483"/>
      <c r="K9" s="4484"/>
      <c r="N9" s="38"/>
      <c r="O9" s="35" t="s">
        <v>2255</v>
      </c>
      <c r="S9" s="38"/>
      <c r="T9" s="35" t="s">
        <v>2255</v>
      </c>
      <c r="U9" s="32"/>
      <c r="V9" s="32"/>
      <c r="W9" s="32"/>
      <c r="X9" s="38"/>
      <c r="Y9" s="35" t="s">
        <v>2255</v>
      </c>
      <c r="Z9" s="32"/>
      <c r="AA9" s="32"/>
      <c r="AB9" s="32"/>
      <c r="AC9" s="38"/>
      <c r="AD9" s="35" t="s">
        <v>2255</v>
      </c>
      <c r="AE9" s="32"/>
      <c r="AF9" s="32"/>
      <c r="AG9" s="32"/>
      <c r="AH9" s="32"/>
      <c r="AI9" s="32"/>
      <c r="AJ9" s="18"/>
      <c r="AK9" s="24"/>
    </row>
    <row r="10" spans="1:37" ht="11.45" hidden="1" customHeight="1" thickBot="1">
      <c r="C10" s="43"/>
      <c r="D10" s="43"/>
      <c r="E10" s="43"/>
      <c r="F10" s="44"/>
      <c r="G10" s="45"/>
      <c r="H10" s="46"/>
      <c r="I10" s="46"/>
      <c r="J10" s="46"/>
      <c r="K10" s="44"/>
      <c r="L10" s="48"/>
      <c r="M10" s="48"/>
      <c r="N10" s="48"/>
      <c r="O10" s="48"/>
      <c r="P10" s="48"/>
      <c r="Q10" s="48"/>
      <c r="R10" s="48"/>
      <c r="S10" s="48"/>
      <c r="T10" s="48"/>
      <c r="U10" s="48"/>
      <c r="V10" s="48"/>
      <c r="W10" s="48"/>
      <c r="X10" s="48"/>
      <c r="Y10" s="48"/>
      <c r="Z10" s="48"/>
      <c r="AA10" s="48"/>
      <c r="AB10" s="48"/>
      <c r="AC10" s="48"/>
      <c r="AD10" s="48"/>
      <c r="AE10" s="48"/>
      <c r="AF10" s="24"/>
      <c r="AG10" s="24"/>
      <c r="AH10" s="24"/>
      <c r="AI10" s="43"/>
      <c r="AJ10" s="18"/>
      <c r="AK10" s="24"/>
    </row>
    <row r="11" spans="1:37" ht="26.65" customHeight="1" thickTop="1">
      <c r="A11" s="50"/>
      <c r="B11" s="10160" t="s">
        <v>1</v>
      </c>
      <c r="C11" s="9750"/>
      <c r="D11" s="9750"/>
      <c r="E11" s="9750"/>
      <c r="F11" s="9751"/>
      <c r="G11" s="9669" t="s">
        <v>3482</v>
      </c>
      <c r="H11" s="9750"/>
      <c r="I11" s="9750"/>
      <c r="J11" s="9751"/>
      <c r="K11" s="51"/>
      <c r="L11" s="9756" t="s">
        <v>141</v>
      </c>
      <c r="M11" s="9757"/>
      <c r="N11" s="9757"/>
      <c r="O11" s="9757"/>
      <c r="P11" s="9758"/>
      <c r="Q11" s="9756" t="s">
        <v>144</v>
      </c>
      <c r="R11" s="9757"/>
      <c r="S11" s="9757"/>
      <c r="T11" s="9757"/>
      <c r="U11" s="9758"/>
      <c r="V11" s="9756" t="s">
        <v>147</v>
      </c>
      <c r="W11" s="9757"/>
      <c r="X11" s="9757"/>
      <c r="Y11" s="9757"/>
      <c r="Z11" s="9758"/>
      <c r="AA11" s="9756" t="s">
        <v>2263</v>
      </c>
      <c r="AB11" s="9757"/>
      <c r="AC11" s="9757"/>
      <c r="AD11" s="9757"/>
      <c r="AE11" s="9758"/>
      <c r="AF11" s="10240" t="s">
        <v>2272</v>
      </c>
      <c r="AG11" s="10117" t="s">
        <v>2273</v>
      </c>
      <c r="AH11" s="10242" t="s">
        <v>2274</v>
      </c>
      <c r="AI11" s="10244" t="s">
        <v>3483</v>
      </c>
      <c r="AJ11" s="18"/>
      <c r="AK11" s="54"/>
    </row>
    <row r="12" spans="1:37" ht="44.45" customHeight="1" thickBot="1">
      <c r="A12" s="50"/>
      <c r="B12" s="4485" t="s">
        <v>647</v>
      </c>
      <c r="C12" s="4486" t="s">
        <v>12</v>
      </c>
      <c r="D12" s="4487" t="s">
        <v>13</v>
      </c>
      <c r="E12" s="4487" t="s">
        <v>14</v>
      </c>
      <c r="F12" s="4487" t="s">
        <v>15</v>
      </c>
      <c r="G12" s="4487" t="s">
        <v>16</v>
      </c>
      <c r="H12" s="4487" t="s">
        <v>3484</v>
      </c>
      <c r="I12" s="4487" t="s">
        <v>3485</v>
      </c>
      <c r="J12" s="4487" t="s">
        <v>3486</v>
      </c>
      <c r="K12" s="4488" t="s">
        <v>17</v>
      </c>
      <c r="L12" s="2165">
        <v>2021</v>
      </c>
      <c r="M12" s="58" t="s">
        <v>2270</v>
      </c>
      <c r="N12" s="59">
        <v>2022</v>
      </c>
      <c r="O12" s="58" t="s">
        <v>2270</v>
      </c>
      <c r="P12" s="2166">
        <v>2023</v>
      </c>
      <c r="Q12" s="2165">
        <v>2021</v>
      </c>
      <c r="R12" s="58" t="s">
        <v>2270</v>
      </c>
      <c r="S12" s="59">
        <v>2022</v>
      </c>
      <c r="T12" s="58" t="s">
        <v>2270</v>
      </c>
      <c r="U12" s="2166">
        <v>2023</v>
      </c>
      <c r="V12" s="2165">
        <v>2021</v>
      </c>
      <c r="W12" s="58" t="s">
        <v>2270</v>
      </c>
      <c r="X12" s="59">
        <v>2022</v>
      </c>
      <c r="Y12" s="58" t="s">
        <v>2270</v>
      </c>
      <c r="Z12" s="2166">
        <v>2023</v>
      </c>
      <c r="AA12" s="2165">
        <v>2021</v>
      </c>
      <c r="AB12" s="58" t="s">
        <v>2270</v>
      </c>
      <c r="AC12" s="59">
        <v>2022</v>
      </c>
      <c r="AD12" s="58" t="s">
        <v>2270</v>
      </c>
      <c r="AE12" s="2494">
        <v>2023</v>
      </c>
      <c r="AF12" s="10241"/>
      <c r="AG12" s="10118"/>
      <c r="AH12" s="10243"/>
      <c r="AI12" s="10245"/>
      <c r="AJ12" s="18"/>
      <c r="AK12" s="54"/>
    </row>
    <row r="13" spans="1:37" ht="27.75" thickTop="1" thickBot="1">
      <c r="A13" s="50"/>
      <c r="B13" s="65"/>
      <c r="C13" s="66"/>
      <c r="D13" s="66"/>
      <c r="E13" s="66"/>
      <c r="F13" s="67"/>
      <c r="G13" s="68" t="s">
        <v>27</v>
      </c>
      <c r="H13" s="69"/>
      <c r="I13" s="69"/>
      <c r="J13" s="69"/>
      <c r="K13" s="67"/>
      <c r="L13" s="2167"/>
      <c r="M13" s="71"/>
      <c r="N13" s="71"/>
      <c r="O13" s="71"/>
      <c r="P13" s="2168"/>
      <c r="Q13" s="2167"/>
      <c r="R13" s="71"/>
      <c r="S13" s="71"/>
      <c r="T13" s="71"/>
      <c r="U13" s="2168"/>
      <c r="V13" s="2167"/>
      <c r="W13" s="71"/>
      <c r="X13" s="71"/>
      <c r="Y13" s="71"/>
      <c r="Z13" s="2168"/>
      <c r="AA13" s="2167"/>
      <c r="AB13" s="71"/>
      <c r="AC13" s="71"/>
      <c r="AD13" s="71"/>
      <c r="AE13" s="2495"/>
      <c r="AF13" s="4489"/>
      <c r="AG13" s="73"/>
      <c r="AH13" s="73"/>
      <c r="AI13" s="75"/>
      <c r="AJ13" s="18"/>
      <c r="AK13" s="54"/>
    </row>
    <row r="14" spans="1:37" ht="27" thickBot="1">
      <c r="B14" s="76" t="s">
        <v>29</v>
      </c>
      <c r="C14" s="77"/>
      <c r="D14" s="77"/>
      <c r="E14" s="77"/>
      <c r="F14" s="78"/>
      <c r="G14" s="79" t="s">
        <v>30</v>
      </c>
      <c r="H14" s="80"/>
      <c r="I14" s="80"/>
      <c r="J14" s="80"/>
      <c r="K14" s="78"/>
      <c r="L14" s="2169"/>
      <c r="M14" s="82"/>
      <c r="N14" s="82"/>
      <c r="O14" s="82"/>
      <c r="P14" s="2170"/>
      <c r="Q14" s="2169"/>
      <c r="R14" s="82"/>
      <c r="S14" s="82"/>
      <c r="T14" s="82"/>
      <c r="U14" s="2170"/>
      <c r="V14" s="2169"/>
      <c r="W14" s="82"/>
      <c r="X14" s="82"/>
      <c r="Y14" s="82"/>
      <c r="Z14" s="2170"/>
      <c r="AA14" s="2169"/>
      <c r="AB14" s="82"/>
      <c r="AC14" s="82"/>
      <c r="AD14" s="82"/>
      <c r="AE14" s="2170"/>
      <c r="AF14" s="2169"/>
      <c r="AG14" s="82"/>
      <c r="AH14" s="82"/>
      <c r="AI14" s="83"/>
      <c r="AJ14" s="18"/>
    </row>
    <row r="15" spans="1:37" ht="20.100000000000001" customHeight="1">
      <c r="A15" s="50"/>
      <c r="B15" s="84"/>
      <c r="C15" s="85" t="s">
        <v>32</v>
      </c>
      <c r="D15" s="86"/>
      <c r="E15" s="86"/>
      <c r="F15" s="87" t="s">
        <v>33</v>
      </c>
      <c r="G15" s="88"/>
      <c r="H15" s="89" t="s">
        <v>34</v>
      </c>
      <c r="I15" s="89"/>
      <c r="J15" s="90"/>
      <c r="K15" s="91" t="s">
        <v>35</v>
      </c>
      <c r="L15" s="2341"/>
      <c r="M15" s="97"/>
      <c r="N15" s="97"/>
      <c r="O15" s="97"/>
      <c r="P15" s="2172"/>
      <c r="Q15" s="2341"/>
      <c r="R15" s="97"/>
      <c r="S15" s="97"/>
      <c r="T15" s="97"/>
      <c r="U15" s="2172"/>
      <c r="V15" s="2341"/>
      <c r="W15" s="97"/>
      <c r="X15" s="97"/>
      <c r="Y15" s="97"/>
      <c r="Z15" s="2172"/>
      <c r="AA15" s="2341"/>
      <c r="AB15" s="97"/>
      <c r="AC15" s="97"/>
      <c r="AD15" s="97"/>
      <c r="AE15" s="2172"/>
      <c r="AF15" s="4490"/>
      <c r="AG15" s="100"/>
      <c r="AH15" s="100"/>
      <c r="AI15" s="4491"/>
      <c r="AJ15" s="18"/>
      <c r="AK15" s="54"/>
    </row>
    <row r="16" spans="1:37" ht="20.100000000000001" customHeight="1">
      <c r="B16" s="84"/>
      <c r="C16" s="103" t="s">
        <v>38</v>
      </c>
      <c r="D16" s="104"/>
      <c r="E16" s="104"/>
      <c r="F16" s="105" t="s">
        <v>33</v>
      </c>
      <c r="G16" s="106"/>
      <c r="H16" s="107" t="s">
        <v>39</v>
      </c>
      <c r="I16" s="107"/>
      <c r="J16" s="108"/>
      <c r="K16" s="109" t="s">
        <v>35</v>
      </c>
      <c r="L16" s="2341"/>
      <c r="M16" s="97"/>
      <c r="N16" s="97"/>
      <c r="O16" s="97"/>
      <c r="P16" s="2172"/>
      <c r="Q16" s="2341"/>
      <c r="R16" s="97"/>
      <c r="S16" s="97"/>
      <c r="T16" s="97"/>
      <c r="U16" s="2172"/>
      <c r="V16" s="2341"/>
      <c r="W16" s="97"/>
      <c r="X16" s="97"/>
      <c r="Y16" s="97"/>
      <c r="Z16" s="2172"/>
      <c r="AA16" s="2341"/>
      <c r="AB16" s="97"/>
      <c r="AC16" s="97"/>
      <c r="AD16" s="97"/>
      <c r="AE16" s="2172"/>
      <c r="AF16" s="4490"/>
      <c r="AG16" s="100"/>
      <c r="AH16" s="100"/>
      <c r="AI16" s="4492"/>
      <c r="AJ16" s="18"/>
    </row>
    <row r="17" spans="2:36" ht="20.100000000000001" customHeight="1">
      <c r="B17" s="113"/>
      <c r="C17" s="103" t="s">
        <v>40</v>
      </c>
      <c r="D17" s="104"/>
      <c r="E17" s="104"/>
      <c r="F17" s="105" t="s">
        <v>33</v>
      </c>
      <c r="G17" s="106"/>
      <c r="H17" s="107" t="s">
        <v>41</v>
      </c>
      <c r="I17" s="107"/>
      <c r="J17" s="108"/>
      <c r="K17" s="109" t="s">
        <v>35</v>
      </c>
      <c r="L17" s="2341"/>
      <c r="M17" s="97"/>
      <c r="N17" s="97"/>
      <c r="O17" s="97"/>
      <c r="P17" s="2172"/>
      <c r="Q17" s="2341"/>
      <c r="R17" s="97"/>
      <c r="S17" s="97"/>
      <c r="T17" s="97"/>
      <c r="U17" s="2172"/>
      <c r="V17" s="2341"/>
      <c r="W17" s="97"/>
      <c r="X17" s="97"/>
      <c r="Y17" s="97"/>
      <c r="Z17" s="2172"/>
      <c r="AA17" s="2341"/>
      <c r="AB17" s="97"/>
      <c r="AC17" s="97"/>
      <c r="AD17" s="97"/>
      <c r="AE17" s="2172"/>
      <c r="AF17" s="4490"/>
      <c r="AG17" s="100"/>
      <c r="AH17" s="100"/>
      <c r="AI17" s="4492"/>
      <c r="AJ17" s="18"/>
    </row>
    <row r="18" spans="2:36" ht="20.100000000000001" customHeight="1">
      <c r="B18" s="84"/>
      <c r="C18" s="103" t="s">
        <v>43</v>
      </c>
      <c r="D18" s="104"/>
      <c r="E18" s="104"/>
      <c r="F18" s="105" t="s">
        <v>33</v>
      </c>
      <c r="G18" s="106"/>
      <c r="H18" s="107" t="s">
        <v>44</v>
      </c>
      <c r="I18" s="107"/>
      <c r="J18" s="108"/>
      <c r="K18" s="109" t="s">
        <v>35</v>
      </c>
      <c r="L18" s="2341"/>
      <c r="M18" s="97"/>
      <c r="N18" s="97"/>
      <c r="O18" s="97"/>
      <c r="P18" s="2172"/>
      <c r="Q18" s="2341"/>
      <c r="R18" s="97"/>
      <c r="S18" s="97"/>
      <c r="T18" s="97"/>
      <c r="U18" s="2172"/>
      <c r="V18" s="2341"/>
      <c r="W18" s="97"/>
      <c r="X18" s="97"/>
      <c r="Y18" s="97"/>
      <c r="Z18" s="2172"/>
      <c r="AA18" s="2341"/>
      <c r="AB18" s="97"/>
      <c r="AC18" s="97"/>
      <c r="AD18" s="97"/>
      <c r="AE18" s="2172"/>
      <c r="AF18" s="4490"/>
      <c r="AG18" s="100"/>
      <c r="AH18" s="100"/>
      <c r="AI18" s="4492"/>
      <c r="AJ18" s="18"/>
    </row>
    <row r="19" spans="2:36" ht="20.100000000000001" customHeight="1">
      <c r="B19" s="84"/>
      <c r="C19" s="103" t="s">
        <v>45</v>
      </c>
      <c r="D19" s="104"/>
      <c r="E19" s="104"/>
      <c r="F19" s="105" t="s">
        <v>33</v>
      </c>
      <c r="G19" s="106"/>
      <c r="H19" s="107" t="s">
        <v>46</v>
      </c>
      <c r="I19" s="107"/>
      <c r="J19" s="108"/>
      <c r="K19" s="109" t="s">
        <v>35</v>
      </c>
      <c r="L19" s="2341"/>
      <c r="M19" s="97"/>
      <c r="N19" s="97"/>
      <c r="O19" s="97"/>
      <c r="P19" s="2172"/>
      <c r="Q19" s="2341"/>
      <c r="R19" s="97"/>
      <c r="S19" s="97"/>
      <c r="T19" s="97"/>
      <c r="U19" s="2172"/>
      <c r="V19" s="2341"/>
      <c r="W19" s="97"/>
      <c r="X19" s="97"/>
      <c r="Y19" s="97"/>
      <c r="Z19" s="2172"/>
      <c r="AA19" s="2341"/>
      <c r="AB19" s="97"/>
      <c r="AC19" s="97"/>
      <c r="AD19" s="97"/>
      <c r="AE19" s="2172"/>
      <c r="AF19" s="4490"/>
      <c r="AG19" s="100"/>
      <c r="AH19" s="100"/>
      <c r="AI19" s="4492"/>
      <c r="AJ19" s="18"/>
    </row>
    <row r="20" spans="2:36" ht="20.100000000000001" customHeight="1">
      <c r="B20" s="113"/>
      <c r="C20" s="103" t="s">
        <v>47</v>
      </c>
      <c r="D20" s="104"/>
      <c r="E20" s="104"/>
      <c r="F20" s="105" t="s">
        <v>33</v>
      </c>
      <c r="G20" s="106"/>
      <c r="H20" s="107" t="s">
        <v>48</v>
      </c>
      <c r="I20" s="107"/>
      <c r="J20" s="108"/>
      <c r="K20" s="109" t="s">
        <v>35</v>
      </c>
      <c r="L20" s="2341"/>
      <c r="M20" s="97"/>
      <c r="N20" s="97"/>
      <c r="O20" s="97"/>
      <c r="P20" s="2172"/>
      <c r="Q20" s="2341"/>
      <c r="R20" s="97"/>
      <c r="S20" s="97"/>
      <c r="T20" s="97"/>
      <c r="U20" s="2172"/>
      <c r="V20" s="2341"/>
      <c r="W20" s="97"/>
      <c r="X20" s="97"/>
      <c r="Y20" s="97"/>
      <c r="Z20" s="2172"/>
      <c r="AA20" s="2341"/>
      <c r="AB20" s="97"/>
      <c r="AC20" s="97"/>
      <c r="AD20" s="97"/>
      <c r="AE20" s="2172"/>
      <c r="AF20" s="4490"/>
      <c r="AG20" s="100"/>
      <c r="AH20" s="100"/>
      <c r="AI20" s="4492"/>
      <c r="AJ20" s="18"/>
    </row>
    <row r="21" spans="2:36" ht="20.100000000000001" customHeight="1">
      <c r="B21" s="84"/>
      <c r="C21" s="103" t="s">
        <v>49</v>
      </c>
      <c r="D21" s="104"/>
      <c r="E21" s="104"/>
      <c r="F21" s="105" t="s">
        <v>33</v>
      </c>
      <c r="G21" s="106"/>
      <c r="H21" s="115" t="s">
        <v>50</v>
      </c>
      <c r="I21" s="107"/>
      <c r="J21" s="108"/>
      <c r="K21" s="109" t="s">
        <v>35</v>
      </c>
      <c r="L21" s="2341"/>
      <c r="M21" s="97"/>
      <c r="N21" s="97"/>
      <c r="O21" s="97"/>
      <c r="P21" s="2172"/>
      <c r="Q21" s="2341"/>
      <c r="R21" s="97"/>
      <c r="S21" s="97"/>
      <c r="T21" s="97"/>
      <c r="U21" s="2172"/>
      <c r="V21" s="2341"/>
      <c r="W21" s="97"/>
      <c r="X21" s="97"/>
      <c r="Y21" s="97"/>
      <c r="Z21" s="2172"/>
      <c r="AA21" s="2341"/>
      <c r="AB21" s="97"/>
      <c r="AC21" s="97"/>
      <c r="AD21" s="97"/>
      <c r="AE21" s="2172"/>
      <c r="AF21" s="4490"/>
      <c r="AG21" s="100"/>
      <c r="AH21" s="100"/>
      <c r="AI21" s="4492"/>
      <c r="AJ21" s="18"/>
    </row>
    <row r="22" spans="2:36" ht="20.100000000000001" customHeight="1">
      <c r="B22" s="113"/>
      <c r="C22" s="103" t="s">
        <v>51</v>
      </c>
      <c r="D22" s="104"/>
      <c r="E22" s="104"/>
      <c r="F22" s="105" t="s">
        <v>33</v>
      </c>
      <c r="G22" s="106"/>
      <c r="H22" s="116" t="s">
        <v>52</v>
      </c>
      <c r="I22" s="107"/>
      <c r="J22" s="108"/>
      <c r="K22" s="109" t="s">
        <v>35</v>
      </c>
      <c r="L22" s="2341"/>
      <c r="M22" s="97"/>
      <c r="N22" s="97"/>
      <c r="O22" s="97"/>
      <c r="P22" s="2172"/>
      <c r="Q22" s="2341"/>
      <c r="R22" s="97"/>
      <c r="S22" s="97"/>
      <c r="T22" s="97"/>
      <c r="U22" s="2172"/>
      <c r="V22" s="2341"/>
      <c r="W22" s="97"/>
      <c r="X22" s="97"/>
      <c r="Y22" s="97"/>
      <c r="Z22" s="2172"/>
      <c r="AA22" s="2341"/>
      <c r="AB22" s="97"/>
      <c r="AC22" s="97"/>
      <c r="AD22" s="97"/>
      <c r="AE22" s="2172"/>
      <c r="AF22" s="4490"/>
      <c r="AG22" s="100"/>
      <c r="AH22" s="100"/>
      <c r="AI22" s="4492"/>
      <c r="AJ22" s="18"/>
    </row>
    <row r="23" spans="2:36" ht="20.100000000000001" customHeight="1" thickBot="1">
      <c r="B23" s="84"/>
      <c r="C23" s="117" t="s">
        <v>53</v>
      </c>
      <c r="D23" s="118"/>
      <c r="E23" s="118"/>
      <c r="F23" s="119" t="s">
        <v>33</v>
      </c>
      <c r="G23" s="106"/>
      <c r="H23" s="120" t="s">
        <v>54</v>
      </c>
      <c r="I23" s="120"/>
      <c r="J23" s="121"/>
      <c r="K23" s="122" t="s">
        <v>35</v>
      </c>
      <c r="L23" s="2341"/>
      <c r="M23" s="97"/>
      <c r="N23" s="97"/>
      <c r="O23" s="97"/>
      <c r="P23" s="2172"/>
      <c r="Q23" s="2341"/>
      <c r="R23" s="97"/>
      <c r="S23" s="97"/>
      <c r="T23" s="97"/>
      <c r="U23" s="2172"/>
      <c r="V23" s="2341"/>
      <c r="W23" s="97"/>
      <c r="X23" s="97"/>
      <c r="Y23" s="97"/>
      <c r="Z23" s="2172"/>
      <c r="AA23" s="2341"/>
      <c r="AB23" s="97"/>
      <c r="AC23" s="97"/>
      <c r="AD23" s="97"/>
      <c r="AE23" s="2172"/>
      <c r="AF23" s="4490"/>
      <c r="AG23" s="100"/>
      <c r="AH23" s="100"/>
      <c r="AI23" s="4492"/>
      <c r="AJ23" s="18"/>
    </row>
    <row r="24" spans="2:36" ht="27" thickBot="1">
      <c r="B24" s="123" t="s">
        <v>55</v>
      </c>
      <c r="C24" s="124"/>
      <c r="D24" s="124"/>
      <c r="E24" s="124"/>
      <c r="F24" s="78"/>
      <c r="G24" s="125" t="s">
        <v>56</v>
      </c>
      <c r="H24" s="126"/>
      <c r="I24" s="126"/>
      <c r="J24" s="126"/>
      <c r="K24" s="78"/>
      <c r="L24" s="2173"/>
      <c r="M24" s="128"/>
      <c r="N24" s="128"/>
      <c r="O24" s="128"/>
      <c r="P24" s="2174"/>
      <c r="Q24" s="2173"/>
      <c r="R24" s="128"/>
      <c r="S24" s="128"/>
      <c r="T24" s="128"/>
      <c r="U24" s="2174"/>
      <c r="V24" s="2173"/>
      <c r="W24" s="128"/>
      <c r="X24" s="128"/>
      <c r="Y24" s="128"/>
      <c r="Z24" s="2174"/>
      <c r="AA24" s="2173"/>
      <c r="AB24" s="128"/>
      <c r="AC24" s="128"/>
      <c r="AD24" s="128"/>
      <c r="AE24" s="2174"/>
      <c r="AF24" s="4493"/>
      <c r="AG24" s="129"/>
      <c r="AH24" s="129"/>
      <c r="AI24" s="1953"/>
      <c r="AJ24" s="18"/>
    </row>
    <row r="25" spans="2:36" s="139" customFormat="1" ht="20.100000000000001" customHeight="1">
      <c r="B25" s="113"/>
      <c r="C25" s="85" t="s">
        <v>1747</v>
      </c>
      <c r="D25" s="86"/>
      <c r="E25" s="86"/>
      <c r="F25" s="132" t="s">
        <v>33</v>
      </c>
      <c r="G25" s="133"/>
      <c r="H25" s="134" t="s">
        <v>58</v>
      </c>
      <c r="I25" s="134"/>
      <c r="J25" s="135"/>
      <c r="K25" s="136" t="s">
        <v>35</v>
      </c>
      <c r="L25" s="2341"/>
      <c r="M25" s="97"/>
      <c r="N25" s="97"/>
      <c r="O25" s="97"/>
      <c r="P25" s="2172"/>
      <c r="Q25" s="2341"/>
      <c r="R25" s="97"/>
      <c r="S25" s="97"/>
      <c r="T25" s="97"/>
      <c r="U25" s="2172"/>
      <c r="V25" s="2341"/>
      <c r="W25" s="97"/>
      <c r="X25" s="97"/>
      <c r="Y25" s="97"/>
      <c r="Z25" s="2172"/>
      <c r="AA25" s="2341"/>
      <c r="AB25" s="97"/>
      <c r="AC25" s="97"/>
      <c r="AD25" s="97"/>
      <c r="AE25" s="2172"/>
      <c r="AF25" s="4490"/>
      <c r="AG25" s="138"/>
      <c r="AH25" s="138"/>
      <c r="AI25" s="4492"/>
      <c r="AJ25" s="10"/>
    </row>
    <row r="26" spans="2:36" s="139" customFormat="1" ht="20.100000000000001" customHeight="1">
      <c r="B26" s="113"/>
      <c r="C26" s="103" t="s">
        <v>61</v>
      </c>
      <c r="D26" s="104"/>
      <c r="E26" s="104"/>
      <c r="F26" s="105" t="s">
        <v>33</v>
      </c>
      <c r="G26" s="133"/>
      <c r="H26" s="140" t="s">
        <v>62</v>
      </c>
      <c r="I26" s="140"/>
      <c r="J26" s="141"/>
      <c r="K26" s="109" t="s">
        <v>35</v>
      </c>
      <c r="L26" s="2341"/>
      <c r="M26" s="97"/>
      <c r="N26" s="97"/>
      <c r="O26" s="97"/>
      <c r="P26" s="2172"/>
      <c r="Q26" s="2341"/>
      <c r="R26" s="97"/>
      <c r="S26" s="97"/>
      <c r="T26" s="97"/>
      <c r="U26" s="2172"/>
      <c r="V26" s="2341"/>
      <c r="W26" s="97"/>
      <c r="X26" s="97"/>
      <c r="Y26" s="97"/>
      <c r="Z26" s="2172"/>
      <c r="AA26" s="2341"/>
      <c r="AB26" s="97"/>
      <c r="AC26" s="97"/>
      <c r="AD26" s="97"/>
      <c r="AE26" s="2172"/>
      <c r="AF26" s="4490"/>
      <c r="AG26" s="138"/>
      <c r="AH26" s="138"/>
      <c r="AI26" s="4492"/>
      <c r="AJ26" s="10"/>
    </row>
    <row r="27" spans="2:36" s="139" customFormat="1" ht="20.100000000000001" customHeight="1">
      <c r="B27" s="113"/>
      <c r="C27" s="103" t="s">
        <v>75</v>
      </c>
      <c r="D27" s="104"/>
      <c r="E27" s="104"/>
      <c r="F27" s="105" t="s">
        <v>33</v>
      </c>
      <c r="G27" s="133"/>
      <c r="H27" s="140" t="s">
        <v>76</v>
      </c>
      <c r="I27" s="140"/>
      <c r="J27" s="141"/>
      <c r="K27" s="109" t="s">
        <v>35</v>
      </c>
      <c r="L27" s="2341"/>
      <c r="M27" s="97"/>
      <c r="N27" s="97"/>
      <c r="O27" s="97"/>
      <c r="P27" s="2172"/>
      <c r="Q27" s="2341"/>
      <c r="R27" s="97"/>
      <c r="S27" s="97"/>
      <c r="T27" s="97"/>
      <c r="U27" s="2172"/>
      <c r="V27" s="2341"/>
      <c r="W27" s="97"/>
      <c r="X27" s="97"/>
      <c r="Y27" s="97"/>
      <c r="Z27" s="2172"/>
      <c r="AA27" s="2341"/>
      <c r="AB27" s="97"/>
      <c r="AC27" s="97"/>
      <c r="AD27" s="97"/>
      <c r="AE27" s="2172"/>
      <c r="AF27" s="4490"/>
      <c r="AG27" s="138"/>
      <c r="AH27" s="138"/>
      <c r="AI27" s="4492"/>
      <c r="AJ27" s="10"/>
    </row>
    <row r="28" spans="2:36" ht="20.100000000000001" customHeight="1">
      <c r="B28" s="84"/>
      <c r="C28" s="103" t="s">
        <v>1748</v>
      </c>
      <c r="D28" s="104"/>
      <c r="E28" s="104"/>
      <c r="F28" s="105" t="s">
        <v>33</v>
      </c>
      <c r="G28" s="142"/>
      <c r="H28" s="140" t="s">
        <v>60</v>
      </c>
      <c r="I28" s="140"/>
      <c r="J28" s="141"/>
      <c r="K28" s="109" t="s">
        <v>35</v>
      </c>
      <c r="L28" s="2341"/>
      <c r="M28" s="97"/>
      <c r="N28" s="97"/>
      <c r="O28" s="97"/>
      <c r="P28" s="2172"/>
      <c r="Q28" s="2341"/>
      <c r="R28" s="97"/>
      <c r="S28" s="97"/>
      <c r="T28" s="97"/>
      <c r="U28" s="2172"/>
      <c r="V28" s="2341"/>
      <c r="W28" s="97"/>
      <c r="X28" s="97"/>
      <c r="Y28" s="97"/>
      <c r="Z28" s="2172"/>
      <c r="AA28" s="2341"/>
      <c r="AB28" s="97"/>
      <c r="AC28" s="97"/>
      <c r="AD28" s="97"/>
      <c r="AE28" s="2172"/>
      <c r="AF28" s="4490"/>
      <c r="AG28" s="138"/>
      <c r="AH28" s="138"/>
      <c r="AI28" s="4492"/>
      <c r="AJ28" s="18"/>
    </row>
    <row r="29" spans="2:36" ht="20.100000000000001" customHeight="1">
      <c r="B29" s="84"/>
      <c r="C29" s="103" t="s">
        <v>1749</v>
      </c>
      <c r="D29" s="104"/>
      <c r="E29" s="104"/>
      <c r="F29" s="105" t="s">
        <v>33</v>
      </c>
      <c r="G29" s="142"/>
      <c r="H29" s="140" t="s">
        <v>1750</v>
      </c>
      <c r="I29" s="140"/>
      <c r="J29" s="141"/>
      <c r="K29" s="109" t="s">
        <v>35</v>
      </c>
      <c r="L29" s="2341"/>
      <c r="M29" s="97"/>
      <c r="N29" s="97"/>
      <c r="O29" s="97"/>
      <c r="P29" s="2172"/>
      <c r="Q29" s="2341"/>
      <c r="R29" s="97"/>
      <c r="S29" s="97"/>
      <c r="T29" s="97"/>
      <c r="U29" s="2172"/>
      <c r="V29" s="2341"/>
      <c r="W29" s="97"/>
      <c r="X29" s="97"/>
      <c r="Y29" s="97"/>
      <c r="Z29" s="2172"/>
      <c r="AA29" s="2341"/>
      <c r="AB29" s="97"/>
      <c r="AC29" s="97"/>
      <c r="AD29" s="97"/>
      <c r="AE29" s="2172"/>
      <c r="AF29" s="4490"/>
      <c r="AG29" s="138"/>
      <c r="AH29" s="138"/>
      <c r="AI29" s="4492"/>
      <c r="AJ29" s="18"/>
    </row>
    <row r="30" spans="2:36" ht="20.100000000000001" customHeight="1">
      <c r="B30" s="113"/>
      <c r="C30" s="103" t="s">
        <v>1751</v>
      </c>
      <c r="D30" s="104"/>
      <c r="E30" s="104"/>
      <c r="F30" s="105" t="s">
        <v>33</v>
      </c>
      <c r="G30" s="142"/>
      <c r="H30" s="140" t="s">
        <v>1752</v>
      </c>
      <c r="I30" s="140"/>
      <c r="J30" s="141"/>
      <c r="K30" s="109" t="s">
        <v>35</v>
      </c>
      <c r="L30" s="2341"/>
      <c r="M30" s="97"/>
      <c r="N30" s="97"/>
      <c r="O30" s="97"/>
      <c r="P30" s="2172"/>
      <c r="Q30" s="2341"/>
      <c r="R30" s="97"/>
      <c r="S30" s="97"/>
      <c r="T30" s="97"/>
      <c r="U30" s="2172"/>
      <c r="V30" s="2341"/>
      <c r="W30" s="97"/>
      <c r="X30" s="97"/>
      <c r="Y30" s="97"/>
      <c r="Z30" s="2172"/>
      <c r="AA30" s="2341"/>
      <c r="AB30" s="97"/>
      <c r="AC30" s="97"/>
      <c r="AD30" s="97"/>
      <c r="AE30" s="2172"/>
      <c r="AF30" s="4490"/>
      <c r="AG30" s="138"/>
      <c r="AH30" s="138"/>
      <c r="AI30" s="4492"/>
      <c r="AJ30" s="18"/>
    </row>
    <row r="31" spans="2:36" ht="20.100000000000001" customHeight="1">
      <c r="B31" s="84"/>
      <c r="C31" s="103" t="s">
        <v>67</v>
      </c>
      <c r="D31" s="104"/>
      <c r="E31" s="104"/>
      <c r="F31" s="105" t="s">
        <v>33</v>
      </c>
      <c r="G31" s="142"/>
      <c r="H31" s="140" t="s">
        <v>68</v>
      </c>
      <c r="I31" s="140"/>
      <c r="J31" s="141"/>
      <c r="K31" s="109" t="s">
        <v>35</v>
      </c>
      <c r="L31" s="2341"/>
      <c r="M31" s="97"/>
      <c r="N31" s="97"/>
      <c r="O31" s="97"/>
      <c r="P31" s="2172"/>
      <c r="Q31" s="2341"/>
      <c r="R31" s="97"/>
      <c r="S31" s="97"/>
      <c r="T31" s="97"/>
      <c r="U31" s="2172"/>
      <c r="V31" s="2341"/>
      <c r="W31" s="97"/>
      <c r="X31" s="97"/>
      <c r="Y31" s="97"/>
      <c r="Z31" s="2172"/>
      <c r="AA31" s="2341"/>
      <c r="AB31" s="97"/>
      <c r="AC31" s="97"/>
      <c r="AD31" s="97"/>
      <c r="AE31" s="2172"/>
      <c r="AF31" s="4490"/>
      <c r="AG31" s="138"/>
      <c r="AH31" s="138"/>
      <c r="AI31" s="4492"/>
      <c r="AJ31" s="18"/>
    </row>
    <row r="32" spans="2:36" ht="20.100000000000001" customHeight="1">
      <c r="B32" s="84"/>
      <c r="C32" s="103" t="s">
        <v>63</v>
      </c>
      <c r="D32" s="104"/>
      <c r="E32" s="104"/>
      <c r="F32" s="105" t="s">
        <v>33</v>
      </c>
      <c r="G32" s="142"/>
      <c r="H32" s="140" t="s">
        <v>64</v>
      </c>
      <c r="I32" s="140"/>
      <c r="J32" s="141"/>
      <c r="K32" s="109" t="s">
        <v>35</v>
      </c>
      <c r="L32" s="2341"/>
      <c r="M32" s="97"/>
      <c r="N32" s="97"/>
      <c r="O32" s="97"/>
      <c r="P32" s="2172"/>
      <c r="Q32" s="2341"/>
      <c r="R32" s="97"/>
      <c r="S32" s="97"/>
      <c r="T32" s="97"/>
      <c r="U32" s="2172"/>
      <c r="V32" s="2341"/>
      <c r="W32" s="97"/>
      <c r="X32" s="97"/>
      <c r="Y32" s="97"/>
      <c r="Z32" s="2172"/>
      <c r="AA32" s="2341"/>
      <c r="AB32" s="97"/>
      <c r="AC32" s="97"/>
      <c r="AD32" s="97"/>
      <c r="AE32" s="2172"/>
      <c r="AF32" s="4490"/>
      <c r="AG32" s="138"/>
      <c r="AH32" s="138"/>
      <c r="AI32" s="4492"/>
      <c r="AJ32" s="18"/>
    </row>
    <row r="33" spans="2:36" ht="20.100000000000001" customHeight="1">
      <c r="B33" s="84"/>
      <c r="C33" s="103" t="s">
        <v>65</v>
      </c>
      <c r="D33" s="104"/>
      <c r="E33" s="104"/>
      <c r="F33" s="105" t="s">
        <v>33</v>
      </c>
      <c r="G33" s="142"/>
      <c r="H33" s="140" t="s">
        <v>66</v>
      </c>
      <c r="I33" s="140"/>
      <c r="J33" s="141"/>
      <c r="K33" s="109" t="s">
        <v>35</v>
      </c>
      <c r="L33" s="2341"/>
      <c r="M33" s="97"/>
      <c r="N33" s="97"/>
      <c r="O33" s="97"/>
      <c r="P33" s="2172"/>
      <c r="Q33" s="2341"/>
      <c r="R33" s="97"/>
      <c r="S33" s="97"/>
      <c r="T33" s="97"/>
      <c r="U33" s="2172"/>
      <c r="V33" s="2341"/>
      <c r="W33" s="97"/>
      <c r="X33" s="97"/>
      <c r="Y33" s="97"/>
      <c r="Z33" s="2172"/>
      <c r="AA33" s="2341"/>
      <c r="AB33" s="97"/>
      <c r="AC33" s="97"/>
      <c r="AD33" s="97"/>
      <c r="AE33" s="2172"/>
      <c r="AF33" s="4490"/>
      <c r="AG33" s="138"/>
      <c r="AH33" s="138"/>
      <c r="AI33" s="4492"/>
      <c r="AJ33" s="18"/>
    </row>
    <row r="34" spans="2:36" ht="20.100000000000001" customHeight="1">
      <c r="B34" s="84"/>
      <c r="C34" s="103" t="s">
        <v>69</v>
      </c>
      <c r="D34" s="104"/>
      <c r="E34" s="104"/>
      <c r="F34" s="105" t="s">
        <v>33</v>
      </c>
      <c r="G34" s="142"/>
      <c r="H34" s="143" t="s">
        <v>70</v>
      </c>
      <c r="I34" s="143"/>
      <c r="J34" s="144"/>
      <c r="K34" s="109" t="s">
        <v>35</v>
      </c>
      <c r="L34" s="2341"/>
      <c r="M34" s="97"/>
      <c r="N34" s="97"/>
      <c r="O34" s="97"/>
      <c r="P34" s="2172"/>
      <c r="Q34" s="2341"/>
      <c r="R34" s="97"/>
      <c r="S34" s="97"/>
      <c r="T34" s="97"/>
      <c r="U34" s="2172"/>
      <c r="V34" s="2341"/>
      <c r="W34" s="97"/>
      <c r="X34" s="97"/>
      <c r="Y34" s="97"/>
      <c r="Z34" s="2172"/>
      <c r="AA34" s="2341"/>
      <c r="AB34" s="97"/>
      <c r="AC34" s="97"/>
      <c r="AD34" s="97"/>
      <c r="AE34" s="2172"/>
      <c r="AF34" s="4490"/>
      <c r="AG34" s="138"/>
      <c r="AH34" s="138"/>
      <c r="AI34" s="4492"/>
      <c r="AJ34" s="18"/>
    </row>
    <row r="35" spans="2:36" ht="20.100000000000001" customHeight="1">
      <c r="B35" s="84"/>
      <c r="C35" s="103" t="s">
        <v>71</v>
      </c>
      <c r="D35" s="104"/>
      <c r="E35" s="104"/>
      <c r="F35" s="132" t="s">
        <v>33</v>
      </c>
      <c r="G35" s="142"/>
      <c r="H35" s="143" t="s">
        <v>72</v>
      </c>
      <c r="I35" s="143"/>
      <c r="J35" s="144"/>
      <c r="K35" s="136" t="s">
        <v>35</v>
      </c>
      <c r="L35" s="2341"/>
      <c r="M35" s="97"/>
      <c r="N35" s="97"/>
      <c r="O35" s="97"/>
      <c r="P35" s="2172"/>
      <c r="Q35" s="2341"/>
      <c r="R35" s="97"/>
      <c r="S35" s="97"/>
      <c r="T35" s="97"/>
      <c r="U35" s="2172"/>
      <c r="V35" s="2341"/>
      <c r="W35" s="97"/>
      <c r="X35" s="97"/>
      <c r="Y35" s="97"/>
      <c r="Z35" s="2172"/>
      <c r="AA35" s="2341"/>
      <c r="AB35" s="97"/>
      <c r="AC35" s="97"/>
      <c r="AD35" s="97"/>
      <c r="AE35" s="2172"/>
      <c r="AF35" s="4490"/>
      <c r="AG35" s="138"/>
      <c r="AH35" s="138"/>
      <c r="AI35" s="4492"/>
      <c r="AJ35" s="18"/>
    </row>
    <row r="36" spans="2:36" ht="20.100000000000001" customHeight="1">
      <c r="B36" s="113"/>
      <c r="C36" s="103" t="s">
        <v>102</v>
      </c>
      <c r="D36" s="104"/>
      <c r="E36" s="104"/>
      <c r="F36" s="105" t="s">
        <v>33</v>
      </c>
      <c r="G36" s="142"/>
      <c r="H36" s="143" t="s">
        <v>74</v>
      </c>
      <c r="I36" s="143"/>
      <c r="J36" s="144"/>
      <c r="K36" s="109" t="s">
        <v>35</v>
      </c>
      <c r="L36" s="2341"/>
      <c r="M36" s="97"/>
      <c r="N36" s="97"/>
      <c r="O36" s="97"/>
      <c r="P36" s="2172"/>
      <c r="Q36" s="2341"/>
      <c r="R36" s="97"/>
      <c r="S36" s="97"/>
      <c r="T36" s="97"/>
      <c r="U36" s="2172"/>
      <c r="V36" s="2341"/>
      <c r="W36" s="97"/>
      <c r="X36" s="97"/>
      <c r="Y36" s="97"/>
      <c r="Z36" s="2172"/>
      <c r="AA36" s="2341"/>
      <c r="AB36" s="97"/>
      <c r="AC36" s="97"/>
      <c r="AD36" s="97"/>
      <c r="AE36" s="2172"/>
      <c r="AF36" s="4490"/>
      <c r="AG36" s="138"/>
      <c r="AH36" s="138"/>
      <c r="AI36" s="4492"/>
      <c r="AJ36" s="18"/>
    </row>
    <row r="37" spans="2:36" ht="20.100000000000001" customHeight="1">
      <c r="B37" s="84"/>
      <c r="C37" s="103" t="s">
        <v>77</v>
      </c>
      <c r="D37" s="104"/>
      <c r="E37" s="104"/>
      <c r="F37" s="105" t="s">
        <v>33</v>
      </c>
      <c r="G37" s="142"/>
      <c r="H37" s="143" t="s">
        <v>78</v>
      </c>
      <c r="I37" s="143"/>
      <c r="J37" s="144"/>
      <c r="K37" s="109" t="s">
        <v>35</v>
      </c>
      <c r="L37" s="2341"/>
      <c r="M37" s="97"/>
      <c r="N37" s="97"/>
      <c r="O37" s="97"/>
      <c r="P37" s="2172"/>
      <c r="Q37" s="2341"/>
      <c r="R37" s="97"/>
      <c r="S37" s="97"/>
      <c r="T37" s="97"/>
      <c r="U37" s="2172"/>
      <c r="V37" s="2341"/>
      <c r="W37" s="97"/>
      <c r="X37" s="97"/>
      <c r="Y37" s="97"/>
      <c r="Z37" s="2172"/>
      <c r="AA37" s="2341"/>
      <c r="AB37" s="97"/>
      <c r="AC37" s="97"/>
      <c r="AD37" s="97"/>
      <c r="AE37" s="2172"/>
      <c r="AF37" s="4490"/>
      <c r="AG37" s="138"/>
      <c r="AH37" s="138"/>
      <c r="AI37" s="4492"/>
      <c r="AJ37" s="18"/>
    </row>
    <row r="38" spans="2:36" ht="20.100000000000001" customHeight="1" thickBot="1">
      <c r="B38" s="84"/>
      <c r="C38" s="117" t="s">
        <v>79</v>
      </c>
      <c r="D38" s="118"/>
      <c r="E38" s="118"/>
      <c r="F38" s="105" t="s">
        <v>33</v>
      </c>
      <c r="G38" s="142"/>
      <c r="H38" s="145" t="s">
        <v>80</v>
      </c>
      <c r="I38" s="145"/>
      <c r="J38" s="146"/>
      <c r="K38" s="109" t="s">
        <v>35</v>
      </c>
      <c r="L38" s="2341"/>
      <c r="M38" s="97"/>
      <c r="N38" s="97"/>
      <c r="O38" s="97"/>
      <c r="P38" s="2172"/>
      <c r="Q38" s="2341"/>
      <c r="R38" s="97"/>
      <c r="S38" s="97"/>
      <c r="T38" s="97"/>
      <c r="U38" s="2172"/>
      <c r="V38" s="2341"/>
      <c r="W38" s="97"/>
      <c r="X38" s="97"/>
      <c r="Y38" s="97"/>
      <c r="Z38" s="2172"/>
      <c r="AA38" s="2341"/>
      <c r="AB38" s="97"/>
      <c r="AC38" s="97"/>
      <c r="AD38" s="97"/>
      <c r="AE38" s="2172"/>
      <c r="AF38" s="4490"/>
      <c r="AG38" s="138"/>
      <c r="AH38" s="138"/>
      <c r="AI38" s="4492"/>
      <c r="AJ38" s="18"/>
    </row>
    <row r="39" spans="2:36" ht="27" thickBot="1">
      <c r="B39" s="123" t="s">
        <v>81</v>
      </c>
      <c r="C39" s="124"/>
      <c r="D39" s="124"/>
      <c r="E39" s="124"/>
      <c r="F39" s="78"/>
      <c r="G39" s="125" t="s">
        <v>82</v>
      </c>
      <c r="H39" s="126"/>
      <c r="I39" s="126"/>
      <c r="J39" s="126"/>
      <c r="K39" s="78"/>
      <c r="L39" s="2175"/>
      <c r="M39" s="148"/>
      <c r="N39" s="148"/>
      <c r="O39" s="148"/>
      <c r="P39" s="2176"/>
      <c r="Q39" s="2175"/>
      <c r="R39" s="148"/>
      <c r="S39" s="148"/>
      <c r="T39" s="148"/>
      <c r="U39" s="2176"/>
      <c r="V39" s="2175"/>
      <c r="W39" s="148"/>
      <c r="X39" s="148"/>
      <c r="Y39" s="148"/>
      <c r="Z39" s="2176"/>
      <c r="AA39" s="2175"/>
      <c r="AB39" s="148"/>
      <c r="AC39" s="148"/>
      <c r="AD39" s="148"/>
      <c r="AE39" s="2176"/>
      <c r="AF39" s="4493"/>
      <c r="AG39" s="129"/>
      <c r="AH39" s="129"/>
      <c r="AI39" s="1953"/>
      <c r="AJ39" s="18"/>
    </row>
    <row r="40" spans="2:36" ht="20.100000000000001" customHeight="1">
      <c r="B40" s="84"/>
      <c r="C40" s="85" t="s">
        <v>32</v>
      </c>
      <c r="D40" s="86"/>
      <c r="E40" s="86"/>
      <c r="F40" s="105" t="s">
        <v>33</v>
      </c>
      <c r="G40" s="142"/>
      <c r="H40" s="104" t="s">
        <v>83</v>
      </c>
      <c r="I40" s="104"/>
      <c r="J40" s="104"/>
      <c r="K40" s="109" t="s">
        <v>35</v>
      </c>
      <c r="L40" s="2182"/>
      <c r="M40" s="93"/>
      <c r="N40" s="153"/>
      <c r="O40" s="93"/>
      <c r="P40" s="2183"/>
      <c r="Q40" s="2182"/>
      <c r="R40" s="93"/>
      <c r="S40" s="153"/>
      <c r="T40" s="93"/>
      <c r="U40" s="2183"/>
      <c r="V40" s="2182"/>
      <c r="W40" s="93"/>
      <c r="X40" s="153"/>
      <c r="Y40" s="93"/>
      <c r="Z40" s="2183"/>
      <c r="AA40" s="2182"/>
      <c r="AB40" s="93"/>
      <c r="AC40" s="153"/>
      <c r="AD40" s="93"/>
      <c r="AE40" s="2183"/>
      <c r="AF40" s="4490"/>
      <c r="AG40" s="138"/>
      <c r="AH40" s="138"/>
      <c r="AI40" s="4492"/>
      <c r="AJ40" s="18"/>
    </row>
    <row r="41" spans="2:36" ht="20.100000000000001" customHeight="1">
      <c r="B41" s="84"/>
      <c r="C41" s="103" t="s">
        <v>38</v>
      </c>
      <c r="D41" s="104"/>
      <c r="E41" s="104"/>
      <c r="F41" s="105" t="s">
        <v>33</v>
      </c>
      <c r="G41" s="142"/>
      <c r="H41" s="104" t="s">
        <v>84</v>
      </c>
      <c r="I41" s="104"/>
      <c r="J41" s="104"/>
      <c r="K41" s="109" t="s">
        <v>35</v>
      </c>
      <c r="L41" s="2182"/>
      <c r="M41" s="93"/>
      <c r="N41" s="153"/>
      <c r="O41" s="93"/>
      <c r="P41" s="2183"/>
      <c r="Q41" s="2182"/>
      <c r="R41" s="93"/>
      <c r="S41" s="153"/>
      <c r="T41" s="93"/>
      <c r="U41" s="2183"/>
      <c r="V41" s="2182"/>
      <c r="W41" s="93"/>
      <c r="X41" s="153"/>
      <c r="Y41" s="93"/>
      <c r="Z41" s="2183"/>
      <c r="AA41" s="2182"/>
      <c r="AB41" s="93"/>
      <c r="AC41" s="153"/>
      <c r="AD41" s="93"/>
      <c r="AE41" s="2183"/>
      <c r="AF41" s="4490"/>
      <c r="AG41" s="138"/>
      <c r="AH41" s="138"/>
      <c r="AI41" s="4492"/>
      <c r="AJ41" s="18"/>
    </row>
    <row r="42" spans="2:36" ht="20.100000000000001" customHeight="1">
      <c r="B42" s="113"/>
      <c r="C42" s="103" t="s">
        <v>40</v>
      </c>
      <c r="D42" s="104"/>
      <c r="E42" s="104"/>
      <c r="F42" s="105" t="s">
        <v>33</v>
      </c>
      <c r="G42" s="142"/>
      <c r="H42" s="104" t="s">
        <v>85</v>
      </c>
      <c r="I42" s="104"/>
      <c r="J42" s="104"/>
      <c r="K42" s="109" t="s">
        <v>35</v>
      </c>
      <c r="L42" s="2182"/>
      <c r="M42" s="93"/>
      <c r="N42" s="153"/>
      <c r="O42" s="93"/>
      <c r="P42" s="2183"/>
      <c r="Q42" s="2182"/>
      <c r="R42" s="93"/>
      <c r="S42" s="153"/>
      <c r="T42" s="93"/>
      <c r="U42" s="2183"/>
      <c r="V42" s="2182"/>
      <c r="W42" s="93"/>
      <c r="X42" s="153"/>
      <c r="Y42" s="93"/>
      <c r="Z42" s="2183"/>
      <c r="AA42" s="2182"/>
      <c r="AB42" s="93"/>
      <c r="AC42" s="153"/>
      <c r="AD42" s="93"/>
      <c r="AE42" s="2183"/>
      <c r="AF42" s="4490"/>
      <c r="AG42" s="138"/>
      <c r="AH42" s="138"/>
      <c r="AI42" s="4492"/>
      <c r="AJ42" s="18"/>
    </row>
    <row r="43" spans="2:36" ht="20.100000000000001" customHeight="1">
      <c r="B43" s="84"/>
      <c r="C43" s="103" t="s">
        <v>43</v>
      </c>
      <c r="D43" s="104"/>
      <c r="E43" s="104"/>
      <c r="F43" s="105" t="s">
        <v>33</v>
      </c>
      <c r="G43" s="142"/>
      <c r="H43" s="104" t="s">
        <v>86</v>
      </c>
      <c r="I43" s="104"/>
      <c r="J43" s="104"/>
      <c r="K43" s="109" t="s">
        <v>35</v>
      </c>
      <c r="L43" s="2182"/>
      <c r="M43" s="93"/>
      <c r="N43" s="153"/>
      <c r="O43" s="93"/>
      <c r="P43" s="2183"/>
      <c r="Q43" s="2182"/>
      <c r="R43" s="93"/>
      <c r="S43" s="153"/>
      <c r="T43" s="93"/>
      <c r="U43" s="2183"/>
      <c r="V43" s="2182"/>
      <c r="W43" s="93"/>
      <c r="X43" s="153"/>
      <c r="Y43" s="93"/>
      <c r="Z43" s="2183"/>
      <c r="AA43" s="2182"/>
      <c r="AB43" s="93"/>
      <c r="AC43" s="153"/>
      <c r="AD43" s="93"/>
      <c r="AE43" s="2183"/>
      <c r="AF43" s="4490"/>
      <c r="AG43" s="138"/>
      <c r="AH43" s="138"/>
      <c r="AI43" s="4492"/>
      <c r="AJ43" s="18"/>
    </row>
    <row r="44" spans="2:36" ht="20.100000000000001" customHeight="1">
      <c r="B44" s="84"/>
      <c r="C44" s="103" t="s">
        <v>45</v>
      </c>
      <c r="D44" s="104"/>
      <c r="E44" s="104"/>
      <c r="F44" s="105" t="s">
        <v>33</v>
      </c>
      <c r="G44" s="142"/>
      <c r="H44" s="104" t="s">
        <v>87</v>
      </c>
      <c r="I44" s="104"/>
      <c r="J44" s="104"/>
      <c r="K44" s="109" t="s">
        <v>35</v>
      </c>
      <c r="L44" s="2182"/>
      <c r="M44" s="93"/>
      <c r="N44" s="153"/>
      <c r="O44" s="93"/>
      <c r="P44" s="2183"/>
      <c r="Q44" s="2182"/>
      <c r="R44" s="93"/>
      <c r="S44" s="153"/>
      <c r="T44" s="93"/>
      <c r="U44" s="2183"/>
      <c r="V44" s="2182"/>
      <c r="W44" s="93"/>
      <c r="X44" s="153"/>
      <c r="Y44" s="93"/>
      <c r="Z44" s="2183"/>
      <c r="AA44" s="2182"/>
      <c r="AB44" s="93"/>
      <c r="AC44" s="153"/>
      <c r="AD44" s="93"/>
      <c r="AE44" s="2183"/>
      <c r="AF44" s="4490"/>
      <c r="AG44" s="138"/>
      <c r="AH44" s="138"/>
      <c r="AI44" s="4492"/>
      <c r="AJ44" s="18"/>
    </row>
    <row r="45" spans="2:36" ht="20.100000000000001" customHeight="1">
      <c r="B45" s="113"/>
      <c r="C45" s="103" t="s">
        <v>47</v>
      </c>
      <c r="D45" s="104"/>
      <c r="E45" s="104"/>
      <c r="F45" s="132" t="s">
        <v>33</v>
      </c>
      <c r="G45" s="106"/>
      <c r="H45" s="104" t="s">
        <v>88</v>
      </c>
      <c r="I45" s="104"/>
      <c r="J45" s="104"/>
      <c r="K45" s="136" t="s">
        <v>35</v>
      </c>
      <c r="L45" s="2182"/>
      <c r="M45" s="93"/>
      <c r="N45" s="153"/>
      <c r="O45" s="93"/>
      <c r="P45" s="2183"/>
      <c r="Q45" s="2182"/>
      <c r="R45" s="93"/>
      <c r="S45" s="153"/>
      <c r="T45" s="93"/>
      <c r="U45" s="2183"/>
      <c r="V45" s="2182"/>
      <c r="W45" s="93"/>
      <c r="X45" s="153"/>
      <c r="Y45" s="93"/>
      <c r="Z45" s="2183"/>
      <c r="AA45" s="2182"/>
      <c r="AB45" s="93"/>
      <c r="AC45" s="153"/>
      <c r="AD45" s="93"/>
      <c r="AE45" s="2183"/>
      <c r="AF45" s="4490"/>
      <c r="AG45" s="138"/>
      <c r="AH45" s="138"/>
      <c r="AI45" s="4492"/>
      <c r="AJ45" s="18"/>
    </row>
    <row r="46" spans="2:36" ht="20.100000000000001" customHeight="1">
      <c r="B46" s="113"/>
      <c r="C46" s="103" t="s">
        <v>51</v>
      </c>
      <c r="D46" s="104"/>
      <c r="E46" s="104"/>
      <c r="F46" s="105" t="s">
        <v>33</v>
      </c>
      <c r="G46" s="106"/>
      <c r="H46" s="104" t="s">
        <v>89</v>
      </c>
      <c r="I46" s="104"/>
      <c r="J46" s="104"/>
      <c r="K46" s="109" t="s">
        <v>35</v>
      </c>
      <c r="L46" s="2182"/>
      <c r="M46" s="93"/>
      <c r="N46" s="153"/>
      <c r="O46" s="93"/>
      <c r="P46" s="2183"/>
      <c r="Q46" s="2182"/>
      <c r="R46" s="93"/>
      <c r="S46" s="153"/>
      <c r="T46" s="93"/>
      <c r="U46" s="2183"/>
      <c r="V46" s="2182"/>
      <c r="W46" s="93"/>
      <c r="X46" s="153"/>
      <c r="Y46" s="93"/>
      <c r="Z46" s="2183"/>
      <c r="AA46" s="2182"/>
      <c r="AB46" s="93"/>
      <c r="AC46" s="153"/>
      <c r="AD46" s="93"/>
      <c r="AE46" s="2183"/>
      <c r="AF46" s="4490"/>
      <c r="AG46" s="138"/>
      <c r="AH46" s="138"/>
      <c r="AI46" s="4492"/>
      <c r="AJ46" s="18"/>
    </row>
    <row r="47" spans="2:36" ht="20.100000000000001" customHeight="1" thickBot="1">
      <c r="B47" s="84"/>
      <c r="C47" s="117" t="s">
        <v>53</v>
      </c>
      <c r="D47" s="118"/>
      <c r="E47" s="118"/>
      <c r="F47" s="105" t="s">
        <v>33</v>
      </c>
      <c r="G47" s="106"/>
      <c r="H47" s="104" t="s">
        <v>90</v>
      </c>
      <c r="I47" s="104"/>
      <c r="J47" s="104"/>
      <c r="K47" s="109" t="s">
        <v>35</v>
      </c>
      <c r="L47" s="2182"/>
      <c r="M47" s="93"/>
      <c r="N47" s="153"/>
      <c r="O47" s="93"/>
      <c r="P47" s="2183"/>
      <c r="Q47" s="2182"/>
      <c r="R47" s="93"/>
      <c r="S47" s="153"/>
      <c r="T47" s="93"/>
      <c r="U47" s="2183"/>
      <c r="V47" s="2182"/>
      <c r="W47" s="93"/>
      <c r="X47" s="153"/>
      <c r="Y47" s="93"/>
      <c r="Z47" s="2183"/>
      <c r="AA47" s="2182"/>
      <c r="AB47" s="93"/>
      <c r="AC47" s="153"/>
      <c r="AD47" s="93"/>
      <c r="AE47" s="2183"/>
      <c r="AF47" s="4490"/>
      <c r="AG47" s="138"/>
      <c r="AH47" s="138"/>
      <c r="AI47" s="4492"/>
      <c r="AJ47" s="18"/>
    </row>
    <row r="48" spans="2:36" ht="27" thickBot="1">
      <c r="B48" s="123" t="s">
        <v>91</v>
      </c>
      <c r="C48" s="124"/>
      <c r="D48" s="124"/>
      <c r="E48" s="124"/>
      <c r="F48" s="78"/>
      <c r="G48" s="155" t="s">
        <v>1753</v>
      </c>
      <c r="H48" s="126"/>
      <c r="I48" s="126"/>
      <c r="J48" s="126"/>
      <c r="K48" s="78"/>
      <c r="L48" s="2173"/>
      <c r="M48" s="128"/>
      <c r="N48" s="128"/>
      <c r="O48" s="128"/>
      <c r="P48" s="2174"/>
      <c r="Q48" s="2173"/>
      <c r="R48" s="128"/>
      <c r="S48" s="128"/>
      <c r="T48" s="128"/>
      <c r="U48" s="2174"/>
      <c r="V48" s="2173"/>
      <c r="W48" s="128"/>
      <c r="X48" s="128"/>
      <c r="Y48" s="128"/>
      <c r="Z48" s="2174"/>
      <c r="AA48" s="2173"/>
      <c r="AB48" s="128"/>
      <c r="AC48" s="128"/>
      <c r="AD48" s="128"/>
      <c r="AE48" s="2174"/>
      <c r="AF48" s="4493"/>
      <c r="AG48" s="129"/>
      <c r="AH48" s="129"/>
      <c r="AI48" s="1953"/>
      <c r="AJ48" s="18"/>
    </row>
    <row r="49" spans="2:36" ht="20.100000000000001" customHeight="1">
      <c r="B49" s="113"/>
      <c r="C49" s="85" t="s">
        <v>1747</v>
      </c>
      <c r="D49" s="86"/>
      <c r="E49" s="86"/>
      <c r="F49" s="105" t="s">
        <v>33</v>
      </c>
      <c r="G49" s="106"/>
      <c r="H49" s="104" t="s">
        <v>93</v>
      </c>
      <c r="I49" s="104"/>
      <c r="J49" s="104"/>
      <c r="K49" s="109" t="s">
        <v>35</v>
      </c>
      <c r="L49" s="2182"/>
      <c r="M49" s="93"/>
      <c r="N49" s="153"/>
      <c r="O49" s="93"/>
      <c r="P49" s="2183"/>
      <c r="Q49" s="2182"/>
      <c r="R49" s="93"/>
      <c r="S49" s="153"/>
      <c r="T49" s="93"/>
      <c r="U49" s="2183"/>
      <c r="V49" s="2182"/>
      <c r="W49" s="93"/>
      <c r="X49" s="153"/>
      <c r="Y49" s="93"/>
      <c r="Z49" s="2183"/>
      <c r="AA49" s="2182"/>
      <c r="AB49" s="93"/>
      <c r="AC49" s="153"/>
      <c r="AD49" s="93"/>
      <c r="AE49" s="2183"/>
      <c r="AF49" s="4490"/>
      <c r="AG49" s="138"/>
      <c r="AH49" s="138"/>
      <c r="AI49" s="4494"/>
      <c r="AJ49" s="18"/>
    </row>
    <row r="50" spans="2:36" ht="20.100000000000001" customHeight="1">
      <c r="B50" s="84"/>
      <c r="C50" s="103" t="s">
        <v>1748</v>
      </c>
      <c r="D50" s="104"/>
      <c r="E50" s="104"/>
      <c r="F50" s="105" t="s">
        <v>33</v>
      </c>
      <c r="G50" s="106"/>
      <c r="H50" s="104" t="s">
        <v>95</v>
      </c>
      <c r="I50" s="104"/>
      <c r="J50" s="104"/>
      <c r="K50" s="109" t="s">
        <v>35</v>
      </c>
      <c r="L50" s="2182"/>
      <c r="M50" s="93"/>
      <c r="N50" s="153"/>
      <c r="O50" s="93"/>
      <c r="P50" s="2183"/>
      <c r="Q50" s="2182"/>
      <c r="R50" s="93"/>
      <c r="S50" s="153"/>
      <c r="T50" s="93"/>
      <c r="U50" s="2183"/>
      <c r="V50" s="2182"/>
      <c r="W50" s="93"/>
      <c r="X50" s="153"/>
      <c r="Y50" s="93"/>
      <c r="Z50" s="2183"/>
      <c r="AA50" s="2182"/>
      <c r="AB50" s="93"/>
      <c r="AC50" s="153"/>
      <c r="AD50" s="93"/>
      <c r="AE50" s="2183"/>
      <c r="AF50" s="4490"/>
      <c r="AG50" s="138"/>
      <c r="AH50" s="138"/>
      <c r="AI50" s="4494"/>
      <c r="AJ50" s="18"/>
    </row>
    <row r="51" spans="2:36" ht="20.100000000000001" customHeight="1">
      <c r="B51" s="113"/>
      <c r="C51" s="103" t="s">
        <v>1749</v>
      </c>
      <c r="D51" s="104"/>
      <c r="E51" s="104"/>
      <c r="F51" s="105" t="s">
        <v>33</v>
      </c>
      <c r="G51" s="106"/>
      <c r="H51" s="104" t="s">
        <v>1754</v>
      </c>
      <c r="I51" s="104"/>
      <c r="J51" s="104"/>
      <c r="K51" s="109" t="s">
        <v>35</v>
      </c>
      <c r="L51" s="2182"/>
      <c r="M51" s="93"/>
      <c r="N51" s="153"/>
      <c r="O51" s="93"/>
      <c r="P51" s="2183"/>
      <c r="Q51" s="2182"/>
      <c r="R51" s="93"/>
      <c r="S51" s="153"/>
      <c r="T51" s="93"/>
      <c r="U51" s="2183"/>
      <c r="V51" s="2182"/>
      <c r="W51" s="93"/>
      <c r="X51" s="153"/>
      <c r="Y51" s="93"/>
      <c r="Z51" s="2183"/>
      <c r="AA51" s="2182"/>
      <c r="AB51" s="93"/>
      <c r="AC51" s="153"/>
      <c r="AD51" s="93"/>
      <c r="AE51" s="2183"/>
      <c r="AF51" s="4490"/>
      <c r="AG51" s="138"/>
      <c r="AH51" s="138"/>
      <c r="AI51" s="4494"/>
      <c r="AJ51" s="18"/>
    </row>
    <row r="52" spans="2:36" ht="20.100000000000001" customHeight="1">
      <c r="B52" s="113"/>
      <c r="C52" s="103" t="s">
        <v>1751</v>
      </c>
      <c r="D52" s="104"/>
      <c r="E52" s="104"/>
      <c r="F52" s="105" t="s">
        <v>33</v>
      </c>
      <c r="G52" s="106"/>
      <c r="H52" s="104" t="s">
        <v>1755</v>
      </c>
      <c r="I52" s="104"/>
      <c r="J52" s="104"/>
      <c r="K52" s="109" t="s">
        <v>35</v>
      </c>
      <c r="L52" s="2182"/>
      <c r="M52" s="93"/>
      <c r="N52" s="153"/>
      <c r="O52" s="93"/>
      <c r="P52" s="2183"/>
      <c r="Q52" s="2182"/>
      <c r="R52" s="93"/>
      <c r="S52" s="153"/>
      <c r="T52" s="93"/>
      <c r="U52" s="2183"/>
      <c r="V52" s="2182"/>
      <c r="W52" s="93"/>
      <c r="X52" s="153"/>
      <c r="Y52" s="93"/>
      <c r="Z52" s="2183"/>
      <c r="AA52" s="2182"/>
      <c r="AB52" s="93"/>
      <c r="AC52" s="153"/>
      <c r="AD52" s="93"/>
      <c r="AE52" s="2183"/>
      <c r="AF52" s="4490"/>
      <c r="AG52" s="138"/>
      <c r="AH52" s="138"/>
      <c r="AI52" s="4494"/>
      <c r="AJ52" s="18"/>
    </row>
    <row r="53" spans="2:36" ht="20.100000000000001" customHeight="1">
      <c r="B53" s="113"/>
      <c r="C53" s="103" t="s">
        <v>96</v>
      </c>
      <c r="D53" s="104"/>
      <c r="E53" s="104"/>
      <c r="F53" s="105" t="s">
        <v>33</v>
      </c>
      <c r="G53" s="106"/>
      <c r="H53" s="104" t="s">
        <v>97</v>
      </c>
      <c r="I53" s="104"/>
      <c r="J53" s="104"/>
      <c r="K53" s="109" t="s">
        <v>35</v>
      </c>
      <c r="L53" s="2182"/>
      <c r="M53" s="93"/>
      <c r="N53" s="153"/>
      <c r="O53" s="93"/>
      <c r="P53" s="2183"/>
      <c r="Q53" s="2182"/>
      <c r="R53" s="93"/>
      <c r="S53" s="153"/>
      <c r="T53" s="93"/>
      <c r="U53" s="2183"/>
      <c r="V53" s="2182"/>
      <c r="W53" s="93"/>
      <c r="X53" s="153"/>
      <c r="Y53" s="93"/>
      <c r="Z53" s="2183"/>
      <c r="AA53" s="2182"/>
      <c r="AB53" s="93"/>
      <c r="AC53" s="153"/>
      <c r="AD53" s="93"/>
      <c r="AE53" s="2183"/>
      <c r="AF53" s="4490"/>
      <c r="AG53" s="138"/>
      <c r="AH53" s="138"/>
      <c r="AI53" s="4494"/>
      <c r="AJ53" s="18"/>
    </row>
    <row r="54" spans="2:36" ht="20.100000000000001" customHeight="1">
      <c r="B54" s="113"/>
      <c r="C54" s="103" t="s">
        <v>67</v>
      </c>
      <c r="D54" s="104"/>
      <c r="E54" s="104"/>
      <c r="F54" s="105" t="s">
        <v>33</v>
      </c>
      <c r="G54" s="106"/>
      <c r="H54" s="104" t="s">
        <v>98</v>
      </c>
      <c r="I54" s="104"/>
      <c r="J54" s="104"/>
      <c r="K54" s="109" t="s">
        <v>35</v>
      </c>
      <c r="L54" s="2182"/>
      <c r="M54" s="93"/>
      <c r="N54" s="153"/>
      <c r="O54" s="93"/>
      <c r="P54" s="2183"/>
      <c r="Q54" s="2182"/>
      <c r="R54" s="93"/>
      <c r="S54" s="153"/>
      <c r="T54" s="93"/>
      <c r="U54" s="2183"/>
      <c r="V54" s="2182"/>
      <c r="W54" s="93"/>
      <c r="X54" s="153"/>
      <c r="Y54" s="93"/>
      <c r="Z54" s="2183"/>
      <c r="AA54" s="2182"/>
      <c r="AB54" s="93"/>
      <c r="AC54" s="153"/>
      <c r="AD54" s="93"/>
      <c r="AE54" s="2183"/>
      <c r="AF54" s="4490"/>
      <c r="AG54" s="138"/>
      <c r="AH54" s="138"/>
      <c r="AI54" s="4494"/>
      <c r="AJ54" s="18"/>
    </row>
    <row r="55" spans="2:36" ht="20.100000000000001" customHeight="1">
      <c r="B55" s="84"/>
      <c r="C55" s="103" t="s">
        <v>63</v>
      </c>
      <c r="D55" s="104"/>
      <c r="E55" s="104"/>
      <c r="F55" s="105" t="s">
        <v>33</v>
      </c>
      <c r="G55" s="106"/>
      <c r="H55" s="104" t="s">
        <v>99</v>
      </c>
      <c r="I55" s="104"/>
      <c r="J55" s="104"/>
      <c r="K55" s="109" t="s">
        <v>35</v>
      </c>
      <c r="L55" s="2182"/>
      <c r="M55" s="93"/>
      <c r="N55" s="153"/>
      <c r="O55" s="93"/>
      <c r="P55" s="2183"/>
      <c r="Q55" s="2182"/>
      <c r="R55" s="93"/>
      <c r="S55" s="153"/>
      <c r="T55" s="93"/>
      <c r="U55" s="2183"/>
      <c r="V55" s="2182"/>
      <c r="W55" s="93"/>
      <c r="X55" s="153"/>
      <c r="Y55" s="93"/>
      <c r="Z55" s="2183"/>
      <c r="AA55" s="2182"/>
      <c r="AB55" s="93"/>
      <c r="AC55" s="153"/>
      <c r="AD55" s="93"/>
      <c r="AE55" s="2183"/>
      <c r="AF55" s="4490"/>
      <c r="AG55" s="138"/>
      <c r="AH55" s="138"/>
      <c r="AI55" s="4494"/>
      <c r="AJ55" s="18"/>
    </row>
    <row r="56" spans="2:36" ht="20.100000000000001" customHeight="1">
      <c r="B56" s="84"/>
      <c r="C56" s="103" t="s">
        <v>65</v>
      </c>
      <c r="D56" s="104"/>
      <c r="E56" s="104"/>
      <c r="F56" s="105" t="s">
        <v>33</v>
      </c>
      <c r="G56" s="106"/>
      <c r="H56" s="104" t="s">
        <v>100</v>
      </c>
      <c r="I56" s="104"/>
      <c r="J56" s="104"/>
      <c r="K56" s="109" t="s">
        <v>35</v>
      </c>
      <c r="L56" s="2182"/>
      <c r="M56" s="93"/>
      <c r="N56" s="153"/>
      <c r="O56" s="93"/>
      <c r="P56" s="2183"/>
      <c r="Q56" s="2182"/>
      <c r="R56" s="93"/>
      <c r="S56" s="153"/>
      <c r="T56" s="93"/>
      <c r="U56" s="2183"/>
      <c r="V56" s="2182"/>
      <c r="W56" s="93"/>
      <c r="X56" s="153"/>
      <c r="Y56" s="93"/>
      <c r="Z56" s="2183"/>
      <c r="AA56" s="2182"/>
      <c r="AB56" s="93"/>
      <c r="AC56" s="153"/>
      <c r="AD56" s="93"/>
      <c r="AE56" s="2183"/>
      <c r="AF56" s="4490"/>
      <c r="AG56" s="138"/>
      <c r="AH56" s="138"/>
      <c r="AI56" s="4494"/>
      <c r="AJ56" s="18"/>
    </row>
    <row r="57" spans="2:36" ht="20.100000000000001" customHeight="1">
      <c r="B57" s="113"/>
      <c r="C57" s="103" t="s">
        <v>71</v>
      </c>
      <c r="D57" s="104"/>
      <c r="E57" s="104"/>
      <c r="F57" s="105" t="s">
        <v>33</v>
      </c>
      <c r="G57" s="106"/>
      <c r="H57" s="104" t="s">
        <v>101</v>
      </c>
      <c r="I57" s="104"/>
      <c r="J57" s="104"/>
      <c r="K57" s="109" t="s">
        <v>35</v>
      </c>
      <c r="L57" s="2182"/>
      <c r="M57" s="93"/>
      <c r="N57" s="153"/>
      <c r="O57" s="93"/>
      <c r="P57" s="2183"/>
      <c r="Q57" s="2182"/>
      <c r="R57" s="93"/>
      <c r="S57" s="153"/>
      <c r="T57" s="93"/>
      <c r="U57" s="2183"/>
      <c r="V57" s="2182"/>
      <c r="W57" s="93"/>
      <c r="X57" s="153"/>
      <c r="Y57" s="93"/>
      <c r="Z57" s="2183"/>
      <c r="AA57" s="2182"/>
      <c r="AB57" s="93"/>
      <c r="AC57" s="153"/>
      <c r="AD57" s="93"/>
      <c r="AE57" s="2183"/>
      <c r="AF57" s="4490"/>
      <c r="AG57" s="138"/>
      <c r="AH57" s="138"/>
      <c r="AI57" s="4494"/>
      <c r="AJ57" s="18"/>
    </row>
    <row r="58" spans="2:36" ht="20.100000000000001" customHeight="1">
      <c r="B58" s="113"/>
      <c r="C58" s="160" t="s">
        <v>102</v>
      </c>
      <c r="D58" s="161"/>
      <c r="E58" s="161"/>
      <c r="F58" s="105" t="s">
        <v>33</v>
      </c>
      <c r="G58" s="106"/>
      <c r="H58" s="104" t="s">
        <v>103</v>
      </c>
      <c r="I58" s="104"/>
      <c r="J58" s="104"/>
      <c r="K58" s="162" t="s">
        <v>35</v>
      </c>
      <c r="L58" s="2182"/>
      <c r="M58" s="93"/>
      <c r="N58" s="153"/>
      <c r="O58" s="93"/>
      <c r="P58" s="2183"/>
      <c r="Q58" s="2182"/>
      <c r="R58" s="93"/>
      <c r="S58" s="153"/>
      <c r="T58" s="93"/>
      <c r="U58" s="2183"/>
      <c r="V58" s="2182"/>
      <c r="W58" s="93"/>
      <c r="X58" s="153"/>
      <c r="Y58" s="93"/>
      <c r="Z58" s="2183"/>
      <c r="AA58" s="2182"/>
      <c r="AB58" s="93"/>
      <c r="AC58" s="153"/>
      <c r="AD58" s="93"/>
      <c r="AE58" s="2183"/>
      <c r="AF58" s="4490"/>
      <c r="AG58" s="138"/>
      <c r="AH58" s="138"/>
      <c r="AI58" s="4494"/>
      <c r="AJ58" s="18"/>
    </row>
    <row r="59" spans="2:36" ht="20.100000000000001" customHeight="1">
      <c r="B59" s="113"/>
      <c r="C59" s="160" t="s">
        <v>104</v>
      </c>
      <c r="D59" s="161"/>
      <c r="E59" s="161"/>
      <c r="F59" s="105" t="s">
        <v>33</v>
      </c>
      <c r="G59" s="106"/>
      <c r="H59" s="104" t="s">
        <v>105</v>
      </c>
      <c r="I59" s="104"/>
      <c r="J59" s="104"/>
      <c r="K59" s="162" t="s">
        <v>35</v>
      </c>
      <c r="L59" s="2182"/>
      <c r="M59" s="93"/>
      <c r="N59" s="153"/>
      <c r="O59" s="93"/>
      <c r="P59" s="2183"/>
      <c r="Q59" s="2182"/>
      <c r="R59" s="93"/>
      <c r="S59" s="153"/>
      <c r="T59" s="93"/>
      <c r="U59" s="2183"/>
      <c r="V59" s="2182"/>
      <c r="W59" s="93"/>
      <c r="X59" s="153"/>
      <c r="Y59" s="93"/>
      <c r="Z59" s="2183"/>
      <c r="AA59" s="2182"/>
      <c r="AB59" s="93"/>
      <c r="AC59" s="153"/>
      <c r="AD59" s="93"/>
      <c r="AE59" s="2183"/>
      <c r="AF59" s="4490"/>
      <c r="AG59" s="138"/>
      <c r="AH59" s="138"/>
      <c r="AI59" s="4494"/>
      <c r="AJ59" s="18"/>
    </row>
    <row r="60" spans="2:36" ht="20.100000000000001" customHeight="1">
      <c r="B60" s="113"/>
      <c r="C60" s="160" t="s">
        <v>77</v>
      </c>
      <c r="D60" s="161"/>
      <c r="E60" s="161"/>
      <c r="F60" s="105" t="s">
        <v>33</v>
      </c>
      <c r="G60" s="106"/>
      <c r="H60" s="104" t="s">
        <v>106</v>
      </c>
      <c r="I60" s="104"/>
      <c r="J60" s="104"/>
      <c r="K60" s="164" t="s">
        <v>35</v>
      </c>
      <c r="L60" s="2182"/>
      <c r="M60" s="93"/>
      <c r="N60" s="153"/>
      <c r="O60" s="93"/>
      <c r="P60" s="2183"/>
      <c r="Q60" s="2182"/>
      <c r="R60" s="93"/>
      <c r="S60" s="153"/>
      <c r="T60" s="93"/>
      <c r="U60" s="2183"/>
      <c r="V60" s="2182"/>
      <c r="W60" s="93"/>
      <c r="X60" s="153"/>
      <c r="Y60" s="93"/>
      <c r="Z60" s="2183"/>
      <c r="AA60" s="2182"/>
      <c r="AB60" s="93"/>
      <c r="AC60" s="153"/>
      <c r="AD60" s="93"/>
      <c r="AE60" s="2183"/>
      <c r="AF60" s="4490"/>
      <c r="AG60" s="138"/>
      <c r="AH60" s="138"/>
      <c r="AI60" s="4494"/>
      <c r="AJ60" s="18"/>
    </row>
    <row r="61" spans="2:36" ht="20.100000000000001" customHeight="1">
      <c r="B61" s="113"/>
      <c r="C61" s="160" t="s">
        <v>79</v>
      </c>
      <c r="D61" s="161"/>
      <c r="E61" s="161"/>
      <c r="F61" s="105" t="s">
        <v>33</v>
      </c>
      <c r="G61" s="106"/>
      <c r="H61" s="104" t="s">
        <v>107</v>
      </c>
      <c r="I61" s="104"/>
      <c r="J61" s="104"/>
      <c r="K61" s="165" t="s">
        <v>35</v>
      </c>
      <c r="L61" s="2182"/>
      <c r="M61" s="93"/>
      <c r="N61" s="153"/>
      <c r="O61" s="93"/>
      <c r="P61" s="2183"/>
      <c r="Q61" s="2182"/>
      <c r="R61" s="93"/>
      <c r="S61" s="153"/>
      <c r="T61" s="93"/>
      <c r="U61" s="2183"/>
      <c r="V61" s="2182"/>
      <c r="W61" s="93"/>
      <c r="X61" s="153"/>
      <c r="Y61" s="93"/>
      <c r="Z61" s="2183"/>
      <c r="AA61" s="2182"/>
      <c r="AB61" s="93"/>
      <c r="AC61" s="153"/>
      <c r="AD61" s="93"/>
      <c r="AE61" s="2183"/>
      <c r="AF61" s="4490"/>
      <c r="AG61" s="138"/>
      <c r="AH61" s="138"/>
      <c r="AI61" s="4494"/>
      <c r="AJ61" s="18"/>
    </row>
    <row r="62" spans="2:36" ht="20.100000000000001" customHeight="1">
      <c r="B62" s="113"/>
      <c r="C62" s="166" t="s">
        <v>124</v>
      </c>
      <c r="D62" s="167"/>
      <c r="E62" s="167"/>
      <c r="F62" s="2371" t="s">
        <v>168</v>
      </c>
      <c r="G62" s="168"/>
      <c r="H62" s="167" t="s">
        <v>1756</v>
      </c>
      <c r="I62" s="167"/>
      <c r="J62" s="167"/>
      <c r="K62" s="169"/>
      <c r="L62" s="2377"/>
      <c r="M62" s="172"/>
      <c r="N62" s="173"/>
      <c r="O62" s="172"/>
      <c r="P62" s="2181"/>
      <c r="Q62" s="2377"/>
      <c r="R62" s="172"/>
      <c r="S62" s="174"/>
      <c r="T62" s="172"/>
      <c r="U62" s="2181"/>
      <c r="V62" s="2377"/>
      <c r="W62" s="172"/>
      <c r="X62" s="174"/>
      <c r="Y62" s="172"/>
      <c r="Z62" s="2181"/>
      <c r="AA62" s="2377"/>
      <c r="AB62" s="172"/>
      <c r="AC62" s="173"/>
      <c r="AD62" s="172"/>
      <c r="AE62" s="2181"/>
      <c r="AF62" s="4490"/>
      <c r="AG62" s="138"/>
      <c r="AH62" s="138"/>
      <c r="AI62" s="4494"/>
      <c r="AJ62" s="18"/>
    </row>
    <row r="63" spans="2:36" ht="20.100000000000001" customHeight="1">
      <c r="B63" s="84"/>
      <c r="C63" s="175"/>
      <c r="D63" s="9749" t="s">
        <v>126</v>
      </c>
      <c r="E63" s="9649"/>
      <c r="F63" s="105" t="s">
        <v>628</v>
      </c>
      <c r="G63" s="106"/>
      <c r="H63" s="176"/>
      <c r="I63" s="177" t="s">
        <v>127</v>
      </c>
      <c r="J63" s="178"/>
      <c r="K63" s="179" t="s">
        <v>128</v>
      </c>
      <c r="L63" s="2182"/>
      <c r="M63" s="93"/>
      <c r="N63" s="153" t="s">
        <v>640</v>
      </c>
      <c r="O63" s="93"/>
      <c r="P63" s="2183"/>
      <c r="Q63" s="2182"/>
      <c r="R63" s="93"/>
      <c r="S63" s="180" t="s">
        <v>2278</v>
      </c>
      <c r="T63" s="93"/>
      <c r="U63" s="2183"/>
      <c r="V63" s="5549">
        <v>1845571870</v>
      </c>
      <c r="W63" s="5550"/>
      <c r="X63" s="5551">
        <v>1525147726</v>
      </c>
      <c r="Y63" s="5550"/>
      <c r="Z63" s="5551">
        <v>3471845218</v>
      </c>
      <c r="AA63" s="2182"/>
      <c r="AB63" s="93"/>
      <c r="AC63" s="153"/>
      <c r="AD63" s="93"/>
      <c r="AE63" s="2183"/>
      <c r="AF63" s="4490"/>
      <c r="AG63" s="138"/>
      <c r="AH63" s="138"/>
      <c r="AI63" s="4494"/>
      <c r="AJ63" s="18"/>
    </row>
    <row r="64" spans="2:36" ht="34.5">
      <c r="B64" s="113"/>
      <c r="C64" s="182"/>
      <c r="D64" s="9749" t="s">
        <v>152</v>
      </c>
      <c r="E64" s="9649"/>
      <c r="F64" s="105" t="s">
        <v>156</v>
      </c>
      <c r="G64" s="106"/>
      <c r="H64" s="183"/>
      <c r="I64" s="184" t="s">
        <v>153</v>
      </c>
      <c r="J64" s="140"/>
      <c r="K64" s="185" t="s">
        <v>1758</v>
      </c>
      <c r="L64" s="2182"/>
      <c r="M64" s="93"/>
      <c r="N64" s="153" t="s">
        <v>640</v>
      </c>
      <c r="O64" s="93"/>
      <c r="P64" s="2183"/>
      <c r="Q64" s="2182"/>
      <c r="R64" s="93"/>
      <c r="S64" s="153" t="s">
        <v>161</v>
      </c>
      <c r="T64" s="93"/>
      <c r="U64" s="2183"/>
      <c r="V64" s="5552" t="s">
        <v>3487</v>
      </c>
      <c r="W64" s="1240"/>
      <c r="X64" s="5553" t="s">
        <v>3487</v>
      </c>
      <c r="Y64" s="1240"/>
      <c r="Z64" s="5553" t="s">
        <v>3487</v>
      </c>
      <c r="AA64" s="2182"/>
      <c r="AB64" s="93"/>
      <c r="AC64" s="153"/>
      <c r="AD64" s="93"/>
      <c r="AE64" s="2183"/>
      <c r="AF64" s="4490"/>
      <c r="AG64" s="138"/>
      <c r="AH64" s="138"/>
      <c r="AI64" s="4495"/>
      <c r="AJ64" s="18"/>
    </row>
    <row r="65" spans="1:37" ht="20.100000000000001" customHeight="1">
      <c r="B65" s="113"/>
      <c r="C65" s="188"/>
      <c r="D65" s="9749" t="s">
        <v>162</v>
      </c>
      <c r="E65" s="9649"/>
      <c r="F65" s="105" t="s">
        <v>1760</v>
      </c>
      <c r="G65" s="106"/>
      <c r="H65" s="189"/>
      <c r="I65" s="184" t="s">
        <v>163</v>
      </c>
      <c r="J65" s="140"/>
      <c r="K65" s="190" t="s">
        <v>1761</v>
      </c>
      <c r="L65" s="2182"/>
      <c r="M65" s="93"/>
      <c r="N65" s="153" t="s">
        <v>640</v>
      </c>
      <c r="O65" s="93"/>
      <c r="P65" s="2183"/>
      <c r="Q65" s="2182"/>
      <c r="R65" s="93"/>
      <c r="S65" s="153" t="s">
        <v>1762</v>
      </c>
      <c r="T65" s="93"/>
      <c r="U65" s="2183"/>
      <c r="V65" s="5554">
        <v>7.2314049586776855E-2</v>
      </c>
      <c r="W65" s="5555"/>
      <c r="X65" s="5556">
        <v>0.11349036402569593</v>
      </c>
      <c r="Y65" s="5555"/>
      <c r="Z65" s="5556">
        <v>0.10677618069815195</v>
      </c>
      <c r="AA65" s="2182"/>
      <c r="AB65" s="93"/>
      <c r="AC65" s="153"/>
      <c r="AD65" s="93"/>
      <c r="AE65" s="2183"/>
      <c r="AF65" s="4490"/>
      <c r="AG65" s="138"/>
      <c r="AH65" s="138"/>
      <c r="AI65" s="4495"/>
      <c r="AJ65" s="18"/>
    </row>
    <row r="66" spans="1:37" ht="20.100000000000001" customHeight="1">
      <c r="B66" s="113"/>
      <c r="C66" s="166" t="s">
        <v>171</v>
      </c>
      <c r="D66" s="167"/>
      <c r="E66" s="167"/>
      <c r="F66" s="2371" t="s">
        <v>168</v>
      </c>
      <c r="G66" s="168"/>
      <c r="H66" s="167" t="s">
        <v>1763</v>
      </c>
      <c r="I66" s="167"/>
      <c r="J66" s="167"/>
      <c r="K66" s="169" t="s">
        <v>168</v>
      </c>
      <c r="L66" s="2377"/>
      <c r="M66" s="172"/>
      <c r="N66" s="173"/>
      <c r="O66" s="172"/>
      <c r="P66" s="2181"/>
      <c r="Q66" s="2377"/>
      <c r="R66" s="172"/>
      <c r="S66" s="173"/>
      <c r="T66" s="172"/>
      <c r="U66" s="2181"/>
      <c r="V66" s="2377"/>
      <c r="W66" s="172"/>
      <c r="X66" s="173"/>
      <c r="Y66" s="172"/>
      <c r="Z66" s="2181"/>
      <c r="AA66" s="2377"/>
      <c r="AB66" s="172"/>
      <c r="AC66" s="173"/>
      <c r="AD66" s="172"/>
      <c r="AE66" s="2181"/>
      <c r="AF66" s="4490"/>
      <c r="AG66" s="138"/>
      <c r="AH66" s="138"/>
      <c r="AI66" s="4495"/>
      <c r="AJ66" s="18"/>
    </row>
    <row r="67" spans="1:37" ht="20.100000000000001" customHeight="1">
      <c r="B67" s="113"/>
      <c r="C67" s="193"/>
      <c r="D67" s="194" t="s">
        <v>174</v>
      </c>
      <c r="E67" s="195"/>
      <c r="F67" s="105" t="s">
        <v>33</v>
      </c>
      <c r="G67" s="106"/>
      <c r="H67" s="11"/>
      <c r="I67" s="184" t="s">
        <v>176</v>
      </c>
      <c r="J67" s="140"/>
      <c r="K67" s="190" t="s">
        <v>35</v>
      </c>
      <c r="L67" s="2182"/>
      <c r="M67" s="93"/>
      <c r="N67" s="153"/>
      <c r="O67" s="93"/>
      <c r="P67" s="2183"/>
      <c r="Q67" s="2182"/>
      <c r="R67" s="93"/>
      <c r="S67" s="153"/>
      <c r="T67" s="93"/>
      <c r="U67" s="2183"/>
      <c r="V67" s="5552">
        <v>0</v>
      </c>
      <c r="W67" s="93"/>
      <c r="X67" s="5557">
        <v>0</v>
      </c>
      <c r="Y67" s="93"/>
      <c r="Z67" s="5558">
        <v>0</v>
      </c>
      <c r="AA67" s="2182"/>
      <c r="AB67" s="93"/>
      <c r="AC67" s="153"/>
      <c r="AD67" s="93"/>
      <c r="AE67" s="2183"/>
      <c r="AF67" s="4490"/>
      <c r="AG67" s="138"/>
      <c r="AH67" s="138"/>
      <c r="AI67" s="4495"/>
      <c r="AJ67" s="18"/>
    </row>
    <row r="68" spans="1:37" ht="20.100000000000001" customHeight="1">
      <c r="B68" s="113"/>
      <c r="C68" s="182"/>
      <c r="D68" s="196" t="s">
        <v>180</v>
      </c>
      <c r="E68" s="196"/>
      <c r="F68" s="105" t="s">
        <v>33</v>
      </c>
      <c r="G68" s="106"/>
      <c r="H68" s="183"/>
      <c r="I68" s="184" t="s">
        <v>181</v>
      </c>
      <c r="J68" s="140"/>
      <c r="K68" s="190" t="s">
        <v>35</v>
      </c>
      <c r="L68" s="2182"/>
      <c r="M68" s="93"/>
      <c r="N68" s="153"/>
      <c r="O68" s="93"/>
      <c r="P68" s="2183"/>
      <c r="Q68" s="2182"/>
      <c r="R68" s="93"/>
      <c r="S68" s="153"/>
      <c r="T68" s="93"/>
      <c r="U68" s="2183"/>
      <c r="V68" s="5552">
        <v>0</v>
      </c>
      <c r="W68" s="93"/>
      <c r="X68" s="5557">
        <v>0</v>
      </c>
      <c r="Y68" s="93"/>
      <c r="Z68" s="5558">
        <v>0</v>
      </c>
      <c r="AA68" s="2182"/>
      <c r="AB68" s="93"/>
      <c r="AC68" s="153"/>
      <c r="AD68" s="93"/>
      <c r="AE68" s="2183"/>
      <c r="AF68" s="4490"/>
      <c r="AG68" s="138"/>
      <c r="AH68" s="138"/>
      <c r="AI68" s="4495"/>
      <c r="AJ68" s="18"/>
    </row>
    <row r="69" spans="1:37" ht="20.100000000000001" customHeight="1">
      <c r="B69" s="113"/>
      <c r="C69" s="188"/>
      <c r="D69" s="196" t="s">
        <v>183</v>
      </c>
      <c r="E69" s="197"/>
      <c r="F69" s="105" t="s">
        <v>33</v>
      </c>
      <c r="G69" s="106"/>
      <c r="H69" s="189"/>
      <c r="I69" s="198" t="s">
        <v>184</v>
      </c>
      <c r="J69" s="178"/>
      <c r="K69" s="190" t="s">
        <v>35</v>
      </c>
      <c r="L69" s="2182"/>
      <c r="M69" s="93"/>
      <c r="N69" s="153"/>
      <c r="O69" s="93"/>
      <c r="P69" s="2183"/>
      <c r="Q69" s="2182"/>
      <c r="R69" s="93"/>
      <c r="S69" s="153"/>
      <c r="T69" s="93"/>
      <c r="U69" s="2183"/>
      <c r="V69" s="5552">
        <v>0</v>
      </c>
      <c r="W69" s="93"/>
      <c r="X69" s="5557">
        <v>0</v>
      </c>
      <c r="Y69" s="93"/>
      <c r="Z69" s="5558">
        <v>0</v>
      </c>
      <c r="AA69" s="2182"/>
      <c r="AB69" s="93"/>
      <c r="AC69" s="153"/>
      <c r="AD69" s="93"/>
      <c r="AE69" s="2183"/>
      <c r="AF69" s="4490"/>
      <c r="AG69" s="138"/>
      <c r="AH69" s="138"/>
      <c r="AI69" s="4495"/>
      <c r="AJ69" s="18"/>
    </row>
    <row r="70" spans="1:37" ht="20.100000000000001" customHeight="1">
      <c r="B70" s="113"/>
      <c r="C70" s="166" t="s">
        <v>1764</v>
      </c>
      <c r="D70" s="167"/>
      <c r="E70" s="167"/>
      <c r="F70" s="2371" t="s">
        <v>168</v>
      </c>
      <c r="G70" s="168"/>
      <c r="H70" s="167" t="s">
        <v>1765</v>
      </c>
      <c r="I70" s="167"/>
      <c r="J70" s="167"/>
      <c r="K70" s="169" t="s">
        <v>168</v>
      </c>
      <c r="L70" s="2377"/>
      <c r="M70" s="172"/>
      <c r="N70" s="173"/>
      <c r="O70" s="172"/>
      <c r="P70" s="2181"/>
      <c r="Q70" s="2377"/>
      <c r="R70" s="172"/>
      <c r="S70" s="173"/>
      <c r="T70" s="172"/>
      <c r="U70" s="2181"/>
      <c r="V70" s="2377"/>
      <c r="W70" s="172"/>
      <c r="X70" s="173"/>
      <c r="Y70" s="172"/>
      <c r="Z70" s="2181"/>
      <c r="AA70" s="2377"/>
      <c r="AB70" s="172"/>
      <c r="AC70" s="173"/>
      <c r="AD70" s="172"/>
      <c r="AE70" s="2181"/>
      <c r="AF70" s="4490"/>
      <c r="AG70" s="138"/>
      <c r="AH70" s="138"/>
      <c r="AI70" s="4495"/>
      <c r="AJ70" s="18"/>
    </row>
    <row r="71" spans="1:37" ht="20.100000000000001" customHeight="1">
      <c r="B71" s="113"/>
      <c r="C71" s="193"/>
      <c r="D71" s="199" t="s">
        <v>1767</v>
      </c>
      <c r="E71" s="200"/>
      <c r="F71" s="105" t="s">
        <v>742</v>
      </c>
      <c r="G71" s="106"/>
      <c r="H71" s="11"/>
      <c r="I71" s="201" t="s">
        <v>1768</v>
      </c>
      <c r="J71" s="202"/>
      <c r="K71" s="190" t="s">
        <v>734</v>
      </c>
      <c r="L71" s="2182"/>
      <c r="M71" s="93"/>
      <c r="N71" s="153">
        <v>1</v>
      </c>
      <c r="O71" s="93"/>
      <c r="P71" s="2183"/>
      <c r="Q71" s="2182"/>
      <c r="R71" s="93"/>
      <c r="S71" s="153">
        <v>5</v>
      </c>
      <c r="T71" s="93"/>
      <c r="U71" s="2183"/>
      <c r="V71" s="2182"/>
      <c r="W71" s="93"/>
      <c r="X71" s="153">
        <v>7</v>
      </c>
      <c r="Y71" s="93"/>
      <c r="Z71" s="2183"/>
      <c r="AA71" s="2182"/>
      <c r="AB71" s="93"/>
      <c r="AC71" s="153">
        <v>1</v>
      </c>
      <c r="AD71" s="93"/>
      <c r="AE71" s="2183"/>
      <c r="AF71" s="4490"/>
      <c r="AG71" s="138"/>
      <c r="AH71" s="138"/>
      <c r="AI71" s="4495"/>
      <c r="AJ71" s="18"/>
    </row>
    <row r="72" spans="1:37" ht="20.100000000000001" customHeight="1">
      <c r="B72" s="113"/>
      <c r="C72" s="203"/>
      <c r="D72" s="204" t="s">
        <v>1769</v>
      </c>
      <c r="E72" s="205"/>
      <c r="F72" s="105" t="s">
        <v>742</v>
      </c>
      <c r="G72" s="106"/>
      <c r="H72" s="206"/>
      <c r="I72" s="207" t="s">
        <v>1770</v>
      </c>
      <c r="J72" s="208"/>
      <c r="K72" s="190" t="s">
        <v>734</v>
      </c>
      <c r="L72" s="2182"/>
      <c r="M72" s="93"/>
      <c r="N72" s="153">
        <v>0</v>
      </c>
      <c r="O72" s="93"/>
      <c r="P72" s="2183"/>
      <c r="Q72" s="2182"/>
      <c r="R72" s="93"/>
      <c r="S72" s="153">
        <v>1</v>
      </c>
      <c r="T72" s="93"/>
      <c r="U72" s="2183"/>
      <c r="V72" s="2182"/>
      <c r="W72" s="93"/>
      <c r="X72" s="153">
        <v>3</v>
      </c>
      <c r="Y72" s="93"/>
      <c r="Z72" s="2183"/>
      <c r="AA72" s="2182"/>
      <c r="AB72" s="93"/>
      <c r="AC72" s="153">
        <v>1</v>
      </c>
      <c r="AD72" s="93"/>
      <c r="AE72" s="2183"/>
      <c r="AF72" s="4490"/>
      <c r="AG72" s="138"/>
      <c r="AH72" s="138"/>
      <c r="AI72" s="4495"/>
      <c r="AJ72" s="18"/>
    </row>
    <row r="73" spans="1:37" ht="20.100000000000001" customHeight="1">
      <c r="B73" s="113"/>
      <c r="C73" s="203"/>
      <c r="D73" s="204" t="s">
        <v>1771</v>
      </c>
      <c r="E73" s="205"/>
      <c r="F73" s="105" t="s">
        <v>156</v>
      </c>
      <c r="G73" s="106"/>
      <c r="H73" s="206"/>
      <c r="I73" s="210" t="s">
        <v>1772</v>
      </c>
      <c r="J73" s="211"/>
      <c r="K73" s="190" t="s">
        <v>156</v>
      </c>
      <c r="L73" s="2182"/>
      <c r="M73" s="93"/>
      <c r="N73" s="153">
        <v>0</v>
      </c>
      <c r="O73" s="93"/>
      <c r="P73" s="2183"/>
      <c r="Q73" s="2182"/>
      <c r="R73" s="93"/>
      <c r="S73" s="153">
        <v>25</v>
      </c>
      <c r="T73" s="93"/>
      <c r="U73" s="2183"/>
      <c r="V73" s="2182"/>
      <c r="W73" s="93"/>
      <c r="X73" s="153">
        <v>43</v>
      </c>
      <c r="Y73" s="93"/>
      <c r="Z73" s="2183"/>
      <c r="AA73" s="2182"/>
      <c r="AB73" s="93"/>
      <c r="AC73" s="153">
        <v>100</v>
      </c>
      <c r="AD73" s="93"/>
      <c r="AE73" s="2183"/>
      <c r="AF73" s="4490"/>
      <c r="AG73" s="138"/>
      <c r="AH73" s="138"/>
      <c r="AI73" s="4495"/>
      <c r="AJ73" s="18"/>
    </row>
    <row r="74" spans="1:37" ht="20.100000000000001" customHeight="1">
      <c r="B74" s="113"/>
      <c r="C74" s="213"/>
      <c r="D74" s="204" t="s">
        <v>863</v>
      </c>
      <c r="E74" s="205"/>
      <c r="F74" s="105" t="s">
        <v>156</v>
      </c>
      <c r="G74" s="106"/>
      <c r="H74" s="116"/>
      <c r="I74" s="214" t="s">
        <v>1773</v>
      </c>
      <c r="J74" s="211"/>
      <c r="K74" s="99" t="s">
        <v>156</v>
      </c>
      <c r="L74" s="2182"/>
      <c r="M74" s="93"/>
      <c r="N74" s="153">
        <v>0</v>
      </c>
      <c r="O74" s="93"/>
      <c r="P74" s="2183"/>
      <c r="Q74" s="2182"/>
      <c r="R74" s="93"/>
      <c r="S74" s="153">
        <v>0.04</v>
      </c>
      <c r="T74" s="93"/>
      <c r="U74" s="2183"/>
      <c r="V74" s="2182"/>
      <c r="W74" s="93"/>
      <c r="X74" s="153">
        <v>0.7</v>
      </c>
      <c r="Y74" s="93"/>
      <c r="Z74" s="2183"/>
      <c r="AA74" s="2182"/>
      <c r="AB74" s="93"/>
      <c r="AC74" s="153">
        <v>0.4</v>
      </c>
      <c r="AD74" s="93"/>
      <c r="AE74" s="2183"/>
      <c r="AF74" s="4490"/>
      <c r="AG74" s="138"/>
      <c r="AH74" s="138"/>
      <c r="AI74" s="4494"/>
      <c r="AJ74" s="18"/>
    </row>
    <row r="75" spans="1:37" ht="20.100000000000001" customHeight="1">
      <c r="B75" s="113"/>
      <c r="C75" s="166" t="s">
        <v>187</v>
      </c>
      <c r="D75" s="167"/>
      <c r="E75" s="167"/>
      <c r="F75" s="2371" t="s">
        <v>168</v>
      </c>
      <c r="G75" s="168"/>
      <c r="H75" s="167" t="s">
        <v>1776</v>
      </c>
      <c r="I75" s="167"/>
      <c r="J75" s="167"/>
      <c r="K75" s="169" t="s">
        <v>168</v>
      </c>
      <c r="L75" s="2378"/>
      <c r="M75" s="216"/>
      <c r="N75" s="215"/>
      <c r="O75" s="216"/>
      <c r="P75" s="2379"/>
      <c r="Q75" s="2378"/>
      <c r="R75" s="216"/>
      <c r="S75" s="215"/>
      <c r="T75" s="216"/>
      <c r="U75" s="2379"/>
      <c r="V75" s="2378"/>
      <c r="W75" s="216"/>
      <c r="X75" s="215"/>
      <c r="Y75" s="216"/>
      <c r="Z75" s="2379"/>
      <c r="AA75" s="2378"/>
      <c r="AB75" s="216"/>
      <c r="AC75" s="215"/>
      <c r="AD75" s="216"/>
      <c r="AE75" s="2379"/>
      <c r="AF75" s="4490"/>
      <c r="AG75" s="218"/>
      <c r="AH75" s="218"/>
      <c r="AI75" s="4496"/>
      <c r="AJ75" s="18"/>
    </row>
    <row r="76" spans="1:37" ht="20.100000000000001" customHeight="1">
      <c r="B76" s="113"/>
      <c r="C76" s="193"/>
      <c r="D76" s="222" t="s">
        <v>191</v>
      </c>
      <c r="E76" s="223"/>
      <c r="F76" s="105" t="s">
        <v>156</v>
      </c>
      <c r="G76" s="106"/>
      <c r="H76" s="224"/>
      <c r="I76" s="225" t="s">
        <v>192</v>
      </c>
      <c r="J76" s="226"/>
      <c r="K76" s="219" t="s">
        <v>156</v>
      </c>
      <c r="L76" s="2188"/>
      <c r="M76" s="227"/>
      <c r="N76" s="94"/>
      <c r="O76" s="227"/>
      <c r="P76" s="2380"/>
      <c r="Q76" s="2188">
        <v>44.7</v>
      </c>
      <c r="R76" s="227"/>
      <c r="S76" s="94"/>
      <c r="T76" s="227"/>
      <c r="U76" s="2380"/>
      <c r="V76" s="2188">
        <v>50</v>
      </c>
      <c r="W76" s="227"/>
      <c r="X76" s="94"/>
      <c r="Y76" s="227"/>
      <c r="Z76" s="2380"/>
      <c r="AA76" s="2188"/>
      <c r="AB76" s="227"/>
      <c r="AC76" s="94"/>
      <c r="AD76" s="227"/>
      <c r="AE76" s="2380"/>
      <c r="AF76" s="4497"/>
      <c r="AG76" s="218"/>
      <c r="AH76" s="218"/>
      <c r="AI76" s="4498"/>
      <c r="AJ76" s="18"/>
    </row>
    <row r="77" spans="1:37" ht="41.65" customHeight="1" thickBot="1">
      <c r="B77" s="113"/>
      <c r="C77" s="4499"/>
      <c r="D77" s="4500" t="s">
        <v>194</v>
      </c>
      <c r="E77" s="145"/>
      <c r="F77" s="4501" t="s">
        <v>156</v>
      </c>
      <c r="G77" s="232"/>
      <c r="H77" s="233"/>
      <c r="I77" s="234" t="s">
        <v>195</v>
      </c>
      <c r="J77" s="235"/>
      <c r="K77" s="236" t="s">
        <v>156</v>
      </c>
      <c r="L77" s="2190">
        <v>100</v>
      </c>
      <c r="M77" s="239"/>
      <c r="N77" s="240">
        <v>100</v>
      </c>
      <c r="O77" s="239"/>
      <c r="P77" s="2381"/>
      <c r="Q77" s="2190"/>
      <c r="R77" s="239"/>
      <c r="S77" s="240"/>
      <c r="T77" s="239"/>
      <c r="U77" s="2381"/>
      <c r="V77" s="2190">
        <v>100</v>
      </c>
      <c r="W77" s="239"/>
      <c r="X77" s="240">
        <v>100</v>
      </c>
      <c r="Y77" s="239"/>
      <c r="Z77" s="2381"/>
      <c r="AA77" s="2190"/>
      <c r="AB77" s="239"/>
      <c r="AC77" s="240"/>
      <c r="AD77" s="239"/>
      <c r="AE77" s="2381"/>
      <c r="AF77" s="4502"/>
      <c r="AG77" s="4503"/>
      <c r="AH77" s="4503"/>
      <c r="AI77" s="4504"/>
      <c r="AJ77" s="18"/>
    </row>
    <row r="78" spans="1:37" ht="27.75" thickTop="1" thickBot="1">
      <c r="A78" s="50"/>
      <c r="B78" s="4505" t="s">
        <v>2281</v>
      </c>
      <c r="C78" s="1742" t="s">
        <v>197</v>
      </c>
      <c r="D78" s="244"/>
      <c r="E78" s="244"/>
      <c r="F78" s="245"/>
      <c r="G78" s="246" t="s">
        <v>198</v>
      </c>
      <c r="H78" s="247"/>
      <c r="I78" s="247"/>
      <c r="J78" s="247"/>
      <c r="K78" s="247"/>
      <c r="L78" s="2382"/>
      <c r="M78" s="248"/>
      <c r="N78" s="248"/>
      <c r="O78" s="248"/>
      <c r="P78" s="2383"/>
      <c r="Q78" s="2382"/>
      <c r="R78" s="248"/>
      <c r="S78" s="248"/>
      <c r="T78" s="248"/>
      <c r="U78" s="2383"/>
      <c r="V78" s="2382"/>
      <c r="W78" s="248"/>
      <c r="X78" s="248"/>
      <c r="Y78" s="248"/>
      <c r="Z78" s="2383"/>
      <c r="AA78" s="2382"/>
      <c r="AB78" s="248"/>
      <c r="AC78" s="248"/>
      <c r="AD78" s="248"/>
      <c r="AE78" s="2383"/>
      <c r="AF78" s="4506"/>
      <c r="AG78" s="250"/>
      <c r="AH78" s="250"/>
      <c r="AI78" s="251"/>
      <c r="AJ78" s="18"/>
      <c r="AK78" s="54"/>
    </row>
    <row r="79" spans="1:37" ht="27" thickBot="1">
      <c r="B79" s="4505" t="s">
        <v>2281</v>
      </c>
      <c r="C79" s="123" t="s">
        <v>199</v>
      </c>
      <c r="D79" s="124"/>
      <c r="E79" s="124"/>
      <c r="F79" s="78"/>
      <c r="G79" s="125" t="s">
        <v>200</v>
      </c>
      <c r="H79" s="126"/>
      <c r="I79" s="126"/>
      <c r="J79" s="126"/>
      <c r="K79" s="78"/>
      <c r="L79" s="2175"/>
      <c r="M79" s="148"/>
      <c r="N79" s="148"/>
      <c r="O79" s="148"/>
      <c r="P79" s="2176"/>
      <c r="Q79" s="2175"/>
      <c r="R79" s="148"/>
      <c r="S79" s="148"/>
      <c r="T79" s="148"/>
      <c r="U79" s="2176"/>
      <c r="V79" s="2175"/>
      <c r="W79" s="148"/>
      <c r="X79" s="148"/>
      <c r="Y79" s="148"/>
      <c r="Z79" s="2176"/>
      <c r="AA79" s="2175"/>
      <c r="AB79" s="148"/>
      <c r="AC79" s="148"/>
      <c r="AD79" s="148"/>
      <c r="AE79" s="2176"/>
      <c r="AF79" s="4493"/>
      <c r="AG79" s="129"/>
      <c r="AH79" s="129"/>
      <c r="AI79" s="1953"/>
      <c r="AJ79" s="18"/>
    </row>
    <row r="80" spans="1:37" ht="19.899999999999999" customHeight="1">
      <c r="B80" s="4505" t="s">
        <v>2281</v>
      </c>
      <c r="C80" s="10102" t="s">
        <v>648</v>
      </c>
      <c r="D80" s="9764"/>
      <c r="E80" s="9764"/>
      <c r="F80" s="252" t="s">
        <v>212</v>
      </c>
      <c r="G80" s="4507"/>
      <c r="H80" s="140" t="s">
        <v>202</v>
      </c>
      <c r="I80" s="254"/>
      <c r="J80" s="254"/>
      <c r="K80" s="255" t="s">
        <v>212</v>
      </c>
      <c r="L80" s="2228"/>
      <c r="M80" s="261"/>
      <c r="N80" s="260"/>
      <c r="O80" s="259"/>
      <c r="P80" s="2187"/>
      <c r="Q80" s="2186"/>
      <c r="R80" s="259"/>
      <c r="S80" s="100"/>
      <c r="T80" s="259"/>
      <c r="U80" s="2187"/>
      <c r="V80" s="2186" t="s">
        <v>641</v>
      </c>
      <c r="W80" s="259"/>
      <c r="X80" s="2186" t="s">
        <v>641</v>
      </c>
      <c r="Y80" s="259"/>
      <c r="Z80" s="2186" t="s">
        <v>641</v>
      </c>
      <c r="AA80" s="2186"/>
      <c r="AB80" s="259"/>
      <c r="AC80" s="100"/>
      <c r="AD80" s="259"/>
      <c r="AE80" s="2187"/>
      <c r="AF80" s="4490"/>
      <c r="AG80" s="138"/>
      <c r="AH80" s="138"/>
      <c r="AI80" s="4508" t="s">
        <v>207</v>
      </c>
      <c r="AJ80" s="18"/>
    </row>
    <row r="81" spans="2:36" ht="19.899999999999999" customHeight="1">
      <c r="B81" s="4509" t="s">
        <v>2281</v>
      </c>
      <c r="C81" s="10064"/>
      <c r="D81" s="266" t="s">
        <v>210</v>
      </c>
      <c r="E81" s="266"/>
      <c r="F81" s="132" t="s">
        <v>212</v>
      </c>
      <c r="G81" s="4510"/>
      <c r="H81" s="11"/>
      <c r="I81" s="1065" t="s">
        <v>211</v>
      </c>
      <c r="J81" s="1066"/>
      <c r="K81" s="136" t="s">
        <v>212</v>
      </c>
      <c r="L81" s="2228"/>
      <c r="M81" s="273"/>
      <c r="N81" s="260"/>
      <c r="O81" s="275"/>
      <c r="P81" s="2187"/>
      <c r="Q81" s="2186"/>
      <c r="R81" s="275"/>
      <c r="S81" s="100"/>
      <c r="T81" s="275"/>
      <c r="U81" s="2187"/>
      <c r="V81" s="2186" t="s">
        <v>641</v>
      </c>
      <c r="W81" s="275"/>
      <c r="X81" s="2186" t="s">
        <v>641</v>
      </c>
      <c r="Y81" s="275"/>
      <c r="Z81" s="2186" t="s">
        <v>641</v>
      </c>
      <c r="AA81" s="2186"/>
      <c r="AB81" s="275"/>
      <c r="AC81" s="100"/>
      <c r="AD81" s="275"/>
      <c r="AE81" s="2187"/>
      <c r="AF81" s="4490"/>
      <c r="AG81" s="138"/>
      <c r="AH81" s="138"/>
      <c r="AI81" s="4508" t="s">
        <v>215</v>
      </c>
      <c r="AJ81" s="18"/>
    </row>
    <row r="82" spans="2:36" ht="19.899999999999999" customHeight="1">
      <c r="B82" s="4505" t="s">
        <v>2281</v>
      </c>
      <c r="C82" s="10065"/>
      <c r="D82" s="266" t="s">
        <v>1779</v>
      </c>
      <c r="E82" s="266"/>
      <c r="F82" s="132" t="s">
        <v>203</v>
      </c>
      <c r="G82" s="4510"/>
      <c r="H82" s="11"/>
      <c r="I82" s="1065" t="s">
        <v>218</v>
      </c>
      <c r="J82" s="1066"/>
      <c r="K82" s="136" t="s">
        <v>203</v>
      </c>
      <c r="L82" s="2228"/>
      <c r="M82" s="273"/>
      <c r="N82" s="260"/>
      <c r="O82" s="275"/>
      <c r="P82" s="2187"/>
      <c r="Q82" s="2186"/>
      <c r="R82" s="275"/>
      <c r="S82" s="100"/>
      <c r="T82" s="275"/>
      <c r="U82" s="2187"/>
      <c r="V82" s="2186" t="s">
        <v>641</v>
      </c>
      <c r="W82" s="275"/>
      <c r="X82" s="2186" t="s">
        <v>641</v>
      </c>
      <c r="Y82" s="275"/>
      <c r="Z82" s="2186" t="s">
        <v>641</v>
      </c>
      <c r="AA82" s="2186"/>
      <c r="AB82" s="275"/>
      <c r="AC82" s="100"/>
      <c r="AD82" s="275"/>
      <c r="AE82" s="2187"/>
      <c r="AF82" s="4490"/>
      <c r="AG82" s="138"/>
      <c r="AH82" s="138"/>
      <c r="AI82" s="1244" t="s">
        <v>221</v>
      </c>
      <c r="AJ82" s="18"/>
    </row>
    <row r="83" spans="2:36" ht="20.100000000000001" customHeight="1">
      <c r="B83" s="4505" t="s">
        <v>2281</v>
      </c>
      <c r="C83" s="1758" t="s">
        <v>223</v>
      </c>
      <c r="D83" s="104"/>
      <c r="E83" s="104"/>
      <c r="F83" s="280" t="s">
        <v>653</v>
      </c>
      <c r="G83" s="4510"/>
      <c r="H83" s="143" t="s">
        <v>224</v>
      </c>
      <c r="I83" s="143"/>
      <c r="J83" s="144"/>
      <c r="K83" s="281" t="s">
        <v>225</v>
      </c>
      <c r="L83" s="2196" t="str">
        <f t="shared" ref="L83" si="0">IFERROR(L84/L85,"-")</f>
        <v>-</v>
      </c>
      <c r="M83" s="275"/>
      <c r="N83" s="282" t="str">
        <f>IFERROR(N84/N85,"-")</f>
        <v>-</v>
      </c>
      <c r="O83" s="275"/>
      <c r="P83" s="2197" t="str">
        <f>IFERROR(P84/P85,"-")</f>
        <v>-</v>
      </c>
      <c r="Q83" s="2196" t="str">
        <f>IFERROR(Q84/Q85,"-")</f>
        <v>-</v>
      </c>
      <c r="R83" s="275"/>
      <c r="S83" s="282" t="str">
        <f>IFERROR(S84/S85,"-")</f>
        <v>-</v>
      </c>
      <c r="T83" s="275"/>
      <c r="U83" s="2197" t="str">
        <f>IFERROR(U84/U85,"-")</f>
        <v>-</v>
      </c>
      <c r="V83" s="2196" t="str">
        <f>IFERROR(V84/V85,"-")</f>
        <v>-</v>
      </c>
      <c r="W83" s="275"/>
      <c r="X83" s="282" t="str">
        <f>IFERROR(X84/X85,"-")</f>
        <v>-</v>
      </c>
      <c r="Y83" s="275"/>
      <c r="Z83" s="2197" t="str">
        <f>IFERROR(Z84/Z85,"-")</f>
        <v>-</v>
      </c>
      <c r="AA83" s="2196" t="str">
        <f>IFERROR(AA84/AA85,"-")</f>
        <v>-</v>
      </c>
      <c r="AB83" s="275"/>
      <c r="AC83" s="282" t="str">
        <f>IFERROR(AC84/AC85,"-")</f>
        <v>-</v>
      </c>
      <c r="AD83" s="275"/>
      <c r="AE83" s="2197" t="str">
        <f>IFERROR(AE84/AE85,"-")</f>
        <v>-</v>
      </c>
      <c r="AF83" s="4490"/>
      <c r="AG83" s="138"/>
      <c r="AH83" s="138"/>
      <c r="AI83" s="4508" t="s">
        <v>228</v>
      </c>
      <c r="AJ83" s="18"/>
    </row>
    <row r="84" spans="2:36" ht="20.100000000000001" customHeight="1">
      <c r="B84" s="4505" t="s">
        <v>2281</v>
      </c>
      <c r="C84" s="10069"/>
      <c r="D84" s="161" t="s">
        <v>230</v>
      </c>
      <c r="E84" s="161"/>
      <c r="F84" s="285" t="s">
        <v>212</v>
      </c>
      <c r="G84" s="4511"/>
      <c r="H84" s="287"/>
      <c r="I84" s="184" t="s">
        <v>231</v>
      </c>
      <c r="J84" s="141"/>
      <c r="K84" s="109" t="s">
        <v>212</v>
      </c>
      <c r="L84" s="2186"/>
      <c r="M84" s="293"/>
      <c r="N84" s="100"/>
      <c r="O84" s="293"/>
      <c r="P84" s="2187"/>
      <c r="Q84" s="2186"/>
      <c r="R84" s="293"/>
      <c r="S84" s="100"/>
      <c r="T84" s="293"/>
      <c r="U84" s="2187"/>
      <c r="V84" s="2186" t="s">
        <v>641</v>
      </c>
      <c r="W84" s="293"/>
      <c r="X84" s="100" t="s">
        <v>641</v>
      </c>
      <c r="Y84" s="275"/>
      <c r="Z84" s="100" t="s">
        <v>641</v>
      </c>
      <c r="AA84" s="2186"/>
      <c r="AB84" s="293"/>
      <c r="AC84" s="100"/>
      <c r="AD84" s="293"/>
      <c r="AE84" s="2187"/>
      <c r="AF84" s="4490"/>
      <c r="AG84" s="138"/>
      <c r="AH84" s="138"/>
      <c r="AI84" s="4508" t="s">
        <v>228</v>
      </c>
      <c r="AJ84" s="18"/>
    </row>
    <row r="85" spans="2:36" ht="20.100000000000001" customHeight="1" thickBot="1">
      <c r="B85" s="4505" t="s">
        <v>2281</v>
      </c>
      <c r="C85" s="10076"/>
      <c r="D85" s="104" t="s">
        <v>232</v>
      </c>
      <c r="E85" s="161"/>
      <c r="F85" s="295" t="s">
        <v>233</v>
      </c>
      <c r="G85" s="4512"/>
      <c r="H85" s="296"/>
      <c r="I85" s="184" t="s">
        <v>234</v>
      </c>
      <c r="J85" s="141"/>
      <c r="K85" s="281" t="s">
        <v>235</v>
      </c>
      <c r="L85" s="2186"/>
      <c r="M85" s="293"/>
      <c r="N85" s="100"/>
      <c r="O85" s="293"/>
      <c r="P85" s="2187"/>
      <c r="Q85" s="2186"/>
      <c r="R85" s="293"/>
      <c r="S85" s="100"/>
      <c r="T85" s="293"/>
      <c r="U85" s="2187"/>
      <c r="V85" s="2186" t="s">
        <v>641</v>
      </c>
      <c r="W85" s="293"/>
      <c r="X85" s="100" t="s">
        <v>641</v>
      </c>
      <c r="Y85" s="293"/>
      <c r="Z85" s="100" t="s">
        <v>641</v>
      </c>
      <c r="AA85" s="2186"/>
      <c r="AB85" s="293"/>
      <c r="AC85" s="100"/>
      <c r="AD85" s="293"/>
      <c r="AE85" s="2187"/>
      <c r="AF85" s="4490"/>
      <c r="AG85" s="138"/>
      <c r="AH85" s="138"/>
      <c r="AI85" s="4508" t="s">
        <v>228</v>
      </c>
      <c r="AJ85" s="18"/>
    </row>
    <row r="86" spans="2:36" ht="19.899999999999999" hidden="1" customHeight="1" thickBot="1">
      <c r="B86" s="1754"/>
      <c r="C86" s="1849" t="s">
        <v>237</v>
      </c>
      <c r="D86" s="161"/>
      <c r="E86" s="161"/>
      <c r="F86" s="285" t="s">
        <v>212</v>
      </c>
      <c r="G86" s="286"/>
      <c r="H86" s="140" t="s">
        <v>238</v>
      </c>
      <c r="I86" s="140"/>
      <c r="J86" s="141"/>
      <c r="K86" s="109" t="s">
        <v>212</v>
      </c>
      <c r="L86" s="2186"/>
      <c r="M86" s="92"/>
      <c r="N86" s="100"/>
      <c r="O86" s="92"/>
      <c r="P86" s="2187"/>
      <c r="Q86" s="2186"/>
      <c r="R86" s="92"/>
      <c r="S86" s="100"/>
      <c r="T86" s="92"/>
      <c r="U86" s="2187"/>
      <c r="V86" s="2186"/>
      <c r="W86" s="92"/>
      <c r="X86" s="100"/>
      <c r="Y86" s="92"/>
      <c r="Z86" s="2187"/>
      <c r="AA86" s="2186"/>
      <c r="AB86" s="92"/>
      <c r="AC86" s="100"/>
      <c r="AD86" s="92"/>
      <c r="AE86" s="2187"/>
      <c r="AF86" s="4490"/>
      <c r="AG86" s="138"/>
      <c r="AH86" s="138"/>
      <c r="AI86" s="4508" t="s">
        <v>241</v>
      </c>
      <c r="AJ86" s="18"/>
    </row>
    <row r="87" spans="2:36" ht="19.899999999999999" hidden="1" customHeight="1" thickBot="1">
      <c r="B87" s="4513"/>
      <c r="C87" s="1849" t="s">
        <v>656</v>
      </c>
      <c r="D87" s="104"/>
      <c r="E87" s="104"/>
      <c r="F87" s="105" t="s">
        <v>212</v>
      </c>
      <c r="G87" s="286"/>
      <c r="H87" s="300" t="s">
        <v>657</v>
      </c>
      <c r="I87" s="140"/>
      <c r="J87" s="141"/>
      <c r="K87" s="109" t="s">
        <v>212</v>
      </c>
      <c r="L87" s="2228"/>
      <c r="M87" s="304"/>
      <c r="N87" s="260"/>
      <c r="O87" s="92"/>
      <c r="P87" s="2187"/>
      <c r="Q87" s="2186"/>
      <c r="R87" s="92"/>
      <c r="S87" s="100"/>
      <c r="T87" s="92"/>
      <c r="U87" s="2187"/>
      <c r="V87" s="2186"/>
      <c r="W87" s="92"/>
      <c r="X87" s="100"/>
      <c r="Y87" s="92"/>
      <c r="Z87" s="2187"/>
      <c r="AA87" s="2186"/>
      <c r="AB87" s="92"/>
      <c r="AC87" s="100"/>
      <c r="AD87" s="92"/>
      <c r="AE87" s="2187"/>
      <c r="AF87" s="4490"/>
      <c r="AG87" s="138"/>
      <c r="AH87" s="138"/>
      <c r="AI87" s="4508" t="s">
        <v>250</v>
      </c>
      <c r="AJ87" s="18"/>
    </row>
    <row r="88" spans="2:36" ht="20.100000000000001" hidden="1" customHeight="1" thickBot="1">
      <c r="B88" s="4513"/>
      <c r="C88" s="4514"/>
      <c r="D88" s="306" t="s">
        <v>660</v>
      </c>
      <c r="E88" s="161"/>
      <c r="F88" s="285" t="s">
        <v>212</v>
      </c>
      <c r="G88" s="286"/>
      <c r="H88" s="307"/>
      <c r="I88" s="184" t="s">
        <v>248</v>
      </c>
      <c r="J88" s="141"/>
      <c r="K88" s="109" t="s">
        <v>212</v>
      </c>
      <c r="L88" s="2186"/>
      <c r="M88" s="92"/>
      <c r="N88" s="100"/>
      <c r="O88" s="92"/>
      <c r="P88" s="2187"/>
      <c r="Q88" s="2186"/>
      <c r="R88" s="92"/>
      <c r="S88" s="100"/>
      <c r="T88" s="92"/>
      <c r="U88" s="2187"/>
      <c r="V88" s="2186"/>
      <c r="W88" s="92"/>
      <c r="X88" s="100"/>
      <c r="Y88" s="92"/>
      <c r="Z88" s="2187"/>
      <c r="AA88" s="2186"/>
      <c r="AB88" s="92"/>
      <c r="AC88" s="100"/>
      <c r="AD88" s="92"/>
      <c r="AE88" s="2187"/>
      <c r="AF88" s="4515"/>
      <c r="AG88" s="138"/>
      <c r="AH88" s="138"/>
      <c r="AI88" s="4508" t="s">
        <v>250</v>
      </c>
      <c r="AJ88" s="18"/>
    </row>
    <row r="89" spans="2:36" ht="20.100000000000001" hidden="1" customHeight="1" thickBot="1">
      <c r="B89" s="4513"/>
      <c r="C89" s="4516"/>
      <c r="D89" s="306" t="s">
        <v>230</v>
      </c>
      <c r="E89" s="161"/>
      <c r="F89" s="285" t="s">
        <v>212</v>
      </c>
      <c r="G89" s="286"/>
      <c r="H89" s="310"/>
      <c r="I89" s="184" t="s">
        <v>231</v>
      </c>
      <c r="J89" s="141"/>
      <c r="K89" s="109" t="s">
        <v>212</v>
      </c>
      <c r="L89" s="2198">
        <f t="shared" ref="L89" si="1">L84</f>
        <v>0</v>
      </c>
      <c r="M89" s="92"/>
      <c r="N89" s="228">
        <f>N84</f>
        <v>0</v>
      </c>
      <c r="O89" s="92"/>
      <c r="P89" s="2189">
        <f>P84</f>
        <v>0</v>
      </c>
      <c r="Q89" s="2198">
        <f>Q84</f>
        <v>0</v>
      </c>
      <c r="R89" s="92"/>
      <c r="S89" s="228">
        <f>S84</f>
        <v>0</v>
      </c>
      <c r="T89" s="92"/>
      <c r="U89" s="2189">
        <f>U84</f>
        <v>0</v>
      </c>
      <c r="V89" s="2198" t="str">
        <f>V84</f>
        <v>N/A</v>
      </c>
      <c r="W89" s="92"/>
      <c r="X89" s="228" t="str">
        <f>X84</f>
        <v>N/A</v>
      </c>
      <c r="Y89" s="92"/>
      <c r="Z89" s="2189" t="str">
        <f>Z84</f>
        <v>N/A</v>
      </c>
      <c r="AA89" s="2198">
        <f>AA84</f>
        <v>0</v>
      </c>
      <c r="AB89" s="92"/>
      <c r="AC89" s="228">
        <f>AC84</f>
        <v>0</v>
      </c>
      <c r="AD89" s="92"/>
      <c r="AE89" s="2189">
        <f>AE84</f>
        <v>0</v>
      </c>
      <c r="AF89" s="4490"/>
      <c r="AG89" s="138"/>
      <c r="AH89" s="138"/>
      <c r="AI89" s="4508" t="s">
        <v>250</v>
      </c>
      <c r="AJ89" s="18"/>
    </row>
    <row r="90" spans="2:36" ht="20.100000000000001" hidden="1" customHeight="1" thickBot="1">
      <c r="B90" s="4505" t="s">
        <v>2281</v>
      </c>
      <c r="C90" s="4517" t="s">
        <v>661</v>
      </c>
      <c r="D90" s="4518"/>
      <c r="E90" s="4518"/>
      <c r="F90" s="4519" t="s">
        <v>168</v>
      </c>
      <c r="G90" s="311"/>
      <c r="H90" s="312" t="s">
        <v>244</v>
      </c>
      <c r="I90" s="4520"/>
      <c r="J90" s="4521"/>
      <c r="K90" s="315" t="s">
        <v>168</v>
      </c>
      <c r="L90" s="2384"/>
      <c r="M90" s="319"/>
      <c r="N90" s="318"/>
      <c r="O90" s="171"/>
      <c r="P90" s="2276"/>
      <c r="Q90" s="2275"/>
      <c r="R90" s="171"/>
      <c r="S90" s="320"/>
      <c r="T90" s="171"/>
      <c r="U90" s="2276"/>
      <c r="V90" s="2275"/>
      <c r="W90" s="171"/>
      <c r="X90" s="320"/>
      <c r="Y90" s="171"/>
      <c r="Z90" s="2276"/>
      <c r="AA90" s="2275"/>
      <c r="AB90" s="171"/>
      <c r="AC90" s="320"/>
      <c r="AD90" s="171"/>
      <c r="AE90" s="2276"/>
      <c r="AF90" s="4490"/>
      <c r="AG90" s="138"/>
      <c r="AH90" s="138"/>
      <c r="AI90" s="4508"/>
      <c r="AJ90" s="18"/>
    </row>
    <row r="91" spans="2:36" ht="20.100000000000001" hidden="1" customHeight="1" thickBot="1">
      <c r="B91" s="4505" t="s">
        <v>2281</v>
      </c>
      <c r="C91" s="4522"/>
      <c r="D91" s="306" t="s">
        <v>663</v>
      </c>
      <c r="E91" s="306"/>
      <c r="F91" s="285" t="s">
        <v>212</v>
      </c>
      <c r="G91" s="286"/>
      <c r="H91" s="287"/>
      <c r="I91" s="184" t="s">
        <v>664</v>
      </c>
      <c r="J91" s="141"/>
      <c r="K91" s="109" t="s">
        <v>212</v>
      </c>
      <c r="L91" s="2186"/>
      <c r="M91" s="92"/>
      <c r="N91" s="100"/>
      <c r="O91" s="92"/>
      <c r="P91" s="2187"/>
      <c r="Q91" s="2186"/>
      <c r="R91" s="92"/>
      <c r="S91" s="100"/>
      <c r="T91" s="92"/>
      <c r="U91" s="2187"/>
      <c r="V91" s="2186"/>
      <c r="W91" s="92"/>
      <c r="X91" s="100"/>
      <c r="Y91" s="92"/>
      <c r="Z91" s="2187"/>
      <c r="AA91" s="2186"/>
      <c r="AB91" s="92"/>
      <c r="AC91" s="100"/>
      <c r="AD91" s="92"/>
      <c r="AE91" s="2187"/>
      <c r="AF91" s="4490"/>
      <c r="AG91" s="138"/>
      <c r="AH91" s="138"/>
      <c r="AI91" s="1244"/>
      <c r="AJ91" s="18"/>
    </row>
    <row r="92" spans="2:36" ht="20.100000000000001" hidden="1" customHeight="1" thickBot="1">
      <c r="B92" s="4505" t="s">
        <v>2281</v>
      </c>
      <c r="C92" s="4523"/>
      <c r="D92" s="306" t="s">
        <v>665</v>
      </c>
      <c r="E92" s="306"/>
      <c r="F92" s="285" t="s">
        <v>212</v>
      </c>
      <c r="G92" s="286"/>
      <c r="H92" s="322"/>
      <c r="I92" s="184" t="s">
        <v>666</v>
      </c>
      <c r="J92" s="141"/>
      <c r="K92" s="109" t="s">
        <v>212</v>
      </c>
      <c r="L92" s="2186"/>
      <c r="M92" s="92"/>
      <c r="N92" s="100"/>
      <c r="O92" s="92"/>
      <c r="P92" s="2187"/>
      <c r="Q92" s="2186"/>
      <c r="R92" s="92"/>
      <c r="S92" s="100"/>
      <c r="T92" s="92"/>
      <c r="U92" s="2187"/>
      <c r="V92" s="2186"/>
      <c r="W92" s="92"/>
      <c r="X92" s="100"/>
      <c r="Y92" s="92"/>
      <c r="Z92" s="2187"/>
      <c r="AA92" s="2186"/>
      <c r="AB92" s="92"/>
      <c r="AC92" s="100"/>
      <c r="AD92" s="92"/>
      <c r="AE92" s="2187"/>
      <c r="AF92" s="4490"/>
      <c r="AG92" s="138"/>
      <c r="AH92" s="138"/>
      <c r="AI92" s="1244"/>
      <c r="AJ92" s="18"/>
    </row>
    <row r="93" spans="2:36" ht="20.100000000000001" hidden="1" customHeight="1" thickBot="1">
      <c r="B93" s="4505" t="s">
        <v>2281</v>
      </c>
      <c r="C93" s="4524"/>
      <c r="D93" s="323" t="s">
        <v>312</v>
      </c>
      <c r="E93" s="324"/>
      <c r="F93" s="285" t="s">
        <v>212</v>
      </c>
      <c r="G93" s="325"/>
      <c r="H93" s="326"/>
      <c r="I93" s="327" t="s">
        <v>244</v>
      </c>
      <c r="J93" s="287"/>
      <c r="K93" s="109" t="s">
        <v>212</v>
      </c>
      <c r="L93" s="2186"/>
      <c r="M93" s="92"/>
      <c r="N93" s="100"/>
      <c r="O93" s="92"/>
      <c r="P93" s="2187"/>
      <c r="Q93" s="2186"/>
      <c r="R93" s="92"/>
      <c r="S93" s="100"/>
      <c r="T93" s="92"/>
      <c r="U93" s="2187"/>
      <c r="V93" s="2186"/>
      <c r="W93" s="92"/>
      <c r="X93" s="100"/>
      <c r="Y93" s="92"/>
      <c r="Z93" s="2187"/>
      <c r="AA93" s="2186"/>
      <c r="AB93" s="92"/>
      <c r="AC93" s="100"/>
      <c r="AD93" s="92"/>
      <c r="AE93" s="2187"/>
      <c r="AF93" s="4490"/>
      <c r="AG93" s="138"/>
      <c r="AH93" s="138"/>
      <c r="AI93" s="1244"/>
      <c r="AJ93" s="18"/>
    </row>
    <row r="94" spans="2:36" ht="27" thickBot="1">
      <c r="B94" s="4505" t="s">
        <v>2281</v>
      </c>
      <c r="C94" s="123" t="s">
        <v>252</v>
      </c>
      <c r="D94" s="124"/>
      <c r="E94" s="124"/>
      <c r="F94" s="78"/>
      <c r="G94" s="125" t="s">
        <v>253</v>
      </c>
      <c r="H94" s="126"/>
      <c r="I94" s="126"/>
      <c r="J94" s="126"/>
      <c r="K94" s="78"/>
      <c r="L94" s="2175"/>
      <c r="M94" s="148"/>
      <c r="N94" s="148"/>
      <c r="O94" s="148"/>
      <c r="P94" s="2176"/>
      <c r="Q94" s="2175"/>
      <c r="R94" s="148"/>
      <c r="S94" s="148"/>
      <c r="T94" s="148"/>
      <c r="U94" s="2176"/>
      <c r="V94" s="2175"/>
      <c r="W94" s="148"/>
      <c r="X94" s="148"/>
      <c r="Y94" s="148"/>
      <c r="Z94" s="2176"/>
      <c r="AA94" s="2175"/>
      <c r="AB94" s="148"/>
      <c r="AC94" s="148"/>
      <c r="AD94" s="148"/>
      <c r="AE94" s="2176"/>
      <c r="AF94" s="4493"/>
      <c r="AG94" s="129"/>
      <c r="AH94" s="129"/>
      <c r="AI94" s="1006"/>
      <c r="AJ94" s="18"/>
    </row>
    <row r="95" spans="2:36" ht="20.100000000000001" customHeight="1">
      <c r="B95" s="4505" t="s">
        <v>2281</v>
      </c>
      <c r="C95" s="10154" t="s">
        <v>254</v>
      </c>
      <c r="D95" s="9755"/>
      <c r="E95" s="9755"/>
      <c r="F95" s="87" t="s">
        <v>255</v>
      </c>
      <c r="G95" s="4525"/>
      <c r="H95" s="9755" t="s">
        <v>256</v>
      </c>
      <c r="I95" s="9755"/>
      <c r="J95" s="9755"/>
      <c r="K95" s="91" t="s">
        <v>255</v>
      </c>
      <c r="L95" s="2201">
        <f t="shared" ref="L95" si="2">IFERROR(L96+L97,"-")</f>
        <v>0</v>
      </c>
      <c r="M95" s="332"/>
      <c r="N95" s="331">
        <f>IFERROR(N96+N97,"-")</f>
        <v>0</v>
      </c>
      <c r="O95" s="332"/>
      <c r="P95" s="2202">
        <f>IFERROR(P96+P97,"-")</f>
        <v>0</v>
      </c>
      <c r="Q95" s="2201">
        <f>IFERROR(Q96+Q97,"-")</f>
        <v>0</v>
      </c>
      <c r="R95" s="332"/>
      <c r="S95" s="331">
        <f>IFERROR(S96+S97,"-")</f>
        <v>0</v>
      </c>
      <c r="T95" s="332"/>
      <c r="U95" s="2202">
        <f>IFERROR(U96+U97,"-")</f>
        <v>0</v>
      </c>
      <c r="V95" s="2201" t="str">
        <f>IFERROR(V96+V97,"-")</f>
        <v>-</v>
      </c>
      <c r="W95" s="332"/>
      <c r="X95" s="331" t="str">
        <f>IFERROR(X96+X97,"-")</f>
        <v>-</v>
      </c>
      <c r="Y95" s="332"/>
      <c r="Z95" s="2202" t="str">
        <f>IFERROR(Z96+Z97,"-")</f>
        <v>-</v>
      </c>
      <c r="AA95" s="2201" t="str">
        <f>IFERROR(AA96+AA97,"-")</f>
        <v>-</v>
      </c>
      <c r="AB95" s="332"/>
      <c r="AC95" s="331" t="str">
        <f>IFERROR(AC96+AC97,"-")</f>
        <v>-</v>
      </c>
      <c r="AD95" s="333"/>
      <c r="AE95" s="4526" t="s">
        <v>2300</v>
      </c>
      <c r="AF95" s="4490"/>
      <c r="AG95" s="138"/>
      <c r="AH95" s="138"/>
      <c r="AI95" s="4527" t="s">
        <v>259</v>
      </c>
      <c r="AJ95" s="18"/>
    </row>
    <row r="96" spans="2:36" ht="20.100000000000001" customHeight="1">
      <c r="B96" s="4505" t="s">
        <v>2281</v>
      </c>
      <c r="C96" s="4528"/>
      <c r="D96" s="9749" t="s">
        <v>262</v>
      </c>
      <c r="E96" s="9648"/>
      <c r="F96" s="87" t="s">
        <v>255</v>
      </c>
      <c r="G96" s="662"/>
      <c r="H96" s="287"/>
      <c r="I96" s="184" t="s">
        <v>263</v>
      </c>
      <c r="J96" s="296"/>
      <c r="K96" s="91" t="s">
        <v>255</v>
      </c>
      <c r="L96" s="2267"/>
      <c r="M96" s="342"/>
      <c r="N96" s="335"/>
      <c r="O96" s="342"/>
      <c r="P96" s="2268"/>
      <c r="Q96" s="2267"/>
      <c r="R96" s="342"/>
      <c r="S96" s="335"/>
      <c r="T96" s="342"/>
      <c r="U96" s="2268"/>
      <c r="V96" s="2267" t="s">
        <v>641</v>
      </c>
      <c r="W96" s="342"/>
      <c r="X96" s="100" t="s">
        <v>641</v>
      </c>
      <c r="Y96" s="275"/>
      <c r="Z96" s="100" t="s">
        <v>641</v>
      </c>
      <c r="AA96" s="2267" t="s">
        <v>169</v>
      </c>
      <c r="AB96" s="342"/>
      <c r="AC96" s="335" t="s">
        <v>169</v>
      </c>
      <c r="AD96" s="342"/>
      <c r="AE96" s="2268"/>
      <c r="AF96" s="4490"/>
      <c r="AG96" s="138"/>
      <c r="AH96" s="138"/>
      <c r="AI96" s="4527" t="s">
        <v>266</v>
      </c>
      <c r="AJ96" s="18"/>
    </row>
    <row r="97" spans="2:36" ht="20.100000000000001" customHeight="1">
      <c r="B97" s="4505" t="s">
        <v>2281</v>
      </c>
      <c r="C97" s="1945"/>
      <c r="D97" s="9749" t="s">
        <v>273</v>
      </c>
      <c r="E97" s="9648"/>
      <c r="F97" s="87" t="s">
        <v>255</v>
      </c>
      <c r="G97" s="662"/>
      <c r="H97" s="296"/>
      <c r="I97" s="344" t="s">
        <v>274</v>
      </c>
      <c r="J97" s="296"/>
      <c r="K97" s="91" t="s">
        <v>255</v>
      </c>
      <c r="L97" s="2267"/>
      <c r="M97" s="342"/>
      <c r="N97" s="335"/>
      <c r="O97" s="342"/>
      <c r="P97" s="2268"/>
      <c r="Q97" s="2267"/>
      <c r="R97" s="342"/>
      <c r="S97" s="335"/>
      <c r="T97" s="342"/>
      <c r="U97" s="2268"/>
      <c r="V97" s="2267" t="s">
        <v>641</v>
      </c>
      <c r="W97" s="342"/>
      <c r="X97" s="100" t="s">
        <v>641</v>
      </c>
      <c r="Y97" s="293"/>
      <c r="Z97" s="100" t="s">
        <v>641</v>
      </c>
      <c r="AA97" s="2267" t="s">
        <v>169</v>
      </c>
      <c r="AB97" s="342"/>
      <c r="AC97" s="335" t="s">
        <v>169</v>
      </c>
      <c r="AD97" s="342"/>
      <c r="AE97" s="2268"/>
      <c r="AF97" s="4490"/>
      <c r="AG97" s="138"/>
      <c r="AH97" s="138"/>
      <c r="AI97" s="4527" t="s">
        <v>277</v>
      </c>
      <c r="AJ97" s="18"/>
    </row>
    <row r="98" spans="2:36" ht="20.100000000000001" hidden="1" customHeight="1">
      <c r="B98" s="4505" t="s">
        <v>2281</v>
      </c>
      <c r="C98" s="10038" t="s">
        <v>296</v>
      </c>
      <c r="D98" s="9769"/>
      <c r="E98" s="9769"/>
      <c r="F98" s="280" t="s">
        <v>255</v>
      </c>
      <c r="G98" s="416"/>
      <c r="H98" s="143" t="s">
        <v>297</v>
      </c>
      <c r="I98" s="143"/>
      <c r="J98" s="144"/>
      <c r="K98" s="281" t="s">
        <v>255</v>
      </c>
      <c r="L98" s="2186"/>
      <c r="M98" s="293"/>
      <c r="N98" s="100"/>
      <c r="O98" s="293"/>
      <c r="P98" s="2187"/>
      <c r="Q98" s="2186"/>
      <c r="R98" s="293"/>
      <c r="S98" s="100"/>
      <c r="T98" s="293"/>
      <c r="U98" s="2187"/>
      <c r="V98" s="2186"/>
      <c r="W98" s="293"/>
      <c r="X98" s="100"/>
      <c r="Y98" s="293"/>
      <c r="Z98" s="2187"/>
      <c r="AA98" s="2186"/>
      <c r="AB98" s="293"/>
      <c r="AC98" s="100"/>
      <c r="AD98" s="293"/>
      <c r="AE98" s="2187"/>
      <c r="AF98" s="4490"/>
      <c r="AG98" s="138"/>
      <c r="AH98" s="138"/>
      <c r="AI98" s="187" t="s">
        <v>300</v>
      </c>
      <c r="AJ98" s="18"/>
    </row>
    <row r="99" spans="2:36" ht="20.100000000000001" hidden="1" customHeight="1">
      <c r="B99" s="4505" t="s">
        <v>2281</v>
      </c>
      <c r="C99" s="4528"/>
      <c r="D99" s="9770" t="s">
        <v>303</v>
      </c>
      <c r="E99" s="9769"/>
      <c r="F99" s="280" t="s">
        <v>255</v>
      </c>
      <c r="G99" s="106"/>
      <c r="H99" s="348"/>
      <c r="I99" s="349" t="s">
        <v>2771</v>
      </c>
      <c r="J99" s="144"/>
      <c r="K99" s="281" t="s">
        <v>255</v>
      </c>
      <c r="L99" s="2186"/>
      <c r="M99" s="293"/>
      <c r="N99" s="100"/>
      <c r="O99" s="293"/>
      <c r="P99" s="2187"/>
      <c r="Q99" s="2186"/>
      <c r="R99" s="293"/>
      <c r="S99" s="100"/>
      <c r="T99" s="293"/>
      <c r="U99" s="2187"/>
      <c r="V99" s="2186"/>
      <c r="W99" s="293"/>
      <c r="X99" s="100"/>
      <c r="Y99" s="293"/>
      <c r="Z99" s="2187"/>
      <c r="AA99" s="2186"/>
      <c r="AB99" s="293"/>
      <c r="AC99" s="100"/>
      <c r="AD99" s="293"/>
      <c r="AE99" s="2187"/>
      <c r="AF99" s="4515"/>
      <c r="AG99" s="138"/>
      <c r="AH99" s="138"/>
      <c r="AI99" s="187" t="s">
        <v>300</v>
      </c>
      <c r="AJ99" s="18"/>
    </row>
    <row r="100" spans="2:36" ht="20.100000000000001" hidden="1" customHeight="1">
      <c r="B100" s="4505" t="s">
        <v>2281</v>
      </c>
      <c r="C100" s="1945"/>
      <c r="D100" s="9770" t="s">
        <v>1781</v>
      </c>
      <c r="E100" s="9769"/>
      <c r="F100" s="280" t="s">
        <v>255</v>
      </c>
      <c r="G100" s="106"/>
      <c r="H100" s="353"/>
      <c r="I100" s="349" t="s">
        <v>306</v>
      </c>
      <c r="J100" s="144"/>
      <c r="K100" s="280" t="s">
        <v>255</v>
      </c>
      <c r="L100" s="2205">
        <f t="shared" ref="L100" si="3">L111+L112</f>
        <v>0</v>
      </c>
      <c r="M100" s="293"/>
      <c r="N100" s="354">
        <f>N111+N112</f>
        <v>0</v>
      </c>
      <c r="O100" s="293"/>
      <c r="P100" s="2206">
        <f>P111+P112</f>
        <v>0</v>
      </c>
      <c r="Q100" s="2205">
        <f>Q111+Q112</f>
        <v>0</v>
      </c>
      <c r="R100" s="293"/>
      <c r="S100" s="354">
        <f>S111+S112</f>
        <v>0</v>
      </c>
      <c r="T100" s="293"/>
      <c r="U100" s="2206">
        <f>U111+U112</f>
        <v>0</v>
      </c>
      <c r="V100" s="2205" t="e">
        <f>V111+V112</f>
        <v>#VALUE!</v>
      </c>
      <c r="W100" s="293"/>
      <c r="X100" s="354" t="e">
        <f>X111+X112</f>
        <v>#VALUE!</v>
      </c>
      <c r="Y100" s="293"/>
      <c r="Z100" s="2206" t="e">
        <f>Z111+Z112</f>
        <v>#VALUE!</v>
      </c>
      <c r="AA100" s="2205">
        <f>AA111+AA112</f>
        <v>0</v>
      </c>
      <c r="AB100" s="293"/>
      <c r="AC100" s="354">
        <f>AC111+AC112</f>
        <v>0</v>
      </c>
      <c r="AD100" s="293"/>
      <c r="AE100" s="2206">
        <f>AE111+AE112</f>
        <v>0</v>
      </c>
      <c r="AF100" s="4490"/>
      <c r="AG100" s="138"/>
      <c r="AH100" s="138"/>
      <c r="AI100" s="187" t="s">
        <v>300</v>
      </c>
      <c r="AJ100" s="18"/>
    </row>
    <row r="101" spans="2:36" ht="20.100000000000001" customHeight="1">
      <c r="B101" s="4505" t="s">
        <v>2281</v>
      </c>
      <c r="C101" s="1775" t="s">
        <v>671</v>
      </c>
      <c r="D101" s="357"/>
      <c r="E101" s="104"/>
      <c r="F101" s="132" t="s">
        <v>255</v>
      </c>
      <c r="G101" s="106"/>
      <c r="H101" s="359" t="s">
        <v>263</v>
      </c>
      <c r="I101" s="359"/>
      <c r="J101" s="643"/>
      <c r="K101" s="136" t="s">
        <v>255</v>
      </c>
      <c r="L101" s="2385">
        <f t="shared" ref="L101" si="4">L102+L103</f>
        <v>0</v>
      </c>
      <c r="M101" s="342"/>
      <c r="N101" s="366">
        <f>N102+N103</f>
        <v>0</v>
      </c>
      <c r="O101" s="342"/>
      <c r="P101" s="2386">
        <f>P102+P103</f>
        <v>0</v>
      </c>
      <c r="Q101" s="2385">
        <f>Q102+Q103</f>
        <v>0</v>
      </c>
      <c r="R101" s="342"/>
      <c r="S101" s="366">
        <f>S102+S103</f>
        <v>0</v>
      </c>
      <c r="T101" s="342"/>
      <c r="U101" s="2386">
        <f>U102+U103</f>
        <v>0</v>
      </c>
      <c r="V101" s="2385"/>
      <c r="W101" s="342"/>
      <c r="X101" s="366"/>
      <c r="Y101" s="342"/>
      <c r="Z101" s="2386"/>
      <c r="AA101" s="2385">
        <f>AA102+AA103</f>
        <v>0</v>
      </c>
      <c r="AB101" s="342"/>
      <c r="AC101" s="366">
        <f>AC102+AC103</f>
        <v>0</v>
      </c>
      <c r="AD101" s="342"/>
      <c r="AE101" s="2386">
        <f>AE102+AE103</f>
        <v>0</v>
      </c>
      <c r="AF101" s="4490"/>
      <c r="AG101" s="138"/>
      <c r="AH101" s="138"/>
      <c r="AI101" s="4527" t="s">
        <v>269</v>
      </c>
      <c r="AJ101" s="18"/>
    </row>
    <row r="102" spans="2:36" ht="20.100000000000001" customHeight="1">
      <c r="B102" s="4505" t="s">
        <v>2281</v>
      </c>
      <c r="C102" s="4529"/>
      <c r="D102" s="9598" t="s">
        <v>267</v>
      </c>
      <c r="E102" s="9599"/>
      <c r="F102" s="132" t="s">
        <v>255</v>
      </c>
      <c r="G102" s="106"/>
      <c r="H102" s="353"/>
      <c r="I102" s="349" t="s">
        <v>268</v>
      </c>
      <c r="J102" s="144"/>
      <c r="K102" s="136" t="s">
        <v>255</v>
      </c>
      <c r="L102" s="2186"/>
      <c r="M102" s="342"/>
      <c r="N102" s="100"/>
      <c r="O102" s="342"/>
      <c r="P102" s="2187"/>
      <c r="Q102" s="2186"/>
      <c r="R102" s="342"/>
      <c r="S102" s="100"/>
      <c r="T102" s="342"/>
      <c r="U102" s="2187"/>
      <c r="V102" s="2267" t="s">
        <v>641</v>
      </c>
      <c r="W102" s="342"/>
      <c r="X102" s="100" t="s">
        <v>641</v>
      </c>
      <c r="Y102" s="275"/>
      <c r="Z102" s="100" t="s">
        <v>641</v>
      </c>
      <c r="AA102" s="2186"/>
      <c r="AB102" s="342"/>
      <c r="AC102" s="100"/>
      <c r="AD102" s="342"/>
      <c r="AE102" s="2187"/>
      <c r="AF102" s="4490"/>
      <c r="AG102" s="138"/>
      <c r="AH102" s="138"/>
      <c r="AI102" s="4495" t="s">
        <v>269</v>
      </c>
      <c r="AJ102" s="18"/>
    </row>
    <row r="103" spans="2:36" ht="20.100000000000001" customHeight="1">
      <c r="B103" s="4505" t="s">
        <v>2281</v>
      </c>
      <c r="C103" s="4530"/>
      <c r="D103" s="9773" t="s">
        <v>270</v>
      </c>
      <c r="E103" s="9774"/>
      <c r="F103" s="295" t="s">
        <v>255</v>
      </c>
      <c r="G103" s="106"/>
      <c r="H103" s="353"/>
      <c r="I103" s="349" t="s">
        <v>271</v>
      </c>
      <c r="J103" s="144"/>
      <c r="K103" s="372" t="s">
        <v>255</v>
      </c>
      <c r="L103" s="2186"/>
      <c r="M103" s="342"/>
      <c r="N103" s="100"/>
      <c r="O103" s="342"/>
      <c r="P103" s="2187"/>
      <c r="Q103" s="2186"/>
      <c r="R103" s="342"/>
      <c r="S103" s="100"/>
      <c r="T103" s="342"/>
      <c r="U103" s="2187"/>
      <c r="V103" s="2267" t="s">
        <v>641</v>
      </c>
      <c r="W103" s="342"/>
      <c r="X103" s="100" t="s">
        <v>641</v>
      </c>
      <c r="Y103" s="293"/>
      <c r="Z103" s="100" t="s">
        <v>641</v>
      </c>
      <c r="AA103" s="2186"/>
      <c r="AB103" s="342"/>
      <c r="AC103" s="100"/>
      <c r="AD103" s="342"/>
      <c r="AE103" s="2187"/>
      <c r="AF103" s="4490"/>
      <c r="AG103" s="138"/>
      <c r="AH103" s="138"/>
      <c r="AI103" s="4495" t="s">
        <v>269</v>
      </c>
      <c r="AJ103" s="18"/>
    </row>
    <row r="104" spans="2:36" ht="20.100000000000001" customHeight="1">
      <c r="B104" s="4505" t="s">
        <v>2281</v>
      </c>
      <c r="C104" s="266" t="s">
        <v>675</v>
      </c>
      <c r="D104" s="306"/>
      <c r="E104" s="161"/>
      <c r="F104" s="280" t="s">
        <v>255</v>
      </c>
      <c r="G104" s="416"/>
      <c r="H104" s="143" t="s">
        <v>274</v>
      </c>
      <c r="I104" s="143"/>
      <c r="J104" s="144"/>
      <c r="K104" s="281" t="s">
        <v>255</v>
      </c>
      <c r="L104" s="2342">
        <f t="shared" ref="L104" si="5">L105+L106+L107</f>
        <v>0</v>
      </c>
      <c r="M104" s="342"/>
      <c r="N104" s="378">
        <f>N105+N106+N107</f>
        <v>0</v>
      </c>
      <c r="O104" s="342"/>
      <c r="P104" s="2343">
        <f>P105+P106+P107</f>
        <v>0</v>
      </c>
      <c r="Q104" s="2342">
        <f>Q105+Q106+Q107</f>
        <v>0</v>
      </c>
      <c r="R104" s="342"/>
      <c r="S104" s="378">
        <f>S105+S106+S107</f>
        <v>0</v>
      </c>
      <c r="T104" s="342"/>
      <c r="U104" s="2343">
        <f>U105+U106+U107</f>
        <v>0</v>
      </c>
      <c r="V104" s="2342"/>
      <c r="W104" s="342"/>
      <c r="X104" s="378"/>
      <c r="Y104" s="342"/>
      <c r="Z104" s="2343"/>
      <c r="AA104" s="2342">
        <f>AA105+AA106+AA107</f>
        <v>0</v>
      </c>
      <c r="AB104" s="342"/>
      <c r="AC104" s="378">
        <f>AC105+AC106+AC107</f>
        <v>0</v>
      </c>
      <c r="AD104" s="342"/>
      <c r="AE104" s="2343">
        <f>AE105+AE106+AE107</f>
        <v>0</v>
      </c>
      <c r="AF104" s="4490"/>
      <c r="AG104" s="138"/>
      <c r="AH104" s="138"/>
      <c r="AI104" s="4527" t="s">
        <v>280</v>
      </c>
      <c r="AJ104" s="18"/>
    </row>
    <row r="105" spans="2:36" ht="20.100000000000001" customHeight="1">
      <c r="B105" s="4505" t="s">
        <v>2281</v>
      </c>
      <c r="C105" s="4528"/>
      <c r="D105" s="306" t="s">
        <v>278</v>
      </c>
      <c r="E105" s="306"/>
      <c r="F105" s="280" t="s">
        <v>255</v>
      </c>
      <c r="G105" s="106"/>
      <c r="H105" s="348"/>
      <c r="I105" s="349" t="s">
        <v>279</v>
      </c>
      <c r="J105" s="144"/>
      <c r="K105" s="281" t="s">
        <v>255</v>
      </c>
      <c r="L105" s="2186"/>
      <c r="M105" s="342"/>
      <c r="N105" s="100"/>
      <c r="O105" s="342"/>
      <c r="P105" s="2187"/>
      <c r="Q105" s="2186"/>
      <c r="R105" s="342"/>
      <c r="S105" s="100"/>
      <c r="T105" s="342"/>
      <c r="U105" s="2187"/>
      <c r="V105" s="2267" t="s">
        <v>641</v>
      </c>
      <c r="W105" s="342"/>
      <c r="X105" s="100" t="s">
        <v>641</v>
      </c>
      <c r="Y105" s="275"/>
      <c r="Z105" s="100" t="s">
        <v>641</v>
      </c>
      <c r="AA105" s="2186"/>
      <c r="AB105" s="342"/>
      <c r="AC105" s="100"/>
      <c r="AD105" s="342"/>
      <c r="AE105" s="2187"/>
      <c r="AF105" s="4490"/>
      <c r="AG105" s="138"/>
      <c r="AH105" s="138"/>
      <c r="AI105" s="4527" t="s">
        <v>280</v>
      </c>
      <c r="AJ105" s="18"/>
    </row>
    <row r="106" spans="2:36" ht="20.100000000000001" customHeight="1">
      <c r="B106" s="4505" t="s">
        <v>2281</v>
      </c>
      <c r="C106" s="4531"/>
      <c r="D106" s="9773" t="s">
        <v>281</v>
      </c>
      <c r="E106" s="9774"/>
      <c r="F106" s="280" t="s">
        <v>255</v>
      </c>
      <c r="G106" s="106"/>
      <c r="H106" s="353"/>
      <c r="I106" s="184" t="s">
        <v>282</v>
      </c>
      <c r="J106" s="141"/>
      <c r="K106" s="281" t="s">
        <v>255</v>
      </c>
      <c r="L106" s="2186"/>
      <c r="M106" s="342"/>
      <c r="N106" s="100"/>
      <c r="O106" s="342"/>
      <c r="P106" s="2187"/>
      <c r="Q106" s="2186"/>
      <c r="R106" s="342"/>
      <c r="S106" s="100"/>
      <c r="T106" s="342"/>
      <c r="U106" s="2187"/>
      <c r="V106" s="2267" t="s">
        <v>641</v>
      </c>
      <c r="W106" s="342"/>
      <c r="X106" s="100" t="s">
        <v>641</v>
      </c>
      <c r="Y106" s="293"/>
      <c r="Z106" s="100" t="s">
        <v>641</v>
      </c>
      <c r="AA106" s="2186"/>
      <c r="AB106" s="342"/>
      <c r="AC106" s="100"/>
      <c r="AD106" s="342"/>
      <c r="AE106" s="2187"/>
      <c r="AF106" s="4490"/>
      <c r="AG106" s="138"/>
      <c r="AH106" s="138"/>
      <c r="AI106" s="4527" t="s">
        <v>280</v>
      </c>
      <c r="AJ106" s="18"/>
    </row>
    <row r="107" spans="2:36" ht="20.100000000000001" customHeight="1">
      <c r="B107" s="4505" t="s">
        <v>2281</v>
      </c>
      <c r="C107" s="1945"/>
      <c r="D107" s="9598" t="s">
        <v>283</v>
      </c>
      <c r="E107" s="9599"/>
      <c r="F107" s="280" t="s">
        <v>255</v>
      </c>
      <c r="G107" s="106"/>
      <c r="H107" s="385"/>
      <c r="I107" s="184" t="s">
        <v>284</v>
      </c>
      <c r="J107" s="141"/>
      <c r="K107" s="281" t="s">
        <v>255</v>
      </c>
      <c r="L107" s="2186"/>
      <c r="M107" s="342"/>
      <c r="N107" s="100"/>
      <c r="O107" s="342"/>
      <c r="P107" s="2187"/>
      <c r="Q107" s="2186"/>
      <c r="R107" s="342"/>
      <c r="S107" s="100"/>
      <c r="T107" s="342"/>
      <c r="U107" s="2187"/>
      <c r="V107" s="2267" t="s">
        <v>641</v>
      </c>
      <c r="W107" s="342"/>
      <c r="X107" s="100" t="s">
        <v>641</v>
      </c>
      <c r="Y107" s="293"/>
      <c r="Z107" s="100" t="s">
        <v>641</v>
      </c>
      <c r="AA107" s="2186"/>
      <c r="AB107" s="342"/>
      <c r="AC107" s="100"/>
      <c r="AD107" s="342"/>
      <c r="AE107" s="2187"/>
      <c r="AF107" s="4490"/>
      <c r="AG107" s="138"/>
      <c r="AH107" s="138"/>
      <c r="AI107" s="4527" t="s">
        <v>280</v>
      </c>
      <c r="AJ107" s="18"/>
    </row>
    <row r="108" spans="2:36" ht="20.100000000000001" customHeight="1">
      <c r="B108" s="4505" t="s">
        <v>2281</v>
      </c>
      <c r="C108" s="10038" t="s">
        <v>285</v>
      </c>
      <c r="D108" s="9769"/>
      <c r="E108" s="9769"/>
      <c r="F108" s="105" t="s">
        <v>286</v>
      </c>
      <c r="G108" s="662"/>
      <c r="H108" s="140" t="s">
        <v>287</v>
      </c>
      <c r="I108" s="140"/>
      <c r="J108" s="141"/>
      <c r="K108" s="109" t="s">
        <v>288</v>
      </c>
      <c r="L108" s="2270" t="str">
        <f t="shared" ref="L108" si="6">IFERROR(L109/L110,"-")</f>
        <v>-</v>
      </c>
      <c r="M108" s="342"/>
      <c r="N108" s="391" t="str">
        <f>IFERROR(N109/N110,"-")</f>
        <v>-</v>
      </c>
      <c r="O108" s="342"/>
      <c r="P108" s="2216" t="str">
        <f>IFERROR(P109/P110,"-")</f>
        <v>-</v>
      </c>
      <c r="Q108" s="2270" t="str">
        <f>IFERROR(Q109/Q110,"-")</f>
        <v>-</v>
      </c>
      <c r="R108" s="342"/>
      <c r="S108" s="391" t="str">
        <f>IFERROR(S109/S110,"-")</f>
        <v>-</v>
      </c>
      <c r="T108" s="342"/>
      <c r="U108" s="2216" t="str">
        <f>IFERROR(U109/U110,"-")</f>
        <v>-</v>
      </c>
      <c r="V108" s="2270" t="str">
        <f>IFERROR(V109/V110,"-")</f>
        <v>-</v>
      </c>
      <c r="W108" s="342"/>
      <c r="X108" s="391" t="str">
        <f>IFERROR(X109/X110,"-")</f>
        <v>-</v>
      </c>
      <c r="Y108" s="342"/>
      <c r="Z108" s="2216" t="str">
        <f>IFERROR(Z109/Z110,"-")</f>
        <v>-</v>
      </c>
      <c r="AA108" s="2270" t="str">
        <f>IFERROR(AA109/AA110,"-")</f>
        <v>-</v>
      </c>
      <c r="AB108" s="342"/>
      <c r="AC108" s="391" t="str">
        <f>IFERROR(AC109/AC110,"-")</f>
        <v>-</v>
      </c>
      <c r="AD108" s="342"/>
      <c r="AE108" s="2216" t="str">
        <f>IFERROR(AE109/AE110,"-")</f>
        <v>-</v>
      </c>
      <c r="AF108" s="4490"/>
      <c r="AG108" s="138"/>
      <c r="AH108" s="138"/>
      <c r="AI108" s="187" t="s">
        <v>291</v>
      </c>
      <c r="AJ108" s="18"/>
    </row>
    <row r="109" spans="2:36" ht="20.100000000000001" customHeight="1">
      <c r="B109" s="4505" t="s">
        <v>2281</v>
      </c>
      <c r="C109" s="4528"/>
      <c r="D109" s="9770" t="s">
        <v>254</v>
      </c>
      <c r="E109" s="9769"/>
      <c r="F109" s="280" t="s">
        <v>255</v>
      </c>
      <c r="G109" s="106"/>
      <c r="H109" s="353"/>
      <c r="I109" s="184" t="s">
        <v>293</v>
      </c>
      <c r="J109" s="177"/>
      <c r="K109" s="281" t="s">
        <v>255</v>
      </c>
      <c r="L109" s="2186"/>
      <c r="M109" s="293"/>
      <c r="N109" s="100"/>
      <c r="O109" s="342"/>
      <c r="P109" s="2187"/>
      <c r="Q109" s="2186"/>
      <c r="R109" s="342"/>
      <c r="S109" s="100"/>
      <c r="T109" s="293"/>
      <c r="U109" s="2187"/>
      <c r="V109" s="2267" t="s">
        <v>641</v>
      </c>
      <c r="W109" s="342"/>
      <c r="X109" s="100" t="s">
        <v>641</v>
      </c>
      <c r="Y109" s="293"/>
      <c r="Z109" s="100" t="s">
        <v>641</v>
      </c>
      <c r="AA109" s="2186"/>
      <c r="AB109" s="342"/>
      <c r="AC109" s="100"/>
      <c r="AD109" s="342"/>
      <c r="AE109" s="2187"/>
      <c r="AF109" s="4490"/>
      <c r="AG109" s="138"/>
      <c r="AH109" s="138"/>
      <c r="AI109" s="187" t="s">
        <v>294</v>
      </c>
      <c r="AJ109" s="18"/>
    </row>
    <row r="110" spans="2:36" ht="20.100000000000001" customHeight="1">
      <c r="B110" s="4505" t="s">
        <v>2281</v>
      </c>
      <c r="C110" s="1945"/>
      <c r="D110" s="9770" t="s">
        <v>232</v>
      </c>
      <c r="E110" s="9769"/>
      <c r="F110" s="105" t="s">
        <v>233</v>
      </c>
      <c r="G110" s="106"/>
      <c r="H110" s="353"/>
      <c r="I110" s="184" t="s">
        <v>234</v>
      </c>
      <c r="J110" s="177"/>
      <c r="K110" s="109" t="s">
        <v>295</v>
      </c>
      <c r="L110" s="2186"/>
      <c r="M110" s="293"/>
      <c r="N110" s="100"/>
      <c r="O110" s="293"/>
      <c r="P110" s="2187"/>
      <c r="Q110" s="2186"/>
      <c r="R110" s="293"/>
      <c r="S110" s="100"/>
      <c r="T110" s="293"/>
      <c r="U110" s="2187"/>
      <c r="V110" s="2267" t="s">
        <v>641</v>
      </c>
      <c r="W110" s="342"/>
      <c r="X110" s="100" t="s">
        <v>641</v>
      </c>
      <c r="Y110" s="293"/>
      <c r="Z110" s="100" t="s">
        <v>641</v>
      </c>
      <c r="AA110" s="2186"/>
      <c r="AB110" s="293"/>
      <c r="AC110" s="100"/>
      <c r="AD110" s="342"/>
      <c r="AE110" s="2187"/>
      <c r="AF110" s="4490"/>
      <c r="AG110" s="138"/>
      <c r="AH110" s="138"/>
      <c r="AI110" s="187" t="s">
        <v>291</v>
      </c>
      <c r="AJ110" s="18"/>
    </row>
    <row r="111" spans="2:36" ht="20.100000000000001" customHeight="1">
      <c r="B111" s="4505" t="s">
        <v>2281</v>
      </c>
      <c r="C111" s="10038" t="s">
        <v>321</v>
      </c>
      <c r="D111" s="9769"/>
      <c r="E111" s="9769"/>
      <c r="F111" s="280" t="s">
        <v>255</v>
      </c>
      <c r="G111" s="662"/>
      <c r="H111" s="140" t="s">
        <v>322</v>
      </c>
      <c r="I111" s="140"/>
      <c r="J111" s="141"/>
      <c r="K111" s="281" t="s">
        <v>255</v>
      </c>
      <c r="L111" s="2186"/>
      <c r="M111" s="293"/>
      <c r="N111" s="100"/>
      <c r="O111" s="293"/>
      <c r="P111" s="2187"/>
      <c r="Q111" s="2186"/>
      <c r="R111" s="293"/>
      <c r="S111" s="100"/>
      <c r="T111" s="293"/>
      <c r="U111" s="2187"/>
      <c r="V111" s="2267" t="s">
        <v>641</v>
      </c>
      <c r="W111" s="342"/>
      <c r="X111" s="100" t="s">
        <v>641</v>
      </c>
      <c r="Y111" s="293"/>
      <c r="Z111" s="100" t="s">
        <v>641</v>
      </c>
      <c r="AA111" s="2186"/>
      <c r="AB111" s="293"/>
      <c r="AC111" s="100"/>
      <c r="AD111" s="293"/>
      <c r="AE111" s="2187"/>
      <c r="AF111" s="4490"/>
      <c r="AG111" s="138"/>
      <c r="AH111" s="138"/>
      <c r="AI111" s="187" t="s">
        <v>323</v>
      </c>
      <c r="AJ111" s="18"/>
    </row>
    <row r="112" spans="2:36" ht="20.100000000000001" customHeight="1">
      <c r="B112" s="4505" t="s">
        <v>2281</v>
      </c>
      <c r="C112" s="10146" t="s">
        <v>324</v>
      </c>
      <c r="D112" s="9648"/>
      <c r="E112" s="9648"/>
      <c r="F112" s="280" t="s">
        <v>156</v>
      </c>
      <c r="G112" s="662"/>
      <c r="H112" s="140" t="s">
        <v>325</v>
      </c>
      <c r="I112" s="140"/>
      <c r="J112" s="141"/>
      <c r="K112" s="281" t="s">
        <v>156</v>
      </c>
      <c r="L112" s="2186"/>
      <c r="M112" s="293"/>
      <c r="N112" s="100"/>
      <c r="O112" s="293"/>
      <c r="P112" s="2187"/>
      <c r="Q112" s="2186"/>
      <c r="R112" s="293"/>
      <c r="S112" s="100"/>
      <c r="T112" s="293"/>
      <c r="U112" s="2187"/>
      <c r="V112" s="2267" t="s">
        <v>641</v>
      </c>
      <c r="W112" s="342"/>
      <c r="X112" s="100" t="s">
        <v>641</v>
      </c>
      <c r="Y112" s="293"/>
      <c r="Z112" s="100" t="s">
        <v>641</v>
      </c>
      <c r="AA112" s="2186"/>
      <c r="AB112" s="293"/>
      <c r="AC112" s="100"/>
      <c r="AD112" s="293"/>
      <c r="AE112" s="2187"/>
      <c r="AF112" s="4490"/>
      <c r="AG112" s="138"/>
      <c r="AH112" s="138"/>
      <c r="AI112" s="187" t="s">
        <v>261</v>
      </c>
      <c r="AJ112" s="18"/>
    </row>
    <row r="113" spans="2:36" ht="20.100000000000001" customHeight="1">
      <c r="B113" s="4505" t="s">
        <v>2281</v>
      </c>
      <c r="C113" s="10038" t="s">
        <v>328</v>
      </c>
      <c r="D113" s="9769"/>
      <c r="E113" s="9769"/>
      <c r="F113" s="280" t="s">
        <v>307</v>
      </c>
      <c r="G113" s="662"/>
      <c r="H113" s="140" t="s">
        <v>329</v>
      </c>
      <c r="I113" s="140"/>
      <c r="J113" s="141"/>
      <c r="K113" s="281" t="s">
        <v>307</v>
      </c>
      <c r="L113" s="2387">
        <f t="shared" ref="L113" si="7">L114+L115</f>
        <v>0</v>
      </c>
      <c r="M113" s="400"/>
      <c r="N113" s="399">
        <f>N114+N115</f>
        <v>0</v>
      </c>
      <c r="O113" s="400"/>
      <c r="P113" s="2388">
        <f>P114+P115</f>
        <v>0</v>
      </c>
      <c r="Q113" s="2387">
        <f>Q114+Q115</f>
        <v>0</v>
      </c>
      <c r="R113" s="400"/>
      <c r="S113" s="399">
        <f>S114+S115</f>
        <v>0</v>
      </c>
      <c r="T113" s="400"/>
      <c r="U113" s="2388">
        <f>U114+U115</f>
        <v>0</v>
      </c>
      <c r="V113" s="2387"/>
      <c r="W113" s="400"/>
      <c r="X113" s="399"/>
      <c r="Y113" s="400"/>
      <c r="Z113" s="2388"/>
      <c r="AA113" s="2496">
        <f>AA114+AA115</f>
        <v>0</v>
      </c>
      <c r="AB113" s="400"/>
      <c r="AC113" s="401">
        <f>AC114+AC115</f>
        <v>0</v>
      </c>
      <c r="AD113" s="400"/>
      <c r="AE113" s="2388">
        <f>AE114+AE115</f>
        <v>0</v>
      </c>
      <c r="AF113" s="4490"/>
      <c r="AG113" s="138"/>
      <c r="AH113" s="138"/>
      <c r="AI113" s="187" t="s">
        <v>332</v>
      </c>
      <c r="AJ113" s="18"/>
    </row>
    <row r="114" spans="2:36" ht="20.100000000000001" customHeight="1">
      <c r="B114" s="4505" t="s">
        <v>2281</v>
      </c>
      <c r="C114" s="4528"/>
      <c r="D114" s="9770" t="s">
        <v>333</v>
      </c>
      <c r="E114" s="9769"/>
      <c r="F114" s="280" t="s">
        <v>307</v>
      </c>
      <c r="G114" s="106"/>
      <c r="H114" s="353"/>
      <c r="I114" s="386" t="s">
        <v>334</v>
      </c>
      <c r="J114" s="141"/>
      <c r="K114" s="281" t="s">
        <v>307</v>
      </c>
      <c r="L114" s="2186"/>
      <c r="M114" s="293"/>
      <c r="N114" s="100"/>
      <c r="O114" s="293"/>
      <c r="P114" s="2187"/>
      <c r="Q114" s="2186"/>
      <c r="R114" s="293"/>
      <c r="S114" s="100"/>
      <c r="T114" s="293"/>
      <c r="U114" s="2187"/>
      <c r="V114" s="2267" t="s">
        <v>641</v>
      </c>
      <c r="W114" s="342"/>
      <c r="X114" s="100" t="s">
        <v>641</v>
      </c>
      <c r="Y114" s="293"/>
      <c r="Z114" s="100" t="s">
        <v>641</v>
      </c>
      <c r="AA114" s="2186"/>
      <c r="AB114" s="293"/>
      <c r="AC114" s="100"/>
      <c r="AD114" s="293"/>
      <c r="AE114" s="2187"/>
      <c r="AF114" s="4490"/>
      <c r="AG114" s="138"/>
      <c r="AH114" s="138"/>
      <c r="AI114" s="187" t="s">
        <v>332</v>
      </c>
      <c r="AJ114" s="18"/>
    </row>
    <row r="115" spans="2:36" ht="20.100000000000001" customHeight="1">
      <c r="B115" s="4505" t="s">
        <v>2281</v>
      </c>
      <c r="C115" s="1945"/>
      <c r="D115" s="9770" t="s">
        <v>335</v>
      </c>
      <c r="E115" s="9769"/>
      <c r="F115" s="280" t="s">
        <v>307</v>
      </c>
      <c r="G115" s="106"/>
      <c r="H115" s="353"/>
      <c r="I115" s="386" t="s">
        <v>336</v>
      </c>
      <c r="J115" s="144"/>
      <c r="K115" s="281" t="s">
        <v>307</v>
      </c>
      <c r="L115" s="2186"/>
      <c r="M115" s="293"/>
      <c r="N115" s="100"/>
      <c r="O115" s="293"/>
      <c r="P115" s="2187"/>
      <c r="Q115" s="2186"/>
      <c r="R115" s="293"/>
      <c r="S115" s="100"/>
      <c r="T115" s="293"/>
      <c r="U115" s="2187"/>
      <c r="V115" s="2267" t="s">
        <v>641</v>
      </c>
      <c r="W115" s="342"/>
      <c r="X115" s="100" t="s">
        <v>641</v>
      </c>
      <c r="Y115" s="293"/>
      <c r="Z115" s="100" t="s">
        <v>641</v>
      </c>
      <c r="AA115" s="2186"/>
      <c r="AB115" s="293"/>
      <c r="AC115" s="100"/>
      <c r="AD115" s="293"/>
      <c r="AE115" s="2187"/>
      <c r="AF115" s="4490"/>
      <c r="AG115" s="138"/>
      <c r="AH115" s="138"/>
      <c r="AI115" s="187" t="s">
        <v>332</v>
      </c>
      <c r="AJ115" s="18"/>
    </row>
    <row r="116" spans="2:36" ht="20.100000000000001" customHeight="1">
      <c r="B116" s="4505" t="s">
        <v>2281</v>
      </c>
      <c r="C116" s="10146" t="s">
        <v>337</v>
      </c>
      <c r="D116" s="9648"/>
      <c r="E116" s="9648"/>
      <c r="F116" s="280" t="s">
        <v>156</v>
      </c>
      <c r="G116" s="662"/>
      <c r="H116" s="140" t="s">
        <v>338</v>
      </c>
      <c r="I116" s="140"/>
      <c r="J116" s="177"/>
      <c r="K116" s="281" t="s">
        <v>156</v>
      </c>
      <c r="L116" s="2186"/>
      <c r="M116" s="293"/>
      <c r="N116" s="100"/>
      <c r="O116" s="293"/>
      <c r="P116" s="2187"/>
      <c r="Q116" s="2186"/>
      <c r="R116" s="293"/>
      <c r="S116" s="100"/>
      <c r="T116" s="293"/>
      <c r="U116" s="2187"/>
      <c r="V116" s="2267" t="s">
        <v>641</v>
      </c>
      <c r="W116" s="342"/>
      <c r="X116" s="100" t="s">
        <v>641</v>
      </c>
      <c r="Y116" s="293"/>
      <c r="Z116" s="100" t="s">
        <v>641</v>
      </c>
      <c r="AA116" s="2186"/>
      <c r="AB116" s="293"/>
      <c r="AC116" s="100"/>
      <c r="AD116" s="293"/>
      <c r="AE116" s="2187"/>
      <c r="AF116" s="4490"/>
      <c r="AG116" s="138"/>
      <c r="AH116" s="138"/>
      <c r="AI116" s="187" t="s">
        <v>261</v>
      </c>
      <c r="AJ116" s="18"/>
    </row>
    <row r="117" spans="2:36" ht="20.100000000000001" customHeight="1">
      <c r="B117" s="4505" t="s">
        <v>2281</v>
      </c>
      <c r="C117" s="4514"/>
      <c r="D117" s="196" t="s">
        <v>677</v>
      </c>
      <c r="E117" s="196"/>
      <c r="F117" s="295" t="s">
        <v>307</v>
      </c>
      <c r="G117" s="106"/>
      <c r="H117" s="353"/>
      <c r="I117" s="184" t="s">
        <v>274</v>
      </c>
      <c r="J117" s="177"/>
      <c r="K117" s="281" t="s">
        <v>307</v>
      </c>
      <c r="L117" s="2186"/>
      <c r="M117" s="293"/>
      <c r="N117" s="100"/>
      <c r="O117" s="293"/>
      <c r="P117" s="2187"/>
      <c r="Q117" s="2186"/>
      <c r="R117" s="293"/>
      <c r="S117" s="100"/>
      <c r="T117" s="293"/>
      <c r="U117" s="2187"/>
      <c r="V117" s="2267" t="s">
        <v>641</v>
      </c>
      <c r="W117" s="342"/>
      <c r="X117" s="100" t="s">
        <v>641</v>
      </c>
      <c r="Y117" s="293"/>
      <c r="Z117" s="100" t="s">
        <v>641</v>
      </c>
      <c r="AA117" s="2186"/>
      <c r="AB117" s="293"/>
      <c r="AC117" s="100"/>
      <c r="AD117" s="293"/>
      <c r="AE117" s="2187"/>
      <c r="AF117" s="4490"/>
      <c r="AG117" s="138"/>
      <c r="AH117" s="138"/>
      <c r="AI117" s="4532" t="s">
        <v>277</v>
      </c>
      <c r="AJ117" s="18"/>
    </row>
    <row r="118" spans="2:36" ht="20.100000000000001" customHeight="1" thickBot="1">
      <c r="B118" s="4505" t="s">
        <v>2281</v>
      </c>
      <c r="C118" s="4516"/>
      <c r="D118" s="196" t="s">
        <v>254</v>
      </c>
      <c r="E118" s="196"/>
      <c r="F118" s="295" t="s">
        <v>307</v>
      </c>
      <c r="G118" s="384"/>
      <c r="H118" s="353"/>
      <c r="I118" s="184" t="s">
        <v>256</v>
      </c>
      <c r="J118" s="177"/>
      <c r="K118" s="281" t="s">
        <v>307</v>
      </c>
      <c r="L118" s="2186"/>
      <c r="M118" s="293"/>
      <c r="N118" s="100"/>
      <c r="O118" s="293"/>
      <c r="P118" s="2187"/>
      <c r="Q118" s="2186"/>
      <c r="R118" s="293"/>
      <c r="S118" s="100"/>
      <c r="T118" s="293"/>
      <c r="U118" s="2187"/>
      <c r="V118" s="2267" t="s">
        <v>641</v>
      </c>
      <c r="W118" s="342"/>
      <c r="X118" s="100" t="s">
        <v>641</v>
      </c>
      <c r="Y118" s="293"/>
      <c r="Z118" s="100" t="s">
        <v>641</v>
      </c>
      <c r="AA118" s="2186"/>
      <c r="AB118" s="293"/>
      <c r="AC118" s="100"/>
      <c r="AD118" s="293"/>
      <c r="AE118" s="2187"/>
      <c r="AF118" s="4490"/>
      <c r="AG118" s="138"/>
      <c r="AH118" s="138"/>
      <c r="AI118" s="4532" t="s">
        <v>259</v>
      </c>
      <c r="AJ118" s="18"/>
    </row>
    <row r="119" spans="2:36" ht="20.100000000000001" hidden="1" customHeight="1" thickBot="1">
      <c r="B119" s="4505" t="s">
        <v>2281</v>
      </c>
      <c r="C119" s="4517" t="s">
        <v>1785</v>
      </c>
      <c r="D119" s="407"/>
      <c r="E119" s="407"/>
      <c r="F119" s="4519" t="s">
        <v>168</v>
      </c>
      <c r="G119" s="408"/>
      <c r="H119" s="312" t="s">
        <v>310</v>
      </c>
      <c r="I119" s="4533"/>
      <c r="J119" s="4534"/>
      <c r="K119" s="315" t="s">
        <v>168</v>
      </c>
      <c r="L119" s="2275"/>
      <c r="M119" s="413"/>
      <c r="N119" s="320"/>
      <c r="O119" s="413"/>
      <c r="P119" s="2276"/>
      <c r="Q119" s="2275"/>
      <c r="R119" s="413"/>
      <c r="S119" s="320"/>
      <c r="T119" s="413"/>
      <c r="U119" s="2276"/>
      <c r="V119" s="2275"/>
      <c r="W119" s="413"/>
      <c r="X119" s="320"/>
      <c r="Y119" s="413"/>
      <c r="Z119" s="2276"/>
      <c r="AA119" s="2275"/>
      <c r="AB119" s="413"/>
      <c r="AC119" s="320"/>
      <c r="AD119" s="413"/>
      <c r="AE119" s="2276"/>
      <c r="AF119" s="4490"/>
      <c r="AG119" s="138"/>
      <c r="AH119" s="138"/>
      <c r="AI119" s="187"/>
      <c r="AJ119" s="18"/>
    </row>
    <row r="120" spans="2:36" ht="20.100000000000001" hidden="1" customHeight="1" thickBot="1">
      <c r="B120" s="4505" t="s">
        <v>2281</v>
      </c>
      <c r="C120" s="4522"/>
      <c r="D120" s="197" t="s">
        <v>314</v>
      </c>
      <c r="E120" s="195"/>
      <c r="F120" s="295" t="s">
        <v>307</v>
      </c>
      <c r="G120" s="337"/>
      <c r="H120" s="287"/>
      <c r="I120" s="198" t="s">
        <v>315</v>
      </c>
      <c r="J120" s="177"/>
      <c r="K120" s="281" t="s">
        <v>307</v>
      </c>
      <c r="L120" s="2186"/>
      <c r="M120" s="293"/>
      <c r="N120" s="100"/>
      <c r="O120" s="293"/>
      <c r="P120" s="2187"/>
      <c r="Q120" s="2186"/>
      <c r="R120" s="293"/>
      <c r="S120" s="100"/>
      <c r="T120" s="293"/>
      <c r="U120" s="2187"/>
      <c r="V120" s="2186"/>
      <c r="W120" s="293"/>
      <c r="X120" s="100"/>
      <c r="Y120" s="293"/>
      <c r="Z120" s="2187"/>
      <c r="AA120" s="2186"/>
      <c r="AB120" s="293"/>
      <c r="AC120" s="100"/>
      <c r="AD120" s="293"/>
      <c r="AE120" s="2187"/>
      <c r="AF120" s="4490"/>
      <c r="AG120" s="138"/>
      <c r="AH120" s="138"/>
      <c r="AI120" s="4495"/>
      <c r="AJ120" s="18"/>
    </row>
    <row r="121" spans="2:36" ht="20.100000000000001" hidden="1" customHeight="1" thickBot="1">
      <c r="B121" s="4505" t="s">
        <v>2281</v>
      </c>
      <c r="C121" s="4535"/>
      <c r="D121" s="205" t="s">
        <v>318</v>
      </c>
      <c r="E121" s="415"/>
      <c r="F121" s="280" t="s">
        <v>307</v>
      </c>
      <c r="G121" s="416"/>
      <c r="H121" s="417"/>
      <c r="I121" s="184" t="s">
        <v>319</v>
      </c>
      <c r="J121" s="177"/>
      <c r="K121" s="281" t="s">
        <v>307</v>
      </c>
      <c r="L121" s="2186"/>
      <c r="M121" s="293"/>
      <c r="N121" s="100"/>
      <c r="O121" s="293"/>
      <c r="P121" s="2187"/>
      <c r="Q121" s="2186"/>
      <c r="R121" s="293"/>
      <c r="S121" s="100"/>
      <c r="T121" s="293"/>
      <c r="U121" s="2187"/>
      <c r="V121" s="2186"/>
      <c r="W121" s="293"/>
      <c r="X121" s="100"/>
      <c r="Y121" s="293"/>
      <c r="Z121" s="2187"/>
      <c r="AA121" s="2186"/>
      <c r="AB121" s="293"/>
      <c r="AC121" s="100"/>
      <c r="AD121" s="293"/>
      <c r="AE121" s="2187"/>
      <c r="AF121" s="4490"/>
      <c r="AG121" s="138"/>
      <c r="AH121" s="138"/>
      <c r="AI121" s="4495"/>
      <c r="AJ121" s="18"/>
    </row>
    <row r="122" spans="2:36" ht="20.100000000000001" hidden="1" customHeight="1" thickBot="1">
      <c r="B122" s="4505" t="s">
        <v>2281</v>
      </c>
      <c r="C122" s="4536"/>
      <c r="D122" s="418" t="s">
        <v>312</v>
      </c>
      <c r="E122" s="415"/>
      <c r="F122" s="419" t="s">
        <v>307</v>
      </c>
      <c r="G122" s="420"/>
      <c r="H122" s="421"/>
      <c r="I122" s="327" t="s">
        <v>313</v>
      </c>
      <c r="J122" s="422"/>
      <c r="K122" s="423" t="s">
        <v>307</v>
      </c>
      <c r="L122" s="2186"/>
      <c r="M122" s="426"/>
      <c r="N122" s="100"/>
      <c r="O122" s="426"/>
      <c r="P122" s="2187"/>
      <c r="Q122" s="2186"/>
      <c r="R122" s="426"/>
      <c r="S122" s="100"/>
      <c r="T122" s="426"/>
      <c r="U122" s="2187"/>
      <c r="V122" s="2186"/>
      <c r="W122" s="426"/>
      <c r="X122" s="100"/>
      <c r="Y122" s="426"/>
      <c r="Z122" s="2187"/>
      <c r="AA122" s="2186"/>
      <c r="AB122" s="426"/>
      <c r="AC122" s="100"/>
      <c r="AD122" s="426"/>
      <c r="AE122" s="2187"/>
      <c r="AF122" s="4490"/>
      <c r="AG122" s="218"/>
      <c r="AH122" s="218"/>
      <c r="AI122" s="4498"/>
      <c r="AJ122" s="18"/>
    </row>
    <row r="123" spans="2:36" ht="27" thickBot="1">
      <c r="B123" s="4505" t="s">
        <v>2281</v>
      </c>
      <c r="C123" s="123" t="s">
        <v>341</v>
      </c>
      <c r="D123" s="124"/>
      <c r="E123" s="124"/>
      <c r="F123" s="124"/>
      <c r="G123" s="428" t="s">
        <v>342</v>
      </c>
      <c r="H123" s="429"/>
      <c r="I123" s="429"/>
      <c r="J123" s="429"/>
      <c r="K123" s="430"/>
      <c r="L123" s="2175"/>
      <c r="M123" s="148"/>
      <c r="N123" s="148"/>
      <c r="O123" s="148"/>
      <c r="P123" s="2176"/>
      <c r="Q123" s="2175"/>
      <c r="R123" s="148"/>
      <c r="S123" s="148"/>
      <c r="T123" s="148"/>
      <c r="U123" s="2176"/>
      <c r="V123" s="2175"/>
      <c r="W123" s="148"/>
      <c r="X123" s="148"/>
      <c r="Y123" s="148"/>
      <c r="Z123" s="2176"/>
      <c r="AA123" s="2175"/>
      <c r="AB123" s="148"/>
      <c r="AC123" s="148"/>
      <c r="AD123" s="148"/>
      <c r="AE123" s="2176"/>
      <c r="AF123" s="4493"/>
      <c r="AG123" s="129"/>
      <c r="AH123" s="129"/>
      <c r="AI123" s="1006"/>
      <c r="AJ123" s="18"/>
    </row>
    <row r="124" spans="2:36" ht="20.100000000000001" customHeight="1">
      <c r="B124" s="4505" t="s">
        <v>2281</v>
      </c>
      <c r="C124" s="10082" t="s">
        <v>343</v>
      </c>
      <c r="D124" s="9777"/>
      <c r="E124" s="9777"/>
      <c r="F124" s="132" t="s">
        <v>344</v>
      </c>
      <c r="G124" s="4537"/>
      <c r="H124" s="435" t="s">
        <v>345</v>
      </c>
      <c r="I124" s="435"/>
      <c r="J124" s="435"/>
      <c r="K124" s="436" t="s">
        <v>344</v>
      </c>
      <c r="L124" s="2224">
        <f t="shared" ref="L124" si="8">SUM(L125:L128)</f>
        <v>0</v>
      </c>
      <c r="M124" s="441"/>
      <c r="N124" s="334">
        <f>SUM(N125:N128)</f>
        <v>0</v>
      </c>
      <c r="O124" s="441"/>
      <c r="P124" s="2225">
        <f>SUM(P125:P128)</f>
        <v>0</v>
      </c>
      <c r="Q124" s="2224">
        <f>SUM(Q125:Q128)</f>
        <v>0</v>
      </c>
      <c r="R124" s="441"/>
      <c r="S124" s="334">
        <f>SUM(S125:S128)</f>
        <v>0</v>
      </c>
      <c r="T124" s="441"/>
      <c r="U124" s="2225">
        <f>SUM(U125:U128)</f>
        <v>0</v>
      </c>
      <c r="V124" s="2224">
        <f>SUM(V125:V128)</f>
        <v>55648</v>
      </c>
      <c r="W124" s="441"/>
      <c r="X124" s="334">
        <f>SUM(X125:X128)</f>
        <v>120457</v>
      </c>
      <c r="Y124" s="441"/>
      <c r="Z124" s="2225">
        <f>SUM(Z125:Z128)</f>
        <v>134574</v>
      </c>
      <c r="AA124" s="2224">
        <f>SUM(AA125:AA128)</f>
        <v>0</v>
      </c>
      <c r="AB124" s="441"/>
      <c r="AC124" s="334">
        <f>SUM(AC125:AC128)</f>
        <v>0</v>
      </c>
      <c r="AD124" s="441"/>
      <c r="AE124" s="2225">
        <f>SUM(AE125:AE128)</f>
        <v>0</v>
      </c>
      <c r="AF124" s="4490"/>
      <c r="AG124" s="138"/>
      <c r="AH124" s="138"/>
      <c r="AI124" s="187" t="s">
        <v>348</v>
      </c>
      <c r="AJ124" s="18"/>
    </row>
    <row r="125" spans="2:36" ht="20.100000000000001" customHeight="1">
      <c r="B125" s="4505" t="s">
        <v>2281</v>
      </c>
      <c r="C125" s="4538"/>
      <c r="D125" s="267" t="s">
        <v>679</v>
      </c>
      <c r="E125" s="445"/>
      <c r="F125" s="132" t="s">
        <v>344</v>
      </c>
      <c r="G125" s="662"/>
      <c r="H125" s="446"/>
      <c r="I125" s="1065" t="s">
        <v>353</v>
      </c>
      <c r="J125" s="1099"/>
      <c r="K125" s="91" t="s">
        <v>344</v>
      </c>
      <c r="L125" s="2186"/>
      <c r="M125" s="293"/>
      <c r="N125" s="100"/>
      <c r="O125" s="293"/>
      <c r="P125" s="2187"/>
      <c r="Q125" s="2186"/>
      <c r="R125" s="293"/>
      <c r="S125" s="100"/>
      <c r="T125" s="293"/>
      <c r="U125" s="2187"/>
      <c r="V125" s="2186">
        <v>55648</v>
      </c>
      <c r="W125" s="293"/>
      <c r="X125" s="100">
        <v>120457</v>
      </c>
      <c r="Y125" s="293"/>
      <c r="Z125" s="2187">
        <v>134574</v>
      </c>
      <c r="AA125" s="2186"/>
      <c r="AB125" s="293"/>
      <c r="AC125" s="100"/>
      <c r="AD125" s="293"/>
      <c r="AE125" s="2187"/>
      <c r="AF125" s="4490"/>
      <c r="AG125" s="138"/>
      <c r="AH125" s="138"/>
      <c r="AI125" s="187" t="s">
        <v>354</v>
      </c>
      <c r="AJ125" s="18"/>
    </row>
    <row r="126" spans="2:36" ht="20.100000000000001" customHeight="1">
      <c r="B126" s="4505" t="s">
        <v>2281</v>
      </c>
      <c r="C126" s="4539"/>
      <c r="D126" s="267" t="s">
        <v>355</v>
      </c>
      <c r="E126" s="445"/>
      <c r="F126" s="132" t="s">
        <v>344</v>
      </c>
      <c r="G126" s="662"/>
      <c r="I126" s="1065" t="s">
        <v>356</v>
      </c>
      <c r="J126" s="1066"/>
      <c r="K126" s="136" t="s">
        <v>344</v>
      </c>
      <c r="L126" s="2186"/>
      <c r="M126" s="449" t="s">
        <v>209</v>
      </c>
      <c r="N126" s="100"/>
      <c r="O126" s="449" t="s">
        <v>209</v>
      </c>
      <c r="P126" s="2187"/>
      <c r="Q126" s="2186"/>
      <c r="R126" s="449" t="s">
        <v>209</v>
      </c>
      <c r="S126" s="100"/>
      <c r="T126" s="449" t="s">
        <v>209</v>
      </c>
      <c r="U126" s="2187"/>
      <c r="V126" s="2186">
        <v>0</v>
      </c>
      <c r="W126" s="449" t="s">
        <v>209</v>
      </c>
      <c r="X126" s="100">
        <v>0</v>
      </c>
      <c r="Y126" s="449" t="s">
        <v>209</v>
      </c>
      <c r="Z126" s="100">
        <v>0</v>
      </c>
      <c r="AA126" s="2186"/>
      <c r="AB126" s="449" t="s">
        <v>209</v>
      </c>
      <c r="AC126" s="100"/>
      <c r="AD126" s="449" t="s">
        <v>209</v>
      </c>
      <c r="AE126" s="2187"/>
      <c r="AF126" s="4490"/>
      <c r="AG126" s="138"/>
      <c r="AH126" s="138"/>
      <c r="AI126" s="187" t="s">
        <v>354</v>
      </c>
      <c r="AJ126" s="18"/>
    </row>
    <row r="127" spans="2:36" ht="20.100000000000001" customHeight="1">
      <c r="B127" s="4505" t="s">
        <v>2281</v>
      </c>
      <c r="C127" s="4539"/>
      <c r="D127" s="267" t="s">
        <v>357</v>
      </c>
      <c r="E127" s="445"/>
      <c r="F127" s="132" t="s">
        <v>344</v>
      </c>
      <c r="G127" s="662"/>
      <c r="I127" s="1065" t="s">
        <v>358</v>
      </c>
      <c r="J127" s="1066"/>
      <c r="K127" s="136" t="s">
        <v>344</v>
      </c>
      <c r="L127" s="2186"/>
      <c r="M127" s="449" t="s">
        <v>209</v>
      </c>
      <c r="N127" s="100"/>
      <c r="O127" s="449" t="s">
        <v>209</v>
      </c>
      <c r="P127" s="2187"/>
      <c r="Q127" s="2186"/>
      <c r="R127" s="449" t="s">
        <v>209</v>
      </c>
      <c r="S127" s="100"/>
      <c r="T127" s="449" t="s">
        <v>209</v>
      </c>
      <c r="U127" s="2187"/>
      <c r="V127" s="2186">
        <v>0</v>
      </c>
      <c r="W127" s="449" t="s">
        <v>209</v>
      </c>
      <c r="X127" s="100">
        <v>0</v>
      </c>
      <c r="Y127" s="449" t="s">
        <v>209</v>
      </c>
      <c r="Z127" s="100">
        <v>0</v>
      </c>
      <c r="AA127" s="2186"/>
      <c r="AB127" s="449" t="s">
        <v>209</v>
      </c>
      <c r="AC127" s="100"/>
      <c r="AD127" s="449" t="s">
        <v>209</v>
      </c>
      <c r="AE127" s="2187"/>
      <c r="AF127" s="4490"/>
      <c r="AG127" s="138"/>
      <c r="AH127" s="138"/>
      <c r="AI127" s="187" t="s">
        <v>359</v>
      </c>
      <c r="AJ127" s="18"/>
    </row>
    <row r="128" spans="2:36" ht="20.100000000000001" customHeight="1" thickBot="1">
      <c r="B128" s="4505" t="s">
        <v>2281</v>
      </c>
      <c r="C128" s="1917"/>
      <c r="D128" s="267" t="s">
        <v>360</v>
      </c>
      <c r="E128" s="445"/>
      <c r="F128" s="132" t="s">
        <v>344</v>
      </c>
      <c r="G128" s="343"/>
      <c r="I128" s="1065" t="s">
        <v>361</v>
      </c>
      <c r="J128" s="1066"/>
      <c r="K128" s="136" t="s">
        <v>344</v>
      </c>
      <c r="L128" s="2186"/>
      <c r="M128" s="449" t="s">
        <v>209</v>
      </c>
      <c r="N128" s="100"/>
      <c r="O128" s="449" t="s">
        <v>209</v>
      </c>
      <c r="P128" s="2187"/>
      <c r="Q128" s="2186"/>
      <c r="R128" s="449" t="s">
        <v>209</v>
      </c>
      <c r="S128" s="100"/>
      <c r="T128" s="449" t="s">
        <v>209</v>
      </c>
      <c r="U128" s="2187"/>
      <c r="V128" s="2186">
        <v>0</v>
      </c>
      <c r="W128" s="449" t="s">
        <v>209</v>
      </c>
      <c r="X128" s="100">
        <v>0</v>
      </c>
      <c r="Y128" s="449" t="s">
        <v>209</v>
      </c>
      <c r="Z128" s="100">
        <v>0</v>
      </c>
      <c r="AA128" s="2186"/>
      <c r="AB128" s="449" t="s">
        <v>209</v>
      </c>
      <c r="AC128" s="100"/>
      <c r="AD128" s="449" t="s">
        <v>209</v>
      </c>
      <c r="AE128" s="2187"/>
      <c r="AF128" s="4490"/>
      <c r="AG128" s="138"/>
      <c r="AH128" s="138"/>
      <c r="AI128" s="187" t="s">
        <v>359</v>
      </c>
      <c r="AJ128" s="18"/>
    </row>
    <row r="129" spans="2:36" ht="20.100000000000001" hidden="1" customHeight="1" thickBot="1">
      <c r="B129" s="1747"/>
      <c r="C129" s="10148" t="s">
        <v>370</v>
      </c>
      <c r="D129" s="9781"/>
      <c r="E129" s="9781"/>
      <c r="F129" s="450" t="s">
        <v>344</v>
      </c>
      <c r="G129" s="451"/>
      <c r="H129" s="452" t="s">
        <v>371</v>
      </c>
      <c r="I129" s="452"/>
      <c r="J129" s="4540"/>
      <c r="K129" s="136" t="s">
        <v>344</v>
      </c>
      <c r="L129" s="2226">
        <f t="shared" ref="L129" si="9">L130-L131</f>
        <v>0</v>
      </c>
      <c r="M129" s="293"/>
      <c r="N129" s="456">
        <f>N130-N131</f>
        <v>0</v>
      </c>
      <c r="O129" s="293"/>
      <c r="P129" s="2227">
        <f>P130-P131</f>
        <v>0</v>
      </c>
      <c r="Q129" s="2226">
        <f>Q130-Q131</f>
        <v>0</v>
      </c>
      <c r="R129" s="293"/>
      <c r="S129" s="456">
        <f>S130-S131</f>
        <v>0</v>
      </c>
      <c r="T129" s="293"/>
      <c r="U129" s="2227">
        <f>U130-U131</f>
        <v>0</v>
      </c>
      <c r="V129" s="2226">
        <f>V130-V131</f>
        <v>0</v>
      </c>
      <c r="W129" s="293"/>
      <c r="X129" s="456">
        <f>X130-X131</f>
        <v>0</v>
      </c>
      <c r="Y129" s="293"/>
      <c r="Z129" s="2227">
        <f>Z130-Z131</f>
        <v>0</v>
      </c>
      <c r="AA129" s="2226">
        <f>AA130-AA131</f>
        <v>0</v>
      </c>
      <c r="AB129" s="293"/>
      <c r="AC129" s="456">
        <f>AC130-AC131</f>
        <v>0</v>
      </c>
      <c r="AD129" s="293"/>
      <c r="AE129" s="2227">
        <f>AE130-AE131</f>
        <v>0</v>
      </c>
      <c r="AF129" s="4490"/>
      <c r="AG129" s="138"/>
      <c r="AH129" s="138"/>
      <c r="AI129" s="982" t="s">
        <v>374</v>
      </c>
      <c r="AJ129" s="18"/>
    </row>
    <row r="130" spans="2:36" ht="20.100000000000001" hidden="1" customHeight="1" thickBot="1">
      <c r="B130" s="1747"/>
      <c r="C130" s="10150"/>
      <c r="D130" s="10152" t="s">
        <v>343</v>
      </c>
      <c r="E130" s="9781"/>
      <c r="F130" s="450" t="s">
        <v>344</v>
      </c>
      <c r="G130" s="451"/>
      <c r="H130" s="458"/>
      <c r="I130" s="459" t="s">
        <v>680</v>
      </c>
      <c r="J130" s="460"/>
      <c r="K130" s="136" t="s">
        <v>344</v>
      </c>
      <c r="L130" s="2186"/>
      <c r="M130" s="293"/>
      <c r="N130" s="100"/>
      <c r="O130" s="293"/>
      <c r="P130" s="2187"/>
      <c r="Q130" s="2186"/>
      <c r="R130" s="293"/>
      <c r="S130" s="100"/>
      <c r="T130" s="293"/>
      <c r="U130" s="2187"/>
      <c r="V130" s="2186"/>
      <c r="W130" s="293"/>
      <c r="X130" s="100"/>
      <c r="Y130" s="293"/>
      <c r="Z130" s="2187"/>
      <c r="AA130" s="2186"/>
      <c r="AB130" s="293"/>
      <c r="AC130" s="100"/>
      <c r="AD130" s="293"/>
      <c r="AE130" s="2187"/>
      <c r="AF130" s="4490"/>
      <c r="AG130" s="138"/>
      <c r="AH130" s="138"/>
      <c r="AI130" s="982" t="s">
        <v>374</v>
      </c>
      <c r="AJ130" s="18"/>
    </row>
    <row r="131" spans="2:36" ht="20.100000000000001" hidden="1" customHeight="1" thickBot="1">
      <c r="B131" s="1747"/>
      <c r="C131" s="10151"/>
      <c r="D131" s="10152" t="s">
        <v>362</v>
      </c>
      <c r="E131" s="9781"/>
      <c r="F131" s="450" t="s">
        <v>344</v>
      </c>
      <c r="G131" s="451"/>
      <c r="H131" s="462"/>
      <c r="I131" s="459" t="s">
        <v>363</v>
      </c>
      <c r="J131" s="460"/>
      <c r="K131" s="136" t="s">
        <v>344</v>
      </c>
      <c r="L131" s="2186"/>
      <c r="M131" s="293"/>
      <c r="N131" s="100"/>
      <c r="O131" s="293"/>
      <c r="P131" s="2187"/>
      <c r="Q131" s="2186"/>
      <c r="R131" s="293"/>
      <c r="S131" s="100"/>
      <c r="T131" s="293"/>
      <c r="U131" s="2187"/>
      <c r="V131" s="2186"/>
      <c r="W131" s="293"/>
      <c r="X131" s="100"/>
      <c r="Y131" s="293"/>
      <c r="Z131" s="2187"/>
      <c r="AA131" s="2186"/>
      <c r="AB131" s="293"/>
      <c r="AC131" s="100"/>
      <c r="AD131" s="293"/>
      <c r="AE131" s="2187"/>
      <c r="AF131" s="4490"/>
      <c r="AG131" s="138"/>
      <c r="AH131" s="138"/>
      <c r="AI131" s="982" t="s">
        <v>374</v>
      </c>
      <c r="AJ131" s="18"/>
    </row>
    <row r="132" spans="2:36" s="481" customFormat="1" ht="20.100000000000001" hidden="1" customHeight="1" thickBot="1">
      <c r="B132" s="1807"/>
      <c r="C132" s="10078" t="s">
        <v>362</v>
      </c>
      <c r="D132" s="9783"/>
      <c r="E132" s="9783"/>
      <c r="F132" s="132" t="s">
        <v>1788</v>
      </c>
      <c r="G132" s="337"/>
      <c r="H132" s="463" t="s">
        <v>363</v>
      </c>
      <c r="I132" s="463"/>
      <c r="J132" s="4541"/>
      <c r="K132" s="466" t="s">
        <v>1788</v>
      </c>
      <c r="L132" s="2339"/>
      <c r="M132" s="448"/>
      <c r="N132" s="474"/>
      <c r="O132" s="448"/>
      <c r="P132" s="2340"/>
      <c r="Q132" s="2339"/>
      <c r="R132" s="448"/>
      <c r="S132" s="474"/>
      <c r="T132" s="448"/>
      <c r="U132" s="2340"/>
      <c r="V132" s="2339"/>
      <c r="W132" s="448"/>
      <c r="X132" s="474"/>
      <c r="Y132" s="448"/>
      <c r="Z132" s="2340"/>
      <c r="AA132" s="2339"/>
      <c r="AB132" s="448"/>
      <c r="AC132" s="474"/>
      <c r="AD132" s="448"/>
      <c r="AE132" s="2340"/>
      <c r="AF132" s="4542"/>
      <c r="AG132" s="477"/>
      <c r="AH132" s="477"/>
      <c r="AI132" s="4543" t="s">
        <v>366</v>
      </c>
      <c r="AJ132" s="480"/>
    </row>
    <row r="133" spans="2:36" ht="20.100000000000001" hidden="1" customHeight="1" thickBot="1">
      <c r="B133" s="1816"/>
      <c r="C133" s="10061" t="s">
        <v>376</v>
      </c>
      <c r="D133" s="9774"/>
      <c r="E133" s="9774"/>
      <c r="F133" s="132" t="s">
        <v>344</v>
      </c>
      <c r="G133" s="337"/>
      <c r="H133" s="140" t="s">
        <v>377</v>
      </c>
      <c r="I133" s="140"/>
      <c r="J133" s="141"/>
      <c r="K133" s="164" t="s">
        <v>344</v>
      </c>
      <c r="L133" s="2186"/>
      <c r="M133" s="484"/>
      <c r="N133" s="100"/>
      <c r="O133" s="484"/>
      <c r="P133" s="2187"/>
      <c r="Q133" s="2186"/>
      <c r="R133" s="484"/>
      <c r="S133" s="100"/>
      <c r="T133" s="484"/>
      <c r="U133" s="2187"/>
      <c r="V133" s="2186"/>
      <c r="W133" s="484"/>
      <c r="X133" s="100"/>
      <c r="Y133" s="485"/>
      <c r="Z133" s="2187"/>
      <c r="AA133" s="2186"/>
      <c r="AB133" s="486"/>
      <c r="AC133" s="100"/>
      <c r="AD133" s="486"/>
      <c r="AE133" s="2187"/>
      <c r="AF133" s="4490"/>
      <c r="AG133" s="138"/>
      <c r="AH133" s="138"/>
      <c r="AI133" s="982" t="s">
        <v>379</v>
      </c>
      <c r="AJ133" s="11"/>
    </row>
    <row r="134" spans="2:36" ht="20.100000000000001" hidden="1" customHeight="1" thickBot="1">
      <c r="B134" s="1816"/>
      <c r="C134" s="10061" t="s">
        <v>380</v>
      </c>
      <c r="D134" s="9774"/>
      <c r="E134" s="9774"/>
      <c r="F134" s="132" t="s">
        <v>156</v>
      </c>
      <c r="G134" s="337"/>
      <c r="H134" s="140" t="s">
        <v>381</v>
      </c>
      <c r="I134" s="140"/>
      <c r="J134" s="141"/>
      <c r="K134" s="164" t="s">
        <v>156</v>
      </c>
      <c r="L134" s="2389"/>
      <c r="M134" s="484"/>
      <c r="N134" s="488"/>
      <c r="O134" s="484"/>
      <c r="P134" s="2390"/>
      <c r="Q134" s="2389"/>
      <c r="R134" s="484"/>
      <c r="S134" s="488"/>
      <c r="T134" s="484"/>
      <c r="U134" s="2390"/>
      <c r="V134" s="2389"/>
      <c r="W134" s="484"/>
      <c r="X134" s="488"/>
      <c r="Y134" s="485"/>
      <c r="Z134" s="2390"/>
      <c r="AA134" s="2389"/>
      <c r="AB134" s="486"/>
      <c r="AC134" s="488"/>
      <c r="AD134" s="486"/>
      <c r="AE134" s="2390"/>
      <c r="AF134" s="4490"/>
      <c r="AG134" s="138"/>
      <c r="AH134" s="138"/>
      <c r="AI134" s="982" t="s">
        <v>384</v>
      </c>
      <c r="AJ134" s="11"/>
    </row>
    <row r="135" spans="2:36" ht="20.100000000000001" hidden="1" customHeight="1" thickBot="1">
      <c r="B135" s="1816"/>
      <c r="C135" s="10069"/>
      <c r="D135" s="490" t="s">
        <v>385</v>
      </c>
      <c r="E135" s="491"/>
      <c r="F135" s="492" t="s">
        <v>344</v>
      </c>
      <c r="G135" s="337"/>
      <c r="I135" s="495" t="s">
        <v>386</v>
      </c>
      <c r="J135" s="643"/>
      <c r="K135" s="164" t="s">
        <v>344</v>
      </c>
      <c r="L135" s="2288"/>
      <c r="M135" s="484"/>
      <c r="N135" s="494"/>
      <c r="O135" s="484"/>
      <c r="P135" s="2289"/>
      <c r="Q135" s="2288"/>
      <c r="R135" s="484"/>
      <c r="S135" s="494"/>
      <c r="T135" s="484"/>
      <c r="U135" s="2289"/>
      <c r="V135" s="2288"/>
      <c r="W135" s="484"/>
      <c r="X135" s="494"/>
      <c r="Y135" s="485"/>
      <c r="Z135" s="2289"/>
      <c r="AA135" s="2288"/>
      <c r="AB135" s="486"/>
      <c r="AC135" s="494"/>
      <c r="AD135" s="486"/>
      <c r="AE135" s="2289"/>
      <c r="AF135" s="4490"/>
      <c r="AG135" s="138"/>
      <c r="AH135" s="138"/>
      <c r="AI135" s="982" t="s">
        <v>384</v>
      </c>
      <c r="AJ135" s="11"/>
    </row>
    <row r="136" spans="2:36" ht="20.100000000000001" hidden="1" customHeight="1" thickBot="1">
      <c r="B136" s="1816"/>
      <c r="C136" s="10076"/>
      <c r="D136" s="490" t="s">
        <v>343</v>
      </c>
      <c r="E136" s="491"/>
      <c r="F136" s="492" t="s">
        <v>344</v>
      </c>
      <c r="G136" s="337"/>
      <c r="I136" s="495" t="s">
        <v>685</v>
      </c>
      <c r="J136" s="643"/>
      <c r="K136" s="164" t="s">
        <v>344</v>
      </c>
      <c r="L136" s="2288"/>
      <c r="M136" s="484"/>
      <c r="N136" s="494"/>
      <c r="O136" s="484"/>
      <c r="P136" s="2289"/>
      <c r="Q136" s="2288"/>
      <c r="R136" s="484"/>
      <c r="S136" s="494"/>
      <c r="T136" s="484"/>
      <c r="U136" s="2289"/>
      <c r="V136" s="2288"/>
      <c r="W136" s="484"/>
      <c r="X136" s="494"/>
      <c r="Y136" s="485"/>
      <c r="Z136" s="2289"/>
      <c r="AA136" s="2288"/>
      <c r="AB136" s="486"/>
      <c r="AC136" s="494"/>
      <c r="AD136" s="486"/>
      <c r="AE136" s="2289"/>
      <c r="AF136" s="4490"/>
      <c r="AG136" s="138"/>
      <c r="AH136" s="138"/>
      <c r="AI136" s="982" t="s">
        <v>384</v>
      </c>
      <c r="AJ136" s="11"/>
    </row>
    <row r="137" spans="2:36" ht="20.100000000000001" hidden="1" customHeight="1" thickBot="1">
      <c r="B137" s="1816"/>
      <c r="C137" s="10061" t="s">
        <v>387</v>
      </c>
      <c r="D137" s="9774"/>
      <c r="E137" s="9774"/>
      <c r="F137" s="492" t="s">
        <v>156</v>
      </c>
      <c r="G137" s="337"/>
      <c r="H137" s="140" t="s">
        <v>388</v>
      </c>
      <c r="I137" s="140"/>
      <c r="J137" s="141"/>
      <c r="K137" s="164" t="s">
        <v>156</v>
      </c>
      <c r="L137" s="2339"/>
      <c r="M137" s="484"/>
      <c r="N137" s="474"/>
      <c r="O137" s="484"/>
      <c r="P137" s="2340"/>
      <c r="Q137" s="2339"/>
      <c r="R137" s="484"/>
      <c r="S137" s="474"/>
      <c r="T137" s="484"/>
      <c r="U137" s="2340"/>
      <c r="V137" s="2339"/>
      <c r="W137" s="484"/>
      <c r="X137" s="474"/>
      <c r="Y137" s="485"/>
      <c r="Z137" s="2340"/>
      <c r="AA137" s="2339"/>
      <c r="AB137" s="486"/>
      <c r="AC137" s="474"/>
      <c r="AD137" s="486"/>
      <c r="AE137" s="2340"/>
      <c r="AF137" s="4490"/>
      <c r="AG137" s="138"/>
      <c r="AH137" s="138"/>
      <c r="AI137" s="982" t="s">
        <v>390</v>
      </c>
      <c r="AJ137" s="11"/>
    </row>
    <row r="138" spans="2:36" ht="20.100000000000001" hidden="1" customHeight="1" thickBot="1">
      <c r="B138" s="1816"/>
      <c r="C138" s="1820"/>
      <c r="D138" s="490" t="s">
        <v>391</v>
      </c>
      <c r="E138" s="491"/>
      <c r="F138" s="492" t="s">
        <v>344</v>
      </c>
      <c r="G138" s="337"/>
      <c r="I138" s="495" t="s">
        <v>392</v>
      </c>
      <c r="J138" s="643"/>
      <c r="K138" s="164" t="s">
        <v>344</v>
      </c>
      <c r="L138" s="2186"/>
      <c r="M138" s="484"/>
      <c r="N138" s="100"/>
      <c r="O138" s="484"/>
      <c r="P138" s="2187"/>
      <c r="Q138" s="2186"/>
      <c r="R138" s="484"/>
      <c r="S138" s="100"/>
      <c r="T138" s="484"/>
      <c r="U138" s="2187"/>
      <c r="V138" s="2186"/>
      <c r="W138" s="484"/>
      <c r="X138" s="100"/>
      <c r="Y138" s="485"/>
      <c r="Z138" s="2187"/>
      <c r="AA138" s="2186"/>
      <c r="AB138" s="486"/>
      <c r="AC138" s="100"/>
      <c r="AD138" s="486"/>
      <c r="AE138" s="2187"/>
      <c r="AF138" s="4490"/>
      <c r="AG138" s="138"/>
      <c r="AH138" s="138"/>
      <c r="AI138" s="982" t="s">
        <v>390</v>
      </c>
      <c r="AJ138" s="11"/>
    </row>
    <row r="139" spans="2:36" ht="20.100000000000001" hidden="1" customHeight="1" thickBot="1">
      <c r="B139" s="1821"/>
      <c r="C139" s="1849"/>
      <c r="D139" s="490" t="s">
        <v>370</v>
      </c>
      <c r="E139" s="491"/>
      <c r="F139" s="492" t="s">
        <v>344</v>
      </c>
      <c r="G139" s="337"/>
      <c r="I139" s="496" t="s">
        <v>686</v>
      </c>
      <c r="J139" s="643"/>
      <c r="K139" s="164" t="s">
        <v>344</v>
      </c>
      <c r="L139" s="2288"/>
      <c r="M139" s="484"/>
      <c r="N139" s="494"/>
      <c r="O139" s="484"/>
      <c r="P139" s="2289"/>
      <c r="Q139" s="2288"/>
      <c r="R139" s="484"/>
      <c r="S139" s="494"/>
      <c r="T139" s="484"/>
      <c r="U139" s="2289"/>
      <c r="V139" s="2288"/>
      <c r="W139" s="484"/>
      <c r="X139" s="494"/>
      <c r="Y139" s="485"/>
      <c r="Z139" s="2289"/>
      <c r="AA139" s="2288"/>
      <c r="AB139" s="486"/>
      <c r="AC139" s="494"/>
      <c r="AD139" s="486"/>
      <c r="AE139" s="2289"/>
      <c r="AF139" s="4490"/>
      <c r="AG139" s="138"/>
      <c r="AH139" s="138"/>
      <c r="AI139" s="982" t="s">
        <v>390</v>
      </c>
      <c r="AJ139" s="11"/>
    </row>
    <row r="140" spans="2:36" ht="20.100000000000001" hidden="1" customHeight="1" thickBot="1">
      <c r="B140" s="1821"/>
      <c r="C140" s="10061" t="s">
        <v>393</v>
      </c>
      <c r="D140" s="9774"/>
      <c r="E140" s="9774"/>
      <c r="F140" s="492" t="s">
        <v>344</v>
      </c>
      <c r="G140" s="337"/>
      <c r="H140" s="359" t="s">
        <v>394</v>
      </c>
      <c r="I140" s="359"/>
      <c r="J140" s="684"/>
      <c r="K140" s="164" t="s">
        <v>344</v>
      </c>
      <c r="L140" s="2230"/>
      <c r="M140" s="505"/>
      <c r="N140" s="506"/>
      <c r="O140" s="505"/>
      <c r="P140" s="2231"/>
      <c r="Q140" s="2230"/>
      <c r="R140" s="505"/>
      <c r="S140" s="506"/>
      <c r="T140" s="505"/>
      <c r="U140" s="2231"/>
      <c r="V140" s="2230"/>
      <c r="W140" s="505"/>
      <c r="X140" s="506"/>
      <c r="Y140" s="507"/>
      <c r="Z140" s="2231"/>
      <c r="AA140" s="2230"/>
      <c r="AB140" s="505"/>
      <c r="AC140" s="506"/>
      <c r="AD140" s="505"/>
      <c r="AE140" s="2231"/>
      <c r="AF140" s="4490"/>
      <c r="AG140" s="138"/>
      <c r="AH140" s="138"/>
      <c r="AI140" s="982" t="s">
        <v>397</v>
      </c>
      <c r="AJ140" s="11"/>
    </row>
    <row r="141" spans="2:36" ht="20.100000000000001" hidden="1" customHeight="1" thickBot="1">
      <c r="B141" s="1821"/>
      <c r="C141" s="10069"/>
      <c r="D141" s="508" t="s">
        <v>687</v>
      </c>
      <c r="E141" s="508"/>
      <c r="F141" s="492" t="s">
        <v>344</v>
      </c>
      <c r="G141" s="337"/>
      <c r="H141" s="348"/>
      <c r="I141" s="495" t="s">
        <v>399</v>
      </c>
      <c r="J141" s="643"/>
      <c r="K141" s="164" t="s">
        <v>344</v>
      </c>
      <c r="L141" s="2228"/>
      <c r="M141" s="505"/>
      <c r="N141" s="260"/>
      <c r="O141" s="505"/>
      <c r="P141" s="2287"/>
      <c r="Q141" s="2228"/>
      <c r="R141" s="505"/>
      <c r="S141" s="260"/>
      <c r="T141" s="505"/>
      <c r="U141" s="2287"/>
      <c r="V141" s="2228"/>
      <c r="W141" s="505"/>
      <c r="X141" s="260"/>
      <c r="Y141" s="507"/>
      <c r="Z141" s="2287"/>
      <c r="AA141" s="2228"/>
      <c r="AB141" s="505"/>
      <c r="AC141" s="260"/>
      <c r="AD141" s="505"/>
      <c r="AE141" s="2287"/>
      <c r="AF141" s="4490"/>
      <c r="AG141" s="138"/>
      <c r="AH141" s="138"/>
      <c r="AI141" s="982" t="s">
        <v>397</v>
      </c>
      <c r="AJ141" s="11"/>
    </row>
    <row r="142" spans="2:36" ht="20.100000000000001" hidden="1" customHeight="1" thickBot="1">
      <c r="B142" s="1821"/>
      <c r="C142" s="10070"/>
      <c r="D142" s="508" t="s">
        <v>400</v>
      </c>
      <c r="E142" s="508"/>
      <c r="F142" s="492" t="s">
        <v>344</v>
      </c>
      <c r="G142" s="337"/>
      <c r="H142" s="353"/>
      <c r="I142" s="495" t="s">
        <v>401</v>
      </c>
      <c r="J142" s="643"/>
      <c r="K142" s="164" t="s">
        <v>344</v>
      </c>
      <c r="L142" s="2228"/>
      <c r="M142" s="505"/>
      <c r="N142" s="260"/>
      <c r="O142" s="505"/>
      <c r="P142" s="2287"/>
      <c r="Q142" s="2228"/>
      <c r="R142" s="505"/>
      <c r="S142" s="260"/>
      <c r="T142" s="505"/>
      <c r="U142" s="2287"/>
      <c r="V142" s="2228"/>
      <c r="W142" s="505"/>
      <c r="X142" s="260"/>
      <c r="Y142" s="507"/>
      <c r="Z142" s="2287"/>
      <c r="AA142" s="2228"/>
      <c r="AB142" s="505"/>
      <c r="AC142" s="260"/>
      <c r="AD142" s="505"/>
      <c r="AE142" s="2287"/>
      <c r="AF142" s="4490"/>
      <c r="AG142" s="138"/>
      <c r="AH142" s="138"/>
      <c r="AI142" s="982" t="s">
        <v>397</v>
      </c>
      <c r="AJ142" s="11"/>
    </row>
    <row r="143" spans="2:36" ht="20.100000000000001" hidden="1" customHeight="1" thickBot="1">
      <c r="B143" s="1821"/>
      <c r="C143" s="10070"/>
      <c r="D143" s="508" t="s">
        <v>402</v>
      </c>
      <c r="E143" s="508"/>
      <c r="F143" s="492" t="s">
        <v>344</v>
      </c>
      <c r="G143" s="337"/>
      <c r="H143" s="353"/>
      <c r="I143" s="495" t="s">
        <v>403</v>
      </c>
      <c r="J143" s="643"/>
      <c r="K143" s="164" t="s">
        <v>344</v>
      </c>
      <c r="L143" s="2229"/>
      <c r="M143" s="505"/>
      <c r="N143" s="510"/>
      <c r="O143" s="505"/>
      <c r="P143" s="2391"/>
      <c r="Q143" s="2229"/>
      <c r="R143" s="505"/>
      <c r="S143" s="510"/>
      <c r="T143" s="505"/>
      <c r="U143" s="2391"/>
      <c r="V143" s="2229"/>
      <c r="W143" s="505"/>
      <c r="X143" s="510"/>
      <c r="Y143" s="507"/>
      <c r="Z143" s="2391"/>
      <c r="AA143" s="2229"/>
      <c r="AB143" s="505"/>
      <c r="AC143" s="510"/>
      <c r="AD143" s="505"/>
      <c r="AE143" s="2391"/>
      <c r="AF143" s="4490"/>
      <c r="AG143" s="138"/>
      <c r="AH143" s="138"/>
      <c r="AI143" s="982" t="s">
        <v>397</v>
      </c>
      <c r="AJ143" s="11"/>
    </row>
    <row r="144" spans="2:36" ht="20.100000000000001" hidden="1" customHeight="1" thickBot="1">
      <c r="B144" s="1821"/>
      <c r="C144" s="10070"/>
      <c r="D144" s="9786" t="s">
        <v>404</v>
      </c>
      <c r="E144" s="9787"/>
      <c r="F144" s="492" t="s">
        <v>344</v>
      </c>
      <c r="G144" s="337"/>
      <c r="H144" s="353"/>
      <c r="I144" s="495" t="s">
        <v>405</v>
      </c>
      <c r="J144" s="643"/>
      <c r="K144" s="164" t="s">
        <v>344</v>
      </c>
      <c r="L144" s="2230"/>
      <c r="M144" s="505"/>
      <c r="N144" s="506"/>
      <c r="O144" s="505"/>
      <c r="P144" s="2231"/>
      <c r="Q144" s="2230"/>
      <c r="R144" s="505"/>
      <c r="S144" s="506"/>
      <c r="T144" s="505"/>
      <c r="U144" s="2231"/>
      <c r="V144" s="2230"/>
      <c r="W144" s="505"/>
      <c r="X144" s="506"/>
      <c r="Y144" s="507"/>
      <c r="Z144" s="2231"/>
      <c r="AA144" s="2230"/>
      <c r="AB144" s="505"/>
      <c r="AC144" s="506"/>
      <c r="AD144" s="505"/>
      <c r="AE144" s="2231"/>
      <c r="AF144" s="4490"/>
      <c r="AG144" s="138"/>
      <c r="AH144" s="138"/>
      <c r="AI144" s="982" t="s">
        <v>397</v>
      </c>
      <c r="AJ144" s="11"/>
    </row>
    <row r="145" spans="2:36" ht="20.100000000000001" hidden="1" customHeight="1" thickBot="1">
      <c r="B145" s="1821"/>
      <c r="C145" s="10070"/>
      <c r="D145" s="9786" t="s">
        <v>406</v>
      </c>
      <c r="E145" s="9787"/>
      <c r="F145" s="492" t="s">
        <v>344</v>
      </c>
      <c r="G145" s="337"/>
      <c r="H145" s="353"/>
      <c r="I145" s="495" t="s">
        <v>407</v>
      </c>
      <c r="J145" s="643"/>
      <c r="K145" s="164" t="s">
        <v>344</v>
      </c>
      <c r="L145" s="2230"/>
      <c r="M145" s="505"/>
      <c r="N145" s="506"/>
      <c r="O145" s="505"/>
      <c r="P145" s="2231"/>
      <c r="Q145" s="2230"/>
      <c r="R145" s="505"/>
      <c r="S145" s="506"/>
      <c r="T145" s="505"/>
      <c r="U145" s="2231"/>
      <c r="V145" s="2230"/>
      <c r="W145" s="505"/>
      <c r="X145" s="506"/>
      <c r="Y145" s="507"/>
      <c r="Z145" s="2231"/>
      <c r="AA145" s="2230"/>
      <c r="AB145" s="505"/>
      <c r="AC145" s="506"/>
      <c r="AD145" s="505"/>
      <c r="AE145" s="2231"/>
      <c r="AF145" s="4490"/>
      <c r="AG145" s="138"/>
      <c r="AH145" s="138"/>
      <c r="AI145" s="982" t="s">
        <v>397</v>
      </c>
      <c r="AJ145" s="11"/>
    </row>
    <row r="146" spans="2:36" ht="20.100000000000001" hidden="1" customHeight="1" thickBot="1">
      <c r="B146" s="1821"/>
      <c r="C146" s="10071"/>
      <c r="D146" s="9788" t="s">
        <v>408</v>
      </c>
      <c r="E146" s="9789"/>
      <c r="F146" s="511" t="s">
        <v>344</v>
      </c>
      <c r="G146" s="106"/>
      <c r="H146" s="353"/>
      <c r="I146" s="4544" t="s">
        <v>409</v>
      </c>
      <c r="J146" s="353"/>
      <c r="K146" s="4545" t="s">
        <v>344</v>
      </c>
      <c r="L146" s="2232"/>
      <c r="M146" s="505"/>
      <c r="N146" s="517"/>
      <c r="O146" s="505"/>
      <c r="P146" s="2233"/>
      <c r="Q146" s="2232"/>
      <c r="R146" s="505"/>
      <c r="S146" s="517"/>
      <c r="T146" s="505"/>
      <c r="U146" s="2233"/>
      <c r="V146" s="2232"/>
      <c r="W146" s="505"/>
      <c r="X146" s="517"/>
      <c r="Y146" s="507"/>
      <c r="Z146" s="2233"/>
      <c r="AA146" s="2232"/>
      <c r="AB146" s="505"/>
      <c r="AC146" s="517"/>
      <c r="AD146" s="505"/>
      <c r="AE146" s="2233"/>
      <c r="AF146" s="4490"/>
      <c r="AG146" s="138"/>
      <c r="AH146" s="138"/>
      <c r="AI146" s="982" t="s">
        <v>397</v>
      </c>
      <c r="AJ146" s="11"/>
    </row>
    <row r="147" spans="2:36" ht="27" thickBot="1">
      <c r="B147" s="4505" t="s">
        <v>2281</v>
      </c>
      <c r="C147" s="123" t="s">
        <v>410</v>
      </c>
      <c r="D147" s="124"/>
      <c r="E147" s="124"/>
      <c r="F147" s="518"/>
      <c r="G147" s="125" t="s">
        <v>411</v>
      </c>
      <c r="H147" s="4546"/>
      <c r="I147" s="126"/>
      <c r="J147" s="129"/>
      <c r="K147" s="2176"/>
      <c r="L147" s="2175"/>
      <c r="M147" s="148"/>
      <c r="N147" s="148"/>
      <c r="O147" s="148"/>
      <c r="P147" s="2176"/>
      <c r="Q147" s="2175"/>
      <c r="R147" s="148"/>
      <c r="S147" s="148"/>
      <c r="T147" s="148"/>
      <c r="U147" s="2176"/>
      <c r="V147" s="2175"/>
      <c r="W147" s="148"/>
      <c r="X147" s="148"/>
      <c r="Y147" s="148"/>
      <c r="Z147" s="2176"/>
      <c r="AA147" s="2175"/>
      <c r="AB147" s="148"/>
      <c r="AC147" s="148"/>
      <c r="AD147" s="148"/>
      <c r="AE147" s="2176"/>
      <c r="AF147" s="4547"/>
      <c r="AG147" s="129"/>
      <c r="AH147" s="129"/>
      <c r="AI147" s="1006"/>
      <c r="AJ147" s="18"/>
    </row>
    <row r="148" spans="2:36" ht="20.100000000000001" customHeight="1">
      <c r="B148" s="4505" t="s">
        <v>2281</v>
      </c>
      <c r="C148" s="9990" t="s">
        <v>412</v>
      </c>
      <c r="D148" s="9790"/>
      <c r="E148" s="9790"/>
      <c r="F148" s="492" t="s">
        <v>344</v>
      </c>
      <c r="G148" s="4548"/>
      <c r="H148" s="134" t="s">
        <v>414</v>
      </c>
      <c r="I148" s="134"/>
      <c r="J148" s="797"/>
      <c r="K148" s="164" t="s">
        <v>344</v>
      </c>
      <c r="L148" s="2392">
        <f t="shared" ref="L148" si="10">L149+L152</f>
        <v>0</v>
      </c>
      <c r="M148" s="532"/>
      <c r="N148" s="531">
        <f>N149+N152</f>
        <v>0</v>
      </c>
      <c r="O148" s="532"/>
      <c r="P148" s="2393">
        <f>P149+P152</f>
        <v>0</v>
      </c>
      <c r="Q148" s="2392">
        <f>Q149+Q152</f>
        <v>0</v>
      </c>
      <c r="R148" s="532"/>
      <c r="S148" s="531">
        <f>S149+S152</f>
        <v>0</v>
      </c>
      <c r="T148" s="532"/>
      <c r="U148" s="2393">
        <f>U149+U152</f>
        <v>0</v>
      </c>
      <c r="V148" s="2392" t="e">
        <f>V149+V152</f>
        <v>#VALUE!</v>
      </c>
      <c r="W148" s="532"/>
      <c r="X148" s="531" t="e">
        <f>X149+X152</f>
        <v>#VALUE!</v>
      </c>
      <c r="Y148" s="532"/>
      <c r="Z148" s="2393" t="e">
        <f>Z149+Z152</f>
        <v>#VALUE!</v>
      </c>
      <c r="AA148" s="2392">
        <f>AA149+AA152</f>
        <v>0</v>
      </c>
      <c r="AB148" s="532"/>
      <c r="AC148" s="531">
        <f>AC149+AC152</f>
        <v>0</v>
      </c>
      <c r="AD148" s="532"/>
      <c r="AE148" s="2393">
        <f>AE149+AE152</f>
        <v>0</v>
      </c>
      <c r="AF148" s="4549"/>
      <c r="AG148" s="1825"/>
      <c r="AH148" s="534"/>
      <c r="AI148" s="1244" t="s">
        <v>418</v>
      </c>
      <c r="AJ148" s="18"/>
    </row>
    <row r="149" spans="2:36" ht="20.100000000000001" customHeight="1">
      <c r="B149" s="4509" t="s">
        <v>2281</v>
      </c>
      <c r="C149" s="4528"/>
      <c r="D149" s="357" t="s">
        <v>423</v>
      </c>
      <c r="E149" s="104"/>
      <c r="F149" s="492" t="s">
        <v>344</v>
      </c>
      <c r="G149" s="535"/>
      <c r="H149" s="45"/>
      <c r="I149" s="4550" t="s">
        <v>424</v>
      </c>
      <c r="J149" s="576"/>
      <c r="K149" s="164" t="s">
        <v>344</v>
      </c>
      <c r="L149" s="2302"/>
      <c r="M149" s="543"/>
      <c r="N149" s="542"/>
      <c r="O149" s="543"/>
      <c r="P149" s="2303"/>
      <c r="Q149" s="2302"/>
      <c r="R149" s="543"/>
      <c r="S149" s="542"/>
      <c r="T149" s="543"/>
      <c r="U149" s="2303"/>
      <c r="V149" s="2302" t="s">
        <v>641</v>
      </c>
      <c r="W149" s="543"/>
      <c r="X149" s="542" t="s">
        <v>641</v>
      </c>
      <c r="Y149" s="543"/>
      <c r="Z149" s="542" t="s">
        <v>641</v>
      </c>
      <c r="AA149" s="2302"/>
      <c r="AB149" s="543"/>
      <c r="AC149" s="542"/>
      <c r="AD149" s="543"/>
      <c r="AE149" s="2303"/>
      <c r="AF149" s="4551"/>
      <c r="AG149" s="546"/>
      <c r="AH149" s="547"/>
      <c r="AI149" s="1244" t="s">
        <v>418</v>
      </c>
      <c r="AJ149" s="18"/>
    </row>
    <row r="150" spans="2:36" ht="20.100000000000001" customHeight="1">
      <c r="B150" s="4505" t="s">
        <v>2281</v>
      </c>
      <c r="C150" s="4531"/>
      <c r="D150" s="549"/>
      <c r="E150" s="306" t="s">
        <v>425</v>
      </c>
      <c r="F150" s="492" t="s">
        <v>344</v>
      </c>
      <c r="G150" s="535"/>
      <c r="H150" s="45"/>
      <c r="I150" s="4552"/>
      <c r="J150" s="201" t="s">
        <v>426</v>
      </c>
      <c r="K150" s="164" t="s">
        <v>344</v>
      </c>
      <c r="L150" s="2302"/>
      <c r="M150" s="543"/>
      <c r="N150" s="542"/>
      <c r="O150" s="543"/>
      <c r="P150" s="2303"/>
      <c r="Q150" s="2302"/>
      <c r="R150" s="543"/>
      <c r="S150" s="542"/>
      <c r="T150" s="543"/>
      <c r="U150" s="2303"/>
      <c r="V150" s="2302" t="s">
        <v>641</v>
      </c>
      <c r="W150" s="543"/>
      <c r="X150" s="542" t="s">
        <v>641</v>
      </c>
      <c r="Y150" s="543"/>
      <c r="Z150" s="542" t="s">
        <v>641</v>
      </c>
      <c r="AA150" s="2302"/>
      <c r="AB150" s="543"/>
      <c r="AC150" s="542"/>
      <c r="AD150" s="543"/>
      <c r="AE150" s="2303"/>
      <c r="AF150" s="4551"/>
      <c r="AG150" s="547"/>
      <c r="AH150" s="547"/>
      <c r="AI150" s="1244" t="s">
        <v>429</v>
      </c>
      <c r="AJ150" s="18"/>
    </row>
    <row r="151" spans="2:36" ht="20.100000000000001" customHeight="1">
      <c r="B151" s="4505" t="s">
        <v>2281</v>
      </c>
      <c r="C151" s="4531"/>
      <c r="D151" s="553"/>
      <c r="E151" s="306" t="s">
        <v>1790</v>
      </c>
      <c r="F151" s="492" t="s">
        <v>344</v>
      </c>
      <c r="G151" s="535"/>
      <c r="H151" s="45"/>
      <c r="I151" s="4552"/>
      <c r="J151" s="198" t="s">
        <v>438</v>
      </c>
      <c r="K151" s="164" t="s">
        <v>344</v>
      </c>
      <c r="L151" s="2302"/>
      <c r="M151" s="543"/>
      <c r="N151" s="542"/>
      <c r="O151" s="543"/>
      <c r="P151" s="2303"/>
      <c r="Q151" s="2302"/>
      <c r="R151" s="543"/>
      <c r="S151" s="542"/>
      <c r="T151" s="543"/>
      <c r="U151" s="2303"/>
      <c r="V151" s="2302" t="s">
        <v>641</v>
      </c>
      <c r="W151" s="543"/>
      <c r="X151" s="542" t="s">
        <v>641</v>
      </c>
      <c r="Y151" s="543"/>
      <c r="Z151" s="542" t="s">
        <v>641</v>
      </c>
      <c r="AA151" s="2302"/>
      <c r="AB151" s="543"/>
      <c r="AC151" s="542"/>
      <c r="AD151" s="543"/>
      <c r="AE151" s="2303"/>
      <c r="AF151" s="4551"/>
      <c r="AG151" s="547"/>
      <c r="AH151" s="547"/>
      <c r="AI151" s="1244" t="s">
        <v>489</v>
      </c>
      <c r="AJ151" s="18"/>
    </row>
    <row r="152" spans="2:36" ht="20.100000000000001" customHeight="1">
      <c r="B152" s="4505" t="s">
        <v>2281</v>
      </c>
      <c r="C152" s="4531"/>
      <c r="D152" s="306" t="s">
        <v>444</v>
      </c>
      <c r="E152" s="161"/>
      <c r="F152" s="492" t="s">
        <v>344</v>
      </c>
      <c r="G152" s="535"/>
      <c r="H152" s="45"/>
      <c r="I152" s="571" t="s">
        <v>445</v>
      </c>
      <c r="J152" s="177"/>
      <c r="K152" s="164" t="s">
        <v>344</v>
      </c>
      <c r="L152" s="2302"/>
      <c r="M152" s="543"/>
      <c r="N152" s="542"/>
      <c r="O152" s="543"/>
      <c r="P152" s="2303"/>
      <c r="Q152" s="2302"/>
      <c r="R152" s="543"/>
      <c r="S152" s="542"/>
      <c r="T152" s="543"/>
      <c r="U152" s="2303"/>
      <c r="V152" s="2302" t="s">
        <v>641</v>
      </c>
      <c r="W152" s="543"/>
      <c r="X152" s="542" t="s">
        <v>641</v>
      </c>
      <c r="Y152" s="543"/>
      <c r="Z152" s="542" t="s">
        <v>641</v>
      </c>
      <c r="AA152" s="2302"/>
      <c r="AB152" s="543"/>
      <c r="AC152" s="542"/>
      <c r="AD152" s="543"/>
      <c r="AE152" s="2303"/>
      <c r="AF152" s="4551"/>
      <c r="AG152" s="546"/>
      <c r="AH152" s="547"/>
      <c r="AI152" s="1244" t="s">
        <v>418</v>
      </c>
      <c r="AJ152" s="18"/>
    </row>
    <row r="153" spans="2:36" ht="20.100000000000001" customHeight="1">
      <c r="B153" s="4505" t="s">
        <v>2281</v>
      </c>
      <c r="D153" s="558"/>
      <c r="E153" s="357" t="s">
        <v>446</v>
      </c>
      <c r="F153" s="492" t="s">
        <v>344</v>
      </c>
      <c r="G153" s="106"/>
      <c r="H153" s="348"/>
      <c r="I153" s="4552"/>
      <c r="J153" s="201" t="s">
        <v>426</v>
      </c>
      <c r="K153" s="164" t="s">
        <v>344</v>
      </c>
      <c r="L153" s="2302"/>
      <c r="M153" s="543"/>
      <c r="N153" s="542"/>
      <c r="O153" s="543"/>
      <c r="P153" s="2303"/>
      <c r="Q153" s="2302"/>
      <c r="R153" s="543"/>
      <c r="S153" s="542"/>
      <c r="T153" s="543"/>
      <c r="U153" s="2303"/>
      <c r="V153" s="2302" t="s">
        <v>641</v>
      </c>
      <c r="W153" s="543"/>
      <c r="X153" s="542" t="s">
        <v>641</v>
      </c>
      <c r="Y153" s="543"/>
      <c r="Z153" s="542" t="s">
        <v>641</v>
      </c>
      <c r="AA153" s="2302"/>
      <c r="AB153" s="543"/>
      <c r="AC153" s="542"/>
      <c r="AD153" s="543"/>
      <c r="AE153" s="2303"/>
      <c r="AF153" s="4551"/>
      <c r="AG153" s="547"/>
      <c r="AH153" s="547"/>
      <c r="AI153" s="1244" t="s">
        <v>429</v>
      </c>
      <c r="AJ153" s="18"/>
    </row>
    <row r="154" spans="2:36" ht="20.100000000000001" customHeight="1">
      <c r="B154" s="4505" t="s">
        <v>2281</v>
      </c>
      <c r="C154" s="4531"/>
      <c r="D154" s="559"/>
      <c r="E154" s="357" t="s">
        <v>454</v>
      </c>
      <c r="F154" s="492" t="s">
        <v>344</v>
      </c>
      <c r="G154" s="106"/>
      <c r="H154" s="385"/>
      <c r="I154" s="4553"/>
      <c r="J154" s="349" t="s">
        <v>455</v>
      </c>
      <c r="K154" s="164" t="s">
        <v>344</v>
      </c>
      <c r="L154" s="2302"/>
      <c r="M154" s="543"/>
      <c r="N154" s="542"/>
      <c r="O154" s="543"/>
      <c r="P154" s="2303"/>
      <c r="Q154" s="2302"/>
      <c r="R154" s="543"/>
      <c r="S154" s="542"/>
      <c r="T154" s="543"/>
      <c r="U154" s="2303"/>
      <c r="V154" s="2302" t="s">
        <v>641</v>
      </c>
      <c r="W154" s="543"/>
      <c r="X154" s="542" t="s">
        <v>641</v>
      </c>
      <c r="Y154" s="543"/>
      <c r="Z154" s="542" t="s">
        <v>641</v>
      </c>
      <c r="AA154" s="2302"/>
      <c r="AB154" s="543"/>
      <c r="AC154" s="542"/>
      <c r="AD154" s="543"/>
      <c r="AE154" s="2303"/>
      <c r="AF154" s="4490"/>
      <c r="AG154" s="547"/>
      <c r="AH154" s="547"/>
      <c r="AI154" s="1244" t="s">
        <v>418</v>
      </c>
      <c r="AJ154" s="18"/>
    </row>
    <row r="155" spans="2:36" ht="20.100000000000001" customHeight="1">
      <c r="B155" s="4505" t="s">
        <v>2281</v>
      </c>
      <c r="C155" s="1849" t="s">
        <v>456</v>
      </c>
      <c r="D155" s="161"/>
      <c r="E155" s="161"/>
      <c r="F155" s="492" t="s">
        <v>1792</v>
      </c>
      <c r="G155" s="4554"/>
      <c r="H155" s="178" t="s">
        <v>458</v>
      </c>
      <c r="I155" s="178"/>
      <c r="J155" s="177"/>
      <c r="K155" s="162" t="s">
        <v>459</v>
      </c>
      <c r="L155" s="4555" t="s">
        <v>169</v>
      </c>
      <c r="M155" s="570"/>
      <c r="N155" s="4556" t="s">
        <v>169</v>
      </c>
      <c r="O155" s="570"/>
      <c r="P155" s="4557" t="s">
        <v>169</v>
      </c>
      <c r="Q155" s="4555" t="s">
        <v>169</v>
      </c>
      <c r="R155" s="570"/>
      <c r="S155" s="4556" t="s">
        <v>169</v>
      </c>
      <c r="T155" s="570"/>
      <c r="U155" s="4557" t="s">
        <v>169</v>
      </c>
      <c r="V155" s="4555" t="s">
        <v>169</v>
      </c>
      <c r="W155" s="570"/>
      <c r="X155" s="4556" t="s">
        <v>169</v>
      </c>
      <c r="Y155" s="570"/>
      <c r="Z155" s="4557" t="s">
        <v>169</v>
      </c>
      <c r="AA155" s="4555" t="s">
        <v>169</v>
      </c>
      <c r="AB155" s="570"/>
      <c r="AC155" s="4556" t="s">
        <v>169</v>
      </c>
      <c r="AD155" s="570"/>
      <c r="AE155" s="4557" t="s">
        <v>169</v>
      </c>
      <c r="AF155" s="4490"/>
      <c r="AG155" s="547"/>
      <c r="AH155" s="547"/>
      <c r="AI155" s="1244" t="s">
        <v>462</v>
      </c>
      <c r="AJ155" s="18"/>
    </row>
    <row r="156" spans="2:36" ht="20.100000000000001" customHeight="1">
      <c r="B156" s="4505" t="s">
        <v>2281</v>
      </c>
      <c r="C156" s="4514"/>
      <c r="D156" s="571" t="s">
        <v>412</v>
      </c>
      <c r="E156" s="161"/>
      <c r="F156" s="492" t="s">
        <v>344</v>
      </c>
      <c r="G156" s="4554"/>
      <c r="H156" s="337"/>
      <c r="I156" s="571" t="s">
        <v>702</v>
      </c>
      <c r="J156" s="177"/>
      <c r="K156" s="162" t="s">
        <v>703</v>
      </c>
      <c r="L156" s="2186"/>
      <c r="M156" s="293"/>
      <c r="N156" s="569"/>
      <c r="O156" s="293"/>
      <c r="P156" s="2238"/>
      <c r="Q156" s="2237"/>
      <c r="R156" s="293"/>
      <c r="S156" s="569"/>
      <c r="T156" s="293"/>
      <c r="U156" s="2238"/>
      <c r="V156" s="2237"/>
      <c r="W156" s="293"/>
      <c r="X156" s="569"/>
      <c r="Y156" s="293"/>
      <c r="Z156" s="2238"/>
      <c r="AA156" s="2237"/>
      <c r="AB156" s="293"/>
      <c r="AC156" s="569"/>
      <c r="AD156" s="293"/>
      <c r="AE156" s="2238"/>
      <c r="AF156" s="4490"/>
      <c r="AG156" s="547"/>
      <c r="AH156" s="547"/>
      <c r="AI156" s="1244" t="s">
        <v>462</v>
      </c>
      <c r="AJ156" s="18"/>
    </row>
    <row r="157" spans="2:36" ht="20.100000000000001" customHeight="1">
      <c r="B157" s="4505" t="s">
        <v>2281</v>
      </c>
      <c r="C157" s="4516"/>
      <c r="D157" s="571" t="s">
        <v>232</v>
      </c>
      <c r="E157" s="161"/>
      <c r="F157" s="492" t="s">
        <v>233</v>
      </c>
      <c r="G157" s="4554"/>
      <c r="H157" s="343"/>
      <c r="I157" s="571" t="s">
        <v>234</v>
      </c>
      <c r="J157" s="177"/>
      <c r="K157" s="162" t="s">
        <v>235</v>
      </c>
      <c r="L157" s="2186"/>
      <c r="M157" s="293"/>
      <c r="N157" s="569"/>
      <c r="O157" s="293"/>
      <c r="P157" s="2238"/>
      <c r="Q157" s="2237"/>
      <c r="R157" s="293"/>
      <c r="S157" s="569"/>
      <c r="T157" s="293"/>
      <c r="U157" s="2238"/>
      <c r="V157" s="2237"/>
      <c r="W157" s="293"/>
      <c r="X157" s="569"/>
      <c r="Y157" s="293"/>
      <c r="Z157" s="2238"/>
      <c r="AA157" s="2237"/>
      <c r="AB157" s="293"/>
      <c r="AC157" s="569"/>
      <c r="AD157" s="293"/>
      <c r="AE157" s="2238"/>
      <c r="AF157" s="4490"/>
      <c r="AG157" s="547"/>
      <c r="AH157" s="547"/>
      <c r="AI157" s="1244" t="s">
        <v>462</v>
      </c>
      <c r="AJ157" s="18"/>
    </row>
    <row r="158" spans="2:36" ht="19.899999999999999" hidden="1" customHeight="1">
      <c r="B158" s="1754"/>
      <c r="C158" s="1849" t="s">
        <v>466</v>
      </c>
      <c r="D158" s="161"/>
      <c r="E158" s="161"/>
      <c r="F158" s="492" t="s">
        <v>344</v>
      </c>
      <c r="G158" s="662"/>
      <c r="H158" s="140" t="s">
        <v>467</v>
      </c>
      <c r="I158" s="140"/>
      <c r="J158" s="177"/>
      <c r="K158" s="164" t="s">
        <v>344</v>
      </c>
      <c r="L158" s="2186"/>
      <c r="M158" s="293"/>
      <c r="N158" s="100"/>
      <c r="O158" s="293"/>
      <c r="P158" s="2187"/>
      <c r="Q158" s="2186"/>
      <c r="R158" s="293"/>
      <c r="S158" s="100"/>
      <c r="T158" s="293"/>
      <c r="U158" s="2187"/>
      <c r="V158" s="2186"/>
      <c r="W158" s="293"/>
      <c r="X158" s="100"/>
      <c r="Y158" s="293"/>
      <c r="Z158" s="2187"/>
      <c r="AA158" s="2186"/>
      <c r="AB158" s="293"/>
      <c r="AC158" s="100"/>
      <c r="AD158" s="293"/>
      <c r="AE158" s="2187"/>
      <c r="AF158" s="4490"/>
      <c r="AG158" s="547"/>
      <c r="AH158" s="547"/>
      <c r="AI158" s="1244" t="s">
        <v>470</v>
      </c>
      <c r="AJ158" s="18"/>
    </row>
    <row r="159" spans="2:36" ht="20.100000000000001" hidden="1" customHeight="1" thickBot="1">
      <c r="B159" s="1754"/>
      <c r="C159" s="4514"/>
      <c r="D159" s="306" t="s">
        <v>471</v>
      </c>
      <c r="E159" s="161"/>
      <c r="F159" s="492" t="s">
        <v>344</v>
      </c>
      <c r="G159" s="662"/>
      <c r="H159" s="287"/>
      <c r="I159" s="571" t="s">
        <v>472</v>
      </c>
      <c r="J159" s="177"/>
      <c r="K159" s="164" t="s">
        <v>344</v>
      </c>
      <c r="L159" s="2186"/>
      <c r="M159" s="293"/>
      <c r="N159" s="100"/>
      <c r="O159" s="293"/>
      <c r="P159" s="2187"/>
      <c r="Q159" s="2186"/>
      <c r="R159" s="293"/>
      <c r="S159" s="100"/>
      <c r="T159" s="293"/>
      <c r="U159" s="2187"/>
      <c r="V159" s="2186"/>
      <c r="W159" s="293"/>
      <c r="X159" s="100"/>
      <c r="Y159" s="293"/>
      <c r="Z159" s="2187"/>
      <c r="AA159" s="2186"/>
      <c r="AB159" s="293"/>
      <c r="AC159" s="100"/>
      <c r="AD159" s="293"/>
      <c r="AE159" s="2187"/>
      <c r="AF159" s="4490"/>
      <c r="AG159" s="547"/>
      <c r="AH159" s="547"/>
      <c r="AI159" s="1244" t="s">
        <v>470</v>
      </c>
      <c r="AJ159" s="18"/>
    </row>
    <row r="160" spans="2:36" ht="20.100000000000001" hidden="1" customHeight="1" thickBot="1">
      <c r="B160" s="1754"/>
      <c r="C160" s="4516"/>
      <c r="D160" s="306" t="s">
        <v>473</v>
      </c>
      <c r="E160" s="161"/>
      <c r="F160" s="492" t="s">
        <v>344</v>
      </c>
      <c r="G160" s="662"/>
      <c r="H160" s="296"/>
      <c r="I160" s="571" t="s">
        <v>474</v>
      </c>
      <c r="J160" s="177"/>
      <c r="K160" s="164" t="s">
        <v>344</v>
      </c>
      <c r="L160" s="2186"/>
      <c r="M160" s="293"/>
      <c r="N160" s="100"/>
      <c r="O160" s="293"/>
      <c r="P160" s="2187"/>
      <c r="Q160" s="2186"/>
      <c r="R160" s="293"/>
      <c r="S160" s="100"/>
      <c r="T160" s="293"/>
      <c r="U160" s="2187"/>
      <c r="V160" s="2186"/>
      <c r="W160" s="293"/>
      <c r="X160" s="100"/>
      <c r="Y160" s="293"/>
      <c r="Z160" s="2187"/>
      <c r="AA160" s="2186"/>
      <c r="AB160" s="293"/>
      <c r="AC160" s="100"/>
      <c r="AD160" s="293"/>
      <c r="AE160" s="2187"/>
      <c r="AF160" s="4490"/>
      <c r="AG160" s="547"/>
      <c r="AH160" s="547"/>
      <c r="AI160" s="1244" t="s">
        <v>475</v>
      </c>
      <c r="AJ160" s="18"/>
    </row>
    <row r="161" spans="2:36" ht="20.100000000000001" hidden="1" customHeight="1" thickBot="1">
      <c r="B161" s="1754"/>
      <c r="C161" s="1849" t="s">
        <v>476</v>
      </c>
      <c r="D161" s="161"/>
      <c r="E161" s="161"/>
      <c r="F161" s="492" t="s">
        <v>344</v>
      </c>
      <c r="G161" s="662"/>
      <c r="H161" s="140" t="s">
        <v>477</v>
      </c>
      <c r="I161" s="140"/>
      <c r="J161" s="177"/>
      <c r="K161" s="164" t="s">
        <v>344</v>
      </c>
      <c r="L161" s="2226">
        <f t="shared" ref="L161" si="11">L162+L163</f>
        <v>0</v>
      </c>
      <c r="M161" s="293"/>
      <c r="N161" s="356">
        <f>N162+N163</f>
        <v>0</v>
      </c>
      <c r="O161" s="293"/>
      <c r="P161" s="2241">
        <f>P162+P163</f>
        <v>0</v>
      </c>
      <c r="Q161" s="2226">
        <f>Q162+Q163</f>
        <v>0</v>
      </c>
      <c r="R161" s="293"/>
      <c r="S161" s="356">
        <f>S162+S163</f>
        <v>0</v>
      </c>
      <c r="T161" s="293"/>
      <c r="U161" s="2241">
        <f>U162+U163</f>
        <v>0</v>
      </c>
      <c r="V161" s="2226">
        <f>V162+V163</f>
        <v>0</v>
      </c>
      <c r="W161" s="293"/>
      <c r="X161" s="356">
        <f>X162+X163</f>
        <v>0</v>
      </c>
      <c r="Y161" s="293"/>
      <c r="Z161" s="2241">
        <f>Z162+Z163</f>
        <v>0</v>
      </c>
      <c r="AA161" s="2226">
        <f>AA162+AA163</f>
        <v>0</v>
      </c>
      <c r="AB161" s="293"/>
      <c r="AC161" s="356">
        <f>AC162+AC163</f>
        <v>0</v>
      </c>
      <c r="AD161" s="293"/>
      <c r="AE161" s="2241">
        <f>AE162+AE163</f>
        <v>0</v>
      </c>
      <c r="AF161" s="4490"/>
      <c r="AG161" s="547"/>
      <c r="AH161" s="547"/>
      <c r="AI161" s="1244" t="s">
        <v>480</v>
      </c>
      <c r="AJ161" s="18"/>
    </row>
    <row r="162" spans="2:36" ht="20.100000000000001" hidden="1" customHeight="1" thickBot="1">
      <c r="B162" s="1754"/>
      <c r="C162" s="4528"/>
      <c r="D162" s="573" t="s">
        <v>481</v>
      </c>
      <c r="E162" s="573"/>
      <c r="F162" s="492" t="s">
        <v>344</v>
      </c>
      <c r="G162" s="416"/>
      <c r="H162" s="575"/>
      <c r="I162" s="4550" t="s">
        <v>482</v>
      </c>
      <c r="J162" s="576"/>
      <c r="K162" s="164" t="s">
        <v>344</v>
      </c>
      <c r="L162" s="2186"/>
      <c r="M162" s="293"/>
      <c r="N162" s="100"/>
      <c r="O162" s="293"/>
      <c r="P162" s="2187"/>
      <c r="Q162" s="2186"/>
      <c r="R162" s="293"/>
      <c r="S162" s="100"/>
      <c r="T162" s="293"/>
      <c r="U162" s="2187"/>
      <c r="V162" s="2186"/>
      <c r="W162" s="293"/>
      <c r="X162" s="100"/>
      <c r="Y162" s="293"/>
      <c r="Z162" s="2187"/>
      <c r="AA162" s="2186"/>
      <c r="AB162" s="293"/>
      <c r="AC162" s="100"/>
      <c r="AD162" s="293"/>
      <c r="AE162" s="2187"/>
      <c r="AF162" s="4490"/>
      <c r="AG162" s="547"/>
      <c r="AH162" s="547"/>
      <c r="AI162" s="1244" t="s">
        <v>480</v>
      </c>
      <c r="AJ162" s="18"/>
    </row>
    <row r="163" spans="2:36" ht="20.100000000000001" hidden="1" customHeight="1" thickBot="1">
      <c r="B163" s="1754"/>
      <c r="C163" s="1945"/>
      <c r="D163" s="573" t="s">
        <v>483</v>
      </c>
      <c r="E163" s="573"/>
      <c r="F163" s="492" t="s">
        <v>344</v>
      </c>
      <c r="G163" s="416"/>
      <c r="H163" s="578"/>
      <c r="I163" s="4550" t="s">
        <v>484</v>
      </c>
      <c r="J163" s="576"/>
      <c r="K163" s="164" t="s">
        <v>344</v>
      </c>
      <c r="L163" s="2186"/>
      <c r="M163" s="293"/>
      <c r="N163" s="100"/>
      <c r="O163" s="293"/>
      <c r="P163" s="2187"/>
      <c r="Q163" s="2186"/>
      <c r="R163" s="293"/>
      <c r="S163" s="100"/>
      <c r="T163" s="293"/>
      <c r="U163" s="2187"/>
      <c r="V163" s="2186"/>
      <c r="W163" s="293"/>
      <c r="X163" s="100"/>
      <c r="Y163" s="293"/>
      <c r="Z163" s="2187"/>
      <c r="AA163" s="2186"/>
      <c r="AB163" s="293"/>
      <c r="AC163" s="100"/>
      <c r="AD163" s="293"/>
      <c r="AE163" s="2187"/>
      <c r="AF163" s="4490"/>
      <c r="AG163" s="547"/>
      <c r="AH163" s="547"/>
      <c r="AI163" s="1244" t="s">
        <v>480</v>
      </c>
      <c r="AJ163" s="18"/>
    </row>
    <row r="164" spans="2:36" ht="20.100000000000001" hidden="1" customHeight="1" thickBot="1">
      <c r="B164" s="1754"/>
      <c r="C164" s="1758" t="s">
        <v>485</v>
      </c>
      <c r="D164" s="104"/>
      <c r="E164" s="104"/>
      <c r="F164" s="492" t="s">
        <v>344</v>
      </c>
      <c r="G164" s="416"/>
      <c r="H164" s="143" t="s">
        <v>486</v>
      </c>
      <c r="I164" s="143"/>
      <c r="J164" s="576"/>
      <c r="K164" s="164" t="s">
        <v>344</v>
      </c>
      <c r="L164" s="2242">
        <f t="shared" ref="L164" si="12">L165+L166</f>
        <v>0</v>
      </c>
      <c r="M164" s="581"/>
      <c r="N164" s="579">
        <f>N165+N166</f>
        <v>0</v>
      </c>
      <c r="O164" s="581"/>
      <c r="P164" s="2243">
        <f>P165+P166</f>
        <v>0</v>
      </c>
      <c r="Q164" s="2242">
        <f>Q165+Q166</f>
        <v>0</v>
      </c>
      <c r="R164" s="581"/>
      <c r="S164" s="579">
        <f>S165+S166</f>
        <v>0</v>
      </c>
      <c r="T164" s="581"/>
      <c r="U164" s="2243">
        <f>U165+U166</f>
        <v>0</v>
      </c>
      <c r="V164" s="2242">
        <f>V165+V166</f>
        <v>0</v>
      </c>
      <c r="W164" s="581"/>
      <c r="X164" s="579">
        <f>X165+X166</f>
        <v>0</v>
      </c>
      <c r="Y164" s="581"/>
      <c r="Z164" s="2243">
        <f>Z165+Z166</f>
        <v>0</v>
      </c>
      <c r="AA164" s="2242">
        <f>AA165+AA166</f>
        <v>0</v>
      </c>
      <c r="AB164" s="581"/>
      <c r="AC164" s="579">
        <f>AC165+AC166</f>
        <v>0</v>
      </c>
      <c r="AD164" s="581"/>
      <c r="AE164" s="2243">
        <f>AE165+AE166</f>
        <v>0</v>
      </c>
      <c r="AF164" s="4490"/>
      <c r="AG164" s="547"/>
      <c r="AH164" s="547"/>
      <c r="AI164" s="1244" t="s">
        <v>489</v>
      </c>
      <c r="AJ164" s="18"/>
    </row>
    <row r="165" spans="2:36" ht="20.100000000000001" hidden="1" customHeight="1" thickBot="1">
      <c r="B165" s="1754"/>
      <c r="C165" s="4528"/>
      <c r="D165" s="357" t="s">
        <v>497</v>
      </c>
      <c r="E165" s="104"/>
      <c r="F165" s="492" t="s">
        <v>344</v>
      </c>
      <c r="G165" s="416"/>
      <c r="H165" s="575"/>
      <c r="I165" s="4550" t="s">
        <v>498</v>
      </c>
      <c r="J165" s="576"/>
      <c r="K165" s="164" t="s">
        <v>344</v>
      </c>
      <c r="L165" s="2186"/>
      <c r="M165" s="293"/>
      <c r="N165" s="100"/>
      <c r="O165" s="293"/>
      <c r="P165" s="2187"/>
      <c r="Q165" s="2186"/>
      <c r="R165" s="293"/>
      <c r="S165" s="100"/>
      <c r="T165" s="293"/>
      <c r="U165" s="2187"/>
      <c r="V165" s="2186"/>
      <c r="W165" s="293"/>
      <c r="X165" s="100"/>
      <c r="Y165" s="293"/>
      <c r="Z165" s="2187"/>
      <c r="AA165" s="2186"/>
      <c r="AB165" s="293"/>
      <c r="AC165" s="100"/>
      <c r="AD165" s="293"/>
      <c r="AE165" s="2187"/>
      <c r="AF165" s="4490"/>
      <c r="AG165" s="547"/>
      <c r="AH165" s="547"/>
      <c r="AI165" s="1244" t="s">
        <v>499</v>
      </c>
      <c r="AJ165" s="18"/>
    </row>
    <row r="166" spans="2:36" ht="20.100000000000001" hidden="1" customHeight="1" thickBot="1">
      <c r="B166" s="1754"/>
      <c r="C166" s="1945"/>
      <c r="D166" s="357" t="s">
        <v>507</v>
      </c>
      <c r="E166" s="104"/>
      <c r="F166" s="492" t="s">
        <v>344</v>
      </c>
      <c r="G166" s="416"/>
      <c r="H166" s="578"/>
      <c r="I166" s="4550" t="s">
        <v>508</v>
      </c>
      <c r="J166" s="576"/>
      <c r="K166" s="164" t="s">
        <v>344</v>
      </c>
      <c r="L166" s="2186"/>
      <c r="M166" s="293"/>
      <c r="N166" s="100"/>
      <c r="O166" s="293"/>
      <c r="P166" s="2187"/>
      <c r="Q166" s="2186"/>
      <c r="R166" s="293"/>
      <c r="S166" s="100"/>
      <c r="T166" s="293"/>
      <c r="U166" s="2187"/>
      <c r="V166" s="2186"/>
      <c r="W166" s="293"/>
      <c r="X166" s="100"/>
      <c r="Y166" s="293"/>
      <c r="Z166" s="2187"/>
      <c r="AA166" s="2186"/>
      <c r="AB166" s="293"/>
      <c r="AC166" s="100"/>
      <c r="AD166" s="293"/>
      <c r="AE166" s="2187"/>
      <c r="AF166" s="4490"/>
      <c r="AG166" s="547"/>
      <c r="AH166" s="547"/>
      <c r="AI166" s="1244" t="s">
        <v>499</v>
      </c>
      <c r="AJ166" s="18"/>
    </row>
    <row r="167" spans="2:36" ht="20.100000000000001" customHeight="1" thickBot="1">
      <c r="B167" s="4505" t="s">
        <v>2281</v>
      </c>
      <c r="C167" s="1758" t="s">
        <v>516</v>
      </c>
      <c r="D167" s="104"/>
      <c r="E167" s="104"/>
      <c r="F167" s="492" t="s">
        <v>344</v>
      </c>
      <c r="G167" s="577"/>
      <c r="H167" s="143" t="s">
        <v>517</v>
      </c>
      <c r="I167" s="143"/>
      <c r="J167" s="576"/>
      <c r="K167" s="164" t="s">
        <v>344</v>
      </c>
      <c r="L167" s="2186"/>
      <c r="M167" s="293"/>
      <c r="N167" s="100"/>
      <c r="O167" s="293"/>
      <c r="P167" s="2187"/>
      <c r="Q167" s="2186"/>
      <c r="R167" s="293"/>
      <c r="S167" s="100"/>
      <c r="T167" s="293"/>
      <c r="U167" s="2187"/>
      <c r="V167" s="2186" t="s">
        <v>641</v>
      </c>
      <c r="W167" s="293"/>
      <c r="X167" s="2186" t="s">
        <v>641</v>
      </c>
      <c r="Y167" s="293"/>
      <c r="Z167" s="2186" t="s">
        <v>641</v>
      </c>
      <c r="AA167" s="2186"/>
      <c r="AB167" s="293"/>
      <c r="AC167" s="100"/>
      <c r="AD167" s="293"/>
      <c r="AE167" s="2187"/>
      <c r="AF167" s="4490"/>
      <c r="AG167" s="547"/>
      <c r="AH167" s="547"/>
      <c r="AI167" s="1244" t="s">
        <v>518</v>
      </c>
      <c r="AJ167" s="18"/>
    </row>
    <row r="168" spans="2:36" ht="20.100000000000001" hidden="1" customHeight="1" thickBot="1">
      <c r="B168" s="1816"/>
      <c r="C168" s="1849" t="s">
        <v>522</v>
      </c>
      <c r="D168" s="161"/>
      <c r="E168" s="161"/>
      <c r="F168" s="492" t="s">
        <v>344</v>
      </c>
      <c r="G168" s="386"/>
      <c r="H168" s="140" t="s">
        <v>523</v>
      </c>
      <c r="I168" s="140"/>
      <c r="J168" s="177"/>
      <c r="K168" s="164" t="s">
        <v>344</v>
      </c>
      <c r="L168" s="2186"/>
      <c r="M168" s="293"/>
      <c r="N168" s="100"/>
      <c r="O168" s="293"/>
      <c r="P168" s="2187"/>
      <c r="Q168" s="2186"/>
      <c r="R168" s="293"/>
      <c r="S168" s="100"/>
      <c r="T168" s="293"/>
      <c r="U168" s="2187"/>
      <c r="V168" s="2186"/>
      <c r="W168" s="293"/>
      <c r="X168" s="100"/>
      <c r="Y168" s="293"/>
      <c r="Z168" s="2187"/>
      <c r="AA168" s="2186"/>
      <c r="AB168" s="293"/>
      <c r="AC168" s="100"/>
      <c r="AD168" s="293"/>
      <c r="AE168" s="2187"/>
      <c r="AF168" s="4490"/>
      <c r="AG168" s="547"/>
      <c r="AH168" s="547"/>
      <c r="AI168" s="1244" t="s">
        <v>524</v>
      </c>
      <c r="AJ168" s="11"/>
    </row>
    <row r="169" spans="2:36" ht="20.100000000000001" hidden="1" customHeight="1" thickBot="1">
      <c r="B169" s="1816"/>
      <c r="C169" s="4514"/>
      <c r="D169" s="490" t="s">
        <v>708</v>
      </c>
      <c r="E169" s="583"/>
      <c r="F169" s="492" t="s">
        <v>344</v>
      </c>
      <c r="G169" s="347"/>
      <c r="H169" s="348" t="s">
        <v>527</v>
      </c>
      <c r="I169" s="495" t="s">
        <v>528</v>
      </c>
      <c r="J169" s="684"/>
      <c r="K169" s="164" t="s">
        <v>344</v>
      </c>
      <c r="L169" s="2186"/>
      <c r="M169" s="293"/>
      <c r="N169" s="100"/>
      <c r="O169" s="293"/>
      <c r="P169" s="2187"/>
      <c r="Q169" s="2186"/>
      <c r="R169" s="293"/>
      <c r="S169" s="100"/>
      <c r="T169" s="293"/>
      <c r="U169" s="2187"/>
      <c r="V169" s="2186"/>
      <c r="W169" s="293"/>
      <c r="X169" s="100"/>
      <c r="Y169" s="293"/>
      <c r="Z169" s="2187"/>
      <c r="AA169" s="2186"/>
      <c r="AB169" s="293"/>
      <c r="AC169" s="100"/>
      <c r="AD169" s="293"/>
      <c r="AE169" s="2187"/>
      <c r="AF169" s="4551"/>
      <c r="AG169" s="547"/>
      <c r="AH169" s="547"/>
      <c r="AI169" s="1244" t="s">
        <v>524</v>
      </c>
      <c r="AJ169" s="11"/>
    </row>
    <row r="170" spans="2:36" ht="20.100000000000001" hidden="1" customHeight="1" thickBot="1">
      <c r="B170" s="1816"/>
      <c r="C170" s="4558"/>
      <c r="D170" s="490" t="s">
        <v>709</v>
      </c>
      <c r="E170" s="583"/>
      <c r="F170" s="492" t="s">
        <v>344</v>
      </c>
      <c r="G170" s="106"/>
      <c r="H170" s="353"/>
      <c r="I170" s="495" t="s">
        <v>530</v>
      </c>
      <c r="J170" s="684"/>
      <c r="K170" s="164" t="s">
        <v>344</v>
      </c>
      <c r="L170" s="2186"/>
      <c r="M170" s="293"/>
      <c r="N170" s="100"/>
      <c r="O170" s="293"/>
      <c r="P170" s="2187"/>
      <c r="Q170" s="2186"/>
      <c r="R170" s="293"/>
      <c r="S170" s="100"/>
      <c r="T170" s="293"/>
      <c r="U170" s="2187"/>
      <c r="V170" s="2186"/>
      <c r="W170" s="293"/>
      <c r="X170" s="100"/>
      <c r="Y170" s="293"/>
      <c r="Z170" s="2187"/>
      <c r="AA170" s="2186"/>
      <c r="AB170" s="293"/>
      <c r="AC170" s="100"/>
      <c r="AD170" s="293"/>
      <c r="AE170" s="2187"/>
      <c r="AF170" s="4551"/>
      <c r="AG170" s="547"/>
      <c r="AH170" s="547"/>
      <c r="AI170" s="1244" t="s">
        <v>524</v>
      </c>
      <c r="AJ170" s="11"/>
    </row>
    <row r="171" spans="2:36" ht="20.100000000000001" hidden="1" customHeight="1" thickBot="1">
      <c r="B171" s="1816"/>
      <c r="C171" s="4558"/>
      <c r="D171" s="490" t="s">
        <v>710</v>
      </c>
      <c r="E171" s="583"/>
      <c r="F171" s="492" t="s">
        <v>344</v>
      </c>
      <c r="G171" s="106"/>
      <c r="H171" s="353"/>
      <c r="I171" s="495" t="s">
        <v>532</v>
      </c>
      <c r="J171" s="684"/>
      <c r="K171" s="164" t="s">
        <v>344</v>
      </c>
      <c r="L171" s="2186"/>
      <c r="M171" s="293"/>
      <c r="N171" s="100"/>
      <c r="O171" s="293"/>
      <c r="P171" s="2187"/>
      <c r="Q171" s="2186"/>
      <c r="R171" s="293"/>
      <c r="S171" s="100"/>
      <c r="T171" s="293"/>
      <c r="U171" s="2187"/>
      <c r="V171" s="2186"/>
      <c r="W171" s="293"/>
      <c r="X171" s="100"/>
      <c r="Y171" s="293"/>
      <c r="Z171" s="2187"/>
      <c r="AA171" s="2186"/>
      <c r="AB171" s="293"/>
      <c r="AC171" s="100"/>
      <c r="AD171" s="293"/>
      <c r="AE171" s="2187"/>
      <c r="AF171" s="4551"/>
      <c r="AG171" s="547"/>
      <c r="AH171" s="547"/>
      <c r="AI171" s="1244" t="s">
        <v>524</v>
      </c>
      <c r="AJ171" s="11"/>
    </row>
    <row r="172" spans="2:36" ht="20.100000000000001" hidden="1" customHeight="1" thickBot="1">
      <c r="B172" s="1834"/>
      <c r="C172" s="4558"/>
      <c r="D172" s="490" t="s">
        <v>711</v>
      </c>
      <c r="E172" s="583"/>
      <c r="F172" s="492" t="s">
        <v>344</v>
      </c>
      <c r="G172" s="106"/>
      <c r="H172" s="353"/>
      <c r="I172" s="495" t="s">
        <v>534</v>
      </c>
      <c r="J172" s="684"/>
      <c r="K172" s="164" t="s">
        <v>344</v>
      </c>
      <c r="L172" s="2186"/>
      <c r="M172" s="293"/>
      <c r="N172" s="100"/>
      <c r="O172" s="293"/>
      <c r="P172" s="2187"/>
      <c r="Q172" s="2186"/>
      <c r="R172" s="293"/>
      <c r="S172" s="100"/>
      <c r="T172" s="293"/>
      <c r="U172" s="2187"/>
      <c r="V172" s="2186"/>
      <c r="W172" s="293"/>
      <c r="X172" s="100"/>
      <c r="Y172" s="293"/>
      <c r="Z172" s="2187"/>
      <c r="AA172" s="2186"/>
      <c r="AB172" s="293"/>
      <c r="AC172" s="100"/>
      <c r="AD172" s="293"/>
      <c r="AE172" s="2187"/>
      <c r="AF172" s="4551"/>
      <c r="AG172" s="547"/>
      <c r="AH172" s="547"/>
      <c r="AI172" s="1244" t="s">
        <v>524</v>
      </c>
      <c r="AJ172" s="11"/>
    </row>
    <row r="173" spans="2:36" ht="20.100000000000001" hidden="1" customHeight="1" thickBot="1">
      <c r="B173" s="1816"/>
      <c r="C173" s="4558"/>
      <c r="D173" s="490" t="s">
        <v>712</v>
      </c>
      <c r="E173" s="583"/>
      <c r="F173" s="492" t="s">
        <v>344</v>
      </c>
      <c r="G173" s="106"/>
      <c r="H173" s="353"/>
      <c r="I173" s="495" t="s">
        <v>536</v>
      </c>
      <c r="J173" s="684"/>
      <c r="K173" s="164" t="s">
        <v>344</v>
      </c>
      <c r="L173" s="2186"/>
      <c r="M173" s="293"/>
      <c r="N173" s="100"/>
      <c r="O173" s="293"/>
      <c r="P173" s="2187"/>
      <c r="Q173" s="2186"/>
      <c r="R173" s="293"/>
      <c r="S173" s="100"/>
      <c r="T173" s="293"/>
      <c r="U173" s="2187"/>
      <c r="V173" s="2186"/>
      <c r="W173" s="293"/>
      <c r="X173" s="100"/>
      <c r="Y173" s="293"/>
      <c r="Z173" s="2187"/>
      <c r="AA173" s="2186"/>
      <c r="AB173" s="293"/>
      <c r="AC173" s="100"/>
      <c r="AD173" s="293"/>
      <c r="AE173" s="2187"/>
      <c r="AF173" s="4551"/>
      <c r="AG173" s="547"/>
      <c r="AH173" s="547"/>
      <c r="AI173" s="1244" t="s">
        <v>524</v>
      </c>
      <c r="AJ173" s="11"/>
    </row>
    <row r="174" spans="2:36" ht="20.100000000000001" hidden="1" customHeight="1" thickBot="1">
      <c r="B174" s="1816"/>
      <c r="C174" s="4558"/>
      <c r="D174" s="490" t="s">
        <v>713</v>
      </c>
      <c r="E174" s="583"/>
      <c r="F174" s="492" t="s">
        <v>344</v>
      </c>
      <c r="G174" s="106"/>
      <c r="H174" s="353"/>
      <c r="I174" s="495" t="s">
        <v>538</v>
      </c>
      <c r="J174" s="684"/>
      <c r="K174" s="164" t="s">
        <v>344</v>
      </c>
      <c r="L174" s="2186"/>
      <c r="M174" s="293"/>
      <c r="N174" s="100"/>
      <c r="O174" s="293"/>
      <c r="P174" s="2187"/>
      <c r="Q174" s="2186"/>
      <c r="R174" s="293"/>
      <c r="S174" s="100"/>
      <c r="T174" s="293"/>
      <c r="U174" s="2187"/>
      <c r="V174" s="2186"/>
      <c r="W174" s="293"/>
      <c r="X174" s="100"/>
      <c r="Y174" s="293"/>
      <c r="Z174" s="2187"/>
      <c r="AA174" s="2186"/>
      <c r="AB174" s="293"/>
      <c r="AC174" s="100"/>
      <c r="AD174" s="293"/>
      <c r="AE174" s="2187"/>
      <c r="AF174" s="4551"/>
      <c r="AG174" s="547"/>
      <c r="AH174" s="547"/>
      <c r="AI174" s="1244" t="s">
        <v>524</v>
      </c>
      <c r="AJ174" s="11"/>
    </row>
    <row r="175" spans="2:36" ht="20.100000000000001" hidden="1" customHeight="1" thickBot="1">
      <c r="B175" s="1816"/>
      <c r="C175" s="4558"/>
      <c r="D175" s="490" t="s">
        <v>714</v>
      </c>
      <c r="E175" s="583"/>
      <c r="F175" s="492" t="s">
        <v>344</v>
      </c>
      <c r="G175" s="106"/>
      <c r="H175" s="353"/>
      <c r="I175" s="495" t="s">
        <v>540</v>
      </c>
      <c r="J175" s="684"/>
      <c r="K175" s="164" t="s">
        <v>344</v>
      </c>
      <c r="L175" s="2186"/>
      <c r="M175" s="293"/>
      <c r="N175" s="100"/>
      <c r="O175" s="293"/>
      <c r="P175" s="2187"/>
      <c r="Q175" s="2186"/>
      <c r="R175" s="293"/>
      <c r="S175" s="100"/>
      <c r="T175" s="293"/>
      <c r="U175" s="2187"/>
      <c r="V175" s="2186"/>
      <c r="W175" s="293"/>
      <c r="X175" s="100"/>
      <c r="Y175" s="293"/>
      <c r="Z175" s="2187"/>
      <c r="AA175" s="2186"/>
      <c r="AB175" s="293"/>
      <c r="AC175" s="100"/>
      <c r="AD175" s="293"/>
      <c r="AE175" s="2187"/>
      <c r="AF175" s="4551"/>
      <c r="AG175" s="547"/>
      <c r="AH175" s="547"/>
      <c r="AI175" s="1244" t="s">
        <v>524</v>
      </c>
      <c r="AJ175" s="11"/>
    </row>
    <row r="176" spans="2:36" ht="20.100000000000001" hidden="1" customHeight="1" thickBot="1">
      <c r="B176" s="1821"/>
      <c r="C176" s="4559"/>
      <c r="D176" s="585" t="s">
        <v>715</v>
      </c>
      <c r="E176" s="586"/>
      <c r="F176" s="511" t="s">
        <v>344</v>
      </c>
      <c r="G176" s="106"/>
      <c r="H176" s="353"/>
      <c r="I176" s="4560" t="s">
        <v>542</v>
      </c>
      <c r="J176" s="1374"/>
      <c r="K176" s="4561" t="s">
        <v>344</v>
      </c>
      <c r="L176" s="2244"/>
      <c r="M176" s="594"/>
      <c r="N176" s="593"/>
      <c r="O176" s="594"/>
      <c r="P176" s="2245"/>
      <c r="Q176" s="2244"/>
      <c r="R176" s="594"/>
      <c r="S176" s="593"/>
      <c r="T176" s="594"/>
      <c r="U176" s="2245"/>
      <c r="V176" s="2244"/>
      <c r="W176" s="594"/>
      <c r="X176" s="593"/>
      <c r="Y176" s="594"/>
      <c r="Z176" s="2245"/>
      <c r="AA176" s="2244"/>
      <c r="AB176" s="594"/>
      <c r="AC176" s="593"/>
      <c r="AD176" s="594"/>
      <c r="AE176" s="2245"/>
      <c r="AF176" s="4551"/>
      <c r="AG176" s="597"/>
      <c r="AH176" s="597"/>
      <c r="AI176" s="1244" t="s">
        <v>524</v>
      </c>
      <c r="AJ176" s="11"/>
    </row>
    <row r="177" spans="2:36" ht="27" thickBot="1">
      <c r="B177" s="4505" t="s">
        <v>2281</v>
      </c>
      <c r="C177" s="123" t="s">
        <v>543</v>
      </c>
      <c r="D177" s="124"/>
      <c r="E177" s="124"/>
      <c r="F177" s="124"/>
      <c r="G177" s="598" t="s">
        <v>1793</v>
      </c>
      <c r="H177" s="4562"/>
      <c r="I177" s="126"/>
      <c r="J177" s="126"/>
      <c r="K177" s="2195"/>
      <c r="L177" s="2175"/>
      <c r="M177" s="148"/>
      <c r="N177" s="148"/>
      <c r="O177" s="148"/>
      <c r="P177" s="2176"/>
      <c r="Q177" s="2175"/>
      <c r="R177" s="148"/>
      <c r="S177" s="148"/>
      <c r="T177" s="148"/>
      <c r="U177" s="2176"/>
      <c r="V177" s="2175"/>
      <c r="W177" s="148"/>
      <c r="X177" s="148"/>
      <c r="Y177" s="148"/>
      <c r="Z177" s="2176"/>
      <c r="AA177" s="2175"/>
      <c r="AB177" s="148"/>
      <c r="AC177" s="148"/>
      <c r="AD177" s="148"/>
      <c r="AE177" s="2176"/>
      <c r="AF177" s="4493"/>
      <c r="AG177" s="129"/>
      <c r="AH177" s="129"/>
      <c r="AI177" s="1006"/>
      <c r="AJ177" s="18"/>
    </row>
    <row r="178" spans="2:36" ht="20.100000000000001" customHeight="1">
      <c r="B178" s="4505" t="s">
        <v>2281</v>
      </c>
      <c r="C178" s="4563" t="s">
        <v>544</v>
      </c>
      <c r="D178" s="601"/>
      <c r="E178" s="601"/>
      <c r="F178" s="492" t="s">
        <v>33</v>
      </c>
      <c r="G178" s="4525"/>
      <c r="H178" s="254" t="s">
        <v>545</v>
      </c>
      <c r="I178" s="254"/>
      <c r="J178" s="296"/>
      <c r="K178" s="164" t="s">
        <v>35</v>
      </c>
      <c r="L178" s="2186"/>
      <c r="M178" s="484"/>
      <c r="N178" s="100"/>
      <c r="O178" s="484"/>
      <c r="P178" s="2187"/>
      <c r="Q178" s="2186"/>
      <c r="R178" s="484"/>
      <c r="S178" s="100"/>
      <c r="T178" s="484"/>
      <c r="U178" s="2187"/>
      <c r="V178" s="2302" t="s">
        <v>641</v>
      </c>
      <c r="W178" s="543"/>
      <c r="X178" s="542" t="s">
        <v>641</v>
      </c>
      <c r="Y178" s="543"/>
      <c r="Z178" s="542" t="s">
        <v>641</v>
      </c>
      <c r="AA178" s="2186"/>
      <c r="AB178" s="484"/>
      <c r="AC178" s="100"/>
      <c r="AD178" s="484"/>
      <c r="AE178" s="2187"/>
      <c r="AF178" s="4515"/>
      <c r="AG178" s="547"/>
      <c r="AH178" s="547"/>
      <c r="AI178" s="1195" t="s">
        <v>548</v>
      </c>
      <c r="AJ178" s="18"/>
    </row>
    <row r="179" spans="2:36" ht="26.25">
      <c r="B179" s="4505" t="s">
        <v>2281</v>
      </c>
      <c r="C179" s="1849" t="s">
        <v>550</v>
      </c>
      <c r="D179" s="161"/>
      <c r="E179" s="161"/>
      <c r="F179" s="492" t="s">
        <v>33</v>
      </c>
      <c r="G179" s="662"/>
      <c r="H179" s="140" t="s">
        <v>551</v>
      </c>
      <c r="I179" s="140"/>
      <c r="J179" s="141"/>
      <c r="K179" s="164" t="s">
        <v>35</v>
      </c>
      <c r="L179" s="2186"/>
      <c r="M179" s="484"/>
      <c r="N179" s="100"/>
      <c r="O179" s="484"/>
      <c r="P179" s="2187"/>
      <c r="Q179" s="2186"/>
      <c r="R179" s="484"/>
      <c r="S179" s="100"/>
      <c r="T179" s="484"/>
      <c r="U179" s="2187"/>
      <c r="V179" s="2302" t="s">
        <v>641</v>
      </c>
      <c r="W179" s="543"/>
      <c r="X179" s="542" t="s">
        <v>641</v>
      </c>
      <c r="Y179" s="543"/>
      <c r="Z179" s="542" t="s">
        <v>641</v>
      </c>
      <c r="AA179" s="2186"/>
      <c r="AB179" s="484"/>
      <c r="AC179" s="100"/>
      <c r="AD179" s="484"/>
      <c r="AE179" s="2187"/>
      <c r="AF179" s="4515"/>
      <c r="AG179" s="547"/>
      <c r="AH179" s="547"/>
      <c r="AI179" s="1195" t="s">
        <v>555</v>
      </c>
      <c r="AJ179" s="18"/>
    </row>
    <row r="180" spans="2:36" ht="20.100000000000001" customHeight="1">
      <c r="B180" s="4505" t="s">
        <v>2281</v>
      </c>
      <c r="C180" s="161" t="s">
        <v>556</v>
      </c>
      <c r="D180" s="161"/>
      <c r="E180" s="161"/>
      <c r="F180" s="492" t="s">
        <v>557</v>
      </c>
      <c r="G180" s="662"/>
      <c r="H180" s="140" t="s">
        <v>558</v>
      </c>
      <c r="I180" s="140"/>
      <c r="J180" s="177"/>
      <c r="K180" s="164" t="s">
        <v>559</v>
      </c>
      <c r="L180" s="2186"/>
      <c r="M180" s="484"/>
      <c r="N180" s="100"/>
      <c r="O180" s="484"/>
      <c r="P180" s="2187"/>
      <c r="Q180" s="2186"/>
      <c r="R180" s="484"/>
      <c r="S180" s="100"/>
      <c r="T180" s="484"/>
      <c r="U180" s="2187"/>
      <c r="V180" s="2302" t="s">
        <v>641</v>
      </c>
      <c r="W180" s="543"/>
      <c r="X180" s="542" t="s">
        <v>641</v>
      </c>
      <c r="Y180" s="543"/>
      <c r="Z180" s="542" t="s">
        <v>641</v>
      </c>
      <c r="AA180" s="2186"/>
      <c r="AB180" s="484"/>
      <c r="AC180" s="100"/>
      <c r="AD180" s="484"/>
      <c r="AE180" s="2187"/>
      <c r="AF180" s="4490"/>
      <c r="AG180" s="547"/>
      <c r="AH180" s="547"/>
      <c r="AI180" s="4564" t="s">
        <v>561</v>
      </c>
      <c r="AJ180" s="18"/>
    </row>
    <row r="181" spans="2:36" ht="20.100000000000001" customHeight="1">
      <c r="B181" s="4505" t="s">
        <v>2281</v>
      </c>
      <c r="C181" s="1849" t="s">
        <v>563</v>
      </c>
      <c r="D181" s="161"/>
      <c r="E181" s="161"/>
      <c r="F181" s="285" t="s">
        <v>557</v>
      </c>
      <c r="G181" s="662"/>
      <c r="H181" s="140" t="s">
        <v>564</v>
      </c>
      <c r="I181" s="140"/>
      <c r="J181" s="177"/>
      <c r="K181" s="162" t="s">
        <v>559</v>
      </c>
      <c r="L181" s="2186"/>
      <c r="M181" s="484"/>
      <c r="N181" s="100"/>
      <c r="O181" s="484"/>
      <c r="P181" s="2187"/>
      <c r="Q181" s="2186"/>
      <c r="R181" s="484"/>
      <c r="S181" s="100"/>
      <c r="T181" s="484"/>
      <c r="U181" s="2187"/>
      <c r="V181" s="2302" t="s">
        <v>641</v>
      </c>
      <c r="W181" s="543"/>
      <c r="X181" s="542" t="s">
        <v>641</v>
      </c>
      <c r="Y181" s="543"/>
      <c r="Z181" s="542" t="s">
        <v>641</v>
      </c>
      <c r="AA181" s="2186"/>
      <c r="AB181" s="484"/>
      <c r="AC181" s="100"/>
      <c r="AD181" s="484"/>
      <c r="AE181" s="2187"/>
      <c r="AF181" s="4490"/>
      <c r="AG181" s="547"/>
      <c r="AH181" s="547"/>
      <c r="AI181" s="1195" t="s">
        <v>568</v>
      </c>
      <c r="AJ181" s="18"/>
    </row>
    <row r="182" spans="2:36" ht="20.100000000000001" customHeight="1" thickBot="1">
      <c r="B182" s="4505" t="s">
        <v>2281</v>
      </c>
      <c r="C182" s="4565" t="s">
        <v>570</v>
      </c>
      <c r="D182" s="4566"/>
      <c r="E182" s="4566"/>
      <c r="F182" s="285" t="s">
        <v>33</v>
      </c>
      <c r="G182" s="343"/>
      <c r="H182" s="140" t="s">
        <v>571</v>
      </c>
      <c r="I182" s="140"/>
      <c r="J182" s="177"/>
      <c r="K182" s="162" t="s">
        <v>35</v>
      </c>
      <c r="L182" s="2186"/>
      <c r="M182" s="484"/>
      <c r="N182" s="100"/>
      <c r="O182" s="610"/>
      <c r="P182" s="2187"/>
      <c r="Q182" s="2186"/>
      <c r="R182" s="484"/>
      <c r="S182" s="100"/>
      <c r="T182" s="610"/>
      <c r="U182" s="2187"/>
      <c r="V182" s="2302" t="s">
        <v>641</v>
      </c>
      <c r="W182" s="543"/>
      <c r="X182" s="542" t="s">
        <v>641</v>
      </c>
      <c r="Y182" s="543"/>
      <c r="Z182" s="542" t="s">
        <v>641</v>
      </c>
      <c r="AA182" s="2186"/>
      <c r="AB182" s="484"/>
      <c r="AC182" s="100"/>
      <c r="AD182" s="484"/>
      <c r="AE182" s="2187"/>
      <c r="AF182" s="4515"/>
      <c r="AG182" s="547"/>
      <c r="AH182" s="547"/>
      <c r="AI182" s="1195" t="s">
        <v>575</v>
      </c>
      <c r="AJ182" s="611"/>
    </row>
    <row r="183" spans="2:36" ht="20.100000000000001" hidden="1" customHeight="1" thickBot="1">
      <c r="B183" s="1846"/>
      <c r="C183" s="1849" t="s">
        <v>576</v>
      </c>
      <c r="D183" s="161"/>
      <c r="E183" s="161"/>
      <c r="F183" s="285" t="s">
        <v>413</v>
      </c>
      <c r="G183" s="386"/>
      <c r="H183" s="140" t="s">
        <v>577</v>
      </c>
      <c r="I183" s="140"/>
      <c r="J183" s="177"/>
      <c r="K183" s="162" t="s">
        <v>413</v>
      </c>
      <c r="L183" s="2250">
        <v>0</v>
      </c>
      <c r="M183" s="484">
        <v>0</v>
      </c>
      <c r="N183" s="612">
        <v>0</v>
      </c>
      <c r="O183" s="484">
        <v>0</v>
      </c>
      <c r="P183" s="2187"/>
      <c r="Q183" s="2250">
        <v>0</v>
      </c>
      <c r="R183" s="613" t="s">
        <v>724</v>
      </c>
      <c r="S183" s="612">
        <v>0</v>
      </c>
      <c r="T183" s="613" t="s">
        <v>724</v>
      </c>
      <c r="U183" s="2187"/>
      <c r="V183" s="2250" t="s">
        <v>2351</v>
      </c>
      <c r="W183" s="484" t="s">
        <v>2352</v>
      </c>
      <c r="X183" s="612" t="s">
        <v>2351</v>
      </c>
      <c r="Y183" s="484" t="s">
        <v>2352</v>
      </c>
      <c r="Z183" s="2187"/>
      <c r="AA183" s="2186"/>
      <c r="AB183" s="484"/>
      <c r="AC183" s="100"/>
      <c r="AD183" s="484"/>
      <c r="AE183" s="2187"/>
      <c r="AF183" s="4490"/>
      <c r="AG183" s="547"/>
      <c r="AH183" s="547"/>
      <c r="AI183" s="1195" t="s">
        <v>581</v>
      </c>
      <c r="AJ183" s="11"/>
    </row>
    <row r="184" spans="2:36" ht="20.100000000000001" hidden="1" customHeight="1" thickBot="1">
      <c r="B184" s="1847"/>
      <c r="C184" s="614"/>
      <c r="D184" s="615" t="s">
        <v>582</v>
      </c>
      <c r="E184" s="616"/>
      <c r="F184" s="285" t="s">
        <v>413</v>
      </c>
      <c r="G184" s="535"/>
      <c r="H184" s="45"/>
      <c r="I184" s="4567" t="s">
        <v>583</v>
      </c>
      <c r="J184" s="2484"/>
      <c r="K184" s="162" t="s">
        <v>413</v>
      </c>
      <c r="L184" s="2250">
        <v>0</v>
      </c>
      <c r="M184" s="484">
        <v>0</v>
      </c>
      <c r="N184" s="612">
        <v>0</v>
      </c>
      <c r="O184" s="484">
        <v>0</v>
      </c>
      <c r="P184" s="2187"/>
      <c r="Q184" s="2250">
        <v>0</v>
      </c>
      <c r="R184" s="613" t="s">
        <v>726</v>
      </c>
      <c r="S184" s="612">
        <v>0</v>
      </c>
      <c r="T184" s="613" t="s">
        <v>726</v>
      </c>
      <c r="U184" s="2187"/>
      <c r="V184" s="2250">
        <v>0</v>
      </c>
      <c r="W184" s="484" t="s">
        <v>2353</v>
      </c>
      <c r="X184" s="612">
        <v>0</v>
      </c>
      <c r="Y184" s="484" t="s">
        <v>2353</v>
      </c>
      <c r="Z184" s="2187"/>
      <c r="AA184" s="2186"/>
      <c r="AB184" s="484"/>
      <c r="AC184" s="100"/>
      <c r="AD184" s="484"/>
      <c r="AE184" s="2187"/>
      <c r="AF184" s="4490"/>
      <c r="AG184" s="547"/>
      <c r="AH184" s="547"/>
      <c r="AI184" s="1195" t="s">
        <v>581</v>
      </c>
      <c r="AJ184" s="11"/>
    </row>
    <row r="185" spans="2:36" ht="20.100000000000001" hidden="1" customHeight="1" thickTop="1" thickBot="1">
      <c r="B185" s="1847"/>
      <c r="C185" s="614"/>
      <c r="D185" s="615" t="s">
        <v>584</v>
      </c>
      <c r="E185" s="616"/>
      <c r="F185" s="285" t="s">
        <v>413</v>
      </c>
      <c r="G185" s="535"/>
      <c r="H185" s="45"/>
      <c r="I185" s="4567" t="s">
        <v>585</v>
      </c>
      <c r="J185" s="2484"/>
      <c r="K185" s="162" t="s">
        <v>413</v>
      </c>
      <c r="L185" s="2186"/>
      <c r="M185" s="484"/>
      <c r="N185" s="100"/>
      <c r="O185" s="484"/>
      <c r="P185" s="2187"/>
      <c r="Q185" s="2186"/>
      <c r="R185" s="613"/>
      <c r="S185" s="100"/>
      <c r="T185" s="484"/>
      <c r="U185" s="2187"/>
      <c r="V185" s="2186"/>
      <c r="W185" s="484"/>
      <c r="X185" s="100"/>
      <c r="Y185" s="484"/>
      <c r="Z185" s="2187"/>
      <c r="AA185" s="2186"/>
      <c r="AB185" s="484"/>
      <c r="AC185" s="100"/>
      <c r="AD185" s="484"/>
      <c r="AE185" s="2187"/>
      <c r="AF185" s="4490"/>
      <c r="AG185" s="547"/>
      <c r="AH185" s="547"/>
      <c r="AI185" s="1195" t="s">
        <v>581</v>
      </c>
      <c r="AJ185" s="11"/>
    </row>
    <row r="186" spans="2:36" ht="20.100000000000001" hidden="1" customHeight="1" thickTop="1" thickBot="1">
      <c r="B186" s="1847"/>
      <c r="C186" s="614"/>
      <c r="D186" s="615" t="s">
        <v>586</v>
      </c>
      <c r="E186" s="616"/>
      <c r="F186" s="285" t="s">
        <v>413</v>
      </c>
      <c r="G186" s="535"/>
      <c r="H186" s="45"/>
      <c r="I186" s="4567" t="s">
        <v>587</v>
      </c>
      <c r="J186" s="2484"/>
      <c r="K186" s="162" t="s">
        <v>413</v>
      </c>
      <c r="L186" s="2250">
        <v>0</v>
      </c>
      <c r="M186" s="484">
        <v>0</v>
      </c>
      <c r="N186" s="612">
        <v>0</v>
      </c>
      <c r="O186" s="484">
        <v>0</v>
      </c>
      <c r="P186" s="2187"/>
      <c r="Q186" s="2250">
        <v>0</v>
      </c>
      <c r="R186" s="613" t="s">
        <v>726</v>
      </c>
      <c r="S186" s="612">
        <v>0</v>
      </c>
      <c r="T186" s="613" t="s">
        <v>726</v>
      </c>
      <c r="U186" s="2187"/>
      <c r="V186" s="2250">
        <v>0</v>
      </c>
      <c r="W186" s="484" t="s">
        <v>2353</v>
      </c>
      <c r="X186" s="612">
        <v>0</v>
      </c>
      <c r="Y186" s="484" t="s">
        <v>2353</v>
      </c>
      <c r="Z186" s="2187"/>
      <c r="AA186" s="2186"/>
      <c r="AB186" s="484"/>
      <c r="AC186" s="100"/>
      <c r="AD186" s="484"/>
      <c r="AE186" s="2187"/>
      <c r="AF186" s="4490"/>
      <c r="AG186" s="547"/>
      <c r="AH186" s="547"/>
      <c r="AI186" s="1195" t="s">
        <v>581</v>
      </c>
      <c r="AJ186" s="11"/>
    </row>
    <row r="187" spans="2:36" ht="20.100000000000001" hidden="1" customHeight="1" thickTop="1" thickBot="1">
      <c r="B187" s="1847"/>
      <c r="C187" s="614"/>
      <c r="D187" s="615" t="s">
        <v>588</v>
      </c>
      <c r="E187" s="616"/>
      <c r="F187" s="285" t="s">
        <v>413</v>
      </c>
      <c r="G187" s="535"/>
      <c r="H187" s="45"/>
      <c r="I187" s="4567" t="s">
        <v>589</v>
      </c>
      <c r="J187" s="2484"/>
      <c r="K187" s="162" t="s">
        <v>413</v>
      </c>
      <c r="L187" s="2250">
        <v>0</v>
      </c>
      <c r="M187" s="484">
        <v>0</v>
      </c>
      <c r="N187" s="612">
        <v>0</v>
      </c>
      <c r="O187" s="484">
        <v>0</v>
      </c>
      <c r="P187" s="2187"/>
      <c r="Q187" s="2250">
        <v>0</v>
      </c>
      <c r="R187" s="613" t="s">
        <v>726</v>
      </c>
      <c r="S187" s="612">
        <v>0</v>
      </c>
      <c r="T187" s="613" t="s">
        <v>726</v>
      </c>
      <c r="U187" s="2187"/>
      <c r="V187" s="2250">
        <v>0</v>
      </c>
      <c r="W187" s="484" t="s">
        <v>2353</v>
      </c>
      <c r="X187" s="612">
        <v>0</v>
      </c>
      <c r="Y187" s="484" t="s">
        <v>2353</v>
      </c>
      <c r="Z187" s="2187"/>
      <c r="AA187" s="2186"/>
      <c r="AB187" s="484"/>
      <c r="AC187" s="100"/>
      <c r="AD187" s="484"/>
      <c r="AE187" s="2187"/>
      <c r="AF187" s="4490"/>
      <c r="AG187" s="547"/>
      <c r="AH187" s="547"/>
      <c r="AI187" s="1195" t="s">
        <v>581</v>
      </c>
      <c r="AJ187" s="11"/>
    </row>
    <row r="188" spans="2:36" ht="20.100000000000001" hidden="1" customHeight="1" thickTop="1" thickBot="1">
      <c r="B188" s="1847"/>
      <c r="C188" s="614"/>
      <c r="D188" s="619" t="s">
        <v>590</v>
      </c>
      <c r="E188" s="619"/>
      <c r="F188" s="285" t="s">
        <v>413</v>
      </c>
      <c r="G188" s="535"/>
      <c r="H188" s="45"/>
      <c r="I188" s="4567" t="s">
        <v>591</v>
      </c>
      <c r="J188" s="2484"/>
      <c r="K188" s="162" t="s">
        <v>413</v>
      </c>
      <c r="L188" s="2186"/>
      <c r="M188" s="484"/>
      <c r="N188" s="100"/>
      <c r="O188" s="484"/>
      <c r="P188" s="2187"/>
      <c r="Q188" s="2186"/>
      <c r="R188" s="613"/>
      <c r="S188" s="100"/>
      <c r="T188" s="484"/>
      <c r="U188" s="2187"/>
      <c r="V188" s="2186"/>
      <c r="W188" s="484"/>
      <c r="X188" s="100"/>
      <c r="Y188" s="484"/>
      <c r="Z188" s="2187"/>
      <c r="AA188" s="2186"/>
      <c r="AB188" s="484"/>
      <c r="AC188" s="100"/>
      <c r="AD188" s="484"/>
      <c r="AE188" s="2187"/>
      <c r="AF188" s="4490"/>
      <c r="AG188" s="547"/>
      <c r="AH188" s="547"/>
      <c r="AI188" s="4568" t="s">
        <v>581</v>
      </c>
      <c r="AJ188" s="11"/>
    </row>
    <row r="189" spans="2:36" ht="20.100000000000001" hidden="1" customHeight="1" thickTop="1" thickBot="1">
      <c r="B189" s="1848"/>
      <c r="C189" s="1849" t="s">
        <v>592</v>
      </c>
      <c r="D189" s="161"/>
      <c r="E189" s="161"/>
      <c r="F189" s="285" t="s">
        <v>156</v>
      </c>
      <c r="G189" s="621"/>
      <c r="H189" s="622" t="s">
        <v>593</v>
      </c>
      <c r="I189" s="622"/>
      <c r="J189" s="2484"/>
      <c r="K189" s="162" t="s">
        <v>156</v>
      </c>
      <c r="L189" s="2186"/>
      <c r="M189" s="484"/>
      <c r="N189" s="100"/>
      <c r="O189" s="484"/>
      <c r="P189" s="2187"/>
      <c r="Q189" s="2186"/>
      <c r="R189" s="613"/>
      <c r="S189" s="100"/>
      <c r="T189" s="484"/>
      <c r="U189" s="2187"/>
      <c r="V189" s="2186"/>
      <c r="W189" s="484"/>
      <c r="X189" s="100"/>
      <c r="Y189" s="484"/>
      <c r="Z189" s="2187"/>
      <c r="AA189" s="2186"/>
      <c r="AB189" s="484"/>
      <c r="AC189" s="100"/>
      <c r="AD189" s="484"/>
      <c r="AE189" s="2187"/>
      <c r="AF189" s="4490"/>
      <c r="AG189" s="547"/>
      <c r="AH189" s="547"/>
      <c r="AI189" s="4568" t="s">
        <v>596</v>
      </c>
      <c r="AJ189" s="11"/>
    </row>
    <row r="190" spans="2:36" ht="20.100000000000001" hidden="1" customHeight="1" thickTop="1" thickBot="1">
      <c r="B190" s="1847"/>
      <c r="C190" s="614"/>
      <c r="D190" s="619" t="s">
        <v>598</v>
      </c>
      <c r="E190" s="619"/>
      <c r="F190" s="285" t="s">
        <v>413</v>
      </c>
      <c r="G190" s="535"/>
      <c r="H190" s="45"/>
      <c r="I190" s="4567" t="s">
        <v>599</v>
      </c>
      <c r="J190" s="2484"/>
      <c r="K190" s="162" t="s">
        <v>413</v>
      </c>
      <c r="L190" s="2186"/>
      <c r="M190" s="484"/>
      <c r="N190" s="100"/>
      <c r="O190" s="484"/>
      <c r="P190" s="2187"/>
      <c r="Q190" s="2186"/>
      <c r="R190" s="484"/>
      <c r="S190" s="100"/>
      <c r="T190" s="484"/>
      <c r="U190" s="2187"/>
      <c r="V190" s="2186"/>
      <c r="W190" s="484"/>
      <c r="X190" s="100"/>
      <c r="Y190" s="484"/>
      <c r="Z190" s="2187"/>
      <c r="AA190" s="2186"/>
      <c r="AB190" s="484"/>
      <c r="AC190" s="100"/>
      <c r="AD190" s="484"/>
      <c r="AE190" s="2187"/>
      <c r="AF190" s="4490"/>
      <c r="AG190" s="547"/>
      <c r="AH190" s="547"/>
      <c r="AI190" s="4568" t="s">
        <v>600</v>
      </c>
      <c r="AJ190" s="11"/>
    </row>
    <row r="191" spans="2:36" ht="20.100000000000001" hidden="1" customHeight="1" thickTop="1" thickBot="1">
      <c r="B191" s="1847"/>
      <c r="C191" s="614"/>
      <c r="D191" s="619" t="s">
        <v>601</v>
      </c>
      <c r="E191" s="619"/>
      <c r="F191" s="285" t="s">
        <v>413</v>
      </c>
      <c r="G191" s="535"/>
      <c r="H191" s="45"/>
      <c r="I191" s="4567" t="s">
        <v>602</v>
      </c>
      <c r="J191" s="2484"/>
      <c r="K191" s="162" t="s">
        <v>413</v>
      </c>
      <c r="L191" s="2186"/>
      <c r="M191" s="484"/>
      <c r="N191" s="100"/>
      <c r="O191" s="484"/>
      <c r="P191" s="2187"/>
      <c r="Q191" s="2186"/>
      <c r="R191" s="484"/>
      <c r="S191" s="100"/>
      <c r="T191" s="484"/>
      <c r="U191" s="2187"/>
      <c r="V191" s="2186"/>
      <c r="W191" s="484"/>
      <c r="X191" s="100"/>
      <c r="Y191" s="484"/>
      <c r="Z191" s="2187"/>
      <c r="AA191" s="2186"/>
      <c r="AB191" s="484"/>
      <c r="AC191" s="100"/>
      <c r="AD191" s="484"/>
      <c r="AE191" s="2187"/>
      <c r="AF191" s="4490"/>
      <c r="AG191" s="547"/>
      <c r="AH191" s="547"/>
      <c r="AI191" s="4568" t="s">
        <v>600</v>
      </c>
      <c r="AJ191" s="11"/>
    </row>
    <row r="192" spans="2:36" ht="20.100000000000001" hidden="1" customHeight="1" thickTop="1" thickBot="1">
      <c r="B192" s="1848"/>
      <c r="C192" s="1849" t="s">
        <v>603</v>
      </c>
      <c r="D192" s="161"/>
      <c r="E192" s="161"/>
      <c r="F192" s="285" t="s">
        <v>156</v>
      </c>
      <c r="G192" s="621"/>
      <c r="H192" s="622" t="s">
        <v>604</v>
      </c>
      <c r="I192" s="622"/>
      <c r="J192" s="2484"/>
      <c r="K192" s="162" t="s">
        <v>156</v>
      </c>
      <c r="L192" s="2186"/>
      <c r="M192" s="484"/>
      <c r="N192" s="100"/>
      <c r="O192" s="484"/>
      <c r="P192" s="2187"/>
      <c r="Q192" s="2186"/>
      <c r="R192" s="484"/>
      <c r="S192" s="100"/>
      <c r="T192" s="484"/>
      <c r="U192" s="2187"/>
      <c r="V192" s="2186"/>
      <c r="W192" s="484"/>
      <c r="X192" s="100"/>
      <c r="Y192" s="484"/>
      <c r="Z192" s="2187"/>
      <c r="AA192" s="2186"/>
      <c r="AB192" s="484"/>
      <c r="AC192" s="100"/>
      <c r="AD192" s="484"/>
      <c r="AE192" s="2187"/>
      <c r="AF192" s="4490"/>
      <c r="AG192" s="547"/>
      <c r="AH192" s="547"/>
      <c r="AI192" s="4568" t="s">
        <v>607</v>
      </c>
      <c r="AJ192" s="11"/>
    </row>
    <row r="193" spans="1:37" ht="20.100000000000001" hidden="1" customHeight="1" thickTop="1" thickBot="1">
      <c r="B193" s="1847"/>
      <c r="C193" s="614"/>
      <c r="D193" s="615" t="s">
        <v>582</v>
      </c>
      <c r="E193" s="616"/>
      <c r="F193" s="285" t="s">
        <v>413</v>
      </c>
      <c r="G193" s="535"/>
      <c r="H193" s="45"/>
      <c r="I193" s="4567" t="s">
        <v>608</v>
      </c>
      <c r="J193" s="2484"/>
      <c r="K193" s="162" t="s">
        <v>413</v>
      </c>
      <c r="L193" s="2186"/>
      <c r="M193" s="484"/>
      <c r="N193" s="100"/>
      <c r="O193" s="484"/>
      <c r="P193" s="2187"/>
      <c r="Q193" s="2186"/>
      <c r="R193" s="484"/>
      <c r="S193" s="100"/>
      <c r="T193" s="484"/>
      <c r="U193" s="2187"/>
      <c r="V193" s="2186"/>
      <c r="W193" s="484"/>
      <c r="X193" s="100"/>
      <c r="Y193" s="484"/>
      <c r="Z193" s="2187"/>
      <c r="AA193" s="2186"/>
      <c r="AB193" s="484"/>
      <c r="AC193" s="100"/>
      <c r="AD193" s="484"/>
      <c r="AE193" s="2187"/>
      <c r="AF193" s="4490"/>
      <c r="AG193" s="547"/>
      <c r="AH193" s="547"/>
      <c r="AI193" s="4568" t="s">
        <v>607</v>
      </c>
      <c r="AJ193" s="11"/>
    </row>
    <row r="194" spans="1:37" ht="20.100000000000001" hidden="1" customHeight="1" thickTop="1" thickBot="1">
      <c r="B194" s="1847"/>
      <c r="C194" s="614"/>
      <c r="D194" s="615" t="s">
        <v>584</v>
      </c>
      <c r="E194" s="616"/>
      <c r="F194" s="285" t="s">
        <v>413</v>
      </c>
      <c r="G194" s="535"/>
      <c r="H194" s="45"/>
      <c r="I194" s="4567" t="s">
        <v>609</v>
      </c>
      <c r="J194" s="2484"/>
      <c r="K194" s="162" t="s">
        <v>413</v>
      </c>
      <c r="L194" s="2186"/>
      <c r="M194" s="484"/>
      <c r="N194" s="100"/>
      <c r="O194" s="484"/>
      <c r="P194" s="2187"/>
      <c r="Q194" s="2186"/>
      <c r="R194" s="484"/>
      <c r="S194" s="100"/>
      <c r="T194" s="484"/>
      <c r="U194" s="2187"/>
      <c r="V194" s="2186"/>
      <c r="W194" s="484"/>
      <c r="X194" s="100"/>
      <c r="Y194" s="484"/>
      <c r="Z194" s="2187"/>
      <c r="AA194" s="2186"/>
      <c r="AB194" s="484"/>
      <c r="AC194" s="100"/>
      <c r="AD194" s="484"/>
      <c r="AE194" s="2187"/>
      <c r="AF194" s="4490"/>
      <c r="AG194" s="547"/>
      <c r="AH194" s="547"/>
      <c r="AI194" s="4568" t="s">
        <v>607</v>
      </c>
      <c r="AJ194" s="11"/>
    </row>
    <row r="195" spans="1:37" ht="20.100000000000001" hidden="1" customHeight="1" thickTop="1" thickBot="1">
      <c r="B195" s="1847"/>
      <c r="C195" s="614"/>
      <c r="D195" s="615" t="s">
        <v>586</v>
      </c>
      <c r="E195" s="616"/>
      <c r="F195" s="285" t="s">
        <v>413</v>
      </c>
      <c r="G195" s="535"/>
      <c r="H195" s="45"/>
      <c r="I195" s="4567" t="s">
        <v>610</v>
      </c>
      <c r="J195" s="2484"/>
      <c r="K195" s="162" t="s">
        <v>413</v>
      </c>
      <c r="L195" s="2186"/>
      <c r="M195" s="484"/>
      <c r="N195" s="100"/>
      <c r="O195" s="484"/>
      <c r="P195" s="2187"/>
      <c r="Q195" s="2186"/>
      <c r="R195" s="484"/>
      <c r="S195" s="100"/>
      <c r="T195" s="484"/>
      <c r="U195" s="2187"/>
      <c r="V195" s="2186"/>
      <c r="W195" s="484"/>
      <c r="X195" s="100"/>
      <c r="Y195" s="484"/>
      <c r="Z195" s="2187"/>
      <c r="AA195" s="2186"/>
      <c r="AB195" s="484"/>
      <c r="AC195" s="100"/>
      <c r="AD195" s="484"/>
      <c r="AE195" s="2187"/>
      <c r="AF195" s="4490"/>
      <c r="AG195" s="547"/>
      <c r="AH195" s="547"/>
      <c r="AI195" s="4568" t="s">
        <v>607</v>
      </c>
      <c r="AJ195" s="11"/>
    </row>
    <row r="196" spans="1:37" ht="20.100000000000001" hidden="1" customHeight="1" thickTop="1" thickBot="1">
      <c r="B196" s="1847"/>
      <c r="C196" s="614"/>
      <c r="D196" s="615" t="s">
        <v>588</v>
      </c>
      <c r="E196" s="616"/>
      <c r="F196" s="285" t="s">
        <v>413</v>
      </c>
      <c r="G196" s="535"/>
      <c r="H196" s="45"/>
      <c r="I196" s="4567" t="s">
        <v>611</v>
      </c>
      <c r="J196" s="2484"/>
      <c r="K196" s="162" t="s">
        <v>413</v>
      </c>
      <c r="L196" s="2186"/>
      <c r="M196" s="484"/>
      <c r="N196" s="100"/>
      <c r="O196" s="484"/>
      <c r="P196" s="2187"/>
      <c r="Q196" s="2186"/>
      <c r="R196" s="484"/>
      <c r="S196" s="100"/>
      <c r="T196" s="484"/>
      <c r="U196" s="2187"/>
      <c r="V196" s="2186"/>
      <c r="W196" s="484"/>
      <c r="X196" s="100"/>
      <c r="Y196" s="484"/>
      <c r="Z196" s="2187"/>
      <c r="AA196" s="2186"/>
      <c r="AB196" s="484"/>
      <c r="AC196" s="100"/>
      <c r="AD196" s="484"/>
      <c r="AE196" s="2187"/>
      <c r="AF196" s="4490"/>
      <c r="AG196" s="547"/>
      <c r="AH196" s="547"/>
      <c r="AI196" s="4568" t="s">
        <v>607</v>
      </c>
      <c r="AJ196" s="11"/>
    </row>
    <row r="197" spans="1:37" ht="20.100000000000001" hidden="1" customHeight="1" thickTop="1" thickBot="1">
      <c r="B197" s="1847"/>
      <c r="C197" s="1820"/>
      <c r="D197" s="619" t="s">
        <v>590</v>
      </c>
      <c r="E197" s="619"/>
      <c r="F197" s="285" t="s">
        <v>413</v>
      </c>
      <c r="G197" s="535"/>
      <c r="H197" s="45"/>
      <c r="I197" s="4567" t="s">
        <v>612</v>
      </c>
      <c r="J197" s="2484"/>
      <c r="K197" s="162" t="s">
        <v>413</v>
      </c>
      <c r="L197" s="2186"/>
      <c r="M197" s="484"/>
      <c r="N197" s="100"/>
      <c r="O197" s="484"/>
      <c r="P197" s="2187"/>
      <c r="Q197" s="2186"/>
      <c r="R197" s="484"/>
      <c r="S197" s="100"/>
      <c r="T197" s="484"/>
      <c r="U197" s="2187"/>
      <c r="V197" s="2186"/>
      <c r="W197" s="484"/>
      <c r="X197" s="100"/>
      <c r="Y197" s="484"/>
      <c r="Z197" s="2187"/>
      <c r="AA197" s="2186"/>
      <c r="AB197" s="484"/>
      <c r="AC197" s="100"/>
      <c r="AD197" s="484"/>
      <c r="AE197" s="2187"/>
      <c r="AF197" s="4490"/>
      <c r="AG197" s="547"/>
      <c r="AH197" s="547"/>
      <c r="AI197" s="4568" t="s">
        <v>607</v>
      </c>
      <c r="AJ197" s="11"/>
    </row>
    <row r="198" spans="1:37" ht="20.100000000000001" hidden="1" customHeight="1" thickTop="1" thickBot="1">
      <c r="B198" s="1847"/>
      <c r="C198" s="1849" t="s">
        <v>613</v>
      </c>
      <c r="D198" s="161"/>
      <c r="E198" s="161"/>
      <c r="F198" s="285" t="s">
        <v>156</v>
      </c>
      <c r="G198" s="621"/>
      <c r="H198" s="622" t="s">
        <v>614</v>
      </c>
      <c r="I198" s="622"/>
      <c r="J198" s="2484"/>
      <c r="K198" s="162" t="s">
        <v>156</v>
      </c>
      <c r="L198" s="2186"/>
      <c r="M198" s="484"/>
      <c r="N198" s="100"/>
      <c r="O198" s="484"/>
      <c r="P198" s="2187"/>
      <c r="Q198" s="2186"/>
      <c r="R198" s="484"/>
      <c r="S198" s="100"/>
      <c r="T198" s="484"/>
      <c r="U198" s="2187"/>
      <c r="V198" s="2186"/>
      <c r="W198" s="484"/>
      <c r="X198" s="100"/>
      <c r="Y198" s="484"/>
      <c r="Z198" s="2187"/>
      <c r="AA198" s="2186"/>
      <c r="AB198" s="484"/>
      <c r="AC198" s="100"/>
      <c r="AD198" s="484"/>
      <c r="AE198" s="2187"/>
      <c r="AF198" s="4490"/>
      <c r="AG198" s="547"/>
      <c r="AH198" s="547"/>
      <c r="AI198" s="4568" t="s">
        <v>617</v>
      </c>
      <c r="AJ198" s="11"/>
    </row>
    <row r="199" spans="1:37" ht="20.100000000000001" hidden="1" customHeight="1" thickTop="1" thickBot="1">
      <c r="B199" s="1847"/>
      <c r="C199" s="1849"/>
      <c r="D199" s="615" t="s">
        <v>618</v>
      </c>
      <c r="E199" s="616"/>
      <c r="F199" s="285" t="s">
        <v>413</v>
      </c>
      <c r="G199" s="624"/>
      <c r="H199" s="625"/>
      <c r="I199" s="4569" t="s">
        <v>619</v>
      </c>
      <c r="J199" s="2484"/>
      <c r="K199" s="162" t="s">
        <v>413</v>
      </c>
      <c r="L199" s="2186"/>
      <c r="M199" s="484"/>
      <c r="N199" s="100"/>
      <c r="O199" s="484"/>
      <c r="P199" s="2187"/>
      <c r="Q199" s="2186"/>
      <c r="R199" s="484"/>
      <c r="S199" s="100"/>
      <c r="T199" s="484"/>
      <c r="U199" s="2187"/>
      <c r="V199" s="2186"/>
      <c r="W199" s="484"/>
      <c r="X199" s="100"/>
      <c r="Y199" s="484"/>
      <c r="Z199" s="2187"/>
      <c r="AA199" s="2186"/>
      <c r="AB199" s="484"/>
      <c r="AC199" s="100"/>
      <c r="AD199" s="484"/>
      <c r="AE199" s="2187"/>
      <c r="AF199" s="4490"/>
      <c r="AG199" s="547"/>
      <c r="AH199" s="547"/>
      <c r="AI199" s="4568" t="s">
        <v>617</v>
      </c>
      <c r="AJ199" s="11"/>
    </row>
    <row r="200" spans="1:37" ht="20.100000000000001" hidden="1" customHeight="1" thickTop="1" thickBot="1">
      <c r="B200" s="1847"/>
      <c r="C200" s="1820"/>
      <c r="D200" s="615" t="s">
        <v>620</v>
      </c>
      <c r="E200" s="616"/>
      <c r="F200" s="285" t="s">
        <v>413</v>
      </c>
      <c r="G200" s="627"/>
      <c r="H200" s="628"/>
      <c r="I200" s="4569" t="s">
        <v>621</v>
      </c>
      <c r="J200" s="2484"/>
      <c r="K200" s="162" t="s">
        <v>413</v>
      </c>
      <c r="L200" s="2186"/>
      <c r="M200" s="484"/>
      <c r="N200" s="100"/>
      <c r="O200" s="484"/>
      <c r="P200" s="2187"/>
      <c r="Q200" s="2186"/>
      <c r="R200" s="484"/>
      <c r="S200" s="100"/>
      <c r="T200" s="484"/>
      <c r="U200" s="2187"/>
      <c r="V200" s="2186"/>
      <c r="W200" s="484"/>
      <c r="X200" s="100"/>
      <c r="Y200" s="484"/>
      <c r="Z200" s="2187"/>
      <c r="AA200" s="2186"/>
      <c r="AB200" s="484"/>
      <c r="AC200" s="100"/>
      <c r="AD200" s="484"/>
      <c r="AE200" s="2187"/>
      <c r="AF200" s="4490"/>
      <c r="AG200" s="547"/>
      <c r="AH200" s="547"/>
      <c r="AI200" s="4568" t="s">
        <v>617</v>
      </c>
      <c r="AJ200" s="11"/>
    </row>
    <row r="201" spans="1:37" ht="20.100000000000001" hidden="1" customHeight="1" thickTop="1" thickBot="1">
      <c r="B201" s="1847"/>
      <c r="C201" s="1820"/>
      <c r="D201" s="615" t="s">
        <v>622</v>
      </c>
      <c r="E201" s="616"/>
      <c r="F201" s="285" t="s">
        <v>413</v>
      </c>
      <c r="G201" s="627"/>
      <c r="H201" s="628"/>
      <c r="I201" s="4569" t="s">
        <v>623</v>
      </c>
      <c r="J201" s="2484"/>
      <c r="K201" s="162" t="s">
        <v>413</v>
      </c>
      <c r="L201" s="2186"/>
      <c r="M201" s="484"/>
      <c r="N201" s="100"/>
      <c r="O201" s="484"/>
      <c r="P201" s="2187"/>
      <c r="Q201" s="2186"/>
      <c r="R201" s="484"/>
      <c r="S201" s="100"/>
      <c r="T201" s="484"/>
      <c r="U201" s="2187"/>
      <c r="V201" s="2186"/>
      <c r="W201" s="484"/>
      <c r="X201" s="100"/>
      <c r="Y201" s="484"/>
      <c r="Z201" s="2187"/>
      <c r="AA201" s="2186"/>
      <c r="AB201" s="484"/>
      <c r="AC201" s="100"/>
      <c r="AD201" s="484"/>
      <c r="AE201" s="2187"/>
      <c r="AF201" s="4490"/>
      <c r="AG201" s="547"/>
      <c r="AH201" s="547"/>
      <c r="AI201" s="4568" t="s">
        <v>617</v>
      </c>
      <c r="AJ201" s="11"/>
    </row>
    <row r="202" spans="1:37" ht="19.899999999999999" hidden="1" customHeight="1" thickTop="1" thickBot="1">
      <c r="B202" s="1848"/>
      <c r="C202" s="1820"/>
      <c r="D202" s="10143" t="s">
        <v>624</v>
      </c>
      <c r="E202" s="10233"/>
      <c r="F202" s="285" t="s">
        <v>413</v>
      </c>
      <c r="G202" s="4570"/>
      <c r="H202" s="4571"/>
      <c r="I202" s="4572" t="s">
        <v>625</v>
      </c>
      <c r="J202" s="4573"/>
      <c r="K202" s="162" t="s">
        <v>413</v>
      </c>
      <c r="L202" s="2186"/>
      <c r="M202" s="484"/>
      <c r="N202" s="100"/>
      <c r="O202" s="484"/>
      <c r="P202" s="2187"/>
      <c r="Q202" s="2186"/>
      <c r="R202" s="484"/>
      <c r="S202" s="100"/>
      <c r="T202" s="484"/>
      <c r="U202" s="2187"/>
      <c r="V202" s="2186"/>
      <c r="W202" s="484"/>
      <c r="X202" s="100"/>
      <c r="Y202" s="484"/>
      <c r="Z202" s="2187"/>
      <c r="AA202" s="2186"/>
      <c r="AB202" s="484"/>
      <c r="AC202" s="100"/>
      <c r="AD202" s="484"/>
      <c r="AE202" s="2187"/>
      <c r="AF202" s="4490"/>
      <c r="AG202" s="547"/>
      <c r="AH202" s="547"/>
      <c r="AI202" s="4568" t="s">
        <v>617</v>
      </c>
      <c r="AJ202" s="11"/>
    </row>
    <row r="203" spans="1:37" ht="27.75" thickTop="1" thickBot="1">
      <c r="A203" s="50"/>
      <c r="B203" s="4505" t="s">
        <v>2281</v>
      </c>
      <c r="C203" s="1742" t="s">
        <v>727</v>
      </c>
      <c r="D203" s="629"/>
      <c r="E203" s="629"/>
      <c r="F203" s="630"/>
      <c r="G203" s="631" t="s">
        <v>728</v>
      </c>
      <c r="H203" s="632"/>
      <c r="I203" s="632"/>
      <c r="J203" s="632"/>
      <c r="K203" s="630"/>
      <c r="L203" s="4574"/>
      <c r="M203" s="633"/>
      <c r="N203" s="633"/>
      <c r="O203" s="633"/>
      <c r="P203" s="4575"/>
      <c r="Q203" s="4574"/>
      <c r="R203" s="633"/>
      <c r="S203" s="633"/>
      <c r="T203" s="633"/>
      <c r="U203" s="4575"/>
      <c r="V203" s="4574"/>
      <c r="W203" s="633"/>
      <c r="X203" s="633"/>
      <c r="Y203" s="633"/>
      <c r="Z203" s="4575"/>
      <c r="AA203" s="4574"/>
      <c r="AB203" s="633"/>
      <c r="AC203" s="633"/>
      <c r="AD203" s="633"/>
      <c r="AE203" s="4575"/>
      <c r="AF203" s="4576"/>
      <c r="AG203" s="1746"/>
      <c r="AH203" s="1746"/>
      <c r="AI203" s="3563"/>
      <c r="AJ203" s="18"/>
      <c r="AK203" s="54"/>
    </row>
    <row r="204" spans="1:37" ht="27" thickBot="1">
      <c r="B204" s="4505" t="s">
        <v>2281</v>
      </c>
      <c r="C204" s="123" t="s">
        <v>729</v>
      </c>
      <c r="D204" s="124"/>
      <c r="E204" s="124"/>
      <c r="F204" s="78"/>
      <c r="G204" s="125" t="s">
        <v>3488</v>
      </c>
      <c r="H204" s="126"/>
      <c r="I204" s="126"/>
      <c r="J204" s="126"/>
      <c r="K204" s="78"/>
      <c r="L204" s="2175"/>
      <c r="M204" s="148"/>
      <c r="N204" s="148"/>
      <c r="O204" s="148"/>
      <c r="P204" s="2176"/>
      <c r="Q204" s="2175"/>
      <c r="R204" s="148"/>
      <c r="S204" s="148"/>
      <c r="T204" s="148"/>
      <c r="U204" s="2176"/>
      <c r="V204" s="2175"/>
      <c r="W204" s="148"/>
      <c r="X204" s="148"/>
      <c r="Y204" s="148"/>
      <c r="Z204" s="2176"/>
      <c r="AA204" s="2175"/>
      <c r="AB204" s="148"/>
      <c r="AC204" s="148"/>
      <c r="AD204" s="148"/>
      <c r="AE204" s="2176"/>
      <c r="AF204" s="4493"/>
      <c r="AG204" s="129"/>
      <c r="AH204" s="129"/>
      <c r="AI204" s="1006"/>
      <c r="AJ204" s="18"/>
    </row>
    <row r="205" spans="1:37" ht="19.899999999999999" customHeight="1">
      <c r="B205" s="4505" t="s">
        <v>2281</v>
      </c>
      <c r="C205" s="10145" t="s">
        <v>731</v>
      </c>
      <c r="D205" s="9801"/>
      <c r="E205" s="9801"/>
      <c r="F205" s="636" t="s">
        <v>732</v>
      </c>
      <c r="G205" s="10234" t="s">
        <v>3489</v>
      </c>
      <c r="H205" s="254" t="s">
        <v>733</v>
      </c>
      <c r="I205" s="254"/>
      <c r="J205" s="4577"/>
      <c r="K205" s="436" t="s">
        <v>734</v>
      </c>
      <c r="L205" s="2392">
        <f t="shared" ref="L205" si="13">SUM(L206:L209)</f>
        <v>1054</v>
      </c>
      <c r="M205" s="639"/>
      <c r="N205" s="531">
        <f>SUM(N206:N209)</f>
        <v>909</v>
      </c>
      <c r="O205" s="543"/>
      <c r="P205" s="2393">
        <f>SUM(P206:P209)</f>
        <v>0</v>
      </c>
      <c r="Q205" s="2392">
        <f>SUM(Q206:Q209)</f>
        <v>1105</v>
      </c>
      <c r="R205" s="641"/>
      <c r="S205" s="531">
        <f>SUM(S206:S209)</f>
        <v>2446</v>
      </c>
      <c r="T205" s="543"/>
      <c r="U205" s="2393">
        <f>SUM(U206:U209)</f>
        <v>0</v>
      </c>
      <c r="V205" s="2392">
        <f>SUM(V206:V209)</f>
        <v>381</v>
      </c>
      <c r="W205" s="543"/>
      <c r="X205" s="531">
        <f>SUM(X206:X209)</f>
        <v>393</v>
      </c>
      <c r="Y205" s="543"/>
      <c r="Z205" s="531">
        <f>SUM(Z206:Z209)</f>
        <v>412</v>
      </c>
      <c r="AA205" s="2392">
        <f>SUM(AA206:AA209)</f>
        <v>0</v>
      </c>
      <c r="AB205" s="641"/>
      <c r="AC205" s="531">
        <f>SUM(AC206:AC209)</f>
        <v>0</v>
      </c>
      <c r="AD205" s="543"/>
      <c r="AE205" s="2393">
        <f>SUM(AE206:AE209)</f>
        <v>0</v>
      </c>
      <c r="AF205" s="4578"/>
      <c r="AG205" s="547"/>
      <c r="AH205" s="534"/>
      <c r="AI205" s="4568" t="s">
        <v>739</v>
      </c>
      <c r="AJ205" s="18"/>
    </row>
    <row r="206" spans="1:37" ht="20.100000000000001" customHeight="1">
      <c r="B206" s="4505" t="s">
        <v>2281</v>
      </c>
      <c r="C206" s="4579"/>
      <c r="D206" s="619" t="s">
        <v>743</v>
      </c>
      <c r="E206" s="619"/>
      <c r="F206" s="492" t="s">
        <v>732</v>
      </c>
      <c r="G206" s="10231"/>
      <c r="H206" s="348"/>
      <c r="I206" s="495" t="s">
        <v>744</v>
      </c>
      <c r="J206" s="643"/>
      <c r="K206" s="164" t="s">
        <v>734</v>
      </c>
      <c r="L206" s="2260">
        <v>52</v>
      </c>
      <c r="M206" s="646" t="s">
        <v>748</v>
      </c>
      <c r="N206" s="647">
        <v>77</v>
      </c>
      <c r="O206" s="646" t="s">
        <v>748</v>
      </c>
      <c r="P206" s="2303"/>
      <c r="Q206" s="2260">
        <v>374</v>
      </c>
      <c r="R206" s="648" t="s">
        <v>759</v>
      </c>
      <c r="S206" s="647">
        <v>392</v>
      </c>
      <c r="T206" s="648" t="s">
        <v>759</v>
      </c>
      <c r="U206" s="2303"/>
      <c r="V206" s="2398">
        <v>365</v>
      </c>
      <c r="W206" s="650" t="s">
        <v>751</v>
      </c>
      <c r="X206" s="649">
        <v>337</v>
      </c>
      <c r="Y206" s="648" t="s">
        <v>751</v>
      </c>
      <c r="Z206" s="2456">
        <v>347</v>
      </c>
      <c r="AA206" s="2302"/>
      <c r="AB206" s="543"/>
      <c r="AC206" s="542"/>
      <c r="AD206" s="543"/>
      <c r="AE206" s="2303"/>
      <c r="AF206" s="4490"/>
      <c r="AG206" s="547"/>
      <c r="AH206" s="547"/>
      <c r="AI206" s="4568" t="s">
        <v>739</v>
      </c>
      <c r="AJ206" s="18"/>
    </row>
    <row r="207" spans="1:37" ht="20.100000000000001" customHeight="1">
      <c r="B207" s="4505" t="s">
        <v>2281</v>
      </c>
      <c r="C207" s="4580"/>
      <c r="D207" s="9773" t="s">
        <v>752</v>
      </c>
      <c r="E207" s="9774"/>
      <c r="F207" s="492" t="s">
        <v>732</v>
      </c>
      <c r="G207" s="10231"/>
      <c r="H207" s="353"/>
      <c r="I207" s="495" t="s">
        <v>753</v>
      </c>
      <c r="J207" s="643"/>
      <c r="K207" s="164" t="s">
        <v>734</v>
      </c>
      <c r="L207" s="2260">
        <v>1001</v>
      </c>
      <c r="M207" s="646" t="s">
        <v>748</v>
      </c>
      <c r="N207" s="647">
        <v>831</v>
      </c>
      <c r="O207" s="646" t="s">
        <v>748</v>
      </c>
      <c r="P207" s="2303"/>
      <c r="Q207" s="2260">
        <v>726</v>
      </c>
      <c r="R207" s="648" t="s">
        <v>801</v>
      </c>
      <c r="S207" s="647">
        <v>2049</v>
      </c>
      <c r="T207" s="648" t="s">
        <v>801</v>
      </c>
      <c r="U207" s="2303"/>
      <c r="V207" s="2398">
        <v>9</v>
      </c>
      <c r="W207" s="648" t="s">
        <v>751</v>
      </c>
      <c r="X207" s="649">
        <v>49</v>
      </c>
      <c r="Y207" s="648" t="s">
        <v>751</v>
      </c>
      <c r="Z207" s="2456">
        <v>58</v>
      </c>
      <c r="AA207" s="2302"/>
      <c r="AB207" s="543"/>
      <c r="AC207" s="542"/>
      <c r="AD207" s="543"/>
      <c r="AE207" s="2303"/>
      <c r="AF207" s="4490"/>
      <c r="AG207" s="547"/>
      <c r="AH207" s="547"/>
      <c r="AI207" s="4568" t="s">
        <v>739</v>
      </c>
      <c r="AJ207" s="18"/>
    </row>
    <row r="208" spans="1:37" ht="20.100000000000001" customHeight="1">
      <c r="B208" s="4505" t="s">
        <v>2281</v>
      </c>
      <c r="C208" s="4580"/>
      <c r="D208" s="619" t="s">
        <v>756</v>
      </c>
      <c r="E208" s="619"/>
      <c r="F208" s="295" t="s">
        <v>732</v>
      </c>
      <c r="G208" s="10231"/>
      <c r="H208" s="353"/>
      <c r="I208" s="495" t="s">
        <v>757</v>
      </c>
      <c r="J208" s="643"/>
      <c r="K208" s="372" t="s">
        <v>734</v>
      </c>
      <c r="L208" s="2260">
        <v>1</v>
      </c>
      <c r="M208" s="641">
        <v>0</v>
      </c>
      <c r="N208" s="647">
        <v>1</v>
      </c>
      <c r="O208" s="641" t="s">
        <v>760</v>
      </c>
      <c r="P208" s="2303"/>
      <c r="Q208" s="2260">
        <v>5</v>
      </c>
      <c r="R208" s="543">
        <v>0</v>
      </c>
      <c r="S208" s="647">
        <v>5</v>
      </c>
      <c r="T208" s="543">
        <v>0</v>
      </c>
      <c r="U208" s="2303"/>
      <c r="V208" s="2398">
        <v>7</v>
      </c>
      <c r="W208" s="648" t="s">
        <v>763</v>
      </c>
      <c r="X208" s="649">
        <v>7</v>
      </c>
      <c r="Y208" s="648" t="s">
        <v>763</v>
      </c>
      <c r="Z208" s="2456">
        <v>7</v>
      </c>
      <c r="AA208" s="2302"/>
      <c r="AB208" s="543"/>
      <c r="AC208" s="542"/>
      <c r="AD208" s="543"/>
      <c r="AE208" s="2303"/>
      <c r="AF208" s="4490"/>
      <c r="AG208" s="547"/>
      <c r="AH208" s="547"/>
      <c r="AI208" s="4568" t="s">
        <v>739</v>
      </c>
      <c r="AJ208" s="18"/>
    </row>
    <row r="209" spans="1:37" ht="20.100000000000001" customHeight="1">
      <c r="B209" s="4505" t="s">
        <v>2281</v>
      </c>
      <c r="C209" s="4581"/>
      <c r="D209" s="9773" t="s">
        <v>764</v>
      </c>
      <c r="E209" s="9774"/>
      <c r="F209" s="295" t="s">
        <v>742</v>
      </c>
      <c r="G209" s="10231"/>
      <c r="H209" s="385"/>
      <c r="I209" s="495" t="s">
        <v>765</v>
      </c>
      <c r="J209" s="643"/>
      <c r="K209" s="372" t="s">
        <v>734</v>
      </c>
      <c r="L209" s="2260">
        <v>0</v>
      </c>
      <c r="M209" s="641">
        <v>0</v>
      </c>
      <c r="N209" s="647">
        <v>0</v>
      </c>
      <c r="O209" s="641">
        <v>0</v>
      </c>
      <c r="P209" s="2303"/>
      <c r="Q209" s="2398">
        <v>0</v>
      </c>
      <c r="R209" s="543">
        <v>0</v>
      </c>
      <c r="S209" s="647">
        <v>0</v>
      </c>
      <c r="T209" s="543">
        <v>0</v>
      </c>
      <c r="U209" s="2456"/>
      <c r="V209" s="2398">
        <v>0</v>
      </c>
      <c r="W209" s="543">
        <v>0</v>
      </c>
      <c r="X209" s="649">
        <v>0</v>
      </c>
      <c r="Y209" s="543">
        <v>0</v>
      </c>
      <c r="Z209" s="2456">
        <v>0</v>
      </c>
      <c r="AA209" s="2302"/>
      <c r="AB209" s="543"/>
      <c r="AC209" s="542"/>
      <c r="AD209" s="543"/>
      <c r="AE209" s="2303"/>
      <c r="AF209" s="4497"/>
      <c r="AG209" s="1101"/>
      <c r="AH209" s="1101"/>
      <c r="AI209" s="4582" t="s">
        <v>739</v>
      </c>
      <c r="AJ209" s="18"/>
    </row>
    <row r="210" spans="1:37" ht="20.100000000000001" customHeight="1">
      <c r="B210" s="4509" t="s">
        <v>2281</v>
      </c>
      <c r="C210" s="4583" t="s">
        <v>769</v>
      </c>
      <c r="D210" s="4518"/>
      <c r="E210" s="4518"/>
      <c r="F210" s="4584" t="s">
        <v>168</v>
      </c>
      <c r="G210" s="10231"/>
      <c r="H210" s="312" t="s">
        <v>1804</v>
      </c>
      <c r="I210" s="654"/>
      <c r="J210" s="655"/>
      <c r="K210" s="656" t="s">
        <v>168</v>
      </c>
      <c r="L210" s="2304"/>
      <c r="M210" s="660"/>
      <c r="N210" s="659"/>
      <c r="O210" s="660"/>
      <c r="P210" s="2305"/>
      <c r="Q210" s="2304"/>
      <c r="R210" s="661"/>
      <c r="S210" s="659"/>
      <c r="T210" s="661"/>
      <c r="U210" s="2305"/>
      <c r="V210" s="2304"/>
      <c r="W210" s="661"/>
      <c r="X210" s="659"/>
      <c r="Y210" s="661"/>
      <c r="Z210" s="2305"/>
      <c r="AA210" s="2304"/>
      <c r="AB210" s="661"/>
      <c r="AC210" s="320"/>
      <c r="AD210" s="413"/>
      <c r="AE210" s="2276"/>
      <c r="AF210" s="4585"/>
      <c r="AG210" s="4586"/>
      <c r="AH210" s="4586"/>
      <c r="AI210" s="4587"/>
      <c r="AJ210" s="18"/>
    </row>
    <row r="211" spans="1:37" ht="20.100000000000001" customHeight="1">
      <c r="B211" s="4509" t="s">
        <v>2281</v>
      </c>
      <c r="C211" s="4588"/>
      <c r="D211" s="619" t="s">
        <v>771</v>
      </c>
      <c r="E211" s="619"/>
      <c r="F211" s="285" t="s">
        <v>732</v>
      </c>
      <c r="G211" s="10231"/>
      <c r="H211" s="287"/>
      <c r="I211" s="184" t="s">
        <v>772</v>
      </c>
      <c r="J211" s="141"/>
      <c r="K211" s="162" t="s">
        <v>734</v>
      </c>
      <c r="L211" s="2260">
        <v>52</v>
      </c>
      <c r="M211" s="543" t="s">
        <v>775</v>
      </c>
      <c r="N211" s="647">
        <v>77</v>
      </c>
      <c r="O211" s="543" t="s">
        <v>775</v>
      </c>
      <c r="P211" s="2303"/>
      <c r="Q211" s="2260">
        <v>374</v>
      </c>
      <c r="R211" s="648" t="s">
        <v>759</v>
      </c>
      <c r="S211" s="647">
        <v>392</v>
      </c>
      <c r="T211" s="648" t="s">
        <v>759</v>
      </c>
      <c r="U211" s="2303"/>
      <c r="V211" s="2398">
        <v>365</v>
      </c>
      <c r="W211" s="648" t="s">
        <v>751</v>
      </c>
      <c r="X211" s="649">
        <v>337</v>
      </c>
      <c r="Y211" s="648" t="s">
        <v>751</v>
      </c>
      <c r="Z211" s="2303">
        <f>Z206</f>
        <v>347</v>
      </c>
      <c r="AA211" s="2302"/>
      <c r="AB211" s="543"/>
      <c r="AC211" s="542"/>
      <c r="AD211" s="543"/>
      <c r="AE211" s="2303"/>
      <c r="AF211" s="4589"/>
      <c r="AG211" s="878"/>
      <c r="AH211" s="878"/>
      <c r="AI211" s="4568" t="s">
        <v>770</v>
      </c>
      <c r="AJ211" s="18"/>
    </row>
    <row r="212" spans="1:37" ht="20.100000000000001" customHeight="1">
      <c r="B212" s="4509" t="s">
        <v>2281</v>
      </c>
      <c r="C212" s="4590"/>
      <c r="D212" s="619" t="s">
        <v>777</v>
      </c>
      <c r="E212" s="306"/>
      <c r="F212" s="285" t="s">
        <v>732</v>
      </c>
      <c r="G212" s="10231"/>
      <c r="H212" s="322"/>
      <c r="I212" s="184" t="s">
        <v>778</v>
      </c>
      <c r="J212" s="141"/>
      <c r="K212" s="162" t="s">
        <v>734</v>
      </c>
      <c r="L212" s="2260">
        <v>1002</v>
      </c>
      <c r="M212" s="543" t="s">
        <v>775</v>
      </c>
      <c r="N212" s="647">
        <v>832</v>
      </c>
      <c r="O212" s="543" t="s">
        <v>775</v>
      </c>
      <c r="P212" s="2303"/>
      <c r="Q212" s="2260">
        <v>731</v>
      </c>
      <c r="R212" s="648" t="s">
        <v>801</v>
      </c>
      <c r="S212" s="647">
        <v>2054</v>
      </c>
      <c r="T212" s="648" t="s">
        <v>801</v>
      </c>
      <c r="U212" s="2303"/>
      <c r="V212" s="2398">
        <v>16</v>
      </c>
      <c r="W212" s="648" t="s">
        <v>751</v>
      </c>
      <c r="X212" s="649">
        <v>56</v>
      </c>
      <c r="Y212" s="648" t="s">
        <v>751</v>
      </c>
      <c r="Z212" s="2303">
        <f>Z207+Z208</f>
        <v>65</v>
      </c>
      <c r="AA212" s="2302"/>
      <c r="AB212" s="543"/>
      <c r="AC212" s="542"/>
      <c r="AD212" s="543"/>
      <c r="AE212" s="2303"/>
      <c r="AF212" s="4490"/>
      <c r="AG212" s="547"/>
      <c r="AH212" s="547"/>
      <c r="AI212" s="4568" t="s">
        <v>770</v>
      </c>
      <c r="AJ212" s="18"/>
    </row>
    <row r="213" spans="1:37" ht="19.899999999999999" customHeight="1">
      <c r="B213" s="4509" t="s">
        <v>2281</v>
      </c>
      <c r="C213" s="4590"/>
      <c r="D213" s="619" t="s">
        <v>781</v>
      </c>
      <c r="E213" s="306"/>
      <c r="F213" s="285" t="s">
        <v>732</v>
      </c>
      <c r="G213" s="10231"/>
      <c r="H213" s="322"/>
      <c r="I213" s="184" t="s">
        <v>782</v>
      </c>
      <c r="J213" s="141"/>
      <c r="K213" s="162" t="s">
        <v>734</v>
      </c>
      <c r="L213" s="2260">
        <v>1054</v>
      </c>
      <c r="M213" s="543">
        <v>0</v>
      </c>
      <c r="N213" s="647">
        <v>909</v>
      </c>
      <c r="O213" s="543">
        <v>0</v>
      </c>
      <c r="P213" s="2303"/>
      <c r="Q213" s="2260">
        <v>564</v>
      </c>
      <c r="R213" s="648">
        <v>0</v>
      </c>
      <c r="S213" s="647">
        <v>577</v>
      </c>
      <c r="T213" s="543">
        <v>0</v>
      </c>
      <c r="U213" s="2303"/>
      <c r="V213" s="2398">
        <v>381</v>
      </c>
      <c r="W213" s="543">
        <v>0</v>
      </c>
      <c r="X213" s="649">
        <v>393</v>
      </c>
      <c r="Y213" s="543">
        <v>0</v>
      </c>
      <c r="Z213" s="2303">
        <f>Z205</f>
        <v>412</v>
      </c>
      <c r="AA213" s="2302"/>
      <c r="AB213" s="543"/>
      <c r="AC213" s="542"/>
      <c r="AD213" s="543"/>
      <c r="AE213" s="2303"/>
      <c r="AF213" s="4490"/>
      <c r="AG213" s="547"/>
      <c r="AH213" s="547"/>
      <c r="AI213" s="4568" t="s">
        <v>770</v>
      </c>
      <c r="AJ213" s="18"/>
    </row>
    <row r="214" spans="1:37" ht="20.100000000000001" customHeight="1">
      <c r="B214" s="4509" t="s">
        <v>2281</v>
      </c>
      <c r="C214" s="4590"/>
      <c r="D214" s="619" t="s">
        <v>784</v>
      </c>
      <c r="E214" s="306"/>
      <c r="F214" s="285" t="s">
        <v>732</v>
      </c>
      <c r="G214" s="10231"/>
      <c r="H214" s="322"/>
      <c r="I214" s="184" t="s">
        <v>785</v>
      </c>
      <c r="J214" s="141"/>
      <c r="K214" s="162" t="s">
        <v>734</v>
      </c>
      <c r="L214" s="2260">
        <v>0</v>
      </c>
      <c r="M214" s="543">
        <v>0</v>
      </c>
      <c r="N214" s="647">
        <v>0</v>
      </c>
      <c r="O214" s="543">
        <v>0</v>
      </c>
      <c r="P214" s="2303"/>
      <c r="Q214" s="2260">
        <v>541</v>
      </c>
      <c r="R214" s="543">
        <v>0</v>
      </c>
      <c r="S214" s="647">
        <v>1869</v>
      </c>
      <c r="T214" s="543">
        <v>0</v>
      </c>
      <c r="U214" s="2303"/>
      <c r="V214" s="2398">
        <v>508</v>
      </c>
      <c r="W214" s="543" t="s">
        <v>787</v>
      </c>
      <c r="X214" s="649">
        <v>816</v>
      </c>
      <c r="Y214" s="543" t="s">
        <v>787</v>
      </c>
      <c r="Z214" s="2303">
        <v>917</v>
      </c>
      <c r="AA214" s="2302"/>
      <c r="AB214" s="543"/>
      <c r="AC214" s="542"/>
      <c r="AD214" s="543"/>
      <c r="AE214" s="2303"/>
      <c r="AF214" s="4490"/>
      <c r="AG214" s="547"/>
      <c r="AH214" s="547"/>
      <c r="AI214" s="4568" t="s">
        <v>770</v>
      </c>
      <c r="AJ214" s="18"/>
    </row>
    <row r="215" spans="1:37" ht="19.899999999999999" customHeight="1">
      <c r="B215" s="4509" t="s">
        <v>2281</v>
      </c>
      <c r="C215" s="4591"/>
      <c r="D215" s="619" t="s">
        <v>788</v>
      </c>
      <c r="E215" s="619"/>
      <c r="F215" s="285" t="s">
        <v>732</v>
      </c>
      <c r="G215" s="10231"/>
      <c r="H215" s="296"/>
      <c r="I215" s="495" t="s">
        <v>789</v>
      </c>
      <c r="J215" s="643"/>
      <c r="K215" s="162" t="s">
        <v>734</v>
      </c>
      <c r="L215" s="2260">
        <v>0</v>
      </c>
      <c r="M215" s="543">
        <v>0</v>
      </c>
      <c r="N215" s="647">
        <v>0</v>
      </c>
      <c r="O215" s="543">
        <v>0</v>
      </c>
      <c r="P215" s="2303"/>
      <c r="Q215" s="2260">
        <v>0</v>
      </c>
      <c r="R215" s="543">
        <v>0</v>
      </c>
      <c r="S215" s="647">
        <v>0</v>
      </c>
      <c r="T215" s="543">
        <v>0</v>
      </c>
      <c r="U215" s="2303"/>
      <c r="V215" s="2398">
        <v>0</v>
      </c>
      <c r="W215" s="543">
        <v>0</v>
      </c>
      <c r="X215" s="649">
        <v>816</v>
      </c>
      <c r="Y215" s="543">
        <v>0</v>
      </c>
      <c r="Z215" s="2303">
        <v>0</v>
      </c>
      <c r="AA215" s="2302"/>
      <c r="AB215" s="543"/>
      <c r="AC215" s="542"/>
      <c r="AD215" s="543"/>
      <c r="AE215" s="2303"/>
      <c r="AF215" s="4490"/>
      <c r="AG215" s="547"/>
      <c r="AH215" s="547"/>
      <c r="AI215" s="4568" t="s">
        <v>770</v>
      </c>
      <c r="AJ215" s="18"/>
    </row>
    <row r="216" spans="1:37" ht="20.100000000000001" customHeight="1">
      <c r="B216" s="4505" t="s">
        <v>2281</v>
      </c>
      <c r="C216" s="4592" t="s">
        <v>791</v>
      </c>
      <c r="D216" s="663"/>
      <c r="E216" s="4593"/>
      <c r="F216" s="4594"/>
      <c r="G216" s="10231"/>
      <c r="H216" s="312" t="s">
        <v>792</v>
      </c>
      <c r="I216" s="654"/>
      <c r="J216" s="655"/>
      <c r="K216" s="656" t="s">
        <v>168</v>
      </c>
      <c r="L216" s="2304"/>
      <c r="M216" s="661"/>
      <c r="N216" s="659"/>
      <c r="O216" s="661"/>
      <c r="P216" s="2305"/>
      <c r="Q216" s="2304"/>
      <c r="R216" s="661"/>
      <c r="S216" s="659"/>
      <c r="T216" s="661"/>
      <c r="U216" s="2305"/>
      <c r="V216" s="2304"/>
      <c r="W216" s="661"/>
      <c r="X216" s="659"/>
      <c r="Y216" s="661"/>
      <c r="Z216" s="2305"/>
      <c r="AA216" s="2304"/>
      <c r="AB216" s="661"/>
      <c r="AC216" s="320"/>
      <c r="AD216" s="413"/>
      <c r="AE216" s="2276"/>
      <c r="AF216" s="4490"/>
      <c r="AG216" s="547"/>
      <c r="AH216" s="547"/>
      <c r="AI216" s="4568" t="s">
        <v>793</v>
      </c>
      <c r="AJ216" s="18"/>
    </row>
    <row r="217" spans="1:37" ht="20.100000000000001" customHeight="1">
      <c r="B217" s="4505" t="s">
        <v>2281</v>
      </c>
      <c r="C217" s="4588"/>
      <c r="D217" s="490" t="s">
        <v>796</v>
      </c>
      <c r="E217" s="491"/>
      <c r="F217" s="285" t="s">
        <v>732</v>
      </c>
      <c r="G217" s="10231"/>
      <c r="H217" s="287"/>
      <c r="I217" s="198" t="s">
        <v>797</v>
      </c>
      <c r="J217" s="198"/>
      <c r="K217" s="162" t="s">
        <v>734</v>
      </c>
      <c r="L217" s="2260">
        <v>541</v>
      </c>
      <c r="M217" s="648" t="s">
        <v>748</v>
      </c>
      <c r="N217" s="647">
        <v>452</v>
      </c>
      <c r="O217" s="648" t="s">
        <v>748</v>
      </c>
      <c r="P217" s="2303"/>
      <c r="Q217" s="2260">
        <v>568</v>
      </c>
      <c r="R217" s="648" t="s">
        <v>801</v>
      </c>
      <c r="S217" s="647">
        <v>1195</v>
      </c>
      <c r="T217" s="648" t="s">
        <v>801</v>
      </c>
      <c r="U217" s="2303"/>
      <c r="V217" s="2398">
        <v>293</v>
      </c>
      <c r="W217" s="648" t="s">
        <v>751</v>
      </c>
      <c r="X217" s="649">
        <v>281</v>
      </c>
      <c r="Y217" s="648" t="s">
        <v>751</v>
      </c>
      <c r="Z217" s="2303">
        <v>288</v>
      </c>
      <c r="AA217" s="2302"/>
      <c r="AB217" s="543"/>
      <c r="AC217" s="542"/>
      <c r="AD217" s="543"/>
      <c r="AE217" s="2303"/>
      <c r="AF217" s="4490"/>
      <c r="AG217" s="547"/>
      <c r="AH217" s="547"/>
      <c r="AI217" s="4568" t="s">
        <v>793</v>
      </c>
      <c r="AJ217" s="18"/>
    </row>
    <row r="218" spans="1:37" ht="19.899999999999999" customHeight="1">
      <c r="B218" s="4505" t="s">
        <v>2281</v>
      </c>
      <c r="C218" s="4591"/>
      <c r="D218" s="490" t="s">
        <v>802</v>
      </c>
      <c r="E218" s="491"/>
      <c r="F218" s="285" t="s">
        <v>732</v>
      </c>
      <c r="G218" s="10231"/>
      <c r="H218" s="296"/>
      <c r="I218" s="666" t="s">
        <v>1807</v>
      </c>
      <c r="J218" s="666"/>
      <c r="K218" s="162" t="s">
        <v>734</v>
      </c>
      <c r="L218" s="2260">
        <v>513</v>
      </c>
      <c r="M218" s="648" t="s">
        <v>748</v>
      </c>
      <c r="N218" s="647">
        <v>457</v>
      </c>
      <c r="O218" s="648" t="s">
        <v>748</v>
      </c>
      <c r="P218" s="2303"/>
      <c r="Q218" s="2260">
        <v>537</v>
      </c>
      <c r="R218" s="648" t="s">
        <v>801</v>
      </c>
      <c r="S218" s="647">
        <v>1251</v>
      </c>
      <c r="T218" s="648" t="s">
        <v>801</v>
      </c>
      <c r="U218" s="2303"/>
      <c r="V218" s="2398">
        <v>88</v>
      </c>
      <c r="W218" s="648" t="s">
        <v>751</v>
      </c>
      <c r="X218" s="649">
        <v>112</v>
      </c>
      <c r="Y218" s="648" t="s">
        <v>751</v>
      </c>
      <c r="Z218" s="2303">
        <v>124</v>
      </c>
      <c r="AA218" s="2302"/>
      <c r="AB218" s="543"/>
      <c r="AC218" s="542"/>
      <c r="AD218" s="543"/>
      <c r="AE218" s="2303"/>
      <c r="AF218" s="4490"/>
      <c r="AG218" s="547"/>
      <c r="AH218" s="547"/>
      <c r="AI218" s="4568" t="s">
        <v>793</v>
      </c>
      <c r="AJ218" s="18"/>
    </row>
    <row r="219" spans="1:37" ht="19.899999999999999" customHeight="1">
      <c r="B219" s="4505" t="s">
        <v>2281</v>
      </c>
      <c r="C219" s="4592" t="s">
        <v>805</v>
      </c>
      <c r="D219" s="663"/>
      <c r="E219" s="4595"/>
      <c r="F219" s="4584" t="s">
        <v>168</v>
      </c>
      <c r="G219" s="10231"/>
      <c r="H219" s="668" t="s">
        <v>806</v>
      </c>
      <c r="I219" s="669"/>
      <c r="J219" s="670"/>
      <c r="K219" s="656" t="s">
        <v>168</v>
      </c>
      <c r="L219" s="2304"/>
      <c r="M219" s="671"/>
      <c r="N219" s="659"/>
      <c r="O219" s="671"/>
      <c r="P219" s="2305"/>
      <c r="Q219" s="2304"/>
      <c r="R219" s="671"/>
      <c r="S219" s="659"/>
      <c r="T219" s="671"/>
      <c r="U219" s="2305"/>
      <c r="V219" s="2304"/>
      <c r="W219" s="671"/>
      <c r="X219" s="659"/>
      <c r="Y219" s="671"/>
      <c r="Z219" s="2305"/>
      <c r="AA219" s="2304"/>
      <c r="AB219" s="661"/>
      <c r="AC219" s="320"/>
      <c r="AD219" s="413"/>
      <c r="AE219" s="2276"/>
      <c r="AF219" s="4490"/>
      <c r="AG219" s="547"/>
      <c r="AH219" s="547"/>
      <c r="AI219" s="4568" t="s">
        <v>1930</v>
      </c>
      <c r="AJ219" s="18"/>
    </row>
    <row r="220" spans="1:37" ht="20.100000000000001" customHeight="1">
      <c r="A220"/>
      <c r="B220" s="4505" t="s">
        <v>2281</v>
      </c>
      <c r="C220" s="4596"/>
      <c r="D220" s="490" t="s">
        <v>796</v>
      </c>
      <c r="E220" s="491"/>
      <c r="F220" s="674" t="s">
        <v>156</v>
      </c>
      <c r="G220" s="10231"/>
      <c r="H220" s="676"/>
      <c r="I220" s="198" t="s">
        <v>808</v>
      </c>
      <c r="J220" s="177"/>
      <c r="K220" s="509" t="s">
        <v>156</v>
      </c>
      <c r="L220" s="2302"/>
      <c r="M220" s="679"/>
      <c r="N220" s="542"/>
      <c r="O220" s="680"/>
      <c r="P220" s="2303"/>
      <c r="Q220" s="2302"/>
      <c r="R220" s="680"/>
      <c r="S220" s="542"/>
      <c r="T220" s="680"/>
      <c r="U220" s="2303"/>
      <c r="V220" s="5559">
        <f>5/7</f>
        <v>0.7142857142857143</v>
      </c>
      <c r="W220" s="5560" t="s">
        <v>3490</v>
      </c>
      <c r="X220" s="5561">
        <f>5/7</f>
        <v>0.7142857142857143</v>
      </c>
      <c r="Y220" s="5560" t="s">
        <v>3491</v>
      </c>
      <c r="Z220" s="5561">
        <f>5/7</f>
        <v>0.7142857142857143</v>
      </c>
      <c r="AA220" s="2302"/>
      <c r="AB220" s="679"/>
      <c r="AC220" s="542"/>
      <c r="AD220" s="679"/>
      <c r="AE220" s="2303"/>
      <c r="AF220" s="4490"/>
      <c r="AG220" s="681"/>
      <c r="AH220" s="681"/>
      <c r="AI220" s="4568" t="s">
        <v>1930</v>
      </c>
      <c r="AJ220" s="18"/>
      <c r="AK220"/>
    </row>
    <row r="221" spans="1:37" ht="20.100000000000001" customHeight="1">
      <c r="A221"/>
      <c r="B221" s="4505" t="s">
        <v>2281</v>
      </c>
      <c r="C221" s="4597"/>
      <c r="D221" s="490" t="s">
        <v>802</v>
      </c>
      <c r="E221" s="491"/>
      <c r="F221" s="674" t="s">
        <v>156</v>
      </c>
      <c r="G221" s="10231"/>
      <c r="H221" s="683"/>
      <c r="I221" s="666" t="s">
        <v>811</v>
      </c>
      <c r="J221" s="684"/>
      <c r="K221" s="509" t="s">
        <v>156</v>
      </c>
      <c r="L221" s="2302"/>
      <c r="M221" s="679"/>
      <c r="N221" s="542"/>
      <c r="O221" s="680"/>
      <c r="P221" s="2303"/>
      <c r="Q221" s="2302"/>
      <c r="R221" s="680"/>
      <c r="S221" s="542"/>
      <c r="T221" s="680"/>
      <c r="U221" s="2303"/>
      <c r="V221" s="5559">
        <f>2/7</f>
        <v>0.2857142857142857</v>
      </c>
      <c r="W221" s="5560" t="s">
        <v>3492</v>
      </c>
      <c r="X221" s="5561">
        <f>2/7</f>
        <v>0.2857142857142857</v>
      </c>
      <c r="Y221" s="5560" t="s">
        <v>3492</v>
      </c>
      <c r="Z221" s="5561">
        <f>2/7</f>
        <v>0.2857142857142857</v>
      </c>
      <c r="AA221" s="2302"/>
      <c r="AB221" s="679"/>
      <c r="AC221" s="542"/>
      <c r="AD221" s="679"/>
      <c r="AE221" s="2303"/>
      <c r="AF221" s="4490"/>
      <c r="AG221" s="681"/>
      <c r="AH221" s="681"/>
      <c r="AI221" s="4568" t="s">
        <v>1930</v>
      </c>
      <c r="AJ221" s="18"/>
      <c r="AK221"/>
    </row>
    <row r="222" spans="1:37" ht="20.100000000000001" hidden="1" customHeight="1">
      <c r="A222"/>
      <c r="B222" s="4598"/>
      <c r="C222" s="4599" t="s">
        <v>814</v>
      </c>
      <c r="D222" s="663"/>
      <c r="E222" s="663"/>
      <c r="F222" s="4584" t="s">
        <v>168</v>
      </c>
      <c r="G222" s="10231"/>
      <c r="H222" s="686" t="s">
        <v>815</v>
      </c>
      <c r="I222" s="669"/>
      <c r="J222" s="670"/>
      <c r="K222" s="656" t="s">
        <v>168</v>
      </c>
      <c r="L222" s="2304"/>
      <c r="M222" s="687"/>
      <c r="N222" s="659"/>
      <c r="O222" s="688"/>
      <c r="P222" s="2305"/>
      <c r="Q222" s="2304"/>
      <c r="R222" s="688"/>
      <c r="S222" s="659"/>
      <c r="T222" s="688"/>
      <c r="U222" s="2305"/>
      <c r="V222" s="2304"/>
      <c r="W222" s="687"/>
      <c r="X222" s="659"/>
      <c r="Y222" s="687"/>
      <c r="Z222" s="2305"/>
      <c r="AA222" s="2304"/>
      <c r="AB222" s="687"/>
      <c r="AC222" s="320"/>
      <c r="AD222" s="689"/>
      <c r="AE222" s="2276"/>
      <c r="AF222" s="4490"/>
      <c r="AG222" s="547"/>
      <c r="AH222" s="681"/>
      <c r="AI222" s="4600"/>
      <c r="AJ222" s="18"/>
      <c r="AK222"/>
    </row>
    <row r="223" spans="1:37" ht="20.100000000000001" hidden="1" customHeight="1">
      <c r="B223" s="1848"/>
      <c r="C223" s="4601"/>
      <c r="D223" s="490" t="s">
        <v>796</v>
      </c>
      <c r="E223" s="491"/>
      <c r="F223" s="285" t="s">
        <v>156</v>
      </c>
      <c r="G223" s="10231"/>
      <c r="H223" s="348"/>
      <c r="I223" s="198" t="s">
        <v>808</v>
      </c>
      <c r="J223" s="177"/>
      <c r="K223" s="162" t="s">
        <v>156</v>
      </c>
      <c r="L223" s="2302"/>
      <c r="M223" s="679"/>
      <c r="N223" s="542"/>
      <c r="O223" s="680"/>
      <c r="P223" s="2303"/>
      <c r="Q223" s="2302"/>
      <c r="R223" s="680"/>
      <c r="S223" s="542"/>
      <c r="T223" s="680"/>
      <c r="U223" s="2303"/>
      <c r="V223" s="2302"/>
      <c r="W223" s="679"/>
      <c r="X223" s="542"/>
      <c r="Y223" s="679"/>
      <c r="Z223" s="2303"/>
      <c r="AA223" s="2302"/>
      <c r="AB223" s="679"/>
      <c r="AC223" s="542"/>
      <c r="AD223" s="679"/>
      <c r="AE223" s="2303"/>
      <c r="AF223" s="4490"/>
      <c r="AG223" s="547"/>
      <c r="AH223" s="547"/>
      <c r="AI223" s="4568"/>
      <c r="AJ223" s="18"/>
    </row>
    <row r="224" spans="1:37" ht="20.100000000000001" hidden="1" customHeight="1">
      <c r="B224" s="1848"/>
      <c r="C224" s="4602"/>
      <c r="D224" s="490" t="s">
        <v>802</v>
      </c>
      <c r="E224" s="491"/>
      <c r="F224" s="285" t="s">
        <v>156</v>
      </c>
      <c r="G224" s="10231"/>
      <c r="H224" s="385"/>
      <c r="I224" s="666" t="s">
        <v>811</v>
      </c>
      <c r="J224" s="684"/>
      <c r="K224" s="162" t="s">
        <v>156</v>
      </c>
      <c r="L224" s="2302"/>
      <c r="M224" s="679"/>
      <c r="N224" s="542"/>
      <c r="O224" s="680"/>
      <c r="P224" s="2303"/>
      <c r="Q224" s="2302"/>
      <c r="R224" s="680"/>
      <c r="S224" s="542"/>
      <c r="T224" s="680"/>
      <c r="U224" s="2303"/>
      <c r="V224" s="2302"/>
      <c r="W224" s="679"/>
      <c r="X224" s="542"/>
      <c r="Y224" s="679"/>
      <c r="Z224" s="2303"/>
      <c r="AA224" s="2302"/>
      <c r="AB224" s="679"/>
      <c r="AC224" s="542"/>
      <c r="AD224" s="679"/>
      <c r="AE224" s="2303"/>
      <c r="AF224" s="4490"/>
      <c r="AG224" s="547"/>
      <c r="AH224" s="547"/>
      <c r="AI224" s="4568"/>
      <c r="AJ224" s="18"/>
    </row>
    <row r="225" spans="2:36" ht="20.100000000000001" customHeight="1">
      <c r="B225" s="4505" t="s">
        <v>2281</v>
      </c>
      <c r="C225" s="4599" t="s">
        <v>820</v>
      </c>
      <c r="D225" s="663"/>
      <c r="E225" s="695"/>
      <c r="F225" s="4584" t="s">
        <v>168</v>
      </c>
      <c r="G225" s="10231"/>
      <c r="H225" s="686" t="s">
        <v>821</v>
      </c>
      <c r="I225" s="669"/>
      <c r="J225" s="670"/>
      <c r="K225" s="656" t="s">
        <v>168</v>
      </c>
      <c r="L225" s="2304"/>
      <c r="M225" s="661"/>
      <c r="N225" s="659"/>
      <c r="O225" s="671"/>
      <c r="P225" s="2305"/>
      <c r="Q225" s="2304"/>
      <c r="R225" s="671"/>
      <c r="S225" s="659"/>
      <c r="T225" s="671"/>
      <c r="U225" s="2305"/>
      <c r="V225" s="2304"/>
      <c r="W225" s="661"/>
      <c r="X225" s="659"/>
      <c r="Y225" s="661"/>
      <c r="Z225" s="2305"/>
      <c r="AA225" s="2304"/>
      <c r="AB225" s="661"/>
      <c r="AC225" s="320"/>
      <c r="AD225" s="413"/>
      <c r="AE225" s="2276"/>
      <c r="AF225" s="4490"/>
      <c r="AG225" s="547"/>
      <c r="AH225" s="547"/>
      <c r="AI225" s="4568" t="s">
        <v>822</v>
      </c>
      <c r="AJ225" s="18"/>
    </row>
    <row r="226" spans="2:36" ht="20.100000000000001" customHeight="1">
      <c r="B226" s="4505" t="s">
        <v>2281</v>
      </c>
      <c r="C226" s="4601"/>
      <c r="D226" s="490" t="s">
        <v>823</v>
      </c>
      <c r="E226" s="491"/>
      <c r="F226" s="285" t="s">
        <v>732</v>
      </c>
      <c r="G226" s="10231"/>
      <c r="H226" s="347"/>
      <c r="I226" s="666" t="s">
        <v>824</v>
      </c>
      <c r="J226" s="666"/>
      <c r="K226" s="162" t="s">
        <v>734</v>
      </c>
      <c r="L226" s="2260">
        <v>272</v>
      </c>
      <c r="M226" s="648" t="s">
        <v>748</v>
      </c>
      <c r="N226" s="647">
        <v>209</v>
      </c>
      <c r="O226" s="648" t="s">
        <v>748</v>
      </c>
      <c r="P226" s="2303"/>
      <c r="Q226" s="2260">
        <v>811</v>
      </c>
      <c r="R226" s="648" t="s">
        <v>801</v>
      </c>
      <c r="S226" s="647">
        <v>2120</v>
      </c>
      <c r="T226" s="648" t="s">
        <v>801</v>
      </c>
      <c r="U226" s="2303"/>
      <c r="V226" s="2398">
        <v>116</v>
      </c>
      <c r="W226" s="648" t="s">
        <v>751</v>
      </c>
      <c r="X226" s="649">
        <v>114</v>
      </c>
      <c r="Y226" s="648" t="s">
        <v>751</v>
      </c>
      <c r="Z226" s="2303">
        <v>139</v>
      </c>
      <c r="AA226" s="2302"/>
      <c r="AB226" s="543"/>
      <c r="AC226" s="542"/>
      <c r="AD226" s="543"/>
      <c r="AE226" s="2303"/>
      <c r="AF226" s="4490"/>
      <c r="AG226" s="696"/>
      <c r="AH226" s="547"/>
      <c r="AI226" s="4568" t="s">
        <v>822</v>
      </c>
      <c r="AJ226" s="18"/>
    </row>
    <row r="227" spans="2:36" ht="20.100000000000001" customHeight="1">
      <c r="B227" s="4505" t="s">
        <v>2281</v>
      </c>
      <c r="C227" s="4603"/>
      <c r="D227" s="490" t="s">
        <v>827</v>
      </c>
      <c r="E227" s="491"/>
      <c r="F227" s="285" t="s">
        <v>732</v>
      </c>
      <c r="G227" s="10231"/>
      <c r="H227" s="106"/>
      <c r="I227" s="45" t="s">
        <v>828</v>
      </c>
      <c r="J227" s="45"/>
      <c r="K227" s="162" t="s">
        <v>734</v>
      </c>
      <c r="L227" s="2260">
        <v>778</v>
      </c>
      <c r="M227" s="648" t="s">
        <v>748</v>
      </c>
      <c r="N227" s="647">
        <v>694</v>
      </c>
      <c r="O227" s="648" t="s">
        <v>748</v>
      </c>
      <c r="P227" s="2303"/>
      <c r="Q227" s="2260">
        <v>292</v>
      </c>
      <c r="R227" s="648" t="s">
        <v>801</v>
      </c>
      <c r="S227" s="647">
        <v>325</v>
      </c>
      <c r="T227" s="648" t="s">
        <v>801</v>
      </c>
      <c r="U227" s="2303"/>
      <c r="V227" s="2398">
        <v>257</v>
      </c>
      <c r="W227" s="648" t="s">
        <v>751</v>
      </c>
      <c r="X227" s="649">
        <v>270</v>
      </c>
      <c r="Y227" s="648" t="s">
        <v>751</v>
      </c>
      <c r="Z227" s="2303">
        <v>267</v>
      </c>
      <c r="AA227" s="2302"/>
      <c r="AB227" s="543"/>
      <c r="AC227" s="542"/>
      <c r="AD227" s="543"/>
      <c r="AE227" s="2303"/>
      <c r="AF227" s="4490"/>
      <c r="AG227" s="547"/>
      <c r="AH227" s="547"/>
      <c r="AI227" s="4568" t="s">
        <v>822</v>
      </c>
      <c r="AJ227" s="18"/>
    </row>
    <row r="228" spans="2:36" ht="20.100000000000001" customHeight="1">
      <c r="B228" s="4505" t="s">
        <v>2281</v>
      </c>
      <c r="C228" s="4602"/>
      <c r="D228" s="490" t="s">
        <v>830</v>
      </c>
      <c r="E228" s="491"/>
      <c r="F228" s="285" t="s">
        <v>732</v>
      </c>
      <c r="G228" s="10231"/>
      <c r="H228" s="384"/>
      <c r="I228" s="666" t="s">
        <v>1811</v>
      </c>
      <c r="J228" s="666"/>
      <c r="K228" s="162" t="s">
        <v>734</v>
      </c>
      <c r="L228" s="2260">
        <v>4</v>
      </c>
      <c r="M228" s="648" t="s">
        <v>748</v>
      </c>
      <c r="N228" s="647">
        <v>6</v>
      </c>
      <c r="O228" s="648" t="s">
        <v>748</v>
      </c>
      <c r="P228" s="2303"/>
      <c r="Q228" s="2260">
        <v>2</v>
      </c>
      <c r="R228" s="648" t="s">
        <v>801</v>
      </c>
      <c r="S228" s="647">
        <v>1</v>
      </c>
      <c r="T228" s="648" t="s">
        <v>801</v>
      </c>
      <c r="U228" s="2303"/>
      <c r="V228" s="2398">
        <v>8</v>
      </c>
      <c r="W228" s="648" t="s">
        <v>751</v>
      </c>
      <c r="X228" s="649">
        <v>9</v>
      </c>
      <c r="Y228" s="648" t="s">
        <v>751</v>
      </c>
      <c r="Z228" s="2303">
        <v>6</v>
      </c>
      <c r="AA228" s="2302"/>
      <c r="AB228" s="543"/>
      <c r="AC228" s="542"/>
      <c r="AD228" s="543"/>
      <c r="AE228" s="2303"/>
      <c r="AF228" s="4490"/>
      <c r="AG228" s="547"/>
      <c r="AH228" s="547"/>
      <c r="AI228" s="4568" t="s">
        <v>822</v>
      </c>
      <c r="AJ228" s="18"/>
    </row>
    <row r="229" spans="2:36" ht="20.100000000000001" customHeight="1">
      <c r="B229" s="4505" t="s">
        <v>2281</v>
      </c>
      <c r="C229" s="4604" t="s">
        <v>833</v>
      </c>
      <c r="D229" s="583"/>
      <c r="E229" s="583"/>
      <c r="F229" s="285" t="s">
        <v>732</v>
      </c>
      <c r="G229" s="10231"/>
      <c r="H229" s="359" t="s">
        <v>834</v>
      </c>
      <c r="I229" s="359"/>
      <c r="J229" s="643"/>
      <c r="K229" s="162" t="s">
        <v>734</v>
      </c>
      <c r="L229" s="2260">
        <v>0</v>
      </c>
      <c r="M229" s="543">
        <v>0</v>
      </c>
      <c r="N229" s="647">
        <v>0</v>
      </c>
      <c r="O229" s="543">
        <v>0</v>
      </c>
      <c r="P229" s="2303"/>
      <c r="Q229" s="2260">
        <v>0</v>
      </c>
      <c r="R229" s="543">
        <v>0</v>
      </c>
      <c r="S229" s="647">
        <v>0</v>
      </c>
      <c r="T229" s="543">
        <v>0</v>
      </c>
      <c r="U229" s="2303"/>
      <c r="V229" s="2398">
        <v>0</v>
      </c>
      <c r="W229" s="543">
        <v>0</v>
      </c>
      <c r="X229" s="649">
        <v>0</v>
      </c>
      <c r="Y229" s="543">
        <v>0</v>
      </c>
      <c r="Z229" s="2303">
        <v>0</v>
      </c>
      <c r="AA229" s="2302"/>
      <c r="AB229" s="543"/>
      <c r="AC229" s="542"/>
      <c r="AD229" s="543"/>
      <c r="AE229" s="2303"/>
      <c r="AF229" s="4490"/>
      <c r="AG229" s="547"/>
      <c r="AH229" s="547"/>
      <c r="AI229" s="4568" t="s">
        <v>837</v>
      </c>
      <c r="AJ229" s="18"/>
    </row>
    <row r="230" spans="2:36" ht="20.100000000000001" customHeight="1">
      <c r="B230" s="4505" t="s">
        <v>2281</v>
      </c>
      <c r="C230" s="4599" t="s">
        <v>843</v>
      </c>
      <c r="D230" s="4605"/>
      <c r="E230" s="4605"/>
      <c r="F230" s="4584" t="s">
        <v>168</v>
      </c>
      <c r="G230" s="10231"/>
      <c r="H230" s="686" t="s">
        <v>844</v>
      </c>
      <c r="I230" s="698"/>
      <c r="J230" s="655"/>
      <c r="K230" s="656" t="s">
        <v>168</v>
      </c>
      <c r="L230" s="2304"/>
      <c r="M230" s="661"/>
      <c r="N230" s="659"/>
      <c r="O230" s="661"/>
      <c r="P230" s="2305"/>
      <c r="Q230" s="2304"/>
      <c r="R230" s="661"/>
      <c r="S230" s="659"/>
      <c r="T230" s="661"/>
      <c r="U230" s="2305"/>
      <c r="V230" s="2304"/>
      <c r="W230" s="661"/>
      <c r="X230" s="659"/>
      <c r="Y230" s="661"/>
      <c r="Z230" s="2305"/>
      <c r="AA230" s="2304"/>
      <c r="AB230" s="661"/>
      <c r="AC230" s="320"/>
      <c r="AD230" s="413"/>
      <c r="AE230" s="2276"/>
      <c r="AF230" s="4490"/>
      <c r="AG230" s="547"/>
      <c r="AH230" s="547"/>
      <c r="AI230" s="4568" t="s">
        <v>3014</v>
      </c>
      <c r="AJ230" s="18"/>
    </row>
    <row r="231" spans="2:36" ht="20.100000000000001" customHeight="1">
      <c r="B231" s="4505" t="s">
        <v>2281</v>
      </c>
      <c r="C231" s="4606"/>
      <c r="D231" s="490" t="s">
        <v>823</v>
      </c>
      <c r="E231" s="491"/>
      <c r="F231" s="285" t="s">
        <v>732</v>
      </c>
      <c r="G231" s="10231"/>
      <c r="H231" s="348"/>
      <c r="I231" s="495" t="s">
        <v>824</v>
      </c>
      <c r="J231" s="643"/>
      <c r="K231" s="162" t="s">
        <v>734</v>
      </c>
      <c r="L231" s="2302"/>
      <c r="M231" s="543"/>
      <c r="N231" s="542"/>
      <c r="O231" s="543"/>
      <c r="P231" s="2303"/>
      <c r="Q231" s="2302"/>
      <c r="R231" s="543"/>
      <c r="S231" s="542"/>
      <c r="T231" s="543"/>
      <c r="U231" s="2303"/>
      <c r="V231" s="2302">
        <v>0</v>
      </c>
      <c r="W231" s="543"/>
      <c r="X231" s="542">
        <v>0</v>
      </c>
      <c r="Y231" s="543"/>
      <c r="Z231" s="2303">
        <v>0</v>
      </c>
      <c r="AA231" s="2302"/>
      <c r="AB231" s="543"/>
      <c r="AC231" s="542"/>
      <c r="AD231" s="543"/>
      <c r="AE231" s="2303"/>
      <c r="AF231" s="4490"/>
      <c r="AG231" s="696"/>
      <c r="AH231" s="547"/>
      <c r="AI231" s="4568" t="s">
        <v>3014</v>
      </c>
      <c r="AJ231" s="18"/>
    </row>
    <row r="232" spans="2:36" ht="20.100000000000001" customHeight="1">
      <c r="B232" s="4505" t="s">
        <v>2281</v>
      </c>
      <c r="C232" s="4603"/>
      <c r="D232" s="490" t="s">
        <v>827</v>
      </c>
      <c r="E232" s="491"/>
      <c r="F232" s="285" t="s">
        <v>732</v>
      </c>
      <c r="G232" s="10231"/>
      <c r="H232" s="353"/>
      <c r="I232" s="495" t="s">
        <v>828</v>
      </c>
      <c r="J232" s="643"/>
      <c r="K232" s="162" t="s">
        <v>734</v>
      </c>
      <c r="L232" s="2302"/>
      <c r="M232" s="543"/>
      <c r="N232" s="542"/>
      <c r="O232" s="543"/>
      <c r="P232" s="2303"/>
      <c r="Q232" s="2302"/>
      <c r="R232" s="543"/>
      <c r="S232" s="542"/>
      <c r="T232" s="543"/>
      <c r="U232" s="2303"/>
      <c r="V232" s="2302">
        <v>5</v>
      </c>
      <c r="W232" s="543"/>
      <c r="X232" s="542">
        <v>5</v>
      </c>
      <c r="Y232" s="543"/>
      <c r="Z232" s="2303">
        <v>5</v>
      </c>
      <c r="AA232" s="2302"/>
      <c r="AB232" s="543"/>
      <c r="AC232" s="542"/>
      <c r="AD232" s="543"/>
      <c r="AE232" s="2303"/>
      <c r="AF232" s="4490"/>
      <c r="AG232" s="547"/>
      <c r="AH232" s="547"/>
      <c r="AI232" s="4568" t="s">
        <v>3014</v>
      </c>
      <c r="AJ232" s="18"/>
    </row>
    <row r="233" spans="2:36" ht="20.100000000000001" customHeight="1">
      <c r="B233" s="4505" t="s">
        <v>2281</v>
      </c>
      <c r="C233" s="4602"/>
      <c r="D233" s="490" t="s">
        <v>830</v>
      </c>
      <c r="E233" s="491"/>
      <c r="F233" s="285" t="s">
        <v>732</v>
      </c>
      <c r="G233" s="10231"/>
      <c r="H233" s="385"/>
      <c r="I233" s="495" t="s">
        <v>1811</v>
      </c>
      <c r="J233" s="643"/>
      <c r="K233" s="162" t="s">
        <v>734</v>
      </c>
      <c r="L233" s="2302"/>
      <c r="M233" s="543"/>
      <c r="N233" s="542"/>
      <c r="O233" s="543"/>
      <c r="P233" s="2303"/>
      <c r="Q233" s="2302"/>
      <c r="R233" s="543"/>
      <c r="S233" s="542"/>
      <c r="T233" s="543"/>
      <c r="U233" s="2303"/>
      <c r="V233" s="2302">
        <v>2</v>
      </c>
      <c r="W233" s="543"/>
      <c r="X233" s="542">
        <v>2</v>
      </c>
      <c r="Y233" s="543"/>
      <c r="Z233" s="2303">
        <v>2</v>
      </c>
      <c r="AA233" s="2302"/>
      <c r="AB233" s="543"/>
      <c r="AC233" s="542"/>
      <c r="AD233" s="543"/>
      <c r="AE233" s="2303"/>
      <c r="AF233" s="4490"/>
      <c r="AG233" s="547"/>
      <c r="AH233" s="547"/>
      <c r="AI233" s="4568" t="s">
        <v>3014</v>
      </c>
      <c r="AJ233" s="18"/>
    </row>
    <row r="234" spans="2:36" ht="20.100000000000001" customHeight="1">
      <c r="B234" s="4505" t="s">
        <v>2281</v>
      </c>
      <c r="C234" s="306" t="s">
        <v>849</v>
      </c>
      <c r="D234" s="701"/>
      <c r="E234" s="701"/>
      <c r="F234" s="285" t="s">
        <v>742</v>
      </c>
      <c r="G234" s="10231"/>
      <c r="H234" s="359" t="s">
        <v>850</v>
      </c>
      <c r="I234" s="359"/>
      <c r="J234" s="643"/>
      <c r="K234" s="162" t="s">
        <v>734</v>
      </c>
      <c r="L234" s="2302"/>
      <c r="M234" s="543"/>
      <c r="N234" s="647">
        <v>0</v>
      </c>
      <c r="O234" s="543"/>
      <c r="P234" s="2303"/>
      <c r="Q234" s="2302"/>
      <c r="R234" s="543"/>
      <c r="S234" s="649">
        <v>1</v>
      </c>
      <c r="T234" s="543"/>
      <c r="U234" s="2303"/>
      <c r="V234" s="2302">
        <v>5</v>
      </c>
      <c r="W234" s="543" t="s">
        <v>856</v>
      </c>
      <c r="X234" s="649">
        <v>3</v>
      </c>
      <c r="Y234" s="543" t="s">
        <v>856</v>
      </c>
      <c r="Z234" s="2303">
        <v>5</v>
      </c>
      <c r="AA234" s="2302"/>
      <c r="AB234" s="543"/>
      <c r="AC234" s="542"/>
      <c r="AD234" s="543"/>
      <c r="AE234" s="2303"/>
      <c r="AF234" s="4490"/>
      <c r="AG234" s="547"/>
      <c r="AH234" s="547"/>
      <c r="AI234" s="4568" t="s">
        <v>3017</v>
      </c>
      <c r="AJ234" s="18"/>
    </row>
    <row r="235" spans="2:36" ht="20.100000000000001" customHeight="1">
      <c r="B235" s="4505" t="s">
        <v>2281</v>
      </c>
      <c r="C235" s="306" t="s">
        <v>857</v>
      </c>
      <c r="D235" s="701"/>
      <c r="E235" s="703"/>
      <c r="F235" s="285" t="s">
        <v>156</v>
      </c>
      <c r="G235" s="10231"/>
      <c r="H235" s="359" t="s">
        <v>858</v>
      </c>
      <c r="I235" s="359"/>
      <c r="J235" s="643"/>
      <c r="K235" s="162" t="s">
        <v>156</v>
      </c>
      <c r="L235" s="2302"/>
      <c r="M235" s="543"/>
      <c r="N235" s="647">
        <v>0</v>
      </c>
      <c r="O235" s="543"/>
      <c r="P235" s="2303"/>
      <c r="Q235" s="2302"/>
      <c r="R235" s="543"/>
      <c r="S235" s="649">
        <v>0.25</v>
      </c>
      <c r="T235" s="543"/>
      <c r="U235" s="2303"/>
      <c r="V235" s="2312">
        <f>(5/381)*100</f>
        <v>1.3123359580052494</v>
      </c>
      <c r="W235" s="543"/>
      <c r="X235" s="4607">
        <f>(3/393)*100</f>
        <v>0.76335877862595414</v>
      </c>
      <c r="Y235" s="543"/>
      <c r="Z235" s="4608">
        <f>(Z234/412)*100</f>
        <v>1.2135922330097086</v>
      </c>
      <c r="AA235" s="2302"/>
      <c r="AB235" s="543"/>
      <c r="AC235" s="542"/>
      <c r="AD235" s="543"/>
      <c r="AE235" s="2303"/>
      <c r="AF235" s="4490"/>
      <c r="AG235" s="547"/>
      <c r="AH235" s="547"/>
      <c r="AI235" s="4568" t="s">
        <v>3017</v>
      </c>
      <c r="AJ235" s="18"/>
    </row>
    <row r="236" spans="2:36" ht="20.100000000000001" customHeight="1">
      <c r="B236" s="4505" t="s">
        <v>2281</v>
      </c>
      <c r="C236" s="4609" t="s">
        <v>863</v>
      </c>
      <c r="D236" s="497"/>
      <c r="E236" s="360"/>
      <c r="F236" s="285" t="s">
        <v>156</v>
      </c>
      <c r="G236" s="10231"/>
      <c r="H236" s="359" t="s">
        <v>864</v>
      </c>
      <c r="I236" s="359"/>
      <c r="J236" s="643"/>
      <c r="K236" s="162" t="s">
        <v>156</v>
      </c>
      <c r="L236" s="2302"/>
      <c r="M236" s="543"/>
      <c r="N236" s="647">
        <v>0</v>
      </c>
      <c r="O236" s="543"/>
      <c r="P236" s="2303"/>
      <c r="Q236" s="2302"/>
      <c r="R236" s="543"/>
      <c r="S236" s="649">
        <v>4.0000000000000002E-4</v>
      </c>
      <c r="T236" s="543"/>
      <c r="U236" s="2303"/>
      <c r="V236" s="2312">
        <f>(5/381)*100</f>
        <v>1.3123359580052494</v>
      </c>
      <c r="W236" s="543"/>
      <c r="X236" s="4607">
        <f>(3/393)*100</f>
        <v>0.76335877862595414</v>
      </c>
      <c r="Y236" s="543"/>
      <c r="Z236" s="4608">
        <f>(Z235/412)*100</f>
        <v>0.29456122160429821</v>
      </c>
      <c r="AA236" s="2302"/>
      <c r="AB236" s="543"/>
      <c r="AC236" s="542"/>
      <c r="AD236" s="543"/>
      <c r="AE236" s="2303"/>
      <c r="AF236" s="4490"/>
      <c r="AG236" s="547"/>
      <c r="AH236" s="547"/>
      <c r="AI236" s="4568" t="s">
        <v>3017</v>
      </c>
      <c r="AJ236" s="18"/>
    </row>
    <row r="237" spans="2:36" ht="20.100000000000001" customHeight="1" thickBot="1">
      <c r="B237" s="4505" t="s">
        <v>2281</v>
      </c>
      <c r="C237" s="4609" t="s">
        <v>870</v>
      </c>
      <c r="D237" s="497"/>
      <c r="E237" s="360"/>
      <c r="F237" s="706" t="s">
        <v>156</v>
      </c>
      <c r="G237" s="10232"/>
      <c r="H237" s="708" t="s">
        <v>871</v>
      </c>
      <c r="I237" s="708"/>
      <c r="J237" s="4610"/>
      <c r="K237" s="711" t="s">
        <v>156</v>
      </c>
      <c r="L237" s="2306"/>
      <c r="M237" s="713"/>
      <c r="N237" s="712"/>
      <c r="O237" s="713"/>
      <c r="P237" s="2307"/>
      <c r="Q237" s="2306"/>
      <c r="R237" s="713"/>
      <c r="S237" s="712"/>
      <c r="T237" s="713"/>
      <c r="U237" s="2307"/>
      <c r="V237" s="2306" t="s">
        <v>641</v>
      </c>
      <c r="W237" s="713"/>
      <c r="X237" s="2306" t="s">
        <v>641</v>
      </c>
      <c r="Y237" s="713"/>
      <c r="Z237" s="2306" t="s">
        <v>641</v>
      </c>
      <c r="AA237" s="2306"/>
      <c r="AB237" s="713"/>
      <c r="AC237" s="712"/>
      <c r="AD237" s="713"/>
      <c r="AE237" s="2307"/>
      <c r="AF237" s="4490"/>
      <c r="AG237" s="715"/>
      <c r="AH237" s="547"/>
      <c r="AI237" s="1244" t="s">
        <v>3014</v>
      </c>
      <c r="AJ237" s="18"/>
    </row>
    <row r="238" spans="2:36" ht="29.45" customHeight="1" thickBot="1">
      <c r="B238" s="4505" t="s">
        <v>2281</v>
      </c>
      <c r="C238" s="123" t="s">
        <v>877</v>
      </c>
      <c r="D238" s="124"/>
      <c r="E238" s="124"/>
      <c r="F238" s="78"/>
      <c r="G238" s="598" t="s">
        <v>3493</v>
      </c>
      <c r="H238" s="126"/>
      <c r="I238" s="126"/>
      <c r="J238" s="126"/>
      <c r="K238" s="78"/>
      <c r="L238" s="2394"/>
      <c r="M238" s="718"/>
      <c r="N238" s="718"/>
      <c r="O238" s="718"/>
      <c r="P238" s="2395"/>
      <c r="Q238" s="2394"/>
      <c r="R238" s="718"/>
      <c r="S238" s="718"/>
      <c r="T238" s="718"/>
      <c r="U238" s="2395"/>
      <c r="V238" s="2394"/>
      <c r="W238" s="718"/>
      <c r="X238" s="718"/>
      <c r="Y238" s="718"/>
      <c r="Z238" s="2395"/>
      <c r="AA238" s="2394"/>
      <c r="AB238" s="718"/>
      <c r="AC238" s="718"/>
      <c r="AD238" s="718"/>
      <c r="AE238" s="2395"/>
      <c r="AF238" s="4493"/>
      <c r="AG238" s="719"/>
      <c r="AH238" s="719"/>
      <c r="AI238" s="4611"/>
      <c r="AJ238" s="18"/>
    </row>
    <row r="239" spans="2:36" ht="20.100000000000001" customHeight="1">
      <c r="B239" s="4505" t="s">
        <v>2281</v>
      </c>
      <c r="C239" s="4612" t="s">
        <v>879</v>
      </c>
      <c r="D239" s="86"/>
      <c r="E239" s="86"/>
      <c r="F239" s="636" t="s">
        <v>732</v>
      </c>
      <c r="G239" s="10235" t="s">
        <v>3489</v>
      </c>
      <c r="H239" s="721" t="s">
        <v>880</v>
      </c>
      <c r="I239" s="134"/>
      <c r="J239" s="135"/>
      <c r="K239" s="436" t="s">
        <v>734</v>
      </c>
      <c r="L239" s="2396">
        <f t="shared" ref="L239" si="14">L240+L241</f>
        <v>173</v>
      </c>
      <c r="M239" s="723"/>
      <c r="N239" s="640">
        <f>N240+N241</f>
        <v>107</v>
      </c>
      <c r="O239" s="725"/>
      <c r="P239" s="2397">
        <f>P240+P241</f>
        <v>0</v>
      </c>
      <c r="Q239" s="2396">
        <f>Q240+Q241</f>
        <v>1247</v>
      </c>
      <c r="R239" s="723"/>
      <c r="S239" s="640">
        <f>S240+S241</f>
        <v>2538</v>
      </c>
      <c r="T239" s="725"/>
      <c r="U239" s="2397">
        <f>U240+U241</f>
        <v>0</v>
      </c>
      <c r="V239" s="2396">
        <f>V240+V241</f>
        <v>16</v>
      </c>
      <c r="W239" s="723"/>
      <c r="X239" s="640">
        <f>X240+X241</f>
        <v>86</v>
      </c>
      <c r="Y239" s="725"/>
      <c r="Z239" s="2397">
        <f>Z240+Z241</f>
        <v>95</v>
      </c>
      <c r="AA239" s="2396">
        <f>AA240+AA241</f>
        <v>0</v>
      </c>
      <c r="AB239" s="723"/>
      <c r="AC239" s="640">
        <f>AC240+AC241</f>
        <v>0</v>
      </c>
      <c r="AD239" s="725"/>
      <c r="AE239" s="2397">
        <f>AE240+AE241</f>
        <v>0</v>
      </c>
      <c r="AF239" s="4578"/>
      <c r="AG239" s="547"/>
      <c r="AH239" s="534"/>
      <c r="AI239" s="4568" t="s">
        <v>883</v>
      </c>
      <c r="AJ239" s="18"/>
    </row>
    <row r="240" spans="2:36" ht="20.100000000000001" customHeight="1">
      <c r="B240" s="4505" t="s">
        <v>2281</v>
      </c>
      <c r="C240" s="4528"/>
      <c r="D240" s="266" t="s">
        <v>885</v>
      </c>
      <c r="E240" s="266"/>
      <c r="F240" s="132" t="s">
        <v>732</v>
      </c>
      <c r="G240" s="10236"/>
      <c r="H240" s="1903"/>
      <c r="I240" s="1065" t="s">
        <v>886</v>
      </c>
      <c r="J240" s="1066"/>
      <c r="K240" s="136" t="s">
        <v>734</v>
      </c>
      <c r="L240" s="2398">
        <v>173</v>
      </c>
      <c r="M240" s="648" t="s">
        <v>887</v>
      </c>
      <c r="N240" s="649">
        <v>107</v>
      </c>
      <c r="O240" s="648" t="s">
        <v>887</v>
      </c>
      <c r="P240" s="2303"/>
      <c r="Q240" s="2398">
        <v>1247</v>
      </c>
      <c r="R240" s="648" t="s">
        <v>888</v>
      </c>
      <c r="S240" s="649">
        <v>2538</v>
      </c>
      <c r="T240" s="648" t="s">
        <v>888</v>
      </c>
      <c r="U240" s="2303"/>
      <c r="V240" s="2398">
        <v>16</v>
      </c>
      <c r="W240" s="648" t="s">
        <v>887</v>
      </c>
      <c r="X240" s="649">
        <v>86</v>
      </c>
      <c r="Y240" s="648" t="s">
        <v>887</v>
      </c>
      <c r="Z240" s="2303">
        <v>95</v>
      </c>
      <c r="AA240" s="2302"/>
      <c r="AB240" s="543"/>
      <c r="AC240" s="542"/>
      <c r="AD240" s="543"/>
      <c r="AE240" s="2303"/>
      <c r="AF240" s="4490"/>
      <c r="AG240" s="547"/>
      <c r="AH240" s="547"/>
      <c r="AI240" s="4568" t="s">
        <v>883</v>
      </c>
      <c r="AJ240" s="18"/>
    </row>
    <row r="241" spans="2:36" ht="20.100000000000001" customHeight="1">
      <c r="B241" s="4505" t="s">
        <v>2281</v>
      </c>
      <c r="C241" s="1945"/>
      <c r="D241" s="726" t="s">
        <v>889</v>
      </c>
      <c r="E241" s="721"/>
      <c r="F241" s="132" t="s">
        <v>732</v>
      </c>
      <c r="G241" s="10236"/>
      <c r="H241" s="1918"/>
      <c r="I241" s="1065" t="s">
        <v>890</v>
      </c>
      <c r="J241" s="1066"/>
      <c r="K241" s="136" t="s">
        <v>734</v>
      </c>
      <c r="L241" s="2398">
        <v>0</v>
      </c>
      <c r="M241" s="543">
        <v>0</v>
      </c>
      <c r="N241" s="649">
        <v>0</v>
      </c>
      <c r="O241" s="543">
        <v>0</v>
      </c>
      <c r="P241" s="2303"/>
      <c r="Q241" s="2398">
        <v>0</v>
      </c>
      <c r="R241" s="543">
        <v>0</v>
      </c>
      <c r="S241" s="649">
        <v>0</v>
      </c>
      <c r="T241" s="648">
        <v>0</v>
      </c>
      <c r="U241" s="2303"/>
      <c r="V241" s="2398">
        <v>0</v>
      </c>
      <c r="W241" s="543">
        <v>0</v>
      </c>
      <c r="X241" s="649">
        <v>0</v>
      </c>
      <c r="Y241" s="543">
        <v>0</v>
      </c>
      <c r="Z241" s="2303">
        <v>0</v>
      </c>
      <c r="AA241" s="2302"/>
      <c r="AB241" s="543"/>
      <c r="AC241" s="542"/>
      <c r="AD241" s="543"/>
      <c r="AE241" s="2303"/>
      <c r="AF241" s="4490"/>
      <c r="AG241" s="547"/>
      <c r="AH241" s="547"/>
      <c r="AI241" s="4568" t="s">
        <v>883</v>
      </c>
      <c r="AJ241" s="18"/>
    </row>
    <row r="242" spans="2:36" ht="20.100000000000001" customHeight="1">
      <c r="B242" s="4505" t="s">
        <v>2281</v>
      </c>
      <c r="C242" s="4613" t="s">
        <v>891</v>
      </c>
      <c r="D242" s="727"/>
      <c r="E242" s="727"/>
      <c r="F242" s="4614" t="s">
        <v>168</v>
      </c>
      <c r="G242" s="10236"/>
      <c r="H242" s="728" t="s">
        <v>1818</v>
      </c>
      <c r="I242" s="654"/>
      <c r="J242" s="655"/>
      <c r="K242" s="731" t="s">
        <v>168</v>
      </c>
      <c r="L242" s="2399"/>
      <c r="M242" s="661"/>
      <c r="N242" s="734"/>
      <c r="O242" s="661"/>
      <c r="P242" s="2305"/>
      <c r="Q242" s="2399"/>
      <c r="R242" s="661"/>
      <c r="S242" s="734"/>
      <c r="T242" s="671"/>
      <c r="U242" s="2305"/>
      <c r="V242" s="2399"/>
      <c r="W242" s="661"/>
      <c r="X242" s="734"/>
      <c r="Y242" s="661"/>
      <c r="Z242" s="2305"/>
      <c r="AA242" s="2304"/>
      <c r="AB242" s="661"/>
      <c r="AC242" s="659"/>
      <c r="AD242" s="661"/>
      <c r="AE242" s="2305"/>
      <c r="AF242" s="4585"/>
      <c r="AG242" s="4586"/>
      <c r="AH242" s="4586"/>
      <c r="AI242" s="4587"/>
      <c r="AJ242" s="18"/>
    </row>
    <row r="243" spans="2:36" ht="20.100000000000001" customHeight="1">
      <c r="B243" s="4505" t="s">
        <v>2281</v>
      </c>
      <c r="C243" s="4588"/>
      <c r="D243" s="490" t="s">
        <v>796</v>
      </c>
      <c r="E243" s="491"/>
      <c r="F243" s="492" t="s">
        <v>732</v>
      </c>
      <c r="G243" s="10236"/>
      <c r="H243" s="886"/>
      <c r="I243" s="358" t="s">
        <v>893</v>
      </c>
      <c r="J243" s="735"/>
      <c r="K243" s="136" t="s">
        <v>734</v>
      </c>
      <c r="L243" s="2398">
        <v>99</v>
      </c>
      <c r="M243" s="648" t="s">
        <v>748</v>
      </c>
      <c r="N243" s="649">
        <v>69</v>
      </c>
      <c r="O243" s="648" t="s">
        <v>748</v>
      </c>
      <c r="P243" s="2303"/>
      <c r="Q243" s="2398">
        <v>566</v>
      </c>
      <c r="R243" s="648" t="s">
        <v>801</v>
      </c>
      <c r="S243" s="649">
        <v>1232</v>
      </c>
      <c r="T243" s="648" t="s">
        <v>801</v>
      </c>
      <c r="U243" s="2303"/>
      <c r="V243" s="2398">
        <v>7</v>
      </c>
      <c r="W243" s="648" t="s">
        <v>751</v>
      </c>
      <c r="X243" s="649">
        <v>41</v>
      </c>
      <c r="Y243" s="648" t="s">
        <v>751</v>
      </c>
      <c r="Z243" s="2303">
        <v>60</v>
      </c>
      <c r="AA243" s="2302"/>
      <c r="AB243" s="543"/>
      <c r="AC243" s="542"/>
      <c r="AD243" s="543"/>
      <c r="AE243" s="2303"/>
      <c r="AF243" s="4490"/>
      <c r="AG243" s="547"/>
      <c r="AH243" s="547"/>
      <c r="AI243" s="4568" t="s">
        <v>892</v>
      </c>
      <c r="AJ243" s="18"/>
    </row>
    <row r="244" spans="2:36" ht="20.100000000000001" customHeight="1">
      <c r="B244" s="4505" t="s">
        <v>2281</v>
      </c>
      <c r="C244" s="4591"/>
      <c r="D244" s="490" t="s">
        <v>802</v>
      </c>
      <c r="E244" s="491"/>
      <c r="F244" s="492" t="s">
        <v>732</v>
      </c>
      <c r="G244" s="10236"/>
      <c r="H244" s="4512"/>
      <c r="I244" s="358" t="s">
        <v>896</v>
      </c>
      <c r="J244" s="735"/>
      <c r="K244" s="136" t="s">
        <v>734</v>
      </c>
      <c r="L244" s="2398">
        <v>74</v>
      </c>
      <c r="M244" s="648" t="s">
        <v>748</v>
      </c>
      <c r="N244" s="649">
        <v>38</v>
      </c>
      <c r="O244" s="648" t="s">
        <v>748</v>
      </c>
      <c r="P244" s="2303"/>
      <c r="Q244" s="2398">
        <v>681</v>
      </c>
      <c r="R244" s="648" t="s">
        <v>801</v>
      </c>
      <c r="S244" s="649">
        <v>1306</v>
      </c>
      <c r="T244" s="648" t="s">
        <v>801</v>
      </c>
      <c r="U244" s="2303"/>
      <c r="V244" s="2398">
        <v>9</v>
      </c>
      <c r="W244" s="648" t="s">
        <v>751</v>
      </c>
      <c r="X244" s="649">
        <v>45</v>
      </c>
      <c r="Y244" s="648" t="s">
        <v>751</v>
      </c>
      <c r="Z244" s="2303">
        <v>35</v>
      </c>
      <c r="AA244" s="2302"/>
      <c r="AB244" s="543"/>
      <c r="AC244" s="542"/>
      <c r="AD244" s="543"/>
      <c r="AE244" s="2303"/>
      <c r="AF244" s="4490"/>
      <c r="AG244" s="547"/>
      <c r="AH244" s="547"/>
      <c r="AI244" s="4568" t="s">
        <v>892</v>
      </c>
      <c r="AJ244" s="18"/>
    </row>
    <row r="245" spans="2:36" ht="20.100000000000001" customHeight="1">
      <c r="B245" s="4505" t="s">
        <v>2281</v>
      </c>
      <c r="C245" s="4613" t="s">
        <v>897</v>
      </c>
      <c r="D245" s="727"/>
      <c r="E245" s="727"/>
      <c r="F245" s="4614" t="s">
        <v>168</v>
      </c>
      <c r="G245" s="10236"/>
      <c r="H245" s="736" t="s">
        <v>898</v>
      </c>
      <c r="I245" s="736"/>
      <c r="J245" s="736"/>
      <c r="K245" s="731" t="s">
        <v>168</v>
      </c>
      <c r="L245" s="2399"/>
      <c r="M245" s="671"/>
      <c r="N245" s="734"/>
      <c r="O245" s="671"/>
      <c r="P245" s="2305"/>
      <c r="Q245" s="2399"/>
      <c r="R245" s="671"/>
      <c r="S245" s="734"/>
      <c r="T245" s="671"/>
      <c r="U245" s="2305"/>
      <c r="V245" s="2399"/>
      <c r="W245" s="671"/>
      <c r="X245" s="734"/>
      <c r="Y245" s="671"/>
      <c r="Z245" s="2305"/>
      <c r="AA245" s="2304"/>
      <c r="AB245" s="661"/>
      <c r="AC245" s="659"/>
      <c r="AD245" s="661"/>
      <c r="AE245" s="2305"/>
      <c r="AF245" s="4585"/>
      <c r="AG245" s="4586"/>
      <c r="AH245" s="4586"/>
      <c r="AI245" s="4587"/>
      <c r="AJ245" s="18"/>
    </row>
    <row r="246" spans="2:36" ht="20.100000000000001" customHeight="1">
      <c r="B246" s="4505" t="s">
        <v>2281</v>
      </c>
      <c r="D246" s="490" t="s">
        <v>823</v>
      </c>
      <c r="E246" s="491"/>
      <c r="F246" s="492" t="s">
        <v>732</v>
      </c>
      <c r="G246" s="10236"/>
      <c r="H246" s="886"/>
      <c r="I246" s="358" t="s">
        <v>900</v>
      </c>
      <c r="J246" s="735"/>
      <c r="K246" s="136" t="s">
        <v>734</v>
      </c>
      <c r="L246" s="2398">
        <v>97</v>
      </c>
      <c r="M246" s="648" t="s">
        <v>748</v>
      </c>
      <c r="N246" s="649">
        <v>46</v>
      </c>
      <c r="O246" s="648" t="s">
        <v>748</v>
      </c>
      <c r="P246" s="2303"/>
      <c r="Q246" s="2398">
        <v>1225</v>
      </c>
      <c r="R246" s="648" t="s">
        <v>801</v>
      </c>
      <c r="S246" s="649">
        <v>2502</v>
      </c>
      <c r="T246" s="648" t="s">
        <v>801</v>
      </c>
      <c r="U246" s="2303"/>
      <c r="V246" s="2398">
        <v>9</v>
      </c>
      <c r="W246" s="648" t="s">
        <v>751</v>
      </c>
      <c r="X246" s="649">
        <v>54</v>
      </c>
      <c r="Y246" s="648" t="s">
        <v>751</v>
      </c>
      <c r="Z246" s="2303">
        <v>65</v>
      </c>
      <c r="AA246" s="2302"/>
      <c r="AB246" s="543"/>
      <c r="AC246" s="542"/>
      <c r="AD246" s="543"/>
      <c r="AE246" s="2303"/>
      <c r="AF246" s="4490"/>
      <c r="AG246" s="547"/>
      <c r="AH246" s="547"/>
      <c r="AI246" s="4568" t="s">
        <v>899</v>
      </c>
      <c r="AJ246" s="18"/>
    </row>
    <row r="247" spans="2:36" ht="20.100000000000001" customHeight="1">
      <c r="B247" s="4505" t="s">
        <v>2281</v>
      </c>
      <c r="C247" s="4590"/>
      <c r="D247" s="490" t="s">
        <v>827</v>
      </c>
      <c r="E247" s="491"/>
      <c r="F247" s="492" t="s">
        <v>732</v>
      </c>
      <c r="G247" s="10236"/>
      <c r="H247" s="4511"/>
      <c r="I247" s="358" t="s">
        <v>903</v>
      </c>
      <c r="J247" s="735"/>
      <c r="K247" s="136" t="s">
        <v>734</v>
      </c>
      <c r="L247" s="2398">
        <v>76</v>
      </c>
      <c r="M247" s="648" t="s">
        <v>748</v>
      </c>
      <c r="N247" s="649">
        <v>61</v>
      </c>
      <c r="O247" s="648" t="s">
        <v>748</v>
      </c>
      <c r="P247" s="2303"/>
      <c r="Q247" s="2398">
        <v>22</v>
      </c>
      <c r="R247" s="648" t="s">
        <v>801</v>
      </c>
      <c r="S247" s="649">
        <v>36</v>
      </c>
      <c r="T247" s="648" t="s">
        <v>801</v>
      </c>
      <c r="U247" s="2303"/>
      <c r="V247" s="2398">
        <v>7</v>
      </c>
      <c r="W247" s="648" t="s">
        <v>751</v>
      </c>
      <c r="X247" s="649">
        <v>30</v>
      </c>
      <c r="Y247" s="648" t="s">
        <v>751</v>
      </c>
      <c r="Z247" s="2303">
        <v>30</v>
      </c>
      <c r="AA247" s="2302"/>
      <c r="AB247" s="543"/>
      <c r="AC247" s="542"/>
      <c r="AD247" s="543"/>
      <c r="AE247" s="2303"/>
      <c r="AF247" s="4490"/>
      <c r="AG247" s="547"/>
      <c r="AH247" s="547"/>
      <c r="AI247" s="4568" t="s">
        <v>899</v>
      </c>
      <c r="AJ247" s="18"/>
    </row>
    <row r="248" spans="2:36" ht="20.100000000000001" customHeight="1">
      <c r="B248" s="4505" t="s">
        <v>2281</v>
      </c>
      <c r="C248" s="4591"/>
      <c r="D248" s="490" t="s">
        <v>830</v>
      </c>
      <c r="E248" s="491"/>
      <c r="F248" s="492" t="s">
        <v>732</v>
      </c>
      <c r="G248" s="10236"/>
      <c r="H248" s="4512"/>
      <c r="I248" s="358" t="s">
        <v>905</v>
      </c>
      <c r="J248" s="735"/>
      <c r="K248" s="136" t="s">
        <v>734</v>
      </c>
      <c r="L248" s="2398">
        <v>0</v>
      </c>
      <c r="M248" s="648" t="s">
        <v>748</v>
      </c>
      <c r="N248" s="649">
        <v>0</v>
      </c>
      <c r="O248" s="648" t="s">
        <v>748</v>
      </c>
      <c r="P248" s="2303"/>
      <c r="Q248" s="2398">
        <v>0</v>
      </c>
      <c r="R248" s="648" t="s">
        <v>801</v>
      </c>
      <c r="S248" s="649">
        <v>0</v>
      </c>
      <c r="T248" s="648" t="s">
        <v>801</v>
      </c>
      <c r="U248" s="2303"/>
      <c r="V248" s="2398">
        <v>0</v>
      </c>
      <c r="W248" s="648" t="s">
        <v>751</v>
      </c>
      <c r="X248" s="649">
        <v>2</v>
      </c>
      <c r="Y248" s="648" t="s">
        <v>751</v>
      </c>
      <c r="Z248" s="2303"/>
      <c r="AA248" s="2302"/>
      <c r="AB248" s="543"/>
      <c r="AC248" s="542"/>
      <c r="AD248" s="543"/>
      <c r="AE248" s="2303"/>
      <c r="AF248" s="4490"/>
      <c r="AG248" s="547"/>
      <c r="AH248" s="547"/>
      <c r="AI248" s="4568" t="s">
        <v>899</v>
      </c>
      <c r="AJ248" s="18"/>
    </row>
    <row r="249" spans="2:36" ht="20.100000000000001" hidden="1" customHeight="1">
      <c r="B249" s="1865"/>
      <c r="C249" s="1849" t="s">
        <v>907</v>
      </c>
      <c r="D249" s="701"/>
      <c r="E249" s="701"/>
      <c r="F249" s="492" t="s">
        <v>742</v>
      </c>
      <c r="G249" s="10236"/>
      <c r="H249" s="491" t="s">
        <v>908</v>
      </c>
      <c r="I249" s="359"/>
      <c r="J249" s="643"/>
      <c r="K249" s="164" t="s">
        <v>734</v>
      </c>
      <c r="L249" s="2398">
        <v>0</v>
      </c>
      <c r="M249" s="652">
        <v>0</v>
      </c>
      <c r="N249" s="649">
        <v>0</v>
      </c>
      <c r="O249" s="652">
        <v>0</v>
      </c>
      <c r="P249" s="2261"/>
      <c r="Q249" s="2398">
        <v>0</v>
      </c>
      <c r="R249" s="652">
        <v>0</v>
      </c>
      <c r="S249" s="649">
        <v>0</v>
      </c>
      <c r="T249" s="652">
        <v>0</v>
      </c>
      <c r="U249" s="2261"/>
      <c r="V249" s="2398">
        <v>0</v>
      </c>
      <c r="W249" s="652">
        <v>0</v>
      </c>
      <c r="X249" s="649">
        <v>0</v>
      </c>
      <c r="Y249" s="652">
        <v>0</v>
      </c>
      <c r="Z249" s="2261"/>
      <c r="AA249" s="2497"/>
      <c r="AB249" s="652"/>
      <c r="AC249" s="693"/>
      <c r="AD249" s="652"/>
      <c r="AE249" s="2261"/>
      <c r="AF249" s="4490"/>
      <c r="AG249" s="547"/>
      <c r="AH249" s="547"/>
      <c r="AI249" s="4568" t="s">
        <v>911</v>
      </c>
      <c r="AJ249" s="18"/>
    </row>
    <row r="250" spans="2:36" ht="20.100000000000001" customHeight="1">
      <c r="B250" s="4505" t="s">
        <v>2281</v>
      </c>
      <c r="C250" s="4615" t="s">
        <v>915</v>
      </c>
      <c r="D250" s="583"/>
      <c r="E250" s="583"/>
      <c r="F250" s="285" t="s">
        <v>742</v>
      </c>
      <c r="G250" s="10236"/>
      <c r="H250" s="736" t="s">
        <v>916</v>
      </c>
      <c r="I250" s="736"/>
      <c r="J250" s="736"/>
      <c r="K250" s="731" t="s">
        <v>1443</v>
      </c>
      <c r="L250" s="2400">
        <f t="shared" ref="L250" si="15">L251+L252</f>
        <v>437</v>
      </c>
      <c r="M250" s="543"/>
      <c r="N250" s="738">
        <f>N251+N252</f>
        <v>231</v>
      </c>
      <c r="O250" s="543"/>
      <c r="P250" s="2401">
        <f>P251+P252</f>
        <v>0</v>
      </c>
      <c r="Q250" s="2400">
        <f>Q251+Q252</f>
        <v>1242</v>
      </c>
      <c r="R250" s="543"/>
      <c r="S250" s="738">
        <f>S251+S252</f>
        <v>2080</v>
      </c>
      <c r="T250" s="543"/>
      <c r="U250" s="2401">
        <f>U251+U252</f>
        <v>0</v>
      </c>
      <c r="V250" s="2400">
        <f>V251+V252</f>
        <v>103</v>
      </c>
      <c r="W250" s="543"/>
      <c r="X250" s="738">
        <f>X251+X252</f>
        <v>74</v>
      </c>
      <c r="Y250" s="543"/>
      <c r="Z250" s="738">
        <f>Z251+Z252</f>
        <v>75</v>
      </c>
      <c r="AA250" s="2400">
        <f>AA251+AA252</f>
        <v>0</v>
      </c>
      <c r="AB250" s="543"/>
      <c r="AC250" s="738">
        <f>AC251+AC252</f>
        <v>0</v>
      </c>
      <c r="AD250" s="543"/>
      <c r="AE250" s="2401">
        <f>AE251+AE252</f>
        <v>0</v>
      </c>
      <c r="AF250" s="4490"/>
      <c r="AG250" s="547"/>
      <c r="AH250" s="547"/>
      <c r="AI250" s="4568" t="s">
        <v>919</v>
      </c>
      <c r="AJ250" s="18"/>
    </row>
    <row r="251" spans="2:36" ht="20.100000000000001" customHeight="1">
      <c r="B251" s="4505" t="s">
        <v>2281</v>
      </c>
      <c r="C251" s="4616"/>
      <c r="D251" s="490" t="s">
        <v>920</v>
      </c>
      <c r="E251" s="491"/>
      <c r="F251" s="285" t="s">
        <v>742</v>
      </c>
      <c r="G251" s="10236"/>
      <c r="H251" s="886"/>
      <c r="I251" s="358" t="s">
        <v>921</v>
      </c>
      <c r="J251" s="735"/>
      <c r="K251" s="109" t="s">
        <v>734</v>
      </c>
      <c r="L251" s="2398">
        <v>202</v>
      </c>
      <c r="M251" s="648" t="s">
        <v>748</v>
      </c>
      <c r="N251" s="649">
        <v>84</v>
      </c>
      <c r="O251" s="648" t="s">
        <v>748</v>
      </c>
      <c r="P251" s="2303"/>
      <c r="Q251" s="2398">
        <v>1213</v>
      </c>
      <c r="R251" s="648" t="s">
        <v>801</v>
      </c>
      <c r="S251" s="649">
        <v>2070</v>
      </c>
      <c r="T251" s="648" t="s">
        <v>801</v>
      </c>
      <c r="U251" s="2303"/>
      <c r="V251" s="2398">
        <v>103</v>
      </c>
      <c r="W251" s="648" t="s">
        <v>751</v>
      </c>
      <c r="X251" s="649">
        <v>74</v>
      </c>
      <c r="Y251" s="648" t="s">
        <v>751</v>
      </c>
      <c r="Z251" s="2303">
        <v>75</v>
      </c>
      <c r="AA251" s="2302"/>
      <c r="AB251" s="543"/>
      <c r="AC251" s="542"/>
      <c r="AD251" s="543"/>
      <c r="AE251" s="2303"/>
      <c r="AF251" s="4490"/>
      <c r="AG251" s="547"/>
      <c r="AH251" s="547"/>
      <c r="AI251" s="4568" t="s">
        <v>922</v>
      </c>
      <c r="AJ251" s="18"/>
    </row>
    <row r="252" spans="2:36" ht="20.100000000000001" customHeight="1">
      <c r="B252" s="4505" t="s">
        <v>2281</v>
      </c>
      <c r="C252" s="4617"/>
      <c r="D252" s="490" t="s">
        <v>923</v>
      </c>
      <c r="E252" s="491"/>
      <c r="F252" s="285" t="s">
        <v>742</v>
      </c>
      <c r="G252" s="10236"/>
      <c r="H252" s="4512"/>
      <c r="I252" s="358" t="s">
        <v>924</v>
      </c>
      <c r="J252" s="735"/>
      <c r="K252" s="109" t="s">
        <v>734</v>
      </c>
      <c r="L252" s="2398">
        <v>235</v>
      </c>
      <c r="M252" s="648" t="s">
        <v>748</v>
      </c>
      <c r="N252" s="649">
        <v>147</v>
      </c>
      <c r="O252" s="648" t="s">
        <v>748</v>
      </c>
      <c r="P252" s="2303"/>
      <c r="Q252" s="2398">
        <v>29</v>
      </c>
      <c r="R252" s="648" t="s">
        <v>801</v>
      </c>
      <c r="S252" s="649">
        <v>10</v>
      </c>
      <c r="T252" s="648" t="s">
        <v>801</v>
      </c>
      <c r="U252" s="2303"/>
      <c r="V252" s="2398">
        <v>0</v>
      </c>
      <c r="W252" s="648" t="s">
        <v>751</v>
      </c>
      <c r="X252" s="649">
        <v>0</v>
      </c>
      <c r="Y252" s="648" t="s">
        <v>751</v>
      </c>
      <c r="Z252" s="2303">
        <v>0</v>
      </c>
      <c r="AA252" s="2302"/>
      <c r="AB252" s="543"/>
      <c r="AC252" s="542"/>
      <c r="AD252" s="543"/>
      <c r="AE252" s="2303"/>
      <c r="AF252" s="4490"/>
      <c r="AG252" s="547"/>
      <c r="AH252" s="547"/>
      <c r="AI252" s="4568" t="s">
        <v>919</v>
      </c>
      <c r="AJ252" s="18"/>
    </row>
    <row r="253" spans="2:36" ht="20.100000000000001" customHeight="1">
      <c r="B253" s="4505" t="s">
        <v>2281</v>
      </c>
      <c r="C253" s="4618" t="s">
        <v>925</v>
      </c>
      <c r="D253" s="663"/>
      <c r="E253" s="663"/>
      <c r="F253" s="4614" t="s">
        <v>168</v>
      </c>
      <c r="G253" s="10236"/>
      <c r="H253" s="728" t="s">
        <v>926</v>
      </c>
      <c r="I253" s="739"/>
      <c r="J253" s="739"/>
      <c r="K253" s="731" t="s">
        <v>168</v>
      </c>
      <c r="L253" s="2399"/>
      <c r="M253" s="671"/>
      <c r="N253" s="734"/>
      <c r="O253" s="671"/>
      <c r="P253" s="2305"/>
      <c r="Q253" s="2399"/>
      <c r="R253" s="671"/>
      <c r="S253" s="734"/>
      <c r="T253" s="671"/>
      <c r="U253" s="2305"/>
      <c r="V253" s="2399"/>
      <c r="W253" s="671"/>
      <c r="X253" s="734"/>
      <c r="Y253" s="671"/>
      <c r="Z253" s="2305"/>
      <c r="AA253" s="2304"/>
      <c r="AB253" s="661"/>
      <c r="AC253" s="659"/>
      <c r="AD253" s="661"/>
      <c r="AE253" s="2305"/>
      <c r="AF253" s="4585"/>
      <c r="AG253" s="4586"/>
      <c r="AH253" s="4586"/>
      <c r="AI253" s="4587"/>
      <c r="AJ253" s="18"/>
    </row>
    <row r="254" spans="2:36" ht="20.100000000000001" customHeight="1">
      <c r="B254" s="4505" t="s">
        <v>2281</v>
      </c>
      <c r="C254" s="4619"/>
      <c r="D254" s="490" t="s">
        <v>796</v>
      </c>
      <c r="E254" s="491"/>
      <c r="F254" s="285" t="s">
        <v>156</v>
      </c>
      <c r="G254" s="10236"/>
      <c r="H254" s="886"/>
      <c r="I254" s="490" t="s">
        <v>928</v>
      </c>
      <c r="J254" s="742"/>
      <c r="K254" s="109" t="s">
        <v>156</v>
      </c>
      <c r="L254" s="2302"/>
      <c r="M254" s="543"/>
      <c r="N254" s="542"/>
      <c r="O254" s="543"/>
      <c r="P254" s="2303"/>
      <c r="Q254" s="2302"/>
      <c r="R254" s="543"/>
      <c r="S254" s="542"/>
      <c r="T254" s="543"/>
      <c r="U254" s="2303"/>
      <c r="V254" s="2302">
        <v>71</v>
      </c>
      <c r="W254" s="543"/>
      <c r="X254" s="542">
        <v>75</v>
      </c>
      <c r="Y254" s="543"/>
      <c r="Z254" s="2303">
        <v>61</v>
      </c>
      <c r="AA254" s="2302"/>
      <c r="AB254" s="543"/>
      <c r="AC254" s="542"/>
      <c r="AD254" s="543"/>
      <c r="AE254" s="2303"/>
      <c r="AF254" s="4490"/>
      <c r="AG254" s="547"/>
      <c r="AH254" s="547"/>
      <c r="AI254" s="4568" t="s">
        <v>927</v>
      </c>
      <c r="AJ254" s="18"/>
    </row>
    <row r="255" spans="2:36" ht="20.100000000000001" customHeight="1">
      <c r="B255" s="4505" t="s">
        <v>2281</v>
      </c>
      <c r="C255" s="4620"/>
      <c r="D255" s="490" t="s">
        <v>802</v>
      </c>
      <c r="E255" s="491"/>
      <c r="F255" s="285" t="s">
        <v>156</v>
      </c>
      <c r="G255" s="10236"/>
      <c r="H255" s="4511"/>
      <c r="I255" s="490" t="s">
        <v>933</v>
      </c>
      <c r="J255" s="742"/>
      <c r="K255" s="109" t="s">
        <v>156</v>
      </c>
      <c r="L255" s="2302"/>
      <c r="M255" s="543"/>
      <c r="N255" s="542"/>
      <c r="O255" s="543"/>
      <c r="P255" s="2303"/>
      <c r="Q255" s="2302"/>
      <c r="R255" s="543"/>
      <c r="S255" s="542"/>
      <c r="T255" s="543"/>
      <c r="U255" s="2303"/>
      <c r="V255" s="2302">
        <v>29</v>
      </c>
      <c r="W255" s="543"/>
      <c r="X255" s="542">
        <v>25</v>
      </c>
      <c r="Y255" s="543"/>
      <c r="Z255" s="2303">
        <v>39</v>
      </c>
      <c r="AA255" s="2302"/>
      <c r="AB255" s="543"/>
      <c r="AC255" s="542"/>
      <c r="AD255" s="543"/>
      <c r="AE255" s="2303"/>
      <c r="AF255" s="4490"/>
      <c r="AG255" s="547"/>
      <c r="AH255" s="547"/>
      <c r="AI255" s="4568" t="s">
        <v>927</v>
      </c>
      <c r="AJ255" s="18"/>
    </row>
    <row r="256" spans="2:36" ht="20.100000000000001" customHeight="1">
      <c r="B256" s="4505" t="s">
        <v>2281</v>
      </c>
      <c r="C256" s="4620"/>
      <c r="D256" s="490" t="s">
        <v>823</v>
      </c>
      <c r="E256" s="491"/>
      <c r="F256" s="285" t="s">
        <v>156</v>
      </c>
      <c r="G256" s="10236"/>
      <c r="H256" s="4511"/>
      <c r="I256" s="490" t="s">
        <v>936</v>
      </c>
      <c r="J256" s="742"/>
      <c r="K256" s="109" t="s">
        <v>156</v>
      </c>
      <c r="L256" s="2302"/>
      <c r="M256" s="543"/>
      <c r="N256" s="542"/>
      <c r="O256" s="543"/>
      <c r="P256" s="2303"/>
      <c r="Q256" s="2302"/>
      <c r="R256" s="543"/>
      <c r="S256" s="542"/>
      <c r="T256" s="543"/>
      <c r="U256" s="2303"/>
      <c r="V256" s="2302">
        <v>47</v>
      </c>
      <c r="W256" s="543"/>
      <c r="X256" s="542">
        <v>27</v>
      </c>
      <c r="Y256" s="543"/>
      <c r="Z256" s="2303">
        <v>31</v>
      </c>
      <c r="AA256" s="2302"/>
      <c r="AB256" s="543"/>
      <c r="AC256" s="542"/>
      <c r="AD256" s="543"/>
      <c r="AE256" s="2303"/>
      <c r="AF256" s="4490"/>
      <c r="AG256" s="547"/>
      <c r="AH256" s="547"/>
      <c r="AI256" s="4568" t="s">
        <v>927</v>
      </c>
      <c r="AJ256" s="18"/>
    </row>
    <row r="257" spans="2:36" ht="20.100000000000001" customHeight="1">
      <c r="B257" s="4505" t="s">
        <v>2281</v>
      </c>
      <c r="C257" s="4620"/>
      <c r="D257" s="490" t="s">
        <v>827</v>
      </c>
      <c r="E257" s="491"/>
      <c r="F257" s="285" t="s">
        <v>156</v>
      </c>
      <c r="G257" s="10236"/>
      <c r="H257" s="4511"/>
      <c r="I257" s="490" t="s">
        <v>938</v>
      </c>
      <c r="J257" s="742"/>
      <c r="K257" s="109" t="s">
        <v>156</v>
      </c>
      <c r="L257" s="2302"/>
      <c r="M257" s="543"/>
      <c r="N257" s="542"/>
      <c r="O257" s="543"/>
      <c r="P257" s="2303"/>
      <c r="Q257" s="2302"/>
      <c r="R257" s="543"/>
      <c r="S257" s="542"/>
      <c r="T257" s="543"/>
      <c r="U257" s="2303"/>
      <c r="V257" s="2302">
        <v>53</v>
      </c>
      <c r="W257" s="543"/>
      <c r="X257" s="542">
        <v>70</v>
      </c>
      <c r="Y257" s="543"/>
      <c r="Z257" s="2303">
        <v>65</v>
      </c>
      <c r="AA257" s="2302"/>
      <c r="AB257" s="543"/>
      <c r="AC257" s="542"/>
      <c r="AD257" s="543"/>
      <c r="AE257" s="2303"/>
      <c r="AF257" s="4490"/>
      <c r="AG257" s="547"/>
      <c r="AH257" s="547"/>
      <c r="AI257" s="4568" t="s">
        <v>927</v>
      </c>
      <c r="AJ257" s="18"/>
    </row>
    <row r="258" spans="2:36" ht="20.100000000000001" customHeight="1">
      <c r="B258" s="4505" t="s">
        <v>2281</v>
      </c>
      <c r="C258" s="4621"/>
      <c r="D258" s="490" t="s">
        <v>830</v>
      </c>
      <c r="E258" s="491"/>
      <c r="F258" s="285" t="s">
        <v>156</v>
      </c>
      <c r="G258" s="10236"/>
      <c r="H258" s="4512"/>
      <c r="I258" s="490" t="s">
        <v>940</v>
      </c>
      <c r="J258" s="742"/>
      <c r="K258" s="109" t="s">
        <v>156</v>
      </c>
      <c r="L258" s="2302"/>
      <c r="M258" s="543"/>
      <c r="N258" s="542"/>
      <c r="O258" s="543"/>
      <c r="P258" s="2303"/>
      <c r="Q258" s="2302"/>
      <c r="R258" s="543"/>
      <c r="S258" s="542"/>
      <c r="T258" s="543"/>
      <c r="U258" s="2303"/>
      <c r="V258" s="2302">
        <v>0</v>
      </c>
      <c r="W258" s="543"/>
      <c r="X258" s="542">
        <v>3</v>
      </c>
      <c r="Y258" s="543"/>
      <c r="Z258" s="2303">
        <v>4</v>
      </c>
      <c r="AA258" s="2302"/>
      <c r="AB258" s="543"/>
      <c r="AC258" s="542"/>
      <c r="AD258" s="543"/>
      <c r="AE258" s="2303"/>
      <c r="AF258" s="4490"/>
      <c r="AG258" s="547"/>
      <c r="AH258" s="547"/>
      <c r="AI258" s="4568" t="s">
        <v>927</v>
      </c>
      <c r="AJ258" s="18"/>
    </row>
    <row r="259" spans="2:36" ht="20.100000000000001" customHeight="1">
      <c r="B259" s="4505" t="s">
        <v>2281</v>
      </c>
      <c r="C259" s="4618" t="s">
        <v>943</v>
      </c>
      <c r="D259" s="663"/>
      <c r="E259" s="663"/>
      <c r="F259" s="4614" t="s">
        <v>168</v>
      </c>
      <c r="G259" s="10236"/>
      <c r="H259" s="728" t="s">
        <v>944</v>
      </c>
      <c r="I259" s="744"/>
      <c r="J259" s="739"/>
      <c r="K259" s="731" t="s">
        <v>168</v>
      </c>
      <c r="L259" s="2275"/>
      <c r="M259" s="413"/>
      <c r="N259" s="320"/>
      <c r="O259" s="413"/>
      <c r="P259" s="2276"/>
      <c r="Q259" s="2275"/>
      <c r="R259" s="413"/>
      <c r="S259" s="320"/>
      <c r="T259" s="413"/>
      <c r="U259" s="2276"/>
      <c r="V259" s="2275"/>
      <c r="W259" s="413"/>
      <c r="X259" s="320"/>
      <c r="Y259" s="413"/>
      <c r="Z259" s="2276"/>
      <c r="AA259" s="2275"/>
      <c r="AB259" s="413"/>
      <c r="AC259" s="320"/>
      <c r="AD259" s="413"/>
      <c r="AE259" s="2276"/>
      <c r="AF259" s="4585"/>
      <c r="AG259" s="4586"/>
      <c r="AH259" s="4586"/>
      <c r="AI259" s="4587"/>
      <c r="AJ259" s="18"/>
    </row>
    <row r="260" spans="2:36" ht="20.100000000000001" customHeight="1">
      <c r="B260" s="4505" t="s">
        <v>2281</v>
      </c>
      <c r="C260" s="4619"/>
      <c r="D260" s="490" t="s">
        <v>796</v>
      </c>
      <c r="E260" s="491"/>
      <c r="F260" s="285" t="s">
        <v>156</v>
      </c>
      <c r="G260" s="10236"/>
      <c r="H260" s="886"/>
      <c r="I260" s="490" t="s">
        <v>928</v>
      </c>
      <c r="J260" s="742"/>
      <c r="K260" s="109" t="s">
        <v>156</v>
      </c>
      <c r="L260" s="2186"/>
      <c r="M260" s="293"/>
      <c r="N260" s="100"/>
      <c r="O260" s="293"/>
      <c r="P260" s="2187"/>
      <c r="Q260" s="2186"/>
      <c r="R260" s="293"/>
      <c r="S260" s="100"/>
      <c r="T260" s="293"/>
      <c r="U260" s="2187"/>
      <c r="V260" s="2186">
        <v>0</v>
      </c>
      <c r="W260" s="293"/>
      <c r="X260" s="2186">
        <v>0</v>
      </c>
      <c r="Y260" s="293"/>
      <c r="Z260" s="2186">
        <v>0</v>
      </c>
      <c r="AA260" s="2186"/>
      <c r="AB260" s="293"/>
      <c r="AC260" s="100"/>
      <c r="AD260" s="293"/>
      <c r="AE260" s="2187"/>
      <c r="AF260" s="4490"/>
      <c r="AG260" s="547"/>
      <c r="AH260" s="547"/>
      <c r="AI260" s="4568" t="s">
        <v>919</v>
      </c>
      <c r="AJ260" s="18"/>
    </row>
    <row r="261" spans="2:36" ht="20.100000000000001" customHeight="1">
      <c r="B261" s="4505" t="s">
        <v>2281</v>
      </c>
      <c r="C261" s="4620"/>
      <c r="D261" s="490" t="s">
        <v>802</v>
      </c>
      <c r="E261" s="491"/>
      <c r="F261" s="285" t="s">
        <v>156</v>
      </c>
      <c r="G261" s="10236"/>
      <c r="H261" s="4511"/>
      <c r="I261" s="490" t="s">
        <v>933</v>
      </c>
      <c r="J261" s="742"/>
      <c r="K261" s="109" t="s">
        <v>156</v>
      </c>
      <c r="L261" s="2186"/>
      <c r="M261" s="293"/>
      <c r="N261" s="100"/>
      <c r="O261" s="293"/>
      <c r="P261" s="2187"/>
      <c r="Q261" s="2186"/>
      <c r="R261" s="293"/>
      <c r="S261" s="100"/>
      <c r="T261" s="293"/>
      <c r="U261" s="2187"/>
      <c r="V261" s="2186">
        <v>0</v>
      </c>
      <c r="W261" s="293"/>
      <c r="X261" s="2186">
        <v>0</v>
      </c>
      <c r="Y261" s="293"/>
      <c r="Z261" s="2186">
        <v>0</v>
      </c>
      <c r="AA261" s="2186"/>
      <c r="AB261" s="293"/>
      <c r="AC261" s="100"/>
      <c r="AD261" s="293"/>
      <c r="AE261" s="2187"/>
      <c r="AF261" s="4490"/>
      <c r="AG261" s="547"/>
      <c r="AH261" s="547"/>
      <c r="AI261" s="4568" t="s">
        <v>919</v>
      </c>
      <c r="AJ261" s="18"/>
    </row>
    <row r="262" spans="2:36" ht="20.100000000000001" customHeight="1">
      <c r="B262" s="4505" t="s">
        <v>2281</v>
      </c>
      <c r="C262" s="4620"/>
      <c r="D262" s="490" t="s">
        <v>823</v>
      </c>
      <c r="E262" s="491"/>
      <c r="F262" s="285" t="s">
        <v>156</v>
      </c>
      <c r="G262" s="10236"/>
      <c r="H262" s="4511"/>
      <c r="I262" s="490" t="s">
        <v>936</v>
      </c>
      <c r="J262" s="742"/>
      <c r="K262" s="109" t="s">
        <v>156</v>
      </c>
      <c r="L262" s="2186"/>
      <c r="M262" s="293"/>
      <c r="N262" s="100"/>
      <c r="O262" s="293"/>
      <c r="P262" s="2187"/>
      <c r="Q262" s="2186"/>
      <c r="R262" s="293"/>
      <c r="S262" s="100"/>
      <c r="T262" s="293"/>
      <c r="U262" s="2187"/>
      <c r="V262" s="2186">
        <v>0</v>
      </c>
      <c r="W262" s="293"/>
      <c r="X262" s="2186">
        <v>0</v>
      </c>
      <c r="Y262" s="293"/>
      <c r="Z262" s="2186">
        <v>0</v>
      </c>
      <c r="AA262" s="2186"/>
      <c r="AB262" s="293"/>
      <c r="AC262" s="100"/>
      <c r="AD262" s="293"/>
      <c r="AE262" s="2187"/>
      <c r="AF262" s="4490"/>
      <c r="AG262" s="547"/>
      <c r="AH262" s="547"/>
      <c r="AI262" s="4568" t="s">
        <v>919</v>
      </c>
      <c r="AJ262" s="18"/>
    </row>
    <row r="263" spans="2:36" ht="20.100000000000001" customHeight="1">
      <c r="B263" s="4505" t="s">
        <v>2281</v>
      </c>
      <c r="C263" s="4622"/>
      <c r="D263" s="726" t="s">
        <v>827</v>
      </c>
      <c r="E263" s="721"/>
      <c r="F263" s="105" t="s">
        <v>156</v>
      </c>
      <c r="G263" s="10236"/>
      <c r="H263" s="4511"/>
      <c r="I263" s="726" t="s">
        <v>938</v>
      </c>
      <c r="J263" s="742"/>
      <c r="K263" s="109" t="s">
        <v>156</v>
      </c>
      <c r="L263" s="2186"/>
      <c r="M263" s="293"/>
      <c r="N263" s="100"/>
      <c r="O263" s="293"/>
      <c r="P263" s="2187"/>
      <c r="Q263" s="2186"/>
      <c r="R263" s="293"/>
      <c r="S263" s="100"/>
      <c r="T263" s="293"/>
      <c r="U263" s="2187"/>
      <c r="V263" s="2186">
        <v>0</v>
      </c>
      <c r="W263" s="293"/>
      <c r="X263" s="2186">
        <v>0</v>
      </c>
      <c r="Y263" s="293"/>
      <c r="Z263" s="2186">
        <v>0</v>
      </c>
      <c r="AA263" s="2186"/>
      <c r="AB263" s="293"/>
      <c r="AC263" s="100"/>
      <c r="AD263" s="293"/>
      <c r="AE263" s="2187"/>
      <c r="AF263" s="4490"/>
      <c r="AG263" s="547"/>
      <c r="AH263" s="547"/>
      <c r="AI263" s="4568" t="s">
        <v>919</v>
      </c>
      <c r="AJ263" s="18"/>
    </row>
    <row r="264" spans="2:36" ht="20.100000000000001" customHeight="1" thickBot="1">
      <c r="B264" s="4505" t="s">
        <v>2281</v>
      </c>
      <c r="C264" s="4623"/>
      <c r="D264" s="726" t="s">
        <v>830</v>
      </c>
      <c r="E264" s="721"/>
      <c r="F264" s="706" t="s">
        <v>156</v>
      </c>
      <c r="G264" s="10237"/>
      <c r="H264" s="4624"/>
      <c r="I264" s="747" t="s">
        <v>940</v>
      </c>
      <c r="J264" s="748"/>
      <c r="K264" s="711" t="s">
        <v>156</v>
      </c>
      <c r="L264" s="2244"/>
      <c r="M264" s="594"/>
      <c r="N264" s="593"/>
      <c r="O264" s="594"/>
      <c r="P264" s="2245"/>
      <c r="Q264" s="2244"/>
      <c r="R264" s="594"/>
      <c r="S264" s="593"/>
      <c r="T264" s="594"/>
      <c r="U264" s="2245"/>
      <c r="V264" s="2186">
        <v>0</v>
      </c>
      <c r="W264" s="594"/>
      <c r="X264" s="2186">
        <v>0</v>
      </c>
      <c r="Y264" s="594"/>
      <c r="Z264" s="2186">
        <v>0</v>
      </c>
      <c r="AA264" s="2244"/>
      <c r="AB264" s="594"/>
      <c r="AC264" s="593"/>
      <c r="AD264" s="594"/>
      <c r="AE264" s="2245"/>
      <c r="AF264" s="4625"/>
      <c r="AG264" s="547"/>
      <c r="AH264" s="597"/>
      <c r="AI264" s="4568" t="s">
        <v>919</v>
      </c>
      <c r="AJ264" s="18"/>
    </row>
    <row r="265" spans="2:36" ht="27" thickBot="1">
      <c r="B265" s="4505" t="s">
        <v>2281</v>
      </c>
      <c r="C265" s="123" t="s">
        <v>952</v>
      </c>
      <c r="D265" s="124"/>
      <c r="E265" s="124"/>
      <c r="F265" s="78"/>
      <c r="G265" s="125" t="s">
        <v>953</v>
      </c>
      <c r="H265" s="126"/>
      <c r="I265" s="521"/>
      <c r="J265" s="521"/>
      <c r="K265" s="78"/>
      <c r="L265" s="2175"/>
      <c r="M265" s="148"/>
      <c r="N265" s="148"/>
      <c r="O265" s="148"/>
      <c r="P265" s="2176"/>
      <c r="Q265" s="2175"/>
      <c r="R265" s="148"/>
      <c r="S265" s="148"/>
      <c r="T265" s="148"/>
      <c r="U265" s="2176"/>
      <c r="V265" s="2175"/>
      <c r="W265" s="148"/>
      <c r="X265" s="148"/>
      <c r="Y265" s="148"/>
      <c r="Z265" s="2176"/>
      <c r="AA265" s="2175"/>
      <c r="AB265" s="148"/>
      <c r="AC265" s="148"/>
      <c r="AD265" s="148"/>
      <c r="AE265" s="2176"/>
      <c r="AF265" s="4493"/>
      <c r="AG265" s="80"/>
      <c r="AH265" s="80"/>
      <c r="AI265" s="4626"/>
      <c r="AJ265" s="18"/>
    </row>
    <row r="266" spans="2:36" ht="20.100000000000001" hidden="1" customHeight="1" thickBot="1">
      <c r="B266" s="4505" t="s">
        <v>2281</v>
      </c>
      <c r="C266" s="4627" t="s">
        <v>954</v>
      </c>
      <c r="D266" s="753"/>
      <c r="E266" s="754"/>
      <c r="F266" s="755" t="s">
        <v>557</v>
      </c>
      <c r="G266" s="756"/>
      <c r="H266" s="757" t="s">
        <v>955</v>
      </c>
      <c r="I266" s="757"/>
      <c r="J266" s="788"/>
      <c r="K266" s="758" t="s">
        <v>559</v>
      </c>
      <c r="L266" s="2402">
        <v>0</v>
      </c>
      <c r="M266" s="764">
        <v>0</v>
      </c>
      <c r="N266" s="765">
        <v>0</v>
      </c>
      <c r="O266" s="764">
        <v>0</v>
      </c>
      <c r="P266" s="2403"/>
      <c r="Q266" s="2402">
        <v>0</v>
      </c>
      <c r="R266" s="764">
        <v>0</v>
      </c>
      <c r="S266" s="765">
        <v>0</v>
      </c>
      <c r="T266" s="764">
        <v>0</v>
      </c>
      <c r="U266" s="2403"/>
      <c r="V266" s="2402">
        <v>0</v>
      </c>
      <c r="W266" s="764">
        <v>0</v>
      </c>
      <c r="X266" s="765">
        <v>0</v>
      </c>
      <c r="Y266" s="764">
        <v>0</v>
      </c>
      <c r="Z266" s="2403"/>
      <c r="AA266" s="2498"/>
      <c r="AB266" s="764"/>
      <c r="AC266" s="766"/>
      <c r="AD266" s="764"/>
      <c r="AE266" s="2403"/>
      <c r="AF266" s="4578"/>
      <c r="AG266" s="534"/>
      <c r="AH266" s="767"/>
      <c r="AI266" s="4628" t="s">
        <v>958</v>
      </c>
      <c r="AJ266" s="18"/>
    </row>
    <row r="267" spans="2:36" ht="20.100000000000001" hidden="1" customHeight="1">
      <c r="B267" s="4505" t="s">
        <v>2281</v>
      </c>
      <c r="C267" s="4627" t="s">
        <v>961</v>
      </c>
      <c r="D267" s="753"/>
      <c r="E267" s="754"/>
      <c r="F267" s="285" t="s">
        <v>557</v>
      </c>
      <c r="G267" s="771"/>
      <c r="H267" s="757" t="s">
        <v>962</v>
      </c>
      <c r="I267" s="757"/>
      <c r="J267" s="788"/>
      <c r="K267" s="162" t="s">
        <v>559</v>
      </c>
      <c r="L267" s="2404">
        <v>0</v>
      </c>
      <c r="M267" s="484">
        <v>0</v>
      </c>
      <c r="N267" s="702">
        <v>0</v>
      </c>
      <c r="O267" s="484">
        <v>0</v>
      </c>
      <c r="P267" s="2187"/>
      <c r="Q267" s="2404">
        <v>0</v>
      </c>
      <c r="R267" s="484">
        <v>0</v>
      </c>
      <c r="S267" s="702">
        <v>0</v>
      </c>
      <c r="T267" s="484">
        <v>0</v>
      </c>
      <c r="U267" s="2187"/>
      <c r="V267" s="2404">
        <v>0</v>
      </c>
      <c r="W267" s="484">
        <v>0</v>
      </c>
      <c r="X267" s="702">
        <v>0</v>
      </c>
      <c r="Y267" s="484">
        <v>0</v>
      </c>
      <c r="Z267" s="2187"/>
      <c r="AA267" s="2186"/>
      <c r="AB267" s="484"/>
      <c r="AC267" s="100"/>
      <c r="AD267" s="484"/>
      <c r="AE267" s="2187"/>
      <c r="AF267" s="4490"/>
      <c r="AG267" s="547"/>
      <c r="AH267" s="773"/>
      <c r="AI267" s="4629" t="s">
        <v>965</v>
      </c>
      <c r="AJ267" s="18"/>
    </row>
    <row r="268" spans="2:36" ht="20.100000000000001" customHeight="1">
      <c r="B268" s="4509" t="s">
        <v>2281</v>
      </c>
      <c r="C268" s="4627" t="s">
        <v>967</v>
      </c>
      <c r="D268" s="753"/>
      <c r="E268" s="754"/>
      <c r="F268" s="285" t="s">
        <v>168</v>
      </c>
      <c r="G268" s="777"/>
      <c r="H268" s="757" t="s">
        <v>968</v>
      </c>
      <c r="I268" s="757"/>
      <c r="J268" s="788"/>
      <c r="K268" s="778" t="s">
        <v>168</v>
      </c>
      <c r="L268" s="2404"/>
      <c r="M268" s="484"/>
      <c r="N268" s="702"/>
      <c r="O268" s="484"/>
      <c r="P268" s="2187"/>
      <c r="Q268" s="2404"/>
      <c r="R268" s="484"/>
      <c r="S268" s="702"/>
      <c r="T268" s="484"/>
      <c r="U268" s="2187"/>
      <c r="V268" s="2404"/>
      <c r="W268" s="484"/>
      <c r="X268" s="702"/>
      <c r="Y268" s="484"/>
      <c r="Z268" s="2187"/>
      <c r="AA268" s="2186"/>
      <c r="AB268" s="484"/>
      <c r="AC268" s="100"/>
      <c r="AD268" s="484"/>
      <c r="AE268" s="2187"/>
      <c r="AF268" s="4490"/>
      <c r="AG268" s="547"/>
      <c r="AH268" s="773"/>
      <c r="AI268" s="4630" t="s">
        <v>971</v>
      </c>
      <c r="AJ268" s="18"/>
    </row>
    <row r="269" spans="2:36" ht="20.100000000000001" hidden="1" customHeight="1">
      <c r="B269" s="4505" t="s">
        <v>2281</v>
      </c>
      <c r="C269" s="1878" t="s">
        <v>972</v>
      </c>
      <c r="D269" s="781"/>
      <c r="E269" s="781"/>
      <c r="F269" s="285" t="s">
        <v>156</v>
      </c>
      <c r="G269" s="777"/>
      <c r="H269" s="757" t="s">
        <v>973</v>
      </c>
      <c r="I269" s="757"/>
      <c r="J269" s="788"/>
      <c r="K269" s="782" t="s">
        <v>156</v>
      </c>
      <c r="L269" s="2405" t="str">
        <f t="shared" ref="L269" si="16">IFERROR(L270/L271*100,"-")</f>
        <v>-</v>
      </c>
      <c r="M269" s="652"/>
      <c r="N269" s="783" t="str">
        <f>IFERROR(N270/N271*100,"-")</f>
        <v>-</v>
      </c>
      <c r="O269" s="652"/>
      <c r="P269" s="2406" t="str">
        <f>IFERROR(P270/P271*100,"-")</f>
        <v>-</v>
      </c>
      <c r="Q269" s="2405">
        <f>IFERROR(Q270/Q271*100,"-")</f>
        <v>100</v>
      </c>
      <c r="R269" s="652"/>
      <c r="S269" s="783">
        <f>IFERROR(S270/S271*100,"-")</f>
        <v>26.343154246100518</v>
      </c>
      <c r="T269" s="652"/>
      <c r="U269" s="2406" t="str">
        <f>IFERROR(U270/U271*100,"-")</f>
        <v>-</v>
      </c>
      <c r="V269" s="2405">
        <f>IFERROR(V270/V271*100,"-")</f>
        <v>100</v>
      </c>
      <c r="W269" s="652"/>
      <c r="X269" s="783">
        <f>IFERROR(X270/X271*100,"-")</f>
        <v>0</v>
      </c>
      <c r="Y269" s="652"/>
      <c r="Z269" s="2406" t="str">
        <f>IFERROR(Z270/Z271*100,"-")</f>
        <v>-</v>
      </c>
      <c r="AA269" s="2405" t="str">
        <f>IFERROR(AA270/AA271*100,"-")</f>
        <v>-</v>
      </c>
      <c r="AB269" s="652"/>
      <c r="AC269" s="783" t="str">
        <f>IFERROR(AC270/AC271*100,"-")</f>
        <v>-</v>
      </c>
      <c r="AD269" s="652"/>
      <c r="AE269" s="2406" t="str">
        <f>IFERROR(AE270/AE271*100,"-")</f>
        <v>-</v>
      </c>
      <c r="AF269" s="4490"/>
      <c r="AG269" s="547"/>
      <c r="AH269" s="773"/>
      <c r="AI269" s="4631" t="s">
        <v>976</v>
      </c>
      <c r="AJ269" s="18"/>
    </row>
    <row r="270" spans="2:36" ht="20.100000000000001" hidden="1" customHeight="1">
      <c r="B270" s="4505" t="s">
        <v>2281</v>
      </c>
      <c r="C270" s="4632"/>
      <c r="D270" s="787" t="s">
        <v>978</v>
      </c>
      <c r="E270" s="781"/>
      <c r="F270" s="285" t="s">
        <v>742</v>
      </c>
      <c r="G270" s="771"/>
      <c r="H270" s="905"/>
      <c r="I270" s="788" t="s">
        <v>979</v>
      </c>
      <c r="J270" s="788"/>
      <c r="K270" s="782" t="s">
        <v>734</v>
      </c>
      <c r="L270" s="2398">
        <v>0</v>
      </c>
      <c r="M270" s="652">
        <v>0</v>
      </c>
      <c r="N270" s="649">
        <v>0</v>
      </c>
      <c r="O270" s="652">
        <v>0</v>
      </c>
      <c r="P270" s="2303"/>
      <c r="Q270" s="2398">
        <v>564</v>
      </c>
      <c r="R270" s="737" t="s">
        <v>2422</v>
      </c>
      <c r="S270" s="649">
        <v>152</v>
      </c>
      <c r="T270" s="737" t="s">
        <v>2423</v>
      </c>
      <c r="U270" s="2303"/>
      <c r="V270" s="2398">
        <v>379</v>
      </c>
      <c r="W270" s="792" t="s">
        <v>2424</v>
      </c>
      <c r="X270" s="649">
        <v>0</v>
      </c>
      <c r="Y270" s="737" t="s">
        <v>2425</v>
      </c>
      <c r="Z270" s="2303"/>
      <c r="AA270" s="2302"/>
      <c r="AB270" s="652"/>
      <c r="AC270" s="542"/>
      <c r="AD270" s="652"/>
      <c r="AE270" s="2303"/>
      <c r="AF270" s="4490"/>
      <c r="AG270" s="547"/>
      <c r="AH270" s="773"/>
      <c r="AI270" s="4633" t="s">
        <v>976</v>
      </c>
      <c r="AJ270" s="18"/>
    </row>
    <row r="271" spans="2:36" ht="20.100000000000001" hidden="1" customHeight="1">
      <c r="B271" s="4505" t="s">
        <v>2281</v>
      </c>
      <c r="C271" s="4634"/>
      <c r="D271" s="787" t="s">
        <v>984</v>
      </c>
      <c r="E271" s="781"/>
      <c r="F271" s="285" t="s">
        <v>742</v>
      </c>
      <c r="G271" s="771"/>
      <c r="H271" s="912"/>
      <c r="I271" s="788" t="s">
        <v>985</v>
      </c>
      <c r="J271" s="788"/>
      <c r="K271" s="782" t="s">
        <v>734</v>
      </c>
      <c r="L271" s="2398">
        <v>0</v>
      </c>
      <c r="M271" s="652">
        <v>0</v>
      </c>
      <c r="N271" s="649">
        <v>0</v>
      </c>
      <c r="O271" s="652">
        <v>0</v>
      </c>
      <c r="P271" s="2303"/>
      <c r="Q271" s="2398">
        <v>564</v>
      </c>
      <c r="R271" s="652">
        <v>0</v>
      </c>
      <c r="S271" s="649">
        <v>577</v>
      </c>
      <c r="T271" s="652">
        <v>0</v>
      </c>
      <c r="U271" s="2303"/>
      <c r="V271" s="2398">
        <v>379</v>
      </c>
      <c r="W271" s="652">
        <v>0</v>
      </c>
      <c r="X271" s="649">
        <v>391</v>
      </c>
      <c r="Y271" s="652">
        <v>0</v>
      </c>
      <c r="Z271" s="2303"/>
      <c r="AA271" s="2302"/>
      <c r="AB271" s="652"/>
      <c r="AC271" s="542"/>
      <c r="AD271" s="652"/>
      <c r="AE271" s="2303"/>
      <c r="AF271" s="4490"/>
      <c r="AG271" s="547"/>
      <c r="AH271" s="773"/>
      <c r="AI271" s="4633" t="s">
        <v>976</v>
      </c>
      <c r="AJ271" s="18"/>
    </row>
    <row r="272" spans="2:36" ht="20.100000000000001" hidden="1" customHeight="1">
      <c r="B272" s="4505" t="s">
        <v>2281</v>
      </c>
      <c r="C272" s="1878" t="s">
        <v>988</v>
      </c>
      <c r="D272" s="781"/>
      <c r="E272" s="781"/>
      <c r="F272" s="285" t="s">
        <v>156</v>
      </c>
      <c r="G272" s="386"/>
      <c r="H272" s="140" t="s">
        <v>989</v>
      </c>
      <c r="I272" s="140"/>
      <c r="J272" s="177"/>
      <c r="K272" s="782" t="s">
        <v>156</v>
      </c>
      <c r="L272" s="2265" t="str">
        <f t="shared" ref="L272" si="17">IFERROR(L273/L274*100,"-")</f>
        <v>-</v>
      </c>
      <c r="M272" s="484"/>
      <c r="N272" s="785" t="str">
        <f>IFERROR(N273/N274*100,"-")</f>
        <v>-</v>
      </c>
      <c r="O272" s="484"/>
      <c r="P272" s="2266" t="str">
        <f>IFERROR(P273/P274*100,"-")</f>
        <v>-</v>
      </c>
      <c r="Q272" s="2265">
        <f>IFERROR(Q273/Q274*100,"-")</f>
        <v>0</v>
      </c>
      <c r="R272" s="484"/>
      <c r="S272" s="785">
        <f>IFERROR(S273/S274*100,"-")</f>
        <v>0</v>
      </c>
      <c r="T272" s="484"/>
      <c r="U272" s="2266" t="str">
        <f>IFERROR(U273/U274*100,"-")</f>
        <v>-</v>
      </c>
      <c r="V272" s="2265">
        <f>IFERROR(V273/V274*100,"-")</f>
        <v>0</v>
      </c>
      <c r="W272" s="484"/>
      <c r="X272" s="785">
        <f>IFERROR(X273/X274*100,"-")</f>
        <v>0</v>
      </c>
      <c r="Y272" s="484"/>
      <c r="Z272" s="2266" t="str">
        <f>IFERROR(Z273/Z274*100,"-")</f>
        <v>-</v>
      </c>
      <c r="AA272" s="2265" t="str">
        <f>IFERROR(AA273/AA274*100,"-")</f>
        <v>-</v>
      </c>
      <c r="AB272" s="484"/>
      <c r="AC272" s="785" t="str">
        <f>IFERROR(AC273/AC274*100,"-")</f>
        <v>-</v>
      </c>
      <c r="AD272" s="484"/>
      <c r="AE272" s="2266" t="str">
        <f>IFERROR(AE273/AE274*100,"-")</f>
        <v>-</v>
      </c>
      <c r="AF272" s="4490"/>
      <c r="AG272" s="547"/>
      <c r="AH272" s="773"/>
      <c r="AI272" s="4633" t="s">
        <v>992</v>
      </c>
      <c r="AJ272" s="18"/>
    </row>
    <row r="273" spans="2:36" ht="20.100000000000001" hidden="1" customHeight="1">
      <c r="B273" s="4505" t="s">
        <v>2281</v>
      </c>
      <c r="C273" s="4619"/>
      <c r="D273" s="787" t="s">
        <v>994</v>
      </c>
      <c r="E273" s="781"/>
      <c r="F273" s="285" t="s">
        <v>742</v>
      </c>
      <c r="G273" s="201"/>
      <c r="H273" s="574"/>
      <c r="I273" s="576" t="s">
        <v>995</v>
      </c>
      <c r="J273" s="576"/>
      <c r="K273" s="782" t="s">
        <v>734</v>
      </c>
      <c r="L273" s="2398">
        <v>0</v>
      </c>
      <c r="M273" s="652">
        <v>0</v>
      </c>
      <c r="N273" s="649">
        <v>0</v>
      </c>
      <c r="O273" s="652">
        <v>0</v>
      </c>
      <c r="P273" s="2303"/>
      <c r="Q273" s="2398">
        <v>0</v>
      </c>
      <c r="R273" s="652">
        <v>0</v>
      </c>
      <c r="S273" s="649">
        <v>0</v>
      </c>
      <c r="T273" s="652">
        <v>0</v>
      </c>
      <c r="U273" s="2303"/>
      <c r="V273" s="2398">
        <v>0</v>
      </c>
      <c r="W273" s="737" t="s">
        <v>2429</v>
      </c>
      <c r="X273" s="649">
        <v>0</v>
      </c>
      <c r="Y273" s="737" t="s">
        <v>2429</v>
      </c>
      <c r="Z273" s="2303"/>
      <c r="AA273" s="2302"/>
      <c r="AB273" s="652"/>
      <c r="AC273" s="542"/>
      <c r="AD273" s="652"/>
      <c r="AE273" s="2303"/>
      <c r="AF273" s="4490"/>
      <c r="AG273" s="547"/>
      <c r="AH273" s="1102"/>
      <c r="AI273" s="4633" t="s">
        <v>992</v>
      </c>
      <c r="AJ273" s="18"/>
    </row>
    <row r="274" spans="2:36" ht="20.100000000000001" hidden="1" customHeight="1">
      <c r="B274" s="4505" t="s">
        <v>2281</v>
      </c>
      <c r="C274" s="4621"/>
      <c r="D274" s="781" t="s">
        <v>999</v>
      </c>
      <c r="E274" s="793"/>
      <c r="F274" s="285" t="s">
        <v>742</v>
      </c>
      <c r="G274" s="201"/>
      <c r="H274" s="577"/>
      <c r="I274" s="576" t="s">
        <v>1830</v>
      </c>
      <c r="J274" s="576"/>
      <c r="K274" s="782" t="s">
        <v>734</v>
      </c>
      <c r="L274" s="2398">
        <v>0</v>
      </c>
      <c r="M274" s="652">
        <v>0</v>
      </c>
      <c r="N274" s="649">
        <v>0</v>
      </c>
      <c r="O274" s="652">
        <v>0</v>
      </c>
      <c r="P274" s="2303"/>
      <c r="Q274" s="2398">
        <v>564</v>
      </c>
      <c r="R274" s="652">
        <v>0</v>
      </c>
      <c r="S274" s="649">
        <v>577</v>
      </c>
      <c r="T274" s="652">
        <v>0</v>
      </c>
      <c r="U274" s="2303"/>
      <c r="V274" s="2398">
        <v>379</v>
      </c>
      <c r="W274" s="737">
        <v>0</v>
      </c>
      <c r="X274" s="649">
        <v>391</v>
      </c>
      <c r="Y274" s="737">
        <v>0</v>
      </c>
      <c r="Z274" s="2303"/>
      <c r="AA274" s="2302"/>
      <c r="AB274" s="652"/>
      <c r="AC274" s="542"/>
      <c r="AD274" s="652"/>
      <c r="AE274" s="2303"/>
      <c r="AF274" s="4490"/>
      <c r="AG274" s="4635"/>
      <c r="AH274" s="547"/>
      <c r="AI274" s="4633" t="s">
        <v>992</v>
      </c>
      <c r="AJ274" s="18"/>
    </row>
    <row r="275" spans="2:36" ht="20.100000000000001" hidden="1" customHeight="1">
      <c r="B275" s="4636" t="s">
        <v>2281</v>
      </c>
      <c r="C275" s="4637" t="s">
        <v>1000</v>
      </c>
      <c r="D275" s="107"/>
      <c r="E275" s="107"/>
      <c r="F275" s="285" t="s">
        <v>156</v>
      </c>
      <c r="G275" s="10238" t="s">
        <v>3494</v>
      </c>
      <c r="H275" s="576" t="s">
        <v>1001</v>
      </c>
      <c r="I275" s="576"/>
      <c r="J275" s="797"/>
      <c r="K275" s="91" t="s">
        <v>156</v>
      </c>
      <c r="L275" s="4638"/>
      <c r="M275" s="4639"/>
      <c r="N275" s="4640"/>
      <c r="O275" s="4639"/>
      <c r="P275" s="4641"/>
      <c r="Q275" s="2457">
        <v>12.23404255319149</v>
      </c>
      <c r="R275" s="804"/>
      <c r="S275" s="806">
        <v>15.771230502599654</v>
      </c>
      <c r="T275" s="804"/>
      <c r="U275" s="2301"/>
      <c r="V275" s="4638"/>
      <c r="W275" s="4639"/>
      <c r="X275" s="4640"/>
      <c r="Y275" s="4639"/>
      <c r="Z275" s="4641"/>
      <c r="AA275" s="4638"/>
      <c r="AB275" s="4639"/>
      <c r="AC275" s="4640"/>
      <c r="AD275" s="4639"/>
      <c r="AE275" s="4641"/>
      <c r="AF275" s="4589"/>
      <c r="AG275" s="547"/>
      <c r="AH275" s="4642"/>
      <c r="AI275" s="4633" t="s">
        <v>1003</v>
      </c>
      <c r="AJ275" s="18"/>
    </row>
    <row r="276" spans="2:36" ht="20.100000000000001" hidden="1" customHeight="1">
      <c r="B276" s="4636" t="s">
        <v>2281</v>
      </c>
      <c r="C276" s="1758" t="s">
        <v>1006</v>
      </c>
      <c r="D276" s="104"/>
      <c r="E276" s="104"/>
      <c r="F276" s="809" t="s">
        <v>742</v>
      </c>
      <c r="G276" s="10239"/>
      <c r="H276" s="143" t="s">
        <v>1007</v>
      </c>
      <c r="I276" s="143"/>
      <c r="K276" s="810" t="s">
        <v>734</v>
      </c>
      <c r="L276" s="4643"/>
      <c r="M276" s="4644"/>
      <c r="N276" s="4645"/>
      <c r="O276" s="4644"/>
      <c r="P276" s="4646"/>
      <c r="Q276" s="2398">
        <v>69</v>
      </c>
      <c r="R276" s="543"/>
      <c r="S276" s="649">
        <v>91</v>
      </c>
      <c r="T276" s="543"/>
      <c r="U276" s="2303"/>
      <c r="V276" s="4643"/>
      <c r="W276" s="4644"/>
      <c r="X276" s="4645"/>
      <c r="Y276" s="4644"/>
      <c r="Z276" s="4646"/>
      <c r="AA276" s="4643"/>
      <c r="AB276" s="4644"/>
      <c r="AC276" s="4645"/>
      <c r="AD276" s="4644"/>
      <c r="AE276" s="4646"/>
      <c r="AF276" s="4490"/>
      <c r="AG276" s="547"/>
      <c r="AH276" s="4647"/>
      <c r="AI276" s="4633" t="s">
        <v>1003</v>
      </c>
      <c r="AJ276" s="18"/>
    </row>
    <row r="277" spans="2:36" ht="20.100000000000001" customHeight="1" thickBot="1">
      <c r="B277" s="4505" t="s">
        <v>2281</v>
      </c>
      <c r="C277" s="4648" t="s">
        <v>1010</v>
      </c>
      <c r="D277" s="120"/>
      <c r="E277" s="120"/>
      <c r="F277" s="811" t="s">
        <v>1011</v>
      </c>
      <c r="G277" s="812"/>
      <c r="H277" s="813" t="s">
        <v>1012</v>
      </c>
      <c r="I277" s="813"/>
      <c r="J277" s="576"/>
      <c r="K277" s="815" t="s">
        <v>1013</v>
      </c>
      <c r="L277" s="2408"/>
      <c r="M277" s="823"/>
      <c r="N277" s="822"/>
      <c r="O277" s="823"/>
      <c r="P277" s="2307"/>
      <c r="Q277" s="2408"/>
      <c r="R277" s="823"/>
      <c r="S277" s="822"/>
      <c r="T277" s="823"/>
      <c r="U277" s="2307"/>
      <c r="V277" s="2408" t="s">
        <v>641</v>
      </c>
      <c r="W277" s="823"/>
      <c r="X277" s="2408" t="s">
        <v>641</v>
      </c>
      <c r="Y277" s="823"/>
      <c r="Z277" s="2408" t="s">
        <v>641</v>
      </c>
      <c r="AA277" s="2306"/>
      <c r="AB277" s="713"/>
      <c r="AC277" s="712"/>
      <c r="AD277" s="713"/>
      <c r="AE277" s="2307"/>
      <c r="AF277" s="4625"/>
      <c r="AG277" s="547"/>
      <c r="AH277" s="547"/>
      <c r="AI277" s="1244" t="s">
        <v>1014</v>
      </c>
      <c r="AJ277" s="18"/>
    </row>
    <row r="278" spans="2:36" ht="27" thickBot="1">
      <c r="B278" s="4505" t="s">
        <v>2281</v>
      </c>
      <c r="C278" s="123" t="s">
        <v>1015</v>
      </c>
      <c r="D278" s="124"/>
      <c r="E278" s="124"/>
      <c r="F278" s="78"/>
      <c r="G278" s="125" t="s">
        <v>1016</v>
      </c>
      <c r="H278" s="126"/>
      <c r="I278" s="126"/>
      <c r="J278" s="126"/>
      <c r="K278" s="78"/>
      <c r="L278" s="2175"/>
      <c r="M278" s="148"/>
      <c r="N278" s="148"/>
      <c r="O278" s="148"/>
      <c r="P278" s="2176"/>
      <c r="Q278" s="2175"/>
      <c r="R278" s="148"/>
      <c r="S278" s="148"/>
      <c r="T278" s="148"/>
      <c r="U278" s="2176"/>
      <c r="V278" s="2175"/>
      <c r="W278" s="148"/>
      <c r="X278" s="148"/>
      <c r="Y278" s="148"/>
      <c r="Z278" s="2176"/>
      <c r="AA278" s="2175"/>
      <c r="AB278" s="148"/>
      <c r="AC278" s="148"/>
      <c r="AD278" s="148"/>
      <c r="AE278" s="2176"/>
      <c r="AF278" s="4493"/>
      <c r="AG278" s="129"/>
      <c r="AH278" s="129"/>
      <c r="AI278" s="1006"/>
      <c r="AJ278" s="18"/>
    </row>
    <row r="279" spans="2:36" ht="20.100000000000001" customHeight="1">
      <c r="B279" s="4505" t="s">
        <v>2281</v>
      </c>
      <c r="C279" s="4612" t="s">
        <v>1017</v>
      </c>
      <c r="D279" s="86"/>
      <c r="E279" s="86"/>
      <c r="F279" s="824" t="s">
        <v>1636</v>
      </c>
      <c r="G279" s="4548"/>
      <c r="H279" s="134" t="s">
        <v>1019</v>
      </c>
      <c r="I279" s="134"/>
      <c r="J279" s="135"/>
      <c r="K279" s="825" t="s">
        <v>1831</v>
      </c>
      <c r="L279" s="2396">
        <f t="shared" ref="L279" si="18">IFERROR(L280/L281,"-")</f>
        <v>2.8823529411764706</v>
      </c>
      <c r="M279" s="827"/>
      <c r="N279" s="640">
        <f>IFERROR(N280/N281,"-")</f>
        <v>1.2893289328932893</v>
      </c>
      <c r="O279" s="827"/>
      <c r="P279" s="2393" t="str">
        <f>IFERROR(P280/P281,"-")</f>
        <v>-</v>
      </c>
      <c r="Q279" s="2396">
        <f>IFERROR(Q280/Q281,"-")</f>
        <v>1.1507092198581561</v>
      </c>
      <c r="R279" s="827"/>
      <c r="S279" s="640">
        <f>IFERROR(S280/S281,"-")</f>
        <v>1.0797227036395147</v>
      </c>
      <c r="T279" s="827"/>
      <c r="U279" s="2393" t="str">
        <f>IFERROR(U280/U281,"-")</f>
        <v>-</v>
      </c>
      <c r="V279" s="2396">
        <f>IFERROR(V280/V281,"-")</f>
        <v>2.079155672823219</v>
      </c>
      <c r="W279" s="827"/>
      <c r="X279" s="640">
        <f>IFERROR(X280/X281,"-")</f>
        <v>8.1892583120204598</v>
      </c>
      <c r="Y279" s="827"/>
      <c r="Z279" s="640">
        <f>IFERROR(Z280/Z281,"-")</f>
        <v>11.463276836158192</v>
      </c>
      <c r="AA279" s="2499"/>
      <c r="AB279" s="827"/>
      <c r="AC279" s="828"/>
      <c r="AD279" s="827"/>
      <c r="AE279" s="2460"/>
      <c r="AF279" s="4578"/>
      <c r="AG279" s="534"/>
      <c r="AH279" s="534"/>
      <c r="AI279" s="4568" t="s">
        <v>1023</v>
      </c>
      <c r="AJ279" s="18"/>
    </row>
    <row r="280" spans="2:36" ht="20.100000000000001" customHeight="1">
      <c r="B280" s="4505" t="s">
        <v>2281</v>
      </c>
      <c r="C280" s="4528"/>
      <c r="D280" s="9598" t="s">
        <v>1025</v>
      </c>
      <c r="E280" s="9599"/>
      <c r="F280" s="809" t="s">
        <v>1018</v>
      </c>
      <c r="G280" s="416"/>
      <c r="H280" s="574"/>
      <c r="I280" s="349" t="s">
        <v>1026</v>
      </c>
      <c r="J280" s="144"/>
      <c r="K280" s="810" t="s">
        <v>1831</v>
      </c>
      <c r="L280" s="2398">
        <v>3038</v>
      </c>
      <c r="M280" s="648" t="s">
        <v>1028</v>
      </c>
      <c r="N280" s="649">
        <v>1172</v>
      </c>
      <c r="O280" s="648" t="s">
        <v>1029</v>
      </c>
      <c r="P280" s="2303"/>
      <c r="Q280" s="2398">
        <v>649</v>
      </c>
      <c r="R280" s="543">
        <v>0</v>
      </c>
      <c r="S280" s="649">
        <v>623</v>
      </c>
      <c r="T280" s="543">
        <v>0</v>
      </c>
      <c r="U280" s="2303"/>
      <c r="V280" s="2398">
        <v>788</v>
      </c>
      <c r="W280" s="648" t="s">
        <v>1030</v>
      </c>
      <c r="X280" s="649">
        <v>3202</v>
      </c>
      <c r="Y280" s="648" t="s">
        <v>1030</v>
      </c>
      <c r="Z280" s="2303">
        <v>4058</v>
      </c>
      <c r="AA280" s="2302"/>
      <c r="AB280" s="543"/>
      <c r="AC280" s="542"/>
      <c r="AD280" s="543"/>
      <c r="AE280" s="2303"/>
      <c r="AF280" s="4490"/>
      <c r="AG280" s="547"/>
      <c r="AH280" s="547"/>
      <c r="AI280" s="4568" t="s">
        <v>1023</v>
      </c>
      <c r="AJ280" s="18"/>
    </row>
    <row r="281" spans="2:36" ht="20.100000000000001" customHeight="1">
      <c r="B281" s="4505" t="s">
        <v>2281</v>
      </c>
      <c r="C281" s="1945"/>
      <c r="D281" s="9598" t="s">
        <v>1031</v>
      </c>
      <c r="E281" s="9599"/>
      <c r="F281" s="809" t="s">
        <v>742</v>
      </c>
      <c r="G281" s="416"/>
      <c r="H281" s="577"/>
      <c r="I281" s="349" t="s">
        <v>1032</v>
      </c>
      <c r="J281" s="144"/>
      <c r="K281" s="810" t="s">
        <v>734</v>
      </c>
      <c r="L281" s="2398">
        <v>1054</v>
      </c>
      <c r="M281" s="648" t="s">
        <v>1034</v>
      </c>
      <c r="N281" s="649">
        <v>909</v>
      </c>
      <c r="O281" s="648" t="s">
        <v>1035</v>
      </c>
      <c r="P281" s="2303"/>
      <c r="Q281" s="2398">
        <v>564</v>
      </c>
      <c r="R281" s="543">
        <v>0</v>
      </c>
      <c r="S281" s="649">
        <v>577</v>
      </c>
      <c r="T281" s="543">
        <v>0</v>
      </c>
      <c r="U281" s="2303"/>
      <c r="V281" s="2398">
        <v>379</v>
      </c>
      <c r="W281" s="543">
        <v>0</v>
      </c>
      <c r="X281" s="649">
        <v>391</v>
      </c>
      <c r="Y281" s="543">
        <v>0</v>
      </c>
      <c r="Z281" s="2303">
        <v>354</v>
      </c>
      <c r="AA281" s="2302"/>
      <c r="AB281" s="543"/>
      <c r="AC281" s="542"/>
      <c r="AD281" s="543"/>
      <c r="AE281" s="2303"/>
      <c r="AF281" s="4490"/>
      <c r="AG281" s="547"/>
      <c r="AH281" s="547"/>
      <c r="AI281" s="4568" t="s">
        <v>1023</v>
      </c>
      <c r="AJ281" s="18"/>
    </row>
    <row r="282" spans="2:36" ht="20.100000000000001" customHeight="1">
      <c r="B282" s="4505" t="s">
        <v>2281</v>
      </c>
      <c r="C282" s="1758" t="s">
        <v>1036</v>
      </c>
      <c r="D282" s="104"/>
      <c r="E282" s="104"/>
      <c r="F282" s="105" t="s">
        <v>1042</v>
      </c>
      <c r="G282" s="416"/>
      <c r="H282" s="143" t="s">
        <v>1037</v>
      </c>
      <c r="I282" s="143"/>
      <c r="J282" s="144"/>
      <c r="K282" s="109" t="s">
        <v>1043</v>
      </c>
      <c r="L282" s="2400">
        <f t="shared" ref="L282" si="19">IFERROR(L283/L281,"-")</f>
        <v>37.950664136622393</v>
      </c>
      <c r="M282" s="543"/>
      <c r="N282" s="738">
        <f>IFERROR(N283/N281,"-")</f>
        <v>0</v>
      </c>
      <c r="O282" s="543"/>
      <c r="P282" s="2401" t="str">
        <f>IFERROR(P283/P281,"-")</f>
        <v>-</v>
      </c>
      <c r="Q282" s="2400">
        <f>IFERROR(Q283/Q281,"-")</f>
        <v>1132.6860088652481</v>
      </c>
      <c r="R282" s="543"/>
      <c r="S282" s="738">
        <f>IFERROR(S283/S281,"-")</f>
        <v>2714.4675043327557</v>
      </c>
      <c r="T282" s="543"/>
      <c r="U282" s="2401" t="str">
        <f>IFERROR(U283/U281,"-")</f>
        <v>-</v>
      </c>
      <c r="V282" s="2400">
        <f>IFERROR(V283/V281,"-")</f>
        <v>194.93041680300195</v>
      </c>
      <c r="W282" s="543" t="s">
        <v>148</v>
      </c>
      <c r="X282" s="738">
        <f>IFERROR(X283/X281,"-")</f>
        <v>1473.4989959510995</v>
      </c>
      <c r="Y282" s="543" t="s">
        <v>148</v>
      </c>
      <c r="Z282" s="738">
        <f>IFERROR(Z283/Z281,"-")</f>
        <v>878.85593220338978</v>
      </c>
      <c r="AA282" s="2400" t="str">
        <f>IFERROR(AA283/AA281,"-")</f>
        <v>-</v>
      </c>
      <c r="AB282" s="543"/>
      <c r="AC282" s="738" t="str">
        <f>IFERROR(AC283/AC281,"-")</f>
        <v>-</v>
      </c>
      <c r="AD282" s="543"/>
      <c r="AE282" s="2401" t="str">
        <f>IFERROR(AE283/AE281,"-")</f>
        <v>-</v>
      </c>
      <c r="AF282" s="4490"/>
      <c r="AG282" s="547"/>
      <c r="AH282" s="547"/>
      <c r="AI282" s="4568" t="s">
        <v>1040</v>
      </c>
      <c r="AJ282" s="18"/>
    </row>
    <row r="283" spans="2:36" ht="20.100000000000001" customHeight="1">
      <c r="B283" s="4505" t="s">
        <v>2281</v>
      </c>
      <c r="C283" s="1868"/>
      <c r="D283" s="9598" t="s">
        <v>1045</v>
      </c>
      <c r="E283" s="9599"/>
      <c r="F283" s="105" t="s">
        <v>1048</v>
      </c>
      <c r="G283" s="384"/>
      <c r="I283" s="184" t="s">
        <v>1046</v>
      </c>
      <c r="J283" s="141"/>
      <c r="K283" s="109" t="s">
        <v>1043</v>
      </c>
      <c r="L283" s="2398">
        <v>40000</v>
      </c>
      <c r="M283" s="543">
        <v>37.950664136622393</v>
      </c>
      <c r="N283" s="649">
        <v>0</v>
      </c>
      <c r="O283" s="543" t="s">
        <v>1049</v>
      </c>
      <c r="P283" s="2303"/>
      <c r="Q283" s="2398">
        <v>638834.90899999999</v>
      </c>
      <c r="R283" s="543" t="s">
        <v>145</v>
      </c>
      <c r="S283" s="649">
        <v>1566247.75</v>
      </c>
      <c r="T283" s="543" t="s">
        <v>145</v>
      </c>
      <c r="U283" s="2303"/>
      <c r="V283" s="2398">
        <v>73878.627968337736</v>
      </c>
      <c r="W283" s="543" t="s">
        <v>3495</v>
      </c>
      <c r="X283" s="649">
        <v>576138.10741687985</v>
      </c>
      <c r="Y283" s="543" t="s">
        <v>3495</v>
      </c>
      <c r="Z283" s="2303">
        <v>311115</v>
      </c>
      <c r="AA283" s="2302"/>
      <c r="AB283" s="543"/>
      <c r="AC283" s="542"/>
      <c r="AD283" s="543"/>
      <c r="AE283" s="2303"/>
      <c r="AF283" s="4490"/>
      <c r="AG283" s="547"/>
      <c r="AH283" s="547"/>
      <c r="AI283" s="4568" t="s">
        <v>1040</v>
      </c>
      <c r="AJ283" s="18"/>
    </row>
    <row r="284" spans="2:36" s="837" customFormat="1" ht="20.100000000000001" customHeight="1">
      <c r="B284" s="4636" t="s">
        <v>2281</v>
      </c>
      <c r="C284" s="1849" t="s">
        <v>1050</v>
      </c>
      <c r="D284" s="161"/>
      <c r="E284" s="161"/>
      <c r="F284" s="285" t="s">
        <v>1051</v>
      </c>
      <c r="G284" s="10230" t="s">
        <v>3496</v>
      </c>
      <c r="H284" s="140" t="s">
        <v>1052</v>
      </c>
      <c r="I284" s="140"/>
      <c r="J284" s="141"/>
      <c r="K284" s="162" t="s">
        <v>1053</v>
      </c>
      <c r="L284" s="2400" t="str">
        <f t="shared" ref="L284" si="20">IFERROR(L285/L286*100,"-")</f>
        <v>-</v>
      </c>
      <c r="M284" s="652"/>
      <c r="N284" s="738" t="str">
        <f>IFERROR(N285/N286*100,"-")</f>
        <v>-</v>
      </c>
      <c r="O284" s="652"/>
      <c r="P284" s="2401" t="str">
        <f>IFERROR(P285/P286*100,"-")</f>
        <v>-</v>
      </c>
      <c r="Q284" s="2400">
        <f>IFERROR(Q285/Q286*100,"-")</f>
        <v>0</v>
      </c>
      <c r="R284" s="652"/>
      <c r="S284" s="738">
        <f>IFERROR(S285/S286*100,"-")</f>
        <v>0</v>
      </c>
      <c r="T284" s="652"/>
      <c r="U284" s="2401" t="str">
        <f>IFERROR(U285/U286*100,"-")</f>
        <v>-</v>
      </c>
      <c r="V284" s="2400" t="str">
        <f>IFERROR(V285/V286*100,"-")</f>
        <v>-</v>
      </c>
      <c r="W284" s="652"/>
      <c r="X284" s="738" t="str">
        <f>IFERROR(X285/X286*100,"-")</f>
        <v>-</v>
      </c>
      <c r="Y284" s="652"/>
      <c r="Z284" s="2461" t="str">
        <f>IFERROR(Z285/Z286*100,"-")</f>
        <v>-</v>
      </c>
      <c r="AA284" s="2500" t="str">
        <f>IFERROR(AA285/AA286*100,"-")</f>
        <v>-</v>
      </c>
      <c r="AB284" s="784"/>
      <c r="AC284" s="829" t="str">
        <f>IFERROR(AC285/AC286*100,"-")</f>
        <v>-</v>
      </c>
      <c r="AD284" s="784"/>
      <c r="AE284" s="2461" t="str">
        <f>IFERROR(AE285/AE222,"-")</f>
        <v>-</v>
      </c>
      <c r="AF284" s="4649"/>
      <c r="AG284" s="832"/>
      <c r="AH284" s="832"/>
      <c r="AI284" s="4650" t="s">
        <v>1056</v>
      </c>
      <c r="AJ284" s="836"/>
    </row>
    <row r="285" spans="2:36" s="837" customFormat="1" ht="20.100000000000001" customHeight="1">
      <c r="B285" s="4636" t="s">
        <v>2281</v>
      </c>
      <c r="C285" s="4514"/>
      <c r="D285" s="9598" t="s">
        <v>1058</v>
      </c>
      <c r="E285" s="9599"/>
      <c r="F285" s="838" t="s">
        <v>742</v>
      </c>
      <c r="G285" s="10231"/>
      <c r="H285" s="337"/>
      <c r="I285" s="141" t="s">
        <v>1059</v>
      </c>
      <c r="J285" s="141"/>
      <c r="K285" s="179" t="s">
        <v>734</v>
      </c>
      <c r="L285" s="2398">
        <v>0</v>
      </c>
      <c r="M285" s="737" t="s">
        <v>1065</v>
      </c>
      <c r="N285" s="649">
        <v>0</v>
      </c>
      <c r="O285" s="737" t="s">
        <v>1065</v>
      </c>
      <c r="P285" s="2303"/>
      <c r="Q285" s="2398">
        <v>0</v>
      </c>
      <c r="R285" s="737" t="s">
        <v>1066</v>
      </c>
      <c r="S285" s="649">
        <v>0</v>
      </c>
      <c r="T285" s="737" t="s">
        <v>1066</v>
      </c>
      <c r="U285" s="2303"/>
      <c r="V285" s="2398">
        <v>0</v>
      </c>
      <c r="W285" s="737" t="s">
        <v>1067</v>
      </c>
      <c r="X285" s="649">
        <v>0</v>
      </c>
      <c r="Y285" s="737" t="s">
        <v>1068</v>
      </c>
      <c r="Z285" s="2462">
        <v>0</v>
      </c>
      <c r="AA285" s="2501"/>
      <c r="AB285" s="784"/>
      <c r="AC285" s="840"/>
      <c r="AD285" s="784"/>
      <c r="AE285" s="2462"/>
      <c r="AF285" s="4649"/>
      <c r="AG285" s="832"/>
      <c r="AH285" s="832"/>
      <c r="AI285" s="4650" t="s">
        <v>1056</v>
      </c>
      <c r="AJ285" s="836"/>
    </row>
    <row r="286" spans="2:36" s="837" customFormat="1" ht="20.100000000000001" customHeight="1" thickBot="1">
      <c r="B286" s="4636" t="s">
        <v>2281</v>
      </c>
      <c r="C286" s="4559"/>
      <c r="D286" s="844" t="s">
        <v>1069</v>
      </c>
      <c r="E286" s="323"/>
      <c r="F286" s="845" t="s">
        <v>742</v>
      </c>
      <c r="G286" s="10232"/>
      <c r="H286" s="325"/>
      <c r="I286" s="327" t="s">
        <v>1070</v>
      </c>
      <c r="J286" s="422"/>
      <c r="K286" s="849" t="s">
        <v>734</v>
      </c>
      <c r="L286" s="2409">
        <v>0</v>
      </c>
      <c r="M286" s="854" t="s">
        <v>1065</v>
      </c>
      <c r="N286" s="853">
        <v>0</v>
      </c>
      <c r="O286" s="854" t="s">
        <v>1065</v>
      </c>
      <c r="P286" s="2307"/>
      <c r="Q286" s="2409">
        <v>564</v>
      </c>
      <c r="R286" s="854" t="s">
        <v>1073</v>
      </c>
      <c r="S286" s="853">
        <v>577</v>
      </c>
      <c r="T286" s="854" t="s">
        <v>1073</v>
      </c>
      <c r="U286" s="2307"/>
      <c r="V286" s="2409">
        <v>0</v>
      </c>
      <c r="W286" s="854" t="s">
        <v>1067</v>
      </c>
      <c r="X286" s="853">
        <v>0</v>
      </c>
      <c r="Y286" s="854" t="s">
        <v>1068</v>
      </c>
      <c r="Z286" s="2463">
        <v>0</v>
      </c>
      <c r="AA286" s="2502"/>
      <c r="AB286" s="856"/>
      <c r="AC286" s="855"/>
      <c r="AD286" s="856"/>
      <c r="AE286" s="2463"/>
      <c r="AF286" s="4651"/>
      <c r="AG286" s="859"/>
      <c r="AH286" s="859"/>
      <c r="AI286" s="4650" t="s">
        <v>1056</v>
      </c>
      <c r="AJ286" s="836"/>
    </row>
    <row r="287" spans="2:36" ht="27" thickBot="1">
      <c r="B287" s="4505" t="s">
        <v>2281</v>
      </c>
      <c r="C287" s="123" t="s">
        <v>1074</v>
      </c>
      <c r="D287" s="124"/>
      <c r="E287" s="124"/>
      <c r="F287" s="78"/>
      <c r="G287" s="519" t="s">
        <v>3497</v>
      </c>
      <c r="H287" s="521"/>
      <c r="I287" s="521"/>
      <c r="J287" s="521"/>
      <c r="K287" s="78"/>
      <c r="L287" s="2175"/>
      <c r="M287" s="148"/>
      <c r="N287" s="148"/>
      <c r="O287" s="148"/>
      <c r="P287" s="2176"/>
      <c r="Q287" s="2175"/>
      <c r="R287" s="148"/>
      <c r="S287" s="148"/>
      <c r="T287" s="148"/>
      <c r="U287" s="2176"/>
      <c r="V287" s="2175"/>
      <c r="W287" s="148"/>
      <c r="X287" s="148"/>
      <c r="Y287" s="148"/>
      <c r="Z287" s="2176"/>
      <c r="AA287" s="2175"/>
      <c r="AB287" s="148"/>
      <c r="AC287" s="148"/>
      <c r="AD287" s="148"/>
      <c r="AE287" s="2176"/>
      <c r="AF287" s="4493"/>
      <c r="AG287" s="129"/>
      <c r="AH287" s="129"/>
      <c r="AI287" s="1006"/>
      <c r="AJ287" s="18"/>
    </row>
    <row r="288" spans="2:36" ht="19.350000000000001" customHeight="1">
      <c r="B288" s="4505" t="s">
        <v>2281</v>
      </c>
      <c r="C288" s="4652" t="s">
        <v>1075</v>
      </c>
      <c r="D288" s="860"/>
      <c r="E288" s="860"/>
      <c r="F288" s="4653" t="s">
        <v>168</v>
      </c>
      <c r="G288" s="4654"/>
      <c r="H288" s="860" t="s">
        <v>1076</v>
      </c>
      <c r="I288" s="860"/>
      <c r="J288" s="860"/>
      <c r="K288" s="862" t="s">
        <v>168</v>
      </c>
      <c r="L288" s="2412"/>
      <c r="M288" s="866"/>
      <c r="N288" s="865"/>
      <c r="O288" s="866"/>
      <c r="P288" s="2413"/>
      <c r="Q288" s="2412"/>
      <c r="R288" s="866"/>
      <c r="S288" s="865"/>
      <c r="T288" s="866"/>
      <c r="U288" s="2413"/>
      <c r="V288" s="2412"/>
      <c r="W288" s="866"/>
      <c r="X288" s="865"/>
      <c r="Y288" s="866"/>
      <c r="Z288" s="2413"/>
      <c r="AA288" s="2503"/>
      <c r="AB288" s="867"/>
      <c r="AC288" s="864"/>
      <c r="AD288" s="867"/>
      <c r="AE288" s="2413"/>
      <c r="AF288" s="4585"/>
      <c r="AG288" s="4586"/>
      <c r="AH288" s="4586"/>
      <c r="AI288" s="4587"/>
      <c r="AJ288" s="18"/>
    </row>
    <row r="289" spans="2:36" ht="19.350000000000001" customHeight="1">
      <c r="B289" s="4505" t="s">
        <v>2281</v>
      </c>
      <c r="C289" s="4655"/>
      <c r="D289" s="870" t="s">
        <v>1077</v>
      </c>
      <c r="E289" s="871"/>
      <c r="F289" s="285" t="s">
        <v>156</v>
      </c>
      <c r="G289" s="106"/>
      <c r="H289" s="353"/>
      <c r="I289" s="872" t="s">
        <v>1078</v>
      </c>
      <c r="J289" s="385"/>
      <c r="K289" s="873" t="s">
        <v>154</v>
      </c>
      <c r="L289" s="2414">
        <v>0</v>
      </c>
      <c r="M289" s="875"/>
      <c r="N289" s="802">
        <v>0</v>
      </c>
      <c r="O289" s="875"/>
      <c r="P289" s="2268"/>
      <c r="Q289" s="2414">
        <v>0</v>
      </c>
      <c r="R289" s="875"/>
      <c r="S289" s="802">
        <v>0</v>
      </c>
      <c r="T289" s="875"/>
      <c r="U289" s="2268"/>
      <c r="V289" s="2414">
        <v>28.571428571428569</v>
      </c>
      <c r="W289" s="875" t="s">
        <v>1080</v>
      </c>
      <c r="X289" s="802">
        <v>29</v>
      </c>
      <c r="Y289" s="875" t="s">
        <v>1080</v>
      </c>
      <c r="Z289" s="2268">
        <v>29</v>
      </c>
      <c r="AA289" s="2267"/>
      <c r="AB289" s="877"/>
      <c r="AC289" s="335"/>
      <c r="AD289" s="877"/>
      <c r="AE289" s="2268"/>
      <c r="AF289" s="4589"/>
      <c r="AG289" s="547"/>
      <c r="AH289" s="878"/>
      <c r="AI289" s="982" t="s">
        <v>807</v>
      </c>
      <c r="AJ289" s="18"/>
    </row>
    <row r="290" spans="2:36" ht="19.350000000000001" customHeight="1">
      <c r="B290" s="4505" t="s">
        <v>2281</v>
      </c>
      <c r="C290" s="4655"/>
      <c r="D290" s="490" t="s">
        <v>1082</v>
      </c>
      <c r="E290" s="491"/>
      <c r="F290" s="285" t="s">
        <v>154</v>
      </c>
      <c r="G290" s="106"/>
      <c r="H290" s="353"/>
      <c r="I290" s="495" t="s">
        <v>1083</v>
      </c>
      <c r="J290" s="643"/>
      <c r="K290" s="109" t="s">
        <v>154</v>
      </c>
      <c r="L290" s="2186"/>
      <c r="M290" s="92"/>
      <c r="N290" s="100"/>
      <c r="O290" s="92"/>
      <c r="P290" s="2187"/>
      <c r="Q290" s="2186"/>
      <c r="R290" s="92"/>
      <c r="S290" s="100"/>
      <c r="T290" s="92"/>
      <c r="U290" s="2187"/>
      <c r="V290" s="2186">
        <v>71</v>
      </c>
      <c r="W290" s="92"/>
      <c r="X290" s="100">
        <v>71</v>
      </c>
      <c r="Y290" s="92"/>
      <c r="Z290" s="2187">
        <v>71</v>
      </c>
      <c r="AA290" s="2186"/>
      <c r="AB290" s="293"/>
      <c r="AC290" s="100"/>
      <c r="AD290" s="293"/>
      <c r="AE290" s="2187"/>
      <c r="AF290" s="4490"/>
      <c r="AG290" s="547"/>
      <c r="AH290" s="547"/>
      <c r="AI290" s="982" t="s">
        <v>807</v>
      </c>
      <c r="AJ290" s="18"/>
    </row>
    <row r="291" spans="2:36" ht="19.350000000000001" customHeight="1">
      <c r="B291" s="4505" t="s">
        <v>2281</v>
      </c>
      <c r="C291" s="4655"/>
      <c r="D291" s="744" t="s">
        <v>1084</v>
      </c>
      <c r="E291" s="728"/>
      <c r="F291" s="2371" t="s">
        <v>154</v>
      </c>
      <c r="G291" s="106"/>
      <c r="H291" s="353"/>
      <c r="I291" s="654" t="s">
        <v>1085</v>
      </c>
      <c r="J291" s="655"/>
      <c r="K291" s="881" t="s">
        <v>154</v>
      </c>
      <c r="L291" s="2275"/>
      <c r="M291" s="171"/>
      <c r="N291" s="320"/>
      <c r="O291" s="171"/>
      <c r="P291" s="2276"/>
      <c r="Q291" s="2275"/>
      <c r="R291" s="171"/>
      <c r="S291" s="320"/>
      <c r="T291" s="171"/>
      <c r="U291" s="2276"/>
      <c r="V291" s="2275"/>
      <c r="W291" s="171"/>
      <c r="X291" s="320"/>
      <c r="Y291" s="171"/>
      <c r="Z291" s="2276"/>
      <c r="AA291" s="2275"/>
      <c r="AB291" s="413"/>
      <c r="AC291" s="320"/>
      <c r="AD291" s="413"/>
      <c r="AE291" s="2276"/>
      <c r="AF291" s="4585"/>
      <c r="AG291" s="4586"/>
      <c r="AH291" s="4586"/>
      <c r="AI291" s="4587"/>
      <c r="AJ291" s="18"/>
    </row>
    <row r="292" spans="2:36" ht="19.350000000000001" customHeight="1">
      <c r="B292" s="4505" t="s">
        <v>2281</v>
      </c>
      <c r="C292" s="4655"/>
      <c r="E292" s="286" t="s">
        <v>1833</v>
      </c>
      <c r="F292" s="285" t="s">
        <v>154</v>
      </c>
      <c r="G292" s="106"/>
      <c r="H292" s="353"/>
      <c r="I292" s="11"/>
      <c r="J292" s="358" t="s">
        <v>1086</v>
      </c>
      <c r="K292" s="109" t="s">
        <v>154</v>
      </c>
      <c r="L292" s="2186"/>
      <c r="M292" s="92"/>
      <c r="N292" s="100"/>
      <c r="O292" s="92"/>
      <c r="P292" s="2187"/>
      <c r="Q292" s="2186"/>
      <c r="R292" s="92"/>
      <c r="S292" s="100"/>
      <c r="T292" s="92"/>
      <c r="U292" s="2187"/>
      <c r="V292" s="2187">
        <v>0</v>
      </c>
      <c r="W292" s="92"/>
      <c r="X292" s="2187">
        <v>0</v>
      </c>
      <c r="Y292" s="92"/>
      <c r="Z292" s="2187">
        <v>0</v>
      </c>
      <c r="AA292" s="2186"/>
      <c r="AB292" s="293"/>
      <c r="AC292" s="100"/>
      <c r="AD292" s="293"/>
      <c r="AE292" s="2187"/>
      <c r="AF292" s="4490"/>
      <c r="AG292" s="547"/>
      <c r="AH292" s="547"/>
      <c r="AI292" s="982" t="s">
        <v>807</v>
      </c>
      <c r="AJ292" s="18"/>
    </row>
    <row r="293" spans="2:36" ht="19.350000000000001" customHeight="1">
      <c r="B293" s="4505" t="s">
        <v>2281</v>
      </c>
      <c r="C293" s="4655"/>
      <c r="D293" s="884"/>
      <c r="E293" s="286" t="s">
        <v>1834</v>
      </c>
      <c r="F293" s="285" t="s">
        <v>154</v>
      </c>
      <c r="G293" s="106"/>
      <c r="H293" s="353"/>
      <c r="I293" s="4656"/>
      <c r="J293" s="358" t="s">
        <v>1088</v>
      </c>
      <c r="K293" s="109" t="s">
        <v>154</v>
      </c>
      <c r="L293" s="2186"/>
      <c r="M293" s="92"/>
      <c r="N293" s="100"/>
      <c r="O293" s="92"/>
      <c r="P293" s="2187"/>
      <c r="Q293" s="2186"/>
      <c r="R293" s="92"/>
      <c r="S293" s="100"/>
      <c r="T293" s="92"/>
      <c r="U293" s="2187"/>
      <c r="V293" s="2187">
        <v>71</v>
      </c>
      <c r="W293" s="92"/>
      <c r="X293" s="2187">
        <v>71</v>
      </c>
      <c r="Y293" s="92"/>
      <c r="Z293" s="2187">
        <v>71</v>
      </c>
      <c r="AA293" s="2186"/>
      <c r="AB293" s="293"/>
      <c r="AC293" s="100"/>
      <c r="AD293" s="293"/>
      <c r="AE293" s="2187"/>
      <c r="AF293" s="4490"/>
      <c r="AG293" s="547"/>
      <c r="AH293" s="547"/>
      <c r="AI293" s="982" t="s">
        <v>807</v>
      </c>
      <c r="AJ293" s="18"/>
    </row>
    <row r="294" spans="2:36" ht="19.350000000000001" customHeight="1">
      <c r="B294" s="4505" t="s">
        <v>2281</v>
      </c>
      <c r="C294" s="4655"/>
      <c r="D294" s="885"/>
      <c r="E294" s="286" t="s">
        <v>1835</v>
      </c>
      <c r="F294" s="285" t="s">
        <v>154</v>
      </c>
      <c r="G294" s="106"/>
      <c r="H294" s="353"/>
      <c r="I294" s="4657"/>
      <c r="J294" s="358" t="s">
        <v>1089</v>
      </c>
      <c r="K294" s="109" t="s">
        <v>154</v>
      </c>
      <c r="L294" s="2186"/>
      <c r="M294" s="92"/>
      <c r="N294" s="100"/>
      <c r="O294" s="92"/>
      <c r="P294" s="2187"/>
      <c r="Q294" s="2186"/>
      <c r="R294" s="92"/>
      <c r="S294" s="100"/>
      <c r="T294" s="92"/>
      <c r="U294" s="2187"/>
      <c r="V294" s="2187">
        <v>29</v>
      </c>
      <c r="W294" s="92"/>
      <c r="X294" s="2187">
        <v>29</v>
      </c>
      <c r="Y294" s="92"/>
      <c r="Z294" s="2187">
        <v>29</v>
      </c>
      <c r="AA294" s="2186"/>
      <c r="AB294" s="293"/>
      <c r="AC294" s="100"/>
      <c r="AD294" s="293"/>
      <c r="AE294" s="2187"/>
      <c r="AF294" s="4490"/>
      <c r="AG294" s="547"/>
      <c r="AH294" s="547"/>
      <c r="AI294" s="982" t="s">
        <v>807</v>
      </c>
      <c r="AJ294" s="18"/>
    </row>
    <row r="295" spans="2:36" ht="19.350000000000001" customHeight="1">
      <c r="B295" s="4509" t="s">
        <v>2281</v>
      </c>
      <c r="C295" s="4655"/>
      <c r="D295" s="490" t="s">
        <v>1090</v>
      </c>
      <c r="E295" s="491"/>
      <c r="F295" s="285" t="s">
        <v>154</v>
      </c>
      <c r="G295" s="106"/>
      <c r="H295" s="353"/>
      <c r="I295" s="495" t="s">
        <v>1091</v>
      </c>
      <c r="J295" s="643"/>
      <c r="K295" s="109" t="s">
        <v>154</v>
      </c>
      <c r="L295" s="2404">
        <v>13.738019169329075</v>
      </c>
      <c r="M295" s="92"/>
      <c r="N295" s="702">
        <v>16</v>
      </c>
      <c r="O295" s="92"/>
      <c r="P295" s="2187"/>
      <c r="Q295" s="2404">
        <v>42.857142857142854</v>
      </c>
      <c r="R295" s="92"/>
      <c r="S295" s="702">
        <v>41.269841269841265</v>
      </c>
      <c r="T295" s="92"/>
      <c r="U295" s="2187"/>
      <c r="V295" s="2404">
        <v>15.789473684210526</v>
      </c>
      <c r="W295" s="92"/>
      <c r="X295" s="702">
        <v>16.666666666666664</v>
      </c>
      <c r="Y295" s="92"/>
      <c r="Z295" s="2187">
        <f>(5/19)*100</f>
        <v>26.315789473684209</v>
      </c>
      <c r="AA295" s="2186"/>
      <c r="AB295" s="92"/>
      <c r="AC295" s="100"/>
      <c r="AD295" s="293"/>
      <c r="AE295" s="2187"/>
      <c r="AF295" s="4490"/>
      <c r="AG295" s="547"/>
      <c r="AH295" s="547"/>
      <c r="AI295" s="982" t="s">
        <v>852</v>
      </c>
      <c r="AJ295" s="18"/>
    </row>
    <row r="296" spans="2:36" ht="19.149999999999999" customHeight="1">
      <c r="B296" s="4505" t="s">
        <v>2281</v>
      </c>
      <c r="C296" s="4655"/>
      <c r="D296" s="286" t="s">
        <v>1097</v>
      </c>
      <c r="E296" s="286"/>
      <c r="F296" s="285" t="s">
        <v>154</v>
      </c>
      <c r="G296" s="106"/>
      <c r="H296" s="353"/>
      <c r="I296" s="495" t="s">
        <v>1098</v>
      </c>
      <c r="J296" s="643"/>
      <c r="K296" s="109" t="s">
        <v>154</v>
      </c>
      <c r="L296" s="2404">
        <v>1.4388489208633095</v>
      </c>
      <c r="M296" s="92"/>
      <c r="N296" s="702">
        <v>3.5087719298245612</v>
      </c>
      <c r="O296" s="92"/>
      <c r="P296" s="2187"/>
      <c r="Q296" s="2404">
        <v>0</v>
      </c>
      <c r="R296" s="92"/>
      <c r="S296" s="702">
        <v>0</v>
      </c>
      <c r="T296" s="92"/>
      <c r="U296" s="2187"/>
      <c r="V296" s="2404"/>
      <c r="W296" s="92"/>
      <c r="X296" s="702"/>
      <c r="Y296" s="92"/>
      <c r="Z296" s="2187"/>
      <c r="AA296" s="2186"/>
      <c r="AB296" s="293"/>
      <c r="AC296" s="100"/>
      <c r="AD296" s="293"/>
      <c r="AE296" s="2187"/>
      <c r="AF296" s="4490"/>
      <c r="AG296" s="547"/>
      <c r="AH296" s="547"/>
      <c r="AI296" s="982" t="s">
        <v>1101</v>
      </c>
      <c r="AJ296" s="18"/>
    </row>
    <row r="297" spans="2:36" ht="19.350000000000001" customHeight="1">
      <c r="B297" s="4505" t="s">
        <v>2281</v>
      </c>
      <c r="C297" s="4655"/>
      <c r="D297" s="886" t="s">
        <v>1103</v>
      </c>
      <c r="E297" s="886"/>
      <c r="F297" s="285" t="s">
        <v>154</v>
      </c>
      <c r="G297" s="106"/>
      <c r="H297" s="353"/>
      <c r="I297" s="495" t="s">
        <v>1104</v>
      </c>
      <c r="J297" s="643"/>
      <c r="K297" s="162" t="s">
        <v>154</v>
      </c>
      <c r="L297" s="2404">
        <v>85.882637262472798</v>
      </c>
      <c r="M297" s="92"/>
      <c r="N297" s="702">
        <v>82.247056388175423</v>
      </c>
      <c r="O297" s="92"/>
      <c r="P297" s="2187"/>
      <c r="Q297" s="2404">
        <v>119.89054293130317</v>
      </c>
      <c r="R297" s="92"/>
      <c r="S297" s="702">
        <v>114.66069429343651</v>
      </c>
      <c r="T297" s="92"/>
      <c r="U297" s="2187"/>
      <c r="V297" s="2404">
        <v>156.08059219041078</v>
      </c>
      <c r="W297" s="92"/>
      <c r="X297" s="702">
        <v>104.04324918526433</v>
      </c>
      <c r="Y297" s="92"/>
      <c r="Z297" s="2187">
        <v>101</v>
      </c>
      <c r="AA297" s="2186"/>
      <c r="AB297" s="293"/>
      <c r="AC297" s="100"/>
      <c r="AD297" s="293"/>
      <c r="AE297" s="2187"/>
      <c r="AF297" s="4490"/>
      <c r="AG297" s="547"/>
      <c r="AH297" s="547"/>
      <c r="AI297" s="982" t="s">
        <v>1107</v>
      </c>
      <c r="AJ297" s="18"/>
    </row>
    <row r="298" spans="2:36" ht="19.350000000000001" hidden="1" customHeight="1">
      <c r="B298" s="4505" t="s">
        <v>2281</v>
      </c>
      <c r="C298" s="4658" t="s">
        <v>1112</v>
      </c>
      <c r="D298" s="736"/>
      <c r="E298" s="736"/>
      <c r="F298" s="2371" t="s">
        <v>168</v>
      </c>
      <c r="G298" s="4659"/>
      <c r="H298" s="736" t="s">
        <v>1113</v>
      </c>
      <c r="I298" s="736"/>
      <c r="J298" s="736"/>
      <c r="K298" s="881" t="s">
        <v>168</v>
      </c>
      <c r="L298" s="2415"/>
      <c r="M298" s="171"/>
      <c r="N298" s="891"/>
      <c r="O298" s="171"/>
      <c r="P298" s="2276"/>
      <c r="Q298" s="2415"/>
      <c r="R298" s="171"/>
      <c r="S298" s="891"/>
      <c r="T298" s="171"/>
      <c r="U298" s="2276"/>
      <c r="V298" s="2415"/>
      <c r="W298" s="171"/>
      <c r="X298" s="891"/>
      <c r="Y298" s="171"/>
      <c r="Z298" s="2276"/>
      <c r="AA298" s="2275"/>
      <c r="AB298" s="413"/>
      <c r="AC298" s="320"/>
      <c r="AD298" s="413"/>
      <c r="AE298" s="2276"/>
      <c r="AF298" s="4490"/>
      <c r="AG298" s="547"/>
      <c r="AH298" s="547"/>
      <c r="AI298" s="982"/>
      <c r="AJ298" s="18"/>
    </row>
    <row r="299" spans="2:36" ht="19.350000000000001" hidden="1" customHeight="1">
      <c r="B299" s="4505" t="s">
        <v>2281</v>
      </c>
      <c r="C299" s="4655"/>
      <c r="D299" s="4660" t="s">
        <v>1114</v>
      </c>
      <c r="E299" s="4661"/>
      <c r="F299" s="2371" t="s">
        <v>742</v>
      </c>
      <c r="G299" s="106"/>
      <c r="H299" s="353"/>
      <c r="I299" s="685" t="s">
        <v>1838</v>
      </c>
      <c r="J299" s="655"/>
      <c r="K299" s="881" t="s">
        <v>734</v>
      </c>
      <c r="L299" s="2415"/>
      <c r="M299" s="171"/>
      <c r="N299" s="891"/>
      <c r="O299" s="171"/>
      <c r="P299" s="2276"/>
      <c r="Q299" s="2415"/>
      <c r="R299" s="171"/>
      <c r="S299" s="891"/>
      <c r="T299" s="171"/>
      <c r="U299" s="2276"/>
      <c r="V299" s="2415"/>
      <c r="W299" s="171"/>
      <c r="X299" s="891"/>
      <c r="Y299" s="171"/>
      <c r="Z299" s="2276"/>
      <c r="AA299" s="2275"/>
      <c r="AB299" s="413"/>
      <c r="AC299" s="320"/>
      <c r="AD299" s="413"/>
      <c r="AE299" s="2276"/>
      <c r="AF299" s="4490"/>
      <c r="AG299" s="547"/>
      <c r="AH299" s="547"/>
      <c r="AI299" s="982"/>
      <c r="AJ299" s="18"/>
    </row>
    <row r="300" spans="2:36" ht="19.350000000000001" hidden="1" customHeight="1">
      <c r="B300" s="4505" t="s">
        <v>2281</v>
      </c>
      <c r="C300" s="4655"/>
      <c r="D300" s="892"/>
      <c r="E300" s="893" t="s">
        <v>1116</v>
      </c>
      <c r="F300" s="285" t="s">
        <v>742</v>
      </c>
      <c r="G300" s="106"/>
      <c r="H300" s="353"/>
      <c r="I300" s="347"/>
      <c r="J300" s="777" t="s">
        <v>1117</v>
      </c>
      <c r="K300" s="109" t="s">
        <v>734</v>
      </c>
      <c r="L300" s="2404" t="s">
        <v>640</v>
      </c>
      <c r="M300" s="92"/>
      <c r="N300" s="702" t="s">
        <v>640</v>
      </c>
      <c r="O300" s="92"/>
      <c r="P300" s="2187"/>
      <c r="Q300" s="2404">
        <v>0</v>
      </c>
      <c r="R300" s="92"/>
      <c r="S300" s="702">
        <v>0</v>
      </c>
      <c r="T300" s="92"/>
      <c r="U300" s="2187"/>
      <c r="V300" s="2404">
        <v>140</v>
      </c>
      <c r="W300" s="92"/>
      <c r="X300" s="702">
        <v>163</v>
      </c>
      <c r="Y300" s="92"/>
      <c r="Z300" s="2187"/>
      <c r="AA300" s="2186"/>
      <c r="AB300" s="293"/>
      <c r="AC300" s="100"/>
      <c r="AD300" s="293"/>
      <c r="AE300" s="2187"/>
      <c r="AF300" s="4490"/>
      <c r="AG300" s="547"/>
      <c r="AH300" s="547"/>
      <c r="AI300" s="982" t="s">
        <v>1120</v>
      </c>
      <c r="AJ300" s="18"/>
    </row>
    <row r="301" spans="2:36" ht="19.350000000000001" hidden="1" customHeight="1">
      <c r="B301" s="4505" t="s">
        <v>2281</v>
      </c>
      <c r="C301" s="4655"/>
      <c r="D301" s="894"/>
      <c r="E301" s="893" t="s">
        <v>1125</v>
      </c>
      <c r="F301" s="285" t="s">
        <v>742</v>
      </c>
      <c r="G301" s="106"/>
      <c r="H301" s="353"/>
      <c r="I301" s="384"/>
      <c r="J301" s="777" t="s">
        <v>1840</v>
      </c>
      <c r="K301" s="109" t="s">
        <v>734</v>
      </c>
      <c r="L301" s="2404" t="s">
        <v>640</v>
      </c>
      <c r="M301" s="92"/>
      <c r="N301" s="702" t="s">
        <v>640</v>
      </c>
      <c r="O301" s="92"/>
      <c r="P301" s="2187"/>
      <c r="Q301" s="2404">
        <v>0</v>
      </c>
      <c r="R301" s="92"/>
      <c r="S301" s="702">
        <v>0</v>
      </c>
      <c r="T301" s="92"/>
      <c r="U301" s="2187"/>
      <c r="V301" s="2404">
        <v>17</v>
      </c>
      <c r="W301" s="92"/>
      <c r="X301" s="702">
        <v>15</v>
      </c>
      <c r="Y301" s="92"/>
      <c r="Z301" s="2187"/>
      <c r="AA301" s="2186"/>
      <c r="AB301" s="293"/>
      <c r="AC301" s="100"/>
      <c r="AD301" s="293"/>
      <c r="AE301" s="2187"/>
      <c r="AF301" s="4490"/>
      <c r="AG301" s="547"/>
      <c r="AH301" s="547"/>
      <c r="AI301" s="982" t="s">
        <v>1120</v>
      </c>
      <c r="AJ301" s="18"/>
    </row>
    <row r="302" spans="2:36" ht="19.350000000000001" hidden="1" customHeight="1">
      <c r="B302" s="4505" t="s">
        <v>2281</v>
      </c>
      <c r="C302" s="4655"/>
      <c r="D302" s="4660" t="s">
        <v>1127</v>
      </c>
      <c r="E302" s="4661"/>
      <c r="F302" s="2371" t="s">
        <v>742</v>
      </c>
      <c r="G302" s="106"/>
      <c r="H302" s="353"/>
      <c r="I302" s="685" t="s">
        <v>1128</v>
      </c>
      <c r="J302" s="895"/>
      <c r="K302" s="881" t="s">
        <v>734</v>
      </c>
      <c r="L302" s="2415"/>
      <c r="M302" s="171"/>
      <c r="N302" s="891"/>
      <c r="O302" s="171"/>
      <c r="P302" s="2276"/>
      <c r="Q302" s="2415"/>
      <c r="R302" s="171"/>
      <c r="S302" s="891"/>
      <c r="T302" s="171"/>
      <c r="U302" s="2276"/>
      <c r="V302" s="2415"/>
      <c r="W302" s="171"/>
      <c r="X302" s="891"/>
      <c r="Y302" s="171"/>
      <c r="Z302" s="2276"/>
      <c r="AA302" s="2275"/>
      <c r="AB302" s="413"/>
      <c r="AC302" s="320"/>
      <c r="AD302" s="413"/>
      <c r="AE302" s="2276"/>
      <c r="AF302" s="4490"/>
      <c r="AG302" s="547"/>
      <c r="AH302" s="547"/>
      <c r="AI302" s="1244" t="s">
        <v>1129</v>
      </c>
      <c r="AJ302" s="18"/>
    </row>
    <row r="303" spans="2:36" ht="19.350000000000001" hidden="1" customHeight="1">
      <c r="B303" s="4505" t="s">
        <v>2281</v>
      </c>
      <c r="C303" s="4655"/>
      <c r="E303" s="286" t="s">
        <v>1841</v>
      </c>
      <c r="F303" s="285" t="s">
        <v>732</v>
      </c>
      <c r="G303" s="106"/>
      <c r="H303" s="353"/>
      <c r="I303" s="347"/>
      <c r="J303" s="777" t="s">
        <v>1131</v>
      </c>
      <c r="K303" s="109" t="s">
        <v>734</v>
      </c>
      <c r="L303" s="2186"/>
      <c r="M303" s="293"/>
      <c r="N303" s="100"/>
      <c r="O303" s="293"/>
      <c r="P303" s="2187"/>
      <c r="Q303" s="2186"/>
      <c r="R303" s="293"/>
      <c r="S303" s="100"/>
      <c r="T303" s="293"/>
      <c r="U303" s="2187"/>
      <c r="V303" s="2186"/>
      <c r="W303" s="293"/>
      <c r="X303" s="100"/>
      <c r="Y303" s="293"/>
      <c r="Z303" s="2187"/>
      <c r="AA303" s="2186"/>
      <c r="AB303" s="293"/>
      <c r="AC303" s="100"/>
      <c r="AD303" s="293"/>
      <c r="AE303" s="2187"/>
      <c r="AF303" s="4490"/>
      <c r="AG303" s="547"/>
      <c r="AH303" s="547"/>
      <c r="AI303" s="1244" t="s">
        <v>1129</v>
      </c>
      <c r="AJ303" s="18"/>
    </row>
    <row r="304" spans="2:36" ht="19.350000000000001" hidden="1" customHeight="1">
      <c r="B304" s="4505" t="s">
        <v>2281</v>
      </c>
      <c r="C304" s="4655"/>
      <c r="E304" s="286" t="s">
        <v>1843</v>
      </c>
      <c r="F304" s="285" t="s">
        <v>732</v>
      </c>
      <c r="G304" s="106"/>
      <c r="H304" s="353"/>
      <c r="I304" s="384"/>
      <c r="J304" s="777" t="s">
        <v>1137</v>
      </c>
      <c r="K304" s="109" t="s">
        <v>734</v>
      </c>
      <c r="L304" s="2186"/>
      <c r="M304" s="293"/>
      <c r="N304" s="100"/>
      <c r="O304" s="293"/>
      <c r="P304" s="2187"/>
      <c r="Q304" s="2186"/>
      <c r="R304" s="293"/>
      <c r="S304" s="100"/>
      <c r="T304" s="293"/>
      <c r="U304" s="2187"/>
      <c r="V304" s="2186"/>
      <c r="W304" s="293"/>
      <c r="X304" s="100"/>
      <c r="Y304" s="293"/>
      <c r="Z304" s="2187"/>
      <c r="AA304" s="2186"/>
      <c r="AB304" s="293"/>
      <c r="AC304" s="100"/>
      <c r="AD304" s="293"/>
      <c r="AE304" s="2187"/>
      <c r="AF304" s="4490"/>
      <c r="AG304" s="547"/>
      <c r="AH304" s="547"/>
      <c r="AI304" s="4662" t="s">
        <v>1129</v>
      </c>
      <c r="AJ304" s="18"/>
    </row>
    <row r="305" spans="2:36" ht="19.350000000000001" hidden="1" customHeight="1">
      <c r="B305" s="4505" t="s">
        <v>2281</v>
      </c>
      <c r="C305" s="4655"/>
      <c r="D305" s="286" t="s">
        <v>1844</v>
      </c>
      <c r="E305" s="286"/>
      <c r="F305" s="285" t="s">
        <v>154</v>
      </c>
      <c r="G305" s="106"/>
      <c r="H305" s="353"/>
      <c r="I305" s="495" t="s">
        <v>1140</v>
      </c>
      <c r="J305" s="643"/>
      <c r="K305" s="109" t="s">
        <v>154</v>
      </c>
      <c r="L305" s="2186"/>
      <c r="M305" s="92"/>
      <c r="N305" s="100"/>
      <c r="O305" s="92"/>
      <c r="P305" s="2187"/>
      <c r="Q305" s="2186"/>
      <c r="R305" s="92"/>
      <c r="S305" s="100"/>
      <c r="T305" s="92"/>
      <c r="U305" s="2187"/>
      <c r="V305" s="2186"/>
      <c r="W305" s="92"/>
      <c r="X305" s="100"/>
      <c r="Y305" s="92"/>
      <c r="Z305" s="2187"/>
      <c r="AA305" s="2186"/>
      <c r="AB305" s="293"/>
      <c r="AC305" s="100"/>
      <c r="AD305" s="293"/>
      <c r="AE305" s="2187"/>
      <c r="AF305" s="4490"/>
      <c r="AG305" s="547"/>
      <c r="AH305" s="547"/>
      <c r="AI305" s="4662" t="s">
        <v>1143</v>
      </c>
      <c r="AJ305" s="18"/>
    </row>
    <row r="306" spans="2:36" ht="19.350000000000001" hidden="1" customHeight="1">
      <c r="B306" s="4505" t="s">
        <v>2281</v>
      </c>
      <c r="C306" s="4655"/>
      <c r="D306" s="286" t="s">
        <v>1845</v>
      </c>
      <c r="E306" s="286"/>
      <c r="F306" s="285" t="s">
        <v>154</v>
      </c>
      <c r="G306" s="106"/>
      <c r="H306" s="353"/>
      <c r="I306" s="495" t="s">
        <v>1148</v>
      </c>
      <c r="J306" s="643"/>
      <c r="K306" s="109" t="s">
        <v>154</v>
      </c>
      <c r="L306" s="2186"/>
      <c r="M306" s="92"/>
      <c r="N306" s="100"/>
      <c r="O306" s="92"/>
      <c r="P306" s="2187"/>
      <c r="Q306" s="2186"/>
      <c r="R306" s="92"/>
      <c r="S306" s="100"/>
      <c r="T306" s="92"/>
      <c r="U306" s="2187"/>
      <c r="V306" s="2186"/>
      <c r="W306" s="92"/>
      <c r="X306" s="100"/>
      <c r="Y306" s="92"/>
      <c r="Z306" s="2187"/>
      <c r="AA306" s="2186"/>
      <c r="AB306" s="293"/>
      <c r="AC306" s="100"/>
      <c r="AD306" s="293"/>
      <c r="AE306" s="2187"/>
      <c r="AF306" s="4490"/>
      <c r="AG306" s="547"/>
      <c r="AH306" s="547"/>
      <c r="AI306" s="4662" t="s">
        <v>1143</v>
      </c>
      <c r="AJ306" s="18"/>
    </row>
    <row r="307" spans="2:36" ht="19.350000000000001" hidden="1" customHeight="1">
      <c r="B307" s="4505" t="s">
        <v>2281</v>
      </c>
      <c r="C307" s="4634"/>
      <c r="D307" s="286" t="s">
        <v>1846</v>
      </c>
      <c r="E307" s="286"/>
      <c r="F307" s="285" t="s">
        <v>154</v>
      </c>
      <c r="G307" s="106"/>
      <c r="H307" s="385"/>
      <c r="I307" s="495" t="s">
        <v>1151</v>
      </c>
      <c r="J307" s="643"/>
      <c r="K307" s="109" t="s">
        <v>154</v>
      </c>
      <c r="L307" s="2186"/>
      <c r="M307" s="92"/>
      <c r="N307" s="100"/>
      <c r="O307" s="92"/>
      <c r="P307" s="2187"/>
      <c r="Q307" s="2186"/>
      <c r="R307" s="92"/>
      <c r="S307" s="100"/>
      <c r="T307" s="92"/>
      <c r="U307" s="2187"/>
      <c r="V307" s="2186"/>
      <c r="W307" s="92"/>
      <c r="X307" s="100"/>
      <c r="Y307" s="92"/>
      <c r="Z307" s="2187"/>
      <c r="AA307" s="2186"/>
      <c r="AB307" s="92"/>
      <c r="AC307" s="100"/>
      <c r="AD307" s="92"/>
      <c r="AE307" s="2187"/>
      <c r="AF307" s="4490"/>
      <c r="AG307" s="547"/>
      <c r="AH307" s="547"/>
      <c r="AI307" s="1244" t="s">
        <v>1154</v>
      </c>
      <c r="AJ307" s="18"/>
    </row>
    <row r="308" spans="2:36" ht="19.350000000000001" customHeight="1">
      <c r="B308" s="4505" t="s">
        <v>2281</v>
      </c>
      <c r="C308" s="4658" t="s">
        <v>1157</v>
      </c>
      <c r="D308" s="736"/>
      <c r="E308" s="736"/>
      <c r="F308" s="2371" t="s">
        <v>732</v>
      </c>
      <c r="G308" s="168"/>
      <c r="H308" s="686" t="s">
        <v>1158</v>
      </c>
      <c r="I308" s="654"/>
      <c r="J308" s="655"/>
      <c r="K308" s="881" t="s">
        <v>734</v>
      </c>
      <c r="L308" s="2275"/>
      <c r="M308" s="171"/>
      <c r="N308" s="320"/>
      <c r="O308" s="171"/>
      <c r="P308" s="2276"/>
      <c r="Q308" s="2275"/>
      <c r="R308" s="171"/>
      <c r="S308" s="320"/>
      <c r="T308" s="171"/>
      <c r="U308" s="2276"/>
      <c r="V308" s="2275"/>
      <c r="W308" s="171"/>
      <c r="X308" s="320"/>
      <c r="Y308" s="171"/>
      <c r="Z308" s="2276"/>
      <c r="AA308" s="2275"/>
      <c r="AB308" s="171"/>
      <c r="AC308" s="320"/>
      <c r="AD308" s="171"/>
      <c r="AE308" s="2276"/>
      <c r="AF308" s="4585"/>
      <c r="AG308" s="4586"/>
      <c r="AH308" s="4586"/>
      <c r="AI308" s="4587"/>
      <c r="AJ308" s="18"/>
    </row>
    <row r="309" spans="2:36" ht="19.350000000000001" customHeight="1">
      <c r="B309" s="4505" t="s">
        <v>2281</v>
      </c>
      <c r="C309" s="4663"/>
      <c r="D309" s="286" t="s">
        <v>1847</v>
      </c>
      <c r="E309" s="286"/>
      <c r="F309" s="285" t="s">
        <v>732</v>
      </c>
      <c r="G309" s="106"/>
      <c r="H309" s="348"/>
      <c r="I309" s="358" t="s">
        <v>1160</v>
      </c>
      <c r="J309" s="358"/>
      <c r="K309" s="109" t="s">
        <v>734</v>
      </c>
      <c r="L309" s="2186"/>
      <c r="M309" s="293"/>
      <c r="N309" s="100"/>
      <c r="O309" s="293"/>
      <c r="P309" s="2187"/>
      <c r="Q309" s="2186"/>
      <c r="R309" s="293"/>
      <c r="S309" s="100"/>
      <c r="T309" s="293"/>
      <c r="U309" s="2187"/>
      <c r="V309" s="2186">
        <v>19</v>
      </c>
      <c r="W309" s="293"/>
      <c r="X309" s="100">
        <v>12</v>
      </c>
      <c r="Y309" s="293"/>
      <c r="Z309" s="2187">
        <v>3</v>
      </c>
      <c r="AA309" s="2186"/>
      <c r="AB309" s="293"/>
      <c r="AC309" s="100"/>
      <c r="AD309" s="293"/>
      <c r="AE309" s="2187"/>
      <c r="AF309" s="4490"/>
      <c r="AG309" s="547"/>
      <c r="AH309" s="547"/>
      <c r="AI309" s="1244" t="s">
        <v>1163</v>
      </c>
      <c r="AJ309" s="18"/>
    </row>
    <row r="310" spans="2:36" ht="19.350000000000001" customHeight="1">
      <c r="B310" s="4505" t="s">
        <v>2281</v>
      </c>
      <c r="C310" s="4664"/>
      <c r="D310" s="286" t="s">
        <v>1849</v>
      </c>
      <c r="E310" s="897"/>
      <c r="F310" s="285" t="s">
        <v>732</v>
      </c>
      <c r="G310" s="106"/>
      <c r="H310" s="385"/>
      <c r="I310" s="358" t="s">
        <v>3498</v>
      </c>
      <c r="J310" s="358"/>
      <c r="K310" s="109" t="s">
        <v>734</v>
      </c>
      <c r="L310" s="2186"/>
      <c r="M310" s="293"/>
      <c r="N310" s="100"/>
      <c r="O310" s="293"/>
      <c r="P310" s="2187"/>
      <c r="Q310" s="2186"/>
      <c r="R310" s="293"/>
      <c r="S310" s="100"/>
      <c r="T310" s="293"/>
      <c r="U310" s="2187"/>
      <c r="V310" s="2186">
        <v>13</v>
      </c>
      <c r="W310" s="293"/>
      <c r="X310" s="100">
        <v>7</v>
      </c>
      <c r="Y310" s="293"/>
      <c r="Z310" s="2187">
        <v>2</v>
      </c>
      <c r="AA310" s="2186"/>
      <c r="AB310" s="293"/>
      <c r="AC310" s="100"/>
      <c r="AD310" s="293"/>
      <c r="AE310" s="2187"/>
      <c r="AF310" s="4490"/>
      <c r="AG310" s="547"/>
      <c r="AH310" s="547"/>
      <c r="AI310" s="1244" t="s">
        <v>1163</v>
      </c>
      <c r="AJ310" s="18"/>
    </row>
    <row r="311" spans="2:36" ht="19.350000000000001" customHeight="1">
      <c r="B311" s="4505" t="s">
        <v>2281</v>
      </c>
      <c r="C311" s="4658" t="s">
        <v>1168</v>
      </c>
      <c r="D311" s="736"/>
      <c r="E311" s="736"/>
      <c r="F311" s="2371" t="s">
        <v>732</v>
      </c>
      <c r="G311" s="4659"/>
      <c r="H311" s="736" t="s">
        <v>1169</v>
      </c>
      <c r="I311" s="736"/>
      <c r="J311" s="736"/>
      <c r="K311" s="881" t="s">
        <v>168</v>
      </c>
      <c r="L311" s="2275"/>
      <c r="M311" s="413"/>
      <c r="N311" s="320"/>
      <c r="O311" s="413"/>
      <c r="P311" s="2276"/>
      <c r="Q311" s="2275"/>
      <c r="R311" s="413"/>
      <c r="S311" s="320"/>
      <c r="T311" s="413"/>
      <c r="U311" s="2276"/>
      <c r="V311" s="2275"/>
      <c r="W311" s="413"/>
      <c r="X311" s="320"/>
      <c r="Y311" s="413"/>
      <c r="Z311" s="2276"/>
      <c r="AA311" s="2275"/>
      <c r="AB311" s="413"/>
      <c r="AC311" s="320"/>
      <c r="AD311" s="413"/>
      <c r="AE311" s="2276"/>
      <c r="AF311" s="4585"/>
      <c r="AG311" s="4586"/>
      <c r="AH311" s="4586"/>
      <c r="AI311" s="4587"/>
      <c r="AJ311" s="18"/>
    </row>
    <row r="312" spans="2:36" ht="19.350000000000001" customHeight="1">
      <c r="B312" s="4505" t="s">
        <v>2281</v>
      </c>
      <c r="C312" s="4619"/>
      <c r="D312" s="286" t="s">
        <v>1850</v>
      </c>
      <c r="E312" s="286"/>
      <c r="F312" s="285" t="s">
        <v>732</v>
      </c>
      <c r="G312" s="106"/>
      <c r="H312" s="348"/>
      <c r="I312" s="495" t="s">
        <v>1171</v>
      </c>
      <c r="J312" s="643"/>
      <c r="K312" s="109" t="s">
        <v>734</v>
      </c>
      <c r="L312" s="2416" t="s">
        <v>2471</v>
      </c>
      <c r="M312" s="293">
        <v>2</v>
      </c>
      <c r="N312" s="899" t="s">
        <v>2471</v>
      </c>
      <c r="O312" s="293"/>
      <c r="P312" s="2417">
        <v>0</v>
      </c>
      <c r="Q312" s="2404">
        <v>0</v>
      </c>
      <c r="R312" s="293">
        <v>0</v>
      </c>
      <c r="S312" s="702">
        <v>0</v>
      </c>
      <c r="T312" s="293"/>
      <c r="U312" s="2417">
        <v>0</v>
      </c>
      <c r="V312" s="2404" t="s">
        <v>2472</v>
      </c>
      <c r="W312" s="293">
        <v>0</v>
      </c>
      <c r="X312" s="702" t="s">
        <v>2472</v>
      </c>
      <c r="Y312" s="293"/>
      <c r="Z312" s="2187" t="s">
        <v>2472</v>
      </c>
      <c r="AA312" s="2186"/>
      <c r="AB312" s="293"/>
      <c r="AC312" s="100"/>
      <c r="AD312" s="293"/>
      <c r="AE312" s="2187"/>
      <c r="AF312" s="4490"/>
      <c r="AG312" s="547"/>
      <c r="AH312" s="547"/>
      <c r="AI312" s="1244" t="s">
        <v>1174</v>
      </c>
      <c r="AJ312" s="18"/>
    </row>
    <row r="313" spans="2:36" ht="19.350000000000001" customHeight="1">
      <c r="B313" s="4505" t="s">
        <v>2281</v>
      </c>
      <c r="C313" s="4621"/>
      <c r="D313" s="286" t="s">
        <v>1180</v>
      </c>
      <c r="E313" s="286"/>
      <c r="F313" s="285" t="s">
        <v>742</v>
      </c>
      <c r="G313" s="106"/>
      <c r="H313" s="385"/>
      <c r="I313" s="286" t="s">
        <v>1181</v>
      </c>
      <c r="J313" s="286"/>
      <c r="K313" s="109" t="s">
        <v>734</v>
      </c>
      <c r="L313" s="2418">
        <v>0</v>
      </c>
      <c r="M313" s="426">
        <v>0</v>
      </c>
      <c r="N313" s="901">
        <v>0</v>
      </c>
      <c r="O313" s="426"/>
      <c r="P313" s="2419">
        <v>0</v>
      </c>
      <c r="Q313" s="2418">
        <v>0</v>
      </c>
      <c r="R313" s="426">
        <v>0</v>
      </c>
      <c r="S313" s="901">
        <v>0</v>
      </c>
      <c r="T313" s="426"/>
      <c r="U313" s="2419">
        <v>0</v>
      </c>
      <c r="V313" s="2418" t="s">
        <v>2472</v>
      </c>
      <c r="W313" s="426">
        <v>0</v>
      </c>
      <c r="X313" s="901" t="s">
        <v>2472</v>
      </c>
      <c r="Y313" s="426"/>
      <c r="Z313" s="2289" t="s">
        <v>2472</v>
      </c>
      <c r="AA313" s="2288"/>
      <c r="AB313" s="426"/>
      <c r="AC313" s="494"/>
      <c r="AD313" s="426"/>
      <c r="AE313" s="2289"/>
      <c r="AF313" s="4490"/>
      <c r="AG313" s="547"/>
      <c r="AH313" s="547"/>
      <c r="AI313" s="1244" t="s">
        <v>1174</v>
      </c>
      <c r="AJ313" s="18"/>
    </row>
    <row r="314" spans="2:36" ht="19.350000000000001" customHeight="1">
      <c r="B314" s="4505" t="s">
        <v>2281</v>
      </c>
      <c r="C314" s="4618" t="s">
        <v>1186</v>
      </c>
      <c r="D314" s="663"/>
      <c r="E314" s="4665"/>
      <c r="F314" s="4653" t="s">
        <v>168</v>
      </c>
      <c r="G314" s="4659"/>
      <c r="H314" s="736" t="s">
        <v>1187</v>
      </c>
      <c r="I314" s="736"/>
      <c r="J314" s="736"/>
      <c r="K314" s="881" t="s">
        <v>168</v>
      </c>
      <c r="L314" s="2420"/>
      <c r="M314" s="904"/>
      <c r="N314" s="903"/>
      <c r="O314" s="904"/>
      <c r="P314" s="2421"/>
      <c r="Q314" s="2420"/>
      <c r="R314" s="904"/>
      <c r="S314" s="903"/>
      <c r="T314" s="904"/>
      <c r="U314" s="2421"/>
      <c r="V314" s="2420"/>
      <c r="W314" s="904"/>
      <c r="X314" s="903"/>
      <c r="Y314" s="904"/>
      <c r="Z314" s="2464"/>
      <c r="AA314" s="2504"/>
      <c r="AB314" s="904"/>
      <c r="AC314" s="902"/>
      <c r="AD314" s="904"/>
      <c r="AE314" s="2464"/>
      <c r="AF314" s="4585"/>
      <c r="AG314" s="4586"/>
      <c r="AH314" s="4586"/>
      <c r="AI314" s="4587"/>
      <c r="AJ314" s="18"/>
    </row>
    <row r="315" spans="2:36" ht="19.350000000000001" customHeight="1">
      <c r="B315" s="4505" t="s">
        <v>2281</v>
      </c>
      <c r="C315" s="4619"/>
      <c r="D315" s="286" t="s">
        <v>1188</v>
      </c>
      <c r="E315" s="286"/>
      <c r="F315" s="285" t="s">
        <v>156</v>
      </c>
      <c r="G315" s="909"/>
      <c r="H315" s="906"/>
      <c r="I315" s="961" t="s">
        <v>1189</v>
      </c>
      <c r="J315" s="4666"/>
      <c r="K315" s="109" t="s">
        <v>156</v>
      </c>
      <c r="L315" s="2404">
        <v>92.694497153700198</v>
      </c>
      <c r="M315" s="92"/>
      <c r="N315" s="702">
        <v>94.71947194719472</v>
      </c>
      <c r="O315" s="92"/>
      <c r="P315" s="2187"/>
      <c r="Q315" s="2404">
        <v>94.858156028368796</v>
      </c>
      <c r="R315" s="92"/>
      <c r="S315" s="702">
        <v>93.934142114384741</v>
      </c>
      <c r="T315" s="92"/>
      <c r="U315" s="2187"/>
      <c r="V315" s="2404">
        <v>95.778364116094977</v>
      </c>
      <c r="W315" s="92"/>
      <c r="X315" s="702">
        <v>89.258312020460366</v>
      </c>
      <c r="Y315" s="92"/>
      <c r="Z315" s="2187">
        <v>0</v>
      </c>
      <c r="AA315" s="2186"/>
      <c r="AB315" s="293"/>
      <c r="AC315" s="100"/>
      <c r="AD315" s="293"/>
      <c r="AE315" s="2187"/>
      <c r="AF315" s="4490"/>
      <c r="AG315" s="547"/>
      <c r="AH315" s="547"/>
      <c r="AI315" s="1244" t="s">
        <v>1192</v>
      </c>
      <c r="AJ315" s="18"/>
    </row>
    <row r="316" spans="2:36" ht="19.350000000000001" customHeight="1">
      <c r="B316" s="4505" t="s">
        <v>2281</v>
      </c>
      <c r="C316" s="4620"/>
      <c r="D316" s="286" t="s">
        <v>1196</v>
      </c>
      <c r="E316" s="286"/>
      <c r="F316" s="285" t="s">
        <v>156</v>
      </c>
      <c r="G316" s="909"/>
      <c r="H316" s="910"/>
      <c r="I316" s="961" t="s">
        <v>1197</v>
      </c>
      <c r="J316" s="4666"/>
      <c r="K316" s="109" t="s">
        <v>156</v>
      </c>
      <c r="L316" s="2404">
        <v>92.694497153700198</v>
      </c>
      <c r="M316" s="92"/>
      <c r="N316" s="702">
        <v>94.71947194719472</v>
      </c>
      <c r="O316" s="92"/>
      <c r="P316" s="2187"/>
      <c r="Q316" s="2404">
        <v>94.858156028368796</v>
      </c>
      <c r="R316" s="92"/>
      <c r="S316" s="702">
        <v>93.934142114384741</v>
      </c>
      <c r="T316" s="92"/>
      <c r="U316" s="2187"/>
      <c r="V316" s="2404">
        <v>96.569920844327171</v>
      </c>
      <c r="W316" s="92"/>
      <c r="X316" s="702">
        <v>90.025575447570333</v>
      </c>
      <c r="Y316" s="92"/>
      <c r="Z316" s="2187">
        <v>0</v>
      </c>
      <c r="AA316" s="2186"/>
      <c r="AB316" s="293"/>
      <c r="AC316" s="100"/>
      <c r="AD316" s="293"/>
      <c r="AE316" s="2187"/>
      <c r="AF316" s="4490"/>
      <c r="AG316" s="547"/>
      <c r="AH316" s="547"/>
      <c r="AI316" s="1244" t="s">
        <v>1192</v>
      </c>
      <c r="AJ316" s="18"/>
    </row>
    <row r="317" spans="2:36" ht="19.350000000000001" customHeight="1">
      <c r="B317" s="4505" t="s">
        <v>2281</v>
      </c>
      <c r="C317" s="4621"/>
      <c r="D317" s="893" t="s">
        <v>1198</v>
      </c>
      <c r="E317" s="911"/>
      <c r="F317" s="285" t="s">
        <v>156</v>
      </c>
      <c r="G317" s="909"/>
      <c r="H317" s="913"/>
      <c r="I317" s="777" t="s">
        <v>1852</v>
      </c>
      <c r="J317" s="777"/>
      <c r="K317" s="109" t="s">
        <v>156</v>
      </c>
      <c r="L317" s="2404">
        <v>92.694497153700198</v>
      </c>
      <c r="M317" s="92"/>
      <c r="N317" s="702">
        <v>94.71947194719472</v>
      </c>
      <c r="O317" s="92"/>
      <c r="P317" s="2187"/>
      <c r="Q317" s="2404">
        <v>94.858156028368796</v>
      </c>
      <c r="R317" s="92"/>
      <c r="S317" s="702">
        <v>93.934142114384741</v>
      </c>
      <c r="T317" s="92"/>
      <c r="U317" s="2187"/>
      <c r="V317" s="2404">
        <v>96.569920844327171</v>
      </c>
      <c r="W317" s="92"/>
      <c r="X317" s="702">
        <v>90.025575447570333</v>
      </c>
      <c r="Y317" s="92"/>
      <c r="Z317" s="2187">
        <v>0</v>
      </c>
      <c r="AA317" s="2186"/>
      <c r="AB317" s="293"/>
      <c r="AC317" s="100"/>
      <c r="AD317" s="293"/>
      <c r="AE317" s="2187"/>
      <c r="AF317" s="4490"/>
      <c r="AG317" s="546"/>
      <c r="AH317" s="547"/>
      <c r="AI317" s="1244" t="s">
        <v>1192</v>
      </c>
      <c r="AJ317" s="18"/>
    </row>
    <row r="318" spans="2:36" ht="19.350000000000001" customHeight="1">
      <c r="B318" s="4505" t="s">
        <v>2281</v>
      </c>
      <c r="C318" s="1878" t="s">
        <v>1200</v>
      </c>
      <c r="D318" s="781"/>
      <c r="E318" s="781"/>
      <c r="F318" s="285" t="s">
        <v>156</v>
      </c>
      <c r="G318" s="909"/>
      <c r="H318" s="757" t="s">
        <v>1201</v>
      </c>
      <c r="I318" s="757"/>
      <c r="J318" s="4666"/>
      <c r="K318" s="109" t="s">
        <v>156</v>
      </c>
      <c r="L318" s="2226">
        <f t="shared" ref="L318" si="21">IFERROR(L319/L320*100,"-")</f>
        <v>8302.3336329535396</v>
      </c>
      <c r="M318" s="293"/>
      <c r="N318" s="356">
        <f>IFERROR(N319/N320*100,"-")</f>
        <v>6970.5534619517111</v>
      </c>
      <c r="O318" s="293"/>
      <c r="P318" s="2241" t="str">
        <f>IFERROR(P319/P320*100,"-")</f>
        <v>-</v>
      </c>
      <c r="Q318" s="2226">
        <f>IFERROR(Q319/Q320*100,"-")</f>
        <v>7.8456599564427547</v>
      </c>
      <c r="R318" s="293"/>
      <c r="S318" s="356">
        <f>IFERROR(S319/S320*100,"-")</f>
        <v>7.3792618859629826</v>
      </c>
      <c r="T318" s="293"/>
      <c r="U318" s="2241" t="str">
        <f>IFERROR(U319/U320*100,"-")</f>
        <v>-</v>
      </c>
      <c r="V318" s="2270">
        <f>IFERROR(V319/V320*100,"-")</f>
        <v>3.9979412259403513</v>
      </c>
      <c r="W318" s="563"/>
      <c r="X318" s="391">
        <f>IFERROR(X319/X320*100,"-")</f>
        <v>3.1804838441454444</v>
      </c>
      <c r="Y318" s="563"/>
      <c r="Z318" s="2216">
        <f>IFERROR(Z319/Z320*100,"-")</f>
        <v>3.4376570203324226</v>
      </c>
      <c r="AA318" s="2226" t="str">
        <f>IFERROR(AA319/AA320*100,"-")</f>
        <v>-</v>
      </c>
      <c r="AB318" s="293"/>
      <c r="AC318" s="356" t="str">
        <f>IFERROR(AC319/AC320*100,"-")</f>
        <v>-</v>
      </c>
      <c r="AD318" s="293"/>
      <c r="AE318" s="2241" t="str">
        <f>IFERROR(AE319/AE320*100,"-")</f>
        <v>-</v>
      </c>
      <c r="AF318" s="4667"/>
      <c r="AG318" s="547"/>
      <c r="AH318" s="547"/>
      <c r="AI318" s="1244" t="s">
        <v>1204</v>
      </c>
      <c r="AJ318" s="18"/>
    </row>
    <row r="319" spans="2:36" ht="19.350000000000001" customHeight="1">
      <c r="B319" s="4505" t="s">
        <v>2281</v>
      </c>
      <c r="C319" s="4632"/>
      <c r="D319" s="914" t="s">
        <v>1205</v>
      </c>
      <c r="E319" s="915"/>
      <c r="F319" s="285" t="s">
        <v>33</v>
      </c>
      <c r="G319" s="909"/>
      <c r="H319" s="905"/>
      <c r="I319" s="913" t="s">
        <v>1206</v>
      </c>
      <c r="J319" s="913"/>
      <c r="K319" s="109" t="s">
        <v>35</v>
      </c>
      <c r="L319" s="2414">
        <v>195954584.22174096</v>
      </c>
      <c r="M319" s="919" t="s">
        <v>3180</v>
      </c>
      <c r="N319" s="802">
        <v>165088566.73236036</v>
      </c>
      <c r="O319" s="919" t="s">
        <v>2482</v>
      </c>
      <c r="P319" s="2268"/>
      <c r="Q319" s="2414">
        <v>195283.10768738901</v>
      </c>
      <c r="R319" s="919" t="s">
        <v>1214</v>
      </c>
      <c r="S319" s="802">
        <v>230961.32265972221</v>
      </c>
      <c r="T319" s="919" t="s">
        <v>1214</v>
      </c>
      <c r="U319" s="2268"/>
      <c r="V319" s="2414">
        <v>79152000</v>
      </c>
      <c r="W319" s="877" t="s">
        <v>148</v>
      </c>
      <c r="X319" s="802">
        <v>79752000</v>
      </c>
      <c r="Y319" s="877" t="s">
        <v>148</v>
      </c>
      <c r="Z319" s="2268">
        <v>82920000</v>
      </c>
      <c r="AA319" s="2267"/>
      <c r="AB319" s="877"/>
      <c r="AC319" s="335"/>
      <c r="AD319" s="877"/>
      <c r="AE319" s="2268"/>
      <c r="AF319" s="4668"/>
      <c r="AG319" s="547"/>
      <c r="AH319" s="547"/>
      <c r="AI319" s="1244" t="s">
        <v>1204</v>
      </c>
      <c r="AJ319" s="18"/>
    </row>
    <row r="320" spans="2:36" ht="19.149999999999999" customHeight="1">
      <c r="B320" s="4505" t="s">
        <v>2281</v>
      </c>
      <c r="C320" s="4634"/>
      <c r="D320" s="920" t="s">
        <v>1215</v>
      </c>
      <c r="E320" s="921"/>
      <c r="F320" s="285" t="s">
        <v>33</v>
      </c>
      <c r="G320" s="909"/>
      <c r="H320" s="912"/>
      <c r="I320" s="922" t="s">
        <v>1216</v>
      </c>
      <c r="J320" s="922"/>
      <c r="K320" s="109" t="s">
        <v>35</v>
      </c>
      <c r="L320" s="2404">
        <v>2360235</v>
      </c>
      <c r="M320" s="294" t="s">
        <v>2484</v>
      </c>
      <c r="N320" s="702">
        <v>2368371</v>
      </c>
      <c r="O320" s="294" t="s">
        <v>2484</v>
      </c>
      <c r="P320" s="2187"/>
      <c r="Q320" s="2404">
        <v>2489059.0309999995</v>
      </c>
      <c r="R320" s="294" t="s">
        <v>1214</v>
      </c>
      <c r="S320" s="702">
        <v>3129870.2530000005</v>
      </c>
      <c r="T320" s="294" t="s">
        <v>1214</v>
      </c>
      <c r="U320" s="2187"/>
      <c r="V320" s="2404">
        <v>1979819000</v>
      </c>
      <c r="W320" s="877" t="s">
        <v>148</v>
      </c>
      <c r="X320" s="702">
        <v>2507543000</v>
      </c>
      <c r="Y320" s="877" t="s">
        <v>148</v>
      </c>
      <c r="Z320" s="2187">
        <v>2412108000</v>
      </c>
      <c r="AA320" s="2186"/>
      <c r="AB320" s="293"/>
      <c r="AC320" s="100"/>
      <c r="AD320" s="293"/>
      <c r="AE320" s="2187"/>
      <c r="AF320" s="4668"/>
      <c r="AG320" s="547"/>
      <c r="AH320" s="547"/>
      <c r="AI320" s="1244" t="s">
        <v>1204</v>
      </c>
      <c r="AJ320" s="18"/>
    </row>
    <row r="321" spans="1:37" ht="19.350000000000001" hidden="1" customHeight="1">
      <c r="B321" s="4505" t="s">
        <v>2281</v>
      </c>
      <c r="C321" s="4669" t="s">
        <v>1221</v>
      </c>
      <c r="D321" s="924"/>
      <c r="E321" s="924"/>
      <c r="F321" s="285" t="s">
        <v>156</v>
      </c>
      <c r="G321" s="909"/>
      <c r="H321" s="925" t="s">
        <v>1222</v>
      </c>
      <c r="I321" s="925"/>
      <c r="J321" s="922"/>
      <c r="K321" s="109" t="s">
        <v>156</v>
      </c>
      <c r="L321" s="2270">
        <f t="shared" ref="L321" si="22">IFERROR(L322/L323*100,"-")</f>
        <v>0</v>
      </c>
      <c r="M321" s="929"/>
      <c r="N321" s="391">
        <f>IFERROR(N322/N323*100,"-")</f>
        <v>0</v>
      </c>
      <c r="O321" s="930"/>
      <c r="P321" s="2216" t="str">
        <f>IFERROR(P322/P323*100,"-")</f>
        <v>-</v>
      </c>
      <c r="Q321" s="2270">
        <f>IFERROR(Q322/Q323*100,"-")</f>
        <v>0</v>
      </c>
      <c r="R321" s="930"/>
      <c r="S321" s="391">
        <f>IFERROR(S322/S323*100,"-")</f>
        <v>0</v>
      </c>
      <c r="T321" s="930"/>
      <c r="U321" s="2216" t="str">
        <f>IFERROR(U322/U323*100,"-")</f>
        <v>-</v>
      </c>
      <c r="V321" s="2270">
        <f>IFERROR(V322/V323*100,"-")</f>
        <v>0</v>
      </c>
      <c r="W321" s="929"/>
      <c r="X321" s="391">
        <f>IFERROR(X322/X323*100,"-")</f>
        <v>0</v>
      </c>
      <c r="Y321" s="929"/>
      <c r="Z321" s="2216">
        <f>IFERROR(Z322/Z323*100,"-")</f>
        <v>0</v>
      </c>
      <c r="AA321" s="2270" t="str">
        <f>IFERROR(AA322/AA323*100,"-")</f>
        <v>-</v>
      </c>
      <c r="AB321" s="929"/>
      <c r="AC321" s="391" t="str">
        <f>IFERROR(AC322/AC323*100,"-")</f>
        <v>-</v>
      </c>
      <c r="AD321" s="929"/>
      <c r="AE321" s="2216" t="str">
        <f>IFERROR(AE322/AE323*100,"-")</f>
        <v>-</v>
      </c>
      <c r="AF321" s="4668"/>
      <c r="AG321" s="547"/>
      <c r="AH321" s="547"/>
      <c r="AI321" s="1244" t="s">
        <v>1225</v>
      </c>
      <c r="AJ321" s="18"/>
    </row>
    <row r="322" spans="1:37" ht="19.350000000000001" hidden="1" customHeight="1" thickBot="1">
      <c r="B322" s="4505" t="s">
        <v>2281</v>
      </c>
      <c r="C322" s="1914"/>
      <c r="D322" s="931" t="s">
        <v>1226</v>
      </c>
      <c r="E322" s="931"/>
      <c r="F322" s="285" t="s">
        <v>33</v>
      </c>
      <c r="G322" s="909"/>
      <c r="H322" s="922"/>
      <c r="I322" s="932" t="s">
        <v>1227</v>
      </c>
      <c r="J322" s="922"/>
      <c r="K322" s="109" t="s">
        <v>35</v>
      </c>
      <c r="L322" s="2186"/>
      <c r="M322" s="935"/>
      <c r="N322" s="100"/>
      <c r="O322" s="935"/>
      <c r="P322" s="2187"/>
      <c r="Q322" s="2186"/>
      <c r="R322" s="284"/>
      <c r="S322" s="100"/>
      <c r="T322" s="935"/>
      <c r="U322" s="2187"/>
      <c r="V322" s="2186"/>
      <c r="W322" s="284"/>
      <c r="X322" s="100"/>
      <c r="Y322" s="284"/>
      <c r="Z322" s="2187"/>
      <c r="AA322" s="2186"/>
      <c r="AB322" s="284"/>
      <c r="AC322" s="100"/>
      <c r="AD322" s="284"/>
      <c r="AE322" s="2187"/>
      <c r="AF322" s="4668"/>
      <c r="AG322" s="547"/>
      <c r="AH322" s="547"/>
      <c r="AI322" s="1244" t="s">
        <v>1225</v>
      </c>
      <c r="AJ322" s="18"/>
    </row>
    <row r="323" spans="1:37" ht="19.350000000000001" hidden="1" customHeight="1" thickBot="1">
      <c r="B323" s="4505" t="s">
        <v>2281</v>
      </c>
      <c r="C323" s="1915"/>
      <c r="D323" s="936" t="s">
        <v>1031</v>
      </c>
      <c r="E323" s="924"/>
      <c r="F323" s="285" t="s">
        <v>33</v>
      </c>
      <c r="G323" s="909"/>
      <c r="H323" s="922"/>
      <c r="I323" s="932" t="s">
        <v>1032</v>
      </c>
      <c r="J323" s="922"/>
      <c r="K323" s="109" t="s">
        <v>35</v>
      </c>
      <c r="L323" s="2422">
        <v>1054</v>
      </c>
      <c r="M323" s="941"/>
      <c r="N323" s="937">
        <v>909</v>
      </c>
      <c r="O323" s="941"/>
      <c r="P323" s="2283">
        <v>0</v>
      </c>
      <c r="Q323" s="2422">
        <v>1105</v>
      </c>
      <c r="R323" s="941"/>
      <c r="S323" s="937">
        <v>2446</v>
      </c>
      <c r="T323" s="941"/>
      <c r="U323" s="2283">
        <v>0</v>
      </c>
      <c r="V323" s="2422">
        <v>381</v>
      </c>
      <c r="W323" s="939"/>
      <c r="X323" s="937">
        <v>393</v>
      </c>
      <c r="Y323" s="939"/>
      <c r="Z323" s="2283">
        <v>393</v>
      </c>
      <c r="AA323" s="2422">
        <v>0</v>
      </c>
      <c r="AB323" s="939"/>
      <c r="AC323" s="937">
        <v>0</v>
      </c>
      <c r="AD323" s="939"/>
      <c r="AE323" s="2283">
        <v>0</v>
      </c>
      <c r="AF323" s="4668"/>
      <c r="AG323" s="547"/>
      <c r="AH323" s="547"/>
      <c r="AI323" s="1244" t="s">
        <v>1225</v>
      </c>
      <c r="AJ323" s="18"/>
    </row>
    <row r="324" spans="1:37" ht="19.350000000000001" customHeight="1" thickBot="1">
      <c r="B324" s="4505" t="s">
        <v>2281</v>
      </c>
      <c r="C324" s="4669" t="s">
        <v>1229</v>
      </c>
      <c r="D324" s="924"/>
      <c r="E324" s="924"/>
      <c r="F324" s="942" t="s">
        <v>156</v>
      </c>
      <c r="G324" s="384"/>
      <c r="H324" s="943" t="s">
        <v>1230</v>
      </c>
      <c r="I324" s="944"/>
      <c r="J324" s="945"/>
      <c r="K324" s="873" t="s">
        <v>156</v>
      </c>
      <c r="L324" s="2267"/>
      <c r="M324" s="877"/>
      <c r="N324" s="335"/>
      <c r="O324" s="877"/>
      <c r="P324" s="2268"/>
      <c r="Q324" s="2267"/>
      <c r="R324" s="877"/>
      <c r="S324" s="335"/>
      <c r="T324" s="877"/>
      <c r="U324" s="2268"/>
      <c r="V324" s="2267"/>
      <c r="W324" s="877"/>
      <c r="X324" s="335"/>
      <c r="Y324" s="877"/>
      <c r="Z324" s="2268"/>
      <c r="AA324" s="2267"/>
      <c r="AB324" s="877"/>
      <c r="AC324" s="335"/>
      <c r="AD324" s="877"/>
      <c r="AE324" s="2268"/>
      <c r="AF324" s="4667"/>
      <c r="AG324" s="547"/>
      <c r="AH324" s="547"/>
      <c r="AI324" s="4527" t="s">
        <v>3499</v>
      </c>
      <c r="AJ324" s="18"/>
    </row>
    <row r="325" spans="1:37" ht="27" thickBot="1">
      <c r="B325" s="4505" t="s">
        <v>2281</v>
      </c>
      <c r="C325" s="123" t="s">
        <v>1234</v>
      </c>
      <c r="D325" s="124"/>
      <c r="E325" s="124"/>
      <c r="F325" s="124"/>
      <c r="G325" s="519" t="s">
        <v>3500</v>
      </c>
      <c r="H325" s="126"/>
      <c r="I325" s="126"/>
      <c r="J325" s="126"/>
      <c r="K325" s="124"/>
      <c r="L325" s="2175"/>
      <c r="M325" s="148"/>
      <c r="N325" s="148"/>
      <c r="O325" s="148"/>
      <c r="P325" s="2176"/>
      <c r="Q325" s="2175"/>
      <c r="R325" s="148"/>
      <c r="S325" s="148"/>
      <c r="T325" s="148"/>
      <c r="U325" s="2176"/>
      <c r="V325" s="2175"/>
      <c r="W325" s="148"/>
      <c r="X325" s="148"/>
      <c r="Y325" s="148"/>
      <c r="Z325" s="2176"/>
      <c r="AA325" s="2175"/>
      <c r="AB325" s="148"/>
      <c r="AC325" s="148"/>
      <c r="AD325" s="148"/>
      <c r="AE325" s="2176"/>
      <c r="AF325" s="2175"/>
      <c r="AG325" s="148"/>
      <c r="AH325" s="80"/>
      <c r="AI325" s="4670"/>
      <c r="AJ325"/>
      <c r="AK325"/>
    </row>
    <row r="326" spans="1:37" s="139" customFormat="1" ht="20.100000000000001" customHeight="1">
      <c r="A326" s="11"/>
      <c r="B326" s="4505" t="s">
        <v>2281</v>
      </c>
      <c r="C326" s="4671" t="s">
        <v>1236</v>
      </c>
      <c r="D326" s="947"/>
      <c r="E326" s="947"/>
      <c r="F326" s="4614" t="s">
        <v>168</v>
      </c>
      <c r="G326" s="4672"/>
      <c r="H326" s="949" t="s">
        <v>1237</v>
      </c>
      <c r="I326" s="949"/>
      <c r="J326" s="950"/>
      <c r="K326" s="731" t="s">
        <v>168</v>
      </c>
      <c r="L326" s="2423"/>
      <c r="M326" s="954"/>
      <c r="N326" s="953"/>
      <c r="O326" s="954"/>
      <c r="P326" s="2424"/>
      <c r="Q326" s="2423"/>
      <c r="R326" s="954"/>
      <c r="S326" s="953"/>
      <c r="T326" s="954"/>
      <c r="U326" s="2424"/>
      <c r="V326" s="2423"/>
      <c r="W326" s="954"/>
      <c r="X326" s="953"/>
      <c r="Y326" s="954"/>
      <c r="Z326" s="2424"/>
      <c r="AA326" s="2423"/>
      <c r="AB326" s="954"/>
      <c r="AC326" s="953"/>
      <c r="AD326" s="954"/>
      <c r="AE326" s="2424"/>
      <c r="AF326" s="4673"/>
      <c r="AG326" s="956"/>
      <c r="AH326" s="956"/>
      <c r="AI326" s="4674"/>
      <c r="AJ326" s="18"/>
    </row>
    <row r="327" spans="1:37" ht="20.100000000000001" customHeight="1">
      <c r="B327" s="4505" t="s">
        <v>2281</v>
      </c>
      <c r="C327" s="4523"/>
      <c r="D327" s="893" t="s">
        <v>1238</v>
      </c>
      <c r="E327" s="893"/>
      <c r="F327" s="492" t="s">
        <v>154</v>
      </c>
      <c r="G327" s="662"/>
      <c r="H327" s="322"/>
      <c r="I327" s="344" t="s">
        <v>1239</v>
      </c>
      <c r="J327" s="296"/>
      <c r="K327" s="91" t="s">
        <v>154</v>
      </c>
      <c r="L327" s="2286"/>
      <c r="M327" s="960"/>
      <c r="N327" s="959"/>
      <c r="O327" s="960"/>
      <c r="P327" s="2425"/>
      <c r="Q327" s="2286"/>
      <c r="R327" s="960"/>
      <c r="S327" s="959"/>
      <c r="T327" s="960"/>
      <c r="U327" s="2425"/>
      <c r="V327" s="2286">
        <v>0</v>
      </c>
      <c r="W327" s="960"/>
      <c r="X327" s="959">
        <v>0</v>
      </c>
      <c r="Y327" s="960"/>
      <c r="Z327" s="2425">
        <v>0</v>
      </c>
      <c r="AA327" s="2286"/>
      <c r="AB327" s="960"/>
      <c r="AC327" s="959"/>
      <c r="AD327" s="960"/>
      <c r="AE327" s="2425"/>
      <c r="AF327" s="4667"/>
      <c r="AG327" s="547"/>
      <c r="AH327" s="547"/>
      <c r="AI327" s="4662" t="s">
        <v>1240</v>
      </c>
      <c r="AJ327" s="18"/>
    </row>
    <row r="328" spans="1:37" ht="20.100000000000001" hidden="1" customHeight="1">
      <c r="B328" s="4505" t="s">
        <v>2281</v>
      </c>
      <c r="C328" s="4523"/>
      <c r="D328" s="893" t="s">
        <v>1242</v>
      </c>
      <c r="E328" s="893"/>
      <c r="F328" s="492" t="s">
        <v>154</v>
      </c>
      <c r="G328" s="662"/>
      <c r="H328" s="322"/>
      <c r="I328" s="961" t="s">
        <v>1243</v>
      </c>
      <c r="J328" s="922"/>
      <c r="K328" s="136" t="s">
        <v>154</v>
      </c>
      <c r="L328" s="2228"/>
      <c r="M328" s="382"/>
      <c r="N328" s="260"/>
      <c r="O328" s="382"/>
      <c r="P328" s="2287"/>
      <c r="Q328" s="2228"/>
      <c r="R328" s="382"/>
      <c r="S328" s="260"/>
      <c r="T328" s="382"/>
      <c r="U328" s="2287"/>
      <c r="V328" s="2228"/>
      <c r="W328" s="382"/>
      <c r="X328" s="260"/>
      <c r="Y328" s="382"/>
      <c r="Z328" s="2287"/>
      <c r="AA328" s="2228"/>
      <c r="AB328" s="382"/>
      <c r="AC328" s="260"/>
      <c r="AD328" s="382"/>
      <c r="AE328" s="2287"/>
      <c r="AF328" s="4668"/>
      <c r="AG328" s="547"/>
      <c r="AH328" s="547"/>
      <c r="AI328" s="4662" t="s">
        <v>1244</v>
      </c>
      <c r="AJ328" s="18"/>
    </row>
    <row r="329" spans="1:37" ht="20.100000000000001" customHeight="1">
      <c r="B329" s="4505" t="s">
        <v>2281</v>
      </c>
      <c r="C329" s="4523"/>
      <c r="D329" s="931" t="s">
        <v>1246</v>
      </c>
      <c r="E329" s="931"/>
      <c r="F329" s="132" t="s">
        <v>154</v>
      </c>
      <c r="G329" s="662"/>
      <c r="H329" s="322"/>
      <c r="I329" s="932" t="s">
        <v>1247</v>
      </c>
      <c r="J329" s="922"/>
      <c r="K329" s="136" t="s">
        <v>154</v>
      </c>
      <c r="L329" s="2228"/>
      <c r="M329" s="382"/>
      <c r="N329" s="260"/>
      <c r="O329" s="382"/>
      <c r="P329" s="2287"/>
      <c r="Q329" s="2228"/>
      <c r="R329" s="382"/>
      <c r="S329" s="260"/>
      <c r="T329" s="382"/>
      <c r="U329" s="2287"/>
      <c r="V329" s="2426">
        <f>(1/381)*100</f>
        <v>0.26246719160104987</v>
      </c>
      <c r="W329" s="382"/>
      <c r="X329" s="2426">
        <f>(2/393)*100</f>
        <v>0.5089058524173028</v>
      </c>
      <c r="Y329" s="382"/>
      <c r="Z329" s="2426">
        <f>(1/412)*100</f>
        <v>0.24271844660194172</v>
      </c>
      <c r="AA329" s="2228"/>
      <c r="AB329" s="382"/>
      <c r="AC329" s="260"/>
      <c r="AD329" s="382"/>
      <c r="AE329" s="2287"/>
      <c r="AF329" s="4668"/>
      <c r="AG329" s="547"/>
      <c r="AH329" s="547"/>
      <c r="AI329" s="4662" t="s">
        <v>1240</v>
      </c>
      <c r="AJ329" s="18"/>
    </row>
    <row r="330" spans="1:37" s="139" customFormat="1" ht="20.100000000000001" hidden="1" customHeight="1">
      <c r="A330" s="11"/>
      <c r="B330" s="4505" t="s">
        <v>2281</v>
      </c>
      <c r="C330" s="4675"/>
      <c r="D330" s="931" t="s">
        <v>1248</v>
      </c>
      <c r="E330" s="931"/>
      <c r="F330" s="132" t="s">
        <v>154</v>
      </c>
      <c r="G330" s="662"/>
      <c r="H330" s="296"/>
      <c r="I330" s="932" t="s">
        <v>1249</v>
      </c>
      <c r="J330" s="922"/>
      <c r="K330" s="136" t="s">
        <v>154</v>
      </c>
      <c r="L330" s="2228"/>
      <c r="M330" s="382"/>
      <c r="N330" s="260"/>
      <c r="O330" s="382"/>
      <c r="P330" s="2287"/>
      <c r="Q330" s="2228"/>
      <c r="R330" s="382"/>
      <c r="S330" s="260"/>
      <c r="T330" s="382"/>
      <c r="U330" s="2287"/>
      <c r="V330" s="2228"/>
      <c r="W330" s="382"/>
      <c r="X330" s="260"/>
      <c r="Y330" s="382"/>
      <c r="Z330" s="2287"/>
      <c r="AA330" s="2228"/>
      <c r="AB330" s="382"/>
      <c r="AC330" s="260"/>
      <c r="AD330" s="382"/>
      <c r="AE330" s="2287"/>
      <c r="AF330" s="4668"/>
      <c r="AG330" s="547"/>
      <c r="AH330" s="547"/>
      <c r="AI330" s="4662" t="s">
        <v>1244</v>
      </c>
      <c r="AJ330" s="18"/>
    </row>
    <row r="331" spans="1:37" ht="20.100000000000001" customHeight="1">
      <c r="B331" s="4505" t="s">
        <v>2281</v>
      </c>
      <c r="C331" s="1878" t="s">
        <v>1250</v>
      </c>
      <c r="D331" s="781"/>
      <c r="E331" s="781"/>
      <c r="F331" s="132" t="s">
        <v>557</v>
      </c>
      <c r="G331" s="909"/>
      <c r="H331" s="757" t="s">
        <v>1251</v>
      </c>
      <c r="I331" s="757"/>
      <c r="J331" s="4666"/>
      <c r="K331" s="109" t="s">
        <v>559</v>
      </c>
      <c r="L331" s="2228">
        <v>3</v>
      </c>
      <c r="M331" s="383" t="s">
        <v>1256</v>
      </c>
      <c r="N331" s="260">
        <v>2</v>
      </c>
      <c r="O331" s="382" t="s">
        <v>1257</v>
      </c>
      <c r="P331" s="2287"/>
      <c r="Q331" s="2228">
        <v>0</v>
      </c>
      <c r="R331" s="382">
        <v>0</v>
      </c>
      <c r="S331" s="260">
        <v>0</v>
      </c>
      <c r="T331" s="382">
        <v>0</v>
      </c>
      <c r="U331" s="2287"/>
      <c r="V331" s="2228">
        <v>1</v>
      </c>
      <c r="W331" s="382"/>
      <c r="X331" s="260">
        <v>2</v>
      </c>
      <c r="Y331" s="382"/>
      <c r="Z331" s="2287">
        <v>1</v>
      </c>
      <c r="AA331" s="2228"/>
      <c r="AB331" s="382"/>
      <c r="AC331" s="260"/>
      <c r="AD331" s="382"/>
      <c r="AE331" s="2287"/>
      <c r="AF331" s="4668"/>
      <c r="AG331" s="547"/>
      <c r="AH331" s="547"/>
      <c r="AI331" s="4662" t="s">
        <v>1253</v>
      </c>
      <c r="AJ331" s="18"/>
    </row>
    <row r="332" spans="1:37" ht="20.100000000000001" customHeight="1">
      <c r="B332" s="4505" t="s">
        <v>2281</v>
      </c>
      <c r="C332" s="1878" t="s">
        <v>1258</v>
      </c>
      <c r="D332" s="781"/>
      <c r="E332" s="781"/>
      <c r="F332" s="132" t="s">
        <v>557</v>
      </c>
      <c r="G332" s="909"/>
      <c r="H332" s="757" t="s">
        <v>1259</v>
      </c>
      <c r="I332" s="757"/>
      <c r="J332" s="4666"/>
      <c r="K332" s="109" t="s">
        <v>559</v>
      </c>
      <c r="L332" s="2228"/>
      <c r="M332" s="383"/>
      <c r="N332" s="260"/>
      <c r="O332" s="382"/>
      <c r="P332" s="2287"/>
      <c r="Q332" s="2228"/>
      <c r="R332" s="382"/>
      <c r="S332" s="260"/>
      <c r="T332" s="382"/>
      <c r="U332" s="2287"/>
      <c r="V332" s="2228" t="s">
        <v>641</v>
      </c>
      <c r="W332" s="382"/>
      <c r="X332" s="2228" t="s">
        <v>641</v>
      </c>
      <c r="Y332" s="382"/>
      <c r="Z332" s="2228" t="s">
        <v>641</v>
      </c>
      <c r="AA332" s="2228"/>
      <c r="AB332" s="382"/>
      <c r="AC332" s="260"/>
      <c r="AD332" s="382"/>
      <c r="AE332" s="2287"/>
      <c r="AF332" s="4668"/>
      <c r="AG332" s="547"/>
      <c r="AH332" s="547"/>
      <c r="AI332" s="4662" t="s">
        <v>1240</v>
      </c>
      <c r="AJ332" s="18"/>
    </row>
    <row r="333" spans="1:37" ht="20.100000000000001" customHeight="1">
      <c r="B333" s="4505" t="s">
        <v>2281</v>
      </c>
      <c r="C333" s="1878" t="s">
        <v>1261</v>
      </c>
      <c r="D333" s="781"/>
      <c r="E333" s="781"/>
      <c r="F333" s="132" t="s">
        <v>557</v>
      </c>
      <c r="G333" s="909"/>
      <c r="H333" s="757" t="s">
        <v>1262</v>
      </c>
      <c r="I333" s="757"/>
      <c r="J333" s="4666"/>
      <c r="K333" s="109" t="s">
        <v>559</v>
      </c>
      <c r="L333" s="2228">
        <v>0</v>
      </c>
      <c r="M333" s="382">
        <v>0</v>
      </c>
      <c r="N333" s="260">
        <v>0</v>
      </c>
      <c r="O333" s="382">
        <v>0</v>
      </c>
      <c r="P333" s="2287"/>
      <c r="Q333" s="2228">
        <v>0</v>
      </c>
      <c r="R333" s="382">
        <v>0</v>
      </c>
      <c r="S333" s="260">
        <v>0</v>
      </c>
      <c r="T333" s="382">
        <v>0</v>
      </c>
      <c r="U333" s="2287"/>
      <c r="V333" s="2228">
        <v>0</v>
      </c>
      <c r="W333" s="382" t="s">
        <v>2496</v>
      </c>
      <c r="X333" s="260">
        <v>0</v>
      </c>
      <c r="Y333" s="382" t="s">
        <v>2496</v>
      </c>
      <c r="Z333" s="2287"/>
      <c r="AA333" s="2228"/>
      <c r="AB333" s="382"/>
      <c r="AC333" s="260"/>
      <c r="AD333" s="382"/>
      <c r="AE333" s="2287"/>
      <c r="AF333" s="4668"/>
      <c r="AG333" s="547"/>
      <c r="AH333" s="547"/>
      <c r="AI333" s="1244" t="s">
        <v>1264</v>
      </c>
      <c r="AJ333" s="18"/>
    </row>
    <row r="334" spans="1:37" ht="20.100000000000001" customHeight="1">
      <c r="B334" s="4505" t="s">
        <v>2281</v>
      </c>
      <c r="C334" s="4606"/>
      <c r="D334" s="787" t="s">
        <v>1266</v>
      </c>
      <c r="E334" s="781"/>
      <c r="F334" s="132" t="s">
        <v>156</v>
      </c>
      <c r="G334" s="909"/>
      <c r="H334" s="963"/>
      <c r="I334" s="932" t="s">
        <v>3501</v>
      </c>
      <c r="J334" s="922"/>
      <c r="K334" s="109" t="s">
        <v>156</v>
      </c>
      <c r="L334" s="2228"/>
      <c r="M334" s="382"/>
      <c r="N334" s="260"/>
      <c r="O334" s="382"/>
      <c r="P334" s="2287"/>
      <c r="Q334" s="2228"/>
      <c r="R334" s="382"/>
      <c r="S334" s="260"/>
      <c r="T334" s="382"/>
      <c r="U334" s="2287"/>
      <c r="V334" s="2228" t="s">
        <v>641</v>
      </c>
      <c r="W334" s="382"/>
      <c r="X334" s="2228" t="s">
        <v>641</v>
      </c>
      <c r="Y334" s="382"/>
      <c r="Z334" s="2228" t="s">
        <v>641</v>
      </c>
      <c r="AA334" s="2228"/>
      <c r="AB334" s="382"/>
      <c r="AC334" s="260"/>
      <c r="AD334" s="382"/>
      <c r="AE334" s="2287"/>
      <c r="AF334" s="4668"/>
      <c r="AG334" s="547"/>
      <c r="AH334" s="547"/>
      <c r="AI334" s="4662" t="s">
        <v>1207</v>
      </c>
      <c r="AJ334" s="18"/>
    </row>
    <row r="335" spans="1:37" ht="20.100000000000001" customHeight="1">
      <c r="B335" s="4505" t="s">
        <v>2281</v>
      </c>
      <c r="C335" s="4581"/>
      <c r="D335" s="787" t="s">
        <v>1269</v>
      </c>
      <c r="E335" s="781"/>
      <c r="F335" s="132" t="s">
        <v>156</v>
      </c>
      <c r="G335" s="909"/>
      <c r="H335" s="964"/>
      <c r="I335" s="932" t="s">
        <v>3502</v>
      </c>
      <c r="J335" s="922"/>
      <c r="K335" s="109" t="s">
        <v>156</v>
      </c>
      <c r="L335" s="2228"/>
      <c r="M335" s="382"/>
      <c r="N335" s="260"/>
      <c r="O335" s="382"/>
      <c r="P335" s="2287"/>
      <c r="Q335" s="2228"/>
      <c r="R335" s="382"/>
      <c r="S335" s="260"/>
      <c r="T335" s="382"/>
      <c r="U335" s="2287"/>
      <c r="V335" s="2228" t="s">
        <v>641</v>
      </c>
      <c r="W335" s="382"/>
      <c r="X335" s="2228" t="s">
        <v>641</v>
      </c>
      <c r="Y335" s="382"/>
      <c r="Z335" s="2228" t="s">
        <v>641</v>
      </c>
      <c r="AA335" s="2228"/>
      <c r="AB335" s="382"/>
      <c r="AC335" s="260"/>
      <c r="AD335" s="382"/>
      <c r="AE335" s="2287"/>
      <c r="AF335" s="4668"/>
      <c r="AG335" s="547"/>
      <c r="AH335" s="547"/>
      <c r="AI335" s="4676" t="s">
        <v>1207</v>
      </c>
      <c r="AJ335" s="18"/>
    </row>
    <row r="336" spans="1:37" ht="20.100000000000001" customHeight="1">
      <c r="B336" s="4505" t="s">
        <v>2281</v>
      </c>
      <c r="C336" s="4669" t="s">
        <v>1271</v>
      </c>
      <c r="D336" s="924"/>
      <c r="E336" s="924"/>
      <c r="F336" s="132" t="s">
        <v>1272</v>
      </c>
      <c r="G336" s="909"/>
      <c r="H336" s="925" t="s">
        <v>1273</v>
      </c>
      <c r="I336" s="925"/>
      <c r="J336" s="922"/>
      <c r="K336" s="109" t="s">
        <v>1853</v>
      </c>
      <c r="L336" s="2426">
        <f>L337/L338*1000000</f>
        <v>1.363170407206264</v>
      </c>
      <c r="M336" s="973"/>
      <c r="N336" s="972">
        <f>N337/N338*1000000</f>
        <v>1.0537452212654217</v>
      </c>
      <c r="O336" s="973"/>
      <c r="P336" s="2427"/>
      <c r="Q336" s="2426">
        <f>Q337/Q338*1000000</f>
        <v>0</v>
      </c>
      <c r="R336" s="973"/>
      <c r="S336" s="972">
        <f>S337/S338*1000000</f>
        <v>0</v>
      </c>
      <c r="T336" s="973"/>
      <c r="U336" s="2427"/>
      <c r="V336" s="2426">
        <f>V337/V338*1000000</f>
        <v>0</v>
      </c>
      <c r="W336" s="973"/>
      <c r="X336" s="972">
        <f>X337/X338*1000000</f>
        <v>0</v>
      </c>
      <c r="Y336" s="973"/>
      <c r="Z336" s="2427"/>
      <c r="AA336" s="2426"/>
      <c r="AB336" s="973"/>
      <c r="AC336" s="972"/>
      <c r="AD336" s="973"/>
      <c r="AE336" s="2427"/>
      <c r="AF336" s="4668"/>
      <c r="AG336" s="547"/>
      <c r="AH336" s="547"/>
      <c r="AI336" s="4676" t="s">
        <v>1277</v>
      </c>
      <c r="AJ336" s="18"/>
    </row>
    <row r="337" spans="2:36" ht="20.100000000000001" customHeight="1">
      <c r="B337" s="4505" t="s">
        <v>2281</v>
      </c>
      <c r="C337" s="1935"/>
      <c r="D337" s="787" t="s">
        <v>1279</v>
      </c>
      <c r="E337" s="781"/>
      <c r="F337" s="132" t="s">
        <v>557</v>
      </c>
      <c r="G337" s="909"/>
      <c r="H337" s="963"/>
      <c r="I337" s="932" t="s">
        <v>1280</v>
      </c>
      <c r="J337" s="922"/>
      <c r="K337" s="109" t="s">
        <v>559</v>
      </c>
      <c r="L337" s="2228">
        <v>3</v>
      </c>
      <c r="M337" s="979" t="s">
        <v>1283</v>
      </c>
      <c r="N337" s="260">
        <v>2</v>
      </c>
      <c r="O337" s="979" t="s">
        <v>1284</v>
      </c>
      <c r="P337" s="2287"/>
      <c r="Q337" s="2228">
        <v>0</v>
      </c>
      <c r="R337" s="980">
        <v>0</v>
      </c>
      <c r="S337" s="260">
        <v>0</v>
      </c>
      <c r="T337" s="980">
        <v>0</v>
      </c>
      <c r="U337" s="2287"/>
      <c r="V337" s="2228">
        <v>0</v>
      </c>
      <c r="W337" s="980" t="s">
        <v>2496</v>
      </c>
      <c r="X337" s="260">
        <v>0</v>
      </c>
      <c r="Y337" s="980" t="s">
        <v>2496</v>
      </c>
      <c r="Z337" s="2287"/>
      <c r="AA337" s="2228"/>
      <c r="AB337" s="980"/>
      <c r="AC337" s="260"/>
      <c r="AD337" s="980"/>
      <c r="AE337" s="2287"/>
      <c r="AF337" s="4668"/>
      <c r="AG337" s="547"/>
      <c r="AH337" s="547"/>
      <c r="AI337" s="4677" t="s">
        <v>1277</v>
      </c>
      <c r="AJ337" s="18"/>
    </row>
    <row r="338" spans="2:36" ht="20.100000000000001" customHeight="1">
      <c r="B338" s="4505" t="s">
        <v>2281</v>
      </c>
      <c r="C338" s="4678"/>
      <c r="D338" s="936" t="s">
        <v>1286</v>
      </c>
      <c r="E338" s="924"/>
      <c r="F338" s="105" t="s">
        <v>1018</v>
      </c>
      <c r="G338" s="909"/>
      <c r="H338" s="964"/>
      <c r="I338" s="932" t="s">
        <v>1287</v>
      </c>
      <c r="J338" s="922"/>
      <c r="K338" s="109" t="s">
        <v>1831</v>
      </c>
      <c r="L338" s="2428">
        <v>2200752</v>
      </c>
      <c r="M338" s="979" t="s">
        <v>1296</v>
      </c>
      <c r="N338" s="984">
        <v>1897992</v>
      </c>
      <c r="O338" s="979" t="s">
        <v>1297</v>
      </c>
      <c r="P338" s="2287"/>
      <c r="Q338" s="2428">
        <v>1433842</v>
      </c>
      <c r="R338" s="979" t="s">
        <v>2506</v>
      </c>
      <c r="S338" s="984">
        <v>2398249</v>
      </c>
      <c r="T338" s="979" t="s">
        <v>2507</v>
      </c>
      <c r="U338" s="2287"/>
      <c r="V338" s="2428">
        <v>749808</v>
      </c>
      <c r="W338" s="979" t="s">
        <v>1300</v>
      </c>
      <c r="X338" s="984">
        <v>773424</v>
      </c>
      <c r="Y338" s="979" t="s">
        <v>1300</v>
      </c>
      <c r="Z338" s="2287">
        <f>((52*5)-12)*8*412</f>
        <v>817408</v>
      </c>
      <c r="AA338" s="2228"/>
      <c r="AB338" s="980"/>
      <c r="AC338" s="260"/>
      <c r="AD338" s="980"/>
      <c r="AE338" s="2287"/>
      <c r="AF338" s="4668"/>
      <c r="AG338" s="547"/>
      <c r="AH338" s="547"/>
      <c r="AI338" s="4677" t="s">
        <v>1277</v>
      </c>
      <c r="AJ338" s="18"/>
    </row>
    <row r="339" spans="2:36" ht="20.100000000000001" hidden="1" customHeight="1">
      <c r="B339" s="4505" t="s">
        <v>2281</v>
      </c>
      <c r="C339" s="4669" t="s">
        <v>1302</v>
      </c>
      <c r="D339" s="924"/>
      <c r="E339" s="924"/>
      <c r="F339" s="105" t="s">
        <v>1272</v>
      </c>
      <c r="G339" s="909"/>
      <c r="H339" s="925" t="s">
        <v>1303</v>
      </c>
      <c r="I339" s="925"/>
      <c r="J339" s="922"/>
      <c r="K339" s="162" t="s">
        <v>1853</v>
      </c>
      <c r="L339" s="2228"/>
      <c r="M339" s="980"/>
      <c r="N339" s="260"/>
      <c r="O339" s="980"/>
      <c r="P339" s="2287"/>
      <c r="Q339" s="2228"/>
      <c r="R339" s="980"/>
      <c r="S339" s="260"/>
      <c r="T339" s="980"/>
      <c r="U339" s="2287"/>
      <c r="V339" s="2228"/>
      <c r="W339" s="980"/>
      <c r="X339" s="260"/>
      <c r="Y339" s="980"/>
      <c r="Z339" s="2287"/>
      <c r="AA339" s="2228"/>
      <c r="AB339" s="980"/>
      <c r="AC339" s="260"/>
      <c r="AD339" s="980"/>
      <c r="AE339" s="2287"/>
      <c r="AF339" s="4668"/>
      <c r="AG339" s="547"/>
      <c r="AH339" s="547"/>
      <c r="AI339" s="1244" t="s">
        <v>1306</v>
      </c>
      <c r="AJ339" s="18"/>
    </row>
    <row r="340" spans="2:36" ht="20.100000000000001" hidden="1" customHeight="1">
      <c r="B340" s="4505" t="s">
        <v>2281</v>
      </c>
      <c r="C340" s="1935"/>
      <c r="D340" s="936" t="s">
        <v>1307</v>
      </c>
      <c r="E340" s="924"/>
      <c r="F340" s="105" t="s">
        <v>557</v>
      </c>
      <c r="G340" s="909"/>
      <c r="H340" s="963"/>
      <c r="I340" s="932" t="s">
        <v>1308</v>
      </c>
      <c r="J340" s="922"/>
      <c r="K340" s="162" t="s">
        <v>559</v>
      </c>
      <c r="L340" s="2228"/>
      <c r="M340" s="980"/>
      <c r="N340" s="260"/>
      <c r="O340" s="980"/>
      <c r="P340" s="2287"/>
      <c r="Q340" s="2228"/>
      <c r="R340" s="980"/>
      <c r="S340" s="260"/>
      <c r="T340" s="980"/>
      <c r="U340" s="2287"/>
      <c r="V340" s="2228"/>
      <c r="W340" s="980"/>
      <c r="X340" s="260"/>
      <c r="Y340" s="980"/>
      <c r="Z340" s="2287"/>
      <c r="AA340" s="2228"/>
      <c r="AB340" s="980"/>
      <c r="AC340" s="260"/>
      <c r="AD340" s="980"/>
      <c r="AE340" s="2287"/>
      <c r="AF340" s="4668"/>
      <c r="AG340" s="547"/>
      <c r="AH340" s="547"/>
      <c r="AI340" s="1244" t="s">
        <v>1306</v>
      </c>
      <c r="AJ340" s="18"/>
    </row>
    <row r="341" spans="2:36" ht="20.100000000000001" hidden="1" customHeight="1">
      <c r="B341" s="4505" t="s">
        <v>2281</v>
      </c>
      <c r="C341" s="4678"/>
      <c r="D341" s="936" t="s">
        <v>1309</v>
      </c>
      <c r="E341" s="924"/>
      <c r="F341" s="105" t="s">
        <v>1018</v>
      </c>
      <c r="G341" s="909"/>
      <c r="H341" s="964"/>
      <c r="I341" s="922" t="s">
        <v>1856</v>
      </c>
      <c r="J341" s="922"/>
      <c r="K341" s="162" t="s">
        <v>1831</v>
      </c>
      <c r="L341" s="2228"/>
      <c r="M341" s="980"/>
      <c r="N341" s="260"/>
      <c r="O341" s="980"/>
      <c r="P341" s="2287"/>
      <c r="Q341" s="2228"/>
      <c r="R341" s="980"/>
      <c r="S341" s="260"/>
      <c r="T341" s="980"/>
      <c r="U341" s="2287"/>
      <c r="V341" s="2228"/>
      <c r="W341" s="980"/>
      <c r="X341" s="260"/>
      <c r="Y341" s="980"/>
      <c r="Z341" s="2287"/>
      <c r="AA341" s="2228"/>
      <c r="AB341" s="980"/>
      <c r="AC341" s="260"/>
      <c r="AD341" s="980"/>
      <c r="AE341" s="2287"/>
      <c r="AF341" s="4668"/>
      <c r="AG341" s="547"/>
      <c r="AH341" s="547"/>
      <c r="AI341" s="1244" t="s">
        <v>1306</v>
      </c>
      <c r="AJ341" s="18"/>
    </row>
    <row r="342" spans="2:36" ht="20.100000000000001" hidden="1" customHeight="1">
      <c r="B342" s="4505" t="s">
        <v>2281</v>
      </c>
      <c r="C342" s="4669" t="s">
        <v>1311</v>
      </c>
      <c r="D342" s="924"/>
      <c r="E342" s="924"/>
      <c r="F342" s="105" t="s">
        <v>1312</v>
      </c>
      <c r="G342" s="909"/>
      <c r="H342" s="925" t="s">
        <v>1313</v>
      </c>
      <c r="I342" s="925"/>
      <c r="J342" s="922"/>
      <c r="K342" s="162" t="s">
        <v>1857</v>
      </c>
      <c r="L342" s="2228"/>
      <c r="M342" s="980"/>
      <c r="N342" s="260"/>
      <c r="O342" s="980"/>
      <c r="P342" s="2287"/>
      <c r="Q342" s="2228"/>
      <c r="R342" s="980"/>
      <c r="S342" s="260"/>
      <c r="T342" s="980"/>
      <c r="U342" s="2287"/>
      <c r="V342" s="2228"/>
      <c r="W342" s="980"/>
      <c r="X342" s="260"/>
      <c r="Y342" s="980"/>
      <c r="Z342" s="2287"/>
      <c r="AA342" s="2228"/>
      <c r="AB342" s="980"/>
      <c r="AC342" s="260"/>
      <c r="AD342" s="980"/>
      <c r="AE342" s="2287"/>
      <c r="AF342" s="4668"/>
      <c r="AG342" s="547"/>
      <c r="AH342" s="547"/>
      <c r="AI342" s="1244" t="s">
        <v>1317</v>
      </c>
      <c r="AJ342" s="18"/>
    </row>
    <row r="343" spans="2:36" ht="20.100000000000001" hidden="1" customHeight="1">
      <c r="B343" s="4505" t="s">
        <v>2281</v>
      </c>
      <c r="C343" s="1935"/>
      <c r="D343" s="936" t="s">
        <v>1318</v>
      </c>
      <c r="E343" s="924"/>
      <c r="F343" s="105" t="s">
        <v>557</v>
      </c>
      <c r="G343" s="909"/>
      <c r="H343" s="963"/>
      <c r="I343" s="932" t="s">
        <v>1319</v>
      </c>
      <c r="J343" s="922"/>
      <c r="K343" s="162" t="s">
        <v>559</v>
      </c>
      <c r="L343" s="2228"/>
      <c r="M343" s="980"/>
      <c r="N343" s="260"/>
      <c r="O343" s="980"/>
      <c r="P343" s="2287"/>
      <c r="Q343" s="2228"/>
      <c r="R343" s="980"/>
      <c r="S343" s="260"/>
      <c r="T343" s="980"/>
      <c r="U343" s="2287"/>
      <c r="V343" s="2228"/>
      <c r="W343" s="980"/>
      <c r="X343" s="260"/>
      <c r="Y343" s="980"/>
      <c r="Z343" s="2287"/>
      <c r="AA343" s="2228"/>
      <c r="AB343" s="980"/>
      <c r="AC343" s="260"/>
      <c r="AD343" s="980"/>
      <c r="AE343" s="2287"/>
      <c r="AF343" s="4668"/>
      <c r="AG343" s="547"/>
      <c r="AH343" s="547"/>
      <c r="AI343" s="1244" t="s">
        <v>1317</v>
      </c>
      <c r="AJ343" s="18"/>
    </row>
    <row r="344" spans="2:36" ht="20.100000000000001" hidden="1" customHeight="1">
      <c r="B344" s="4505" t="s">
        <v>2281</v>
      </c>
      <c r="C344" s="4678"/>
      <c r="D344" s="936" t="s">
        <v>1286</v>
      </c>
      <c r="E344" s="924"/>
      <c r="F344" s="105" t="s">
        <v>1018</v>
      </c>
      <c r="G344" s="909"/>
      <c r="H344" s="964"/>
      <c r="I344" s="932" t="s">
        <v>1287</v>
      </c>
      <c r="J344" s="922"/>
      <c r="K344" s="162" t="s">
        <v>1831</v>
      </c>
      <c r="L344" s="2429">
        <f>L338</f>
        <v>2200752</v>
      </c>
      <c r="M344" s="980"/>
      <c r="N344" s="516">
        <f>N338</f>
        <v>1897992</v>
      </c>
      <c r="O344" s="980"/>
      <c r="P344" s="2430">
        <f>P338</f>
        <v>0</v>
      </c>
      <c r="Q344" s="2429">
        <f>Q338</f>
        <v>1433842</v>
      </c>
      <c r="R344" s="980"/>
      <c r="S344" s="516">
        <f>S338</f>
        <v>2398249</v>
      </c>
      <c r="T344" s="980"/>
      <c r="U344" s="2430">
        <f>U338</f>
        <v>0</v>
      </c>
      <c r="V344" s="2429">
        <f>V338</f>
        <v>749808</v>
      </c>
      <c r="W344" s="980"/>
      <c r="X344" s="516">
        <f>X338</f>
        <v>773424</v>
      </c>
      <c r="Y344" s="980"/>
      <c r="Z344" s="2430">
        <f>Z338</f>
        <v>817408</v>
      </c>
      <c r="AA344" s="2429">
        <f>AA338</f>
        <v>0</v>
      </c>
      <c r="AB344" s="980"/>
      <c r="AC344" s="516">
        <f>AC338</f>
        <v>0</v>
      </c>
      <c r="AD344" s="980"/>
      <c r="AE344" s="2430">
        <f>AE338</f>
        <v>0</v>
      </c>
      <c r="AF344" s="4668"/>
      <c r="AG344" s="547"/>
      <c r="AH344" s="547"/>
      <c r="AI344" s="1244" t="s">
        <v>1317</v>
      </c>
      <c r="AJ344" s="18"/>
    </row>
    <row r="345" spans="2:36" ht="20.100000000000001" hidden="1" customHeight="1">
      <c r="B345" s="4505" t="s">
        <v>2281</v>
      </c>
      <c r="C345" s="4669" t="s">
        <v>1320</v>
      </c>
      <c r="D345" s="924"/>
      <c r="E345" s="924"/>
      <c r="F345" s="105" t="s">
        <v>1858</v>
      </c>
      <c r="G345" s="662"/>
      <c r="H345" s="143" t="s">
        <v>1321</v>
      </c>
      <c r="I345" s="143"/>
      <c r="J345" s="144"/>
      <c r="K345" s="162" t="s">
        <v>1857</v>
      </c>
      <c r="L345" s="2228"/>
      <c r="M345" s="980"/>
      <c r="N345" s="260"/>
      <c r="O345" s="980"/>
      <c r="P345" s="2287"/>
      <c r="Q345" s="2228"/>
      <c r="R345" s="980"/>
      <c r="S345" s="260"/>
      <c r="T345" s="980"/>
      <c r="U345" s="2287"/>
      <c r="V345" s="2228"/>
      <c r="W345" s="980"/>
      <c r="X345" s="260"/>
      <c r="Y345" s="980"/>
      <c r="Z345" s="2287"/>
      <c r="AA345" s="2228"/>
      <c r="AB345" s="980"/>
      <c r="AC345" s="260"/>
      <c r="AD345" s="980"/>
      <c r="AE345" s="2287"/>
      <c r="AF345" s="4668"/>
      <c r="AG345" s="547"/>
      <c r="AH345" s="547"/>
      <c r="AI345" s="1244" t="s">
        <v>1244</v>
      </c>
      <c r="AJ345" s="18"/>
    </row>
    <row r="346" spans="2:36" ht="20.100000000000001" hidden="1" customHeight="1">
      <c r="B346" s="4505" t="s">
        <v>2281</v>
      </c>
      <c r="C346" s="1935"/>
      <c r="D346" s="936" t="s">
        <v>1318</v>
      </c>
      <c r="E346" s="924"/>
      <c r="F346" s="105" t="s">
        <v>557</v>
      </c>
      <c r="G346" s="909"/>
      <c r="H346" s="963"/>
      <c r="I346" s="932" t="s">
        <v>1324</v>
      </c>
      <c r="J346" s="922"/>
      <c r="K346" s="162" t="s">
        <v>559</v>
      </c>
      <c r="L346" s="2228"/>
      <c r="M346" s="980"/>
      <c r="N346" s="260"/>
      <c r="O346" s="980"/>
      <c r="P346" s="2287"/>
      <c r="Q346" s="2228"/>
      <c r="R346" s="980"/>
      <c r="S346" s="260"/>
      <c r="T346" s="980"/>
      <c r="U346" s="2287"/>
      <c r="V346" s="2228"/>
      <c r="W346" s="980"/>
      <c r="X346" s="260"/>
      <c r="Y346" s="980"/>
      <c r="Z346" s="2287"/>
      <c r="AA346" s="2228"/>
      <c r="AB346" s="980"/>
      <c r="AC346" s="260"/>
      <c r="AD346" s="980"/>
      <c r="AE346" s="2287"/>
      <c r="AF346" s="4668"/>
      <c r="AG346" s="547"/>
      <c r="AH346" s="547"/>
      <c r="AI346" s="1244" t="s">
        <v>1244</v>
      </c>
      <c r="AJ346" s="18"/>
    </row>
    <row r="347" spans="2:36" ht="20.100000000000001" hidden="1" customHeight="1">
      <c r="B347" s="4505" t="s">
        <v>2281</v>
      </c>
      <c r="C347" s="4678"/>
      <c r="D347" s="936" t="s">
        <v>1286</v>
      </c>
      <c r="E347" s="924"/>
      <c r="F347" s="105" t="s">
        <v>1018</v>
      </c>
      <c r="G347" s="909"/>
      <c r="H347" s="964"/>
      <c r="I347" s="932" t="s">
        <v>1287</v>
      </c>
      <c r="J347" s="922"/>
      <c r="K347" s="162" t="s">
        <v>1831</v>
      </c>
      <c r="L347" s="2429">
        <f>L338</f>
        <v>2200752</v>
      </c>
      <c r="M347" s="980"/>
      <c r="N347" s="516">
        <f>N338</f>
        <v>1897992</v>
      </c>
      <c r="O347" s="980"/>
      <c r="P347" s="2287">
        <f>P338</f>
        <v>0</v>
      </c>
      <c r="Q347" s="2228">
        <f>Q338</f>
        <v>1433842</v>
      </c>
      <c r="R347" s="980"/>
      <c r="S347" s="260">
        <f>S338</f>
        <v>2398249</v>
      </c>
      <c r="T347" s="980"/>
      <c r="U347" s="2287">
        <f>U338</f>
        <v>0</v>
      </c>
      <c r="V347" s="2228">
        <f>V338</f>
        <v>749808</v>
      </c>
      <c r="W347" s="980"/>
      <c r="X347" s="260">
        <f>X338</f>
        <v>773424</v>
      </c>
      <c r="Y347" s="980"/>
      <c r="Z347" s="2287"/>
      <c r="AA347" s="2228"/>
      <c r="AB347" s="980"/>
      <c r="AC347" s="260"/>
      <c r="AD347" s="980"/>
      <c r="AE347" s="2287"/>
      <c r="AF347" s="4668"/>
      <c r="AG347" s="547"/>
      <c r="AH347" s="547"/>
      <c r="AI347" s="1244" t="s">
        <v>1244</v>
      </c>
      <c r="AJ347" s="18"/>
    </row>
    <row r="348" spans="2:36" ht="20.100000000000001" hidden="1" customHeight="1">
      <c r="B348" s="4505" t="s">
        <v>2281</v>
      </c>
      <c r="C348" s="4669" t="s">
        <v>1325</v>
      </c>
      <c r="D348" s="924"/>
      <c r="E348" s="924"/>
      <c r="F348" s="105" t="s">
        <v>557</v>
      </c>
      <c r="G348" s="909"/>
      <c r="H348" s="925" t="s">
        <v>1326</v>
      </c>
      <c r="I348" s="925"/>
      <c r="J348" s="922"/>
      <c r="K348" s="109" t="s">
        <v>559</v>
      </c>
      <c r="L348" s="2228">
        <v>0</v>
      </c>
      <c r="M348" s="382"/>
      <c r="N348" s="260">
        <v>0</v>
      </c>
      <c r="O348" s="382"/>
      <c r="P348" s="2287"/>
      <c r="Q348" s="2228">
        <v>0</v>
      </c>
      <c r="R348" s="382"/>
      <c r="S348" s="260">
        <v>0</v>
      </c>
      <c r="T348" s="382"/>
      <c r="U348" s="2287"/>
      <c r="V348" s="2228">
        <v>0</v>
      </c>
      <c r="W348" s="382"/>
      <c r="X348" s="260">
        <v>0</v>
      </c>
      <c r="Y348" s="382"/>
      <c r="Z348" s="2287"/>
      <c r="AA348" s="2228"/>
      <c r="AB348" s="382"/>
      <c r="AC348" s="260"/>
      <c r="AD348" s="382"/>
      <c r="AE348" s="2287"/>
      <c r="AF348" s="4668"/>
      <c r="AG348" s="547"/>
      <c r="AH348" s="547"/>
      <c r="AI348" s="4679" t="s">
        <v>1329</v>
      </c>
      <c r="AJ348" s="18"/>
    </row>
    <row r="349" spans="2:36" ht="20.100000000000001" customHeight="1">
      <c r="B349" s="4505" t="s">
        <v>2281</v>
      </c>
      <c r="C349" s="4669" t="s">
        <v>1331</v>
      </c>
      <c r="D349" s="924"/>
      <c r="E349" s="924"/>
      <c r="F349" s="105" t="s">
        <v>557</v>
      </c>
      <c r="G349" s="909"/>
      <c r="H349" s="925" t="s">
        <v>1332</v>
      </c>
      <c r="I349" s="925"/>
      <c r="J349" s="922"/>
      <c r="K349" s="109" t="s">
        <v>559</v>
      </c>
      <c r="L349" s="2228"/>
      <c r="M349" s="382"/>
      <c r="N349" s="260"/>
      <c r="O349" s="382"/>
      <c r="P349" s="2287"/>
      <c r="Q349" s="2228"/>
      <c r="R349" s="382"/>
      <c r="S349" s="260"/>
      <c r="T349" s="382"/>
      <c r="U349" s="2287"/>
      <c r="V349" s="2228" t="s">
        <v>641</v>
      </c>
      <c r="W349" s="382"/>
      <c r="X349" s="2228" t="s">
        <v>641</v>
      </c>
      <c r="Y349" s="382"/>
      <c r="Z349" s="2228" t="s">
        <v>641</v>
      </c>
      <c r="AA349" s="2228"/>
      <c r="AB349" s="382"/>
      <c r="AC349" s="260"/>
      <c r="AD349" s="382"/>
      <c r="AE349" s="2287"/>
      <c r="AF349" s="4668"/>
      <c r="AG349" s="547"/>
      <c r="AH349" s="547"/>
      <c r="AI349" s="4679" t="s">
        <v>1277</v>
      </c>
      <c r="AJ349" s="18"/>
    </row>
    <row r="350" spans="2:36" ht="20.100000000000001" customHeight="1">
      <c r="B350" s="4505" t="s">
        <v>2281</v>
      </c>
      <c r="C350" s="4669" t="s">
        <v>1334</v>
      </c>
      <c r="D350" s="924"/>
      <c r="E350" s="924"/>
      <c r="F350" s="119" t="s">
        <v>557</v>
      </c>
      <c r="G350" s="909"/>
      <c r="H350" s="925" t="s">
        <v>1335</v>
      </c>
      <c r="I350" s="925"/>
      <c r="J350" s="963"/>
      <c r="K350" s="122" t="s">
        <v>559</v>
      </c>
      <c r="L350" s="2230"/>
      <c r="M350" s="989"/>
      <c r="N350" s="506"/>
      <c r="O350" s="989"/>
      <c r="P350" s="2231"/>
      <c r="Q350" s="2230"/>
      <c r="R350" s="989"/>
      <c r="S350" s="506"/>
      <c r="T350" s="989"/>
      <c r="U350" s="2231"/>
      <c r="V350" s="2228" t="s">
        <v>641</v>
      </c>
      <c r="W350" s="382"/>
      <c r="X350" s="2228" t="s">
        <v>641</v>
      </c>
      <c r="Y350" s="382"/>
      <c r="Z350" s="2228" t="s">
        <v>641</v>
      </c>
      <c r="AA350" s="2230"/>
      <c r="AB350" s="989"/>
      <c r="AC350" s="506"/>
      <c r="AD350" s="989"/>
      <c r="AE350" s="2231"/>
      <c r="AF350" s="4668"/>
      <c r="AG350" s="547"/>
      <c r="AH350" s="547"/>
      <c r="AI350" s="982" t="s">
        <v>1336</v>
      </c>
      <c r="AJ350" s="18"/>
    </row>
    <row r="351" spans="2:36" ht="20.100000000000001" customHeight="1">
      <c r="B351" s="4505" t="s">
        <v>2281</v>
      </c>
      <c r="C351" s="1758" t="s">
        <v>1337</v>
      </c>
      <c r="D351" s="104"/>
      <c r="E351" s="104"/>
      <c r="F351" s="105" t="s">
        <v>156</v>
      </c>
      <c r="G351" s="4680"/>
      <c r="H351" s="991" t="s">
        <v>3503</v>
      </c>
      <c r="I351" s="991"/>
      <c r="J351" s="1292"/>
      <c r="K351" s="109" t="s">
        <v>156</v>
      </c>
      <c r="L351" s="2228"/>
      <c r="M351" s="382"/>
      <c r="N351" s="260"/>
      <c r="O351" s="382"/>
      <c r="P351" s="2287"/>
      <c r="Q351" s="2228"/>
      <c r="R351" s="382"/>
      <c r="S351" s="260"/>
      <c r="T351" s="382"/>
      <c r="U351" s="2287"/>
      <c r="V351" s="2228"/>
      <c r="W351" s="382"/>
      <c r="X351" s="2228"/>
      <c r="Y351" s="382"/>
      <c r="Z351" s="2228"/>
      <c r="AA351" s="2228"/>
      <c r="AB351" s="382"/>
      <c r="AC351" s="260"/>
      <c r="AD351" s="382"/>
      <c r="AE351" s="2287"/>
      <c r="AF351" s="4668"/>
      <c r="AG351" s="547"/>
      <c r="AH351" s="547"/>
      <c r="AI351" s="982" t="s">
        <v>1341</v>
      </c>
      <c r="AJ351" s="18"/>
    </row>
    <row r="352" spans="2:36" ht="20.100000000000001" customHeight="1">
      <c r="B352" s="4505" t="s">
        <v>2281</v>
      </c>
      <c r="C352" s="1935"/>
      <c r="D352" s="936" t="s">
        <v>1342</v>
      </c>
      <c r="E352" s="924"/>
      <c r="F352" s="105" t="s">
        <v>742</v>
      </c>
      <c r="G352" s="909"/>
      <c r="H352" s="963"/>
      <c r="I352" s="932" t="s">
        <v>3504</v>
      </c>
      <c r="J352" s="922"/>
      <c r="K352" s="109" t="s">
        <v>734</v>
      </c>
      <c r="L352" s="2228">
        <v>0</v>
      </c>
      <c r="M352" s="382">
        <v>0</v>
      </c>
      <c r="N352" s="260">
        <v>0</v>
      </c>
      <c r="O352" s="382">
        <v>0</v>
      </c>
      <c r="P352" s="2287"/>
      <c r="Q352" s="2228">
        <v>428</v>
      </c>
      <c r="R352" s="383" t="s">
        <v>1348</v>
      </c>
      <c r="S352" s="260">
        <v>427</v>
      </c>
      <c r="T352" s="383" t="s">
        <v>1348</v>
      </c>
      <c r="U352" s="2287"/>
      <c r="V352" s="2228">
        <v>0</v>
      </c>
      <c r="W352" s="383" t="s">
        <v>1350</v>
      </c>
      <c r="X352" s="260">
        <v>0</v>
      </c>
      <c r="Y352" s="383" t="s">
        <v>1350</v>
      </c>
      <c r="Z352" s="2287"/>
      <c r="AA352" s="2228"/>
      <c r="AB352" s="382"/>
      <c r="AC352" s="260"/>
      <c r="AD352" s="382"/>
      <c r="AE352" s="2287"/>
      <c r="AF352" s="4668"/>
      <c r="AG352" s="547"/>
      <c r="AH352" s="547"/>
      <c r="AI352" s="982" t="s">
        <v>1341</v>
      </c>
      <c r="AJ352" s="18"/>
    </row>
    <row r="353" spans="2:36" ht="20.100000000000001" customHeight="1" thickBot="1">
      <c r="B353" s="4505" t="s">
        <v>2281</v>
      </c>
      <c r="C353" s="4678"/>
      <c r="D353" s="931" t="s">
        <v>1351</v>
      </c>
      <c r="E353" s="931"/>
      <c r="F353" s="119" t="s">
        <v>742</v>
      </c>
      <c r="G353" s="912"/>
      <c r="H353" s="964"/>
      <c r="I353" s="932" t="s">
        <v>1861</v>
      </c>
      <c r="J353" s="963"/>
      <c r="K353" s="122" t="s">
        <v>734</v>
      </c>
      <c r="L353" s="2230">
        <v>0</v>
      </c>
      <c r="M353" s="989">
        <v>0</v>
      </c>
      <c r="N353" s="506">
        <v>0</v>
      </c>
      <c r="O353" s="989">
        <v>0</v>
      </c>
      <c r="P353" s="2231"/>
      <c r="Q353" s="2230">
        <v>564</v>
      </c>
      <c r="R353" s="989">
        <v>0</v>
      </c>
      <c r="S353" s="506">
        <v>577</v>
      </c>
      <c r="T353" s="989">
        <v>0</v>
      </c>
      <c r="U353" s="2231"/>
      <c r="V353" s="2230">
        <v>381</v>
      </c>
      <c r="W353" s="989"/>
      <c r="X353" s="506">
        <v>393</v>
      </c>
      <c r="Y353" s="989"/>
      <c r="Z353" s="2231">
        <v>412</v>
      </c>
      <c r="AA353" s="2230"/>
      <c r="AB353" s="989"/>
      <c r="AC353" s="506"/>
      <c r="AD353" s="989"/>
      <c r="AE353" s="2231"/>
      <c r="AF353" s="4668"/>
      <c r="AG353" s="547"/>
      <c r="AH353" s="547"/>
      <c r="AI353" s="982" t="s">
        <v>1341</v>
      </c>
      <c r="AJ353" s="18"/>
    </row>
    <row r="354" spans="2:36" ht="20.100000000000001" hidden="1" customHeight="1" thickBot="1">
      <c r="B354" s="4505" t="s">
        <v>2281</v>
      </c>
      <c r="C354" s="4669" t="s">
        <v>1352</v>
      </c>
      <c r="D354" s="924"/>
      <c r="E354" s="924"/>
      <c r="F354" s="119" t="s">
        <v>156</v>
      </c>
      <c r="G354" s="777"/>
      <c r="H354" s="925" t="s">
        <v>1353</v>
      </c>
      <c r="I354" s="925"/>
      <c r="J354" s="994"/>
      <c r="K354" s="122" t="s">
        <v>156</v>
      </c>
      <c r="L354" s="2230"/>
      <c r="M354" s="989"/>
      <c r="N354" s="506"/>
      <c r="O354" s="989"/>
      <c r="P354" s="2231"/>
      <c r="Q354" s="2230"/>
      <c r="R354" s="989"/>
      <c r="S354" s="506"/>
      <c r="T354" s="989"/>
      <c r="U354" s="2231"/>
      <c r="V354" s="2230"/>
      <c r="W354" s="989"/>
      <c r="X354" s="506"/>
      <c r="Y354" s="989"/>
      <c r="Z354" s="2231"/>
      <c r="AA354" s="2230"/>
      <c r="AB354" s="989"/>
      <c r="AC354" s="506"/>
      <c r="AD354" s="989"/>
      <c r="AE354" s="2231"/>
      <c r="AF354" s="4668"/>
      <c r="AG354" s="547"/>
      <c r="AH354" s="547"/>
      <c r="AI354" s="1244" t="s">
        <v>1357</v>
      </c>
      <c r="AJ354" s="18"/>
    </row>
    <row r="355" spans="2:36" ht="20.100000000000001" hidden="1" customHeight="1" thickBot="1">
      <c r="B355" s="4505" t="s">
        <v>2281</v>
      </c>
      <c r="C355" s="1935"/>
      <c r="D355" s="995" t="s">
        <v>1358</v>
      </c>
      <c r="E355" s="926"/>
      <c r="F355" s="119" t="s">
        <v>1011</v>
      </c>
      <c r="G355" s="905"/>
      <c r="H355" s="963"/>
      <c r="I355" s="932" t="s">
        <v>1359</v>
      </c>
      <c r="J355" s="963"/>
      <c r="K355" s="122" t="s">
        <v>1013</v>
      </c>
      <c r="L355" s="2230"/>
      <c r="M355" s="989"/>
      <c r="N355" s="506"/>
      <c r="O355" s="989"/>
      <c r="P355" s="2231"/>
      <c r="Q355" s="2230"/>
      <c r="R355" s="989"/>
      <c r="S355" s="506"/>
      <c r="T355" s="989"/>
      <c r="U355" s="2231"/>
      <c r="V355" s="2230"/>
      <c r="W355" s="989"/>
      <c r="X355" s="506"/>
      <c r="Y355" s="989"/>
      <c r="Z355" s="2231"/>
      <c r="AA355" s="2230"/>
      <c r="AB355" s="989"/>
      <c r="AC355" s="506"/>
      <c r="AD355" s="989"/>
      <c r="AE355" s="2231"/>
      <c r="AF355" s="4668"/>
      <c r="AG355" s="547"/>
      <c r="AH355" s="547"/>
      <c r="AI355" s="1244" t="s">
        <v>1357</v>
      </c>
      <c r="AJ355" s="18"/>
    </row>
    <row r="356" spans="2:36" ht="20.100000000000001" hidden="1" customHeight="1" thickBot="1">
      <c r="B356" s="4505" t="s">
        <v>2281</v>
      </c>
      <c r="C356" s="4678"/>
      <c r="D356" s="936" t="s">
        <v>1360</v>
      </c>
      <c r="E356" s="924"/>
      <c r="F356" s="119" t="s">
        <v>1011</v>
      </c>
      <c r="G356" s="912"/>
      <c r="H356" s="964"/>
      <c r="I356" s="932" t="s">
        <v>1361</v>
      </c>
      <c r="J356" s="963"/>
      <c r="K356" s="122" t="s">
        <v>1013</v>
      </c>
      <c r="L356" s="2230"/>
      <c r="M356" s="989"/>
      <c r="N356" s="506"/>
      <c r="O356" s="989"/>
      <c r="P356" s="2231"/>
      <c r="Q356" s="2230"/>
      <c r="R356" s="989"/>
      <c r="S356" s="506"/>
      <c r="T356" s="989"/>
      <c r="U356" s="2231"/>
      <c r="V356" s="2230"/>
      <c r="W356" s="989"/>
      <c r="X356" s="506"/>
      <c r="Y356" s="989"/>
      <c r="Z356" s="2231"/>
      <c r="AA356" s="2230"/>
      <c r="AB356" s="989"/>
      <c r="AC356" s="506"/>
      <c r="AD356" s="989"/>
      <c r="AE356" s="2231"/>
      <c r="AF356" s="4668"/>
      <c r="AG356" s="547"/>
      <c r="AH356" s="547"/>
      <c r="AI356" s="1244" t="s">
        <v>1357</v>
      </c>
      <c r="AJ356" s="18"/>
    </row>
    <row r="357" spans="2:36" ht="20.100000000000001" hidden="1" customHeight="1" thickBot="1">
      <c r="B357" s="4505" t="s">
        <v>2281</v>
      </c>
      <c r="C357" s="4669" t="s">
        <v>1362</v>
      </c>
      <c r="D357" s="924"/>
      <c r="E357" s="924"/>
      <c r="F357" s="119" t="s">
        <v>156</v>
      </c>
      <c r="G357" s="777"/>
      <c r="H357" s="925" t="s">
        <v>1363</v>
      </c>
      <c r="I357" s="925"/>
      <c r="J357" s="994"/>
      <c r="K357" s="122" t="s">
        <v>156</v>
      </c>
      <c r="L357" s="2230"/>
      <c r="M357" s="989"/>
      <c r="N357" s="506"/>
      <c r="O357" s="989"/>
      <c r="P357" s="2231"/>
      <c r="Q357" s="2230"/>
      <c r="R357" s="989"/>
      <c r="S357" s="506"/>
      <c r="T357" s="989"/>
      <c r="U357" s="2231"/>
      <c r="V357" s="2230"/>
      <c r="W357" s="989"/>
      <c r="X357" s="506"/>
      <c r="Y357" s="989"/>
      <c r="Z357" s="2231"/>
      <c r="AA357" s="2230"/>
      <c r="AB357" s="989"/>
      <c r="AC357" s="506"/>
      <c r="AD357" s="989"/>
      <c r="AE357" s="2231"/>
      <c r="AF357" s="4668"/>
      <c r="AG357" s="547"/>
      <c r="AH357" s="547"/>
      <c r="AI357" s="1244" t="s">
        <v>1366</v>
      </c>
      <c r="AJ357" s="18"/>
    </row>
    <row r="358" spans="2:36" ht="20.100000000000001" hidden="1" customHeight="1" thickBot="1">
      <c r="B358" s="4505" t="s">
        <v>2281</v>
      </c>
      <c r="C358" s="1935"/>
      <c r="D358" s="936" t="s">
        <v>1367</v>
      </c>
      <c r="E358" s="924"/>
      <c r="F358" s="119" t="s">
        <v>1011</v>
      </c>
      <c r="G358" s="905"/>
      <c r="H358" s="963"/>
      <c r="I358" s="349" t="s">
        <v>1368</v>
      </c>
      <c r="J358" s="575"/>
      <c r="K358" s="122" t="s">
        <v>1013</v>
      </c>
      <c r="L358" s="2230"/>
      <c r="M358" s="989"/>
      <c r="N358" s="506"/>
      <c r="O358" s="989"/>
      <c r="P358" s="2231"/>
      <c r="Q358" s="2230"/>
      <c r="R358" s="989"/>
      <c r="S358" s="506"/>
      <c r="T358" s="989"/>
      <c r="U358" s="2231"/>
      <c r="V358" s="2230"/>
      <c r="W358" s="989"/>
      <c r="X358" s="506"/>
      <c r="Y358" s="989"/>
      <c r="Z358" s="2231"/>
      <c r="AA358" s="2230"/>
      <c r="AB358" s="989"/>
      <c r="AC358" s="506"/>
      <c r="AD358" s="989"/>
      <c r="AE358" s="2231"/>
      <c r="AF358" s="4668"/>
      <c r="AG358" s="547"/>
      <c r="AH358" s="547"/>
      <c r="AI358" s="1244" t="s">
        <v>1366</v>
      </c>
      <c r="AJ358" s="18"/>
    </row>
    <row r="359" spans="2:36" ht="20.100000000000001" hidden="1" customHeight="1" thickBot="1">
      <c r="B359" s="4505" t="s">
        <v>2281</v>
      </c>
      <c r="C359" s="4678"/>
      <c r="D359" s="936" t="s">
        <v>1369</v>
      </c>
      <c r="E359" s="924"/>
      <c r="F359" s="119" t="s">
        <v>1011</v>
      </c>
      <c r="G359" s="912"/>
      <c r="H359" s="964"/>
      <c r="I359" s="349" t="s">
        <v>1862</v>
      </c>
      <c r="J359" s="575"/>
      <c r="K359" s="122" t="s">
        <v>1013</v>
      </c>
      <c r="L359" s="2230"/>
      <c r="M359" s="989"/>
      <c r="N359" s="506"/>
      <c r="O359" s="989"/>
      <c r="P359" s="2231"/>
      <c r="Q359" s="2230"/>
      <c r="R359" s="989"/>
      <c r="S359" s="506"/>
      <c r="T359" s="989"/>
      <c r="U359" s="2231"/>
      <c r="V359" s="2230"/>
      <c r="W359" s="989"/>
      <c r="X359" s="506"/>
      <c r="Y359" s="989"/>
      <c r="Z359" s="2231"/>
      <c r="AA359" s="2230"/>
      <c r="AB359" s="989"/>
      <c r="AC359" s="506"/>
      <c r="AD359" s="989"/>
      <c r="AE359" s="2231"/>
      <c r="AF359" s="4668"/>
      <c r="AG359" s="547"/>
      <c r="AH359" s="547"/>
      <c r="AI359" s="4662" t="s">
        <v>1366</v>
      </c>
      <c r="AJ359" s="18"/>
    </row>
    <row r="360" spans="2:36" ht="20.100000000000001" hidden="1" customHeight="1" thickBot="1">
      <c r="B360" s="4505" t="s">
        <v>2281</v>
      </c>
      <c r="C360" s="4681" t="s">
        <v>1371</v>
      </c>
      <c r="D360" s="359"/>
      <c r="E360" s="359"/>
      <c r="F360" s="997" t="s">
        <v>156</v>
      </c>
      <c r="G360" s="358"/>
      <c r="H360" s="998" t="s">
        <v>1372</v>
      </c>
      <c r="I360" s="998"/>
      <c r="J360" s="1069"/>
      <c r="K360" s="122" t="s">
        <v>156</v>
      </c>
      <c r="L360" s="2230"/>
      <c r="M360" s="989"/>
      <c r="N360" s="506"/>
      <c r="O360" s="989"/>
      <c r="P360" s="2231"/>
      <c r="Q360" s="2230"/>
      <c r="R360" s="989"/>
      <c r="S360" s="506"/>
      <c r="T360" s="989"/>
      <c r="U360" s="2231"/>
      <c r="V360" s="2230"/>
      <c r="W360" s="989"/>
      <c r="X360" s="506"/>
      <c r="Y360" s="989"/>
      <c r="Z360" s="2231"/>
      <c r="AA360" s="2230"/>
      <c r="AB360" s="989"/>
      <c r="AC360" s="506"/>
      <c r="AD360" s="989"/>
      <c r="AE360" s="2231"/>
      <c r="AF360" s="4668"/>
      <c r="AG360" s="547"/>
      <c r="AH360" s="547"/>
      <c r="AI360" s="4662" t="s">
        <v>1375</v>
      </c>
      <c r="AJ360" s="18"/>
    </row>
    <row r="361" spans="2:36" ht="20.100000000000001" hidden="1" customHeight="1" thickBot="1">
      <c r="B361" s="4505" t="s">
        <v>2281</v>
      </c>
      <c r="C361" s="4632"/>
      <c r="D361" s="787" t="s">
        <v>1863</v>
      </c>
      <c r="E361" s="781"/>
      <c r="F361" s="997" t="s">
        <v>1011</v>
      </c>
      <c r="G361" s="347"/>
      <c r="H361" s="348"/>
      <c r="I361" s="184" t="s">
        <v>1377</v>
      </c>
      <c r="J361" s="287"/>
      <c r="K361" s="122" t="s">
        <v>1013</v>
      </c>
      <c r="L361" s="2230"/>
      <c r="M361" s="989"/>
      <c r="N361" s="506"/>
      <c r="O361" s="989"/>
      <c r="P361" s="2231"/>
      <c r="Q361" s="2230"/>
      <c r="R361" s="989"/>
      <c r="S361" s="506"/>
      <c r="T361" s="989"/>
      <c r="U361" s="2231"/>
      <c r="V361" s="2230"/>
      <c r="W361" s="989"/>
      <c r="X361" s="506"/>
      <c r="Y361" s="989"/>
      <c r="Z361" s="2231"/>
      <c r="AA361" s="2230"/>
      <c r="AB361" s="989"/>
      <c r="AC361" s="506"/>
      <c r="AD361" s="989"/>
      <c r="AE361" s="2231"/>
      <c r="AF361" s="4668"/>
      <c r="AG361" s="547"/>
      <c r="AH361" s="547"/>
      <c r="AI361" s="4662" t="s">
        <v>1375</v>
      </c>
      <c r="AJ361" s="18"/>
    </row>
    <row r="362" spans="2:36" ht="20.100000000000001" hidden="1" customHeight="1" thickBot="1">
      <c r="B362" s="4505" t="s">
        <v>2281</v>
      </c>
      <c r="C362" s="4634"/>
      <c r="D362" s="787" t="s">
        <v>1864</v>
      </c>
      <c r="E362" s="781"/>
      <c r="F362" s="997" t="s">
        <v>1011</v>
      </c>
      <c r="G362" s="384"/>
      <c r="H362" s="385"/>
      <c r="I362" s="184" t="s">
        <v>1862</v>
      </c>
      <c r="J362" s="287"/>
      <c r="K362" s="122" t="s">
        <v>1013</v>
      </c>
      <c r="L362" s="2230"/>
      <c r="M362" s="989"/>
      <c r="N362" s="506"/>
      <c r="O362" s="989"/>
      <c r="P362" s="2231"/>
      <c r="Q362" s="2230"/>
      <c r="R362" s="989"/>
      <c r="S362" s="506"/>
      <c r="T362" s="989"/>
      <c r="U362" s="2231"/>
      <c r="V362" s="2230"/>
      <c r="W362" s="989"/>
      <c r="X362" s="506"/>
      <c r="Y362" s="989"/>
      <c r="Z362" s="2231"/>
      <c r="AA362" s="2230"/>
      <c r="AB362" s="989"/>
      <c r="AC362" s="506"/>
      <c r="AD362" s="989"/>
      <c r="AE362" s="2231"/>
      <c r="AF362" s="4668"/>
      <c r="AG362" s="547"/>
      <c r="AH362" s="547"/>
      <c r="AI362" s="4662" t="s">
        <v>1375</v>
      </c>
      <c r="AJ362" s="18"/>
    </row>
    <row r="363" spans="2:36" ht="20.100000000000001" hidden="1" customHeight="1" thickBot="1">
      <c r="B363" s="4505" t="s">
        <v>2281</v>
      </c>
      <c r="C363" s="4681" t="s">
        <v>1378</v>
      </c>
      <c r="D363" s="359"/>
      <c r="E363" s="359"/>
      <c r="F363" s="997" t="s">
        <v>156</v>
      </c>
      <c r="G363" s="358"/>
      <c r="H363" s="359" t="s">
        <v>1379</v>
      </c>
      <c r="I363" s="359"/>
      <c r="J363" s="348"/>
      <c r="K363" s="165" t="s">
        <v>156</v>
      </c>
      <c r="L363" s="2230"/>
      <c r="M363" s="989"/>
      <c r="N363" s="506"/>
      <c r="O363" s="989"/>
      <c r="P363" s="2231"/>
      <c r="Q363" s="2230"/>
      <c r="R363" s="989"/>
      <c r="S363" s="506"/>
      <c r="T363" s="989"/>
      <c r="U363" s="2231"/>
      <c r="V363" s="2230"/>
      <c r="W363" s="989"/>
      <c r="X363" s="506"/>
      <c r="Y363" s="989"/>
      <c r="Z363" s="2231"/>
      <c r="AA363" s="2230"/>
      <c r="AB363" s="989"/>
      <c r="AC363" s="506"/>
      <c r="AD363" s="989"/>
      <c r="AE363" s="2231"/>
      <c r="AF363" s="4668"/>
      <c r="AG363" s="547"/>
      <c r="AH363" s="547"/>
      <c r="AI363" s="4662" t="s">
        <v>1375</v>
      </c>
      <c r="AJ363" s="18"/>
    </row>
    <row r="364" spans="2:36" ht="20.100000000000001" hidden="1" customHeight="1" thickBot="1">
      <c r="B364" s="4505" t="s">
        <v>2281</v>
      </c>
      <c r="C364" s="4632"/>
      <c r="D364" s="787" t="s">
        <v>1382</v>
      </c>
      <c r="E364" s="781"/>
      <c r="F364" s="997" t="s">
        <v>1011</v>
      </c>
      <c r="G364" s="347"/>
      <c r="H364" s="348"/>
      <c r="I364" s="184" t="s">
        <v>1383</v>
      </c>
      <c r="J364" s="287"/>
      <c r="K364" s="122" t="s">
        <v>1013</v>
      </c>
      <c r="L364" s="2230"/>
      <c r="M364" s="989"/>
      <c r="N364" s="506"/>
      <c r="O364" s="989"/>
      <c r="P364" s="2231"/>
      <c r="Q364" s="2230"/>
      <c r="R364" s="989"/>
      <c r="S364" s="506"/>
      <c r="T364" s="989"/>
      <c r="U364" s="2231"/>
      <c r="V364" s="2230"/>
      <c r="W364" s="989"/>
      <c r="X364" s="506"/>
      <c r="Y364" s="989"/>
      <c r="Z364" s="2231"/>
      <c r="AA364" s="2230"/>
      <c r="AB364" s="989"/>
      <c r="AC364" s="506"/>
      <c r="AD364" s="989"/>
      <c r="AE364" s="2231"/>
      <c r="AF364" s="4668"/>
      <c r="AG364" s="547"/>
      <c r="AH364" s="547"/>
      <c r="AI364" s="4662" t="s">
        <v>1375</v>
      </c>
      <c r="AJ364" s="18"/>
    </row>
    <row r="365" spans="2:36" ht="20.100000000000001" hidden="1" customHeight="1" thickBot="1">
      <c r="B365" s="4505" t="s">
        <v>2281</v>
      </c>
      <c r="C365" s="4634"/>
      <c r="D365" s="787" t="s">
        <v>1384</v>
      </c>
      <c r="F365" s="997" t="s">
        <v>1011</v>
      </c>
      <c r="G365" s="384"/>
      <c r="H365" s="385"/>
      <c r="I365" s="1000" t="s">
        <v>1865</v>
      </c>
      <c r="J365" s="643"/>
      <c r="K365" s="109" t="s">
        <v>1013</v>
      </c>
      <c r="L365" s="2230"/>
      <c r="M365" s="989"/>
      <c r="N365" s="506"/>
      <c r="O365" s="989"/>
      <c r="P365" s="2231"/>
      <c r="Q365" s="2230"/>
      <c r="R365" s="989"/>
      <c r="S365" s="506"/>
      <c r="T365" s="989"/>
      <c r="U365" s="2231"/>
      <c r="V365" s="2230"/>
      <c r="W365" s="989"/>
      <c r="X365" s="506"/>
      <c r="Y365" s="989"/>
      <c r="Z365" s="2231"/>
      <c r="AA365" s="2230"/>
      <c r="AB365" s="989"/>
      <c r="AC365" s="506"/>
      <c r="AD365" s="989"/>
      <c r="AE365" s="2231"/>
      <c r="AF365" s="4668"/>
      <c r="AG365" s="547"/>
      <c r="AH365" s="547"/>
      <c r="AI365" s="1244" t="s">
        <v>1375</v>
      </c>
      <c r="AJ365" s="18"/>
    </row>
    <row r="366" spans="2:36" ht="20.100000000000001" hidden="1" customHeight="1" thickBot="1">
      <c r="B366" s="4505" t="s">
        <v>2281</v>
      </c>
      <c r="C366" s="4619" t="s">
        <v>1386</v>
      </c>
      <c r="D366" s="781"/>
      <c r="E366" s="781"/>
      <c r="F366" s="997" t="s">
        <v>557</v>
      </c>
      <c r="G366" s="386"/>
      <c r="H366" s="140" t="s">
        <v>1866</v>
      </c>
      <c r="I366" s="140"/>
      <c r="J366" s="287"/>
      <c r="K366" s="122" t="s">
        <v>559</v>
      </c>
      <c r="L366" s="2230"/>
      <c r="M366" s="989"/>
      <c r="N366" s="506"/>
      <c r="O366" s="989"/>
      <c r="P366" s="2231"/>
      <c r="Q366" s="2230"/>
      <c r="R366" s="989"/>
      <c r="S366" s="506"/>
      <c r="T366" s="989"/>
      <c r="U366" s="2231"/>
      <c r="V366" s="2230"/>
      <c r="W366" s="989"/>
      <c r="X366" s="506"/>
      <c r="Y366" s="989"/>
      <c r="Z366" s="2231"/>
      <c r="AA366" s="2230"/>
      <c r="AB366" s="989"/>
      <c r="AC366" s="506"/>
      <c r="AD366" s="989"/>
      <c r="AE366" s="2231"/>
      <c r="AF366" s="4668"/>
      <c r="AG366" s="547"/>
      <c r="AH366" s="547"/>
      <c r="AI366" s="1325" t="s">
        <v>1390</v>
      </c>
      <c r="AJ366" s="18"/>
    </row>
    <row r="367" spans="2:36" ht="20.100000000000001" hidden="1" customHeight="1" thickBot="1">
      <c r="B367" s="4505" t="s">
        <v>2281</v>
      </c>
      <c r="C367" s="1878" t="s">
        <v>1391</v>
      </c>
      <c r="D367" s="781"/>
      <c r="E367" s="781"/>
      <c r="F367" s="285" t="s">
        <v>156</v>
      </c>
      <c r="G367" s="777"/>
      <c r="H367" s="757" t="s">
        <v>1392</v>
      </c>
      <c r="I367" s="757"/>
      <c r="J367" s="906"/>
      <c r="K367" s="122" t="s">
        <v>156</v>
      </c>
      <c r="L367" s="2228"/>
      <c r="M367" s="382"/>
      <c r="N367" s="260"/>
      <c r="O367" s="382"/>
      <c r="P367" s="2287"/>
      <c r="Q367" s="2228"/>
      <c r="R367" s="382"/>
      <c r="S367" s="260"/>
      <c r="T367" s="382"/>
      <c r="U367" s="2287"/>
      <c r="V367" s="2228"/>
      <c r="W367" s="382"/>
      <c r="X367" s="260"/>
      <c r="Y367" s="382"/>
      <c r="Z367" s="2287"/>
      <c r="AA367" s="2228"/>
      <c r="AB367" s="382"/>
      <c r="AC367" s="260"/>
      <c r="AD367" s="382"/>
      <c r="AE367" s="2287"/>
      <c r="AF367" s="4668"/>
      <c r="AG367" s="547"/>
      <c r="AH367" s="547"/>
      <c r="AI367" s="1244" t="s">
        <v>1395</v>
      </c>
      <c r="AJ367" s="18"/>
    </row>
    <row r="368" spans="2:36" ht="27" thickBot="1">
      <c r="B368" s="4505" t="s">
        <v>2281</v>
      </c>
      <c r="C368" s="1709" t="s">
        <v>1396</v>
      </c>
      <c r="D368" s="124"/>
      <c r="E368" s="124"/>
      <c r="F368" s="124"/>
      <c r="G368" s="598" t="s">
        <v>1397</v>
      </c>
      <c r="H368" s="124"/>
      <c r="I368" s="126"/>
      <c r="J368" s="126"/>
      <c r="K368" s="78"/>
      <c r="L368" s="2431"/>
      <c r="M368" s="1005"/>
      <c r="N368" s="1005"/>
      <c r="O368" s="1005"/>
      <c r="P368" s="2432"/>
      <c r="Q368" s="2431"/>
      <c r="R368" s="1005"/>
      <c r="S368" s="1005"/>
      <c r="T368" s="1005"/>
      <c r="U368" s="2432"/>
      <c r="V368" s="2431"/>
      <c r="W368" s="1005"/>
      <c r="X368" s="1005"/>
      <c r="Y368" s="1005"/>
      <c r="Z368" s="2432"/>
      <c r="AA368" s="2431"/>
      <c r="AB368" s="1005"/>
      <c r="AC368" s="1005"/>
      <c r="AD368" s="1005"/>
      <c r="AE368" s="2432"/>
      <c r="AF368" s="4493"/>
      <c r="AG368" s="129"/>
      <c r="AH368" s="129"/>
      <c r="AI368" s="1006"/>
      <c r="AJ368" s="18"/>
    </row>
    <row r="369" spans="1:37" ht="20.100000000000001" hidden="1" customHeight="1">
      <c r="B369" s="4682"/>
      <c r="C369" s="86" t="s">
        <v>1398</v>
      </c>
      <c r="D369" s="86"/>
      <c r="E369" s="86"/>
      <c r="F369" s="1007" t="s">
        <v>233</v>
      </c>
      <c r="G369" s="1008"/>
      <c r="H369" s="1009" t="s">
        <v>1399</v>
      </c>
      <c r="I369" s="1009"/>
      <c r="J369" s="1010"/>
      <c r="K369" s="1011" t="s">
        <v>295</v>
      </c>
      <c r="L369" s="2292"/>
      <c r="M369" s="1019"/>
      <c r="N369" s="1018"/>
      <c r="O369" s="1019"/>
      <c r="P369" s="2293"/>
      <c r="Q369" s="2292"/>
      <c r="R369" s="1017"/>
      <c r="S369" s="1018"/>
      <c r="T369" s="1019"/>
      <c r="U369" s="2293"/>
      <c r="V369" s="2292"/>
      <c r="W369" s="1020"/>
      <c r="X369" s="1018"/>
      <c r="Y369" s="1017"/>
      <c r="Z369" s="2293"/>
      <c r="AA369" s="2292"/>
      <c r="AB369" s="1019"/>
      <c r="AC369" s="1018"/>
      <c r="AD369" s="1019"/>
      <c r="AE369" s="2293"/>
      <c r="AF369" s="4683"/>
      <c r="AG369" s="534"/>
      <c r="AH369" s="534"/>
      <c r="AI369" s="1244" t="s">
        <v>1402</v>
      </c>
      <c r="AJ369" s="18"/>
    </row>
    <row r="370" spans="1:37" ht="20.100000000000001" hidden="1" customHeight="1">
      <c r="B370" s="4505" t="s">
        <v>2281</v>
      </c>
      <c r="C370" s="4516" t="s">
        <v>1403</v>
      </c>
      <c r="D370" s="1022"/>
      <c r="E370" s="1023"/>
      <c r="F370" s="1007" t="s">
        <v>1404</v>
      </c>
      <c r="G370" s="347"/>
      <c r="H370" s="359" t="s">
        <v>1405</v>
      </c>
      <c r="I370" s="359"/>
      <c r="J370" s="385"/>
      <c r="K370" s="1024" t="s">
        <v>1406</v>
      </c>
      <c r="L370" s="2433">
        <v>0</v>
      </c>
      <c r="M370" s="1029">
        <v>0</v>
      </c>
      <c r="N370" s="1028">
        <v>0</v>
      </c>
      <c r="O370" s="1029">
        <v>0</v>
      </c>
      <c r="P370" s="2434"/>
      <c r="Q370" s="2433">
        <v>500000000</v>
      </c>
      <c r="R370" s="1030" t="s">
        <v>2517</v>
      </c>
      <c r="S370" s="1028">
        <v>0</v>
      </c>
      <c r="T370" s="1029">
        <v>0</v>
      </c>
      <c r="U370" s="2434"/>
      <c r="V370" s="2433">
        <v>0</v>
      </c>
      <c r="W370" s="1031" t="s">
        <v>2518</v>
      </c>
      <c r="X370" s="1028">
        <v>0</v>
      </c>
      <c r="Y370" s="1030" t="s">
        <v>2519</v>
      </c>
      <c r="Z370" s="2434"/>
      <c r="AA370" s="2433"/>
      <c r="AB370" s="1029"/>
      <c r="AC370" s="1028"/>
      <c r="AD370" s="1029"/>
      <c r="AE370" s="2434"/>
      <c r="AF370" s="4684"/>
      <c r="AG370" s="878"/>
      <c r="AH370" s="878"/>
      <c r="AI370" s="1244" t="s">
        <v>1409</v>
      </c>
      <c r="AJ370" s="18"/>
    </row>
    <row r="371" spans="1:37" ht="20.100000000000001" customHeight="1">
      <c r="B371" s="4505" t="s">
        <v>2281</v>
      </c>
      <c r="C371" s="2041" t="s">
        <v>1413</v>
      </c>
      <c r="D371" s="491"/>
      <c r="E371" s="491"/>
      <c r="F371" s="1007" t="s">
        <v>1595</v>
      </c>
      <c r="G371" s="88"/>
      <c r="H371" s="359" t="s">
        <v>1414</v>
      </c>
      <c r="I371" s="359"/>
      <c r="J371" s="643"/>
      <c r="K371" s="109" t="s">
        <v>1597</v>
      </c>
      <c r="L371" s="2435"/>
      <c r="M371" s="1036"/>
      <c r="N371" s="1039"/>
      <c r="O371" s="1036"/>
      <c r="P371" s="2436"/>
      <c r="Q371" s="2435"/>
      <c r="R371" s="1036"/>
      <c r="S371" s="1039"/>
      <c r="T371" s="1036"/>
      <c r="U371" s="2436"/>
      <c r="V371" s="2435" t="s">
        <v>641</v>
      </c>
      <c r="W371" s="1036"/>
      <c r="X371" s="2435" t="s">
        <v>641</v>
      </c>
      <c r="Y371" s="1036"/>
      <c r="Z371" s="2435" t="s">
        <v>641</v>
      </c>
      <c r="AA371" s="2435"/>
      <c r="AB371" s="1036"/>
      <c r="AC371" s="1039"/>
      <c r="AD371" s="1036"/>
      <c r="AE371" s="2436"/>
      <c r="AF371" s="4684"/>
      <c r="AG371" s="547"/>
      <c r="AH371" s="547"/>
      <c r="AI371" s="1244" t="s">
        <v>1416</v>
      </c>
      <c r="AJ371" s="18"/>
    </row>
    <row r="372" spans="1:37" ht="20.100000000000001" customHeight="1">
      <c r="B372" s="4505" t="s">
        <v>2281</v>
      </c>
      <c r="C372" s="4599" t="s">
        <v>1419</v>
      </c>
      <c r="D372" s="663"/>
      <c r="E372" s="663"/>
      <c r="F372" s="4685" t="s">
        <v>168</v>
      </c>
      <c r="G372" s="4686"/>
      <c r="H372" s="728" t="s">
        <v>1420</v>
      </c>
      <c r="I372" s="663"/>
      <c r="J372" s="655"/>
      <c r="K372" s="1040" t="s">
        <v>168</v>
      </c>
      <c r="L372" s="2384"/>
      <c r="M372" s="1042"/>
      <c r="N372" s="318"/>
      <c r="O372" s="1042"/>
      <c r="P372" s="2437"/>
      <c r="Q372" s="2384"/>
      <c r="R372" s="1042"/>
      <c r="S372" s="318"/>
      <c r="T372" s="1042"/>
      <c r="U372" s="2437"/>
      <c r="V372" s="2384"/>
      <c r="W372" s="1042"/>
      <c r="X372" s="318"/>
      <c r="Y372" s="1042"/>
      <c r="Z372" s="2437"/>
      <c r="AA372" s="2384"/>
      <c r="AB372" s="1042"/>
      <c r="AC372" s="318"/>
      <c r="AD372" s="1042"/>
      <c r="AE372" s="2437"/>
      <c r="AF372" s="4585"/>
      <c r="AG372" s="4586"/>
      <c r="AH372" s="4586"/>
      <c r="AI372" s="4587"/>
      <c r="AJ372" s="18"/>
    </row>
    <row r="373" spans="1:37" ht="20.100000000000001" customHeight="1">
      <c r="B373" s="4505" t="s">
        <v>2281</v>
      </c>
      <c r="C373" s="4606"/>
      <c r="D373" s="787" t="s">
        <v>1018</v>
      </c>
      <c r="E373" s="781"/>
      <c r="F373" s="1007" t="s">
        <v>1018</v>
      </c>
      <c r="G373" s="106"/>
      <c r="H373" s="348"/>
      <c r="I373" s="495" t="s">
        <v>1421</v>
      </c>
      <c r="J373" s="684"/>
      <c r="K373" s="162" t="s">
        <v>1831</v>
      </c>
      <c r="L373" s="2228">
        <v>0</v>
      </c>
      <c r="M373" s="505">
        <v>0</v>
      </c>
      <c r="N373" s="260">
        <v>0</v>
      </c>
      <c r="O373" s="505">
        <v>0</v>
      </c>
      <c r="P373" s="2287"/>
      <c r="Q373" s="2228">
        <v>0</v>
      </c>
      <c r="R373" s="505">
        <v>0</v>
      </c>
      <c r="S373" s="260">
        <v>0</v>
      </c>
      <c r="T373" s="505">
        <v>0</v>
      </c>
      <c r="U373" s="2287"/>
      <c r="V373" s="2228">
        <v>0</v>
      </c>
      <c r="W373" s="503" t="s">
        <v>1426</v>
      </c>
      <c r="X373" s="260">
        <v>0</v>
      </c>
      <c r="Y373" s="503" t="s">
        <v>1426</v>
      </c>
      <c r="Z373" s="2287">
        <v>0</v>
      </c>
      <c r="AA373" s="2228"/>
      <c r="AB373" s="505"/>
      <c r="AC373" s="260"/>
      <c r="AD373" s="505"/>
      <c r="AE373" s="2287"/>
      <c r="AF373" s="2239"/>
      <c r="AG373" s="547"/>
      <c r="AH373" s="1047"/>
      <c r="AI373" s="1244" t="s">
        <v>1425</v>
      </c>
      <c r="AJ373" s="18"/>
    </row>
    <row r="374" spans="1:37" ht="20.100000000000001" customHeight="1" thickBot="1">
      <c r="B374" s="4687" t="s">
        <v>2281</v>
      </c>
      <c r="C374" s="4688"/>
      <c r="D374" s="4689" t="s">
        <v>1428</v>
      </c>
      <c r="E374" s="4690"/>
      <c r="F374" s="4691" t="s">
        <v>742</v>
      </c>
      <c r="G374" s="1171"/>
      <c r="H374" s="1171"/>
      <c r="I374" s="4692" t="s">
        <v>1429</v>
      </c>
      <c r="J374" s="4693"/>
      <c r="K374" s="1172" t="s">
        <v>734</v>
      </c>
      <c r="L374" s="2323">
        <v>0</v>
      </c>
      <c r="M374" s="1178">
        <v>0</v>
      </c>
      <c r="N374" s="1177">
        <v>0</v>
      </c>
      <c r="O374" s="1178">
        <v>0</v>
      </c>
      <c r="P374" s="2324"/>
      <c r="Q374" s="2323">
        <v>0</v>
      </c>
      <c r="R374" s="1178">
        <v>0</v>
      </c>
      <c r="S374" s="1177">
        <v>0</v>
      </c>
      <c r="T374" s="1178">
        <v>0</v>
      </c>
      <c r="U374" s="2324"/>
      <c r="V374" s="2323">
        <v>0</v>
      </c>
      <c r="W374" s="4694" t="s">
        <v>1426</v>
      </c>
      <c r="X374" s="1177">
        <v>0</v>
      </c>
      <c r="Y374" s="4694" t="s">
        <v>1426</v>
      </c>
      <c r="Z374" s="2324">
        <v>0</v>
      </c>
      <c r="AA374" s="2323"/>
      <c r="AB374" s="1178"/>
      <c r="AC374" s="1177"/>
      <c r="AD374" s="1178"/>
      <c r="AE374" s="2324"/>
      <c r="AF374" s="4695"/>
      <c r="AG374" s="597"/>
      <c r="AH374" s="4696"/>
      <c r="AI374" s="4697" t="s">
        <v>1431</v>
      </c>
      <c r="AJ374" s="18"/>
    </row>
    <row r="375" spans="1:37" ht="20.100000000000001" hidden="1" customHeight="1" thickBot="1">
      <c r="B375" s="4698"/>
      <c r="C375" s="4699" t="s">
        <v>1433</v>
      </c>
      <c r="D375" s="4700"/>
      <c r="E375" s="4700"/>
      <c r="F375" s="1143" t="s">
        <v>156</v>
      </c>
      <c r="G375" s="4701"/>
      <c r="H375" s="4702" t="s">
        <v>1434</v>
      </c>
      <c r="I375" s="4703"/>
      <c r="J375" s="4704"/>
      <c r="K375" s="873" t="s">
        <v>156</v>
      </c>
      <c r="L375" s="2286"/>
      <c r="M375" s="960"/>
      <c r="N375" s="959"/>
      <c r="O375" s="960"/>
      <c r="P375" s="2517"/>
      <c r="Q375" s="2286"/>
      <c r="R375" s="960"/>
      <c r="S375" s="959"/>
      <c r="T375" s="960"/>
      <c r="U375" s="2425"/>
      <c r="V375" s="2141"/>
      <c r="W375" s="960"/>
      <c r="X375" s="959"/>
      <c r="Y375" s="960"/>
      <c r="Z375" s="959"/>
      <c r="AA375" s="959"/>
      <c r="AB375" s="960"/>
      <c r="AC375" s="959"/>
      <c r="AD375" s="960"/>
      <c r="AE375" s="959"/>
      <c r="AF375" s="873"/>
      <c r="AG375" s="878"/>
      <c r="AH375" s="878"/>
      <c r="AI375" s="620"/>
      <c r="AJ375" s="18"/>
    </row>
    <row r="376" spans="1:37" ht="27.75" hidden="1" thickTop="1" thickBot="1">
      <c r="A376" s="50"/>
      <c r="B376" s="1742" t="s">
        <v>1437</v>
      </c>
      <c r="C376" s="629"/>
      <c r="D376" s="629"/>
      <c r="E376" s="629"/>
      <c r="F376" s="630"/>
      <c r="G376" s="631" t="s">
        <v>1438</v>
      </c>
      <c r="H376" s="629"/>
      <c r="I376" s="632"/>
      <c r="J376" s="632"/>
      <c r="K376" s="630"/>
      <c r="L376" s="2438"/>
      <c r="M376" s="1054"/>
      <c r="N376" s="1054"/>
      <c r="O376" s="1054"/>
      <c r="P376" s="1054"/>
      <c r="Q376" s="2438"/>
      <c r="R376" s="1054"/>
      <c r="S376" s="1054"/>
      <c r="T376" s="1054"/>
      <c r="U376" s="2439"/>
      <c r="V376" s="1054"/>
      <c r="W376" s="1054"/>
      <c r="X376" s="1054"/>
      <c r="Y376" s="1054"/>
      <c r="Z376" s="1054"/>
      <c r="AA376" s="1054"/>
      <c r="AB376" s="1054"/>
      <c r="AC376" s="1054"/>
      <c r="AD376" s="1054"/>
      <c r="AE376" s="1054"/>
      <c r="AF376" s="633"/>
      <c r="AG376" s="633"/>
      <c r="AH376" s="633"/>
      <c r="AI376" s="1055"/>
      <c r="AJ376" s="18"/>
      <c r="AK376" s="54"/>
    </row>
    <row r="377" spans="1:37" ht="27" hidden="1" thickBot="1">
      <c r="B377" s="123" t="s">
        <v>1439</v>
      </c>
      <c r="C377" s="124"/>
      <c r="D377" s="124"/>
      <c r="E377" s="124"/>
      <c r="F377" s="78"/>
      <c r="G377" s="125" t="s">
        <v>2525</v>
      </c>
      <c r="H377" s="124"/>
      <c r="I377" s="124"/>
      <c r="J377" s="126"/>
      <c r="K377" s="78"/>
      <c r="L377" s="2431"/>
      <c r="M377" s="1005"/>
      <c r="N377" s="1005"/>
      <c r="O377" s="1005"/>
      <c r="P377" s="1005"/>
      <c r="Q377" s="2431"/>
      <c r="R377" s="1005"/>
      <c r="S377" s="1005"/>
      <c r="T377" s="1005"/>
      <c r="U377" s="2432"/>
      <c r="V377" s="1005"/>
      <c r="W377" s="1005"/>
      <c r="X377" s="1005"/>
      <c r="Y377" s="1005"/>
      <c r="Z377" s="1005"/>
      <c r="AA377" s="1005"/>
      <c r="AB377" s="1005"/>
      <c r="AC377" s="1005"/>
      <c r="AD377" s="1005"/>
      <c r="AE377" s="1005"/>
      <c r="AF377" s="80"/>
      <c r="AG377" s="80"/>
      <c r="AH377" s="80"/>
      <c r="AI377" s="1952"/>
      <c r="AJ377" s="18"/>
    </row>
    <row r="378" spans="1:37" ht="20.100000000000001" hidden="1" customHeight="1">
      <c r="B378" s="1865"/>
      <c r="C378" s="4705" t="s">
        <v>1441</v>
      </c>
      <c r="D378" s="4706"/>
      <c r="E378" s="4706"/>
      <c r="F378" s="1040" t="s">
        <v>168</v>
      </c>
      <c r="G378" s="1056"/>
      <c r="H378" s="698" t="s">
        <v>1442</v>
      </c>
      <c r="I378" s="698"/>
      <c r="J378" s="655"/>
      <c r="K378" s="956" t="s">
        <v>734</v>
      </c>
      <c r="L378" s="2423"/>
      <c r="M378" s="954"/>
      <c r="N378" s="953"/>
      <c r="O378" s="954"/>
      <c r="P378" s="4707"/>
      <c r="Q378" s="2423"/>
      <c r="R378" s="954"/>
      <c r="S378" s="953"/>
      <c r="T378" s="954"/>
      <c r="U378" s="2424"/>
      <c r="V378" s="2140"/>
      <c r="W378" s="954"/>
      <c r="X378" s="953"/>
      <c r="Y378" s="954"/>
      <c r="Z378" s="953"/>
      <c r="AA378" s="953"/>
      <c r="AB378" s="954"/>
      <c r="AC378" s="953"/>
      <c r="AD378" s="954"/>
      <c r="AE378" s="953"/>
      <c r="AF378" s="873"/>
      <c r="AG378" s="547"/>
      <c r="AH378" s="547"/>
      <c r="AI378" s="1043"/>
      <c r="AJ378" s="18"/>
    </row>
    <row r="379" spans="1:37" ht="20.100000000000001" hidden="1" customHeight="1">
      <c r="B379" s="1865"/>
      <c r="C379" s="4708"/>
      <c r="D379" s="787" t="s">
        <v>1445</v>
      </c>
      <c r="E379" s="781"/>
      <c r="F379" s="105" t="s">
        <v>732</v>
      </c>
      <c r="G379" s="106"/>
      <c r="H379" s="353"/>
      <c r="I379" s="945" t="s">
        <v>1446</v>
      </c>
      <c r="J379" s="945"/>
      <c r="K379" s="873" t="s">
        <v>734</v>
      </c>
      <c r="L379" s="2300">
        <v>0</v>
      </c>
      <c r="M379" s="807">
        <v>0</v>
      </c>
      <c r="N379" s="805">
        <v>0</v>
      </c>
      <c r="O379" s="807">
        <v>0</v>
      </c>
      <c r="P379" s="2544"/>
      <c r="Q379" s="2300">
        <v>0</v>
      </c>
      <c r="R379" s="807">
        <v>0</v>
      </c>
      <c r="S379" s="805">
        <v>0</v>
      </c>
      <c r="T379" s="807">
        <v>0</v>
      </c>
      <c r="U379" s="2301"/>
      <c r="V379" s="2145" t="s">
        <v>2526</v>
      </c>
      <c r="W379" s="807" t="s">
        <v>2527</v>
      </c>
      <c r="X379" s="805" t="s">
        <v>2526</v>
      </c>
      <c r="Y379" s="807" t="s">
        <v>2527</v>
      </c>
      <c r="Z379" s="805"/>
      <c r="AA379" s="805"/>
      <c r="AB379" s="807"/>
      <c r="AC379" s="805"/>
      <c r="AD379" s="807"/>
      <c r="AE379" s="805"/>
      <c r="AF379" s="873"/>
      <c r="AG379" s="547"/>
      <c r="AH379" s="547"/>
      <c r="AI379" s="277" t="s">
        <v>1449</v>
      </c>
      <c r="AJ379" s="18"/>
    </row>
    <row r="380" spans="1:37" ht="20.100000000000001" hidden="1" customHeight="1">
      <c r="B380" s="1865"/>
      <c r="C380" s="4709"/>
      <c r="D380" s="787" t="s">
        <v>1451</v>
      </c>
      <c r="E380" s="781"/>
      <c r="F380" s="105" t="s">
        <v>732</v>
      </c>
      <c r="G380" s="106"/>
      <c r="H380" s="353"/>
      <c r="I380" s="735" t="s">
        <v>1452</v>
      </c>
      <c r="J380" s="735"/>
      <c r="K380" s="109" t="s">
        <v>734</v>
      </c>
      <c r="L380" s="2302">
        <v>0</v>
      </c>
      <c r="M380" s="543">
        <v>0</v>
      </c>
      <c r="N380" s="542">
        <v>0</v>
      </c>
      <c r="O380" s="543">
        <v>0</v>
      </c>
      <c r="P380" s="795"/>
      <c r="Q380" s="2302">
        <v>0</v>
      </c>
      <c r="R380" s="543">
        <v>0</v>
      </c>
      <c r="S380" s="542">
        <v>0</v>
      </c>
      <c r="T380" s="543">
        <v>0</v>
      </c>
      <c r="U380" s="2303"/>
      <c r="V380" s="2449" t="s">
        <v>2528</v>
      </c>
      <c r="W380" s="648">
        <v>0</v>
      </c>
      <c r="X380" s="1064" t="s">
        <v>2528</v>
      </c>
      <c r="Y380" s="543">
        <v>0</v>
      </c>
      <c r="Z380" s="542"/>
      <c r="AA380" s="542"/>
      <c r="AB380" s="543"/>
      <c r="AC380" s="542"/>
      <c r="AD380" s="543"/>
      <c r="AE380" s="542"/>
      <c r="AF380" s="109"/>
      <c r="AG380" s="547"/>
      <c r="AH380" s="547"/>
      <c r="AI380" s="277" t="s">
        <v>1455</v>
      </c>
      <c r="AJ380" s="18"/>
    </row>
    <row r="381" spans="1:37" ht="20.100000000000001" hidden="1" customHeight="1">
      <c r="B381" s="1865"/>
      <c r="C381" s="4664"/>
      <c r="D381" s="787" t="s">
        <v>1456</v>
      </c>
      <c r="E381" s="781"/>
      <c r="F381" s="105" t="s">
        <v>732</v>
      </c>
      <c r="G381" s="384"/>
      <c r="H381" s="385"/>
      <c r="I381" s="1065" t="s">
        <v>1457</v>
      </c>
      <c r="J381" s="1066"/>
      <c r="K381" s="109" t="s">
        <v>734</v>
      </c>
      <c r="L381" s="2302">
        <v>0</v>
      </c>
      <c r="M381" s="543">
        <v>0</v>
      </c>
      <c r="N381" s="542">
        <v>0</v>
      </c>
      <c r="O381" s="543">
        <v>0</v>
      </c>
      <c r="P381" s="795"/>
      <c r="Q381" s="2302">
        <v>0</v>
      </c>
      <c r="R381" s="543">
        <v>0</v>
      </c>
      <c r="S381" s="542">
        <v>0</v>
      </c>
      <c r="T381" s="543">
        <v>0</v>
      </c>
      <c r="U381" s="2303"/>
      <c r="V381" s="2449" t="s">
        <v>2529</v>
      </c>
      <c r="W381" s="648" t="s">
        <v>2530</v>
      </c>
      <c r="X381" s="1064" t="s">
        <v>2529</v>
      </c>
      <c r="Y381" s="543" t="s">
        <v>2530</v>
      </c>
      <c r="Z381" s="542"/>
      <c r="AA381" s="542"/>
      <c r="AB381" s="543"/>
      <c r="AC381" s="542"/>
      <c r="AD381" s="543"/>
      <c r="AE381" s="542"/>
      <c r="AF381" s="109"/>
      <c r="AG381" s="547"/>
      <c r="AH381" s="547"/>
      <c r="AI381" s="277" t="s">
        <v>1460</v>
      </c>
      <c r="AJ381" s="18"/>
    </row>
    <row r="382" spans="1:37" ht="20.100000000000001" hidden="1" customHeight="1">
      <c r="B382" s="1865"/>
      <c r="C382" s="4710" t="s">
        <v>1461</v>
      </c>
      <c r="D382" s="4711"/>
      <c r="E382" s="4712"/>
      <c r="F382" s="1040" t="s">
        <v>168</v>
      </c>
      <c r="G382" s="685"/>
      <c r="H382" s="686" t="s">
        <v>1462</v>
      </c>
      <c r="I382" s="739"/>
      <c r="J382" s="739"/>
      <c r="K382" s="315" t="s">
        <v>168</v>
      </c>
      <c r="L382" s="2304"/>
      <c r="M382" s="661"/>
      <c r="N382" s="659"/>
      <c r="O382" s="661"/>
      <c r="P382" s="2546"/>
      <c r="Q382" s="2304"/>
      <c r="R382" s="661"/>
      <c r="S382" s="659"/>
      <c r="T382" s="661"/>
      <c r="U382" s="2305"/>
      <c r="V382" s="2133"/>
      <c r="W382" s="661"/>
      <c r="X382" s="659"/>
      <c r="Y382" s="661"/>
      <c r="Z382" s="659"/>
      <c r="AA382" s="659"/>
      <c r="AB382" s="661"/>
      <c r="AC382" s="659"/>
      <c r="AD382" s="661"/>
      <c r="AE382" s="659"/>
      <c r="AF382" s="873"/>
      <c r="AG382" s="547"/>
      <c r="AH382" s="547"/>
      <c r="AI382" s="1043"/>
      <c r="AJ382" s="18"/>
    </row>
    <row r="383" spans="1:37" ht="20.100000000000001" hidden="1" customHeight="1">
      <c r="B383" s="1865"/>
      <c r="C383" s="4713"/>
      <c r="D383" s="787" t="s">
        <v>1445</v>
      </c>
      <c r="E383" s="781"/>
      <c r="F383" s="105" t="s">
        <v>154</v>
      </c>
      <c r="G383" s="347"/>
      <c r="H383" s="1069"/>
      <c r="I383" s="735" t="s">
        <v>1454</v>
      </c>
      <c r="J383" s="735"/>
      <c r="K383" s="109" t="s">
        <v>154</v>
      </c>
      <c r="L383" s="2302"/>
      <c r="M383" s="543"/>
      <c r="N383" s="542"/>
      <c r="O383" s="543"/>
      <c r="P383" s="795"/>
      <c r="Q383" s="2302"/>
      <c r="R383" s="543"/>
      <c r="S383" s="542"/>
      <c r="T383" s="543"/>
      <c r="U383" s="2303"/>
      <c r="V383" s="2449"/>
      <c r="W383" s="648"/>
      <c r="X383" s="1064"/>
      <c r="Y383" s="543"/>
      <c r="Z383" s="542"/>
      <c r="AA383" s="542"/>
      <c r="AB383" s="543"/>
      <c r="AC383" s="542"/>
      <c r="AD383" s="543"/>
      <c r="AE383" s="542"/>
      <c r="AF383" s="109"/>
      <c r="AG383" s="547"/>
      <c r="AH383" s="547"/>
      <c r="AI383" s="277" t="s">
        <v>1465</v>
      </c>
      <c r="AJ383" s="18"/>
    </row>
    <row r="384" spans="1:37" ht="20.100000000000001" hidden="1" customHeight="1">
      <c r="B384" s="1865"/>
      <c r="C384" s="4714"/>
      <c r="D384" s="787" t="s">
        <v>1466</v>
      </c>
      <c r="E384" s="781"/>
      <c r="F384" s="706" t="s">
        <v>154</v>
      </c>
      <c r="G384" s="1070"/>
      <c r="H384" s="1071"/>
      <c r="I384" s="1072" t="s">
        <v>1467</v>
      </c>
      <c r="J384" s="1072"/>
      <c r="K384" s="711" t="s">
        <v>154</v>
      </c>
      <c r="L384" s="2306"/>
      <c r="M384" s="713"/>
      <c r="N384" s="712"/>
      <c r="O384" s="713"/>
      <c r="P384" s="2542"/>
      <c r="Q384" s="2306"/>
      <c r="R384" s="713"/>
      <c r="S384" s="712"/>
      <c r="T384" s="713"/>
      <c r="U384" s="2307"/>
      <c r="V384" s="2450"/>
      <c r="W384" s="1078"/>
      <c r="X384" s="1077"/>
      <c r="Y384" s="713"/>
      <c r="Z384" s="712"/>
      <c r="AA384" s="712"/>
      <c r="AB384" s="713"/>
      <c r="AC384" s="712"/>
      <c r="AD384" s="713"/>
      <c r="AE384" s="712"/>
      <c r="AF384" s="711"/>
      <c r="AG384" s="547"/>
      <c r="AH384" s="547"/>
      <c r="AI384" s="277" t="s">
        <v>1465</v>
      </c>
      <c r="AJ384" s="18"/>
    </row>
    <row r="385" spans="2:36" ht="27" hidden="1" thickBot="1">
      <c r="B385" s="123" t="s">
        <v>1468</v>
      </c>
      <c r="C385" s="124"/>
      <c r="D385" s="124"/>
      <c r="E385" s="124"/>
      <c r="F385" s="78"/>
      <c r="G385" s="125" t="s">
        <v>2531</v>
      </c>
      <c r="H385" s="126"/>
      <c r="I385" s="126"/>
      <c r="J385" s="126"/>
      <c r="K385" s="78"/>
      <c r="L385" s="2431"/>
      <c r="M385" s="1005"/>
      <c r="N385" s="1005"/>
      <c r="O385" s="1005"/>
      <c r="P385" s="1005"/>
      <c r="Q385" s="2431"/>
      <c r="R385" s="1005"/>
      <c r="S385" s="1005"/>
      <c r="T385" s="1005"/>
      <c r="U385" s="2432"/>
      <c r="V385" s="4715"/>
      <c r="W385" s="4715"/>
      <c r="X385" s="4715"/>
      <c r="Y385" s="1005"/>
      <c r="Z385" s="1005"/>
      <c r="AA385" s="1005"/>
      <c r="AB385" s="1005"/>
      <c r="AC385" s="1005"/>
      <c r="AD385" s="1005"/>
      <c r="AE385" s="1005"/>
      <c r="AF385" s="80"/>
      <c r="AG385" s="80"/>
      <c r="AH385" s="80"/>
      <c r="AI385" s="1952"/>
      <c r="AJ385" s="18"/>
    </row>
    <row r="386" spans="2:36" ht="20.100000000000001" hidden="1" customHeight="1">
      <c r="B386" s="1961"/>
      <c r="C386" s="4716" t="s">
        <v>1469</v>
      </c>
      <c r="D386" s="4717"/>
      <c r="E386" s="4717"/>
      <c r="F386" s="2371" t="s">
        <v>168</v>
      </c>
      <c r="G386" s="739"/>
      <c r="H386" s="698" t="s">
        <v>1470</v>
      </c>
      <c r="I386" s="698"/>
      <c r="J386" s="655"/>
      <c r="K386" s="881" t="s">
        <v>168</v>
      </c>
      <c r="L386" s="2440"/>
      <c r="M386" s="1081"/>
      <c r="N386" s="1080"/>
      <c r="O386" s="1081"/>
      <c r="P386" s="4718"/>
      <c r="Q386" s="2440"/>
      <c r="R386" s="1081"/>
      <c r="S386" s="1080"/>
      <c r="T386" s="1081"/>
      <c r="U386" s="2441"/>
      <c r="V386" s="2451"/>
      <c r="W386" s="1083"/>
      <c r="X386" s="1082"/>
      <c r="Y386" s="1081"/>
      <c r="Z386" s="1080"/>
      <c r="AA386" s="1080"/>
      <c r="AB386" s="1081"/>
      <c r="AC386" s="1080"/>
      <c r="AD386" s="1081"/>
      <c r="AE386" s="1080"/>
      <c r="AF386" s="162"/>
      <c r="AG386" s="534"/>
      <c r="AH386" s="534"/>
      <c r="AI386" s="1043"/>
      <c r="AJ386" s="18"/>
    </row>
    <row r="387" spans="2:36" ht="20.100000000000001" hidden="1" customHeight="1">
      <c r="B387" s="4719"/>
      <c r="C387" s="4709"/>
      <c r="D387" s="787" t="s">
        <v>1445</v>
      </c>
      <c r="E387" s="781"/>
      <c r="F387" s="105" t="s">
        <v>1471</v>
      </c>
      <c r="G387" s="106"/>
      <c r="H387" s="353"/>
      <c r="I387" s="384" t="s">
        <v>1472</v>
      </c>
      <c r="J387" s="384"/>
      <c r="K387" s="1034" t="s">
        <v>559</v>
      </c>
      <c r="L387" s="2302">
        <v>0</v>
      </c>
      <c r="M387" s="652">
        <v>0</v>
      </c>
      <c r="N387" s="542">
        <v>0</v>
      </c>
      <c r="O387" s="652">
        <v>0</v>
      </c>
      <c r="P387" s="795"/>
      <c r="Q387" s="2302">
        <v>0</v>
      </c>
      <c r="R387" s="652">
        <v>0</v>
      </c>
      <c r="S387" s="542">
        <v>0</v>
      </c>
      <c r="T387" s="652">
        <v>0</v>
      </c>
      <c r="U387" s="2303"/>
      <c r="V387" s="2449" t="s">
        <v>2532</v>
      </c>
      <c r="W387" s="737" t="s">
        <v>2533</v>
      </c>
      <c r="X387" s="1064" t="s">
        <v>2532</v>
      </c>
      <c r="Y387" s="652" t="s">
        <v>2533</v>
      </c>
      <c r="Z387" s="542"/>
      <c r="AA387" s="542"/>
      <c r="AB387" s="652"/>
      <c r="AC387" s="542"/>
      <c r="AD387" s="652"/>
      <c r="AE387" s="542"/>
      <c r="AF387" s="1034"/>
      <c r="AG387" s="878"/>
      <c r="AH387" s="878"/>
      <c r="AI387" s="277" t="s">
        <v>1475</v>
      </c>
      <c r="AJ387" s="18"/>
    </row>
    <row r="388" spans="2:36" ht="20.100000000000001" hidden="1" customHeight="1">
      <c r="B388" s="1848"/>
      <c r="C388" s="4621"/>
      <c r="D388" s="787" t="s">
        <v>1466</v>
      </c>
      <c r="E388" s="781"/>
      <c r="F388" s="105" t="s">
        <v>1476</v>
      </c>
      <c r="G388" s="384"/>
      <c r="H388" s="385"/>
      <c r="I388" s="358" t="s">
        <v>1477</v>
      </c>
      <c r="J388" s="358"/>
      <c r="K388" s="162" t="s">
        <v>1013</v>
      </c>
      <c r="L388" s="2302">
        <v>0</v>
      </c>
      <c r="M388" s="652">
        <v>0</v>
      </c>
      <c r="N388" s="542">
        <v>0</v>
      </c>
      <c r="O388" s="652">
        <v>0</v>
      </c>
      <c r="P388" s="795"/>
      <c r="Q388" s="2302">
        <v>0</v>
      </c>
      <c r="R388" s="652">
        <v>0</v>
      </c>
      <c r="S388" s="542">
        <v>0</v>
      </c>
      <c r="T388" s="652">
        <v>0</v>
      </c>
      <c r="U388" s="2303"/>
      <c r="V388" s="2449" t="s">
        <v>2534</v>
      </c>
      <c r="W388" s="737" t="s">
        <v>2535</v>
      </c>
      <c r="X388" s="1064" t="s">
        <v>2534</v>
      </c>
      <c r="Y388" s="652" t="s">
        <v>2535</v>
      </c>
      <c r="Z388" s="542"/>
      <c r="AA388" s="542"/>
      <c r="AB388" s="652"/>
      <c r="AC388" s="542"/>
      <c r="AD388" s="652"/>
      <c r="AE388" s="542"/>
      <c r="AF388" s="162"/>
      <c r="AG388" s="547"/>
      <c r="AH388" s="547"/>
      <c r="AI388" s="277" t="s">
        <v>1480</v>
      </c>
      <c r="AJ388" s="18"/>
    </row>
    <row r="389" spans="2:36" ht="20.100000000000001" hidden="1" customHeight="1">
      <c r="B389" s="1848"/>
      <c r="C389" s="4599" t="s">
        <v>1481</v>
      </c>
      <c r="D389" s="663"/>
      <c r="E389" s="663"/>
      <c r="F389" s="2371" t="s">
        <v>168</v>
      </c>
      <c r="G389" s="739"/>
      <c r="H389" s="698" t="s">
        <v>1482</v>
      </c>
      <c r="I389" s="698"/>
      <c r="J389" s="655"/>
      <c r="K389" s="881" t="s">
        <v>168</v>
      </c>
      <c r="L389" s="2384"/>
      <c r="M389" s="1042"/>
      <c r="N389" s="318"/>
      <c r="O389" s="1042"/>
      <c r="P389" s="4720"/>
      <c r="Q389" s="2384"/>
      <c r="R389" s="1042"/>
      <c r="S389" s="318"/>
      <c r="T389" s="1042"/>
      <c r="U389" s="2437"/>
      <c r="V389" s="2452"/>
      <c r="W389" s="1087"/>
      <c r="X389" s="1086"/>
      <c r="Y389" s="1042"/>
      <c r="Z389" s="318"/>
      <c r="AA389" s="318"/>
      <c r="AB389" s="1042"/>
      <c r="AC389" s="318"/>
      <c r="AD389" s="1042"/>
      <c r="AE389" s="318"/>
      <c r="AF389" s="162"/>
      <c r="AG389" s="547"/>
      <c r="AH389" s="547"/>
      <c r="AI389" s="1043"/>
      <c r="AJ389" s="18"/>
    </row>
    <row r="390" spans="2:36" ht="20.100000000000001" hidden="1" customHeight="1">
      <c r="B390" s="1848"/>
      <c r="C390" s="4619"/>
      <c r="D390" s="787" t="s">
        <v>1483</v>
      </c>
      <c r="E390" s="781"/>
      <c r="F390" s="105" t="s">
        <v>1476</v>
      </c>
      <c r="G390" s="347"/>
      <c r="H390" s="348"/>
      <c r="I390" s="358" t="s">
        <v>1484</v>
      </c>
      <c r="J390" s="358"/>
      <c r="K390" s="162" t="s">
        <v>559</v>
      </c>
      <c r="L390" s="2302">
        <v>0</v>
      </c>
      <c r="M390" s="652">
        <v>0</v>
      </c>
      <c r="N390" s="542">
        <v>0</v>
      </c>
      <c r="O390" s="652">
        <v>0</v>
      </c>
      <c r="P390" s="795"/>
      <c r="Q390" s="2302">
        <v>0</v>
      </c>
      <c r="R390" s="652">
        <v>0</v>
      </c>
      <c r="S390" s="542">
        <v>0</v>
      </c>
      <c r="T390" s="652">
        <v>0</v>
      </c>
      <c r="U390" s="2303"/>
      <c r="V390" s="2449" t="s">
        <v>2536</v>
      </c>
      <c r="W390" s="737" t="s">
        <v>2537</v>
      </c>
      <c r="X390" s="1064" t="s">
        <v>2536</v>
      </c>
      <c r="Y390" s="652" t="s">
        <v>2537</v>
      </c>
      <c r="Z390" s="542"/>
      <c r="AA390" s="542"/>
      <c r="AB390" s="652"/>
      <c r="AC390" s="542"/>
      <c r="AD390" s="652"/>
      <c r="AE390" s="542"/>
      <c r="AF390" s="162"/>
      <c r="AG390" s="547"/>
      <c r="AH390" s="547"/>
      <c r="AI390" s="277" t="s">
        <v>1487</v>
      </c>
      <c r="AJ390" s="18"/>
    </row>
    <row r="391" spans="2:36" ht="20.100000000000001" hidden="1" customHeight="1">
      <c r="B391" s="1848"/>
      <c r="C391" s="4621"/>
      <c r="D391" s="787" t="s">
        <v>1488</v>
      </c>
      <c r="E391" s="781"/>
      <c r="F391" s="105" t="s">
        <v>1476</v>
      </c>
      <c r="G391" s="384"/>
      <c r="H391" s="385"/>
      <c r="I391" s="358" t="s">
        <v>1489</v>
      </c>
      <c r="J391" s="358"/>
      <c r="K391" s="162" t="s">
        <v>559</v>
      </c>
      <c r="L391" s="2302"/>
      <c r="M391" s="652"/>
      <c r="N391" s="542"/>
      <c r="O391" s="652"/>
      <c r="P391" s="795"/>
      <c r="Q391" s="2302"/>
      <c r="R391" s="652"/>
      <c r="S391" s="542"/>
      <c r="T391" s="652"/>
      <c r="U391" s="2303"/>
      <c r="V391" s="2449"/>
      <c r="W391" s="737"/>
      <c r="X391" s="1064" t="s">
        <v>168</v>
      </c>
      <c r="Y391" s="638"/>
      <c r="Z391" s="542"/>
      <c r="AA391" s="542"/>
      <c r="AB391" s="652"/>
      <c r="AC391" s="542"/>
      <c r="AD391" s="652"/>
      <c r="AE391" s="542"/>
      <c r="AF391" s="162"/>
      <c r="AG391" s="547"/>
      <c r="AH391" s="547"/>
      <c r="AI391" s="277" t="s">
        <v>1492</v>
      </c>
      <c r="AJ391" s="18"/>
    </row>
    <row r="392" spans="2:36" ht="20.100000000000001" hidden="1" customHeight="1">
      <c r="B392" s="1848"/>
      <c r="C392" s="4721" t="s">
        <v>1493</v>
      </c>
      <c r="D392" s="698"/>
      <c r="E392" s="655"/>
      <c r="F392" s="2371" t="s">
        <v>168</v>
      </c>
      <c r="G392" s="739"/>
      <c r="H392" s="698" t="s">
        <v>1494</v>
      </c>
      <c r="I392" s="698"/>
      <c r="J392" s="655"/>
      <c r="K392" s="881" t="s">
        <v>168</v>
      </c>
      <c r="L392" s="2384"/>
      <c r="M392" s="1042"/>
      <c r="N392" s="318"/>
      <c r="O392" s="1042"/>
      <c r="P392" s="4720"/>
      <c r="Q392" s="2384"/>
      <c r="R392" s="1042"/>
      <c r="S392" s="318"/>
      <c r="T392" s="1042"/>
      <c r="U392" s="2437"/>
      <c r="V392" s="2452"/>
      <c r="W392" s="1087"/>
      <c r="X392" s="1086"/>
      <c r="Y392" s="1091"/>
      <c r="Z392" s="318"/>
      <c r="AA392" s="318"/>
      <c r="AB392" s="1042"/>
      <c r="AC392" s="318"/>
      <c r="AD392" s="1042"/>
      <c r="AE392" s="318"/>
      <c r="AF392" s="162"/>
      <c r="AG392" s="547"/>
      <c r="AH392" s="547"/>
      <c r="AI392" s="1043"/>
      <c r="AJ392" s="18"/>
    </row>
    <row r="393" spans="2:36" s="139" customFormat="1" ht="20.100000000000001" hidden="1" customHeight="1">
      <c r="B393" s="1754"/>
      <c r="C393" s="11"/>
      <c r="D393" s="787" t="s">
        <v>1495</v>
      </c>
      <c r="E393" s="781"/>
      <c r="F393" s="105" t="s">
        <v>154</v>
      </c>
      <c r="G393" s="347"/>
      <c r="H393" s="1069"/>
      <c r="I393" s="735" t="s">
        <v>1496</v>
      </c>
      <c r="J393" s="735"/>
      <c r="K393" s="109" t="s">
        <v>154</v>
      </c>
      <c r="L393" s="2312">
        <v>0</v>
      </c>
      <c r="M393" s="581">
        <v>0</v>
      </c>
      <c r="N393" s="1095">
        <v>0</v>
      </c>
      <c r="O393" s="581">
        <v>0</v>
      </c>
      <c r="P393" s="4722"/>
      <c r="Q393" s="2312">
        <v>0</v>
      </c>
      <c r="R393" s="581">
        <v>0</v>
      </c>
      <c r="S393" s="1095">
        <v>0</v>
      </c>
      <c r="T393" s="581">
        <v>0</v>
      </c>
      <c r="U393" s="2313"/>
      <c r="V393" s="2453" t="s">
        <v>2538</v>
      </c>
      <c r="W393" s="1097">
        <v>1</v>
      </c>
      <c r="X393" s="1096" t="s">
        <v>2538</v>
      </c>
      <c r="Y393" s="581">
        <v>1</v>
      </c>
      <c r="Z393" s="1095"/>
      <c r="AA393" s="1095"/>
      <c r="AB393" s="581"/>
      <c r="AC393" s="1095"/>
      <c r="AD393" s="581"/>
      <c r="AE393" s="1095"/>
      <c r="AF393" s="162"/>
      <c r="AG393" s="547"/>
      <c r="AH393" s="547"/>
      <c r="AI393" s="277" t="s">
        <v>1499</v>
      </c>
      <c r="AJ393" s="18"/>
    </row>
    <row r="394" spans="2:36" s="139" customFormat="1" ht="20.100000000000001" hidden="1" customHeight="1">
      <c r="B394" s="1754"/>
      <c r="C394" s="4620"/>
      <c r="D394" s="787" t="s">
        <v>1500</v>
      </c>
      <c r="E394" s="781"/>
      <c r="F394" s="105" t="s">
        <v>154</v>
      </c>
      <c r="G394" s="106"/>
      <c r="H394" s="1098"/>
      <c r="I394" s="735" t="s">
        <v>1501</v>
      </c>
      <c r="J394" s="735"/>
      <c r="K394" s="109" t="s">
        <v>154</v>
      </c>
      <c r="L394" s="2312">
        <v>0</v>
      </c>
      <c r="M394" s="581">
        <v>0</v>
      </c>
      <c r="N394" s="1095">
        <v>0</v>
      </c>
      <c r="O394" s="581">
        <v>0</v>
      </c>
      <c r="P394" s="4722"/>
      <c r="Q394" s="2312">
        <v>0</v>
      </c>
      <c r="R394" s="581">
        <v>0</v>
      </c>
      <c r="S394" s="1095">
        <v>0</v>
      </c>
      <c r="T394" s="581">
        <v>0</v>
      </c>
      <c r="U394" s="2313"/>
      <c r="V394" s="2453" t="s">
        <v>2539</v>
      </c>
      <c r="W394" s="1097" t="s">
        <v>169</v>
      </c>
      <c r="X394" s="1096" t="s">
        <v>2538</v>
      </c>
      <c r="Y394" s="581" t="s">
        <v>169</v>
      </c>
      <c r="Z394" s="1095"/>
      <c r="AA394" s="1095"/>
      <c r="AB394" s="581"/>
      <c r="AC394" s="1095"/>
      <c r="AD394" s="581"/>
      <c r="AE394" s="1095"/>
      <c r="AF394" s="162"/>
      <c r="AG394" s="547"/>
      <c r="AH394" s="547"/>
      <c r="AI394" s="277" t="s">
        <v>1504</v>
      </c>
      <c r="AJ394" s="18"/>
    </row>
    <row r="395" spans="2:36" s="139" customFormat="1" ht="20.100000000000001" hidden="1" customHeight="1">
      <c r="B395" s="1754"/>
      <c r="C395" s="4620"/>
      <c r="D395" s="787" t="s">
        <v>1505</v>
      </c>
      <c r="E395" s="781"/>
      <c r="F395" s="105" t="s">
        <v>154</v>
      </c>
      <c r="G395" s="106"/>
      <c r="H395" s="1098"/>
      <c r="I395" s="735" t="s">
        <v>1506</v>
      </c>
      <c r="J395" s="735"/>
      <c r="K395" s="109" t="s">
        <v>154</v>
      </c>
      <c r="L395" s="2312">
        <v>0</v>
      </c>
      <c r="M395" s="581">
        <v>0</v>
      </c>
      <c r="N395" s="1095">
        <v>0</v>
      </c>
      <c r="O395" s="581">
        <v>0</v>
      </c>
      <c r="P395" s="4722"/>
      <c r="Q395" s="2312">
        <v>0</v>
      </c>
      <c r="R395" s="581">
        <v>0</v>
      </c>
      <c r="S395" s="1095">
        <v>0</v>
      </c>
      <c r="T395" s="581">
        <v>0</v>
      </c>
      <c r="U395" s="2313"/>
      <c r="V395" s="2453" t="s">
        <v>2540</v>
      </c>
      <c r="W395" s="1097" t="s">
        <v>169</v>
      </c>
      <c r="X395" s="1096" t="s">
        <v>2540</v>
      </c>
      <c r="Y395" s="581" t="s">
        <v>169</v>
      </c>
      <c r="Z395" s="1095"/>
      <c r="AA395" s="1095"/>
      <c r="AB395" s="581"/>
      <c r="AC395" s="1095"/>
      <c r="AD395" s="581"/>
      <c r="AE395" s="1095"/>
      <c r="AF395" s="162"/>
      <c r="AG395" s="547"/>
      <c r="AH395" s="547"/>
      <c r="AI395" s="277" t="s">
        <v>1509</v>
      </c>
      <c r="AJ395" s="18"/>
    </row>
    <row r="396" spans="2:36" s="139" customFormat="1" ht="20.100000000000001" hidden="1" customHeight="1">
      <c r="B396" s="1754"/>
      <c r="C396" s="4620"/>
      <c r="D396" s="787" t="s">
        <v>1510</v>
      </c>
      <c r="E396" s="781"/>
      <c r="F396" s="105" t="s">
        <v>154</v>
      </c>
      <c r="G396" s="106"/>
      <c r="H396" s="1098"/>
      <c r="I396" s="735" t="s">
        <v>1511</v>
      </c>
      <c r="J396" s="735"/>
      <c r="K396" s="109" t="s">
        <v>154</v>
      </c>
      <c r="L396" s="2312">
        <v>0</v>
      </c>
      <c r="M396" s="581">
        <v>0</v>
      </c>
      <c r="N396" s="1095">
        <v>0</v>
      </c>
      <c r="O396" s="581">
        <v>0</v>
      </c>
      <c r="P396" s="4722"/>
      <c r="Q396" s="2312">
        <v>0</v>
      </c>
      <c r="R396" s="581">
        <v>0</v>
      </c>
      <c r="S396" s="1095">
        <v>0</v>
      </c>
      <c r="T396" s="581">
        <v>0</v>
      </c>
      <c r="U396" s="2313"/>
      <c r="V396" s="2453" t="s">
        <v>2541</v>
      </c>
      <c r="W396" s="1097" t="s">
        <v>169</v>
      </c>
      <c r="X396" s="1096" t="s">
        <v>2541</v>
      </c>
      <c r="Y396" s="581" t="s">
        <v>169</v>
      </c>
      <c r="Z396" s="1095"/>
      <c r="AA396" s="1095"/>
      <c r="AB396" s="581"/>
      <c r="AC396" s="1095"/>
      <c r="AD396" s="581"/>
      <c r="AE396" s="1095"/>
      <c r="AF396" s="162"/>
      <c r="AG396" s="547"/>
      <c r="AH396" s="547"/>
      <c r="AI396" s="277" t="s">
        <v>1514</v>
      </c>
      <c r="AJ396" s="18"/>
    </row>
    <row r="397" spans="2:36" s="139" customFormat="1" ht="20.100000000000001" hidden="1" customHeight="1">
      <c r="B397" s="1754"/>
      <c r="C397" s="1906"/>
      <c r="D397" s="787" t="s">
        <v>1515</v>
      </c>
      <c r="E397" s="781"/>
      <c r="F397" s="105" t="s">
        <v>154</v>
      </c>
      <c r="G397" s="384"/>
      <c r="H397" s="1099"/>
      <c r="I397" s="735" t="s">
        <v>1516</v>
      </c>
      <c r="J397" s="735"/>
      <c r="K397" s="109" t="s">
        <v>154</v>
      </c>
      <c r="L397" s="2312">
        <v>0</v>
      </c>
      <c r="M397" s="581">
        <v>0</v>
      </c>
      <c r="N397" s="1095">
        <v>0</v>
      </c>
      <c r="O397" s="581">
        <v>0</v>
      </c>
      <c r="P397" s="4722"/>
      <c r="Q397" s="2312">
        <v>0</v>
      </c>
      <c r="R397" s="581">
        <v>0</v>
      </c>
      <c r="S397" s="1095">
        <v>0</v>
      </c>
      <c r="T397" s="581">
        <v>0</v>
      </c>
      <c r="U397" s="2313"/>
      <c r="V397" s="2453" t="s">
        <v>2542</v>
      </c>
      <c r="W397" s="1097" t="s">
        <v>169</v>
      </c>
      <c r="X397" s="1096" t="s">
        <v>2542</v>
      </c>
      <c r="Y397" s="581" t="s">
        <v>169</v>
      </c>
      <c r="Z397" s="1095"/>
      <c r="AA397" s="1095"/>
      <c r="AB397" s="581"/>
      <c r="AC397" s="1095"/>
      <c r="AD397" s="581"/>
      <c r="AE397" s="1095"/>
      <c r="AF397" s="162"/>
      <c r="AG397" s="547"/>
      <c r="AH397" s="547"/>
      <c r="AI397" s="277" t="s">
        <v>1519</v>
      </c>
      <c r="AJ397" s="18"/>
    </row>
    <row r="398" spans="2:36" s="139" customFormat="1" ht="20.100000000000001" hidden="1" customHeight="1">
      <c r="B398" s="1747"/>
      <c r="C398" s="4669" t="s">
        <v>1520</v>
      </c>
      <c r="D398" s="924"/>
      <c r="E398" s="924"/>
      <c r="F398" s="105" t="s">
        <v>742</v>
      </c>
      <c r="G398" s="358"/>
      <c r="H398" s="359" t="s">
        <v>1521</v>
      </c>
      <c r="I398" s="359"/>
      <c r="J398" s="643"/>
      <c r="K398" s="109" t="s">
        <v>734</v>
      </c>
      <c r="L398" s="2302">
        <v>0</v>
      </c>
      <c r="M398" s="543">
        <v>0</v>
      </c>
      <c r="N398" s="542">
        <v>0</v>
      </c>
      <c r="O398" s="543">
        <v>0</v>
      </c>
      <c r="P398" s="795"/>
      <c r="Q398" s="2302">
        <v>0</v>
      </c>
      <c r="R398" s="543">
        <v>0</v>
      </c>
      <c r="S398" s="542">
        <v>0</v>
      </c>
      <c r="T398" s="543">
        <v>0</v>
      </c>
      <c r="U398" s="2303"/>
      <c r="V398" s="2449" t="s">
        <v>2543</v>
      </c>
      <c r="W398" s="648" t="s">
        <v>2544</v>
      </c>
      <c r="X398" s="1064" t="s">
        <v>2543</v>
      </c>
      <c r="Y398" s="543" t="s">
        <v>2544</v>
      </c>
      <c r="Z398" s="542"/>
      <c r="AA398" s="542"/>
      <c r="AB398" s="543"/>
      <c r="AC398" s="542"/>
      <c r="AD398" s="543"/>
      <c r="AE398" s="542"/>
      <c r="AF398" s="162"/>
      <c r="AG398" s="547"/>
      <c r="AH398" s="547"/>
      <c r="AI398" s="981" t="s">
        <v>1522</v>
      </c>
      <c r="AJ398" s="18"/>
    </row>
    <row r="399" spans="2:36" s="139" customFormat="1" ht="20.100000000000001" hidden="1" customHeight="1">
      <c r="B399" s="1902"/>
      <c r="C399" s="4669" t="s">
        <v>1523</v>
      </c>
      <c r="D399" s="924"/>
      <c r="E399" s="924"/>
      <c r="F399" s="105" t="s">
        <v>742</v>
      </c>
      <c r="G399" s="358"/>
      <c r="H399" s="359" t="s">
        <v>1524</v>
      </c>
      <c r="I399" s="359"/>
      <c r="J399" s="643"/>
      <c r="K399" s="109" t="s">
        <v>734</v>
      </c>
      <c r="L399" s="2302">
        <v>0</v>
      </c>
      <c r="M399" s="543">
        <v>0</v>
      </c>
      <c r="N399" s="542">
        <v>0</v>
      </c>
      <c r="O399" s="543">
        <v>0</v>
      </c>
      <c r="P399" s="795"/>
      <c r="Q399" s="2302">
        <v>0</v>
      </c>
      <c r="R399" s="543">
        <v>0</v>
      </c>
      <c r="S399" s="542">
        <v>0</v>
      </c>
      <c r="T399" s="543">
        <v>0</v>
      </c>
      <c r="U399" s="2303"/>
      <c r="V399" s="2449" t="s">
        <v>2545</v>
      </c>
      <c r="W399" s="648" t="s">
        <v>169</v>
      </c>
      <c r="X399" s="1064" t="s">
        <v>2545</v>
      </c>
      <c r="Y399" s="543" t="s">
        <v>169</v>
      </c>
      <c r="Z399" s="542"/>
      <c r="AA399" s="542"/>
      <c r="AB399" s="543"/>
      <c r="AC399" s="542"/>
      <c r="AD399" s="543"/>
      <c r="AE399" s="542"/>
      <c r="AF399" s="165"/>
      <c r="AG399" s="1101"/>
      <c r="AH399" s="1102"/>
      <c r="AI399" s="1103" t="s">
        <v>1525</v>
      </c>
      <c r="AJ399" s="18"/>
    </row>
    <row r="400" spans="2:36" s="139" customFormat="1" ht="20.100000000000001" hidden="1" customHeight="1">
      <c r="B400" s="1747"/>
      <c r="C400" s="4669" t="s">
        <v>1526</v>
      </c>
      <c r="D400" s="924"/>
      <c r="E400" s="924"/>
      <c r="F400" s="105" t="s">
        <v>156</v>
      </c>
      <c r="G400" s="358"/>
      <c r="H400" s="359" t="s">
        <v>1527</v>
      </c>
      <c r="I400" s="359"/>
      <c r="J400" s="348"/>
      <c r="K400" s="122" t="s">
        <v>156</v>
      </c>
      <c r="L400" s="2314"/>
      <c r="M400" s="1109"/>
      <c r="N400" s="1108"/>
      <c r="O400" s="1109"/>
      <c r="P400" s="2545"/>
      <c r="Q400" s="2314"/>
      <c r="R400" s="1109"/>
      <c r="S400" s="1108"/>
      <c r="T400" s="1109"/>
      <c r="U400" s="2315"/>
      <c r="V400" s="2454"/>
      <c r="W400" s="1111"/>
      <c r="X400" s="1110"/>
      <c r="Y400" s="1109"/>
      <c r="Z400" s="1108"/>
      <c r="AA400" s="1108"/>
      <c r="AB400" s="1109"/>
      <c r="AC400" s="1108"/>
      <c r="AD400" s="1109"/>
      <c r="AE400" s="1108"/>
      <c r="AF400" s="1114"/>
      <c r="AG400" s="1115"/>
      <c r="AH400" s="773"/>
      <c r="AI400" s="1116" t="s">
        <v>1529</v>
      </c>
      <c r="AJ400" s="18"/>
    </row>
    <row r="401" spans="2:36" s="139" customFormat="1" ht="20.100000000000001" hidden="1" customHeight="1">
      <c r="B401" s="1965"/>
      <c r="C401" s="1915"/>
      <c r="D401" s="936" t="s">
        <v>1530</v>
      </c>
      <c r="E401" s="924"/>
      <c r="F401" s="105" t="s">
        <v>742</v>
      </c>
      <c r="G401" s="905"/>
      <c r="H401" s="963"/>
      <c r="I401" s="932" t="s">
        <v>1531</v>
      </c>
      <c r="J401" s="993"/>
      <c r="K401" s="109" t="s">
        <v>734</v>
      </c>
      <c r="L401" s="2302"/>
      <c r="M401" s="543"/>
      <c r="N401" s="542"/>
      <c r="O401" s="543"/>
      <c r="P401" s="795"/>
      <c r="Q401" s="2302"/>
      <c r="R401" s="543"/>
      <c r="S401" s="542"/>
      <c r="T401" s="543"/>
      <c r="U401" s="2303"/>
      <c r="V401" s="2449"/>
      <c r="W401" s="648"/>
      <c r="X401" s="1064"/>
      <c r="Y401" s="543"/>
      <c r="Z401" s="542"/>
      <c r="AA401" s="542"/>
      <c r="AB401" s="543"/>
      <c r="AC401" s="542"/>
      <c r="AD401" s="543"/>
      <c r="AE401" s="542"/>
      <c r="AF401" s="1119"/>
      <c r="AG401" s="1115"/>
      <c r="AH401" s="773"/>
      <c r="AI401" s="1120" t="s">
        <v>1529</v>
      </c>
      <c r="AJ401" s="18"/>
    </row>
    <row r="402" spans="2:36" s="139" customFormat="1" ht="20.100000000000001" hidden="1" customHeight="1">
      <c r="B402" s="1968"/>
      <c r="C402" s="4723"/>
      <c r="D402" s="4724" t="s">
        <v>1532</v>
      </c>
      <c r="E402" s="4725"/>
      <c r="F402" s="706" t="s">
        <v>742</v>
      </c>
      <c r="G402" s="1121"/>
      <c r="H402" s="1122"/>
      <c r="I402" s="1123" t="s">
        <v>1533</v>
      </c>
      <c r="J402" s="1124"/>
      <c r="K402" s="711" t="s">
        <v>734</v>
      </c>
      <c r="L402" s="2316">
        <f>L398</f>
        <v>0</v>
      </c>
      <c r="M402" s="713"/>
      <c r="N402" s="819">
        <f>N398</f>
        <v>0</v>
      </c>
      <c r="O402" s="713"/>
      <c r="P402" s="2542"/>
      <c r="Q402" s="2306"/>
      <c r="R402" s="713"/>
      <c r="S402" s="712"/>
      <c r="T402" s="713"/>
      <c r="U402" s="2307"/>
      <c r="V402" s="2134"/>
      <c r="W402" s="713"/>
      <c r="X402" s="712"/>
      <c r="Y402" s="713"/>
      <c r="Z402" s="712"/>
      <c r="AA402" s="712"/>
      <c r="AB402" s="713"/>
      <c r="AC402" s="712"/>
      <c r="AD402" s="713"/>
      <c r="AE402" s="712"/>
      <c r="AF402" s="4726"/>
      <c r="AG402" s="4727"/>
      <c r="AH402" s="1129"/>
      <c r="AI402" s="4728" t="s">
        <v>1529</v>
      </c>
      <c r="AJ402" s="18"/>
    </row>
    <row r="403" spans="2:36" ht="27" hidden="1" thickBot="1">
      <c r="B403" s="1976" t="s">
        <v>1534</v>
      </c>
      <c r="C403" s="1132"/>
      <c r="D403" s="1132"/>
      <c r="E403" s="1132"/>
      <c r="F403" s="518"/>
      <c r="G403" s="519" t="s">
        <v>2546</v>
      </c>
      <c r="H403" s="1133"/>
      <c r="I403" s="1133"/>
      <c r="J403" s="1133"/>
      <c r="K403" s="518"/>
      <c r="L403" s="2410"/>
      <c r="M403" s="1134"/>
      <c r="N403" s="1134"/>
      <c r="O403" s="1134"/>
      <c r="P403" s="1134"/>
      <c r="Q403" s="2410"/>
      <c r="R403" s="1134"/>
      <c r="S403" s="1134"/>
      <c r="T403" s="1134"/>
      <c r="U403" s="2411"/>
      <c r="V403" s="1134"/>
      <c r="W403" s="1134"/>
      <c r="X403" s="1134"/>
      <c r="Y403" s="1134"/>
      <c r="Z403" s="1134"/>
      <c r="AA403" s="1134"/>
      <c r="AB403" s="1134"/>
      <c r="AC403" s="1134"/>
      <c r="AD403" s="1134"/>
      <c r="AE403" s="1134"/>
      <c r="AF403" s="1135"/>
      <c r="AG403" s="1135"/>
      <c r="AH403" s="4729"/>
      <c r="AI403" s="1136"/>
      <c r="AJ403" s="18"/>
    </row>
    <row r="404" spans="2:36" ht="20.100000000000001" hidden="1" customHeight="1">
      <c r="B404" s="1980"/>
      <c r="C404" s="4730" t="s">
        <v>1468</v>
      </c>
      <c r="D404" s="1138"/>
      <c r="E404" s="1138"/>
      <c r="F404" s="4731" t="s">
        <v>168</v>
      </c>
      <c r="G404" s="1056"/>
      <c r="H404" s="1138" t="s">
        <v>1867</v>
      </c>
      <c r="I404" s="1138"/>
      <c r="J404" s="1138"/>
      <c r="K404" s="1139" t="s">
        <v>168</v>
      </c>
      <c r="L404" s="2423"/>
      <c r="M404" s="954"/>
      <c r="N404" s="953"/>
      <c r="O404" s="954"/>
      <c r="P404" s="4707"/>
      <c r="Q404" s="2423"/>
      <c r="R404" s="954"/>
      <c r="S404" s="953"/>
      <c r="T404" s="954"/>
      <c r="U404" s="2424"/>
      <c r="V404" s="2140"/>
      <c r="W404" s="954"/>
      <c r="X404" s="953"/>
      <c r="Y404" s="954"/>
      <c r="Z404" s="953"/>
      <c r="AA404" s="953"/>
      <c r="AB404" s="954"/>
      <c r="AC404" s="953"/>
      <c r="AD404" s="954"/>
      <c r="AE404" s="953"/>
      <c r="AF404" s="162"/>
      <c r="AG404" s="4732"/>
      <c r="AH404" s="4733"/>
      <c r="AI404" s="4734"/>
      <c r="AJ404" s="18"/>
    </row>
    <row r="405" spans="2:36" ht="20.100000000000001" hidden="1" customHeight="1">
      <c r="B405" s="4735"/>
      <c r="C405" s="4709"/>
      <c r="D405" s="1142" t="s">
        <v>1536</v>
      </c>
      <c r="E405" s="915"/>
      <c r="F405" s="1143" t="s">
        <v>33</v>
      </c>
      <c r="G405" s="106"/>
      <c r="H405" s="353"/>
      <c r="I405" s="384" t="s">
        <v>1537</v>
      </c>
      <c r="J405" s="384"/>
      <c r="K405" s="1034" t="s">
        <v>35</v>
      </c>
      <c r="L405" s="2319">
        <v>0</v>
      </c>
      <c r="M405" s="1151">
        <v>0</v>
      </c>
      <c r="N405" s="1150">
        <v>0</v>
      </c>
      <c r="O405" s="1151">
        <v>0</v>
      </c>
      <c r="P405" s="2547"/>
      <c r="Q405" s="2319">
        <v>0</v>
      </c>
      <c r="R405" s="1151">
        <v>0</v>
      </c>
      <c r="S405" s="1150">
        <v>0</v>
      </c>
      <c r="T405" s="1151">
        <v>0</v>
      </c>
      <c r="U405" s="2320"/>
      <c r="V405" s="2149">
        <v>0</v>
      </c>
      <c r="W405" s="1151">
        <v>0</v>
      </c>
      <c r="X405" s="1150">
        <v>0</v>
      </c>
      <c r="Y405" s="1151">
        <v>0</v>
      </c>
      <c r="Z405" s="1150"/>
      <c r="AA405" s="1150"/>
      <c r="AB405" s="1151"/>
      <c r="AC405" s="1150"/>
      <c r="AD405" s="1151"/>
      <c r="AE405" s="1150"/>
      <c r="AF405" s="1153"/>
      <c r="AG405" s="1154"/>
      <c r="AH405" s="1155"/>
      <c r="AI405" s="981" t="s">
        <v>1540</v>
      </c>
      <c r="AJ405" s="18"/>
    </row>
    <row r="406" spans="2:36" ht="20.100000000000001" hidden="1" customHeight="1">
      <c r="B406" s="1984"/>
      <c r="C406" s="4664"/>
      <c r="D406" s="787" t="s">
        <v>1451</v>
      </c>
      <c r="E406" s="781"/>
      <c r="F406" s="285" t="s">
        <v>33</v>
      </c>
      <c r="G406" s="384"/>
      <c r="H406" s="385"/>
      <c r="I406" s="347" t="s">
        <v>1541</v>
      </c>
      <c r="J406" s="347"/>
      <c r="K406" s="165" t="s">
        <v>35</v>
      </c>
      <c r="L406" s="2321">
        <v>0</v>
      </c>
      <c r="M406" s="1163">
        <v>0</v>
      </c>
      <c r="N406" s="1162">
        <v>0</v>
      </c>
      <c r="O406" s="1163">
        <v>0</v>
      </c>
      <c r="P406" s="2539"/>
      <c r="Q406" s="2321">
        <v>0</v>
      </c>
      <c r="R406" s="1163">
        <v>0</v>
      </c>
      <c r="S406" s="1162">
        <v>0</v>
      </c>
      <c r="T406" s="1163">
        <v>0</v>
      </c>
      <c r="U406" s="2322"/>
      <c r="V406" s="2150">
        <v>0</v>
      </c>
      <c r="W406" s="1163">
        <v>0</v>
      </c>
      <c r="X406" s="1162">
        <v>0</v>
      </c>
      <c r="Y406" s="1163">
        <v>0</v>
      </c>
      <c r="Z406" s="1162"/>
      <c r="AA406" s="1162"/>
      <c r="AB406" s="1163"/>
      <c r="AC406" s="1162"/>
      <c r="AD406" s="1163"/>
      <c r="AE406" s="1162"/>
      <c r="AF406" s="165"/>
      <c r="AG406" s="1102"/>
      <c r="AH406" s="1101"/>
      <c r="AI406" s="277" t="s">
        <v>1544</v>
      </c>
      <c r="AJ406" s="18"/>
    </row>
    <row r="407" spans="2:36" ht="20.100000000000001" hidden="1" customHeight="1">
      <c r="B407" s="1847"/>
      <c r="C407" s="4736" t="s">
        <v>1545</v>
      </c>
      <c r="D407" s="753"/>
      <c r="E407" s="753"/>
      <c r="F407" s="105" t="s">
        <v>156</v>
      </c>
      <c r="G407" s="358"/>
      <c r="H407" s="359" t="s">
        <v>1546</v>
      </c>
      <c r="I407" s="359"/>
      <c r="J407" s="643"/>
      <c r="K407" s="162" t="s">
        <v>154</v>
      </c>
      <c r="L407" s="2228">
        <v>0</v>
      </c>
      <c r="M407" s="505"/>
      <c r="N407" s="260">
        <v>0</v>
      </c>
      <c r="O407" s="505"/>
      <c r="P407" s="2372"/>
      <c r="Q407" s="2228">
        <v>0</v>
      </c>
      <c r="R407" s="505"/>
      <c r="S407" s="260">
        <v>0</v>
      </c>
      <c r="T407" s="505"/>
      <c r="U407" s="2287"/>
      <c r="V407" s="2109">
        <v>0</v>
      </c>
      <c r="W407" s="505"/>
      <c r="X407" s="260">
        <v>0</v>
      </c>
      <c r="Y407" s="505"/>
      <c r="Z407" s="260"/>
      <c r="AA407" s="260"/>
      <c r="AB407" s="505"/>
      <c r="AC407" s="260"/>
      <c r="AD407" s="505"/>
      <c r="AE407" s="260"/>
      <c r="AF407" s="162"/>
      <c r="AG407" s="773"/>
      <c r="AH407" s="547"/>
      <c r="AI407" s="277" t="s">
        <v>1549</v>
      </c>
      <c r="AJ407" s="18"/>
    </row>
    <row r="408" spans="2:36" ht="20.100000000000001" hidden="1" customHeight="1">
      <c r="B408" s="1847"/>
      <c r="C408" s="4663"/>
      <c r="D408" s="936" t="s">
        <v>1550</v>
      </c>
      <c r="E408" s="924"/>
      <c r="F408" s="105" t="s">
        <v>33</v>
      </c>
      <c r="G408" s="347"/>
      <c r="H408" s="348"/>
      <c r="I408" s="358" t="s">
        <v>1551</v>
      </c>
      <c r="J408" s="358"/>
      <c r="K408" s="162" t="s">
        <v>35</v>
      </c>
      <c r="L408" s="2228">
        <v>0</v>
      </c>
      <c r="M408" s="505">
        <v>0</v>
      </c>
      <c r="N408" s="260">
        <v>0</v>
      </c>
      <c r="O408" s="505">
        <v>0</v>
      </c>
      <c r="P408" s="2372"/>
      <c r="Q408" s="2228">
        <v>0</v>
      </c>
      <c r="R408" s="505">
        <v>0</v>
      </c>
      <c r="S408" s="260">
        <v>0</v>
      </c>
      <c r="T408" s="505">
        <v>0</v>
      </c>
      <c r="U408" s="2287"/>
      <c r="V408" s="2109">
        <v>0</v>
      </c>
      <c r="W408" s="505">
        <v>0</v>
      </c>
      <c r="X408" s="260">
        <v>0</v>
      </c>
      <c r="Y408" s="505">
        <v>0</v>
      </c>
      <c r="Z408" s="260"/>
      <c r="AA408" s="260"/>
      <c r="AB408" s="505"/>
      <c r="AC408" s="260"/>
      <c r="AD408" s="505"/>
      <c r="AE408" s="260"/>
      <c r="AF408" s="165"/>
      <c r="AG408" s="773"/>
      <c r="AH408" s="1101"/>
      <c r="AI408" s="427" t="s">
        <v>1549</v>
      </c>
      <c r="AJ408" s="18"/>
    </row>
    <row r="409" spans="2:36" ht="20.100000000000001" hidden="1" customHeight="1">
      <c r="B409" s="1984"/>
      <c r="C409" s="4714"/>
      <c r="D409" s="1168" t="s">
        <v>1552</v>
      </c>
      <c r="E409" s="1169"/>
      <c r="F409" s="1170" t="s">
        <v>33</v>
      </c>
      <c r="G409" s="1070"/>
      <c r="H409" s="1171"/>
      <c r="I409" s="707" t="s">
        <v>1553</v>
      </c>
      <c r="J409" s="707"/>
      <c r="K409" s="1172" t="s">
        <v>35</v>
      </c>
      <c r="L409" s="2323">
        <v>0</v>
      </c>
      <c r="M409" s="1178">
        <v>0</v>
      </c>
      <c r="N409" s="1177">
        <v>0</v>
      </c>
      <c r="O409" s="1178">
        <v>0</v>
      </c>
      <c r="P409" s="4737"/>
      <c r="Q409" s="2323">
        <v>0</v>
      </c>
      <c r="R409" s="1178">
        <v>0</v>
      </c>
      <c r="S409" s="1177">
        <v>0</v>
      </c>
      <c r="T409" s="1178">
        <v>0</v>
      </c>
      <c r="U409" s="2324"/>
      <c r="V409" s="2151">
        <v>0</v>
      </c>
      <c r="W409" s="1178">
        <v>0</v>
      </c>
      <c r="X409" s="1177">
        <v>0</v>
      </c>
      <c r="Y409" s="1178">
        <v>0</v>
      </c>
      <c r="Z409" s="1177"/>
      <c r="AA409" s="1177"/>
      <c r="AB409" s="1178"/>
      <c r="AC409" s="1177"/>
      <c r="AD409" s="1178"/>
      <c r="AE409" s="1177"/>
      <c r="AF409" s="1181"/>
      <c r="AG409" s="1182"/>
      <c r="AH409" s="597"/>
      <c r="AI409" s="1183" t="s">
        <v>1549</v>
      </c>
      <c r="AJ409" s="18"/>
    </row>
    <row r="410" spans="2:36" ht="27" hidden="1" thickBot="1">
      <c r="B410" s="123" t="s">
        <v>1555</v>
      </c>
      <c r="C410" s="1132"/>
      <c r="D410" s="1132"/>
      <c r="E410" s="1132"/>
      <c r="F410" s="1132"/>
      <c r="G410" s="519" t="s">
        <v>1556</v>
      </c>
      <c r="H410" s="521"/>
      <c r="I410" s="521"/>
      <c r="J410" s="521"/>
      <c r="K410" s="518"/>
      <c r="L410" s="2410"/>
      <c r="M410" s="1134"/>
      <c r="N410" s="1134"/>
      <c r="O410" s="1134"/>
      <c r="P410" s="1134"/>
      <c r="Q410" s="2410"/>
      <c r="R410" s="1134"/>
      <c r="S410" s="1134"/>
      <c r="T410" s="1134"/>
      <c r="U410" s="2411"/>
      <c r="V410" s="1134"/>
      <c r="W410" s="1134"/>
      <c r="X410" s="1134"/>
      <c r="Y410" s="1134"/>
      <c r="Z410" s="1134"/>
      <c r="AA410" s="1134"/>
      <c r="AB410" s="1134"/>
      <c r="AC410" s="1134"/>
      <c r="AD410" s="1134"/>
      <c r="AE410" s="1134"/>
      <c r="AF410" s="1185"/>
      <c r="AG410" s="1135"/>
      <c r="AH410" s="1135"/>
      <c r="AI410" s="1136"/>
      <c r="AJ410" s="18"/>
    </row>
    <row r="411" spans="2:36" s="139" customFormat="1" ht="20.100000000000001" hidden="1" customHeight="1">
      <c r="B411" s="1993"/>
      <c r="C411" s="4738" t="s">
        <v>1557</v>
      </c>
      <c r="D411" s="1186"/>
      <c r="E411" s="1186"/>
      <c r="F411" s="755" t="s">
        <v>156</v>
      </c>
      <c r="G411" s="1008"/>
      <c r="H411" s="1009" t="s">
        <v>1558</v>
      </c>
      <c r="I411" s="1009"/>
      <c r="J411" s="1187"/>
      <c r="K411" s="758" t="s">
        <v>156</v>
      </c>
      <c r="L411" s="2325" t="str">
        <f t="shared" ref="L411" si="23">IFERROR(L412/L413*100,"-")</f>
        <v>-</v>
      </c>
      <c r="M411" s="1192"/>
      <c r="N411" s="1191" t="str">
        <f>IFERROR(N412/N413*100,"-")</f>
        <v>-</v>
      </c>
      <c r="O411" s="1193" t="str">
        <f>IFERROR(O413/O412*100,"-")</f>
        <v>-</v>
      </c>
      <c r="P411" s="4739" t="str">
        <f>IFERROR(P412/P413*100,"-")</f>
        <v>-</v>
      </c>
      <c r="Q411" s="2325" t="str">
        <f>IFERROR(Q412/Q413*100,"-")</f>
        <v>-</v>
      </c>
      <c r="R411" s="1192"/>
      <c r="S411" s="1191" t="str">
        <f>IFERROR(S412/S413*100,"-")</f>
        <v>-</v>
      </c>
      <c r="T411" s="1192"/>
      <c r="U411" s="2326" t="str">
        <f>IFERROR(U412/U413*100,"-")</f>
        <v>-</v>
      </c>
      <c r="V411" s="2152" t="str">
        <f>IFERROR(V412/V413*100,"-")</f>
        <v>-</v>
      </c>
      <c r="W411" s="1189"/>
      <c r="X411" s="1191" t="str">
        <f>IFERROR(X412/X413*100,"-")</f>
        <v>-</v>
      </c>
      <c r="Y411" s="1189"/>
      <c r="Z411" s="1191" t="str">
        <f>IFERROR(Z412/Z413*100,"-")</f>
        <v>-</v>
      </c>
      <c r="AA411" s="1191" t="str">
        <f>IFERROR(AA412/AA413*100,"-")</f>
        <v>-</v>
      </c>
      <c r="AB411" s="1019"/>
      <c r="AC411" s="1191" t="str">
        <f>IFERROR(AC412/AC413*100,"-")</f>
        <v>-</v>
      </c>
      <c r="AD411" s="1019"/>
      <c r="AE411" s="1191" t="str">
        <f>IFERROR(AE412/AE413*100,"-")</f>
        <v>-</v>
      </c>
      <c r="AF411" s="758"/>
      <c r="AG411" s="534"/>
      <c r="AH411" s="534"/>
      <c r="AI411" s="277" t="s">
        <v>1561</v>
      </c>
      <c r="AJ411" s="10"/>
    </row>
    <row r="412" spans="2:36" s="139" customFormat="1" ht="20.100000000000001" hidden="1" customHeight="1">
      <c r="B412" s="1998"/>
      <c r="C412" s="1935"/>
      <c r="D412" s="1196" t="s">
        <v>1562</v>
      </c>
      <c r="E412" s="1197"/>
      <c r="F412" s="105" t="s">
        <v>1563</v>
      </c>
      <c r="G412" s="743"/>
      <c r="H412" s="1069"/>
      <c r="I412" s="457" t="s">
        <v>1564</v>
      </c>
      <c r="J412" s="457"/>
      <c r="K412" s="109" t="s">
        <v>1868</v>
      </c>
      <c r="L412" s="2182">
        <v>0</v>
      </c>
      <c r="M412" s="93">
        <v>0</v>
      </c>
      <c r="N412" s="153">
        <v>0</v>
      </c>
      <c r="O412" s="93">
        <v>0</v>
      </c>
      <c r="P412" s="1241"/>
      <c r="Q412" s="2182">
        <v>0</v>
      </c>
      <c r="R412" s="93">
        <v>0</v>
      </c>
      <c r="S412" s="153">
        <v>0</v>
      </c>
      <c r="T412" s="93">
        <v>0</v>
      </c>
      <c r="U412" s="2183"/>
      <c r="V412" s="1238" t="s">
        <v>2547</v>
      </c>
      <c r="W412" s="1201">
        <v>0.51</v>
      </c>
      <c r="X412" s="153" t="s">
        <v>2547</v>
      </c>
      <c r="Y412" s="1201">
        <v>0.51</v>
      </c>
      <c r="Z412" s="153"/>
      <c r="AA412" s="153"/>
      <c r="AB412" s="93"/>
      <c r="AC412" s="153"/>
      <c r="AD412" s="93"/>
      <c r="AE412" s="153"/>
      <c r="AF412" s="162"/>
      <c r="AG412" s="547"/>
      <c r="AH412" s="547"/>
      <c r="AI412" s="277" t="s">
        <v>1561</v>
      </c>
      <c r="AJ412" s="10"/>
    </row>
    <row r="413" spans="2:36" s="139" customFormat="1" ht="20.100000000000001" hidden="1" customHeight="1">
      <c r="B413" s="1998"/>
      <c r="C413" s="4678"/>
      <c r="D413" s="1196" t="s">
        <v>1567</v>
      </c>
      <c r="E413" s="1203"/>
      <c r="F413" s="105" t="s">
        <v>1563</v>
      </c>
      <c r="G413" s="945"/>
      <c r="H413" s="1099"/>
      <c r="I413" s="457" t="s">
        <v>1568</v>
      </c>
      <c r="J413" s="457"/>
      <c r="K413" s="109" t="s">
        <v>1868</v>
      </c>
      <c r="L413" s="2182">
        <v>0</v>
      </c>
      <c r="M413" s="93">
        <v>0</v>
      </c>
      <c r="N413" s="153">
        <v>0</v>
      </c>
      <c r="O413" s="93">
        <v>0</v>
      </c>
      <c r="P413" s="1241"/>
      <c r="Q413" s="2182">
        <v>0</v>
      </c>
      <c r="R413" s="93">
        <v>0</v>
      </c>
      <c r="S413" s="153">
        <v>0</v>
      </c>
      <c r="T413" s="93">
        <v>0</v>
      </c>
      <c r="U413" s="2183"/>
      <c r="V413" s="1238" t="s">
        <v>2547</v>
      </c>
      <c r="W413" s="1201">
        <v>0.51</v>
      </c>
      <c r="X413" s="153" t="s">
        <v>2547</v>
      </c>
      <c r="Y413" s="1201">
        <v>0.51</v>
      </c>
      <c r="Z413" s="153"/>
      <c r="AA413" s="153"/>
      <c r="AB413" s="93"/>
      <c r="AC413" s="153"/>
      <c r="AD413" s="93"/>
      <c r="AE413" s="153"/>
      <c r="AF413" s="162"/>
      <c r="AG413" s="547"/>
      <c r="AH413" s="547"/>
      <c r="AI413" s="277" t="s">
        <v>1561</v>
      </c>
      <c r="AJ413" s="10"/>
    </row>
    <row r="414" spans="2:36" s="139" customFormat="1" ht="20.100000000000001" hidden="1" customHeight="1">
      <c r="B414" s="1998"/>
      <c r="C414" s="4669" t="s">
        <v>1569</v>
      </c>
      <c r="D414" s="924"/>
      <c r="E414" s="924"/>
      <c r="F414" s="105" t="s">
        <v>156</v>
      </c>
      <c r="G414" s="358"/>
      <c r="H414" s="359" t="s">
        <v>1570</v>
      </c>
      <c r="I414" s="359"/>
      <c r="J414" s="684"/>
      <c r="K414" s="109" t="s">
        <v>156</v>
      </c>
      <c r="L414" s="2327" t="str">
        <f t="shared" ref="L414" si="24">IFERROR(L415/L416*100,"-")</f>
        <v>-</v>
      </c>
      <c r="M414" s="1208"/>
      <c r="N414" s="1207" t="str">
        <f>IFERROR(N415/N416*100,"-")</f>
        <v>-</v>
      </c>
      <c r="O414" s="1208"/>
      <c r="P414" s="4740" t="str">
        <f>IFERROR(P415/P416*100,"-")</f>
        <v>-</v>
      </c>
      <c r="Q414" s="2327" t="str">
        <f>IFERROR(Q415/Q416*100,"-")</f>
        <v>-</v>
      </c>
      <c r="R414" s="1208"/>
      <c r="S414" s="1207" t="str">
        <f>IFERROR(S415/S416*100,"-")</f>
        <v>-</v>
      </c>
      <c r="T414" s="1208"/>
      <c r="U414" s="2328" t="str">
        <f>IFERROR(U415/U416*100,"-")</f>
        <v>-</v>
      </c>
      <c r="V414" s="2153" t="str">
        <f>IFERROR(V415/V416*100,"-")</f>
        <v>-</v>
      </c>
      <c r="W414" s="1209"/>
      <c r="X414" s="1207" t="str">
        <f>IFERROR(X415/X416*100,"-")</f>
        <v>-</v>
      </c>
      <c r="Y414" s="1209"/>
      <c r="Z414" s="1207" t="str">
        <f>IFERROR(Z415/Z416*100,"-")</f>
        <v>-</v>
      </c>
      <c r="AA414" s="1207" t="str">
        <f>IFERROR(AA415/AA416*100,"-")</f>
        <v>-</v>
      </c>
      <c r="AB414" s="1036"/>
      <c r="AC414" s="1207" t="str">
        <f>IFERROR(AC415/AC416*100,"-")</f>
        <v>-</v>
      </c>
      <c r="AD414" s="1036"/>
      <c r="AE414" s="1207" t="str">
        <f>IFERROR(AE415/AE416*100,"-")</f>
        <v>-</v>
      </c>
      <c r="AF414" s="162"/>
      <c r="AG414" s="547"/>
      <c r="AH414" s="547"/>
      <c r="AI414" s="277" t="s">
        <v>1573</v>
      </c>
      <c r="AJ414" s="10"/>
    </row>
    <row r="415" spans="2:36" s="139" customFormat="1" ht="20.100000000000001" hidden="1" customHeight="1">
      <c r="B415" s="1998"/>
      <c r="C415" s="1210"/>
      <c r="D415" s="936" t="s">
        <v>1574</v>
      </c>
      <c r="E415" s="924"/>
      <c r="F415" s="105" t="s">
        <v>1563</v>
      </c>
      <c r="G415" s="1211"/>
      <c r="H415" s="963"/>
      <c r="I415" s="932" t="s">
        <v>1575</v>
      </c>
      <c r="J415" s="993"/>
      <c r="K415" s="109" t="s">
        <v>1868</v>
      </c>
      <c r="L415" s="2329">
        <v>0</v>
      </c>
      <c r="M415" s="1204">
        <v>0</v>
      </c>
      <c r="N415" s="1215">
        <v>0</v>
      </c>
      <c r="O415" s="1204">
        <v>0</v>
      </c>
      <c r="P415" s="2540"/>
      <c r="Q415" s="2329">
        <v>0</v>
      </c>
      <c r="R415" s="1204">
        <v>0</v>
      </c>
      <c r="S415" s="1215">
        <v>0</v>
      </c>
      <c r="T415" s="1204">
        <v>0</v>
      </c>
      <c r="U415" s="2330"/>
      <c r="V415" s="2154" t="s">
        <v>2548</v>
      </c>
      <c r="W415" s="1204">
        <v>0.4</v>
      </c>
      <c r="X415" s="1215" t="s">
        <v>2548</v>
      </c>
      <c r="Y415" s="1204">
        <v>0.4</v>
      </c>
      <c r="Z415" s="1215"/>
      <c r="AA415" s="1215"/>
      <c r="AB415" s="93"/>
      <c r="AC415" s="1215"/>
      <c r="AD415" s="93"/>
      <c r="AE415" s="153"/>
      <c r="AF415" s="162"/>
      <c r="AG415" s="547"/>
      <c r="AH415" s="547"/>
      <c r="AI415" s="277" t="s">
        <v>1573</v>
      </c>
      <c r="AJ415" s="10"/>
    </row>
    <row r="416" spans="2:36" s="139" customFormat="1" ht="20.100000000000001" hidden="1" customHeight="1">
      <c r="B416" s="1998"/>
      <c r="C416" s="1210"/>
      <c r="D416" s="1216" t="s">
        <v>1567</v>
      </c>
      <c r="E416" s="1217"/>
      <c r="F416" s="105" t="s">
        <v>1563</v>
      </c>
      <c r="G416" s="1218"/>
      <c r="H416" s="964"/>
      <c r="I416" s="1219" t="s">
        <v>1576</v>
      </c>
      <c r="J416" s="1220"/>
      <c r="K416" s="109" t="s">
        <v>1868</v>
      </c>
      <c r="L416" s="2182">
        <v>0</v>
      </c>
      <c r="M416" s="93">
        <v>0</v>
      </c>
      <c r="N416" s="153">
        <v>0</v>
      </c>
      <c r="O416" s="93">
        <v>0</v>
      </c>
      <c r="P416" s="1241"/>
      <c r="Q416" s="2182">
        <v>0</v>
      </c>
      <c r="R416" s="93">
        <v>0</v>
      </c>
      <c r="S416" s="153">
        <v>0</v>
      </c>
      <c r="T416" s="93">
        <v>0</v>
      </c>
      <c r="U416" s="2183"/>
      <c r="V416" s="1238" t="s">
        <v>2548</v>
      </c>
      <c r="W416" s="1201">
        <v>0.4</v>
      </c>
      <c r="X416" s="153" t="s">
        <v>2548</v>
      </c>
      <c r="Y416" s="1221">
        <v>0.4</v>
      </c>
      <c r="Z416" s="153"/>
      <c r="AA416" s="153"/>
      <c r="AB416" s="93"/>
      <c r="AC416" s="153"/>
      <c r="AD416" s="93"/>
      <c r="AE416" s="153"/>
      <c r="AF416" s="162"/>
      <c r="AG416" s="547"/>
      <c r="AH416" s="547"/>
      <c r="AI416" s="277" t="s">
        <v>1573</v>
      </c>
      <c r="AJ416" s="10"/>
    </row>
    <row r="417" spans="2:36" s="139" customFormat="1" ht="20.100000000000001" hidden="1" customHeight="1">
      <c r="B417" s="1998"/>
      <c r="C417" s="4669" t="s">
        <v>1577</v>
      </c>
      <c r="D417" s="924"/>
      <c r="E417" s="924"/>
      <c r="F417" s="1222" t="s">
        <v>156</v>
      </c>
      <c r="G417" s="1223"/>
      <c r="H417" s="925" t="s">
        <v>1578</v>
      </c>
      <c r="I417" s="926"/>
      <c r="J417" s="1224"/>
      <c r="K417" s="873" t="s">
        <v>156</v>
      </c>
      <c r="L417" s="2331" t="str">
        <f t="shared" ref="L417" si="25">IFERROR(L418/L419*100,"-")</f>
        <v>-</v>
      </c>
      <c r="M417" s="1227"/>
      <c r="N417" s="1226" t="str">
        <f>IFERROR(N418/N419*100,"-")</f>
        <v>-</v>
      </c>
      <c r="O417" s="1227"/>
      <c r="P417" s="4741" t="str">
        <f>IFERROR(P418/P419*100,"-")</f>
        <v>-</v>
      </c>
      <c r="Q417" s="2331" t="str">
        <f>IFERROR(Q418/Q419*100,"-")</f>
        <v>-</v>
      </c>
      <c r="R417" s="1227"/>
      <c r="S417" s="1226" t="str">
        <f>IFERROR(S418/S419*100,"-")</f>
        <v>-</v>
      </c>
      <c r="T417" s="1227"/>
      <c r="U417" s="2332" t="str">
        <f>IFERROR(U418/U419*100,"-")</f>
        <v>-</v>
      </c>
      <c r="V417" s="2155" t="str">
        <f>IFERROR(V418/V419*100,"-")</f>
        <v>-</v>
      </c>
      <c r="W417" s="1228"/>
      <c r="X417" s="1226" t="str">
        <f>IFERROR(X418/X419*100,"-")</f>
        <v>-</v>
      </c>
      <c r="Y417" s="1228"/>
      <c r="Z417" s="1226" t="str">
        <f>IFERROR(Z418/Z419*100,"-")</f>
        <v>-</v>
      </c>
      <c r="AA417" s="1226" t="str">
        <f>IFERROR(AA418/AA419*100,"-")</f>
        <v>-</v>
      </c>
      <c r="AB417" s="1229"/>
      <c r="AC417" s="1226" t="str">
        <f>IFERROR(AC418/AC419*100,"-")</f>
        <v>-</v>
      </c>
      <c r="AD417" s="1229"/>
      <c r="AE417" s="1226" t="str">
        <f>IFERROR(AE418/AE419*100,"-")</f>
        <v>-</v>
      </c>
      <c r="AF417" s="1034"/>
      <c r="AG417" s="878"/>
      <c r="AH417" s="878"/>
      <c r="AI417" s="277" t="s">
        <v>1581</v>
      </c>
      <c r="AJ417" s="10"/>
    </row>
    <row r="418" spans="2:36" s="139" customFormat="1" ht="20.100000000000001" hidden="1" customHeight="1">
      <c r="B418" s="1998"/>
      <c r="C418" s="1210"/>
      <c r="D418" s="936" t="s">
        <v>1582</v>
      </c>
      <c r="E418" s="924"/>
      <c r="F418" s="105" t="s">
        <v>1563</v>
      </c>
      <c r="G418" s="1211"/>
      <c r="H418" s="963"/>
      <c r="I418" s="932" t="s">
        <v>1583</v>
      </c>
      <c r="J418" s="993"/>
      <c r="K418" s="109" t="s">
        <v>1868</v>
      </c>
      <c r="L418" s="2329">
        <v>0</v>
      </c>
      <c r="M418" s="1204">
        <v>0</v>
      </c>
      <c r="N418" s="1215">
        <v>0</v>
      </c>
      <c r="O418" s="1204">
        <v>0</v>
      </c>
      <c r="P418" s="2540"/>
      <c r="Q418" s="2329">
        <v>0</v>
      </c>
      <c r="R418" s="1204">
        <v>0</v>
      </c>
      <c r="S418" s="1215">
        <v>0</v>
      </c>
      <c r="T418" s="1204">
        <v>0</v>
      </c>
      <c r="U418" s="2330"/>
      <c r="V418" s="2154" t="s">
        <v>2547</v>
      </c>
      <c r="W418" s="1204">
        <v>0.51</v>
      </c>
      <c r="X418" s="1215" t="s">
        <v>2547</v>
      </c>
      <c r="Y418" s="1204">
        <v>0.51</v>
      </c>
      <c r="Z418" s="1215"/>
      <c r="AA418" s="1215"/>
      <c r="AB418" s="93"/>
      <c r="AC418" s="1215"/>
      <c r="AD418" s="93"/>
      <c r="AE418" s="153"/>
      <c r="AF418" s="162"/>
      <c r="AG418" s="547"/>
      <c r="AH418" s="547"/>
      <c r="AI418" s="277" t="s">
        <v>1581</v>
      </c>
      <c r="AJ418" s="10"/>
    </row>
    <row r="419" spans="2:36" s="139" customFormat="1" ht="20.100000000000001" hidden="1" customHeight="1">
      <c r="B419" s="1998"/>
      <c r="C419" s="1914"/>
      <c r="D419" s="1216" t="s">
        <v>1584</v>
      </c>
      <c r="E419" s="1217"/>
      <c r="F419" s="105" t="s">
        <v>1563</v>
      </c>
      <c r="G419" s="1218"/>
      <c r="H419" s="964"/>
      <c r="I419" s="1219" t="s">
        <v>1585</v>
      </c>
      <c r="J419" s="1220"/>
      <c r="K419" s="109" t="s">
        <v>1868</v>
      </c>
      <c r="L419" s="2321">
        <v>0</v>
      </c>
      <c r="M419" s="1160">
        <v>0</v>
      </c>
      <c r="N419" s="1162">
        <v>0</v>
      </c>
      <c r="O419" s="1160">
        <v>0</v>
      </c>
      <c r="P419" s="2539"/>
      <c r="Q419" s="2321">
        <v>0</v>
      </c>
      <c r="R419" s="1160">
        <v>0</v>
      </c>
      <c r="S419" s="1162">
        <v>0</v>
      </c>
      <c r="T419" s="1160">
        <v>0</v>
      </c>
      <c r="U419" s="2322"/>
      <c r="V419" s="1238" t="s">
        <v>2547</v>
      </c>
      <c r="W419" s="1201">
        <v>0.51</v>
      </c>
      <c r="X419" s="153" t="s">
        <v>2547</v>
      </c>
      <c r="Y419" s="1221">
        <v>0.51</v>
      </c>
      <c r="Z419" s="153"/>
      <c r="AA419" s="1162"/>
      <c r="AB419" s="1160"/>
      <c r="AC419" s="1162"/>
      <c r="AD419" s="1160"/>
      <c r="AE419" s="1162"/>
      <c r="AF419" s="165"/>
      <c r="AG419" s="1101"/>
      <c r="AH419" s="1101"/>
      <c r="AI419" s="277" t="s">
        <v>1581</v>
      </c>
      <c r="AJ419" s="10"/>
    </row>
    <row r="420" spans="2:36" s="139" customFormat="1" ht="20.100000000000001" hidden="1" customHeight="1">
      <c r="B420" s="1998"/>
      <c r="C420" s="4669" t="s">
        <v>1586</v>
      </c>
      <c r="D420" s="1233"/>
      <c r="E420" s="1233"/>
      <c r="F420" s="1234" t="s">
        <v>156</v>
      </c>
      <c r="G420" s="1223"/>
      <c r="H420" s="925" t="s">
        <v>1587</v>
      </c>
      <c r="I420" s="926"/>
      <c r="J420" s="992"/>
      <c r="K420" s="109" t="s">
        <v>156</v>
      </c>
      <c r="L420" s="2182">
        <v>0</v>
      </c>
      <c r="M420" s="93">
        <v>0</v>
      </c>
      <c r="N420" s="153">
        <v>0</v>
      </c>
      <c r="O420" s="93">
        <v>0</v>
      </c>
      <c r="P420" s="1241"/>
      <c r="Q420" s="2182">
        <v>0</v>
      </c>
      <c r="R420" s="93">
        <v>0</v>
      </c>
      <c r="S420" s="153">
        <v>0</v>
      </c>
      <c r="T420" s="93">
        <v>0</v>
      </c>
      <c r="U420" s="2183"/>
      <c r="V420" s="1238">
        <v>0</v>
      </c>
      <c r="W420" s="1201">
        <v>0</v>
      </c>
      <c r="X420" s="153">
        <v>0</v>
      </c>
      <c r="Y420" s="1221">
        <v>0</v>
      </c>
      <c r="Z420" s="1237"/>
      <c r="AA420" s="1238"/>
      <c r="AB420" s="1239"/>
      <c r="AC420" s="1237"/>
      <c r="AD420" s="1240"/>
      <c r="AE420" s="1241"/>
      <c r="AF420" s="285"/>
      <c r="AG420" s="547"/>
      <c r="AH420" s="546"/>
      <c r="AI420" s="1243" t="s">
        <v>1588</v>
      </c>
      <c r="AJ420" s="10"/>
    </row>
    <row r="421" spans="2:36" s="139" customFormat="1" ht="20.100000000000001" hidden="1" customHeight="1">
      <c r="B421" s="1998"/>
      <c r="C421" s="4669" t="s">
        <v>1589</v>
      </c>
      <c r="D421" s="924"/>
      <c r="E421" s="924"/>
      <c r="F421" s="105" t="s">
        <v>156</v>
      </c>
      <c r="G421" s="1211"/>
      <c r="H421" s="1245" t="s">
        <v>1590</v>
      </c>
      <c r="I421" s="1246"/>
      <c r="J421" s="1247"/>
      <c r="K421" s="109" t="s">
        <v>156</v>
      </c>
      <c r="L421" s="2331" t="str">
        <f t="shared" ref="L421" si="26">IFERROR(((L422-L423+L424)/L422)*100,"-")</f>
        <v>-</v>
      </c>
      <c r="M421" s="1227"/>
      <c r="N421" s="1226" t="str">
        <f>IFERROR(((N422-N423+N424)/N422)*100,"-")</f>
        <v>-</v>
      </c>
      <c r="O421" s="1227"/>
      <c r="P421" s="4741" t="str">
        <f>IFERROR(((P422-P423+P424)/P422)*100,"-")</f>
        <v>-</v>
      </c>
      <c r="Q421" s="2331" t="str">
        <f>IFERROR(((Q422-Q423+Q424)/Q422)*100,"-")</f>
        <v>-</v>
      </c>
      <c r="R421" s="1227"/>
      <c r="S421" s="1226" t="str">
        <f>IFERROR(((S422-S423+S424)/S422)*100,"-")</f>
        <v>-</v>
      </c>
      <c r="T421" s="1227"/>
      <c r="U421" s="2332" t="str">
        <f>IFERROR(((U422-U423+U424)/U422)*100,"-")</f>
        <v>-</v>
      </c>
      <c r="V421" s="2153" t="str">
        <f>IFERROR(((V422-V423+V424)/V422)*100,"-")</f>
        <v>-</v>
      </c>
      <c r="W421" s="1209"/>
      <c r="X421" s="1207" t="str">
        <f>IFERROR(((X422-X423+X424)/X422)*100,"-")</f>
        <v>-</v>
      </c>
      <c r="Y421" s="1209"/>
      <c r="Z421" s="1207" t="str">
        <f>IFERROR(((Z422-Z423+Z424)/Z422)*100,"-")</f>
        <v>-</v>
      </c>
      <c r="AA421" s="1226" t="str">
        <f>IFERROR(((AA422-AA423+AA424)/AA422)*100,"-")</f>
        <v>-</v>
      </c>
      <c r="AB421" s="1229"/>
      <c r="AC421" s="1226" t="str">
        <f>IFERROR(((AC422-AC423+AC424)/AC422)*100,"-")</f>
        <v>-</v>
      </c>
      <c r="AD421" s="1229"/>
      <c r="AE421" s="1226" t="str">
        <f>IFERROR(((AE422-AE423+AE424)/AE422)*100,"-")</f>
        <v>-</v>
      </c>
      <c r="AF421" s="1034"/>
      <c r="AG421" s="878"/>
      <c r="AH421" s="878"/>
      <c r="AI421" s="277" t="s">
        <v>1593</v>
      </c>
      <c r="AJ421" s="10"/>
    </row>
    <row r="422" spans="2:36" s="139" customFormat="1" ht="20.100000000000001" hidden="1" customHeight="1">
      <c r="B422" s="1998"/>
      <c r="C422" s="2034"/>
      <c r="D422" s="932" t="s">
        <v>1594</v>
      </c>
      <c r="E422" s="926"/>
      <c r="F422" s="105" t="s">
        <v>1595</v>
      </c>
      <c r="G422" s="1249"/>
      <c r="H422" s="1250"/>
      <c r="I422" s="932" t="s">
        <v>1596</v>
      </c>
      <c r="J422" s="993"/>
      <c r="K422" s="109" t="s">
        <v>1597</v>
      </c>
      <c r="L422" s="2329">
        <v>0</v>
      </c>
      <c r="M422" s="1204">
        <v>0</v>
      </c>
      <c r="N422" s="1215">
        <v>0</v>
      </c>
      <c r="O422" s="1204">
        <v>0</v>
      </c>
      <c r="P422" s="2540"/>
      <c r="Q422" s="2329">
        <v>0</v>
      </c>
      <c r="R422" s="1204">
        <v>0</v>
      </c>
      <c r="S422" s="1215">
        <v>0</v>
      </c>
      <c r="T422" s="1204">
        <v>0</v>
      </c>
      <c r="U422" s="2330"/>
      <c r="V422" s="2154">
        <v>0</v>
      </c>
      <c r="W422" s="1204">
        <v>0</v>
      </c>
      <c r="X422" s="1215">
        <v>0</v>
      </c>
      <c r="Y422" s="1204">
        <v>0</v>
      </c>
      <c r="Z422" s="1215"/>
      <c r="AA422" s="1215"/>
      <c r="AB422" s="93"/>
      <c r="AC422" s="1215"/>
      <c r="AD422" s="93"/>
      <c r="AE422" s="153"/>
      <c r="AF422" s="162"/>
      <c r="AG422" s="547"/>
      <c r="AH422" s="547"/>
      <c r="AI422" s="277" t="s">
        <v>1598</v>
      </c>
      <c r="AJ422" s="10"/>
    </row>
    <row r="423" spans="2:36" s="139" customFormat="1" ht="20.100000000000001" hidden="1" customHeight="1">
      <c r="B423" s="1998"/>
      <c r="C423" s="4742"/>
      <c r="D423" s="1219" t="s">
        <v>1600</v>
      </c>
      <c r="E423" s="1251"/>
      <c r="F423" s="105" t="s">
        <v>1595</v>
      </c>
      <c r="G423" s="1252"/>
      <c r="H423" s="1253"/>
      <c r="I423" s="1254" t="s">
        <v>1601</v>
      </c>
      <c r="J423" s="1255"/>
      <c r="K423" s="109" t="s">
        <v>1597</v>
      </c>
      <c r="L423" s="2182">
        <v>0</v>
      </c>
      <c r="M423" s="93">
        <v>0</v>
      </c>
      <c r="N423" s="153">
        <v>0</v>
      </c>
      <c r="O423" s="93">
        <v>0</v>
      </c>
      <c r="P423" s="1241"/>
      <c r="Q423" s="2182">
        <v>0</v>
      </c>
      <c r="R423" s="93">
        <v>0</v>
      </c>
      <c r="S423" s="153">
        <v>0</v>
      </c>
      <c r="T423" s="93">
        <v>0</v>
      </c>
      <c r="U423" s="2183"/>
      <c r="V423" s="1238">
        <v>0</v>
      </c>
      <c r="W423" s="1201">
        <v>0</v>
      </c>
      <c r="X423" s="153">
        <v>0</v>
      </c>
      <c r="Y423" s="1221">
        <v>0</v>
      </c>
      <c r="Z423" s="153"/>
      <c r="AA423" s="153"/>
      <c r="AB423" s="93"/>
      <c r="AC423" s="153"/>
      <c r="AD423" s="93"/>
      <c r="AE423" s="153"/>
      <c r="AF423" s="162"/>
      <c r="AG423" s="547"/>
      <c r="AH423" s="547"/>
      <c r="AI423" s="277" t="s">
        <v>1598</v>
      </c>
      <c r="AJ423" s="10"/>
    </row>
    <row r="424" spans="2:36" s="139" customFormat="1" ht="20.100000000000001" hidden="1" customHeight="1">
      <c r="B424" s="2026"/>
      <c r="C424" s="4743"/>
      <c r="D424" s="1256" t="s">
        <v>1602</v>
      </c>
      <c r="E424" s="1257"/>
      <c r="F424" s="1258" t="s">
        <v>1595</v>
      </c>
      <c r="G424" s="1259"/>
      <c r="H424" s="1260"/>
      <c r="I424" s="1256" t="s">
        <v>1603</v>
      </c>
      <c r="J424" s="1257"/>
      <c r="K424" s="1261" t="s">
        <v>1597</v>
      </c>
      <c r="L424" s="2333">
        <v>0</v>
      </c>
      <c r="M424" s="1266">
        <v>0</v>
      </c>
      <c r="N424" s="1268">
        <v>0</v>
      </c>
      <c r="O424" s="1266">
        <v>0</v>
      </c>
      <c r="P424" s="4744"/>
      <c r="Q424" s="2333">
        <v>0</v>
      </c>
      <c r="R424" s="1266">
        <v>0</v>
      </c>
      <c r="S424" s="1268">
        <v>0</v>
      </c>
      <c r="T424" s="1266">
        <v>0</v>
      </c>
      <c r="U424" s="2334"/>
      <c r="V424" s="2156">
        <v>0</v>
      </c>
      <c r="W424" s="1269">
        <v>0</v>
      </c>
      <c r="X424" s="1268">
        <v>0</v>
      </c>
      <c r="Y424" s="1270">
        <v>0</v>
      </c>
      <c r="Z424" s="1268"/>
      <c r="AA424" s="1268"/>
      <c r="AB424" s="1266"/>
      <c r="AC424" s="1268"/>
      <c r="AD424" s="1266"/>
      <c r="AE424" s="1268"/>
      <c r="AF424" s="165"/>
      <c r="AG424" s="1101"/>
      <c r="AH424" s="1101"/>
      <c r="AI424" s="981" t="s">
        <v>1598</v>
      </c>
      <c r="AJ424" s="10"/>
    </row>
    <row r="425" spans="2:36" ht="27" hidden="1" thickBot="1">
      <c r="B425" s="1710" t="s">
        <v>1604</v>
      </c>
      <c r="C425" s="1132"/>
      <c r="D425" s="1132"/>
      <c r="E425" s="1132"/>
      <c r="F425" s="518"/>
      <c r="G425" s="1272" t="s">
        <v>1440</v>
      </c>
      <c r="H425" s="1132"/>
      <c r="I425" s="1132"/>
      <c r="J425" s="1273"/>
      <c r="K425" s="518"/>
      <c r="L425" s="2410"/>
      <c r="M425" s="1134"/>
      <c r="N425" s="1134"/>
      <c r="O425" s="1134"/>
      <c r="P425" s="1134"/>
      <c r="Q425" s="2410"/>
      <c r="R425" s="1134"/>
      <c r="S425" s="1134"/>
      <c r="T425" s="1134"/>
      <c r="U425" s="2411"/>
      <c r="V425" s="1134"/>
      <c r="W425" s="1134"/>
      <c r="X425" s="1134"/>
      <c r="Y425" s="1134"/>
      <c r="Z425" s="1134"/>
      <c r="AA425" s="1134"/>
      <c r="AB425" s="1134"/>
      <c r="AC425" s="1134"/>
      <c r="AD425" s="1134"/>
      <c r="AE425" s="1134"/>
      <c r="AF425" s="1274"/>
      <c r="AG425" s="129"/>
      <c r="AH425" s="129"/>
      <c r="AI425" s="328"/>
      <c r="AJ425" s="18"/>
    </row>
    <row r="426" spans="2:36" s="139" customFormat="1" ht="20.100000000000001" hidden="1" customHeight="1">
      <c r="B426" s="2031"/>
      <c r="C426" s="4738" t="s">
        <v>1605</v>
      </c>
      <c r="D426" s="1186"/>
      <c r="E426" s="1186"/>
      <c r="F426" s="755" t="s">
        <v>156</v>
      </c>
      <c r="G426" s="1275"/>
      <c r="H426" s="1276" t="s">
        <v>1606</v>
      </c>
      <c r="I426" s="1277"/>
      <c r="J426" s="1278"/>
      <c r="K426" s="758" t="s">
        <v>156</v>
      </c>
      <c r="L426" s="2335" t="str">
        <f t="shared" ref="L426" si="27">IFERROR(L427/L428*100,"-")</f>
        <v>-</v>
      </c>
      <c r="M426" s="1282"/>
      <c r="N426" s="1281" t="str">
        <f>IFERROR(N427/N428*100,"-")</f>
        <v>-</v>
      </c>
      <c r="O426" s="1283"/>
      <c r="P426" s="4745" t="str">
        <f>IFERROR(P427/P428*100,"-")</f>
        <v>-</v>
      </c>
      <c r="Q426" s="2335" t="str">
        <f>IFERROR(Q427/Q428*100,"-")</f>
        <v>-</v>
      </c>
      <c r="R426" s="1282"/>
      <c r="S426" s="1281"/>
      <c r="T426" s="1282"/>
      <c r="U426" s="2336"/>
      <c r="V426" s="2157"/>
      <c r="W426" s="1280"/>
      <c r="X426" s="1281"/>
      <c r="Y426" s="1280"/>
      <c r="Z426" s="1281" t="str">
        <f>IFERROR(Z427/Z428*100,"-")</f>
        <v>-</v>
      </c>
      <c r="AA426" s="1281" t="str">
        <f>IFERROR(AA427/AA428*100,"-")</f>
        <v>-</v>
      </c>
      <c r="AB426" s="1283"/>
      <c r="AC426" s="1281" t="str">
        <f>IFERROR(AC427/AC428*100,"-")</f>
        <v>-</v>
      </c>
      <c r="AD426" s="1283"/>
      <c r="AE426" s="1281" t="str">
        <f>IFERROR(AE427/AE428*100,"-")</f>
        <v>-</v>
      </c>
      <c r="AF426" s="162"/>
      <c r="AG426" s="534"/>
      <c r="AH426" s="534"/>
      <c r="AI426" s="277" t="s">
        <v>1609</v>
      </c>
      <c r="AJ426" s="10"/>
    </row>
    <row r="427" spans="2:36" s="139" customFormat="1" ht="20.100000000000001" hidden="1" customHeight="1">
      <c r="B427" s="2031"/>
      <c r="C427" s="1935"/>
      <c r="D427" s="1216" t="s">
        <v>1610</v>
      </c>
      <c r="E427" s="1217"/>
      <c r="F427" s="105" t="s">
        <v>33</v>
      </c>
      <c r="G427" s="475"/>
      <c r="H427" s="1285"/>
      <c r="I427" s="1219" t="s">
        <v>1611</v>
      </c>
      <c r="J427" s="1285"/>
      <c r="K427" s="109" t="s">
        <v>35</v>
      </c>
      <c r="L427" s="2182">
        <v>0</v>
      </c>
      <c r="M427" s="93">
        <v>0</v>
      </c>
      <c r="N427" s="153">
        <v>0</v>
      </c>
      <c r="O427" s="93">
        <v>0</v>
      </c>
      <c r="P427" s="1241"/>
      <c r="Q427" s="2182">
        <v>0</v>
      </c>
      <c r="R427" s="93">
        <v>0</v>
      </c>
      <c r="S427" s="153">
        <v>0</v>
      </c>
      <c r="T427" s="93">
        <v>0</v>
      </c>
      <c r="U427" s="2183"/>
      <c r="V427" s="1238">
        <v>0</v>
      </c>
      <c r="W427" s="1201">
        <v>0</v>
      </c>
      <c r="X427" s="153">
        <v>0</v>
      </c>
      <c r="Y427" s="1201">
        <v>0</v>
      </c>
      <c r="Z427" s="153"/>
      <c r="AA427" s="153"/>
      <c r="AB427" s="93"/>
      <c r="AC427" s="153"/>
      <c r="AD427" s="93"/>
      <c r="AE427" s="153"/>
      <c r="AF427" s="162"/>
      <c r="AG427" s="547"/>
      <c r="AH427" s="547"/>
      <c r="AI427" s="277" t="s">
        <v>1609</v>
      </c>
      <c r="AJ427" s="10"/>
    </row>
    <row r="428" spans="2:36" s="139" customFormat="1" ht="20.100000000000001" hidden="1" customHeight="1">
      <c r="B428" s="2031"/>
      <c r="C428" s="4678"/>
      <c r="D428" s="1216" t="s">
        <v>1612</v>
      </c>
      <c r="E428" s="1217"/>
      <c r="F428" s="105" t="s">
        <v>33</v>
      </c>
      <c r="G428" s="475"/>
      <c r="H428" s="1285"/>
      <c r="I428" s="1219" t="s">
        <v>1613</v>
      </c>
      <c r="J428" s="1285"/>
      <c r="K428" s="109" t="s">
        <v>35</v>
      </c>
      <c r="L428" s="2182">
        <v>0</v>
      </c>
      <c r="M428" s="93">
        <v>0</v>
      </c>
      <c r="N428" s="153">
        <v>0</v>
      </c>
      <c r="O428" s="93">
        <v>0</v>
      </c>
      <c r="P428" s="1241"/>
      <c r="Q428" s="2182">
        <v>0</v>
      </c>
      <c r="R428" s="93">
        <v>0</v>
      </c>
      <c r="S428" s="153">
        <v>0</v>
      </c>
      <c r="T428" s="93">
        <v>0</v>
      </c>
      <c r="U428" s="2183"/>
      <c r="V428" s="1238">
        <v>0</v>
      </c>
      <c r="W428" s="1201">
        <v>0</v>
      </c>
      <c r="X428" s="153">
        <v>0</v>
      </c>
      <c r="Y428" s="1201">
        <v>0</v>
      </c>
      <c r="Z428" s="153"/>
      <c r="AA428" s="153"/>
      <c r="AB428" s="93"/>
      <c r="AC428" s="153"/>
      <c r="AD428" s="93"/>
      <c r="AE428" s="153"/>
      <c r="AF428" s="162"/>
      <c r="AG428" s="547"/>
      <c r="AH428" s="547"/>
      <c r="AI428" s="154" t="s">
        <v>1609</v>
      </c>
      <c r="AJ428" s="10"/>
    </row>
    <row r="429" spans="2:36" s="139" customFormat="1" ht="20.100000000000001" hidden="1" customHeight="1">
      <c r="B429" s="2031"/>
      <c r="C429" s="4669" t="s">
        <v>1614</v>
      </c>
      <c r="D429" s="924"/>
      <c r="E429" s="924"/>
      <c r="F429" s="285" t="s">
        <v>156</v>
      </c>
      <c r="G429" s="1286"/>
      <c r="H429" s="991" t="s">
        <v>1615</v>
      </c>
      <c r="I429" s="992"/>
      <c r="J429" s="1287"/>
      <c r="K429" s="162" t="s">
        <v>156</v>
      </c>
      <c r="L429" s="2337" t="str">
        <f t="shared" ref="L429" si="28">IFERROR(L430/L431*100,"-")</f>
        <v>-</v>
      </c>
      <c r="M429" s="1198"/>
      <c r="N429" s="1291" t="str">
        <f>IFERROR(N430/N431*100,"-")</f>
        <v>-</v>
      </c>
      <c r="O429" s="1198"/>
      <c r="P429" s="4746" t="str">
        <f>IFERROR(P430/P431*100,"-")</f>
        <v>-</v>
      </c>
      <c r="Q429" s="2337" t="str">
        <f>IFERROR(Q430/Q431*100,"-")</f>
        <v>-</v>
      </c>
      <c r="R429" s="1198"/>
      <c r="S429" s="1291" t="str">
        <f>IFERROR(S430/S431*100,"-")</f>
        <v>-</v>
      </c>
      <c r="T429" s="1198"/>
      <c r="U429" s="2338" t="str">
        <f>IFERROR(U430/U431*100,"-")</f>
        <v>-</v>
      </c>
      <c r="V429" s="2158" t="str">
        <f>IFERROR(V430/V431*100,"-")</f>
        <v>-</v>
      </c>
      <c r="W429" s="1204"/>
      <c r="X429" s="1291" t="str">
        <f>IFERROR(X430/X431*100,"-")</f>
        <v>-</v>
      </c>
      <c r="Y429" s="1204"/>
      <c r="Z429" s="1291" t="str">
        <f>IFERROR(Z430/Z431*100,"-")</f>
        <v>-</v>
      </c>
      <c r="AA429" s="1291" t="str">
        <f>IFERROR(AA430/AA431*100,"-")</f>
        <v>-</v>
      </c>
      <c r="AB429" s="93"/>
      <c r="AC429" s="1291" t="str">
        <f>IFERROR(AC430/AC431*100,"-")</f>
        <v>-</v>
      </c>
      <c r="AD429" s="93"/>
      <c r="AE429" s="1291" t="str">
        <f>IFERROR(AE430/AE431*100,"-")</f>
        <v>-</v>
      </c>
      <c r="AF429" s="1034"/>
      <c r="AG429" s="547"/>
      <c r="AH429" s="547"/>
      <c r="AI429" s="154" t="s">
        <v>1618</v>
      </c>
      <c r="AJ429" s="10"/>
    </row>
    <row r="430" spans="2:36" s="139" customFormat="1" ht="20.100000000000001" hidden="1" customHeight="1">
      <c r="B430" s="2031"/>
      <c r="C430" s="1914"/>
      <c r="D430" s="936" t="s">
        <v>1619</v>
      </c>
      <c r="E430" s="924"/>
      <c r="F430" s="105" t="s">
        <v>33</v>
      </c>
      <c r="G430" s="1286"/>
      <c r="H430" s="1292"/>
      <c r="I430" s="995" t="s">
        <v>1620</v>
      </c>
      <c r="J430" s="993"/>
      <c r="K430" s="109" t="s">
        <v>35</v>
      </c>
      <c r="L430" s="2329">
        <v>0</v>
      </c>
      <c r="M430" s="1213" t="s">
        <v>2171</v>
      </c>
      <c r="N430" s="1215">
        <v>0</v>
      </c>
      <c r="O430" s="1213" t="s">
        <v>2171</v>
      </c>
      <c r="P430" s="2540"/>
      <c r="Q430" s="2329">
        <v>0</v>
      </c>
      <c r="R430" s="1204">
        <v>0</v>
      </c>
      <c r="S430" s="1215">
        <v>0</v>
      </c>
      <c r="T430" s="1204">
        <v>0</v>
      </c>
      <c r="U430" s="2330"/>
      <c r="V430" s="2154">
        <v>0</v>
      </c>
      <c r="W430" s="1204">
        <v>0</v>
      </c>
      <c r="X430" s="1215">
        <v>0</v>
      </c>
      <c r="Y430" s="1204">
        <v>0</v>
      </c>
      <c r="Z430" s="1215"/>
      <c r="AA430" s="1215"/>
      <c r="AB430" s="93"/>
      <c r="AC430" s="1215"/>
      <c r="AD430" s="93"/>
      <c r="AE430" s="153"/>
      <c r="AF430" s="1034"/>
      <c r="AG430" s="547"/>
      <c r="AH430" s="547"/>
      <c r="AI430" s="154" t="s">
        <v>1618</v>
      </c>
      <c r="AJ430" s="10"/>
    </row>
    <row r="431" spans="2:36" s="139" customFormat="1" ht="20.100000000000001" hidden="1" customHeight="1">
      <c r="B431" s="2031"/>
      <c r="C431" s="1914"/>
      <c r="D431" s="1216" t="s">
        <v>1621</v>
      </c>
      <c r="E431" s="1217"/>
      <c r="F431" s="105" t="s">
        <v>33</v>
      </c>
      <c r="G431" s="475"/>
      <c r="H431" s="1285"/>
      <c r="I431" s="726" t="s">
        <v>1622</v>
      </c>
      <c r="J431" s="1293"/>
      <c r="K431" s="109" t="s">
        <v>35</v>
      </c>
      <c r="L431" s="2182">
        <v>0</v>
      </c>
      <c r="M431" s="93">
        <v>0</v>
      </c>
      <c r="N431" s="153">
        <v>0</v>
      </c>
      <c r="O431" s="93">
        <v>0</v>
      </c>
      <c r="P431" s="1241"/>
      <c r="Q431" s="2182">
        <v>0</v>
      </c>
      <c r="R431" s="93">
        <v>0</v>
      </c>
      <c r="S431" s="153">
        <v>0</v>
      </c>
      <c r="T431" s="93">
        <v>0</v>
      </c>
      <c r="U431" s="2183"/>
      <c r="V431" s="1238">
        <v>0</v>
      </c>
      <c r="W431" s="1201">
        <v>0</v>
      </c>
      <c r="X431" s="153">
        <v>0</v>
      </c>
      <c r="Y431" s="1221">
        <v>0</v>
      </c>
      <c r="Z431" s="153"/>
      <c r="AA431" s="153"/>
      <c r="AB431" s="93"/>
      <c r="AC431" s="153"/>
      <c r="AD431" s="93"/>
      <c r="AE431" s="153"/>
      <c r="AF431" s="1034"/>
      <c r="AG431" s="547"/>
      <c r="AH431" s="547"/>
      <c r="AI431" s="154" t="s">
        <v>1618</v>
      </c>
      <c r="AJ431" s="10"/>
    </row>
    <row r="432" spans="2:36" s="139" customFormat="1" ht="20.100000000000001" hidden="1" customHeight="1">
      <c r="B432" s="2031"/>
      <c r="C432" s="4669" t="s">
        <v>1623</v>
      </c>
      <c r="D432" s="924"/>
      <c r="E432" s="924"/>
      <c r="F432" s="285" t="s">
        <v>156</v>
      </c>
      <c r="G432" s="1223"/>
      <c r="H432" s="925" t="s">
        <v>1624</v>
      </c>
      <c r="I432" s="926"/>
      <c r="J432" s="993"/>
      <c r="K432" s="162" t="s">
        <v>156</v>
      </c>
      <c r="L432" s="2337" t="str">
        <f t="shared" ref="L432" si="29">IFERROR(L433/L434*100,"-")</f>
        <v>-</v>
      </c>
      <c r="M432" s="1198"/>
      <c r="N432" s="1291" t="str">
        <f>IFERROR(N433/N434*100,"-")</f>
        <v>-</v>
      </c>
      <c r="O432" s="1198"/>
      <c r="P432" s="4746" t="str">
        <f>IFERROR(P433/P434*100,"-")</f>
        <v>-</v>
      </c>
      <c r="Q432" s="2337" t="str">
        <f>IFERROR(Q433/Q434*100,"-")</f>
        <v>-</v>
      </c>
      <c r="R432" s="1198"/>
      <c r="S432" s="1291" t="str">
        <f>IFERROR(S433/S434*100,"-")</f>
        <v>-</v>
      </c>
      <c r="T432" s="1198"/>
      <c r="U432" s="2338" t="str">
        <f>IFERROR(U433/U434*100,"-")</f>
        <v>-</v>
      </c>
      <c r="V432" s="2158" t="str">
        <f>IFERROR(V433/V434*100,"-")</f>
        <v>-</v>
      </c>
      <c r="W432" s="1204"/>
      <c r="X432" s="1291" t="str">
        <f>IFERROR(X433/X434*100,"-")</f>
        <v>-</v>
      </c>
      <c r="Y432" s="1204"/>
      <c r="Z432" s="1291" t="str">
        <f>IFERROR(Z433/Z434*100,"-")</f>
        <v>-</v>
      </c>
      <c r="AA432" s="1291" t="str">
        <f>IFERROR(AA433/AA434*100,"-")</f>
        <v>-</v>
      </c>
      <c r="AB432" s="93"/>
      <c r="AC432" s="1291" t="str">
        <f>IFERROR(AC433/AC434*100,"-")</f>
        <v>-</v>
      </c>
      <c r="AD432" s="93"/>
      <c r="AE432" s="1291" t="str">
        <f>IFERROR(AE433/AE434*100,"-")</f>
        <v>-</v>
      </c>
      <c r="AF432" s="1034"/>
      <c r="AG432" s="547"/>
      <c r="AH432" s="547"/>
      <c r="AI432" s="154" t="s">
        <v>1627</v>
      </c>
      <c r="AJ432" s="10"/>
    </row>
    <row r="433" spans="2:36" s="139" customFormat="1" ht="20.100000000000001" hidden="1" customHeight="1">
      <c r="B433" s="2031"/>
      <c r="C433" s="1914"/>
      <c r="D433" s="936" t="s">
        <v>1628</v>
      </c>
      <c r="E433" s="924"/>
      <c r="F433" s="105" t="s">
        <v>33</v>
      </c>
      <c r="G433" s="1286"/>
      <c r="H433" s="1292"/>
      <c r="I433" s="995" t="s">
        <v>1629</v>
      </c>
      <c r="J433" s="993"/>
      <c r="K433" s="109" t="s">
        <v>35</v>
      </c>
      <c r="L433" s="2329">
        <v>0</v>
      </c>
      <c r="M433" s="1204">
        <v>0</v>
      </c>
      <c r="N433" s="1215">
        <v>0</v>
      </c>
      <c r="O433" s="1204">
        <v>0</v>
      </c>
      <c r="P433" s="2540"/>
      <c r="Q433" s="2329">
        <v>0</v>
      </c>
      <c r="R433" s="1204">
        <v>0</v>
      </c>
      <c r="S433" s="1215">
        <v>0</v>
      </c>
      <c r="T433" s="1204">
        <v>0</v>
      </c>
      <c r="U433" s="2330"/>
      <c r="V433" s="2154">
        <v>0</v>
      </c>
      <c r="W433" s="1204">
        <v>0</v>
      </c>
      <c r="X433" s="1215">
        <v>0</v>
      </c>
      <c r="Y433" s="1204">
        <v>0</v>
      </c>
      <c r="Z433" s="1215"/>
      <c r="AA433" s="1215"/>
      <c r="AB433" s="93"/>
      <c r="AC433" s="1215"/>
      <c r="AD433" s="93"/>
      <c r="AE433" s="153"/>
      <c r="AF433" s="1034"/>
      <c r="AG433" s="547"/>
      <c r="AH433" s="547"/>
      <c r="AI433" s="277" t="s">
        <v>1627</v>
      </c>
      <c r="AJ433" s="10"/>
    </row>
    <row r="434" spans="2:36" s="139" customFormat="1" ht="20.100000000000001" hidden="1" customHeight="1">
      <c r="B434" s="2033"/>
      <c r="C434" s="1935"/>
      <c r="D434" s="1295" t="s">
        <v>1630</v>
      </c>
      <c r="E434" s="1296"/>
      <c r="F434" s="105" t="s">
        <v>33</v>
      </c>
      <c r="G434" s="1297"/>
      <c r="H434" s="1298"/>
      <c r="I434" s="1299" t="s">
        <v>1631</v>
      </c>
      <c r="J434" s="1255"/>
      <c r="K434" s="109" t="s">
        <v>35</v>
      </c>
      <c r="L434" s="2321">
        <v>0</v>
      </c>
      <c r="M434" s="1160">
        <v>0</v>
      </c>
      <c r="N434" s="1162">
        <v>0</v>
      </c>
      <c r="O434" s="1160">
        <v>0</v>
      </c>
      <c r="P434" s="2539"/>
      <c r="Q434" s="2321">
        <v>0</v>
      </c>
      <c r="R434" s="1160">
        <v>0</v>
      </c>
      <c r="S434" s="1162">
        <v>0</v>
      </c>
      <c r="T434" s="1160">
        <v>0</v>
      </c>
      <c r="U434" s="2322"/>
      <c r="V434" s="2150">
        <v>0</v>
      </c>
      <c r="W434" s="1300">
        <v>0</v>
      </c>
      <c r="X434" s="1162">
        <v>0</v>
      </c>
      <c r="Y434" s="1301">
        <v>0</v>
      </c>
      <c r="Z434" s="1162"/>
      <c r="AA434" s="1162"/>
      <c r="AB434" s="1160"/>
      <c r="AC434" s="1162"/>
      <c r="AD434" s="1160"/>
      <c r="AE434" s="1162"/>
      <c r="AF434" s="1153"/>
      <c r="AG434" s="1101"/>
      <c r="AH434" s="1101"/>
      <c r="AI434" s="277" t="s">
        <v>1627</v>
      </c>
      <c r="AJ434" s="10"/>
    </row>
    <row r="435" spans="2:36" ht="27" hidden="1" thickBot="1">
      <c r="B435" s="123" t="s">
        <v>1632</v>
      </c>
      <c r="C435" s="124"/>
      <c r="D435" s="124"/>
      <c r="E435" s="124"/>
      <c r="F435" s="78"/>
      <c r="G435" s="125" t="s">
        <v>2549</v>
      </c>
      <c r="H435" s="126"/>
      <c r="I435" s="126"/>
      <c r="J435" s="126"/>
      <c r="K435" s="78"/>
      <c r="L435" s="2431"/>
      <c r="M435" s="1005"/>
      <c r="N435" s="1005"/>
      <c r="O435" s="1005"/>
      <c r="P435" s="1005"/>
      <c r="Q435" s="2431"/>
      <c r="R435" s="1005"/>
      <c r="S435" s="1005"/>
      <c r="T435" s="1005"/>
      <c r="U435" s="2432"/>
      <c r="V435" s="1005"/>
      <c r="W435" s="1005"/>
      <c r="X435" s="1005"/>
      <c r="Y435" s="1005"/>
      <c r="Z435" s="1005"/>
      <c r="AA435" s="1005"/>
      <c r="AB435" s="1005"/>
      <c r="AC435" s="1005"/>
      <c r="AD435" s="1005"/>
      <c r="AE435" s="1005"/>
      <c r="AF435" s="1274"/>
      <c r="AG435" s="129"/>
      <c r="AH435" s="129"/>
      <c r="AI435" s="328"/>
      <c r="AJ435" s="18"/>
    </row>
    <row r="436" spans="2:36" ht="20.100000000000001" hidden="1" customHeight="1">
      <c r="B436" s="2038"/>
      <c r="C436" s="4747" t="s">
        <v>1633</v>
      </c>
      <c r="D436" s="949"/>
      <c r="E436" s="949"/>
      <c r="F436" s="2371" t="s">
        <v>168</v>
      </c>
      <c r="G436" s="168"/>
      <c r="H436" s="949" t="s">
        <v>1634</v>
      </c>
      <c r="I436" s="949"/>
      <c r="J436" s="949"/>
      <c r="K436" s="1139"/>
      <c r="L436" s="2442"/>
      <c r="M436" s="1304"/>
      <c r="N436" s="1303"/>
      <c r="O436" s="1304"/>
      <c r="P436" s="4748"/>
      <c r="Q436" s="2442"/>
      <c r="R436" s="1304"/>
      <c r="S436" s="1303"/>
      <c r="T436" s="1304"/>
      <c r="U436" s="2443"/>
      <c r="V436" s="2455"/>
      <c r="W436" s="1304"/>
      <c r="X436" s="1305"/>
      <c r="Y436" s="1304"/>
      <c r="Z436" s="1302"/>
      <c r="AA436" s="1302"/>
      <c r="AB436" s="954"/>
      <c r="AC436" s="1302"/>
      <c r="AD436" s="954"/>
      <c r="AE436" s="1302"/>
      <c r="AF436" s="758"/>
      <c r="AG436" s="534"/>
      <c r="AH436" s="534"/>
      <c r="AI436" s="690"/>
      <c r="AJ436" s="18"/>
    </row>
    <row r="437" spans="2:36" ht="20.100000000000001" hidden="1" customHeight="1">
      <c r="B437" s="4749"/>
      <c r="C437" s="4709"/>
      <c r="D437" s="787" t="s">
        <v>1018</v>
      </c>
      <c r="E437" s="781"/>
      <c r="F437" s="285" t="s">
        <v>1636</v>
      </c>
      <c r="G437" s="106"/>
      <c r="H437" s="353"/>
      <c r="I437" s="384" t="s">
        <v>1637</v>
      </c>
      <c r="J437" s="384"/>
      <c r="K437" s="1034" t="s">
        <v>1831</v>
      </c>
      <c r="L437" s="2444">
        <v>0</v>
      </c>
      <c r="M437" s="1149" t="s">
        <v>2550</v>
      </c>
      <c r="N437" s="1307">
        <v>0</v>
      </c>
      <c r="O437" s="1149" t="s">
        <v>2551</v>
      </c>
      <c r="P437" s="2547"/>
      <c r="Q437" s="2444">
        <v>376</v>
      </c>
      <c r="R437" s="1149" t="s">
        <v>2552</v>
      </c>
      <c r="S437" s="1307">
        <v>548</v>
      </c>
      <c r="T437" s="1149" t="s">
        <v>2553</v>
      </c>
      <c r="U437" s="2320"/>
      <c r="V437" s="2159">
        <v>1433.25</v>
      </c>
      <c r="W437" s="1149" t="s">
        <v>2554</v>
      </c>
      <c r="X437" s="1307">
        <v>643</v>
      </c>
      <c r="Y437" s="1149" t="s">
        <v>2555</v>
      </c>
      <c r="Z437" s="1150"/>
      <c r="AA437" s="1150"/>
      <c r="AB437" s="1151"/>
      <c r="AC437" s="1150"/>
      <c r="AD437" s="1151"/>
      <c r="AE437" s="1150"/>
      <c r="AF437" s="1034"/>
      <c r="AG437" s="878"/>
      <c r="AH437" s="878"/>
      <c r="AI437" s="620" t="s">
        <v>1640</v>
      </c>
      <c r="AJ437" s="18"/>
    </row>
    <row r="438" spans="2:36" ht="20.100000000000001" hidden="1" customHeight="1">
      <c r="B438" s="1761"/>
      <c r="C438" s="4664"/>
      <c r="D438" s="787" t="s">
        <v>1428</v>
      </c>
      <c r="E438" s="781"/>
      <c r="F438" s="285" t="s">
        <v>732</v>
      </c>
      <c r="G438" s="384"/>
      <c r="H438" s="385"/>
      <c r="I438" s="358" t="s">
        <v>1643</v>
      </c>
      <c r="J438" s="358"/>
      <c r="K438" s="162" t="s">
        <v>734</v>
      </c>
      <c r="L438" s="2445">
        <v>0</v>
      </c>
      <c r="M438" s="1045" t="s">
        <v>2556</v>
      </c>
      <c r="N438" s="1308">
        <v>0</v>
      </c>
      <c r="O438" s="1045" t="s">
        <v>2557</v>
      </c>
      <c r="P438" s="1241"/>
      <c r="Q438" s="2445">
        <v>94</v>
      </c>
      <c r="R438" s="1045" t="s">
        <v>2552</v>
      </c>
      <c r="S438" s="1308">
        <v>137</v>
      </c>
      <c r="T438" s="1045" t="s">
        <v>2552</v>
      </c>
      <c r="U438" s="2183"/>
      <c r="V438" s="2160">
        <v>379</v>
      </c>
      <c r="W438" s="1045" t="s">
        <v>2558</v>
      </c>
      <c r="X438" s="1308">
        <v>391</v>
      </c>
      <c r="Y438" s="1045" t="s">
        <v>2559</v>
      </c>
      <c r="Z438" s="153"/>
      <c r="AA438" s="153"/>
      <c r="AB438" s="227"/>
      <c r="AC438" s="153"/>
      <c r="AD438" s="227"/>
      <c r="AE438" s="153"/>
      <c r="AF438" s="162"/>
      <c r="AG438" s="547"/>
      <c r="AH438" s="547"/>
      <c r="AI438" s="620" t="s">
        <v>1645</v>
      </c>
      <c r="AJ438" s="18"/>
    </row>
    <row r="439" spans="2:36" ht="20.100000000000001" hidden="1" customHeight="1">
      <c r="B439" s="1761"/>
      <c r="C439" s="4750" t="s">
        <v>1647</v>
      </c>
      <c r="D439" s="4711"/>
      <c r="E439" s="4712"/>
      <c r="F439" s="2371" t="s">
        <v>168</v>
      </c>
      <c r="G439" s="685"/>
      <c r="H439" s="686" t="s">
        <v>1648</v>
      </c>
      <c r="I439" s="654"/>
      <c r="J439" s="655"/>
      <c r="K439" s="881"/>
      <c r="L439" s="2310"/>
      <c r="M439" s="1085"/>
      <c r="N439" s="1085"/>
      <c r="O439" s="1085"/>
      <c r="P439" s="2375"/>
      <c r="Q439" s="2310"/>
      <c r="R439" s="1085"/>
      <c r="S439" s="1085"/>
      <c r="T439" s="1085"/>
      <c r="U439" s="2311"/>
      <c r="V439" s="1597"/>
      <c r="W439" s="1085"/>
      <c r="X439" s="1085"/>
      <c r="Y439" s="1085"/>
      <c r="Z439" s="1085"/>
      <c r="AA439" s="1085"/>
      <c r="AB439" s="1085"/>
      <c r="AC439" s="1085"/>
      <c r="AD439" s="1085"/>
      <c r="AE439" s="1085"/>
      <c r="AF439" s="162"/>
      <c r="AG439" s="547"/>
      <c r="AH439" s="547"/>
      <c r="AI439" s="690"/>
      <c r="AJ439" s="18"/>
    </row>
    <row r="440" spans="2:36" ht="20.100000000000001" hidden="1" customHeight="1">
      <c r="B440" s="1761"/>
      <c r="C440" s="4601"/>
      <c r="D440" s="787" t="s">
        <v>1650</v>
      </c>
      <c r="E440" s="781"/>
      <c r="F440" s="285" t="s">
        <v>1476</v>
      </c>
      <c r="G440" s="347"/>
      <c r="H440" s="348"/>
      <c r="I440" s="495" t="s">
        <v>1651</v>
      </c>
      <c r="J440" s="360"/>
      <c r="K440" s="162" t="s">
        <v>559</v>
      </c>
      <c r="L440" s="2446">
        <v>0</v>
      </c>
      <c r="M440" s="505">
        <v>0</v>
      </c>
      <c r="N440" s="404">
        <v>0</v>
      </c>
      <c r="O440" s="505">
        <v>0</v>
      </c>
      <c r="P440" s="2357"/>
      <c r="Q440" s="2213">
        <v>0</v>
      </c>
      <c r="R440" s="503" t="s">
        <v>2560</v>
      </c>
      <c r="S440" s="274">
        <v>0</v>
      </c>
      <c r="T440" s="503" t="s">
        <v>2560</v>
      </c>
      <c r="U440" s="2214"/>
      <c r="V440" s="2161" t="s">
        <v>2351</v>
      </c>
      <c r="W440" s="505" t="s">
        <v>2352</v>
      </c>
      <c r="X440" s="404" t="s">
        <v>2351</v>
      </c>
      <c r="Y440" s="505" t="s">
        <v>2352</v>
      </c>
      <c r="Z440" s="274"/>
      <c r="AA440" s="274"/>
      <c r="AB440" s="505"/>
      <c r="AC440" s="274"/>
      <c r="AD440" s="505"/>
      <c r="AE440" s="274"/>
      <c r="AF440" s="162"/>
      <c r="AG440" s="547"/>
      <c r="AH440" s="547"/>
      <c r="AI440" s="277" t="s">
        <v>1654</v>
      </c>
      <c r="AJ440" s="18"/>
    </row>
    <row r="441" spans="2:36" ht="20.100000000000001" hidden="1" customHeight="1">
      <c r="B441" s="1761"/>
      <c r="C441" s="4603"/>
      <c r="D441" s="787" t="s">
        <v>1656</v>
      </c>
      <c r="E441" s="781"/>
      <c r="F441" s="285" t="s">
        <v>1476</v>
      </c>
      <c r="G441" s="106"/>
      <c r="H441" s="353"/>
      <c r="I441" s="495" t="s">
        <v>1657</v>
      </c>
      <c r="J441" s="360"/>
      <c r="K441" s="162" t="s">
        <v>559</v>
      </c>
      <c r="L441" s="2446">
        <v>0</v>
      </c>
      <c r="M441" s="505">
        <v>0</v>
      </c>
      <c r="N441" s="404">
        <v>0</v>
      </c>
      <c r="O441" s="505">
        <v>0</v>
      </c>
      <c r="P441" s="2357"/>
      <c r="Q441" s="2213">
        <v>0</v>
      </c>
      <c r="R441" s="503" t="s">
        <v>724</v>
      </c>
      <c r="S441" s="274">
        <v>0</v>
      </c>
      <c r="T441" s="503" t="s">
        <v>724</v>
      </c>
      <c r="U441" s="2214"/>
      <c r="V441" s="2161" t="s">
        <v>2351</v>
      </c>
      <c r="W441" s="505" t="s">
        <v>2352</v>
      </c>
      <c r="X441" s="404" t="s">
        <v>2351</v>
      </c>
      <c r="Y441" s="505" t="s">
        <v>2352</v>
      </c>
      <c r="Z441" s="274"/>
      <c r="AA441" s="274"/>
      <c r="AB441" s="505"/>
      <c r="AC441" s="274"/>
      <c r="AD441" s="505"/>
      <c r="AE441" s="274"/>
      <c r="AF441" s="162"/>
      <c r="AG441" s="547"/>
      <c r="AH441" s="547"/>
      <c r="AI441" s="277" t="s">
        <v>1660</v>
      </c>
      <c r="AJ441" s="18"/>
    </row>
    <row r="442" spans="2:36" ht="20.100000000000001" hidden="1" customHeight="1">
      <c r="B442" s="4681"/>
      <c r="C442" s="4603"/>
      <c r="D442" s="787" t="s">
        <v>1661</v>
      </c>
      <c r="E442" s="781"/>
      <c r="F442" s="285" t="s">
        <v>1476</v>
      </c>
      <c r="G442" s="106"/>
      <c r="H442" s="353"/>
      <c r="I442" s="495" t="s">
        <v>1662</v>
      </c>
      <c r="J442" s="360"/>
      <c r="K442" s="162" t="s">
        <v>559</v>
      </c>
      <c r="L442" s="2446">
        <v>0</v>
      </c>
      <c r="M442" s="505">
        <v>0</v>
      </c>
      <c r="N442" s="404">
        <v>0</v>
      </c>
      <c r="O442" s="505">
        <v>0</v>
      </c>
      <c r="P442" s="2357"/>
      <c r="Q442" s="2213">
        <v>0</v>
      </c>
      <c r="R442" s="503" t="s">
        <v>726</v>
      </c>
      <c r="S442" s="274">
        <v>0</v>
      </c>
      <c r="T442" s="503" t="s">
        <v>726</v>
      </c>
      <c r="U442" s="2214"/>
      <c r="V442" s="2161">
        <v>0</v>
      </c>
      <c r="W442" s="505" t="s">
        <v>2353</v>
      </c>
      <c r="X442" s="404">
        <v>0</v>
      </c>
      <c r="Y442" s="505" t="s">
        <v>2353</v>
      </c>
      <c r="Z442" s="274"/>
      <c r="AA442" s="274"/>
      <c r="AB442" s="505"/>
      <c r="AC442" s="274"/>
      <c r="AD442" s="505"/>
      <c r="AE442" s="274"/>
      <c r="AF442" s="162"/>
      <c r="AG442" s="547"/>
      <c r="AH442" s="547"/>
      <c r="AI442" s="277" t="s">
        <v>1665</v>
      </c>
      <c r="AJ442" s="18"/>
    </row>
    <row r="443" spans="2:36" ht="20.100000000000001" hidden="1" customHeight="1">
      <c r="B443" s="4604"/>
      <c r="C443" s="4603"/>
      <c r="D443" s="787" t="s">
        <v>1668</v>
      </c>
      <c r="E443" s="781"/>
      <c r="F443" s="285" t="s">
        <v>557</v>
      </c>
      <c r="G443" s="106"/>
      <c r="H443" s="353"/>
      <c r="I443" s="495" t="s">
        <v>1669</v>
      </c>
      <c r="J443" s="360"/>
      <c r="K443" s="162" t="s">
        <v>559</v>
      </c>
      <c r="L443" s="2213"/>
      <c r="M443" s="505"/>
      <c r="N443" s="274"/>
      <c r="O443" s="505"/>
      <c r="P443" s="2357"/>
      <c r="Q443" s="2213"/>
      <c r="R443" s="503"/>
      <c r="S443" s="274"/>
      <c r="T443" s="505"/>
      <c r="U443" s="2214"/>
      <c r="V443" s="2162"/>
      <c r="W443" s="505"/>
      <c r="X443" s="274"/>
      <c r="Y443" s="505"/>
      <c r="Z443" s="274"/>
      <c r="AA443" s="274"/>
      <c r="AB443" s="505"/>
      <c r="AC443" s="274"/>
      <c r="AD443" s="505"/>
      <c r="AE443" s="274"/>
      <c r="AF443" s="162"/>
      <c r="AG443" s="547"/>
      <c r="AH443" s="547"/>
      <c r="AI443" s="277"/>
      <c r="AJ443" s="18"/>
    </row>
    <row r="444" spans="2:36" ht="20.100000000000001" hidden="1" customHeight="1">
      <c r="B444" s="4681"/>
      <c r="C444" s="4603"/>
      <c r="D444" s="936" t="s">
        <v>1673</v>
      </c>
      <c r="E444" s="924"/>
      <c r="F444" s="285" t="s">
        <v>557</v>
      </c>
      <c r="G444" s="106"/>
      <c r="H444" s="353"/>
      <c r="I444" s="495" t="s">
        <v>1674</v>
      </c>
      <c r="J444" s="360"/>
      <c r="K444" s="162" t="s">
        <v>559</v>
      </c>
      <c r="L444" s="2446">
        <v>0</v>
      </c>
      <c r="M444" s="505">
        <v>0</v>
      </c>
      <c r="N444" s="404">
        <v>0</v>
      </c>
      <c r="O444" s="505">
        <v>0</v>
      </c>
      <c r="P444" s="2357"/>
      <c r="Q444" s="2213">
        <v>0</v>
      </c>
      <c r="R444" s="503" t="s">
        <v>726</v>
      </c>
      <c r="S444" s="274">
        <v>0</v>
      </c>
      <c r="T444" s="503" t="s">
        <v>726</v>
      </c>
      <c r="U444" s="2214"/>
      <c r="V444" s="2161">
        <v>0</v>
      </c>
      <c r="W444" s="505" t="s">
        <v>2353</v>
      </c>
      <c r="X444" s="404">
        <v>0</v>
      </c>
      <c r="Y444" s="505" t="s">
        <v>2353</v>
      </c>
      <c r="Z444" s="274"/>
      <c r="AA444" s="274"/>
      <c r="AB444" s="505"/>
      <c r="AC444" s="274"/>
      <c r="AD444" s="505"/>
      <c r="AE444" s="274"/>
      <c r="AF444" s="508"/>
      <c r="AG444" s="547"/>
      <c r="AH444" s="547"/>
      <c r="AI444" s="277" t="s">
        <v>1677</v>
      </c>
      <c r="AJ444" s="18"/>
    </row>
    <row r="445" spans="2:36" ht="20.100000000000001" hidden="1" customHeight="1">
      <c r="B445" s="4681"/>
      <c r="C445" s="4603"/>
      <c r="D445" s="936" t="s">
        <v>1679</v>
      </c>
      <c r="E445" s="924"/>
      <c r="F445" s="285" t="s">
        <v>233</v>
      </c>
      <c r="G445" s="106"/>
      <c r="H445" s="353"/>
      <c r="I445" s="495" t="s">
        <v>1353</v>
      </c>
      <c r="J445" s="360"/>
      <c r="K445" s="162" t="s">
        <v>295</v>
      </c>
      <c r="L445" s="2446">
        <v>0</v>
      </c>
      <c r="M445" s="505">
        <v>0</v>
      </c>
      <c r="N445" s="404">
        <v>0</v>
      </c>
      <c r="O445" s="505">
        <v>0</v>
      </c>
      <c r="P445" s="2357"/>
      <c r="Q445" s="2213">
        <v>0</v>
      </c>
      <c r="R445" s="503" t="s">
        <v>726</v>
      </c>
      <c r="S445" s="274">
        <v>0</v>
      </c>
      <c r="T445" s="503" t="s">
        <v>726</v>
      </c>
      <c r="U445" s="2214"/>
      <c r="V445" s="2161">
        <v>0</v>
      </c>
      <c r="W445" s="505" t="s">
        <v>2353</v>
      </c>
      <c r="X445" s="404">
        <v>0</v>
      </c>
      <c r="Y445" s="505" t="s">
        <v>2353</v>
      </c>
      <c r="Z445" s="274"/>
      <c r="AA445" s="274"/>
      <c r="AB445" s="505"/>
      <c r="AC445" s="274"/>
      <c r="AD445" s="505"/>
      <c r="AE445" s="274"/>
      <c r="AF445" s="162"/>
      <c r="AG445" s="547"/>
      <c r="AH445" s="547"/>
      <c r="AI445" s="277" t="s">
        <v>1357</v>
      </c>
      <c r="AJ445" s="18"/>
    </row>
    <row r="446" spans="2:36" ht="20.100000000000001" hidden="1" customHeight="1">
      <c r="B446" s="4681"/>
      <c r="C446" s="4603"/>
      <c r="D446" s="936" t="s">
        <v>1683</v>
      </c>
      <c r="E446" s="924"/>
      <c r="F446" s="285" t="s">
        <v>156</v>
      </c>
      <c r="G446" s="106"/>
      <c r="H446" s="353"/>
      <c r="I446" s="495" t="s">
        <v>1684</v>
      </c>
      <c r="J446" s="360"/>
      <c r="K446" s="162" t="s">
        <v>156</v>
      </c>
      <c r="L446" s="2213"/>
      <c r="M446" s="505"/>
      <c r="N446" s="274"/>
      <c r="O446" s="505"/>
      <c r="P446" s="2357"/>
      <c r="Q446" s="2213"/>
      <c r="R446" s="503"/>
      <c r="S446" s="274"/>
      <c r="T446" s="503"/>
      <c r="U446" s="2214"/>
      <c r="V446" s="2162"/>
      <c r="W446" s="505"/>
      <c r="X446" s="274"/>
      <c r="Y446" s="505"/>
      <c r="Z446" s="274"/>
      <c r="AA446" s="274"/>
      <c r="AB446" s="505"/>
      <c r="AC446" s="274"/>
      <c r="AD446" s="505"/>
      <c r="AE446" s="274"/>
      <c r="AF446" s="162"/>
      <c r="AG446" s="547"/>
      <c r="AH446" s="547"/>
      <c r="AI446" s="277"/>
      <c r="AJ446" s="18"/>
    </row>
    <row r="447" spans="2:36" ht="20.100000000000001" hidden="1" customHeight="1">
      <c r="B447" s="4615"/>
      <c r="C447" s="4603"/>
      <c r="D447" s="936" t="s">
        <v>1688</v>
      </c>
      <c r="E447" s="924"/>
      <c r="F447" s="285" t="s">
        <v>557</v>
      </c>
      <c r="G447" s="106"/>
      <c r="H447" s="353"/>
      <c r="I447" s="495" t="s">
        <v>1689</v>
      </c>
      <c r="J447" s="360"/>
      <c r="K447" s="162" t="s">
        <v>559</v>
      </c>
      <c r="L447" s="2213"/>
      <c r="M447" s="505"/>
      <c r="N447" s="274"/>
      <c r="O447" s="505"/>
      <c r="P447" s="2357"/>
      <c r="Q447" s="2213"/>
      <c r="R447" s="503"/>
      <c r="S447" s="274"/>
      <c r="T447" s="505"/>
      <c r="U447" s="2214"/>
      <c r="V447" s="2162"/>
      <c r="W447" s="505"/>
      <c r="X447" s="274"/>
      <c r="Y447" s="505"/>
      <c r="Z447" s="274"/>
      <c r="AA447" s="274"/>
      <c r="AB447" s="505"/>
      <c r="AC447" s="274"/>
      <c r="AD447" s="505"/>
      <c r="AE447" s="274"/>
      <c r="AF447" s="162"/>
      <c r="AG447" s="547"/>
      <c r="AH447" s="547"/>
      <c r="AI447" s="265"/>
      <c r="AJ447" s="18"/>
    </row>
    <row r="448" spans="2:36" ht="20.100000000000001" hidden="1" customHeight="1">
      <c r="B448" s="4604"/>
      <c r="C448" s="4602"/>
      <c r="D448" s="936" t="s">
        <v>1693</v>
      </c>
      <c r="E448" s="924"/>
      <c r="F448" s="285" t="s">
        <v>557</v>
      </c>
      <c r="G448" s="384"/>
      <c r="H448" s="385"/>
      <c r="I448" s="495" t="s">
        <v>1694</v>
      </c>
      <c r="J448" s="360"/>
      <c r="K448" s="162" t="s">
        <v>559</v>
      </c>
      <c r="L448" s="2213"/>
      <c r="M448" s="505"/>
      <c r="N448" s="274"/>
      <c r="O448" s="505"/>
      <c r="P448" s="2357"/>
      <c r="Q448" s="2213"/>
      <c r="R448" s="503"/>
      <c r="S448" s="274"/>
      <c r="T448" s="505"/>
      <c r="U448" s="2214"/>
      <c r="V448" s="2162"/>
      <c r="W448" s="505"/>
      <c r="X448" s="274"/>
      <c r="Y448" s="505"/>
      <c r="Z448" s="274"/>
      <c r="AA448" s="274"/>
      <c r="AB448" s="505"/>
      <c r="AC448" s="274"/>
      <c r="AD448" s="505"/>
      <c r="AE448" s="274"/>
      <c r="AF448" s="162"/>
      <c r="AG448" s="547"/>
      <c r="AH448" s="547"/>
      <c r="AI448" s="265"/>
      <c r="AJ448" s="18"/>
    </row>
    <row r="449" spans="1:36" s="139" customFormat="1" ht="19.149999999999999" hidden="1" customHeight="1">
      <c r="A449" s="11"/>
      <c r="B449" s="4604"/>
      <c r="C449" s="4618" t="s">
        <v>1698</v>
      </c>
      <c r="D449" s="4751"/>
      <c r="E449" s="4752"/>
      <c r="F449" s="2371" t="s">
        <v>168</v>
      </c>
      <c r="G449" s="685"/>
      <c r="H449" s="686" t="s">
        <v>1699</v>
      </c>
      <c r="I449" s="729"/>
      <c r="J449" s="730"/>
      <c r="K449" s="881"/>
      <c r="L449" s="2220"/>
      <c r="M449" s="1042"/>
      <c r="N449" s="319"/>
      <c r="O449" s="1042"/>
      <c r="P449" s="2358"/>
      <c r="Q449" s="2220"/>
      <c r="R449" s="1087"/>
      <c r="S449" s="319"/>
      <c r="T449" s="1042"/>
      <c r="U449" s="2221"/>
      <c r="V449" s="2163"/>
      <c r="W449" s="1042"/>
      <c r="X449" s="319"/>
      <c r="Y449" s="1042"/>
      <c r="Z449" s="319"/>
      <c r="AA449" s="319"/>
      <c r="AB449" s="1042"/>
      <c r="AC449" s="319"/>
      <c r="AD449" s="1042"/>
      <c r="AE449" s="319"/>
      <c r="AF449" s="162"/>
      <c r="AG449" s="547"/>
      <c r="AH449" s="547"/>
      <c r="AI449" s="691"/>
      <c r="AJ449" s="18"/>
    </row>
    <row r="450" spans="1:36" ht="20.100000000000001" hidden="1" customHeight="1">
      <c r="B450" s="4513"/>
      <c r="C450" s="4663"/>
      <c r="D450" s="936" t="s">
        <v>1700</v>
      </c>
      <c r="E450" s="924"/>
      <c r="F450" s="285" t="s">
        <v>1476</v>
      </c>
      <c r="G450" s="347"/>
      <c r="H450" s="348"/>
      <c r="I450" s="358" t="s">
        <v>1701</v>
      </c>
      <c r="J450" s="358"/>
      <c r="K450" s="162" t="s">
        <v>559</v>
      </c>
      <c r="L450" s="2213">
        <v>0</v>
      </c>
      <c r="M450" s="505" t="s">
        <v>1705</v>
      </c>
      <c r="N450" s="274">
        <v>0</v>
      </c>
      <c r="O450" s="505" t="s">
        <v>1705</v>
      </c>
      <c r="P450" s="2357"/>
      <c r="Q450" s="2213">
        <v>0</v>
      </c>
      <c r="R450" s="503" t="s">
        <v>2561</v>
      </c>
      <c r="S450" s="274">
        <v>0</v>
      </c>
      <c r="T450" s="503" t="s">
        <v>2561</v>
      </c>
      <c r="U450" s="2214"/>
      <c r="V450" s="2162" t="s">
        <v>2562</v>
      </c>
      <c r="W450" s="503" t="s">
        <v>2563</v>
      </c>
      <c r="X450" s="274" t="s">
        <v>2564</v>
      </c>
      <c r="Y450" s="503" t="s">
        <v>2565</v>
      </c>
      <c r="Z450" s="274"/>
      <c r="AA450" s="274"/>
      <c r="AB450" s="505"/>
      <c r="AC450" s="274"/>
      <c r="AD450" s="505"/>
      <c r="AE450" s="274"/>
      <c r="AF450" s="162"/>
      <c r="AG450" s="547"/>
      <c r="AH450" s="547"/>
      <c r="AI450" s="265" t="s">
        <v>1704</v>
      </c>
      <c r="AJ450" s="18"/>
    </row>
    <row r="451" spans="1:36" ht="20.100000000000001" hidden="1" customHeight="1">
      <c r="B451" s="4681"/>
      <c r="C451" s="4664"/>
      <c r="D451" s="936" t="s">
        <v>1706</v>
      </c>
      <c r="E451" s="924"/>
      <c r="F451" s="285" t="s">
        <v>1476</v>
      </c>
      <c r="G451" s="384"/>
      <c r="H451" s="385"/>
      <c r="I451" s="358" t="s">
        <v>1707</v>
      </c>
      <c r="J451" s="358"/>
      <c r="K451" s="162" t="s">
        <v>559</v>
      </c>
      <c r="L451" s="2213">
        <v>0</v>
      </c>
      <c r="M451" s="505">
        <v>0</v>
      </c>
      <c r="N451" s="274">
        <v>0</v>
      </c>
      <c r="O451" s="505">
        <v>0</v>
      </c>
      <c r="P451" s="2357"/>
      <c r="Q451" s="2213">
        <v>0</v>
      </c>
      <c r="R451" s="505">
        <v>0</v>
      </c>
      <c r="S451" s="274">
        <v>0</v>
      </c>
      <c r="T451" s="505">
        <v>0</v>
      </c>
      <c r="U451" s="2214"/>
      <c r="V451" s="2162">
        <v>0</v>
      </c>
      <c r="W451" s="505">
        <v>0</v>
      </c>
      <c r="X451" s="274">
        <v>0</v>
      </c>
      <c r="Y451" s="505">
        <v>0</v>
      </c>
      <c r="Z451" s="274"/>
      <c r="AA451" s="274"/>
      <c r="AB451" s="505"/>
      <c r="AC451" s="274"/>
      <c r="AD451" s="505"/>
      <c r="AE451" s="274"/>
      <c r="AF451" s="162"/>
      <c r="AG451" s="547"/>
      <c r="AH451" s="547"/>
      <c r="AI451" s="265" t="s">
        <v>1710</v>
      </c>
      <c r="AJ451" s="18"/>
    </row>
    <row r="452" spans="1:36" ht="20.100000000000001" hidden="1" customHeight="1">
      <c r="B452" s="1848"/>
      <c r="C452" s="4609" t="s">
        <v>1712</v>
      </c>
      <c r="D452" s="497"/>
      <c r="E452" s="360"/>
      <c r="F452" s="285" t="s">
        <v>557</v>
      </c>
      <c r="G452" s="358"/>
      <c r="H452" s="359" t="s">
        <v>1713</v>
      </c>
      <c r="I452" s="497"/>
      <c r="J452" s="360"/>
      <c r="K452" s="109" t="s">
        <v>559</v>
      </c>
      <c r="L452" s="2182"/>
      <c r="M452" s="93"/>
      <c r="N452" s="153"/>
      <c r="O452" s="93"/>
      <c r="P452" s="1241"/>
      <c r="Q452" s="2182"/>
      <c r="R452" s="93"/>
      <c r="S452" s="153"/>
      <c r="T452" s="93"/>
      <c r="U452" s="2183"/>
      <c r="V452" s="1238"/>
      <c r="W452" s="93"/>
      <c r="X452" s="153"/>
      <c r="Y452" s="93"/>
      <c r="Z452" s="153"/>
      <c r="AA452" s="153"/>
      <c r="AB452" s="93"/>
      <c r="AC452" s="153"/>
      <c r="AD452" s="93"/>
      <c r="AE452" s="153"/>
      <c r="AF452" s="162"/>
      <c r="AG452" s="547"/>
      <c r="AH452" s="547"/>
      <c r="AI452" s="265"/>
      <c r="AJ452" s="18"/>
    </row>
    <row r="453" spans="1:36" ht="20.100000000000001" hidden="1" customHeight="1">
      <c r="B453" s="1848"/>
      <c r="C453" s="4753" t="s">
        <v>1722</v>
      </c>
      <c r="D453" s="497"/>
      <c r="E453" s="360"/>
      <c r="F453" s="285" t="s">
        <v>557</v>
      </c>
      <c r="G453" s="358"/>
      <c r="H453" s="359" t="s">
        <v>1723</v>
      </c>
      <c r="I453" s="497"/>
      <c r="J453" s="360"/>
      <c r="K453" s="109" t="s">
        <v>559</v>
      </c>
      <c r="L453" s="2182"/>
      <c r="M453" s="93"/>
      <c r="N453" s="153"/>
      <c r="O453" s="93"/>
      <c r="P453" s="1241"/>
      <c r="Q453" s="2182"/>
      <c r="R453" s="93"/>
      <c r="S453" s="153"/>
      <c r="T453" s="93"/>
      <c r="U453" s="2183"/>
      <c r="V453" s="1238"/>
      <c r="W453" s="93"/>
      <c r="X453" s="153"/>
      <c r="Y453" s="93"/>
      <c r="Z453" s="153"/>
      <c r="AA453" s="153"/>
      <c r="AB453" s="93"/>
      <c r="AC453" s="153"/>
      <c r="AD453" s="93"/>
      <c r="AE453" s="153"/>
      <c r="AF453" s="162"/>
      <c r="AG453" s="547"/>
      <c r="AH453" s="547"/>
      <c r="AI453" s="265"/>
      <c r="AJ453" s="18"/>
    </row>
    <row r="454" spans="1:36" s="139" customFormat="1" ht="20.100000000000001" hidden="1" customHeight="1">
      <c r="B454" s="4754"/>
      <c r="C454" s="4669" t="s">
        <v>1727</v>
      </c>
      <c r="D454" s="1313"/>
      <c r="E454" s="1313"/>
      <c r="F454" s="285" t="s">
        <v>156</v>
      </c>
      <c r="G454" s="1223"/>
      <c r="H454" s="925" t="s">
        <v>1728</v>
      </c>
      <c r="I454" s="926"/>
      <c r="J454" s="927"/>
      <c r="K454" s="109" t="s">
        <v>156</v>
      </c>
      <c r="L454" s="2447" t="str">
        <f t="shared" ref="L454" si="30">IFERROR(L455/L456*100,"-")</f>
        <v>-</v>
      </c>
      <c r="M454" s="1198"/>
      <c r="N454" s="1314" t="str">
        <f>IFERROR(N455/N456*100,"-")</f>
        <v>-</v>
      </c>
      <c r="O454" s="1198"/>
      <c r="P454" s="4755" t="str">
        <f>IFERROR(P455/P456*100,"-")</f>
        <v>-</v>
      </c>
      <c r="Q454" s="2447">
        <f>IFERROR(Q455/Q456*100,"-")</f>
        <v>16.666666666666664</v>
      </c>
      <c r="R454" s="1198"/>
      <c r="S454" s="1314">
        <f>IFERROR(S455/S456*100,"-")</f>
        <v>23.743500866551127</v>
      </c>
      <c r="T454" s="1198"/>
      <c r="U454" s="2448" t="str">
        <f>IFERROR(U455/U456*100,"-")</f>
        <v>-</v>
      </c>
      <c r="V454" s="2164">
        <f>IFERROR(V455/V456*100,"-")</f>
        <v>0</v>
      </c>
      <c r="W454" s="1204"/>
      <c r="X454" s="1314">
        <f>IFERROR(X455/X456*100,"-")</f>
        <v>0</v>
      </c>
      <c r="Y454" s="1204"/>
      <c r="Z454" s="1314" t="str">
        <f>IFERROR(Z455/Z456*100,"-")</f>
        <v>-</v>
      </c>
      <c r="AA454" s="1314" t="str">
        <f>IFERROR(AA455/AA456*100,"-")</f>
        <v>-</v>
      </c>
      <c r="AB454" s="93"/>
      <c r="AC454" s="1314" t="str">
        <f>IFERROR(AC455/AC456*100,"-")</f>
        <v>-</v>
      </c>
      <c r="AD454" s="93"/>
      <c r="AE454" s="1314" t="str">
        <f>IFERROR(AE455/AE456*100,"-")</f>
        <v>-</v>
      </c>
      <c r="AF454" s="508"/>
      <c r="AG454" s="547"/>
      <c r="AH454" s="547"/>
      <c r="AI454" s="265" t="s">
        <v>1732</v>
      </c>
      <c r="AJ454" s="10"/>
    </row>
    <row r="455" spans="1:36" s="139" customFormat="1" ht="20.100000000000001" hidden="1" customHeight="1">
      <c r="B455" s="4756"/>
      <c r="C455" s="4757"/>
      <c r="D455" s="1317" t="s">
        <v>1733</v>
      </c>
      <c r="E455" s="1318"/>
      <c r="F455" s="285" t="s">
        <v>742</v>
      </c>
      <c r="G455" s="1319"/>
      <c r="H455" s="1320"/>
      <c r="I455" s="1321" t="s">
        <v>1734</v>
      </c>
      <c r="J455" s="1322"/>
      <c r="K455" s="109" t="s">
        <v>734</v>
      </c>
      <c r="L455" s="4758">
        <v>0</v>
      </c>
      <c r="M455" s="4759">
        <v>0</v>
      </c>
      <c r="N455" s="4760">
        <v>0</v>
      </c>
      <c r="O455" s="4759">
        <v>0</v>
      </c>
      <c r="P455" s="4761"/>
      <c r="Q455" s="2329">
        <v>94</v>
      </c>
      <c r="R455" s="1213" t="s">
        <v>2552</v>
      </c>
      <c r="S455" s="1215">
        <v>137</v>
      </c>
      <c r="T455" s="1213" t="s">
        <v>2567</v>
      </c>
      <c r="U455" s="2330"/>
      <c r="V455" s="2154">
        <v>0</v>
      </c>
      <c r="W455" s="1204" t="s">
        <v>2353</v>
      </c>
      <c r="X455" s="1215">
        <v>0</v>
      </c>
      <c r="Y455" s="1204" t="s">
        <v>2353</v>
      </c>
      <c r="Z455" s="1215"/>
      <c r="AA455" s="1215"/>
      <c r="AB455" s="93"/>
      <c r="AC455" s="1215"/>
      <c r="AD455" s="93"/>
      <c r="AE455" s="153"/>
      <c r="AF455" s="508"/>
      <c r="AG455" s="547"/>
      <c r="AH455" s="547"/>
      <c r="AI455" s="265" t="s">
        <v>1732</v>
      </c>
      <c r="AJ455" s="10"/>
    </row>
    <row r="456" spans="1:36" s="139" customFormat="1" ht="22.9" hidden="1" customHeight="1">
      <c r="B456" s="4762"/>
      <c r="C456" s="1326"/>
      <c r="D456" s="1327" t="s">
        <v>1737</v>
      </c>
      <c r="E456" s="1328"/>
      <c r="F456" s="706" t="s">
        <v>742</v>
      </c>
      <c r="G456" s="1329"/>
      <c r="H456" s="1330"/>
      <c r="I456" s="1327" t="s">
        <v>1738</v>
      </c>
      <c r="J456" s="1331"/>
      <c r="K456" s="711" t="s">
        <v>734</v>
      </c>
      <c r="L456" s="4763">
        <v>0</v>
      </c>
      <c r="M456" s="4764">
        <v>0</v>
      </c>
      <c r="N456" s="4763">
        <v>0</v>
      </c>
      <c r="O456" s="4764">
        <v>0</v>
      </c>
      <c r="P456" s="4765"/>
      <c r="Q456" s="2190">
        <v>564</v>
      </c>
      <c r="R456" s="239">
        <v>0</v>
      </c>
      <c r="S456" s="240">
        <v>577</v>
      </c>
      <c r="T456" s="239">
        <v>0</v>
      </c>
      <c r="U456" s="2381"/>
      <c r="V456" s="2156">
        <v>379</v>
      </c>
      <c r="W456" s="1269">
        <v>0</v>
      </c>
      <c r="X456" s="1268">
        <v>391</v>
      </c>
      <c r="Y456" s="1270">
        <v>0</v>
      </c>
      <c r="Z456" s="1268"/>
      <c r="AA456" s="1268"/>
      <c r="AB456" s="1266"/>
      <c r="AC456" s="1268"/>
      <c r="AD456" s="1266"/>
      <c r="AE456" s="1268"/>
      <c r="AF456" s="1337"/>
      <c r="AG456" s="597"/>
      <c r="AH456" s="1129"/>
      <c r="AI456" s="1339" t="s">
        <v>1732</v>
      </c>
      <c r="AJ456" s="10"/>
    </row>
    <row r="457" spans="1:36">
      <c r="C457" s="481"/>
      <c r="D457" s="481"/>
      <c r="E457" s="481"/>
      <c r="G457" s="1342"/>
      <c r="H457" s="1342"/>
      <c r="I457" s="1342"/>
      <c r="J457" s="1342"/>
      <c r="L457" s="1344"/>
      <c r="M457" s="1344"/>
      <c r="N457" s="1344"/>
      <c r="O457" s="1344"/>
      <c r="P457" s="1344"/>
      <c r="Q457" s="1344"/>
      <c r="R457" s="1344"/>
      <c r="S457" s="1344"/>
      <c r="T457" s="1344"/>
      <c r="U457" s="1344"/>
      <c r="V457" s="1344"/>
      <c r="W457" s="1344"/>
      <c r="X457" s="1344"/>
      <c r="Y457" s="1344"/>
      <c r="Z457" s="1344"/>
      <c r="AA457" s="1344"/>
      <c r="AB457" s="1344"/>
      <c r="AC457" s="1344"/>
      <c r="AD457" s="1344"/>
      <c r="AE457" s="1344"/>
    </row>
    <row r="458" spans="1:36">
      <c r="L458" s="1344"/>
      <c r="M458" s="1344"/>
      <c r="N458" s="1344"/>
      <c r="O458" s="1344"/>
      <c r="P458" s="1344"/>
      <c r="Q458" s="1344"/>
      <c r="R458" s="1344"/>
      <c r="S458" s="1344"/>
      <c r="T458" s="1344"/>
      <c r="U458" s="1344"/>
      <c r="V458" s="1344"/>
      <c r="W458" s="1344"/>
      <c r="X458" s="1344"/>
      <c r="Y458" s="1344"/>
      <c r="Z458" s="1344"/>
      <c r="AA458" s="1344"/>
      <c r="AB458" s="1344"/>
      <c r="AC458" s="1344"/>
      <c r="AD458" s="1344"/>
      <c r="AE458" s="1344"/>
    </row>
    <row r="459" spans="1:36">
      <c r="L459" s="1344"/>
      <c r="M459" s="1344"/>
      <c r="N459" s="1344"/>
      <c r="O459" s="1344"/>
      <c r="P459" s="1344"/>
      <c r="Q459" s="1344"/>
      <c r="R459" s="1344"/>
      <c r="S459" s="1344"/>
      <c r="T459" s="1344"/>
      <c r="U459" s="1344"/>
      <c r="V459" s="1344"/>
      <c r="W459" s="1344"/>
      <c r="X459" s="1344"/>
      <c r="Y459" s="1344"/>
      <c r="Z459" s="1344"/>
      <c r="AA459" s="1344"/>
      <c r="AB459" s="1344"/>
      <c r="AC459" s="1344"/>
      <c r="AD459" s="1344"/>
      <c r="AE459" s="1344"/>
    </row>
    <row r="460" spans="1:36">
      <c r="L460" s="1344"/>
      <c r="M460" s="1344"/>
      <c r="N460" s="1344"/>
      <c r="O460" s="1344"/>
      <c r="P460" s="1344"/>
      <c r="Q460" s="1344"/>
      <c r="R460" s="1344"/>
      <c r="S460" s="1344"/>
      <c r="T460" s="1344"/>
      <c r="U460" s="1344"/>
      <c r="V460" s="1344"/>
      <c r="W460" s="1344"/>
      <c r="X460" s="1344"/>
      <c r="Y460" s="1344"/>
      <c r="Z460" s="1344"/>
      <c r="AA460" s="1344"/>
      <c r="AB460" s="1344"/>
      <c r="AC460" s="1344"/>
      <c r="AD460" s="1344"/>
      <c r="AE460" s="1344"/>
    </row>
    <row r="461" spans="1:36">
      <c r="L461" s="1344"/>
      <c r="M461" s="1344"/>
      <c r="N461" s="1344"/>
      <c r="O461" s="1344"/>
      <c r="P461" s="1344"/>
      <c r="Q461" s="1344"/>
      <c r="R461" s="1344"/>
      <c r="S461" s="1344"/>
      <c r="T461" s="1344"/>
      <c r="U461" s="1344"/>
      <c r="V461" s="1344"/>
      <c r="W461" s="1344"/>
      <c r="X461" s="1344"/>
      <c r="Y461" s="1344"/>
      <c r="Z461" s="1344"/>
      <c r="AA461" s="1344"/>
      <c r="AB461" s="1344"/>
      <c r="AC461" s="1344"/>
      <c r="AD461" s="1344"/>
      <c r="AE461" s="1344"/>
    </row>
  </sheetData>
  <autoFilter ref="B12:AI456" xr:uid="{FDB2BDD2-2031-47AA-A13F-87F135309858}"/>
  <mergeCells count="64">
    <mergeCell ref="D63:E63"/>
    <mergeCell ref="D64:E64"/>
    <mergeCell ref="B11:F11"/>
    <mergeCell ref="G11:J11"/>
    <mergeCell ref="L11:P11"/>
    <mergeCell ref="H95:J95"/>
    <mergeCell ref="AF11:AF12"/>
    <mergeCell ref="AG11:AG12"/>
    <mergeCell ref="AH11:AH12"/>
    <mergeCell ref="AI11:AI12"/>
    <mergeCell ref="Q11:U11"/>
    <mergeCell ref="V11:Z11"/>
    <mergeCell ref="AA11:AE11"/>
    <mergeCell ref="D102:E102"/>
    <mergeCell ref="D65:E65"/>
    <mergeCell ref="C80:E80"/>
    <mergeCell ref="C81:C82"/>
    <mergeCell ref="C84:C85"/>
    <mergeCell ref="C95:E95"/>
    <mergeCell ref="D96:E96"/>
    <mergeCell ref="D97:E97"/>
    <mergeCell ref="C98:E98"/>
    <mergeCell ref="D99:E99"/>
    <mergeCell ref="D100:E100"/>
    <mergeCell ref="C116:E116"/>
    <mergeCell ref="D103:E103"/>
    <mergeCell ref="D106:E106"/>
    <mergeCell ref="D107:E107"/>
    <mergeCell ref="C108:E108"/>
    <mergeCell ref="D109:E109"/>
    <mergeCell ref="D110:E110"/>
    <mergeCell ref="C111:E111"/>
    <mergeCell ref="C112:E112"/>
    <mergeCell ref="C113:E113"/>
    <mergeCell ref="D114:E114"/>
    <mergeCell ref="D115:E115"/>
    <mergeCell ref="C141:C146"/>
    <mergeCell ref="D144:E144"/>
    <mergeCell ref="D145:E145"/>
    <mergeCell ref="D146:E146"/>
    <mergeCell ref="C124:E124"/>
    <mergeCell ref="C129:E129"/>
    <mergeCell ref="C130:C131"/>
    <mergeCell ref="D130:E130"/>
    <mergeCell ref="D131:E131"/>
    <mergeCell ref="C132:E132"/>
    <mergeCell ref="C133:E133"/>
    <mergeCell ref="C134:E134"/>
    <mergeCell ref="C135:C136"/>
    <mergeCell ref="C137:E137"/>
    <mergeCell ref="C140:E140"/>
    <mergeCell ref="G284:G286"/>
    <mergeCell ref="D285:E285"/>
    <mergeCell ref="C148:E148"/>
    <mergeCell ref="D202:E202"/>
    <mergeCell ref="C205:E205"/>
    <mergeCell ref="G205:G237"/>
    <mergeCell ref="D207:E207"/>
    <mergeCell ref="D209:E209"/>
    <mergeCell ref="G239:G264"/>
    <mergeCell ref="G275:G276"/>
    <mergeCell ref="D280:E280"/>
    <mergeCell ref="D281:E281"/>
    <mergeCell ref="D283:E283"/>
  </mergeCells>
  <phoneticPr fontId="3" type="noConversion"/>
  <pageMargins left="0.25" right="0.25" top="0.75" bottom="0.75" header="0" footer="0"/>
  <pageSetup paperSize="8" scale="33" fitToHeight="0"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13AF0-F0C7-41F9-9F90-3AC07E65485B}">
  <sheetPr>
    <tabColor rgb="FFFFC000"/>
    <pageSetUpPr fitToPage="1"/>
  </sheetPr>
  <dimension ref="A1:AK461"/>
  <sheetViews>
    <sheetView topLeftCell="A11" workbookViewId="0"/>
  </sheetViews>
  <sheetFormatPr defaultColWidth="13" defaultRowHeight="16.5" outlineLevelRow="1" outlineLevelCol="7"/>
  <cols>
    <col min="1" max="1" width="1.5" style="11" customWidth="1"/>
    <col min="2" max="2" width="7.75" style="11" customWidth="1"/>
    <col min="3" max="3" width="36" style="11" customWidth="1"/>
    <col min="4" max="4" width="12.75" style="11" customWidth="1"/>
    <col min="5" max="5" width="23.5" style="11" customWidth="1"/>
    <col min="6" max="6" width="16.5" style="11" customWidth="1"/>
    <col min="7" max="7" width="10.5" style="22" hidden="1" customWidth="1"/>
    <col min="8" max="8" width="28.5" style="22" hidden="1" customWidth="1"/>
    <col min="9" max="9" width="25.5" style="22" hidden="1" customWidth="1"/>
    <col min="10" max="10" width="55.5" style="22" hidden="1" customWidth="1"/>
    <col min="11" max="11" width="18.5" style="11" customWidth="1"/>
    <col min="12" max="26" width="15.5" style="11" hidden="1" customWidth="1" outlineLevel="7"/>
    <col min="27" max="31" width="15.5" style="11" customWidth="1" outlineLevel="7"/>
    <col min="32" max="32" width="43.75" style="11" customWidth="1" outlineLevel="7"/>
    <col min="33" max="34" width="35.5" style="11" customWidth="1" outlineLevel="7"/>
    <col min="35" max="35" width="16.25" style="11" customWidth="1"/>
    <col min="36" max="36" width="35.25" style="10" customWidth="1"/>
    <col min="37" max="37" width="32.25" style="11" customWidth="1"/>
    <col min="38" max="38" width="13" style="11" customWidth="1"/>
    <col min="39" max="16384" width="13" style="11"/>
  </cols>
  <sheetData>
    <row r="1" spans="1:37" ht="5.65" hidden="1" customHeight="1">
      <c r="A1" s="1"/>
      <c r="B1" s="2"/>
      <c r="C1" s="2"/>
      <c r="D1" s="2"/>
      <c r="E1" s="2"/>
      <c r="F1" s="3"/>
      <c r="G1" s="4"/>
      <c r="H1" s="5"/>
      <c r="I1" s="5"/>
      <c r="J1" s="5"/>
      <c r="K1" s="3"/>
      <c r="L1" s="7"/>
      <c r="M1" s="7"/>
      <c r="N1" s="7"/>
      <c r="O1" s="7"/>
      <c r="P1" s="7"/>
      <c r="Q1" s="7"/>
      <c r="R1" s="7"/>
      <c r="S1" s="7"/>
      <c r="T1" s="7"/>
      <c r="U1" s="7"/>
      <c r="V1" s="7"/>
      <c r="W1" s="7"/>
      <c r="X1" s="7"/>
      <c r="Y1" s="7"/>
      <c r="Z1" s="7"/>
      <c r="AA1" s="7"/>
      <c r="AB1" s="7"/>
      <c r="AC1" s="7"/>
      <c r="AD1" s="7"/>
      <c r="AE1" s="7"/>
      <c r="AF1" s="7"/>
      <c r="AG1" s="7"/>
      <c r="AH1" s="3"/>
      <c r="AI1" s="9"/>
    </row>
    <row r="2" spans="1:37" s="19" customFormat="1" ht="33.75" hidden="1">
      <c r="A2" s="12"/>
      <c r="B2" s="13"/>
      <c r="C2" s="14"/>
      <c r="D2" s="2"/>
      <c r="E2" s="2"/>
      <c r="F2" s="3"/>
      <c r="G2" s="4"/>
      <c r="H2" s="13" t="s">
        <v>3476</v>
      </c>
      <c r="I2" s="3"/>
      <c r="J2" s="3"/>
      <c r="K2" s="3"/>
      <c r="L2" s="16"/>
      <c r="M2" s="16"/>
      <c r="N2" s="16"/>
      <c r="O2" s="16"/>
      <c r="P2" s="16"/>
      <c r="Q2" s="16"/>
      <c r="R2" s="16"/>
      <c r="S2" s="16"/>
      <c r="T2" s="16"/>
      <c r="U2" s="16"/>
      <c r="V2" s="16"/>
      <c r="W2" s="16"/>
      <c r="X2" s="16"/>
      <c r="Y2" s="16"/>
      <c r="Z2" s="16"/>
      <c r="AA2" s="16"/>
      <c r="AB2" s="16"/>
      <c r="AC2" s="16"/>
      <c r="AD2" s="16"/>
      <c r="AE2" s="16"/>
      <c r="AF2" s="16"/>
      <c r="AG2" s="16"/>
      <c r="AH2" s="15"/>
      <c r="AI2" s="17"/>
      <c r="AJ2" s="18"/>
    </row>
    <row r="3" spans="1:37" ht="9.6" hidden="1" customHeight="1">
      <c r="B3" s="20"/>
      <c r="C3" s="20"/>
      <c r="D3" s="20"/>
      <c r="E3" s="20"/>
      <c r="F3" s="3"/>
      <c r="G3" s="4"/>
      <c r="H3" s="3"/>
      <c r="I3" s="3"/>
      <c r="J3" s="3"/>
      <c r="K3" s="3"/>
      <c r="L3" s="7"/>
      <c r="M3" s="7"/>
      <c r="N3" s="7"/>
      <c r="O3" s="7"/>
      <c r="P3" s="7"/>
      <c r="Q3" s="7"/>
      <c r="R3" s="7"/>
      <c r="S3" s="7"/>
      <c r="T3" s="7"/>
      <c r="U3" s="7"/>
      <c r="V3" s="7"/>
      <c r="W3" s="7"/>
      <c r="X3" s="7"/>
      <c r="Y3" s="7"/>
      <c r="Z3" s="7"/>
      <c r="AA3" s="7"/>
      <c r="AB3" s="7"/>
      <c r="AC3" s="7"/>
      <c r="AD3" s="7"/>
      <c r="AE3" s="7"/>
      <c r="AF3" s="7"/>
      <c r="AG3" s="7"/>
      <c r="AH3" s="3"/>
      <c r="AI3" s="20"/>
      <c r="AJ3" s="18"/>
    </row>
    <row r="4" spans="1:37" ht="9.6" hidden="1" customHeight="1">
      <c r="B4" s="22"/>
      <c r="C4" s="22"/>
      <c r="D4" s="22"/>
      <c r="E4" s="22"/>
      <c r="F4" s="22"/>
      <c r="H4" s="21"/>
      <c r="I4" s="21"/>
      <c r="AJ4" s="18"/>
    </row>
    <row r="5" spans="1:37" ht="20.65" hidden="1" customHeight="1">
      <c r="B5" s="22"/>
      <c r="C5" s="22"/>
      <c r="D5" s="22"/>
      <c r="E5" s="22"/>
      <c r="F5" s="22"/>
      <c r="H5" s="1700" t="s">
        <v>3477</v>
      </c>
      <c r="I5" s="4477"/>
      <c r="J5" s="4478"/>
      <c r="K5" s="4479"/>
      <c r="T5" s="32"/>
      <c r="U5" s="32"/>
      <c r="V5" s="32"/>
      <c r="W5" s="32"/>
      <c r="X5" s="32"/>
      <c r="Y5" s="32"/>
      <c r="Z5" s="32"/>
      <c r="AA5" s="32"/>
      <c r="AB5" s="32"/>
      <c r="AC5" s="32"/>
      <c r="AD5" s="32"/>
      <c r="AE5" s="32"/>
      <c r="AF5" s="32"/>
      <c r="AG5" s="32"/>
      <c r="AH5" s="32"/>
      <c r="AI5" s="32"/>
      <c r="AJ5" s="18"/>
      <c r="AK5" s="24"/>
    </row>
    <row r="6" spans="1:37" ht="20.65" hidden="1" customHeight="1" outlineLevel="1">
      <c r="B6" s="22"/>
      <c r="C6" s="22"/>
      <c r="D6" s="22"/>
      <c r="E6" s="22"/>
      <c r="F6" s="22"/>
      <c r="H6" s="4480" t="s">
        <v>3478</v>
      </c>
      <c r="J6" s="35"/>
      <c r="K6" s="4481"/>
      <c r="T6" s="32"/>
      <c r="U6" s="32"/>
      <c r="V6" s="32"/>
      <c r="W6" s="32"/>
      <c r="X6" s="32"/>
      <c r="Y6" s="32"/>
      <c r="Z6" s="32"/>
      <c r="AA6" s="32"/>
      <c r="AB6" s="32"/>
      <c r="AC6" s="32"/>
      <c r="AD6" s="32"/>
      <c r="AE6" s="32"/>
      <c r="AF6" s="32"/>
      <c r="AG6" s="32"/>
      <c r="AH6" s="32"/>
      <c r="AI6" s="32"/>
      <c r="AJ6" s="18"/>
      <c r="AK6" s="24"/>
    </row>
    <row r="7" spans="1:37" ht="20.65" hidden="1" customHeight="1" outlineLevel="1">
      <c r="B7" s="22"/>
      <c r="C7" s="22"/>
      <c r="D7" s="22"/>
      <c r="E7" s="22"/>
      <c r="F7" s="22"/>
      <c r="H7" s="1701" t="s">
        <v>3479</v>
      </c>
      <c r="J7" s="31"/>
      <c r="K7" s="4481"/>
      <c r="T7" s="32"/>
      <c r="U7" s="32"/>
      <c r="V7" s="32"/>
      <c r="W7" s="32"/>
      <c r="X7" s="32"/>
      <c r="Y7" s="32"/>
      <c r="Z7" s="32"/>
      <c r="AA7" s="32"/>
      <c r="AB7" s="32"/>
      <c r="AC7" s="32"/>
      <c r="AD7" s="32"/>
      <c r="AE7" s="32"/>
      <c r="AF7" s="32"/>
      <c r="AG7" s="32"/>
      <c r="AH7" s="32"/>
      <c r="AI7" s="32"/>
      <c r="AJ7" s="18"/>
      <c r="AK7" s="24"/>
    </row>
    <row r="8" spans="1:37" ht="20.65" hidden="1" customHeight="1" collapsed="1">
      <c r="B8" s="22"/>
      <c r="C8" s="22"/>
      <c r="D8" s="22"/>
      <c r="E8" s="22"/>
      <c r="F8" s="22"/>
      <c r="H8" s="1701" t="s">
        <v>3480</v>
      </c>
      <c r="J8" s="37"/>
      <c r="K8" s="4481"/>
      <c r="T8" s="32"/>
      <c r="U8" s="32"/>
      <c r="V8" s="32"/>
      <c r="W8" s="32"/>
      <c r="X8" s="32"/>
      <c r="Y8" s="32"/>
      <c r="Z8" s="32"/>
      <c r="AA8" s="32"/>
      <c r="AB8" s="32"/>
      <c r="AC8" s="32"/>
      <c r="AD8" s="32"/>
      <c r="AE8" s="32"/>
      <c r="AF8" s="32"/>
      <c r="AG8" s="32"/>
      <c r="AH8" s="32"/>
      <c r="AI8" s="32"/>
      <c r="AJ8" s="18"/>
      <c r="AK8" s="24"/>
    </row>
    <row r="9" spans="1:37" ht="20.65" hidden="1" customHeight="1">
      <c r="B9" s="22"/>
      <c r="C9" s="22"/>
      <c r="D9" s="22"/>
      <c r="E9" s="22"/>
      <c r="F9" s="22"/>
      <c r="H9" s="1702" t="s">
        <v>3481</v>
      </c>
      <c r="I9" s="4482"/>
      <c r="J9" s="4483"/>
      <c r="K9" s="4484"/>
      <c r="N9" s="38"/>
      <c r="O9" s="35" t="s">
        <v>2255</v>
      </c>
      <c r="S9" s="38"/>
      <c r="T9" s="35" t="s">
        <v>2255</v>
      </c>
      <c r="U9" s="32"/>
      <c r="V9" s="32"/>
      <c r="W9" s="32"/>
      <c r="X9" s="38"/>
      <c r="Y9" s="35" t="s">
        <v>2255</v>
      </c>
      <c r="Z9" s="32"/>
      <c r="AA9" s="32"/>
      <c r="AB9" s="32"/>
      <c r="AC9" s="38"/>
      <c r="AD9" s="35" t="s">
        <v>2255</v>
      </c>
      <c r="AE9" s="32"/>
      <c r="AF9" s="32"/>
      <c r="AG9" s="32"/>
      <c r="AH9" s="32"/>
      <c r="AI9" s="32"/>
      <c r="AJ9" s="18"/>
      <c r="AK9" s="24"/>
    </row>
    <row r="10" spans="1:37" ht="11.65" hidden="1" customHeight="1" thickBot="1">
      <c r="C10" s="43"/>
      <c r="D10" s="43"/>
      <c r="E10" s="43"/>
      <c r="F10" s="44"/>
      <c r="G10" s="45"/>
      <c r="H10" s="46"/>
      <c r="I10" s="46"/>
      <c r="J10" s="46"/>
      <c r="K10" s="44"/>
      <c r="L10" s="48"/>
      <c r="M10" s="48"/>
      <c r="N10" s="48"/>
      <c r="O10" s="48"/>
      <c r="P10" s="48"/>
      <c r="Q10" s="48"/>
      <c r="R10" s="48"/>
      <c r="S10" s="48"/>
      <c r="T10" s="48"/>
      <c r="U10" s="48"/>
      <c r="V10" s="48"/>
      <c r="W10" s="48"/>
      <c r="X10" s="48"/>
      <c r="Y10" s="48"/>
      <c r="Z10" s="48"/>
      <c r="AA10" s="48"/>
      <c r="AB10" s="48"/>
      <c r="AC10" s="48"/>
      <c r="AD10" s="48"/>
      <c r="AE10" s="48"/>
      <c r="AF10" s="24"/>
      <c r="AG10" s="24"/>
      <c r="AH10" s="24"/>
      <c r="AI10" s="43"/>
      <c r="AJ10" s="18"/>
      <c r="AK10" s="24"/>
    </row>
    <row r="11" spans="1:37" ht="26.65" customHeight="1" thickTop="1">
      <c r="A11" s="50"/>
      <c r="B11" s="10160" t="s">
        <v>1</v>
      </c>
      <c r="C11" s="9750"/>
      <c r="D11" s="9750"/>
      <c r="E11" s="9750"/>
      <c r="F11" s="9751"/>
      <c r="G11" s="9669" t="s">
        <v>3482</v>
      </c>
      <c r="H11" s="9750"/>
      <c r="I11" s="9750"/>
      <c r="J11" s="9751"/>
      <c r="K11" s="51"/>
      <c r="L11" s="9756" t="s">
        <v>141</v>
      </c>
      <c r="M11" s="9757"/>
      <c r="N11" s="9757"/>
      <c r="O11" s="9757"/>
      <c r="P11" s="9758"/>
      <c r="Q11" s="9756" t="s">
        <v>144</v>
      </c>
      <c r="R11" s="9757"/>
      <c r="S11" s="9757"/>
      <c r="T11" s="9757"/>
      <c r="U11" s="9758"/>
      <c r="V11" s="9756" t="s">
        <v>147</v>
      </c>
      <c r="W11" s="9757"/>
      <c r="X11" s="9757"/>
      <c r="Y11" s="9757"/>
      <c r="Z11" s="9758"/>
      <c r="AA11" s="9756" t="s">
        <v>150</v>
      </c>
      <c r="AB11" s="9757"/>
      <c r="AC11" s="9757"/>
      <c r="AD11" s="9757"/>
      <c r="AE11" s="9758"/>
      <c r="AF11" s="10240" t="s">
        <v>2272</v>
      </c>
      <c r="AG11" s="10117" t="s">
        <v>2273</v>
      </c>
      <c r="AH11" s="10242" t="s">
        <v>2274</v>
      </c>
      <c r="AI11" s="10244" t="s">
        <v>3483</v>
      </c>
      <c r="AJ11" s="18"/>
      <c r="AK11" s="54"/>
    </row>
    <row r="12" spans="1:37" ht="44.65" customHeight="1" thickBot="1">
      <c r="A12" s="50"/>
      <c r="B12" s="4485" t="s">
        <v>647</v>
      </c>
      <c r="C12" s="4486" t="s">
        <v>12</v>
      </c>
      <c r="D12" s="4487" t="s">
        <v>13</v>
      </c>
      <c r="E12" s="4487" t="s">
        <v>14</v>
      </c>
      <c r="F12" s="4487" t="s">
        <v>15</v>
      </c>
      <c r="G12" s="4487" t="s">
        <v>16</v>
      </c>
      <c r="H12" s="4487" t="s">
        <v>3484</v>
      </c>
      <c r="I12" s="4487" t="s">
        <v>3485</v>
      </c>
      <c r="J12" s="4487" t="s">
        <v>3486</v>
      </c>
      <c r="K12" s="4488" t="s">
        <v>17</v>
      </c>
      <c r="L12" s="2165">
        <v>2021</v>
      </c>
      <c r="M12" s="58" t="s">
        <v>2270</v>
      </c>
      <c r="N12" s="59">
        <v>2022</v>
      </c>
      <c r="O12" s="58" t="s">
        <v>2270</v>
      </c>
      <c r="P12" s="2166">
        <v>2023</v>
      </c>
      <c r="Q12" s="2165">
        <v>2021</v>
      </c>
      <c r="R12" s="58" t="s">
        <v>2270</v>
      </c>
      <c r="S12" s="59">
        <v>2022</v>
      </c>
      <c r="T12" s="58" t="s">
        <v>2270</v>
      </c>
      <c r="U12" s="2166">
        <v>2023</v>
      </c>
      <c r="V12" s="2165">
        <v>2021</v>
      </c>
      <c r="W12" s="58" t="s">
        <v>2270</v>
      </c>
      <c r="X12" s="59">
        <v>2022</v>
      </c>
      <c r="Y12" s="58" t="s">
        <v>2270</v>
      </c>
      <c r="Z12" s="2166">
        <v>2023</v>
      </c>
      <c r="AA12" s="2165">
        <v>2021</v>
      </c>
      <c r="AB12" s="58" t="s">
        <v>2270</v>
      </c>
      <c r="AC12" s="59">
        <v>2022</v>
      </c>
      <c r="AD12" s="58" t="s">
        <v>2270</v>
      </c>
      <c r="AE12" s="2494">
        <v>2023</v>
      </c>
      <c r="AF12" s="10241"/>
      <c r="AG12" s="10118"/>
      <c r="AH12" s="10243"/>
      <c r="AI12" s="10245"/>
      <c r="AJ12" s="18"/>
      <c r="AK12" s="54"/>
    </row>
    <row r="13" spans="1:37" ht="27.75" thickTop="1" thickBot="1">
      <c r="A13" s="50"/>
      <c r="B13" s="65"/>
      <c r="C13" s="66"/>
      <c r="D13" s="66"/>
      <c r="E13" s="66"/>
      <c r="F13" s="67"/>
      <c r="G13" s="68" t="s">
        <v>27</v>
      </c>
      <c r="H13" s="69"/>
      <c r="I13" s="69"/>
      <c r="J13" s="69"/>
      <c r="K13" s="67"/>
      <c r="L13" s="2167"/>
      <c r="M13" s="71"/>
      <c r="N13" s="71"/>
      <c r="O13" s="71"/>
      <c r="P13" s="2168"/>
      <c r="Q13" s="2167"/>
      <c r="R13" s="71"/>
      <c r="S13" s="71"/>
      <c r="T13" s="71"/>
      <c r="U13" s="2168"/>
      <c r="V13" s="2167"/>
      <c r="W13" s="71"/>
      <c r="X13" s="71"/>
      <c r="Y13" s="71"/>
      <c r="Z13" s="2168"/>
      <c r="AA13" s="2167"/>
      <c r="AB13" s="71"/>
      <c r="AC13" s="71"/>
      <c r="AD13" s="71"/>
      <c r="AE13" s="2495"/>
      <c r="AF13" s="4489"/>
      <c r="AG13" s="73"/>
      <c r="AH13" s="73"/>
      <c r="AI13" s="75"/>
      <c r="AJ13" s="18"/>
      <c r="AK13" s="54"/>
    </row>
    <row r="14" spans="1:37" ht="27" thickBot="1">
      <c r="B14" s="76" t="s">
        <v>29</v>
      </c>
      <c r="C14" s="77"/>
      <c r="D14" s="77"/>
      <c r="E14" s="77"/>
      <c r="F14" s="78"/>
      <c r="G14" s="79" t="s">
        <v>30</v>
      </c>
      <c r="H14" s="80"/>
      <c r="I14" s="80"/>
      <c r="J14" s="80"/>
      <c r="K14" s="78"/>
      <c r="L14" s="2169"/>
      <c r="M14" s="82"/>
      <c r="N14" s="82"/>
      <c r="O14" s="82"/>
      <c r="P14" s="2170"/>
      <c r="Q14" s="2169"/>
      <c r="R14" s="82"/>
      <c r="S14" s="82"/>
      <c r="T14" s="82"/>
      <c r="U14" s="2170"/>
      <c r="V14" s="2169"/>
      <c r="W14" s="82"/>
      <c r="X14" s="82"/>
      <c r="Y14" s="82"/>
      <c r="Z14" s="2170"/>
      <c r="AA14" s="2169"/>
      <c r="AB14" s="82"/>
      <c r="AC14" s="82"/>
      <c r="AD14" s="82"/>
      <c r="AE14" s="2170"/>
      <c r="AF14" s="2169"/>
      <c r="AG14" s="82"/>
      <c r="AH14" s="82"/>
      <c r="AI14" s="83"/>
      <c r="AJ14" s="18"/>
    </row>
    <row r="15" spans="1:37" ht="20.100000000000001" customHeight="1">
      <c r="A15" s="50"/>
      <c r="B15" s="84"/>
      <c r="C15" s="85" t="s">
        <v>32</v>
      </c>
      <c r="D15" s="86"/>
      <c r="E15" s="86"/>
      <c r="F15" s="87" t="s">
        <v>33</v>
      </c>
      <c r="G15" s="88"/>
      <c r="H15" s="89" t="s">
        <v>34</v>
      </c>
      <c r="I15" s="89"/>
      <c r="J15" s="90"/>
      <c r="K15" s="91" t="s">
        <v>35</v>
      </c>
      <c r="L15" s="2341"/>
      <c r="M15" s="97"/>
      <c r="N15" s="97"/>
      <c r="O15" s="97"/>
      <c r="P15" s="2172"/>
      <c r="Q15" s="2341"/>
      <c r="R15" s="97"/>
      <c r="S15" s="97"/>
      <c r="T15" s="97"/>
      <c r="U15" s="2172"/>
      <c r="V15" s="2341"/>
      <c r="W15" s="97"/>
      <c r="X15" s="97"/>
      <c r="Y15" s="97"/>
      <c r="Z15" s="2172"/>
      <c r="AA15" s="2341"/>
      <c r="AB15" s="97"/>
      <c r="AC15" s="97"/>
      <c r="AD15" s="97"/>
      <c r="AE15" s="2172"/>
      <c r="AF15" s="4490"/>
      <c r="AG15" s="100"/>
      <c r="AH15" s="100"/>
      <c r="AI15" s="4491"/>
      <c r="AJ15" s="18"/>
      <c r="AK15" s="54"/>
    </row>
    <row r="16" spans="1:37" ht="20.100000000000001" customHeight="1">
      <c r="B16" s="84"/>
      <c r="C16" s="103" t="s">
        <v>38</v>
      </c>
      <c r="D16" s="104"/>
      <c r="E16" s="104"/>
      <c r="F16" s="105" t="s">
        <v>33</v>
      </c>
      <c r="G16" s="106"/>
      <c r="H16" s="107" t="s">
        <v>39</v>
      </c>
      <c r="I16" s="107"/>
      <c r="J16" s="108"/>
      <c r="K16" s="109" t="s">
        <v>35</v>
      </c>
      <c r="L16" s="2341"/>
      <c r="M16" s="97"/>
      <c r="N16" s="97"/>
      <c r="O16" s="97"/>
      <c r="P16" s="2172"/>
      <c r="Q16" s="2341"/>
      <c r="R16" s="97"/>
      <c r="S16" s="97"/>
      <c r="T16" s="97"/>
      <c r="U16" s="2172"/>
      <c r="V16" s="2341"/>
      <c r="W16" s="97"/>
      <c r="X16" s="97"/>
      <c r="Y16" s="97"/>
      <c r="Z16" s="2172"/>
      <c r="AA16" s="2341"/>
      <c r="AB16" s="97"/>
      <c r="AC16" s="97"/>
      <c r="AD16" s="97"/>
      <c r="AE16" s="2172"/>
      <c r="AF16" s="4490"/>
      <c r="AG16" s="100"/>
      <c r="AH16" s="100"/>
      <c r="AI16" s="4492"/>
      <c r="AJ16" s="18"/>
    </row>
    <row r="17" spans="2:36" ht="20.100000000000001" customHeight="1">
      <c r="B17" s="113"/>
      <c r="C17" s="103" t="s">
        <v>40</v>
      </c>
      <c r="D17" s="104"/>
      <c r="E17" s="104"/>
      <c r="F17" s="105" t="s">
        <v>33</v>
      </c>
      <c r="G17" s="106"/>
      <c r="H17" s="107" t="s">
        <v>41</v>
      </c>
      <c r="I17" s="107"/>
      <c r="J17" s="108"/>
      <c r="K17" s="109" t="s">
        <v>35</v>
      </c>
      <c r="L17" s="2341"/>
      <c r="M17" s="97"/>
      <c r="N17" s="97"/>
      <c r="O17" s="97"/>
      <c r="P17" s="2172"/>
      <c r="Q17" s="2341"/>
      <c r="R17" s="97"/>
      <c r="S17" s="97"/>
      <c r="T17" s="97"/>
      <c r="U17" s="2172"/>
      <c r="V17" s="2341"/>
      <c r="W17" s="97"/>
      <c r="X17" s="97"/>
      <c r="Y17" s="97"/>
      <c r="Z17" s="2172"/>
      <c r="AA17" s="2341"/>
      <c r="AB17" s="97"/>
      <c r="AC17" s="97"/>
      <c r="AD17" s="97"/>
      <c r="AE17" s="2172"/>
      <c r="AF17" s="4490"/>
      <c r="AG17" s="100"/>
      <c r="AH17" s="100"/>
      <c r="AI17" s="4492"/>
      <c r="AJ17" s="18"/>
    </row>
    <row r="18" spans="2:36" ht="20.100000000000001" customHeight="1">
      <c r="B18" s="84"/>
      <c r="C18" s="103" t="s">
        <v>43</v>
      </c>
      <c r="D18" s="104"/>
      <c r="E18" s="104"/>
      <c r="F18" s="105" t="s">
        <v>33</v>
      </c>
      <c r="G18" s="106"/>
      <c r="H18" s="107" t="s">
        <v>44</v>
      </c>
      <c r="I18" s="107"/>
      <c r="J18" s="108"/>
      <c r="K18" s="109" t="s">
        <v>35</v>
      </c>
      <c r="L18" s="2341"/>
      <c r="M18" s="97"/>
      <c r="N18" s="97"/>
      <c r="O18" s="97"/>
      <c r="P18" s="2172"/>
      <c r="Q18" s="2341"/>
      <c r="R18" s="97"/>
      <c r="S18" s="97"/>
      <c r="T18" s="97"/>
      <c r="U18" s="2172"/>
      <c r="V18" s="2341"/>
      <c r="W18" s="97"/>
      <c r="X18" s="97"/>
      <c r="Y18" s="97"/>
      <c r="Z18" s="2172"/>
      <c r="AA18" s="2341"/>
      <c r="AB18" s="97"/>
      <c r="AC18" s="97"/>
      <c r="AD18" s="97"/>
      <c r="AE18" s="2172"/>
      <c r="AF18" s="4490"/>
      <c r="AG18" s="100"/>
      <c r="AH18" s="100"/>
      <c r="AI18" s="4492"/>
      <c r="AJ18" s="18"/>
    </row>
    <row r="19" spans="2:36" ht="20.100000000000001" customHeight="1">
      <c r="B19" s="84"/>
      <c r="C19" s="103" t="s">
        <v>45</v>
      </c>
      <c r="D19" s="104"/>
      <c r="E19" s="104"/>
      <c r="F19" s="105" t="s">
        <v>33</v>
      </c>
      <c r="G19" s="106"/>
      <c r="H19" s="107" t="s">
        <v>46</v>
      </c>
      <c r="I19" s="107"/>
      <c r="J19" s="108"/>
      <c r="K19" s="109" t="s">
        <v>35</v>
      </c>
      <c r="L19" s="2341"/>
      <c r="M19" s="97"/>
      <c r="N19" s="97"/>
      <c r="O19" s="97"/>
      <c r="P19" s="2172"/>
      <c r="Q19" s="2341"/>
      <c r="R19" s="97"/>
      <c r="S19" s="97"/>
      <c r="T19" s="97"/>
      <c r="U19" s="2172"/>
      <c r="V19" s="2341"/>
      <c r="W19" s="97"/>
      <c r="X19" s="97"/>
      <c r="Y19" s="97"/>
      <c r="Z19" s="2172"/>
      <c r="AA19" s="2341"/>
      <c r="AB19" s="97"/>
      <c r="AC19" s="97"/>
      <c r="AD19" s="97"/>
      <c r="AE19" s="2172"/>
      <c r="AF19" s="4490"/>
      <c r="AG19" s="100"/>
      <c r="AH19" s="100"/>
      <c r="AI19" s="4492"/>
      <c r="AJ19" s="18"/>
    </row>
    <row r="20" spans="2:36" ht="20.100000000000001" customHeight="1">
      <c r="B20" s="113"/>
      <c r="C20" s="103" t="s">
        <v>47</v>
      </c>
      <c r="D20" s="104"/>
      <c r="E20" s="104"/>
      <c r="F20" s="105" t="s">
        <v>33</v>
      </c>
      <c r="G20" s="106"/>
      <c r="H20" s="107" t="s">
        <v>48</v>
      </c>
      <c r="I20" s="107"/>
      <c r="J20" s="108"/>
      <c r="K20" s="109" t="s">
        <v>35</v>
      </c>
      <c r="L20" s="2341"/>
      <c r="M20" s="97"/>
      <c r="N20" s="97"/>
      <c r="O20" s="97"/>
      <c r="P20" s="2172"/>
      <c r="Q20" s="2341"/>
      <c r="R20" s="97"/>
      <c r="S20" s="97"/>
      <c r="T20" s="97"/>
      <c r="U20" s="2172"/>
      <c r="V20" s="2341"/>
      <c r="W20" s="97"/>
      <c r="X20" s="97"/>
      <c r="Y20" s="97"/>
      <c r="Z20" s="2172"/>
      <c r="AA20" s="2341"/>
      <c r="AB20" s="97"/>
      <c r="AC20" s="97"/>
      <c r="AD20" s="97"/>
      <c r="AE20" s="2172"/>
      <c r="AF20" s="4490"/>
      <c r="AG20" s="100"/>
      <c r="AH20" s="100"/>
      <c r="AI20" s="4492"/>
      <c r="AJ20" s="18"/>
    </row>
    <row r="21" spans="2:36" ht="20.100000000000001" customHeight="1">
      <c r="B21" s="84"/>
      <c r="C21" s="103" t="s">
        <v>49</v>
      </c>
      <c r="D21" s="104"/>
      <c r="E21" s="104"/>
      <c r="F21" s="105" t="s">
        <v>33</v>
      </c>
      <c r="G21" s="106"/>
      <c r="H21" s="115" t="s">
        <v>50</v>
      </c>
      <c r="I21" s="107"/>
      <c r="J21" s="108"/>
      <c r="K21" s="109" t="s">
        <v>35</v>
      </c>
      <c r="L21" s="2341"/>
      <c r="M21" s="97"/>
      <c r="N21" s="97"/>
      <c r="O21" s="97"/>
      <c r="P21" s="2172"/>
      <c r="Q21" s="2341"/>
      <c r="R21" s="97"/>
      <c r="S21" s="97"/>
      <c r="T21" s="97"/>
      <c r="U21" s="2172"/>
      <c r="V21" s="2341"/>
      <c r="W21" s="97"/>
      <c r="X21" s="97"/>
      <c r="Y21" s="97"/>
      <c r="Z21" s="2172"/>
      <c r="AA21" s="2341"/>
      <c r="AB21" s="97"/>
      <c r="AC21" s="97"/>
      <c r="AD21" s="97"/>
      <c r="AE21" s="2172"/>
      <c r="AF21" s="4490"/>
      <c r="AG21" s="100"/>
      <c r="AH21" s="100"/>
      <c r="AI21" s="4492"/>
      <c r="AJ21" s="18"/>
    </row>
    <row r="22" spans="2:36" ht="20.100000000000001" customHeight="1">
      <c r="B22" s="113"/>
      <c r="C22" s="103" t="s">
        <v>51</v>
      </c>
      <c r="D22" s="104"/>
      <c r="E22" s="104"/>
      <c r="F22" s="105" t="s">
        <v>33</v>
      </c>
      <c r="G22" s="106"/>
      <c r="H22" s="116" t="s">
        <v>52</v>
      </c>
      <c r="I22" s="107"/>
      <c r="J22" s="108"/>
      <c r="K22" s="109" t="s">
        <v>35</v>
      </c>
      <c r="L22" s="2341"/>
      <c r="M22" s="97"/>
      <c r="N22" s="97"/>
      <c r="O22" s="97"/>
      <c r="P22" s="2172"/>
      <c r="Q22" s="2341"/>
      <c r="R22" s="97"/>
      <c r="S22" s="97"/>
      <c r="T22" s="97"/>
      <c r="U22" s="2172"/>
      <c r="V22" s="2341"/>
      <c r="W22" s="97"/>
      <c r="X22" s="97"/>
      <c r="Y22" s="97"/>
      <c r="Z22" s="2172"/>
      <c r="AA22" s="2341"/>
      <c r="AB22" s="97"/>
      <c r="AC22" s="97"/>
      <c r="AD22" s="97"/>
      <c r="AE22" s="2172"/>
      <c r="AF22" s="4490"/>
      <c r="AG22" s="100"/>
      <c r="AH22" s="100"/>
      <c r="AI22" s="4492"/>
      <c r="AJ22" s="18"/>
    </row>
    <row r="23" spans="2:36" ht="20.100000000000001" customHeight="1" thickBot="1">
      <c r="B23" s="84"/>
      <c r="C23" s="117" t="s">
        <v>53</v>
      </c>
      <c r="D23" s="118"/>
      <c r="E23" s="118"/>
      <c r="F23" s="119" t="s">
        <v>33</v>
      </c>
      <c r="G23" s="106"/>
      <c r="H23" s="120" t="s">
        <v>54</v>
      </c>
      <c r="I23" s="120"/>
      <c r="J23" s="121"/>
      <c r="K23" s="122" t="s">
        <v>35</v>
      </c>
      <c r="L23" s="2341"/>
      <c r="M23" s="97"/>
      <c r="N23" s="97"/>
      <c r="O23" s="97"/>
      <c r="P23" s="2172"/>
      <c r="Q23" s="2341"/>
      <c r="R23" s="97"/>
      <c r="S23" s="97"/>
      <c r="T23" s="97"/>
      <c r="U23" s="2172"/>
      <c r="V23" s="2341"/>
      <c r="W23" s="97"/>
      <c r="X23" s="97"/>
      <c r="Y23" s="97"/>
      <c r="Z23" s="2172"/>
      <c r="AA23" s="2341"/>
      <c r="AB23" s="97"/>
      <c r="AC23" s="97"/>
      <c r="AD23" s="97"/>
      <c r="AE23" s="2172"/>
      <c r="AF23" s="4490"/>
      <c r="AG23" s="100"/>
      <c r="AH23" s="100"/>
      <c r="AI23" s="4492"/>
      <c r="AJ23" s="18"/>
    </row>
    <row r="24" spans="2:36" ht="27" thickBot="1">
      <c r="B24" s="123" t="s">
        <v>55</v>
      </c>
      <c r="C24" s="124"/>
      <c r="D24" s="124"/>
      <c r="E24" s="124"/>
      <c r="F24" s="78"/>
      <c r="G24" s="125" t="s">
        <v>56</v>
      </c>
      <c r="H24" s="126"/>
      <c r="I24" s="126"/>
      <c r="J24" s="126"/>
      <c r="K24" s="78"/>
      <c r="L24" s="2173"/>
      <c r="M24" s="128"/>
      <c r="N24" s="128"/>
      <c r="O24" s="128"/>
      <c r="P24" s="2174"/>
      <c r="Q24" s="2173"/>
      <c r="R24" s="128"/>
      <c r="S24" s="128"/>
      <c r="T24" s="128"/>
      <c r="U24" s="2174"/>
      <c r="V24" s="2173"/>
      <c r="W24" s="128"/>
      <c r="X24" s="128"/>
      <c r="Y24" s="128"/>
      <c r="Z24" s="2174"/>
      <c r="AA24" s="2173"/>
      <c r="AB24" s="128"/>
      <c r="AC24" s="128"/>
      <c r="AD24" s="128"/>
      <c r="AE24" s="2174"/>
      <c r="AF24" s="4493"/>
      <c r="AG24" s="129"/>
      <c r="AH24" s="129"/>
      <c r="AI24" s="1953"/>
      <c r="AJ24" s="18"/>
    </row>
    <row r="25" spans="2:36" s="139" customFormat="1" ht="20.100000000000001" customHeight="1">
      <c r="B25" s="113"/>
      <c r="C25" s="85" t="s">
        <v>1747</v>
      </c>
      <c r="D25" s="86"/>
      <c r="E25" s="86"/>
      <c r="F25" s="132" t="s">
        <v>33</v>
      </c>
      <c r="G25" s="133"/>
      <c r="H25" s="134" t="s">
        <v>58</v>
      </c>
      <c r="I25" s="134"/>
      <c r="J25" s="135"/>
      <c r="K25" s="136" t="s">
        <v>35</v>
      </c>
      <c r="L25" s="2341"/>
      <c r="M25" s="97"/>
      <c r="N25" s="97"/>
      <c r="O25" s="97"/>
      <c r="P25" s="2172"/>
      <c r="Q25" s="2341"/>
      <c r="R25" s="97"/>
      <c r="S25" s="97"/>
      <c r="T25" s="97"/>
      <c r="U25" s="2172"/>
      <c r="V25" s="2341"/>
      <c r="W25" s="97"/>
      <c r="X25" s="97"/>
      <c r="Y25" s="97"/>
      <c r="Z25" s="2172"/>
      <c r="AA25" s="2341"/>
      <c r="AB25" s="97"/>
      <c r="AC25" s="97"/>
      <c r="AD25" s="97"/>
      <c r="AE25" s="2172"/>
      <c r="AF25" s="4490"/>
      <c r="AG25" s="138"/>
      <c r="AH25" s="138"/>
      <c r="AI25" s="4492"/>
      <c r="AJ25" s="10"/>
    </row>
    <row r="26" spans="2:36" s="139" customFormat="1" ht="20.100000000000001" customHeight="1">
      <c r="B26" s="113"/>
      <c r="C26" s="103" t="s">
        <v>61</v>
      </c>
      <c r="D26" s="104"/>
      <c r="E26" s="104"/>
      <c r="F26" s="105" t="s">
        <v>33</v>
      </c>
      <c r="G26" s="133"/>
      <c r="H26" s="140" t="s">
        <v>62</v>
      </c>
      <c r="I26" s="140"/>
      <c r="J26" s="141"/>
      <c r="K26" s="109" t="s">
        <v>35</v>
      </c>
      <c r="L26" s="2341"/>
      <c r="M26" s="97"/>
      <c r="N26" s="97"/>
      <c r="O26" s="97"/>
      <c r="P26" s="2172"/>
      <c r="Q26" s="2341"/>
      <c r="R26" s="97"/>
      <c r="S26" s="97"/>
      <c r="T26" s="97"/>
      <c r="U26" s="2172"/>
      <c r="V26" s="2341"/>
      <c r="W26" s="97"/>
      <c r="X26" s="97"/>
      <c r="Y26" s="97"/>
      <c r="Z26" s="2172"/>
      <c r="AA26" s="2341"/>
      <c r="AB26" s="97"/>
      <c r="AC26" s="97"/>
      <c r="AD26" s="97"/>
      <c r="AE26" s="2172"/>
      <c r="AF26" s="4490"/>
      <c r="AG26" s="138"/>
      <c r="AH26" s="138"/>
      <c r="AI26" s="4492"/>
      <c r="AJ26" s="10"/>
    </row>
    <row r="27" spans="2:36" s="139" customFormat="1" ht="20.100000000000001" customHeight="1">
      <c r="B27" s="113"/>
      <c r="C27" s="103" t="s">
        <v>75</v>
      </c>
      <c r="D27" s="104"/>
      <c r="E27" s="104"/>
      <c r="F27" s="105" t="s">
        <v>33</v>
      </c>
      <c r="G27" s="133"/>
      <c r="H27" s="140" t="s">
        <v>76</v>
      </c>
      <c r="I27" s="140"/>
      <c r="J27" s="141"/>
      <c r="K27" s="109" t="s">
        <v>35</v>
      </c>
      <c r="L27" s="2341"/>
      <c r="M27" s="97"/>
      <c r="N27" s="97"/>
      <c r="O27" s="97"/>
      <c r="P27" s="2172"/>
      <c r="Q27" s="2341"/>
      <c r="R27" s="97"/>
      <c r="S27" s="97"/>
      <c r="T27" s="97"/>
      <c r="U27" s="2172"/>
      <c r="V27" s="2341"/>
      <c r="W27" s="97"/>
      <c r="X27" s="97"/>
      <c r="Y27" s="97"/>
      <c r="Z27" s="2172"/>
      <c r="AA27" s="2341"/>
      <c r="AB27" s="97"/>
      <c r="AC27" s="97"/>
      <c r="AD27" s="97"/>
      <c r="AE27" s="2172"/>
      <c r="AF27" s="4490"/>
      <c r="AG27" s="138"/>
      <c r="AH27" s="138"/>
      <c r="AI27" s="4492"/>
      <c r="AJ27" s="10"/>
    </row>
    <row r="28" spans="2:36" ht="20.100000000000001" customHeight="1">
      <c r="B28" s="84"/>
      <c r="C28" s="103" t="s">
        <v>1748</v>
      </c>
      <c r="D28" s="104"/>
      <c r="E28" s="104"/>
      <c r="F28" s="105" t="s">
        <v>33</v>
      </c>
      <c r="G28" s="142"/>
      <c r="H28" s="140" t="s">
        <v>60</v>
      </c>
      <c r="I28" s="140"/>
      <c r="J28" s="141"/>
      <c r="K28" s="109" t="s">
        <v>35</v>
      </c>
      <c r="L28" s="2341"/>
      <c r="M28" s="97"/>
      <c r="N28" s="97"/>
      <c r="O28" s="97"/>
      <c r="P28" s="2172"/>
      <c r="Q28" s="2341"/>
      <c r="R28" s="97"/>
      <c r="S28" s="97"/>
      <c r="T28" s="97"/>
      <c r="U28" s="2172"/>
      <c r="V28" s="2341"/>
      <c r="W28" s="97"/>
      <c r="X28" s="97"/>
      <c r="Y28" s="97"/>
      <c r="Z28" s="2172"/>
      <c r="AA28" s="2341"/>
      <c r="AB28" s="97"/>
      <c r="AC28" s="97"/>
      <c r="AD28" s="97"/>
      <c r="AE28" s="2172"/>
      <c r="AF28" s="4490"/>
      <c r="AG28" s="138"/>
      <c r="AH28" s="138"/>
      <c r="AI28" s="4492"/>
      <c r="AJ28" s="18"/>
    </row>
    <row r="29" spans="2:36" ht="20.100000000000001" customHeight="1">
      <c r="B29" s="84"/>
      <c r="C29" s="103" t="s">
        <v>1749</v>
      </c>
      <c r="D29" s="104"/>
      <c r="E29" s="104"/>
      <c r="F29" s="105" t="s">
        <v>33</v>
      </c>
      <c r="G29" s="142"/>
      <c r="H29" s="140" t="s">
        <v>1750</v>
      </c>
      <c r="I29" s="140"/>
      <c r="J29" s="141"/>
      <c r="K29" s="109" t="s">
        <v>35</v>
      </c>
      <c r="L29" s="2341"/>
      <c r="M29" s="97"/>
      <c r="N29" s="97"/>
      <c r="O29" s="97"/>
      <c r="P29" s="2172"/>
      <c r="Q29" s="2341"/>
      <c r="R29" s="97"/>
      <c r="S29" s="97"/>
      <c r="T29" s="97"/>
      <c r="U29" s="2172"/>
      <c r="V29" s="2341"/>
      <c r="W29" s="97"/>
      <c r="X29" s="97"/>
      <c r="Y29" s="97"/>
      <c r="Z29" s="2172"/>
      <c r="AA29" s="2341"/>
      <c r="AB29" s="97"/>
      <c r="AC29" s="97"/>
      <c r="AD29" s="97"/>
      <c r="AE29" s="2172"/>
      <c r="AF29" s="4490"/>
      <c r="AG29" s="138"/>
      <c r="AH29" s="138"/>
      <c r="AI29" s="4492"/>
      <c r="AJ29" s="18"/>
    </row>
    <row r="30" spans="2:36" ht="20.100000000000001" customHeight="1">
      <c r="B30" s="113"/>
      <c r="C30" s="103" t="s">
        <v>1751</v>
      </c>
      <c r="D30" s="104"/>
      <c r="E30" s="104"/>
      <c r="F30" s="105" t="s">
        <v>33</v>
      </c>
      <c r="G30" s="142"/>
      <c r="H30" s="140" t="s">
        <v>1752</v>
      </c>
      <c r="I30" s="140"/>
      <c r="J30" s="141"/>
      <c r="K30" s="109" t="s">
        <v>35</v>
      </c>
      <c r="L30" s="2341"/>
      <c r="M30" s="97"/>
      <c r="N30" s="97"/>
      <c r="O30" s="97"/>
      <c r="P30" s="2172"/>
      <c r="Q30" s="2341"/>
      <c r="R30" s="97"/>
      <c r="S30" s="97"/>
      <c r="T30" s="97"/>
      <c r="U30" s="2172"/>
      <c r="V30" s="2341"/>
      <c r="W30" s="97"/>
      <c r="X30" s="97"/>
      <c r="Y30" s="97"/>
      <c r="Z30" s="2172"/>
      <c r="AA30" s="2341"/>
      <c r="AB30" s="97"/>
      <c r="AC30" s="97"/>
      <c r="AD30" s="97"/>
      <c r="AE30" s="2172"/>
      <c r="AF30" s="4490"/>
      <c r="AG30" s="138"/>
      <c r="AH30" s="138"/>
      <c r="AI30" s="4492"/>
      <c r="AJ30" s="18"/>
    </row>
    <row r="31" spans="2:36" ht="20.100000000000001" customHeight="1">
      <c r="B31" s="84"/>
      <c r="C31" s="103" t="s">
        <v>67</v>
      </c>
      <c r="D31" s="104"/>
      <c r="E31" s="104"/>
      <c r="F31" s="105" t="s">
        <v>33</v>
      </c>
      <c r="G31" s="142"/>
      <c r="H31" s="140" t="s">
        <v>68</v>
      </c>
      <c r="I31" s="140"/>
      <c r="J31" s="141"/>
      <c r="K31" s="109" t="s">
        <v>35</v>
      </c>
      <c r="L31" s="2341"/>
      <c r="M31" s="97"/>
      <c r="N31" s="97"/>
      <c r="O31" s="97"/>
      <c r="P31" s="2172"/>
      <c r="Q31" s="2341"/>
      <c r="R31" s="97"/>
      <c r="S31" s="97"/>
      <c r="T31" s="97"/>
      <c r="U31" s="2172"/>
      <c r="V31" s="2341"/>
      <c r="W31" s="97"/>
      <c r="X31" s="97"/>
      <c r="Y31" s="97"/>
      <c r="Z31" s="2172"/>
      <c r="AA31" s="2341"/>
      <c r="AB31" s="97"/>
      <c r="AC31" s="97"/>
      <c r="AD31" s="97"/>
      <c r="AE31" s="2172"/>
      <c r="AF31" s="4490"/>
      <c r="AG31" s="138"/>
      <c r="AH31" s="138"/>
      <c r="AI31" s="4492"/>
      <c r="AJ31" s="18"/>
    </row>
    <row r="32" spans="2:36" ht="20.100000000000001" customHeight="1">
      <c r="B32" s="84"/>
      <c r="C32" s="103" t="s">
        <v>63</v>
      </c>
      <c r="D32" s="104"/>
      <c r="E32" s="104"/>
      <c r="F32" s="105" t="s">
        <v>33</v>
      </c>
      <c r="G32" s="142"/>
      <c r="H32" s="140" t="s">
        <v>64</v>
      </c>
      <c r="I32" s="140"/>
      <c r="J32" s="141"/>
      <c r="K32" s="109" t="s">
        <v>35</v>
      </c>
      <c r="L32" s="2341"/>
      <c r="M32" s="97"/>
      <c r="N32" s="97"/>
      <c r="O32" s="97"/>
      <c r="P32" s="2172"/>
      <c r="Q32" s="2341"/>
      <c r="R32" s="97"/>
      <c r="S32" s="97"/>
      <c r="T32" s="97"/>
      <c r="U32" s="2172"/>
      <c r="V32" s="2341"/>
      <c r="W32" s="97"/>
      <c r="X32" s="97"/>
      <c r="Y32" s="97"/>
      <c r="Z32" s="2172"/>
      <c r="AA32" s="2341"/>
      <c r="AB32" s="97"/>
      <c r="AC32" s="97"/>
      <c r="AD32" s="97"/>
      <c r="AE32" s="2172"/>
      <c r="AF32" s="4490"/>
      <c r="AG32" s="138"/>
      <c r="AH32" s="138"/>
      <c r="AI32" s="4492"/>
      <c r="AJ32" s="18"/>
    </row>
    <row r="33" spans="2:36" ht="20.100000000000001" customHeight="1">
      <c r="B33" s="84"/>
      <c r="C33" s="103" t="s">
        <v>65</v>
      </c>
      <c r="D33" s="104"/>
      <c r="E33" s="104"/>
      <c r="F33" s="105" t="s">
        <v>33</v>
      </c>
      <c r="G33" s="142"/>
      <c r="H33" s="140" t="s">
        <v>66</v>
      </c>
      <c r="I33" s="140"/>
      <c r="J33" s="141"/>
      <c r="K33" s="109" t="s">
        <v>35</v>
      </c>
      <c r="L33" s="2341"/>
      <c r="M33" s="97"/>
      <c r="N33" s="97"/>
      <c r="O33" s="97"/>
      <c r="P33" s="2172"/>
      <c r="Q33" s="2341"/>
      <c r="R33" s="97"/>
      <c r="S33" s="97"/>
      <c r="T33" s="97"/>
      <c r="U33" s="2172"/>
      <c r="V33" s="2341"/>
      <c r="W33" s="97"/>
      <c r="X33" s="97"/>
      <c r="Y33" s="97"/>
      <c r="Z33" s="2172"/>
      <c r="AA33" s="2341"/>
      <c r="AB33" s="97"/>
      <c r="AC33" s="97"/>
      <c r="AD33" s="97"/>
      <c r="AE33" s="2172"/>
      <c r="AF33" s="4490"/>
      <c r="AG33" s="138"/>
      <c r="AH33" s="138"/>
      <c r="AI33" s="4492"/>
      <c r="AJ33" s="18"/>
    </row>
    <row r="34" spans="2:36" ht="20.100000000000001" customHeight="1">
      <c r="B34" s="84"/>
      <c r="C34" s="103" t="s">
        <v>69</v>
      </c>
      <c r="D34" s="104"/>
      <c r="E34" s="104"/>
      <c r="F34" s="105" t="s">
        <v>33</v>
      </c>
      <c r="G34" s="142"/>
      <c r="H34" s="143" t="s">
        <v>70</v>
      </c>
      <c r="I34" s="143"/>
      <c r="J34" s="144"/>
      <c r="K34" s="109" t="s">
        <v>35</v>
      </c>
      <c r="L34" s="2341"/>
      <c r="M34" s="97"/>
      <c r="N34" s="97"/>
      <c r="O34" s="97"/>
      <c r="P34" s="2172"/>
      <c r="Q34" s="2341"/>
      <c r="R34" s="97"/>
      <c r="S34" s="97"/>
      <c r="T34" s="97"/>
      <c r="U34" s="2172"/>
      <c r="V34" s="2341"/>
      <c r="W34" s="97"/>
      <c r="X34" s="97"/>
      <c r="Y34" s="97"/>
      <c r="Z34" s="2172"/>
      <c r="AA34" s="2341"/>
      <c r="AB34" s="97"/>
      <c r="AC34" s="97"/>
      <c r="AD34" s="97"/>
      <c r="AE34" s="2172"/>
      <c r="AF34" s="4490"/>
      <c r="AG34" s="138"/>
      <c r="AH34" s="138"/>
      <c r="AI34" s="4492"/>
      <c r="AJ34" s="18"/>
    </row>
    <row r="35" spans="2:36" ht="20.100000000000001" customHeight="1">
      <c r="B35" s="84"/>
      <c r="C35" s="103" t="s">
        <v>71</v>
      </c>
      <c r="D35" s="104"/>
      <c r="E35" s="104"/>
      <c r="F35" s="132" t="s">
        <v>33</v>
      </c>
      <c r="G35" s="142"/>
      <c r="H35" s="143" t="s">
        <v>72</v>
      </c>
      <c r="I35" s="143"/>
      <c r="J35" s="144"/>
      <c r="K35" s="136" t="s">
        <v>35</v>
      </c>
      <c r="L35" s="2341"/>
      <c r="M35" s="97"/>
      <c r="N35" s="97"/>
      <c r="O35" s="97"/>
      <c r="P35" s="2172"/>
      <c r="Q35" s="2341"/>
      <c r="R35" s="97"/>
      <c r="S35" s="97"/>
      <c r="T35" s="97"/>
      <c r="U35" s="2172"/>
      <c r="V35" s="2341"/>
      <c r="W35" s="97"/>
      <c r="X35" s="97"/>
      <c r="Y35" s="97"/>
      <c r="Z35" s="2172"/>
      <c r="AA35" s="2341"/>
      <c r="AB35" s="97"/>
      <c r="AC35" s="97"/>
      <c r="AD35" s="97"/>
      <c r="AE35" s="2172"/>
      <c r="AF35" s="4490"/>
      <c r="AG35" s="138"/>
      <c r="AH35" s="138"/>
      <c r="AI35" s="4492"/>
      <c r="AJ35" s="18"/>
    </row>
    <row r="36" spans="2:36" ht="20.100000000000001" customHeight="1">
      <c r="B36" s="113"/>
      <c r="C36" s="103" t="s">
        <v>102</v>
      </c>
      <c r="D36" s="104"/>
      <c r="E36" s="104"/>
      <c r="F36" s="105" t="s">
        <v>33</v>
      </c>
      <c r="G36" s="142"/>
      <c r="H36" s="143" t="s">
        <v>74</v>
      </c>
      <c r="I36" s="143"/>
      <c r="J36" s="144"/>
      <c r="K36" s="109" t="s">
        <v>35</v>
      </c>
      <c r="L36" s="2341"/>
      <c r="M36" s="97"/>
      <c r="N36" s="97"/>
      <c r="O36" s="97"/>
      <c r="P36" s="2172"/>
      <c r="Q36" s="2341"/>
      <c r="R36" s="97"/>
      <c r="S36" s="97"/>
      <c r="T36" s="97"/>
      <c r="U36" s="2172"/>
      <c r="V36" s="2341"/>
      <c r="W36" s="97"/>
      <c r="X36" s="97"/>
      <c r="Y36" s="97"/>
      <c r="Z36" s="2172"/>
      <c r="AA36" s="2341"/>
      <c r="AB36" s="97"/>
      <c r="AC36" s="97"/>
      <c r="AD36" s="97"/>
      <c r="AE36" s="2172"/>
      <c r="AF36" s="4490"/>
      <c r="AG36" s="138"/>
      <c r="AH36" s="138"/>
      <c r="AI36" s="4492"/>
      <c r="AJ36" s="18"/>
    </row>
    <row r="37" spans="2:36" ht="20.100000000000001" customHeight="1">
      <c r="B37" s="84"/>
      <c r="C37" s="103" t="s">
        <v>77</v>
      </c>
      <c r="D37" s="104"/>
      <c r="E37" s="104"/>
      <c r="F37" s="105" t="s">
        <v>33</v>
      </c>
      <c r="G37" s="142"/>
      <c r="H37" s="143" t="s">
        <v>78</v>
      </c>
      <c r="I37" s="143"/>
      <c r="J37" s="144"/>
      <c r="K37" s="109" t="s">
        <v>35</v>
      </c>
      <c r="L37" s="2341"/>
      <c r="M37" s="97"/>
      <c r="N37" s="97"/>
      <c r="O37" s="97"/>
      <c r="P37" s="2172"/>
      <c r="Q37" s="2341"/>
      <c r="R37" s="97"/>
      <c r="S37" s="97"/>
      <c r="T37" s="97"/>
      <c r="U37" s="2172"/>
      <c r="V37" s="2341"/>
      <c r="W37" s="97"/>
      <c r="X37" s="97"/>
      <c r="Y37" s="97"/>
      <c r="Z37" s="2172"/>
      <c r="AA37" s="2341"/>
      <c r="AB37" s="97"/>
      <c r="AC37" s="97"/>
      <c r="AD37" s="97"/>
      <c r="AE37" s="2172"/>
      <c r="AF37" s="4490"/>
      <c r="AG37" s="138"/>
      <c r="AH37" s="138"/>
      <c r="AI37" s="4492"/>
      <c r="AJ37" s="18"/>
    </row>
    <row r="38" spans="2:36" ht="20.100000000000001" customHeight="1" thickBot="1">
      <c r="B38" s="84"/>
      <c r="C38" s="117" t="s">
        <v>79</v>
      </c>
      <c r="D38" s="118"/>
      <c r="E38" s="118"/>
      <c r="F38" s="105" t="s">
        <v>33</v>
      </c>
      <c r="G38" s="142"/>
      <c r="H38" s="145" t="s">
        <v>80</v>
      </c>
      <c r="I38" s="145"/>
      <c r="J38" s="146"/>
      <c r="K38" s="109" t="s">
        <v>35</v>
      </c>
      <c r="L38" s="2341"/>
      <c r="M38" s="97"/>
      <c r="N38" s="97"/>
      <c r="O38" s="97"/>
      <c r="P38" s="2172"/>
      <c r="Q38" s="2341"/>
      <c r="R38" s="97"/>
      <c r="S38" s="97"/>
      <c r="T38" s="97"/>
      <c r="U38" s="2172"/>
      <c r="V38" s="2341"/>
      <c r="W38" s="97"/>
      <c r="X38" s="97"/>
      <c r="Y38" s="97"/>
      <c r="Z38" s="2172"/>
      <c r="AA38" s="2341"/>
      <c r="AB38" s="97"/>
      <c r="AC38" s="97"/>
      <c r="AD38" s="97"/>
      <c r="AE38" s="2172"/>
      <c r="AF38" s="4490"/>
      <c r="AG38" s="138"/>
      <c r="AH38" s="138"/>
      <c r="AI38" s="4492"/>
      <c r="AJ38" s="18"/>
    </row>
    <row r="39" spans="2:36" ht="27" thickBot="1">
      <c r="B39" s="123" t="s">
        <v>81</v>
      </c>
      <c r="C39" s="124"/>
      <c r="D39" s="124"/>
      <c r="E39" s="124"/>
      <c r="F39" s="78"/>
      <c r="G39" s="125" t="s">
        <v>82</v>
      </c>
      <c r="H39" s="126"/>
      <c r="I39" s="126"/>
      <c r="J39" s="126"/>
      <c r="K39" s="78"/>
      <c r="L39" s="2175"/>
      <c r="M39" s="148"/>
      <c r="N39" s="148"/>
      <c r="O39" s="148"/>
      <c r="P39" s="2176"/>
      <c r="Q39" s="2175"/>
      <c r="R39" s="148"/>
      <c r="S39" s="148"/>
      <c r="T39" s="148"/>
      <c r="U39" s="2176"/>
      <c r="V39" s="2175"/>
      <c r="W39" s="148"/>
      <c r="X39" s="148"/>
      <c r="Y39" s="148"/>
      <c r="Z39" s="2176"/>
      <c r="AA39" s="2175"/>
      <c r="AB39" s="148"/>
      <c r="AC39" s="148"/>
      <c r="AD39" s="148"/>
      <c r="AE39" s="2176"/>
      <c r="AF39" s="4493"/>
      <c r="AG39" s="129"/>
      <c r="AH39" s="129"/>
      <c r="AI39" s="1953"/>
      <c r="AJ39" s="18"/>
    </row>
    <row r="40" spans="2:36" ht="20.100000000000001" customHeight="1">
      <c r="B40" s="84"/>
      <c r="C40" s="85" t="s">
        <v>32</v>
      </c>
      <c r="D40" s="86"/>
      <c r="E40" s="86"/>
      <c r="F40" s="105" t="s">
        <v>33</v>
      </c>
      <c r="G40" s="142"/>
      <c r="H40" s="104" t="s">
        <v>83</v>
      </c>
      <c r="I40" s="104"/>
      <c r="J40" s="104"/>
      <c r="K40" s="109" t="s">
        <v>35</v>
      </c>
      <c r="L40" s="2182"/>
      <c r="M40" s="93"/>
      <c r="N40" s="153"/>
      <c r="O40" s="93"/>
      <c r="P40" s="2183"/>
      <c r="Q40" s="2182"/>
      <c r="R40" s="93"/>
      <c r="S40" s="153"/>
      <c r="T40" s="93"/>
      <c r="U40" s="2183"/>
      <c r="V40" s="2182"/>
      <c r="W40" s="93"/>
      <c r="X40" s="153"/>
      <c r="Y40" s="93"/>
      <c r="Z40" s="2183"/>
      <c r="AA40" s="2182"/>
      <c r="AB40" s="93"/>
      <c r="AC40" s="153"/>
      <c r="AD40" s="93"/>
      <c r="AE40" s="2183"/>
      <c r="AF40" s="4490"/>
      <c r="AG40" s="138"/>
      <c r="AH40" s="138"/>
      <c r="AI40" s="4492"/>
      <c r="AJ40" s="18"/>
    </row>
    <row r="41" spans="2:36" ht="20.100000000000001" customHeight="1">
      <c r="B41" s="84"/>
      <c r="C41" s="103" t="s">
        <v>38</v>
      </c>
      <c r="D41" s="104"/>
      <c r="E41" s="104"/>
      <c r="F41" s="105" t="s">
        <v>33</v>
      </c>
      <c r="G41" s="142"/>
      <c r="H41" s="104" t="s">
        <v>84</v>
      </c>
      <c r="I41" s="104"/>
      <c r="J41" s="104"/>
      <c r="K41" s="109" t="s">
        <v>35</v>
      </c>
      <c r="L41" s="2182"/>
      <c r="M41" s="93"/>
      <c r="N41" s="153"/>
      <c r="O41" s="93"/>
      <c r="P41" s="2183"/>
      <c r="Q41" s="2182"/>
      <c r="R41" s="93"/>
      <c r="S41" s="153"/>
      <c r="T41" s="93"/>
      <c r="U41" s="2183"/>
      <c r="V41" s="2182"/>
      <c r="W41" s="93"/>
      <c r="X41" s="153"/>
      <c r="Y41" s="93"/>
      <c r="Z41" s="2183"/>
      <c r="AA41" s="2182"/>
      <c r="AB41" s="93"/>
      <c r="AC41" s="153"/>
      <c r="AD41" s="93"/>
      <c r="AE41" s="2183"/>
      <c r="AF41" s="4490"/>
      <c r="AG41" s="138"/>
      <c r="AH41" s="138"/>
      <c r="AI41" s="4492"/>
      <c r="AJ41" s="18"/>
    </row>
    <row r="42" spans="2:36" ht="20.100000000000001" customHeight="1">
      <c r="B42" s="113"/>
      <c r="C42" s="103" t="s">
        <v>40</v>
      </c>
      <c r="D42" s="104"/>
      <c r="E42" s="104"/>
      <c r="F42" s="105" t="s">
        <v>33</v>
      </c>
      <c r="G42" s="142"/>
      <c r="H42" s="104" t="s">
        <v>85</v>
      </c>
      <c r="I42" s="104"/>
      <c r="J42" s="104"/>
      <c r="K42" s="109" t="s">
        <v>35</v>
      </c>
      <c r="L42" s="2182"/>
      <c r="M42" s="93"/>
      <c r="N42" s="153"/>
      <c r="O42" s="93"/>
      <c r="P42" s="2183"/>
      <c r="Q42" s="2182"/>
      <c r="R42" s="93"/>
      <c r="S42" s="153"/>
      <c r="T42" s="93"/>
      <c r="U42" s="2183"/>
      <c r="V42" s="2182"/>
      <c r="W42" s="93"/>
      <c r="X42" s="153"/>
      <c r="Y42" s="93"/>
      <c r="Z42" s="2183"/>
      <c r="AA42" s="2182"/>
      <c r="AB42" s="93"/>
      <c r="AC42" s="153"/>
      <c r="AD42" s="93"/>
      <c r="AE42" s="2183"/>
      <c r="AF42" s="4490"/>
      <c r="AG42" s="138"/>
      <c r="AH42" s="138"/>
      <c r="AI42" s="4492"/>
      <c r="AJ42" s="18"/>
    </row>
    <row r="43" spans="2:36" ht="20.100000000000001" customHeight="1">
      <c r="B43" s="84"/>
      <c r="C43" s="103" t="s">
        <v>43</v>
      </c>
      <c r="D43" s="104"/>
      <c r="E43" s="104"/>
      <c r="F43" s="105" t="s">
        <v>33</v>
      </c>
      <c r="G43" s="142"/>
      <c r="H43" s="104" t="s">
        <v>86</v>
      </c>
      <c r="I43" s="104"/>
      <c r="J43" s="104"/>
      <c r="K43" s="109" t="s">
        <v>35</v>
      </c>
      <c r="L43" s="2182"/>
      <c r="M43" s="93"/>
      <c r="N43" s="153"/>
      <c r="O43" s="93"/>
      <c r="P43" s="2183"/>
      <c r="Q43" s="2182"/>
      <c r="R43" s="93"/>
      <c r="S43" s="153"/>
      <c r="T43" s="93"/>
      <c r="U43" s="2183"/>
      <c r="V43" s="2182"/>
      <c r="W43" s="93"/>
      <c r="X43" s="153"/>
      <c r="Y43" s="93"/>
      <c r="Z43" s="2183"/>
      <c r="AA43" s="2182"/>
      <c r="AB43" s="93"/>
      <c r="AC43" s="153"/>
      <c r="AD43" s="93"/>
      <c r="AE43" s="2183"/>
      <c r="AF43" s="4490"/>
      <c r="AG43" s="138"/>
      <c r="AH43" s="138"/>
      <c r="AI43" s="4492"/>
      <c r="AJ43" s="18"/>
    </row>
    <row r="44" spans="2:36" ht="20.100000000000001" customHeight="1">
      <c r="B44" s="84"/>
      <c r="C44" s="103" t="s">
        <v>45</v>
      </c>
      <c r="D44" s="104"/>
      <c r="E44" s="104"/>
      <c r="F44" s="105" t="s">
        <v>33</v>
      </c>
      <c r="G44" s="142"/>
      <c r="H44" s="104" t="s">
        <v>87</v>
      </c>
      <c r="I44" s="104"/>
      <c r="J44" s="104"/>
      <c r="K44" s="109" t="s">
        <v>35</v>
      </c>
      <c r="L44" s="2182"/>
      <c r="M44" s="93"/>
      <c r="N44" s="153"/>
      <c r="O44" s="93"/>
      <c r="P44" s="2183"/>
      <c r="Q44" s="2182"/>
      <c r="R44" s="93"/>
      <c r="S44" s="153"/>
      <c r="T44" s="93"/>
      <c r="U44" s="2183"/>
      <c r="V44" s="2182"/>
      <c r="W44" s="93"/>
      <c r="X44" s="153"/>
      <c r="Y44" s="93"/>
      <c r="Z44" s="2183"/>
      <c r="AA44" s="2182"/>
      <c r="AB44" s="93"/>
      <c r="AC44" s="153"/>
      <c r="AD44" s="93"/>
      <c r="AE44" s="2183"/>
      <c r="AF44" s="4490"/>
      <c r="AG44" s="138"/>
      <c r="AH44" s="138"/>
      <c r="AI44" s="4492"/>
      <c r="AJ44" s="18"/>
    </row>
    <row r="45" spans="2:36" ht="20.100000000000001" customHeight="1">
      <c r="B45" s="113"/>
      <c r="C45" s="103" t="s">
        <v>47</v>
      </c>
      <c r="D45" s="104"/>
      <c r="E45" s="104"/>
      <c r="F45" s="132" t="s">
        <v>33</v>
      </c>
      <c r="G45" s="106"/>
      <c r="H45" s="104" t="s">
        <v>88</v>
      </c>
      <c r="I45" s="104"/>
      <c r="J45" s="104"/>
      <c r="K45" s="136" t="s">
        <v>35</v>
      </c>
      <c r="L45" s="2182"/>
      <c r="M45" s="93"/>
      <c r="N45" s="153"/>
      <c r="O45" s="93"/>
      <c r="P45" s="2183"/>
      <c r="Q45" s="2182"/>
      <c r="R45" s="93"/>
      <c r="S45" s="153"/>
      <c r="T45" s="93"/>
      <c r="U45" s="2183"/>
      <c r="V45" s="2182"/>
      <c r="W45" s="93"/>
      <c r="X45" s="153"/>
      <c r="Y45" s="93"/>
      <c r="Z45" s="2183"/>
      <c r="AA45" s="2182"/>
      <c r="AB45" s="93"/>
      <c r="AC45" s="153"/>
      <c r="AD45" s="93"/>
      <c r="AE45" s="2183"/>
      <c r="AF45" s="4490"/>
      <c r="AG45" s="138"/>
      <c r="AH45" s="138"/>
      <c r="AI45" s="4492"/>
      <c r="AJ45" s="18"/>
    </row>
    <row r="46" spans="2:36" ht="20.100000000000001" customHeight="1">
      <c r="B46" s="113"/>
      <c r="C46" s="103" t="s">
        <v>51</v>
      </c>
      <c r="D46" s="104"/>
      <c r="E46" s="104"/>
      <c r="F46" s="105" t="s">
        <v>33</v>
      </c>
      <c r="G46" s="106"/>
      <c r="H46" s="104" t="s">
        <v>89</v>
      </c>
      <c r="I46" s="104"/>
      <c r="J46" s="104"/>
      <c r="K46" s="109" t="s">
        <v>35</v>
      </c>
      <c r="L46" s="2182"/>
      <c r="M46" s="93"/>
      <c r="N46" s="153"/>
      <c r="O46" s="93"/>
      <c r="P46" s="2183"/>
      <c r="Q46" s="2182"/>
      <c r="R46" s="93"/>
      <c r="S46" s="153"/>
      <c r="T46" s="93"/>
      <c r="U46" s="2183"/>
      <c r="V46" s="2182"/>
      <c r="W46" s="93"/>
      <c r="X46" s="153"/>
      <c r="Y46" s="93"/>
      <c r="Z46" s="2183"/>
      <c r="AA46" s="2182"/>
      <c r="AB46" s="93"/>
      <c r="AC46" s="153"/>
      <c r="AD46" s="93"/>
      <c r="AE46" s="2183"/>
      <c r="AF46" s="4490"/>
      <c r="AG46" s="138"/>
      <c r="AH46" s="138"/>
      <c r="AI46" s="4492"/>
      <c r="AJ46" s="18"/>
    </row>
    <row r="47" spans="2:36" ht="20.100000000000001" customHeight="1" thickBot="1">
      <c r="B47" s="84"/>
      <c r="C47" s="117" t="s">
        <v>53</v>
      </c>
      <c r="D47" s="118"/>
      <c r="E47" s="118"/>
      <c r="F47" s="105" t="s">
        <v>33</v>
      </c>
      <c r="G47" s="106"/>
      <c r="H47" s="104" t="s">
        <v>90</v>
      </c>
      <c r="I47" s="104"/>
      <c r="J47" s="104"/>
      <c r="K47" s="109" t="s">
        <v>35</v>
      </c>
      <c r="L47" s="2182"/>
      <c r="M47" s="93"/>
      <c r="N47" s="153"/>
      <c r="O47" s="93"/>
      <c r="P47" s="2183"/>
      <c r="Q47" s="2182"/>
      <c r="R47" s="93"/>
      <c r="S47" s="153"/>
      <c r="T47" s="93"/>
      <c r="U47" s="2183"/>
      <c r="V47" s="2182"/>
      <c r="W47" s="93"/>
      <c r="X47" s="153"/>
      <c r="Y47" s="93"/>
      <c r="Z47" s="2183"/>
      <c r="AA47" s="2182"/>
      <c r="AB47" s="93"/>
      <c r="AC47" s="153"/>
      <c r="AD47" s="93"/>
      <c r="AE47" s="2183"/>
      <c r="AF47" s="4490"/>
      <c r="AG47" s="138"/>
      <c r="AH47" s="138"/>
      <c r="AI47" s="4492"/>
      <c r="AJ47" s="18"/>
    </row>
    <row r="48" spans="2:36" ht="27" thickBot="1">
      <c r="B48" s="123" t="s">
        <v>91</v>
      </c>
      <c r="C48" s="124"/>
      <c r="D48" s="124"/>
      <c r="E48" s="124"/>
      <c r="F48" s="78"/>
      <c r="G48" s="155" t="s">
        <v>1753</v>
      </c>
      <c r="H48" s="126"/>
      <c r="I48" s="126"/>
      <c r="J48" s="126"/>
      <c r="K48" s="78"/>
      <c r="L48" s="2173"/>
      <c r="M48" s="128"/>
      <c r="N48" s="128"/>
      <c r="O48" s="128"/>
      <c r="P48" s="2174"/>
      <c r="Q48" s="2173"/>
      <c r="R48" s="128"/>
      <c r="S48" s="128"/>
      <c r="T48" s="128"/>
      <c r="U48" s="2174"/>
      <c r="V48" s="2173"/>
      <c r="W48" s="128"/>
      <c r="X48" s="128"/>
      <c r="Y48" s="128"/>
      <c r="Z48" s="2174"/>
      <c r="AA48" s="2173"/>
      <c r="AB48" s="128"/>
      <c r="AC48" s="128"/>
      <c r="AD48" s="128"/>
      <c r="AE48" s="2174"/>
      <c r="AF48" s="4493"/>
      <c r="AG48" s="129"/>
      <c r="AH48" s="129"/>
      <c r="AI48" s="1953"/>
      <c r="AJ48" s="18"/>
    </row>
    <row r="49" spans="2:36" ht="20.100000000000001" customHeight="1">
      <c r="B49" s="113"/>
      <c r="C49" s="85" t="s">
        <v>1747</v>
      </c>
      <c r="D49" s="86"/>
      <c r="E49" s="86"/>
      <c r="F49" s="105" t="s">
        <v>33</v>
      </c>
      <c r="G49" s="106"/>
      <c r="H49" s="104" t="s">
        <v>93</v>
      </c>
      <c r="I49" s="104"/>
      <c r="J49" s="104"/>
      <c r="K49" s="109" t="s">
        <v>35</v>
      </c>
      <c r="L49" s="2182"/>
      <c r="M49" s="93"/>
      <c r="N49" s="153"/>
      <c r="O49" s="93"/>
      <c r="P49" s="2183"/>
      <c r="Q49" s="2182"/>
      <c r="R49" s="93"/>
      <c r="S49" s="153"/>
      <c r="T49" s="93"/>
      <c r="U49" s="2183"/>
      <c r="V49" s="2182"/>
      <c r="W49" s="93"/>
      <c r="X49" s="153"/>
      <c r="Y49" s="93"/>
      <c r="Z49" s="2183"/>
      <c r="AA49" s="2182"/>
      <c r="AB49" s="93"/>
      <c r="AC49" s="153"/>
      <c r="AD49" s="93"/>
      <c r="AE49" s="2183"/>
      <c r="AF49" s="4490"/>
      <c r="AG49" s="138"/>
      <c r="AH49" s="138"/>
      <c r="AI49" s="4494"/>
      <c r="AJ49" s="18"/>
    </row>
    <row r="50" spans="2:36" ht="20.100000000000001" customHeight="1">
      <c r="B50" s="84"/>
      <c r="C50" s="103" t="s">
        <v>1748</v>
      </c>
      <c r="D50" s="104"/>
      <c r="E50" s="104"/>
      <c r="F50" s="105" t="s">
        <v>33</v>
      </c>
      <c r="G50" s="106"/>
      <c r="H50" s="104" t="s">
        <v>95</v>
      </c>
      <c r="I50" s="104"/>
      <c r="J50" s="104"/>
      <c r="K50" s="109" t="s">
        <v>35</v>
      </c>
      <c r="L50" s="2182"/>
      <c r="M50" s="93"/>
      <c r="N50" s="153"/>
      <c r="O50" s="93"/>
      <c r="P50" s="2183"/>
      <c r="Q50" s="2182"/>
      <c r="R50" s="93"/>
      <c r="S50" s="153"/>
      <c r="T50" s="93"/>
      <c r="U50" s="2183"/>
      <c r="V50" s="2182"/>
      <c r="W50" s="93"/>
      <c r="X50" s="153"/>
      <c r="Y50" s="93"/>
      <c r="Z50" s="2183"/>
      <c r="AA50" s="2182"/>
      <c r="AB50" s="93"/>
      <c r="AC50" s="153"/>
      <c r="AD50" s="93"/>
      <c r="AE50" s="2183"/>
      <c r="AF50" s="4490"/>
      <c r="AG50" s="138"/>
      <c r="AH50" s="138"/>
      <c r="AI50" s="4494"/>
      <c r="AJ50" s="18"/>
    </row>
    <row r="51" spans="2:36" ht="20.100000000000001" customHeight="1">
      <c r="B51" s="113"/>
      <c r="C51" s="103" t="s">
        <v>1749</v>
      </c>
      <c r="D51" s="104"/>
      <c r="E51" s="104"/>
      <c r="F51" s="105" t="s">
        <v>33</v>
      </c>
      <c r="G51" s="106"/>
      <c r="H51" s="104" t="s">
        <v>1754</v>
      </c>
      <c r="I51" s="104"/>
      <c r="J51" s="104"/>
      <c r="K51" s="109" t="s">
        <v>35</v>
      </c>
      <c r="L51" s="2182"/>
      <c r="M51" s="93"/>
      <c r="N51" s="153"/>
      <c r="O51" s="93"/>
      <c r="P51" s="2183"/>
      <c r="Q51" s="2182"/>
      <c r="R51" s="93"/>
      <c r="S51" s="153"/>
      <c r="T51" s="93"/>
      <c r="U51" s="2183"/>
      <c r="V51" s="2182"/>
      <c r="W51" s="93"/>
      <c r="X51" s="153"/>
      <c r="Y51" s="93"/>
      <c r="Z51" s="2183"/>
      <c r="AA51" s="2182"/>
      <c r="AB51" s="93"/>
      <c r="AC51" s="153"/>
      <c r="AD51" s="93"/>
      <c r="AE51" s="2183"/>
      <c r="AF51" s="4490"/>
      <c r="AG51" s="138"/>
      <c r="AH51" s="138"/>
      <c r="AI51" s="4494"/>
      <c r="AJ51" s="18"/>
    </row>
    <row r="52" spans="2:36" ht="20.100000000000001" customHeight="1">
      <c r="B52" s="113"/>
      <c r="C52" s="103" t="s">
        <v>1751</v>
      </c>
      <c r="D52" s="104"/>
      <c r="E52" s="104"/>
      <c r="F52" s="105" t="s">
        <v>33</v>
      </c>
      <c r="G52" s="106"/>
      <c r="H52" s="104" t="s">
        <v>1755</v>
      </c>
      <c r="I52" s="104"/>
      <c r="J52" s="104"/>
      <c r="K52" s="109" t="s">
        <v>35</v>
      </c>
      <c r="L52" s="2182"/>
      <c r="M52" s="93"/>
      <c r="N52" s="153"/>
      <c r="O52" s="93"/>
      <c r="P52" s="2183"/>
      <c r="Q52" s="2182"/>
      <c r="R52" s="93"/>
      <c r="S52" s="153"/>
      <c r="T52" s="93"/>
      <c r="U52" s="2183"/>
      <c r="V52" s="2182"/>
      <c r="W52" s="93"/>
      <c r="X52" s="153"/>
      <c r="Y52" s="93"/>
      <c r="Z52" s="2183"/>
      <c r="AA52" s="2182"/>
      <c r="AB52" s="93"/>
      <c r="AC52" s="153"/>
      <c r="AD52" s="93"/>
      <c r="AE52" s="2183"/>
      <c r="AF52" s="4490"/>
      <c r="AG52" s="138"/>
      <c r="AH52" s="138"/>
      <c r="AI52" s="4494"/>
      <c r="AJ52" s="18"/>
    </row>
    <row r="53" spans="2:36" ht="20.100000000000001" customHeight="1">
      <c r="B53" s="113"/>
      <c r="C53" s="103" t="s">
        <v>96</v>
      </c>
      <c r="D53" s="104"/>
      <c r="E53" s="104"/>
      <c r="F53" s="105" t="s">
        <v>33</v>
      </c>
      <c r="G53" s="106"/>
      <c r="H53" s="104" t="s">
        <v>97</v>
      </c>
      <c r="I53" s="104"/>
      <c r="J53" s="104"/>
      <c r="K53" s="109" t="s">
        <v>35</v>
      </c>
      <c r="L53" s="2182"/>
      <c r="M53" s="93"/>
      <c r="N53" s="153"/>
      <c r="O53" s="93"/>
      <c r="P53" s="2183"/>
      <c r="Q53" s="2182"/>
      <c r="R53" s="93"/>
      <c r="S53" s="153"/>
      <c r="T53" s="93"/>
      <c r="U53" s="2183"/>
      <c r="V53" s="2182"/>
      <c r="W53" s="93"/>
      <c r="X53" s="153"/>
      <c r="Y53" s="93"/>
      <c r="Z53" s="2183"/>
      <c r="AA53" s="2182"/>
      <c r="AB53" s="93"/>
      <c r="AC53" s="153"/>
      <c r="AD53" s="93"/>
      <c r="AE53" s="2183"/>
      <c r="AF53" s="4490"/>
      <c r="AG53" s="138"/>
      <c r="AH53" s="138"/>
      <c r="AI53" s="4494"/>
      <c r="AJ53" s="18"/>
    </row>
    <row r="54" spans="2:36" ht="20.100000000000001" customHeight="1">
      <c r="B54" s="113"/>
      <c r="C54" s="103" t="s">
        <v>67</v>
      </c>
      <c r="D54" s="104"/>
      <c r="E54" s="104"/>
      <c r="F54" s="105" t="s">
        <v>33</v>
      </c>
      <c r="G54" s="106"/>
      <c r="H54" s="104" t="s">
        <v>98</v>
      </c>
      <c r="I54" s="104"/>
      <c r="J54" s="104"/>
      <c r="K54" s="109" t="s">
        <v>35</v>
      </c>
      <c r="L54" s="2182"/>
      <c r="M54" s="93"/>
      <c r="N54" s="153"/>
      <c r="O54" s="93"/>
      <c r="P54" s="2183"/>
      <c r="Q54" s="2182"/>
      <c r="R54" s="93"/>
      <c r="S54" s="153"/>
      <c r="T54" s="93"/>
      <c r="U54" s="2183"/>
      <c r="V54" s="2182"/>
      <c r="W54" s="93"/>
      <c r="X54" s="153"/>
      <c r="Y54" s="93"/>
      <c r="Z54" s="2183"/>
      <c r="AA54" s="2182"/>
      <c r="AB54" s="93"/>
      <c r="AC54" s="153"/>
      <c r="AD54" s="93"/>
      <c r="AE54" s="2183"/>
      <c r="AF54" s="4490"/>
      <c r="AG54" s="138"/>
      <c r="AH54" s="138"/>
      <c r="AI54" s="4494"/>
      <c r="AJ54" s="18"/>
    </row>
    <row r="55" spans="2:36" ht="20.100000000000001" customHeight="1">
      <c r="B55" s="84"/>
      <c r="C55" s="103" t="s">
        <v>63</v>
      </c>
      <c r="D55" s="104"/>
      <c r="E55" s="104"/>
      <c r="F55" s="105" t="s">
        <v>33</v>
      </c>
      <c r="G55" s="106"/>
      <c r="H55" s="104" t="s">
        <v>99</v>
      </c>
      <c r="I55" s="104"/>
      <c r="J55" s="104"/>
      <c r="K55" s="109" t="s">
        <v>35</v>
      </c>
      <c r="L55" s="2182"/>
      <c r="M55" s="93"/>
      <c r="N55" s="153"/>
      <c r="O55" s="93"/>
      <c r="P55" s="2183"/>
      <c r="Q55" s="2182"/>
      <c r="R55" s="93"/>
      <c r="S55" s="153"/>
      <c r="T55" s="93"/>
      <c r="U55" s="2183"/>
      <c r="V55" s="2182"/>
      <c r="W55" s="93"/>
      <c r="X55" s="153"/>
      <c r="Y55" s="93"/>
      <c r="Z55" s="2183"/>
      <c r="AA55" s="2182"/>
      <c r="AB55" s="93"/>
      <c r="AC55" s="153"/>
      <c r="AD55" s="93"/>
      <c r="AE55" s="2183"/>
      <c r="AF55" s="4490"/>
      <c r="AG55" s="138"/>
      <c r="AH55" s="138"/>
      <c r="AI55" s="4494"/>
      <c r="AJ55" s="18"/>
    </row>
    <row r="56" spans="2:36" ht="20.100000000000001" customHeight="1">
      <c r="B56" s="84"/>
      <c r="C56" s="103" t="s">
        <v>65</v>
      </c>
      <c r="D56" s="104"/>
      <c r="E56" s="104"/>
      <c r="F56" s="105" t="s">
        <v>33</v>
      </c>
      <c r="G56" s="106"/>
      <c r="H56" s="104" t="s">
        <v>100</v>
      </c>
      <c r="I56" s="104"/>
      <c r="J56" s="104"/>
      <c r="K56" s="109" t="s">
        <v>35</v>
      </c>
      <c r="L56" s="2182"/>
      <c r="M56" s="93"/>
      <c r="N56" s="153"/>
      <c r="O56" s="93"/>
      <c r="P56" s="2183"/>
      <c r="Q56" s="2182"/>
      <c r="R56" s="93"/>
      <c r="S56" s="153"/>
      <c r="T56" s="93"/>
      <c r="U56" s="2183"/>
      <c r="V56" s="2182"/>
      <c r="W56" s="93"/>
      <c r="X56" s="153"/>
      <c r="Y56" s="93"/>
      <c r="Z56" s="2183"/>
      <c r="AA56" s="2182"/>
      <c r="AB56" s="93"/>
      <c r="AC56" s="153"/>
      <c r="AD56" s="93"/>
      <c r="AE56" s="2183"/>
      <c r="AF56" s="4490"/>
      <c r="AG56" s="138"/>
      <c r="AH56" s="138"/>
      <c r="AI56" s="4494"/>
      <c r="AJ56" s="18"/>
    </row>
    <row r="57" spans="2:36" ht="20.100000000000001" customHeight="1">
      <c r="B57" s="113"/>
      <c r="C57" s="103" t="s">
        <v>71</v>
      </c>
      <c r="D57" s="104"/>
      <c r="E57" s="104"/>
      <c r="F57" s="105" t="s">
        <v>33</v>
      </c>
      <c r="G57" s="106"/>
      <c r="H57" s="104" t="s">
        <v>101</v>
      </c>
      <c r="I57" s="104"/>
      <c r="J57" s="104"/>
      <c r="K57" s="109" t="s">
        <v>35</v>
      </c>
      <c r="L57" s="2182"/>
      <c r="M57" s="93"/>
      <c r="N57" s="153"/>
      <c r="O57" s="93"/>
      <c r="P57" s="2183"/>
      <c r="Q57" s="2182"/>
      <c r="R57" s="93"/>
      <c r="S57" s="153"/>
      <c r="T57" s="93"/>
      <c r="U57" s="2183"/>
      <c r="V57" s="2182"/>
      <c r="W57" s="93"/>
      <c r="X57" s="153"/>
      <c r="Y57" s="93"/>
      <c r="Z57" s="2183"/>
      <c r="AA57" s="2182"/>
      <c r="AB57" s="93"/>
      <c r="AC57" s="153"/>
      <c r="AD57" s="93"/>
      <c r="AE57" s="2183"/>
      <c r="AF57" s="4490"/>
      <c r="AG57" s="138"/>
      <c r="AH57" s="138"/>
      <c r="AI57" s="4494"/>
      <c r="AJ57" s="18"/>
    </row>
    <row r="58" spans="2:36" ht="20.100000000000001" customHeight="1">
      <c r="B58" s="113"/>
      <c r="C58" s="160" t="s">
        <v>102</v>
      </c>
      <c r="D58" s="161"/>
      <c r="E58" s="161"/>
      <c r="F58" s="105" t="s">
        <v>33</v>
      </c>
      <c r="G58" s="106"/>
      <c r="H58" s="104" t="s">
        <v>103</v>
      </c>
      <c r="I58" s="104"/>
      <c r="J58" s="104"/>
      <c r="K58" s="162" t="s">
        <v>35</v>
      </c>
      <c r="L58" s="2182"/>
      <c r="M58" s="93"/>
      <c r="N58" s="153"/>
      <c r="O58" s="93"/>
      <c r="P58" s="2183"/>
      <c r="Q58" s="2182"/>
      <c r="R58" s="93"/>
      <c r="S58" s="153"/>
      <c r="T58" s="93"/>
      <c r="U58" s="2183"/>
      <c r="V58" s="2182"/>
      <c r="W58" s="93"/>
      <c r="X58" s="153"/>
      <c r="Y58" s="93"/>
      <c r="Z58" s="2183"/>
      <c r="AA58" s="2182"/>
      <c r="AB58" s="93"/>
      <c r="AC58" s="153"/>
      <c r="AD58" s="93"/>
      <c r="AE58" s="2183"/>
      <c r="AF58" s="4490"/>
      <c r="AG58" s="138"/>
      <c r="AH58" s="138"/>
      <c r="AI58" s="4494"/>
      <c r="AJ58" s="18"/>
    </row>
    <row r="59" spans="2:36" ht="20.100000000000001" customHeight="1">
      <c r="B59" s="113"/>
      <c r="C59" s="160" t="s">
        <v>104</v>
      </c>
      <c r="D59" s="161"/>
      <c r="E59" s="161"/>
      <c r="F59" s="105" t="s">
        <v>33</v>
      </c>
      <c r="G59" s="106"/>
      <c r="H59" s="104" t="s">
        <v>105</v>
      </c>
      <c r="I59" s="104"/>
      <c r="J59" s="104"/>
      <c r="K59" s="162" t="s">
        <v>35</v>
      </c>
      <c r="L59" s="2182"/>
      <c r="M59" s="93"/>
      <c r="N59" s="153"/>
      <c r="O59" s="93"/>
      <c r="P59" s="2183"/>
      <c r="Q59" s="2182"/>
      <c r="R59" s="93"/>
      <c r="S59" s="153"/>
      <c r="T59" s="93"/>
      <c r="U59" s="2183"/>
      <c r="V59" s="2182"/>
      <c r="W59" s="93"/>
      <c r="X59" s="153"/>
      <c r="Y59" s="93"/>
      <c r="Z59" s="2183"/>
      <c r="AA59" s="2182"/>
      <c r="AB59" s="93"/>
      <c r="AC59" s="153"/>
      <c r="AD59" s="93"/>
      <c r="AE59" s="2183"/>
      <c r="AF59" s="4490"/>
      <c r="AG59" s="138"/>
      <c r="AH59" s="138"/>
      <c r="AI59" s="4494"/>
      <c r="AJ59" s="18"/>
    </row>
    <row r="60" spans="2:36" ht="20.100000000000001" customHeight="1">
      <c r="B60" s="113"/>
      <c r="C60" s="160" t="s">
        <v>77</v>
      </c>
      <c r="D60" s="161"/>
      <c r="E60" s="161"/>
      <c r="F60" s="105" t="s">
        <v>33</v>
      </c>
      <c r="G60" s="106"/>
      <c r="H60" s="104" t="s">
        <v>106</v>
      </c>
      <c r="I60" s="104"/>
      <c r="J60" s="104"/>
      <c r="K60" s="164" t="s">
        <v>35</v>
      </c>
      <c r="L60" s="2182"/>
      <c r="M60" s="93"/>
      <c r="N60" s="153"/>
      <c r="O60" s="93"/>
      <c r="P60" s="2183"/>
      <c r="Q60" s="2182"/>
      <c r="R60" s="93"/>
      <c r="S60" s="153"/>
      <c r="T60" s="93"/>
      <c r="U60" s="2183"/>
      <c r="V60" s="2182"/>
      <c r="W60" s="93"/>
      <c r="X60" s="153"/>
      <c r="Y60" s="93"/>
      <c r="Z60" s="2183"/>
      <c r="AA60" s="2182"/>
      <c r="AB60" s="93"/>
      <c r="AC60" s="153"/>
      <c r="AD60" s="93"/>
      <c r="AE60" s="2183"/>
      <c r="AF60" s="4490"/>
      <c r="AG60" s="138"/>
      <c r="AH60" s="138"/>
      <c r="AI60" s="4494"/>
      <c r="AJ60" s="18"/>
    </row>
    <row r="61" spans="2:36" ht="20.100000000000001" customHeight="1">
      <c r="B61" s="113"/>
      <c r="C61" s="160" t="s">
        <v>79</v>
      </c>
      <c r="D61" s="161"/>
      <c r="E61" s="161"/>
      <c r="F61" s="105" t="s">
        <v>33</v>
      </c>
      <c r="G61" s="106"/>
      <c r="H61" s="104" t="s">
        <v>107</v>
      </c>
      <c r="I61" s="104"/>
      <c r="J61" s="104"/>
      <c r="K61" s="165" t="s">
        <v>35</v>
      </c>
      <c r="L61" s="2182"/>
      <c r="M61" s="93"/>
      <c r="N61" s="153"/>
      <c r="O61" s="93"/>
      <c r="P61" s="2183"/>
      <c r="Q61" s="2182"/>
      <c r="R61" s="93"/>
      <c r="S61" s="153"/>
      <c r="T61" s="93"/>
      <c r="U61" s="2183"/>
      <c r="V61" s="2182"/>
      <c r="W61" s="93"/>
      <c r="X61" s="153"/>
      <c r="Y61" s="93"/>
      <c r="Z61" s="2183"/>
      <c r="AA61" s="2182"/>
      <c r="AB61" s="93"/>
      <c r="AC61" s="153"/>
      <c r="AD61" s="93"/>
      <c r="AE61" s="2183"/>
      <c r="AF61" s="4490"/>
      <c r="AG61" s="138"/>
      <c r="AH61" s="138"/>
      <c r="AI61" s="4494"/>
      <c r="AJ61" s="18"/>
    </row>
    <row r="62" spans="2:36" ht="20.100000000000001" customHeight="1">
      <c r="B62" s="113"/>
      <c r="C62" s="166" t="s">
        <v>124</v>
      </c>
      <c r="D62" s="167"/>
      <c r="E62" s="167"/>
      <c r="F62" s="2371" t="s">
        <v>168</v>
      </c>
      <c r="G62" s="168"/>
      <c r="H62" s="167" t="s">
        <v>1756</v>
      </c>
      <c r="I62" s="167"/>
      <c r="J62" s="167"/>
      <c r="K62" s="169"/>
      <c r="L62" s="2377"/>
      <c r="M62" s="172"/>
      <c r="N62" s="173"/>
      <c r="O62" s="172"/>
      <c r="P62" s="2181"/>
      <c r="Q62" s="2377"/>
      <c r="R62" s="172"/>
      <c r="S62" s="174"/>
      <c r="T62" s="172"/>
      <c r="U62" s="2181"/>
      <c r="V62" s="2377"/>
      <c r="W62" s="172"/>
      <c r="X62" s="174"/>
      <c r="Y62" s="172"/>
      <c r="Z62" s="2181"/>
      <c r="AA62" s="2377"/>
      <c r="AB62" s="172"/>
      <c r="AC62" s="173"/>
      <c r="AD62" s="172"/>
      <c r="AE62" s="2181"/>
      <c r="AF62" s="4490"/>
      <c r="AG62" s="138"/>
      <c r="AH62" s="138"/>
      <c r="AI62" s="4494"/>
      <c r="AJ62" s="18"/>
    </row>
    <row r="63" spans="2:36" ht="20.100000000000001" customHeight="1">
      <c r="B63" s="84"/>
      <c r="C63" s="175"/>
      <c r="D63" s="9749" t="s">
        <v>126</v>
      </c>
      <c r="E63" s="9649"/>
      <c r="F63" s="105" t="s">
        <v>628</v>
      </c>
      <c r="G63" s="106"/>
      <c r="H63" s="176"/>
      <c r="I63" s="177" t="s">
        <v>127</v>
      </c>
      <c r="J63" s="178"/>
      <c r="K63" s="179" t="s">
        <v>128</v>
      </c>
      <c r="L63" s="2182"/>
      <c r="M63" s="93"/>
      <c r="N63" s="153" t="s">
        <v>640</v>
      </c>
      <c r="O63" s="93"/>
      <c r="P63" s="2183"/>
      <c r="Q63" s="2182"/>
      <c r="R63" s="93"/>
      <c r="S63" s="180" t="s">
        <v>2278</v>
      </c>
      <c r="T63" s="93"/>
      <c r="U63" s="2183"/>
      <c r="V63" s="2182"/>
      <c r="W63" s="93"/>
      <c r="X63" s="180" t="s">
        <v>2279</v>
      </c>
      <c r="Y63" s="93"/>
      <c r="Z63" s="2183"/>
      <c r="AA63" s="5573" t="s">
        <v>3505</v>
      </c>
      <c r="AB63" s="93"/>
      <c r="AC63" s="5574" t="s">
        <v>3506</v>
      </c>
      <c r="AD63" s="93"/>
      <c r="AE63" s="5575" t="s">
        <v>3507</v>
      </c>
      <c r="AF63" s="4490"/>
      <c r="AG63" s="138"/>
      <c r="AH63" s="138"/>
      <c r="AI63" s="4494"/>
      <c r="AJ63" s="18"/>
    </row>
    <row r="64" spans="2:36" ht="33">
      <c r="B64" s="113"/>
      <c r="C64" s="182"/>
      <c r="D64" s="9749" t="s">
        <v>152</v>
      </c>
      <c r="E64" s="9649"/>
      <c r="F64" s="105" t="s">
        <v>156</v>
      </c>
      <c r="G64" s="106"/>
      <c r="H64" s="183"/>
      <c r="I64" s="184" t="s">
        <v>153</v>
      </c>
      <c r="J64" s="140"/>
      <c r="K64" s="185" t="s">
        <v>1758</v>
      </c>
      <c r="L64" s="2182"/>
      <c r="M64" s="93"/>
      <c r="N64" s="153" t="s">
        <v>640</v>
      </c>
      <c r="O64" s="93"/>
      <c r="P64" s="2183"/>
      <c r="Q64" s="2182"/>
      <c r="R64" s="93"/>
      <c r="S64" s="153" t="s">
        <v>161</v>
      </c>
      <c r="T64" s="93"/>
      <c r="U64" s="2183"/>
      <c r="V64" s="2182"/>
      <c r="W64" s="93"/>
      <c r="X64" s="153" t="s">
        <v>161</v>
      </c>
      <c r="Y64" s="93"/>
      <c r="Z64" s="2183"/>
      <c r="AA64" s="5552" t="s">
        <v>747</v>
      </c>
      <c r="AB64" s="93"/>
      <c r="AC64" s="5557" t="s">
        <v>747</v>
      </c>
      <c r="AD64" s="93"/>
      <c r="AE64" s="5558" t="s">
        <v>747</v>
      </c>
      <c r="AF64" s="4490"/>
      <c r="AG64" s="138"/>
      <c r="AH64" s="138"/>
      <c r="AI64" s="4495"/>
      <c r="AJ64" s="18"/>
    </row>
    <row r="65" spans="1:37" ht="20.100000000000001" customHeight="1">
      <c r="B65" s="113"/>
      <c r="C65" s="188"/>
      <c r="D65" s="9749" t="s">
        <v>162</v>
      </c>
      <c r="E65" s="9649"/>
      <c r="F65" s="105" t="s">
        <v>1760</v>
      </c>
      <c r="G65" s="106"/>
      <c r="H65" s="189"/>
      <c r="I65" s="184" t="s">
        <v>163</v>
      </c>
      <c r="J65" s="140"/>
      <c r="K65" s="190" t="s">
        <v>1761</v>
      </c>
      <c r="L65" s="2182"/>
      <c r="M65" s="93"/>
      <c r="N65" s="153" t="s">
        <v>640</v>
      </c>
      <c r="O65" s="93"/>
      <c r="P65" s="2183"/>
      <c r="Q65" s="2182"/>
      <c r="R65" s="93"/>
      <c r="S65" s="153" t="s">
        <v>1762</v>
      </c>
      <c r="T65" s="93"/>
      <c r="U65" s="2183"/>
      <c r="V65" s="2182"/>
      <c r="W65" s="93"/>
      <c r="X65" s="153" t="s">
        <v>2280</v>
      </c>
      <c r="Y65" s="93"/>
      <c r="Z65" s="2183"/>
      <c r="AA65" s="5552" t="s">
        <v>641</v>
      </c>
      <c r="AB65" s="93"/>
      <c r="AC65" s="5557" t="s">
        <v>641</v>
      </c>
      <c r="AD65" s="93"/>
      <c r="AE65" s="5558" t="s">
        <v>641</v>
      </c>
      <c r="AF65" s="4490"/>
      <c r="AG65" s="138"/>
      <c r="AH65" s="138"/>
      <c r="AI65" s="4495"/>
      <c r="AJ65" s="18"/>
    </row>
    <row r="66" spans="1:37" ht="20.100000000000001" customHeight="1">
      <c r="B66" s="113"/>
      <c r="C66" s="166" t="s">
        <v>171</v>
      </c>
      <c r="D66" s="167"/>
      <c r="E66" s="167"/>
      <c r="F66" s="2371" t="s">
        <v>168</v>
      </c>
      <c r="G66" s="168"/>
      <c r="H66" s="167" t="s">
        <v>1763</v>
      </c>
      <c r="I66" s="167"/>
      <c r="J66" s="167"/>
      <c r="K66" s="169" t="s">
        <v>168</v>
      </c>
      <c r="L66" s="2377"/>
      <c r="M66" s="172"/>
      <c r="N66" s="173"/>
      <c r="O66" s="172"/>
      <c r="P66" s="2181"/>
      <c r="Q66" s="2377"/>
      <c r="R66" s="172"/>
      <c r="S66" s="173"/>
      <c r="T66" s="172"/>
      <c r="U66" s="2181"/>
      <c r="V66" s="2377"/>
      <c r="W66" s="172"/>
      <c r="X66" s="173"/>
      <c r="Y66" s="172"/>
      <c r="Z66" s="2181"/>
      <c r="AA66" s="2377"/>
      <c r="AB66" s="172"/>
      <c r="AC66" s="173"/>
      <c r="AD66" s="172"/>
      <c r="AE66" s="2181"/>
      <c r="AF66" s="4490"/>
      <c r="AG66" s="138"/>
      <c r="AH66" s="138"/>
      <c r="AI66" s="4495"/>
      <c r="AJ66" s="18"/>
    </row>
    <row r="67" spans="1:37" ht="20.100000000000001" customHeight="1">
      <c r="B67" s="113"/>
      <c r="C67" s="193"/>
      <c r="D67" s="194" t="s">
        <v>174</v>
      </c>
      <c r="E67" s="195"/>
      <c r="F67" s="105" t="s">
        <v>33</v>
      </c>
      <c r="G67" s="106"/>
      <c r="H67" s="11"/>
      <c r="I67" s="184" t="s">
        <v>176</v>
      </c>
      <c r="J67" s="140"/>
      <c r="K67" s="190" t="s">
        <v>35</v>
      </c>
      <c r="L67" s="2182"/>
      <c r="M67" s="93"/>
      <c r="N67" s="153"/>
      <c r="O67" s="93"/>
      <c r="P67" s="2183"/>
      <c r="Q67" s="2182"/>
      <c r="R67" s="93"/>
      <c r="S67" s="153"/>
      <c r="T67" s="93"/>
      <c r="U67" s="2183"/>
      <c r="V67" s="2182"/>
      <c r="W67" s="93"/>
      <c r="X67" s="153"/>
      <c r="Y67" s="93"/>
      <c r="Z67" s="2183"/>
      <c r="AA67" s="5552" t="s">
        <v>641</v>
      </c>
      <c r="AB67" s="93"/>
      <c r="AC67" s="5552" t="s">
        <v>641</v>
      </c>
      <c r="AD67" s="93"/>
      <c r="AE67" s="5552" t="s">
        <v>641</v>
      </c>
      <c r="AF67" s="4490"/>
      <c r="AG67" s="138"/>
      <c r="AH67" s="138"/>
      <c r="AI67" s="4495"/>
      <c r="AJ67" s="18"/>
    </row>
    <row r="68" spans="1:37" ht="20.100000000000001" customHeight="1">
      <c r="B68" s="113"/>
      <c r="C68" s="182"/>
      <c r="D68" s="196" t="s">
        <v>180</v>
      </c>
      <c r="E68" s="196"/>
      <c r="F68" s="105" t="s">
        <v>33</v>
      </c>
      <c r="G68" s="106"/>
      <c r="H68" s="183"/>
      <c r="I68" s="184" t="s">
        <v>181</v>
      </c>
      <c r="J68" s="140"/>
      <c r="K68" s="190" t="s">
        <v>35</v>
      </c>
      <c r="L68" s="2182"/>
      <c r="M68" s="93"/>
      <c r="N68" s="153"/>
      <c r="O68" s="93"/>
      <c r="P68" s="2183"/>
      <c r="Q68" s="2182"/>
      <c r="R68" s="93"/>
      <c r="S68" s="153"/>
      <c r="T68" s="93"/>
      <c r="U68" s="2183"/>
      <c r="V68" s="2182"/>
      <c r="W68" s="93"/>
      <c r="X68" s="153"/>
      <c r="Y68" s="93"/>
      <c r="Z68" s="2183"/>
      <c r="AA68" s="5552" t="s">
        <v>641</v>
      </c>
      <c r="AB68" s="93"/>
      <c r="AC68" s="5552" t="s">
        <v>641</v>
      </c>
      <c r="AD68" s="93"/>
      <c r="AE68" s="5552" t="s">
        <v>641</v>
      </c>
      <c r="AF68" s="4490"/>
      <c r="AG68" s="138"/>
      <c r="AH68" s="138"/>
      <c r="AI68" s="4495"/>
      <c r="AJ68" s="18"/>
    </row>
    <row r="69" spans="1:37" ht="20.100000000000001" customHeight="1">
      <c r="B69" s="113"/>
      <c r="C69" s="188"/>
      <c r="D69" s="196" t="s">
        <v>183</v>
      </c>
      <c r="E69" s="197"/>
      <c r="F69" s="105" t="s">
        <v>33</v>
      </c>
      <c r="G69" s="106"/>
      <c r="H69" s="189"/>
      <c r="I69" s="198" t="s">
        <v>184</v>
      </c>
      <c r="J69" s="178"/>
      <c r="K69" s="179" t="s">
        <v>128</v>
      </c>
      <c r="L69" s="2182"/>
      <c r="M69" s="93"/>
      <c r="N69" s="153"/>
      <c r="O69" s="93"/>
      <c r="P69" s="2183"/>
      <c r="Q69" s="2182"/>
      <c r="R69" s="93"/>
      <c r="S69" s="153"/>
      <c r="T69" s="93"/>
      <c r="U69" s="2183"/>
      <c r="V69" s="2182"/>
      <c r="W69" s="93"/>
      <c r="X69" s="153"/>
      <c r="Y69" s="93"/>
      <c r="Z69" s="2183"/>
      <c r="AA69" s="5573" t="s">
        <v>3508</v>
      </c>
      <c r="AB69" s="93"/>
      <c r="AC69" s="5557" t="s">
        <v>3509</v>
      </c>
      <c r="AD69" s="93"/>
      <c r="AE69" s="5558" t="s">
        <v>3510</v>
      </c>
      <c r="AF69" s="4490"/>
      <c r="AG69" s="138"/>
      <c r="AH69" s="138"/>
      <c r="AI69" s="4495"/>
      <c r="AJ69" s="18"/>
    </row>
    <row r="70" spans="1:37" ht="20.100000000000001" customHeight="1">
      <c r="B70" s="113"/>
      <c r="C70" s="166" t="s">
        <v>1764</v>
      </c>
      <c r="D70" s="167"/>
      <c r="E70" s="167"/>
      <c r="F70" s="2371" t="s">
        <v>168</v>
      </c>
      <c r="G70" s="168"/>
      <c r="H70" s="167" t="s">
        <v>1765</v>
      </c>
      <c r="I70" s="167"/>
      <c r="J70" s="167"/>
      <c r="K70" s="169" t="s">
        <v>168</v>
      </c>
      <c r="L70" s="2377"/>
      <c r="M70" s="172"/>
      <c r="N70" s="173"/>
      <c r="O70" s="172"/>
      <c r="P70" s="2181"/>
      <c r="Q70" s="2377"/>
      <c r="R70" s="172"/>
      <c r="S70" s="173"/>
      <c r="T70" s="172"/>
      <c r="U70" s="2181"/>
      <c r="V70" s="2377"/>
      <c r="W70" s="172"/>
      <c r="X70" s="173"/>
      <c r="Y70" s="172"/>
      <c r="Z70" s="2181"/>
      <c r="AA70" s="2377"/>
      <c r="AB70" s="172"/>
      <c r="AC70" s="173"/>
      <c r="AD70" s="172"/>
      <c r="AE70" s="2181"/>
      <c r="AF70" s="4490"/>
      <c r="AG70" s="138"/>
      <c r="AH70" s="138"/>
      <c r="AI70" s="4495"/>
      <c r="AJ70" s="18"/>
    </row>
    <row r="71" spans="1:37" ht="20.100000000000001" customHeight="1">
      <c r="B71" s="113"/>
      <c r="C71" s="193"/>
      <c r="D71" s="199" t="s">
        <v>1767</v>
      </c>
      <c r="E71" s="200"/>
      <c r="F71" s="105" t="s">
        <v>742</v>
      </c>
      <c r="G71" s="106"/>
      <c r="H71" s="11"/>
      <c r="I71" s="201" t="s">
        <v>1768</v>
      </c>
      <c r="J71" s="202"/>
      <c r="K71" s="190" t="s">
        <v>734</v>
      </c>
      <c r="L71" s="2182"/>
      <c r="M71" s="93"/>
      <c r="N71" s="153">
        <v>1</v>
      </c>
      <c r="O71" s="93"/>
      <c r="P71" s="2183"/>
      <c r="Q71" s="2182"/>
      <c r="R71" s="93"/>
      <c r="S71" s="153">
        <v>5</v>
      </c>
      <c r="T71" s="93"/>
      <c r="U71" s="2183"/>
      <c r="V71" s="2182"/>
      <c r="W71" s="93"/>
      <c r="X71" s="153">
        <v>7</v>
      </c>
      <c r="Y71" s="93"/>
      <c r="Z71" s="2183"/>
      <c r="AA71" s="2182"/>
      <c r="AB71" s="93"/>
      <c r="AC71" s="153">
        <v>1</v>
      </c>
      <c r="AD71" s="93"/>
      <c r="AF71" s="4490"/>
      <c r="AG71" s="138"/>
      <c r="AH71" s="138"/>
      <c r="AI71" s="4495"/>
      <c r="AJ71" s="18"/>
    </row>
    <row r="72" spans="1:37" ht="20.100000000000001" customHeight="1">
      <c r="B72" s="113"/>
      <c r="C72" s="203"/>
      <c r="D72" s="204" t="s">
        <v>1769</v>
      </c>
      <c r="E72" s="205"/>
      <c r="F72" s="105" t="s">
        <v>742</v>
      </c>
      <c r="G72" s="106"/>
      <c r="H72" s="206"/>
      <c r="I72" s="207" t="s">
        <v>1770</v>
      </c>
      <c r="J72" s="208"/>
      <c r="K72" s="190" t="s">
        <v>734</v>
      </c>
      <c r="L72" s="2182"/>
      <c r="M72" s="93"/>
      <c r="N72" s="153">
        <v>0</v>
      </c>
      <c r="O72" s="93"/>
      <c r="P72" s="2183"/>
      <c r="Q72" s="2182"/>
      <c r="R72" s="93"/>
      <c r="S72" s="153">
        <v>1</v>
      </c>
      <c r="T72" s="93"/>
      <c r="U72" s="2183"/>
      <c r="V72" s="2182"/>
      <c r="W72" s="93"/>
      <c r="X72" s="153">
        <v>3</v>
      </c>
      <c r="Y72" s="93"/>
      <c r="Z72" s="2183"/>
      <c r="AA72" s="2182"/>
      <c r="AB72" s="93"/>
      <c r="AC72" s="153">
        <v>1</v>
      </c>
      <c r="AD72" s="93"/>
      <c r="AE72" s="2183"/>
      <c r="AF72" s="4490"/>
      <c r="AG72" s="138"/>
      <c r="AH72" s="138"/>
      <c r="AI72" s="4495"/>
      <c r="AJ72" s="18"/>
    </row>
    <row r="73" spans="1:37" ht="20.100000000000001" customHeight="1">
      <c r="B73" s="113"/>
      <c r="C73" s="203"/>
      <c r="D73" s="204" t="s">
        <v>1771</v>
      </c>
      <c r="E73" s="205"/>
      <c r="F73" s="105" t="s">
        <v>156</v>
      </c>
      <c r="G73" s="106"/>
      <c r="H73" s="206"/>
      <c r="I73" s="210" t="s">
        <v>1772</v>
      </c>
      <c r="J73" s="211"/>
      <c r="K73" s="190" t="s">
        <v>156</v>
      </c>
      <c r="L73" s="2182"/>
      <c r="M73" s="93"/>
      <c r="N73" s="153">
        <v>0</v>
      </c>
      <c r="O73" s="93"/>
      <c r="P73" s="2183"/>
      <c r="Q73" s="2182"/>
      <c r="R73" s="93"/>
      <c r="S73" s="153">
        <v>25</v>
      </c>
      <c r="T73" s="93"/>
      <c r="U73" s="2183"/>
      <c r="V73" s="2182"/>
      <c r="W73" s="93"/>
      <c r="X73" s="153">
        <v>43</v>
      </c>
      <c r="Y73" s="93"/>
      <c r="Z73" s="2183"/>
      <c r="AA73" s="2182"/>
      <c r="AB73" s="93"/>
      <c r="AC73" s="153">
        <v>100</v>
      </c>
      <c r="AD73" s="93"/>
      <c r="AE73" s="2183"/>
      <c r="AF73" s="4490"/>
      <c r="AG73" s="138"/>
      <c r="AH73" s="138"/>
      <c r="AI73" s="4495"/>
      <c r="AJ73" s="18"/>
    </row>
    <row r="74" spans="1:37" ht="20.100000000000001" customHeight="1">
      <c r="B74" s="113"/>
      <c r="C74" s="213"/>
      <c r="D74" s="204" t="s">
        <v>863</v>
      </c>
      <c r="E74" s="205"/>
      <c r="F74" s="105" t="s">
        <v>156</v>
      </c>
      <c r="G74" s="106"/>
      <c r="H74" s="116"/>
      <c r="I74" s="214" t="s">
        <v>1773</v>
      </c>
      <c r="J74" s="211"/>
      <c r="K74" s="99" t="s">
        <v>156</v>
      </c>
      <c r="L74" s="2182"/>
      <c r="M74" s="93"/>
      <c r="N74" s="153">
        <v>0</v>
      </c>
      <c r="O74" s="93"/>
      <c r="P74" s="2183"/>
      <c r="Q74" s="2182"/>
      <c r="R74" s="93"/>
      <c r="S74" s="153">
        <v>0.04</v>
      </c>
      <c r="T74" s="93"/>
      <c r="U74" s="2183"/>
      <c r="V74" s="2182"/>
      <c r="W74" s="93"/>
      <c r="X74" s="153">
        <v>0.7</v>
      </c>
      <c r="Y74" s="93"/>
      <c r="Z74" s="2183"/>
      <c r="AA74" s="2182"/>
      <c r="AB74" s="93"/>
      <c r="AC74" s="153">
        <v>0.4</v>
      </c>
      <c r="AD74" s="93"/>
      <c r="AE74" s="2183"/>
      <c r="AF74" s="4490"/>
      <c r="AG74" s="138"/>
      <c r="AH74" s="138"/>
      <c r="AI74" s="4494"/>
      <c r="AJ74" s="18"/>
    </row>
    <row r="75" spans="1:37" ht="20.100000000000001" customHeight="1">
      <c r="B75" s="113"/>
      <c r="C75" s="166" t="s">
        <v>187</v>
      </c>
      <c r="D75" s="167"/>
      <c r="E75" s="167"/>
      <c r="F75" s="2371" t="s">
        <v>168</v>
      </c>
      <c r="G75" s="168"/>
      <c r="H75" s="167" t="s">
        <v>1776</v>
      </c>
      <c r="I75" s="167"/>
      <c r="J75" s="167"/>
      <c r="K75" s="169" t="s">
        <v>168</v>
      </c>
      <c r="L75" s="2378"/>
      <c r="M75" s="216"/>
      <c r="N75" s="215"/>
      <c r="O75" s="216"/>
      <c r="P75" s="2379"/>
      <c r="Q75" s="2378"/>
      <c r="R75" s="216"/>
      <c r="S75" s="215"/>
      <c r="T75" s="216"/>
      <c r="U75" s="2379"/>
      <c r="V75" s="2378"/>
      <c r="W75" s="216"/>
      <c r="X75" s="215"/>
      <c r="Y75" s="216"/>
      <c r="Z75" s="2379"/>
      <c r="AA75" s="2378"/>
      <c r="AB75" s="216"/>
      <c r="AC75" s="215"/>
      <c r="AD75" s="216"/>
      <c r="AE75" s="2379"/>
      <c r="AF75" s="4490"/>
      <c r="AG75" s="218"/>
      <c r="AH75" s="218"/>
      <c r="AI75" s="4496"/>
      <c r="AJ75" s="18"/>
    </row>
    <row r="76" spans="1:37" ht="20.100000000000001" customHeight="1">
      <c r="B76" s="113"/>
      <c r="C76" s="193"/>
      <c r="D76" s="222" t="s">
        <v>191</v>
      </c>
      <c r="E76" s="223"/>
      <c r="F76" s="105" t="s">
        <v>156</v>
      </c>
      <c r="G76" s="106"/>
      <c r="H76" s="224"/>
      <c r="I76" s="225" t="s">
        <v>192</v>
      </c>
      <c r="J76" s="226"/>
      <c r="K76" s="219" t="s">
        <v>156</v>
      </c>
      <c r="L76" s="2188"/>
      <c r="M76" s="227"/>
      <c r="N76" s="94"/>
      <c r="O76" s="227"/>
      <c r="P76" s="2380"/>
      <c r="Q76" s="2188">
        <v>44.7</v>
      </c>
      <c r="R76" s="227"/>
      <c r="S76" s="94"/>
      <c r="T76" s="227"/>
      <c r="U76" s="2380"/>
      <c r="V76" s="2188">
        <v>50</v>
      </c>
      <c r="W76" s="227"/>
      <c r="X76" s="94"/>
      <c r="Y76" s="227"/>
      <c r="Z76" s="2380"/>
      <c r="AA76" s="2188"/>
      <c r="AB76" s="227"/>
      <c r="AC76" s="94"/>
      <c r="AD76" s="227"/>
      <c r="AE76" s="2380"/>
      <c r="AF76" s="4497"/>
      <c r="AG76" s="218"/>
      <c r="AH76" s="218"/>
      <c r="AI76" s="4498"/>
      <c r="AJ76" s="18"/>
    </row>
    <row r="77" spans="1:37" ht="41.65" customHeight="1" thickBot="1">
      <c r="B77" s="113"/>
      <c r="C77" s="4499"/>
      <c r="D77" s="4500" t="s">
        <v>194</v>
      </c>
      <c r="E77" s="145"/>
      <c r="F77" s="4501" t="s">
        <v>156</v>
      </c>
      <c r="G77" s="232"/>
      <c r="H77" s="233"/>
      <c r="I77" s="234" t="s">
        <v>195</v>
      </c>
      <c r="J77" s="235"/>
      <c r="K77" s="236" t="s">
        <v>156</v>
      </c>
      <c r="L77" s="2190">
        <v>100</v>
      </c>
      <c r="M77" s="239"/>
      <c r="N77" s="240">
        <v>100</v>
      </c>
      <c r="O77" s="239"/>
      <c r="P77" s="2381"/>
      <c r="Q77" s="2190"/>
      <c r="R77" s="239"/>
      <c r="S77" s="240"/>
      <c r="T77" s="239"/>
      <c r="U77" s="2381"/>
      <c r="V77" s="2190">
        <v>100</v>
      </c>
      <c r="W77" s="239"/>
      <c r="X77" s="240">
        <v>100</v>
      </c>
      <c r="Y77" s="239"/>
      <c r="Z77" s="2381"/>
      <c r="AA77" s="2190"/>
      <c r="AB77" s="239"/>
      <c r="AC77" s="240"/>
      <c r="AD77" s="239"/>
      <c r="AE77" s="2381"/>
      <c r="AF77" s="4502"/>
      <c r="AG77" s="4503"/>
      <c r="AH77" s="4503"/>
      <c r="AI77" s="4504"/>
      <c r="AJ77" s="18"/>
    </row>
    <row r="78" spans="1:37" ht="27.75" thickTop="1" thickBot="1">
      <c r="A78" s="50"/>
      <c r="B78" s="4505" t="s">
        <v>2281</v>
      </c>
      <c r="C78" s="1742" t="s">
        <v>197</v>
      </c>
      <c r="D78" s="244"/>
      <c r="E78" s="244"/>
      <c r="F78" s="245"/>
      <c r="G78" s="246" t="s">
        <v>198</v>
      </c>
      <c r="H78" s="247"/>
      <c r="I78" s="247"/>
      <c r="J78" s="247"/>
      <c r="K78" s="247"/>
      <c r="L78" s="2382"/>
      <c r="M78" s="248"/>
      <c r="N78" s="248"/>
      <c r="O78" s="248"/>
      <c r="P78" s="2383"/>
      <c r="Q78" s="2382"/>
      <c r="R78" s="248"/>
      <c r="S78" s="248"/>
      <c r="T78" s="248"/>
      <c r="U78" s="2383"/>
      <c r="V78" s="2382"/>
      <c r="W78" s="248"/>
      <c r="X78" s="248"/>
      <c r="Y78" s="248"/>
      <c r="Z78" s="2383"/>
      <c r="AA78" s="2382"/>
      <c r="AB78" s="248"/>
      <c r="AC78" s="248"/>
      <c r="AD78" s="248"/>
      <c r="AE78" s="2383"/>
      <c r="AF78" s="4506"/>
      <c r="AG78" s="250"/>
      <c r="AH78" s="250"/>
      <c r="AI78" s="251"/>
      <c r="AJ78" s="18"/>
      <c r="AK78" s="54"/>
    </row>
    <row r="79" spans="1:37" ht="27" thickBot="1">
      <c r="B79" s="4505" t="s">
        <v>2281</v>
      </c>
      <c r="C79" s="123" t="s">
        <v>199</v>
      </c>
      <c r="D79" s="124"/>
      <c r="E79" s="124"/>
      <c r="F79" s="78"/>
      <c r="G79" s="125" t="s">
        <v>200</v>
      </c>
      <c r="H79" s="126"/>
      <c r="I79" s="126"/>
      <c r="J79" s="126"/>
      <c r="K79" s="78"/>
      <c r="L79" s="2175"/>
      <c r="M79" s="148"/>
      <c r="N79" s="148"/>
      <c r="O79" s="148"/>
      <c r="P79" s="2176"/>
      <c r="Q79" s="2175"/>
      <c r="R79" s="148"/>
      <c r="S79" s="148"/>
      <c r="T79" s="148"/>
      <c r="U79" s="2176"/>
      <c r="V79" s="2175"/>
      <c r="W79" s="148"/>
      <c r="X79" s="148"/>
      <c r="Y79" s="148"/>
      <c r="Z79" s="2176"/>
      <c r="AA79" s="2175"/>
      <c r="AB79" s="148"/>
      <c r="AC79" s="148"/>
      <c r="AD79" s="148"/>
      <c r="AE79" s="2176"/>
      <c r="AF79" s="4493"/>
      <c r="AG79" s="129"/>
      <c r="AH79" s="129"/>
      <c r="AI79" s="1953"/>
      <c r="AJ79" s="18"/>
    </row>
    <row r="80" spans="1:37" ht="19.899999999999999" customHeight="1">
      <c r="B80" s="4505" t="s">
        <v>2281</v>
      </c>
      <c r="C80" s="10102" t="s">
        <v>648</v>
      </c>
      <c r="D80" s="9764"/>
      <c r="E80" s="9764"/>
      <c r="F80" s="252" t="s">
        <v>212</v>
      </c>
      <c r="G80" s="4507"/>
      <c r="H80" s="140" t="s">
        <v>202</v>
      </c>
      <c r="I80" s="254"/>
      <c r="J80" s="254"/>
      <c r="K80" s="255" t="s">
        <v>212</v>
      </c>
      <c r="L80" s="2228"/>
      <c r="M80" s="261"/>
      <c r="N80" s="260"/>
      <c r="O80" s="259"/>
      <c r="P80" s="2187"/>
      <c r="Q80" s="2186"/>
      <c r="R80" s="259"/>
      <c r="S80" s="100"/>
      <c r="T80" s="259"/>
      <c r="U80" s="2187"/>
      <c r="V80" s="2186"/>
      <c r="W80" s="259"/>
      <c r="X80" s="100"/>
      <c r="Y80" s="259"/>
      <c r="Z80" s="2187"/>
      <c r="AA80" s="4811" t="s">
        <v>641</v>
      </c>
      <c r="AB80" s="5145"/>
      <c r="AC80" s="209" t="s">
        <v>641</v>
      </c>
      <c r="AD80" s="5145"/>
      <c r="AE80" s="5146" t="s">
        <v>641</v>
      </c>
      <c r="AF80" s="4490"/>
      <c r="AG80" s="138"/>
      <c r="AH80" s="138"/>
      <c r="AI80" s="4508" t="s">
        <v>207</v>
      </c>
      <c r="AJ80" s="18"/>
    </row>
    <row r="81" spans="2:36" ht="19.899999999999999" customHeight="1">
      <c r="B81" s="4509" t="s">
        <v>2281</v>
      </c>
      <c r="C81" s="10064"/>
      <c r="D81" s="266" t="s">
        <v>210</v>
      </c>
      <c r="E81" s="266"/>
      <c r="F81" s="132" t="s">
        <v>212</v>
      </c>
      <c r="G81" s="4510"/>
      <c r="H81" s="11"/>
      <c r="I81" s="1065" t="s">
        <v>211</v>
      </c>
      <c r="J81" s="1066"/>
      <c r="K81" s="136" t="s">
        <v>212</v>
      </c>
      <c r="L81" s="2228"/>
      <c r="M81" s="273"/>
      <c r="N81" s="260"/>
      <c r="O81" s="275"/>
      <c r="P81" s="2187"/>
      <c r="Q81" s="2186"/>
      <c r="R81" s="275"/>
      <c r="S81" s="100"/>
      <c r="T81" s="275"/>
      <c r="U81" s="2187"/>
      <c r="V81" s="2186"/>
      <c r="W81" s="275"/>
      <c r="X81" s="100"/>
      <c r="Y81" s="275"/>
      <c r="Z81" s="2187"/>
      <c r="AA81" s="4811" t="s">
        <v>641</v>
      </c>
      <c r="AB81" s="5147"/>
      <c r="AC81" s="209" t="s">
        <v>641</v>
      </c>
      <c r="AD81" s="5147"/>
      <c r="AE81" s="5146" t="s">
        <v>641</v>
      </c>
      <c r="AF81" s="4490"/>
      <c r="AG81" s="138"/>
      <c r="AH81" s="138"/>
      <c r="AI81" s="4508" t="s">
        <v>215</v>
      </c>
      <c r="AJ81" s="18"/>
    </row>
    <row r="82" spans="2:36" ht="19.899999999999999" customHeight="1">
      <c r="B82" s="4505" t="s">
        <v>2281</v>
      </c>
      <c r="C82" s="10065"/>
      <c r="D82" s="266" t="s">
        <v>1779</v>
      </c>
      <c r="E82" s="266"/>
      <c r="F82" s="132" t="s">
        <v>203</v>
      </c>
      <c r="G82" s="4510"/>
      <c r="H82" s="11"/>
      <c r="I82" s="1065" t="s">
        <v>218</v>
      </c>
      <c r="J82" s="1066"/>
      <c r="K82" s="136" t="s">
        <v>203</v>
      </c>
      <c r="L82" s="2228"/>
      <c r="M82" s="273"/>
      <c r="N82" s="260"/>
      <c r="O82" s="275"/>
      <c r="P82" s="2187"/>
      <c r="Q82" s="2186"/>
      <c r="R82" s="275"/>
      <c r="S82" s="100"/>
      <c r="T82" s="275"/>
      <c r="U82" s="2187"/>
      <c r="V82" s="2186"/>
      <c r="W82" s="275"/>
      <c r="X82" s="100"/>
      <c r="Y82" s="275"/>
      <c r="Z82" s="2187"/>
      <c r="AA82" s="4811" t="s">
        <v>641</v>
      </c>
      <c r="AB82" s="5147"/>
      <c r="AC82" s="209" t="s">
        <v>641</v>
      </c>
      <c r="AD82" s="5147"/>
      <c r="AE82" s="5146" t="s">
        <v>641</v>
      </c>
      <c r="AF82" s="4490"/>
      <c r="AG82" s="138"/>
      <c r="AH82" s="138"/>
      <c r="AI82" s="1244" t="s">
        <v>221</v>
      </c>
      <c r="AJ82" s="18"/>
    </row>
    <row r="83" spans="2:36" ht="20.100000000000001" customHeight="1">
      <c r="B83" s="4505" t="s">
        <v>2281</v>
      </c>
      <c r="C83" s="1758" t="s">
        <v>223</v>
      </c>
      <c r="D83" s="104"/>
      <c r="E83" s="104"/>
      <c r="F83" s="280" t="s">
        <v>653</v>
      </c>
      <c r="G83" s="4510"/>
      <c r="H83" s="143" t="s">
        <v>224</v>
      </c>
      <c r="I83" s="143"/>
      <c r="J83" s="144"/>
      <c r="K83" s="281" t="s">
        <v>225</v>
      </c>
      <c r="L83" s="2196" t="str">
        <f t="shared" ref="L83" si="0">IFERROR(L84/L85,"-")</f>
        <v>-</v>
      </c>
      <c r="M83" s="275"/>
      <c r="N83" s="282" t="str">
        <f>IFERROR(N84/N85,"-")</f>
        <v>-</v>
      </c>
      <c r="O83" s="275"/>
      <c r="P83" s="2197" t="str">
        <f>IFERROR(P84/P85,"-")</f>
        <v>-</v>
      </c>
      <c r="Q83" s="2196" t="str">
        <f>IFERROR(Q84/Q85,"-")</f>
        <v>-</v>
      </c>
      <c r="R83" s="275"/>
      <c r="S83" s="282" t="str">
        <f>IFERROR(S84/S85,"-")</f>
        <v>-</v>
      </c>
      <c r="T83" s="275"/>
      <c r="U83" s="2197" t="str">
        <f>IFERROR(U84/U85,"-")</f>
        <v>-</v>
      </c>
      <c r="V83" s="2196" t="str">
        <f>IFERROR(V84/V85,"-")</f>
        <v>-</v>
      </c>
      <c r="W83" s="275"/>
      <c r="X83" s="282" t="str">
        <f>IFERROR(X84/X85,"-")</f>
        <v>-</v>
      </c>
      <c r="Y83" s="275"/>
      <c r="Z83" s="2197" t="str">
        <f>IFERROR(Z84/Z85,"-")</f>
        <v>-</v>
      </c>
      <c r="AA83" s="5148" t="str">
        <f>IFERROR(AA84/AA85,"-")</f>
        <v>-</v>
      </c>
      <c r="AB83" s="5147"/>
      <c r="AC83" s="5149" t="str">
        <f>IFERROR(AC84/AC85,"-")</f>
        <v>-</v>
      </c>
      <c r="AD83" s="5147"/>
      <c r="AE83" s="5150" t="str">
        <f>IFERROR(AE84/AE85,"-")</f>
        <v>-</v>
      </c>
      <c r="AF83" s="4490"/>
      <c r="AG83" s="138"/>
      <c r="AH83" s="138"/>
      <c r="AI83" s="4508" t="s">
        <v>228</v>
      </c>
      <c r="AJ83" s="18"/>
    </row>
    <row r="84" spans="2:36" ht="19.899999999999999" customHeight="1">
      <c r="B84" s="4505" t="s">
        <v>2281</v>
      </c>
      <c r="C84" s="10069"/>
      <c r="D84" s="161" t="s">
        <v>230</v>
      </c>
      <c r="E84" s="161"/>
      <c r="F84" s="285" t="s">
        <v>212</v>
      </c>
      <c r="G84" s="4511"/>
      <c r="H84" s="287"/>
      <c r="I84" s="184" t="s">
        <v>231</v>
      </c>
      <c r="J84" s="141"/>
      <c r="K84" s="109" t="s">
        <v>212</v>
      </c>
      <c r="L84" s="2186"/>
      <c r="M84" s="293"/>
      <c r="N84" s="100"/>
      <c r="O84" s="293"/>
      <c r="P84" s="2187"/>
      <c r="Q84" s="2186"/>
      <c r="R84" s="293"/>
      <c r="S84" s="100"/>
      <c r="T84" s="293"/>
      <c r="U84" s="2187"/>
      <c r="V84" s="2186"/>
      <c r="W84" s="293"/>
      <c r="X84" s="100"/>
      <c r="Y84" s="275"/>
      <c r="Z84" s="2187"/>
      <c r="AA84" s="4811" t="s">
        <v>641</v>
      </c>
      <c r="AB84" s="4819"/>
      <c r="AC84" s="209" t="s">
        <v>641</v>
      </c>
      <c r="AD84" s="4819"/>
      <c r="AE84" s="5146" t="s">
        <v>641</v>
      </c>
      <c r="AF84" s="4490"/>
      <c r="AG84" s="138"/>
      <c r="AH84" s="138"/>
      <c r="AI84" s="4508" t="s">
        <v>228</v>
      </c>
      <c r="AJ84" s="18"/>
    </row>
    <row r="85" spans="2:36" ht="20.100000000000001" customHeight="1" thickBot="1">
      <c r="B85" s="4505" t="s">
        <v>2281</v>
      </c>
      <c r="C85" s="10076"/>
      <c r="D85" s="104" t="s">
        <v>232</v>
      </c>
      <c r="E85" s="161"/>
      <c r="F85" s="295" t="s">
        <v>233</v>
      </c>
      <c r="G85" s="4512"/>
      <c r="H85" s="296"/>
      <c r="I85" s="184" t="s">
        <v>234</v>
      </c>
      <c r="J85" s="141"/>
      <c r="K85" s="281" t="s">
        <v>235</v>
      </c>
      <c r="L85" s="2186"/>
      <c r="M85" s="293"/>
      <c r="N85" s="100"/>
      <c r="O85" s="293"/>
      <c r="P85" s="2187"/>
      <c r="Q85" s="2186"/>
      <c r="R85" s="293"/>
      <c r="S85" s="100"/>
      <c r="T85" s="293"/>
      <c r="U85" s="2187"/>
      <c r="V85" s="2186"/>
      <c r="W85" s="293"/>
      <c r="X85" s="100"/>
      <c r="Y85" s="293"/>
      <c r="Z85" s="2187"/>
      <c r="AA85" s="4811">
        <v>35105</v>
      </c>
      <c r="AB85" s="4819"/>
      <c r="AC85" s="209">
        <v>86290</v>
      </c>
      <c r="AD85" s="4819"/>
      <c r="AE85" s="5146">
        <v>123595</v>
      </c>
      <c r="AF85" s="4490"/>
      <c r="AG85" s="138"/>
      <c r="AH85" s="138"/>
      <c r="AI85" s="4508" t="s">
        <v>228</v>
      </c>
      <c r="AJ85" s="18"/>
    </row>
    <row r="86" spans="2:36" ht="19.899999999999999" hidden="1" customHeight="1" thickBot="1">
      <c r="B86" s="1754"/>
      <c r="C86" s="1849" t="s">
        <v>237</v>
      </c>
      <c r="D86" s="161"/>
      <c r="E86" s="161"/>
      <c r="F86" s="285" t="s">
        <v>212</v>
      </c>
      <c r="G86" s="286"/>
      <c r="H86" s="140" t="s">
        <v>238</v>
      </c>
      <c r="I86" s="140"/>
      <c r="J86" s="141"/>
      <c r="K86" s="109" t="s">
        <v>212</v>
      </c>
      <c r="L86" s="2186"/>
      <c r="M86" s="92"/>
      <c r="N86" s="100"/>
      <c r="O86" s="92"/>
      <c r="P86" s="2187"/>
      <c r="Q86" s="2186"/>
      <c r="R86" s="92"/>
      <c r="S86" s="100"/>
      <c r="T86" s="92"/>
      <c r="U86" s="2187"/>
      <c r="V86" s="2186"/>
      <c r="W86" s="92"/>
      <c r="X86" s="100"/>
      <c r="Y86" s="92"/>
      <c r="Z86" s="2187"/>
      <c r="AA86" s="2186"/>
      <c r="AB86" s="92"/>
      <c r="AC86" s="100"/>
      <c r="AD86" s="92"/>
      <c r="AE86" s="2187"/>
      <c r="AF86" s="4490"/>
      <c r="AG86" s="138"/>
      <c r="AH86" s="138"/>
      <c r="AI86" s="4508" t="s">
        <v>241</v>
      </c>
      <c r="AJ86" s="18"/>
    </row>
    <row r="87" spans="2:36" ht="19.899999999999999" hidden="1" customHeight="1" thickBot="1">
      <c r="B87" s="4513"/>
      <c r="C87" s="1849" t="s">
        <v>656</v>
      </c>
      <c r="D87" s="104"/>
      <c r="E87" s="104"/>
      <c r="F87" s="105" t="s">
        <v>212</v>
      </c>
      <c r="G87" s="286"/>
      <c r="H87" s="300" t="s">
        <v>657</v>
      </c>
      <c r="I87" s="140"/>
      <c r="J87" s="141"/>
      <c r="K87" s="109" t="s">
        <v>212</v>
      </c>
      <c r="L87" s="2228"/>
      <c r="M87" s="304"/>
      <c r="N87" s="260"/>
      <c r="O87" s="92"/>
      <c r="P87" s="2187"/>
      <c r="Q87" s="2186"/>
      <c r="R87" s="92"/>
      <c r="S87" s="100"/>
      <c r="T87" s="92"/>
      <c r="U87" s="2187"/>
      <c r="V87" s="2186"/>
      <c r="W87" s="92"/>
      <c r="X87" s="100"/>
      <c r="Y87" s="92"/>
      <c r="Z87" s="2187"/>
      <c r="AA87" s="2186"/>
      <c r="AB87" s="92"/>
      <c r="AC87" s="100"/>
      <c r="AD87" s="92"/>
      <c r="AE87" s="2187"/>
      <c r="AF87" s="4490"/>
      <c r="AG87" s="138"/>
      <c r="AH87" s="138"/>
      <c r="AI87" s="4508" t="s">
        <v>250</v>
      </c>
      <c r="AJ87" s="18"/>
    </row>
    <row r="88" spans="2:36" ht="20.100000000000001" hidden="1" customHeight="1" thickBot="1">
      <c r="B88" s="4513"/>
      <c r="C88" s="4514"/>
      <c r="D88" s="306" t="s">
        <v>660</v>
      </c>
      <c r="E88" s="161"/>
      <c r="F88" s="285" t="s">
        <v>212</v>
      </c>
      <c r="G88" s="286"/>
      <c r="H88" s="307"/>
      <c r="I88" s="184" t="s">
        <v>248</v>
      </c>
      <c r="J88" s="141"/>
      <c r="K88" s="109" t="s">
        <v>212</v>
      </c>
      <c r="L88" s="2186"/>
      <c r="M88" s="92"/>
      <c r="N88" s="100"/>
      <c r="O88" s="92"/>
      <c r="P88" s="2187"/>
      <c r="Q88" s="2186"/>
      <c r="R88" s="92"/>
      <c r="S88" s="100"/>
      <c r="T88" s="92"/>
      <c r="U88" s="2187"/>
      <c r="V88" s="2186"/>
      <c r="W88" s="92"/>
      <c r="X88" s="100"/>
      <c r="Y88" s="92"/>
      <c r="Z88" s="2187"/>
      <c r="AA88" s="2186"/>
      <c r="AB88" s="92"/>
      <c r="AC88" s="100"/>
      <c r="AD88" s="92"/>
      <c r="AE88" s="2187"/>
      <c r="AF88" s="4515"/>
      <c r="AG88" s="138"/>
      <c r="AH88" s="138"/>
      <c r="AI88" s="4508" t="s">
        <v>250</v>
      </c>
      <c r="AJ88" s="18"/>
    </row>
    <row r="89" spans="2:36" ht="20.100000000000001" hidden="1" customHeight="1" thickBot="1">
      <c r="B89" s="4513"/>
      <c r="C89" s="4516"/>
      <c r="D89" s="306" t="s">
        <v>230</v>
      </c>
      <c r="E89" s="161"/>
      <c r="F89" s="285" t="s">
        <v>212</v>
      </c>
      <c r="G89" s="286"/>
      <c r="H89" s="310"/>
      <c r="I89" s="184" t="s">
        <v>231</v>
      </c>
      <c r="J89" s="141"/>
      <c r="K89" s="109" t="s">
        <v>212</v>
      </c>
      <c r="L89" s="2198">
        <f t="shared" ref="L89" si="1">L84</f>
        <v>0</v>
      </c>
      <c r="M89" s="92"/>
      <c r="N89" s="228">
        <f>N84</f>
        <v>0</v>
      </c>
      <c r="O89" s="92"/>
      <c r="P89" s="2189">
        <f>P84</f>
        <v>0</v>
      </c>
      <c r="Q89" s="2198">
        <f>Q84</f>
        <v>0</v>
      </c>
      <c r="R89" s="92"/>
      <c r="S89" s="228">
        <f>S84</f>
        <v>0</v>
      </c>
      <c r="T89" s="92"/>
      <c r="U89" s="2189">
        <f>U84</f>
        <v>0</v>
      </c>
      <c r="V89" s="2198">
        <f>V84</f>
        <v>0</v>
      </c>
      <c r="W89" s="92"/>
      <c r="X89" s="228">
        <f>X84</f>
        <v>0</v>
      </c>
      <c r="Y89" s="92"/>
      <c r="Z89" s="2189">
        <f>Z84</f>
        <v>0</v>
      </c>
      <c r="AA89" s="2198" t="str">
        <f>AA84</f>
        <v>N/A</v>
      </c>
      <c r="AB89" s="92"/>
      <c r="AC89" s="228" t="str">
        <f>AC84</f>
        <v>N/A</v>
      </c>
      <c r="AD89" s="92"/>
      <c r="AE89" s="2189" t="str">
        <f>AE84</f>
        <v>N/A</v>
      </c>
      <c r="AF89" s="4490"/>
      <c r="AG89" s="138"/>
      <c r="AH89" s="138"/>
      <c r="AI89" s="4508" t="s">
        <v>250</v>
      </c>
      <c r="AJ89" s="18"/>
    </row>
    <row r="90" spans="2:36" ht="20.100000000000001" hidden="1" customHeight="1" thickBot="1">
      <c r="B90" s="4505" t="s">
        <v>2281</v>
      </c>
      <c r="C90" s="4517" t="s">
        <v>661</v>
      </c>
      <c r="D90" s="4518"/>
      <c r="E90" s="4518"/>
      <c r="F90" s="4519" t="s">
        <v>168</v>
      </c>
      <c r="G90" s="311"/>
      <c r="H90" s="312" t="s">
        <v>244</v>
      </c>
      <c r="I90" s="4520"/>
      <c r="J90" s="4521"/>
      <c r="K90" s="315" t="s">
        <v>168</v>
      </c>
      <c r="L90" s="2384"/>
      <c r="M90" s="319"/>
      <c r="N90" s="318"/>
      <c r="O90" s="171"/>
      <c r="P90" s="2276"/>
      <c r="Q90" s="2275"/>
      <c r="R90" s="171"/>
      <c r="S90" s="320"/>
      <c r="T90" s="171"/>
      <c r="U90" s="2276"/>
      <c r="V90" s="2275"/>
      <c r="W90" s="171"/>
      <c r="X90" s="320"/>
      <c r="Y90" s="171"/>
      <c r="Z90" s="2276"/>
      <c r="AA90" s="2275"/>
      <c r="AB90" s="171"/>
      <c r="AC90" s="320"/>
      <c r="AD90" s="171"/>
      <c r="AE90" s="2276"/>
      <c r="AF90" s="4490"/>
      <c r="AG90" s="138"/>
      <c r="AH90" s="138"/>
      <c r="AI90" s="4508"/>
      <c r="AJ90" s="18"/>
    </row>
    <row r="91" spans="2:36" ht="20.100000000000001" hidden="1" customHeight="1" thickBot="1">
      <c r="B91" s="4505" t="s">
        <v>2281</v>
      </c>
      <c r="C91" s="4522"/>
      <c r="D91" s="306" t="s">
        <v>663</v>
      </c>
      <c r="E91" s="306"/>
      <c r="F91" s="285" t="s">
        <v>212</v>
      </c>
      <c r="G91" s="286"/>
      <c r="H91" s="287"/>
      <c r="I91" s="184" t="s">
        <v>664</v>
      </c>
      <c r="J91" s="141"/>
      <c r="K91" s="109" t="s">
        <v>212</v>
      </c>
      <c r="L91" s="2186"/>
      <c r="M91" s="92"/>
      <c r="N91" s="100"/>
      <c r="O91" s="92"/>
      <c r="P91" s="2187"/>
      <c r="Q91" s="2186"/>
      <c r="R91" s="92"/>
      <c r="S91" s="100"/>
      <c r="T91" s="92"/>
      <c r="U91" s="2187"/>
      <c r="V91" s="2186"/>
      <c r="W91" s="92"/>
      <c r="X91" s="100"/>
      <c r="Y91" s="92"/>
      <c r="Z91" s="2187"/>
      <c r="AA91" s="2186"/>
      <c r="AB91" s="92"/>
      <c r="AC91" s="100"/>
      <c r="AD91" s="92"/>
      <c r="AE91" s="2187"/>
      <c r="AF91" s="4490"/>
      <c r="AG91" s="138"/>
      <c r="AH91" s="138"/>
      <c r="AI91" s="1244"/>
      <c r="AJ91" s="18"/>
    </row>
    <row r="92" spans="2:36" ht="20.100000000000001" hidden="1" customHeight="1" thickBot="1">
      <c r="B92" s="4505" t="s">
        <v>2281</v>
      </c>
      <c r="C92" s="4523"/>
      <c r="D92" s="306" t="s">
        <v>665</v>
      </c>
      <c r="E92" s="306"/>
      <c r="F92" s="285" t="s">
        <v>212</v>
      </c>
      <c r="G92" s="286"/>
      <c r="H92" s="322"/>
      <c r="I92" s="184" t="s">
        <v>666</v>
      </c>
      <c r="J92" s="141"/>
      <c r="K92" s="109" t="s">
        <v>212</v>
      </c>
      <c r="L92" s="2186"/>
      <c r="M92" s="92"/>
      <c r="N92" s="100"/>
      <c r="O92" s="92"/>
      <c r="P92" s="2187"/>
      <c r="Q92" s="2186"/>
      <c r="R92" s="92"/>
      <c r="S92" s="100"/>
      <c r="T92" s="92"/>
      <c r="U92" s="2187"/>
      <c r="V92" s="2186"/>
      <c r="W92" s="92"/>
      <c r="X92" s="100"/>
      <c r="Y92" s="92"/>
      <c r="Z92" s="2187"/>
      <c r="AA92" s="2186"/>
      <c r="AB92" s="92"/>
      <c r="AC92" s="100"/>
      <c r="AD92" s="92"/>
      <c r="AE92" s="2187"/>
      <c r="AF92" s="4490"/>
      <c r="AG92" s="138"/>
      <c r="AH92" s="138"/>
      <c r="AI92" s="1244"/>
      <c r="AJ92" s="18"/>
    </row>
    <row r="93" spans="2:36" ht="20.100000000000001" hidden="1" customHeight="1" thickBot="1">
      <c r="B93" s="4505" t="s">
        <v>2281</v>
      </c>
      <c r="C93" s="4524"/>
      <c r="D93" s="323" t="s">
        <v>312</v>
      </c>
      <c r="E93" s="324"/>
      <c r="F93" s="285" t="s">
        <v>212</v>
      </c>
      <c r="G93" s="325"/>
      <c r="H93" s="326"/>
      <c r="I93" s="327" t="s">
        <v>244</v>
      </c>
      <c r="J93" s="287"/>
      <c r="K93" s="109" t="s">
        <v>212</v>
      </c>
      <c r="L93" s="2186"/>
      <c r="M93" s="92"/>
      <c r="N93" s="100"/>
      <c r="O93" s="92"/>
      <c r="P93" s="2187"/>
      <c r="Q93" s="2186"/>
      <c r="R93" s="92"/>
      <c r="S93" s="100"/>
      <c r="T93" s="92"/>
      <c r="U93" s="2187"/>
      <c r="V93" s="2186"/>
      <c r="W93" s="92"/>
      <c r="X93" s="100"/>
      <c r="Y93" s="92"/>
      <c r="Z93" s="2187"/>
      <c r="AA93" s="2186"/>
      <c r="AB93" s="92"/>
      <c r="AC93" s="100"/>
      <c r="AD93" s="92"/>
      <c r="AE93" s="2187"/>
      <c r="AF93" s="4490"/>
      <c r="AG93" s="138"/>
      <c r="AH93" s="138"/>
      <c r="AI93" s="1244"/>
      <c r="AJ93" s="18"/>
    </row>
    <row r="94" spans="2:36" ht="27" thickBot="1">
      <c r="B94" s="4505" t="s">
        <v>2281</v>
      </c>
      <c r="C94" s="123" t="s">
        <v>252</v>
      </c>
      <c r="D94" s="124"/>
      <c r="E94" s="124"/>
      <c r="F94" s="78"/>
      <c r="G94" s="125" t="s">
        <v>253</v>
      </c>
      <c r="H94" s="126"/>
      <c r="I94" s="126"/>
      <c r="J94" s="126"/>
      <c r="K94" s="78"/>
      <c r="L94" s="2175"/>
      <c r="M94" s="148"/>
      <c r="N94" s="148"/>
      <c r="O94" s="148"/>
      <c r="P94" s="2176"/>
      <c r="Q94" s="2175"/>
      <c r="R94" s="148"/>
      <c r="S94" s="148"/>
      <c r="T94" s="148"/>
      <c r="U94" s="2176"/>
      <c r="V94" s="2175"/>
      <c r="W94" s="148"/>
      <c r="X94" s="148"/>
      <c r="Y94" s="148"/>
      <c r="Z94" s="2176"/>
      <c r="AA94" s="2175"/>
      <c r="AB94" s="148"/>
      <c r="AC94" s="148"/>
      <c r="AD94" s="148"/>
      <c r="AE94" s="2176"/>
      <c r="AF94" s="4493"/>
      <c r="AG94" s="129"/>
      <c r="AH94" s="129"/>
      <c r="AI94" s="1006"/>
      <c r="AJ94" s="18"/>
    </row>
    <row r="95" spans="2:36" ht="20.100000000000001" customHeight="1">
      <c r="B95" s="4505" t="s">
        <v>2281</v>
      </c>
      <c r="C95" s="10154" t="s">
        <v>254</v>
      </c>
      <c r="D95" s="9755"/>
      <c r="E95" s="9755"/>
      <c r="F95" s="87" t="s">
        <v>255</v>
      </c>
      <c r="G95" s="4525"/>
      <c r="H95" s="9755" t="s">
        <v>256</v>
      </c>
      <c r="I95" s="9755"/>
      <c r="J95" s="9755"/>
      <c r="K95" s="91" t="s">
        <v>255</v>
      </c>
      <c r="L95" s="2201">
        <f t="shared" ref="L95" si="2">IFERROR(L96+L97,"-")</f>
        <v>0</v>
      </c>
      <c r="M95" s="332"/>
      <c r="N95" s="331">
        <f>IFERROR(N96+N97,"-")</f>
        <v>0</v>
      </c>
      <c r="O95" s="332"/>
      <c r="P95" s="2202">
        <f>IFERROR(P96+P97,"-")</f>
        <v>0</v>
      </c>
      <c r="Q95" s="2201">
        <f>IFERROR(Q96+Q97,"-")</f>
        <v>0</v>
      </c>
      <c r="R95" s="332"/>
      <c r="S95" s="331">
        <f>IFERROR(S96+S97,"-")</f>
        <v>0</v>
      </c>
      <c r="T95" s="332"/>
      <c r="U95" s="2202">
        <f>IFERROR(U96+U97,"-")</f>
        <v>0</v>
      </c>
      <c r="V95" s="2201">
        <f>IFERROR(V96+V97,"-")</f>
        <v>0</v>
      </c>
      <c r="W95" s="332"/>
      <c r="X95" s="331">
        <f>IFERROR(X96+X97,"-")</f>
        <v>0</v>
      </c>
      <c r="Y95" s="332"/>
      <c r="Z95" s="2202" t="str">
        <f>IFERROR(Z96+Z97,"-")</f>
        <v>-</v>
      </c>
      <c r="AA95" s="5151" t="str">
        <f>IFERROR(AA96+AA97,"-")</f>
        <v>-</v>
      </c>
      <c r="AB95" s="5152"/>
      <c r="AC95" s="5153" t="str">
        <f>IFERROR(AC96+AC97,"-")</f>
        <v>-</v>
      </c>
      <c r="AD95" s="5154"/>
      <c r="AE95" s="5155" t="s">
        <v>2300</v>
      </c>
      <c r="AF95" s="4490"/>
      <c r="AG95" s="138"/>
      <c r="AH95" s="138"/>
      <c r="AI95" s="4527" t="s">
        <v>259</v>
      </c>
      <c r="AJ95" s="18"/>
    </row>
    <row r="96" spans="2:36" ht="20.100000000000001" customHeight="1">
      <c r="B96" s="4505" t="s">
        <v>2281</v>
      </c>
      <c r="C96" s="4528"/>
      <c r="D96" s="9749" t="s">
        <v>262</v>
      </c>
      <c r="E96" s="9648"/>
      <c r="F96" s="87" t="s">
        <v>255</v>
      </c>
      <c r="G96" s="662"/>
      <c r="H96" s="287"/>
      <c r="I96" s="184" t="s">
        <v>263</v>
      </c>
      <c r="J96" s="296"/>
      <c r="K96" s="91" t="s">
        <v>255</v>
      </c>
      <c r="L96" s="2267"/>
      <c r="M96" s="342"/>
      <c r="N96" s="335"/>
      <c r="O96" s="342"/>
      <c r="P96" s="2268"/>
      <c r="Q96" s="2267"/>
      <c r="R96" s="342"/>
      <c r="S96" s="335"/>
      <c r="T96" s="342"/>
      <c r="U96" s="2268"/>
      <c r="V96" s="2267"/>
      <c r="W96" s="342"/>
      <c r="X96" s="335"/>
      <c r="Y96" s="342"/>
      <c r="Z96" s="2268" t="s">
        <v>169</v>
      </c>
      <c r="AA96" s="5156">
        <v>163.06</v>
      </c>
      <c r="AB96" s="5157"/>
      <c r="AC96" s="5158">
        <v>190.41</v>
      </c>
      <c r="AD96" s="5157"/>
      <c r="AE96" s="5159">
        <v>148.49</v>
      </c>
      <c r="AF96" s="4490"/>
      <c r="AG96" s="138"/>
      <c r="AH96" s="138"/>
      <c r="AI96" s="4527" t="s">
        <v>266</v>
      </c>
      <c r="AJ96" s="18"/>
    </row>
    <row r="97" spans="2:36" ht="20.100000000000001" customHeight="1">
      <c r="B97" s="4505" t="s">
        <v>2281</v>
      </c>
      <c r="C97" s="1945"/>
      <c r="D97" s="9749" t="s">
        <v>273</v>
      </c>
      <c r="E97" s="9648"/>
      <c r="F97" s="87" t="s">
        <v>255</v>
      </c>
      <c r="G97" s="662"/>
      <c r="H97" s="296"/>
      <c r="I97" s="344" t="s">
        <v>274</v>
      </c>
      <c r="J97" s="296"/>
      <c r="K97" s="91" t="s">
        <v>255</v>
      </c>
      <c r="L97" s="2267"/>
      <c r="M97" s="342"/>
      <c r="N97" s="335"/>
      <c r="O97" s="342"/>
      <c r="P97" s="2268"/>
      <c r="Q97" s="2267"/>
      <c r="R97" s="342"/>
      <c r="S97" s="335"/>
      <c r="T97" s="342"/>
      <c r="U97" s="2268"/>
      <c r="V97" s="2267"/>
      <c r="W97" s="342"/>
      <c r="X97" s="335"/>
      <c r="Y97" s="342"/>
      <c r="Z97" s="2268" t="s">
        <v>169</v>
      </c>
      <c r="AA97" s="5156" t="s">
        <v>641</v>
      </c>
      <c r="AB97" s="5157"/>
      <c r="AC97" s="5158" t="s">
        <v>641</v>
      </c>
      <c r="AD97" s="5157"/>
      <c r="AE97" s="5159" t="s">
        <v>641</v>
      </c>
      <c r="AF97" s="4490"/>
      <c r="AG97" s="138"/>
      <c r="AH97" s="138"/>
      <c r="AI97" s="4527" t="s">
        <v>277</v>
      </c>
      <c r="AJ97" s="18"/>
    </row>
    <row r="98" spans="2:36" ht="20.100000000000001" hidden="1" customHeight="1">
      <c r="B98" s="4505" t="s">
        <v>2281</v>
      </c>
      <c r="C98" s="10038" t="s">
        <v>296</v>
      </c>
      <c r="D98" s="9769"/>
      <c r="E98" s="9769"/>
      <c r="F98" s="280" t="s">
        <v>255</v>
      </c>
      <c r="G98" s="416"/>
      <c r="H98" s="143" t="s">
        <v>297</v>
      </c>
      <c r="I98" s="143"/>
      <c r="J98" s="144"/>
      <c r="K98" s="281" t="s">
        <v>255</v>
      </c>
      <c r="L98" s="2186"/>
      <c r="M98" s="293"/>
      <c r="N98" s="100"/>
      <c r="O98" s="293"/>
      <c r="P98" s="2187"/>
      <c r="Q98" s="2186"/>
      <c r="R98" s="293"/>
      <c r="S98" s="100"/>
      <c r="T98" s="293"/>
      <c r="U98" s="2187"/>
      <c r="V98" s="2186"/>
      <c r="W98" s="293"/>
      <c r="X98" s="100"/>
      <c r="Y98" s="293"/>
      <c r="Z98" s="2187"/>
      <c r="AA98" s="5156" t="s">
        <v>641</v>
      </c>
      <c r="AB98" s="4819"/>
      <c r="AC98" s="5158" t="s">
        <v>641</v>
      </c>
      <c r="AD98" s="4819"/>
      <c r="AE98" s="5159" t="s">
        <v>641</v>
      </c>
      <c r="AF98" s="4490"/>
      <c r="AG98" s="138"/>
      <c r="AH98" s="138"/>
      <c r="AI98" s="187" t="s">
        <v>300</v>
      </c>
      <c r="AJ98" s="18"/>
    </row>
    <row r="99" spans="2:36" ht="20.100000000000001" hidden="1" customHeight="1">
      <c r="B99" s="4505" t="s">
        <v>2281</v>
      </c>
      <c r="C99" s="4528"/>
      <c r="D99" s="9770" t="s">
        <v>303</v>
      </c>
      <c r="E99" s="9769"/>
      <c r="F99" s="280" t="s">
        <v>255</v>
      </c>
      <c r="G99" s="106"/>
      <c r="H99" s="348"/>
      <c r="I99" s="349" t="s">
        <v>2771</v>
      </c>
      <c r="J99" s="144"/>
      <c r="K99" s="281" t="s">
        <v>255</v>
      </c>
      <c r="L99" s="2186"/>
      <c r="M99" s="293"/>
      <c r="N99" s="100"/>
      <c r="O99" s="293"/>
      <c r="P99" s="2187"/>
      <c r="Q99" s="2186"/>
      <c r="R99" s="293"/>
      <c r="S99" s="100"/>
      <c r="T99" s="293"/>
      <c r="U99" s="2187"/>
      <c r="V99" s="2186"/>
      <c r="W99" s="293"/>
      <c r="X99" s="100"/>
      <c r="Y99" s="293"/>
      <c r="Z99" s="2187"/>
      <c r="AA99" s="4811" t="s">
        <v>641</v>
      </c>
      <c r="AB99" s="4819"/>
      <c r="AC99" s="209" t="s">
        <v>641</v>
      </c>
      <c r="AD99" s="4819"/>
      <c r="AE99" s="5146" t="s">
        <v>641</v>
      </c>
      <c r="AF99" s="4515"/>
      <c r="AG99" s="138"/>
      <c r="AH99" s="138"/>
      <c r="AI99" s="187" t="s">
        <v>300</v>
      </c>
      <c r="AJ99" s="18"/>
    </row>
    <row r="100" spans="2:36" ht="20.100000000000001" hidden="1" customHeight="1">
      <c r="B100" s="4505" t="s">
        <v>2281</v>
      </c>
      <c r="C100" s="1945"/>
      <c r="D100" s="9770" t="s">
        <v>1781</v>
      </c>
      <c r="E100" s="9769"/>
      <c r="F100" s="280" t="s">
        <v>255</v>
      </c>
      <c r="G100" s="106"/>
      <c r="H100" s="353"/>
      <c r="I100" s="349" t="s">
        <v>306</v>
      </c>
      <c r="J100" s="144"/>
      <c r="K100" s="280" t="s">
        <v>255</v>
      </c>
      <c r="L100" s="2205">
        <f t="shared" ref="L100" si="3">L111+L112</f>
        <v>0</v>
      </c>
      <c r="M100" s="293"/>
      <c r="N100" s="354">
        <f>N111+N112</f>
        <v>0</v>
      </c>
      <c r="O100" s="293"/>
      <c r="P100" s="2206">
        <f>P111+P112</f>
        <v>0</v>
      </c>
      <c r="Q100" s="2205">
        <f>Q111+Q112</f>
        <v>0</v>
      </c>
      <c r="R100" s="293"/>
      <c r="S100" s="354">
        <f>S111+S112</f>
        <v>0</v>
      </c>
      <c r="T100" s="293"/>
      <c r="U100" s="2206">
        <f>U111+U112</f>
        <v>0</v>
      </c>
      <c r="V100" s="2205">
        <f>V111+V112</f>
        <v>0</v>
      </c>
      <c r="W100" s="293"/>
      <c r="X100" s="354">
        <f>X111+X112</f>
        <v>0</v>
      </c>
      <c r="Y100" s="293"/>
      <c r="Z100" s="2206">
        <f>Z111+Z112</f>
        <v>0</v>
      </c>
      <c r="AA100" s="5160">
        <f>AA111+AA112</f>
        <v>164.06</v>
      </c>
      <c r="AB100" s="4819"/>
      <c r="AC100" s="5161">
        <f>AC111+AC112</f>
        <v>191.41</v>
      </c>
      <c r="AD100" s="4819"/>
      <c r="AE100" s="5162">
        <f>AE111+AE112</f>
        <v>149.49</v>
      </c>
      <c r="AF100" s="4490"/>
      <c r="AG100" s="138"/>
      <c r="AH100" s="138"/>
      <c r="AI100" s="187" t="s">
        <v>300</v>
      </c>
      <c r="AJ100" s="18"/>
    </row>
    <row r="101" spans="2:36" ht="20.100000000000001" customHeight="1">
      <c r="B101" s="4505" t="s">
        <v>2281</v>
      </c>
      <c r="C101" s="1775" t="s">
        <v>671</v>
      </c>
      <c r="D101" s="357"/>
      <c r="E101" s="104"/>
      <c r="F101" s="132" t="s">
        <v>255</v>
      </c>
      <c r="G101" s="106"/>
      <c r="H101" s="359" t="s">
        <v>263</v>
      </c>
      <c r="I101" s="359"/>
      <c r="J101" s="643"/>
      <c r="K101" s="136" t="s">
        <v>255</v>
      </c>
      <c r="L101" s="2385">
        <f t="shared" ref="L101" si="4">L102+L103</f>
        <v>0</v>
      </c>
      <c r="M101" s="342"/>
      <c r="N101" s="366">
        <f>N102+N103</f>
        <v>0</v>
      </c>
      <c r="O101" s="342"/>
      <c r="P101" s="2386">
        <f>P102+P103</f>
        <v>0</v>
      </c>
      <c r="Q101" s="2385">
        <f>Q102+Q103</f>
        <v>0</v>
      </c>
      <c r="R101" s="342"/>
      <c r="S101" s="366">
        <f>S102+S103</f>
        <v>0</v>
      </c>
      <c r="T101" s="342"/>
      <c r="U101" s="2386">
        <f>U102+U103</f>
        <v>0</v>
      </c>
      <c r="V101" s="2385">
        <f>V102+V103</f>
        <v>0</v>
      </c>
      <c r="W101" s="342"/>
      <c r="X101" s="366">
        <f>X102+X103</f>
        <v>0</v>
      </c>
      <c r="Y101" s="342"/>
      <c r="Z101" s="2386">
        <f>Z102+Z103</f>
        <v>0</v>
      </c>
      <c r="AA101" s="5163">
        <f>AA102+AA103</f>
        <v>163.09</v>
      </c>
      <c r="AB101" s="5157"/>
      <c r="AC101" s="5164">
        <f>AC102+AC103</f>
        <v>190.27</v>
      </c>
      <c r="AD101" s="5157"/>
      <c r="AE101" s="5165">
        <f>AE102+AE103</f>
        <v>149.5</v>
      </c>
      <c r="AF101" s="4490"/>
      <c r="AG101" s="138"/>
      <c r="AH101" s="138"/>
      <c r="AI101" s="4527" t="s">
        <v>269</v>
      </c>
      <c r="AJ101" s="18"/>
    </row>
    <row r="102" spans="2:36" ht="20.100000000000001" customHeight="1">
      <c r="B102" s="4505" t="s">
        <v>2281</v>
      </c>
      <c r="C102" s="4529"/>
      <c r="D102" s="9598" t="s">
        <v>267</v>
      </c>
      <c r="E102" s="9599"/>
      <c r="F102" s="132" t="s">
        <v>255</v>
      </c>
      <c r="G102" s="106"/>
      <c r="H102" s="353"/>
      <c r="I102" s="349" t="s">
        <v>268</v>
      </c>
      <c r="J102" s="144"/>
      <c r="K102" s="136" t="s">
        <v>255</v>
      </c>
      <c r="L102" s="2186"/>
      <c r="M102" s="342"/>
      <c r="N102" s="100"/>
      <c r="O102" s="342"/>
      <c r="P102" s="2187"/>
      <c r="Q102" s="2186"/>
      <c r="R102" s="342"/>
      <c r="S102" s="100"/>
      <c r="T102" s="342"/>
      <c r="U102" s="2187"/>
      <c r="V102" s="2186"/>
      <c r="W102" s="342"/>
      <c r="X102" s="100"/>
      <c r="Y102" s="342"/>
      <c r="Z102" s="2187"/>
      <c r="AA102" s="4811">
        <v>31.1</v>
      </c>
      <c r="AB102" s="5157"/>
      <c r="AC102" s="209">
        <v>48.5</v>
      </c>
      <c r="AD102" s="5157"/>
      <c r="AE102" s="5146">
        <v>26.9</v>
      </c>
      <c r="AF102" s="4490"/>
      <c r="AG102" s="138"/>
      <c r="AH102" s="138"/>
      <c r="AI102" s="4495" t="s">
        <v>269</v>
      </c>
      <c r="AJ102" s="18"/>
    </row>
    <row r="103" spans="2:36" ht="20.100000000000001" customHeight="1">
      <c r="B103" s="4505" t="s">
        <v>2281</v>
      </c>
      <c r="C103" s="4530"/>
      <c r="D103" s="9773" t="s">
        <v>270</v>
      </c>
      <c r="E103" s="9774"/>
      <c r="F103" s="295" t="s">
        <v>255</v>
      </c>
      <c r="G103" s="106"/>
      <c r="H103" s="353"/>
      <c r="I103" s="349" t="s">
        <v>271</v>
      </c>
      <c r="J103" s="144"/>
      <c r="K103" s="372" t="s">
        <v>255</v>
      </c>
      <c r="L103" s="2186"/>
      <c r="M103" s="342"/>
      <c r="N103" s="100"/>
      <c r="O103" s="342"/>
      <c r="P103" s="2187"/>
      <c r="Q103" s="2186"/>
      <c r="R103" s="342"/>
      <c r="S103" s="100"/>
      <c r="T103" s="342"/>
      <c r="U103" s="2187"/>
      <c r="V103" s="2186"/>
      <c r="W103" s="342"/>
      <c r="X103" s="100"/>
      <c r="Y103" s="342"/>
      <c r="Z103" s="2187"/>
      <c r="AA103" s="4811">
        <v>131.99</v>
      </c>
      <c r="AB103" s="5157"/>
      <c r="AC103" s="209">
        <v>141.77000000000001</v>
      </c>
      <c r="AD103" s="5157"/>
      <c r="AE103" s="5146">
        <v>122.6</v>
      </c>
      <c r="AF103" s="4490"/>
      <c r="AG103" s="138"/>
      <c r="AH103" s="138"/>
      <c r="AI103" s="4495" t="s">
        <v>269</v>
      </c>
      <c r="AJ103" s="18"/>
    </row>
    <row r="104" spans="2:36" ht="20.100000000000001" customHeight="1">
      <c r="B104" s="4505" t="s">
        <v>2281</v>
      </c>
      <c r="C104" s="266" t="s">
        <v>675</v>
      </c>
      <c r="D104" s="306"/>
      <c r="E104" s="161"/>
      <c r="F104" s="280" t="s">
        <v>255</v>
      </c>
      <c r="G104" s="416"/>
      <c r="H104" s="143" t="s">
        <v>274</v>
      </c>
      <c r="I104" s="143"/>
      <c r="J104" s="144"/>
      <c r="K104" s="281" t="s">
        <v>255</v>
      </c>
      <c r="L104" s="2342">
        <f t="shared" ref="L104" si="5">L105+L106+L107</f>
        <v>0</v>
      </c>
      <c r="M104" s="342"/>
      <c r="N104" s="378">
        <f>N105+N106+N107</f>
        <v>0</v>
      </c>
      <c r="O104" s="342"/>
      <c r="P104" s="2343">
        <f>P105+P106+P107</f>
        <v>0</v>
      </c>
      <c r="Q104" s="2342">
        <f>Q105+Q106+Q107</f>
        <v>0</v>
      </c>
      <c r="R104" s="342"/>
      <c r="S104" s="378">
        <f>S105+S106+S107</f>
        <v>0</v>
      </c>
      <c r="T104" s="342"/>
      <c r="U104" s="2343">
        <f>U105+U106+U107</f>
        <v>0</v>
      </c>
      <c r="V104" s="2342">
        <f>V105+V106+V107</f>
        <v>0</v>
      </c>
      <c r="W104" s="342"/>
      <c r="X104" s="378">
        <f>X105+X106+X107</f>
        <v>0</v>
      </c>
      <c r="Y104" s="342"/>
      <c r="Z104" s="2343">
        <f>Z105+Z106+Z107</f>
        <v>0</v>
      </c>
      <c r="AA104" s="5166" t="e">
        <f>AA105+AA106+AA107</f>
        <v>#VALUE!</v>
      </c>
      <c r="AB104" s="5157"/>
      <c r="AC104" s="5167" t="e">
        <f>AC105+AC106+AC107</f>
        <v>#VALUE!</v>
      </c>
      <c r="AD104" s="5157"/>
      <c r="AE104" s="5168" t="e">
        <f>AE105+AE106+AE107</f>
        <v>#VALUE!</v>
      </c>
      <c r="AF104" s="4490"/>
      <c r="AG104" s="138"/>
      <c r="AH104" s="138"/>
      <c r="AI104" s="4527" t="s">
        <v>280</v>
      </c>
      <c r="AJ104" s="18"/>
    </row>
    <row r="105" spans="2:36" ht="20.100000000000001" customHeight="1">
      <c r="B105" s="4505" t="s">
        <v>2281</v>
      </c>
      <c r="C105" s="4528"/>
      <c r="D105" s="306" t="s">
        <v>278</v>
      </c>
      <c r="E105" s="306"/>
      <c r="F105" s="280" t="s">
        <v>255</v>
      </c>
      <c r="G105" s="106"/>
      <c r="H105" s="348"/>
      <c r="I105" s="349" t="s">
        <v>279</v>
      </c>
      <c r="J105" s="144"/>
      <c r="K105" s="281" t="s">
        <v>255</v>
      </c>
      <c r="L105" s="2186"/>
      <c r="M105" s="342"/>
      <c r="N105" s="100"/>
      <c r="O105" s="342"/>
      <c r="P105" s="2187"/>
      <c r="Q105" s="2186"/>
      <c r="R105" s="342"/>
      <c r="S105" s="100"/>
      <c r="T105" s="342"/>
      <c r="U105" s="2187"/>
      <c r="V105" s="2186"/>
      <c r="W105" s="342"/>
      <c r="X105" s="100"/>
      <c r="Y105" s="342"/>
      <c r="Z105" s="2187"/>
      <c r="AA105" s="4811">
        <v>0</v>
      </c>
      <c r="AB105" s="5157"/>
      <c r="AC105" s="209">
        <v>0</v>
      </c>
      <c r="AD105" s="5157"/>
      <c r="AE105" s="5146">
        <v>0</v>
      </c>
      <c r="AF105" s="4490"/>
      <c r="AG105" s="138"/>
      <c r="AH105" s="138"/>
      <c r="AI105" s="4527" t="s">
        <v>280</v>
      </c>
      <c r="AJ105" s="18"/>
    </row>
    <row r="106" spans="2:36" ht="20.100000000000001" customHeight="1">
      <c r="B106" s="4505" t="s">
        <v>2281</v>
      </c>
      <c r="C106" s="4531"/>
      <c r="D106" s="9773" t="s">
        <v>281</v>
      </c>
      <c r="E106" s="9774"/>
      <c r="F106" s="280" t="s">
        <v>255</v>
      </c>
      <c r="G106" s="106"/>
      <c r="H106" s="353"/>
      <c r="I106" s="184" t="s">
        <v>282</v>
      </c>
      <c r="J106" s="141"/>
      <c r="K106" s="281" t="s">
        <v>255</v>
      </c>
      <c r="L106" s="2186"/>
      <c r="M106" s="342"/>
      <c r="N106" s="100"/>
      <c r="O106" s="342"/>
      <c r="P106" s="2187"/>
      <c r="Q106" s="2186"/>
      <c r="R106" s="342"/>
      <c r="S106" s="100"/>
      <c r="T106" s="342"/>
      <c r="U106" s="2187"/>
      <c r="V106" s="2186"/>
      <c r="W106" s="342"/>
      <c r="X106" s="100"/>
      <c r="Y106" s="342"/>
      <c r="Z106" s="2187"/>
      <c r="AA106" s="4811" t="s">
        <v>641</v>
      </c>
      <c r="AB106" s="5157"/>
      <c r="AC106" s="209" t="s">
        <v>641</v>
      </c>
      <c r="AD106" s="5157"/>
      <c r="AE106" s="5146" t="s">
        <v>641</v>
      </c>
      <c r="AF106" s="4490"/>
      <c r="AG106" s="138"/>
      <c r="AH106" s="138"/>
      <c r="AI106" s="4527" t="s">
        <v>280</v>
      </c>
      <c r="AJ106" s="18"/>
    </row>
    <row r="107" spans="2:36" ht="20.100000000000001" customHeight="1">
      <c r="B107" s="4505" t="s">
        <v>2281</v>
      </c>
      <c r="C107" s="1945"/>
      <c r="D107" s="9598" t="s">
        <v>283</v>
      </c>
      <c r="E107" s="9599"/>
      <c r="F107" s="280" t="s">
        <v>255</v>
      </c>
      <c r="G107" s="106"/>
      <c r="H107" s="385"/>
      <c r="I107" s="184" t="s">
        <v>284</v>
      </c>
      <c r="J107" s="141"/>
      <c r="K107" s="281" t="s">
        <v>255</v>
      </c>
      <c r="L107" s="2186"/>
      <c r="M107" s="342"/>
      <c r="N107" s="100"/>
      <c r="O107" s="342"/>
      <c r="P107" s="2187"/>
      <c r="Q107" s="2186"/>
      <c r="R107" s="342"/>
      <c r="S107" s="100"/>
      <c r="T107" s="342"/>
      <c r="U107" s="2187"/>
      <c r="V107" s="2186"/>
      <c r="W107" s="342"/>
      <c r="X107" s="100"/>
      <c r="Y107" s="342"/>
      <c r="Z107" s="2187"/>
      <c r="AA107" s="4811">
        <v>0</v>
      </c>
      <c r="AB107" s="5157"/>
      <c r="AC107" s="209">
        <v>0</v>
      </c>
      <c r="AD107" s="5157"/>
      <c r="AE107" s="5146">
        <v>0</v>
      </c>
      <c r="AF107" s="4490"/>
      <c r="AG107" s="138"/>
      <c r="AH107" s="138"/>
      <c r="AI107" s="4527" t="s">
        <v>280</v>
      </c>
      <c r="AJ107" s="18"/>
    </row>
    <row r="108" spans="2:36" ht="20.100000000000001" customHeight="1">
      <c r="B108" s="4505" t="s">
        <v>2281</v>
      </c>
      <c r="C108" s="10038" t="s">
        <v>285</v>
      </c>
      <c r="D108" s="9769"/>
      <c r="E108" s="9769"/>
      <c r="F108" s="105" t="s">
        <v>286</v>
      </c>
      <c r="G108" s="662"/>
      <c r="H108" s="140" t="s">
        <v>287</v>
      </c>
      <c r="I108" s="140"/>
      <c r="J108" s="141"/>
      <c r="K108" s="109" t="s">
        <v>288</v>
      </c>
      <c r="L108" s="2270" t="str">
        <f t="shared" ref="L108" si="6">IFERROR(L109/L110,"-")</f>
        <v>-</v>
      </c>
      <c r="M108" s="342"/>
      <c r="N108" s="391" t="str">
        <f>IFERROR(N109/N110,"-")</f>
        <v>-</v>
      </c>
      <c r="O108" s="342"/>
      <c r="P108" s="2216" t="str">
        <f>IFERROR(P109/P110,"-")</f>
        <v>-</v>
      </c>
      <c r="Q108" s="2270" t="str">
        <f>IFERROR(Q109/Q110,"-")</f>
        <v>-</v>
      </c>
      <c r="R108" s="342"/>
      <c r="S108" s="391" t="str">
        <f>IFERROR(S109/S110,"-")</f>
        <v>-</v>
      </c>
      <c r="T108" s="342"/>
      <c r="U108" s="2216" t="str">
        <f>IFERROR(U109/U110,"-")</f>
        <v>-</v>
      </c>
      <c r="V108" s="2270" t="str">
        <f>IFERROR(V109/V110,"-")</f>
        <v>-</v>
      </c>
      <c r="W108" s="342"/>
      <c r="X108" s="391" t="str">
        <f>IFERROR(X109/X110,"-")</f>
        <v>-</v>
      </c>
      <c r="Y108" s="342"/>
      <c r="Z108" s="2216" t="str">
        <f>IFERROR(Z109/Z110,"-")</f>
        <v>-</v>
      </c>
      <c r="AA108" s="5169">
        <f>IFERROR(AA109/AA110,"-")</f>
        <v>4.6449223757299533E-3</v>
      </c>
      <c r="AB108" s="5157"/>
      <c r="AC108" s="5170">
        <f>IFERROR(AC109/AC110,"-")</f>
        <v>2.2066288098273263E-3</v>
      </c>
      <c r="AD108" s="5157"/>
      <c r="AE108" s="5171">
        <f>IFERROR(AE109/AE110,"-")</f>
        <v>1.2014240058254785E-3</v>
      </c>
      <c r="AF108" s="4490"/>
      <c r="AG108" s="138"/>
      <c r="AH108" s="138"/>
      <c r="AI108" s="187" t="s">
        <v>291</v>
      </c>
      <c r="AJ108" s="18"/>
    </row>
    <row r="109" spans="2:36" ht="20.100000000000001" customHeight="1">
      <c r="B109" s="4505" t="s">
        <v>2281</v>
      </c>
      <c r="C109" s="4528"/>
      <c r="D109" s="9770" t="s">
        <v>254</v>
      </c>
      <c r="E109" s="9769"/>
      <c r="F109" s="280" t="s">
        <v>255</v>
      </c>
      <c r="G109" s="106"/>
      <c r="H109" s="353"/>
      <c r="I109" s="184" t="s">
        <v>293</v>
      </c>
      <c r="J109" s="177"/>
      <c r="K109" s="281" t="s">
        <v>255</v>
      </c>
      <c r="L109" s="2186"/>
      <c r="M109" s="293"/>
      <c r="N109" s="100"/>
      <c r="O109" s="342"/>
      <c r="P109" s="2187"/>
      <c r="Q109" s="2186"/>
      <c r="R109" s="342"/>
      <c r="S109" s="100"/>
      <c r="T109" s="293"/>
      <c r="U109" s="2187"/>
      <c r="V109" s="2186"/>
      <c r="W109" s="342"/>
      <c r="X109" s="100"/>
      <c r="Y109" s="342"/>
      <c r="Z109" s="2187"/>
      <c r="AA109" s="4811">
        <v>163.06</v>
      </c>
      <c r="AB109" s="5157"/>
      <c r="AC109" s="209">
        <v>190.41</v>
      </c>
      <c r="AD109" s="5157"/>
      <c r="AE109" s="5146">
        <v>148.49</v>
      </c>
      <c r="AF109" s="4490"/>
      <c r="AG109" s="138"/>
      <c r="AH109" s="138"/>
      <c r="AI109" s="187" t="s">
        <v>294</v>
      </c>
      <c r="AJ109" s="18"/>
    </row>
    <row r="110" spans="2:36" ht="20.100000000000001" customHeight="1">
      <c r="B110" s="4505" t="s">
        <v>2281</v>
      </c>
      <c r="C110" s="1945"/>
      <c r="D110" s="9770" t="s">
        <v>232</v>
      </c>
      <c r="E110" s="9769"/>
      <c r="F110" s="105" t="s">
        <v>233</v>
      </c>
      <c r="G110" s="106"/>
      <c r="H110" s="353"/>
      <c r="I110" s="184" t="s">
        <v>234</v>
      </c>
      <c r="J110" s="177"/>
      <c r="K110" s="109" t="s">
        <v>295</v>
      </c>
      <c r="L110" s="2186"/>
      <c r="M110" s="293"/>
      <c r="N110" s="100"/>
      <c r="O110" s="293"/>
      <c r="P110" s="2187"/>
      <c r="Q110" s="2186"/>
      <c r="R110" s="293"/>
      <c r="S110" s="100"/>
      <c r="T110" s="293"/>
      <c r="U110" s="2187"/>
      <c r="V110" s="2186"/>
      <c r="W110" s="293"/>
      <c r="X110" s="100"/>
      <c r="Y110" s="293"/>
      <c r="Z110" s="2187"/>
      <c r="AA110" s="4811">
        <v>35105</v>
      </c>
      <c r="AB110" s="4819"/>
      <c r="AC110" s="209">
        <v>86290</v>
      </c>
      <c r="AD110" s="5157"/>
      <c r="AE110" s="5146">
        <v>123595</v>
      </c>
      <c r="AF110" s="4490"/>
      <c r="AG110" s="138"/>
      <c r="AH110" s="138"/>
      <c r="AI110" s="187" t="s">
        <v>291</v>
      </c>
      <c r="AJ110" s="18"/>
    </row>
    <row r="111" spans="2:36" ht="20.100000000000001" customHeight="1">
      <c r="B111" s="4505" t="s">
        <v>2281</v>
      </c>
      <c r="C111" s="10038" t="s">
        <v>321</v>
      </c>
      <c r="D111" s="9769"/>
      <c r="E111" s="9769"/>
      <c r="F111" s="280" t="s">
        <v>255</v>
      </c>
      <c r="G111" s="662"/>
      <c r="H111" s="140" t="s">
        <v>322</v>
      </c>
      <c r="I111" s="140"/>
      <c r="J111" s="141"/>
      <c r="K111" s="281" t="s">
        <v>255</v>
      </c>
      <c r="L111" s="2186"/>
      <c r="M111" s="293"/>
      <c r="N111" s="100"/>
      <c r="O111" s="293"/>
      <c r="P111" s="2187"/>
      <c r="Q111" s="2186"/>
      <c r="R111" s="293"/>
      <c r="S111" s="100"/>
      <c r="T111" s="293"/>
      <c r="U111" s="2187"/>
      <c r="V111" s="2186"/>
      <c r="W111" s="293"/>
      <c r="X111" s="100"/>
      <c r="Y111" s="293"/>
      <c r="Z111" s="2187"/>
      <c r="AA111" s="4811">
        <v>163.06</v>
      </c>
      <c r="AB111" s="4819"/>
      <c r="AC111" s="209">
        <v>190.41</v>
      </c>
      <c r="AD111" s="4819"/>
      <c r="AE111" s="5146">
        <v>148.49</v>
      </c>
      <c r="AF111" s="4490"/>
      <c r="AG111" s="138"/>
      <c r="AH111" s="138"/>
      <c r="AI111" s="187" t="s">
        <v>323</v>
      </c>
      <c r="AJ111" s="18"/>
    </row>
    <row r="112" spans="2:36" ht="20.100000000000001" customHeight="1">
      <c r="B112" s="4505" t="s">
        <v>2281</v>
      </c>
      <c r="C112" s="10146" t="s">
        <v>324</v>
      </c>
      <c r="D112" s="9648"/>
      <c r="E112" s="9648"/>
      <c r="F112" s="280" t="s">
        <v>156</v>
      </c>
      <c r="G112" s="662"/>
      <c r="H112" s="140" t="s">
        <v>325</v>
      </c>
      <c r="I112" s="140"/>
      <c r="J112" s="141"/>
      <c r="K112" s="281" t="s">
        <v>156</v>
      </c>
      <c r="L112" s="2186"/>
      <c r="M112" s="293"/>
      <c r="N112" s="100"/>
      <c r="O112" s="293"/>
      <c r="P112" s="2187"/>
      <c r="Q112" s="2186"/>
      <c r="R112" s="293"/>
      <c r="S112" s="100"/>
      <c r="T112" s="293"/>
      <c r="U112" s="2187"/>
      <c r="V112" s="2186"/>
      <c r="W112" s="293"/>
      <c r="X112" s="100"/>
      <c r="Y112" s="293"/>
      <c r="Z112" s="2187"/>
      <c r="AA112" s="5172">
        <v>1</v>
      </c>
      <c r="AB112" s="4819"/>
      <c r="AC112" s="5172">
        <v>1</v>
      </c>
      <c r="AD112" s="4819"/>
      <c r="AE112" s="5172">
        <v>1</v>
      </c>
      <c r="AF112" s="4490"/>
      <c r="AG112" s="138"/>
      <c r="AH112" s="138"/>
      <c r="AI112" s="187" t="s">
        <v>261</v>
      </c>
      <c r="AJ112" s="18"/>
    </row>
    <row r="113" spans="2:36" ht="20.100000000000001" customHeight="1">
      <c r="B113" s="4505" t="s">
        <v>2281</v>
      </c>
      <c r="C113" s="10038" t="s">
        <v>328</v>
      </c>
      <c r="D113" s="9769"/>
      <c r="E113" s="9769"/>
      <c r="F113" s="280" t="s">
        <v>307</v>
      </c>
      <c r="G113" s="662"/>
      <c r="H113" s="140" t="s">
        <v>329</v>
      </c>
      <c r="I113" s="140"/>
      <c r="J113" s="141"/>
      <c r="K113" s="281" t="s">
        <v>307</v>
      </c>
      <c r="L113" s="2387">
        <f t="shared" ref="L113" si="7">L114+L115</f>
        <v>0</v>
      </c>
      <c r="M113" s="400"/>
      <c r="N113" s="399">
        <f>N114+N115</f>
        <v>0</v>
      </c>
      <c r="O113" s="400"/>
      <c r="P113" s="2388">
        <f>P114+P115</f>
        <v>0</v>
      </c>
      <c r="Q113" s="2387">
        <f>Q114+Q115</f>
        <v>0</v>
      </c>
      <c r="R113" s="400"/>
      <c r="S113" s="399">
        <f>S114+S115</f>
        <v>0</v>
      </c>
      <c r="T113" s="400"/>
      <c r="U113" s="2388">
        <f>U114+U115</f>
        <v>0</v>
      </c>
      <c r="V113" s="2387">
        <f>V114+V115</f>
        <v>0</v>
      </c>
      <c r="W113" s="400"/>
      <c r="X113" s="399">
        <f>X114+X115</f>
        <v>0</v>
      </c>
      <c r="Y113" s="400"/>
      <c r="Z113" s="2388">
        <f>Z114+Z115</f>
        <v>0</v>
      </c>
      <c r="AA113" s="5173">
        <f>AA114+AA115</f>
        <v>0</v>
      </c>
      <c r="AB113" s="5174"/>
      <c r="AC113" s="5175">
        <f>AC114+AC115</f>
        <v>0</v>
      </c>
      <c r="AD113" s="5174"/>
      <c r="AE113" s="5176">
        <f>AE114+AE115</f>
        <v>0</v>
      </c>
      <c r="AF113" s="4490"/>
      <c r="AG113" s="138"/>
      <c r="AH113" s="138"/>
      <c r="AI113" s="187" t="s">
        <v>332</v>
      </c>
      <c r="AJ113" s="18"/>
    </row>
    <row r="114" spans="2:36" ht="20.100000000000001" customHeight="1">
      <c r="B114" s="4505" t="s">
        <v>2281</v>
      </c>
      <c r="C114" s="4528"/>
      <c r="D114" s="9770" t="s">
        <v>333</v>
      </c>
      <c r="E114" s="9769"/>
      <c r="F114" s="280" t="s">
        <v>307</v>
      </c>
      <c r="G114" s="106"/>
      <c r="H114" s="353"/>
      <c r="I114" s="386" t="s">
        <v>334</v>
      </c>
      <c r="J114" s="141"/>
      <c r="K114" s="281" t="s">
        <v>307</v>
      </c>
      <c r="L114" s="2186"/>
      <c r="M114" s="293"/>
      <c r="N114" s="100"/>
      <c r="O114" s="293"/>
      <c r="P114" s="2187"/>
      <c r="Q114" s="2186"/>
      <c r="R114" s="293"/>
      <c r="S114" s="100"/>
      <c r="T114" s="293"/>
      <c r="U114" s="2187"/>
      <c r="V114" s="2186"/>
      <c r="W114" s="293"/>
      <c r="X114" s="100"/>
      <c r="Y114" s="293"/>
      <c r="Z114" s="2187"/>
      <c r="AA114" s="4811">
        <v>0</v>
      </c>
      <c r="AB114" s="4819"/>
      <c r="AC114" s="209">
        <v>0</v>
      </c>
      <c r="AD114" s="4819"/>
      <c r="AE114" s="5146">
        <v>0</v>
      </c>
      <c r="AF114" s="4490"/>
      <c r="AG114" s="138"/>
      <c r="AH114" s="138"/>
      <c r="AI114" s="187" t="s">
        <v>332</v>
      </c>
      <c r="AJ114" s="18"/>
    </row>
    <row r="115" spans="2:36" ht="20.100000000000001" customHeight="1">
      <c r="B115" s="4505" t="s">
        <v>2281</v>
      </c>
      <c r="C115" s="1945"/>
      <c r="D115" s="9770" t="s">
        <v>335</v>
      </c>
      <c r="E115" s="9769"/>
      <c r="F115" s="280" t="s">
        <v>307</v>
      </c>
      <c r="G115" s="106"/>
      <c r="H115" s="353"/>
      <c r="I115" s="386" t="s">
        <v>336</v>
      </c>
      <c r="J115" s="144"/>
      <c r="K115" s="281" t="s">
        <v>307</v>
      </c>
      <c r="L115" s="2186"/>
      <c r="M115" s="293"/>
      <c r="N115" s="100"/>
      <c r="O115" s="293"/>
      <c r="P115" s="2187"/>
      <c r="Q115" s="2186"/>
      <c r="R115" s="293"/>
      <c r="S115" s="100"/>
      <c r="T115" s="293"/>
      <c r="U115" s="2187"/>
      <c r="V115" s="2186"/>
      <c r="W115" s="293"/>
      <c r="X115" s="100"/>
      <c r="Y115" s="293"/>
      <c r="Z115" s="2187"/>
      <c r="AA115" s="4811">
        <v>0</v>
      </c>
      <c r="AB115" s="4819"/>
      <c r="AC115" s="209">
        <v>0</v>
      </c>
      <c r="AD115" s="4819"/>
      <c r="AE115" s="5146">
        <v>0</v>
      </c>
      <c r="AF115" s="4490"/>
      <c r="AG115" s="138"/>
      <c r="AH115" s="138"/>
      <c r="AI115" s="187" t="s">
        <v>332</v>
      </c>
      <c r="AJ115" s="18"/>
    </row>
    <row r="116" spans="2:36" ht="20.100000000000001" customHeight="1">
      <c r="B116" s="4505" t="s">
        <v>2281</v>
      </c>
      <c r="C116" s="10146" t="s">
        <v>337</v>
      </c>
      <c r="D116" s="9648"/>
      <c r="E116" s="9648"/>
      <c r="F116" s="280" t="s">
        <v>156</v>
      </c>
      <c r="G116" s="662"/>
      <c r="H116" s="140" t="s">
        <v>338</v>
      </c>
      <c r="I116" s="140"/>
      <c r="J116" s="177"/>
      <c r="K116" s="281" t="s">
        <v>156</v>
      </c>
      <c r="L116" s="2186"/>
      <c r="M116" s="293"/>
      <c r="N116" s="100"/>
      <c r="O116" s="293"/>
      <c r="P116" s="2187"/>
      <c r="Q116" s="2186"/>
      <c r="R116" s="293"/>
      <c r="S116" s="100"/>
      <c r="T116" s="293"/>
      <c r="U116" s="2187"/>
      <c r="V116" s="2186"/>
      <c r="W116" s="293"/>
      <c r="X116" s="100"/>
      <c r="Y116" s="293"/>
      <c r="Z116" s="2187"/>
      <c r="AA116" s="4811">
        <v>0</v>
      </c>
      <c r="AB116" s="4819"/>
      <c r="AC116" s="209">
        <v>0</v>
      </c>
      <c r="AD116" s="4819"/>
      <c r="AE116" s="5146">
        <v>0</v>
      </c>
      <c r="AF116" s="4490"/>
      <c r="AG116" s="138"/>
      <c r="AH116" s="138"/>
      <c r="AI116" s="187" t="s">
        <v>261</v>
      </c>
      <c r="AJ116" s="18"/>
    </row>
    <row r="117" spans="2:36" ht="20.100000000000001" customHeight="1">
      <c r="B117" s="4505" t="s">
        <v>2281</v>
      </c>
      <c r="C117" s="4514"/>
      <c r="D117" s="196" t="s">
        <v>677</v>
      </c>
      <c r="E117" s="196"/>
      <c r="F117" s="295" t="s">
        <v>307</v>
      </c>
      <c r="G117" s="106"/>
      <c r="H117" s="353"/>
      <c r="I117" s="184" t="s">
        <v>274</v>
      </c>
      <c r="J117" s="177"/>
      <c r="K117" s="281" t="s">
        <v>307</v>
      </c>
      <c r="L117" s="2186"/>
      <c r="M117" s="293"/>
      <c r="N117" s="100"/>
      <c r="O117" s="293"/>
      <c r="P117" s="2187"/>
      <c r="Q117" s="2186"/>
      <c r="R117" s="293"/>
      <c r="S117" s="100"/>
      <c r="T117" s="293"/>
      <c r="U117" s="2187"/>
      <c r="V117" s="2186"/>
      <c r="W117" s="293"/>
      <c r="X117" s="100"/>
      <c r="Y117" s="293"/>
      <c r="Z117" s="2187"/>
      <c r="AA117" s="4811">
        <v>0</v>
      </c>
      <c r="AB117" s="4819"/>
      <c r="AC117" s="209">
        <v>0</v>
      </c>
      <c r="AD117" s="4819"/>
      <c r="AE117" s="5146">
        <v>0</v>
      </c>
      <c r="AF117" s="4490"/>
      <c r="AG117" s="138"/>
      <c r="AH117" s="138"/>
      <c r="AI117" s="4532" t="s">
        <v>277</v>
      </c>
      <c r="AJ117" s="18"/>
    </row>
    <row r="118" spans="2:36" ht="20.100000000000001" customHeight="1">
      <c r="B118" s="4505" t="s">
        <v>2281</v>
      </c>
      <c r="C118" s="4516"/>
      <c r="D118" s="196" t="s">
        <v>254</v>
      </c>
      <c r="E118" s="196"/>
      <c r="F118" s="295" t="s">
        <v>307</v>
      </c>
      <c r="G118" s="384"/>
      <c r="H118" s="353"/>
      <c r="I118" s="184" t="s">
        <v>256</v>
      </c>
      <c r="J118" s="177"/>
      <c r="K118" s="281" t="s">
        <v>307</v>
      </c>
      <c r="L118" s="2186"/>
      <c r="M118" s="293"/>
      <c r="N118" s="100"/>
      <c r="O118" s="293"/>
      <c r="P118" s="2187"/>
      <c r="Q118" s="2186"/>
      <c r="R118" s="293"/>
      <c r="S118" s="100"/>
      <c r="T118" s="293"/>
      <c r="U118" s="2187"/>
      <c r="V118" s="2186"/>
      <c r="W118" s="293"/>
      <c r="X118" s="100"/>
      <c r="Y118" s="293"/>
      <c r="Z118" s="2187"/>
      <c r="AA118" s="4811">
        <v>163.06</v>
      </c>
      <c r="AB118" s="4819"/>
      <c r="AC118" s="209">
        <v>190.41</v>
      </c>
      <c r="AD118" s="4819"/>
      <c r="AE118" s="5146">
        <v>148.49</v>
      </c>
      <c r="AF118" s="4490"/>
      <c r="AG118" s="138"/>
      <c r="AH118" s="138"/>
      <c r="AI118" s="4532" t="s">
        <v>259</v>
      </c>
      <c r="AJ118" s="18"/>
    </row>
    <row r="119" spans="2:36" ht="20.100000000000001" customHeight="1">
      <c r="B119" s="4505" t="s">
        <v>2281</v>
      </c>
      <c r="C119" s="4517" t="s">
        <v>1785</v>
      </c>
      <c r="D119" s="407"/>
      <c r="E119" s="407"/>
      <c r="F119" s="4519" t="s">
        <v>168</v>
      </c>
      <c r="G119" s="408"/>
      <c r="H119" s="312" t="s">
        <v>310</v>
      </c>
      <c r="I119" s="4533"/>
      <c r="J119" s="4534"/>
      <c r="K119" s="315" t="s">
        <v>168</v>
      </c>
      <c r="L119" s="2275"/>
      <c r="M119" s="413"/>
      <c r="N119" s="320"/>
      <c r="O119" s="413"/>
      <c r="P119" s="2276"/>
      <c r="Q119" s="2275"/>
      <c r="R119" s="413"/>
      <c r="S119" s="320"/>
      <c r="T119" s="413"/>
      <c r="U119" s="2276"/>
      <c r="V119" s="2275"/>
      <c r="W119" s="413"/>
      <c r="X119" s="320"/>
      <c r="Y119" s="413"/>
      <c r="Z119" s="2276"/>
      <c r="AA119" s="5177"/>
      <c r="AB119" s="5178"/>
      <c r="AC119" s="5179"/>
      <c r="AD119" s="5178"/>
      <c r="AE119" s="5180"/>
      <c r="AF119" s="4490"/>
      <c r="AG119" s="138"/>
      <c r="AH119" s="138"/>
      <c r="AI119" s="187"/>
      <c r="AJ119" s="18"/>
    </row>
    <row r="120" spans="2:36" ht="20.100000000000001" customHeight="1">
      <c r="B120" s="4505" t="s">
        <v>2281</v>
      </c>
      <c r="C120" s="4522"/>
      <c r="D120" s="197" t="s">
        <v>314</v>
      </c>
      <c r="E120" s="195"/>
      <c r="F120" s="295" t="s">
        <v>307</v>
      </c>
      <c r="G120" s="337"/>
      <c r="H120" s="287"/>
      <c r="I120" s="198" t="s">
        <v>315</v>
      </c>
      <c r="J120" s="177"/>
      <c r="K120" s="281" t="s">
        <v>307</v>
      </c>
      <c r="L120" s="2186"/>
      <c r="M120" s="293"/>
      <c r="N120" s="100"/>
      <c r="O120" s="293"/>
      <c r="P120" s="2187"/>
      <c r="Q120" s="2186"/>
      <c r="R120" s="293"/>
      <c r="S120" s="100"/>
      <c r="T120" s="293"/>
      <c r="U120" s="2187"/>
      <c r="V120" s="2186"/>
      <c r="W120" s="293"/>
      <c r="X120" s="100"/>
      <c r="Y120" s="293"/>
      <c r="Z120" s="2187"/>
      <c r="AA120" s="4811">
        <v>165.95</v>
      </c>
      <c r="AB120" s="4819" t="s">
        <v>317</v>
      </c>
      <c r="AC120" s="209">
        <v>225.16</v>
      </c>
      <c r="AD120" s="4819" t="s">
        <v>317</v>
      </c>
      <c r="AE120" s="5146">
        <v>194.36</v>
      </c>
      <c r="AF120" s="4490"/>
      <c r="AG120" s="138"/>
      <c r="AH120" s="138"/>
      <c r="AI120" s="4495"/>
      <c r="AJ120" s="18"/>
    </row>
    <row r="121" spans="2:36" ht="20.100000000000001" customHeight="1">
      <c r="B121" s="4505" t="s">
        <v>2281</v>
      </c>
      <c r="C121" s="4535"/>
      <c r="D121" s="205" t="s">
        <v>318</v>
      </c>
      <c r="E121" s="415"/>
      <c r="F121" s="280" t="s">
        <v>307</v>
      </c>
      <c r="G121" s="416"/>
      <c r="H121" s="417"/>
      <c r="I121" s="184" t="s">
        <v>319</v>
      </c>
      <c r="J121" s="177"/>
      <c r="K121" s="281" t="s">
        <v>307</v>
      </c>
      <c r="L121" s="2186"/>
      <c r="M121" s="293"/>
      <c r="N121" s="100"/>
      <c r="O121" s="293"/>
      <c r="P121" s="2187"/>
      <c r="Q121" s="2186"/>
      <c r="R121" s="293"/>
      <c r="S121" s="100"/>
      <c r="T121" s="293"/>
      <c r="U121" s="2187"/>
      <c r="V121" s="2186"/>
      <c r="W121" s="293"/>
      <c r="X121" s="100"/>
      <c r="Y121" s="293"/>
      <c r="Z121" s="2187"/>
      <c r="AA121" s="4811">
        <v>163.06</v>
      </c>
      <c r="AB121" s="4819"/>
      <c r="AC121" s="209">
        <v>190.26</v>
      </c>
      <c r="AD121" s="4819"/>
      <c r="AE121" s="5146">
        <v>149.46</v>
      </c>
      <c r="AF121" s="4490"/>
      <c r="AG121" s="138"/>
      <c r="AH121" s="138"/>
      <c r="AI121" s="4495"/>
      <c r="AJ121" s="18"/>
    </row>
    <row r="122" spans="2:36" ht="20.100000000000001" customHeight="1" thickBot="1">
      <c r="B122" s="4505" t="s">
        <v>2281</v>
      </c>
      <c r="C122" s="4536"/>
      <c r="D122" s="418" t="s">
        <v>312</v>
      </c>
      <c r="E122" s="415"/>
      <c r="F122" s="419" t="s">
        <v>307</v>
      </c>
      <c r="G122" s="420"/>
      <c r="H122" s="421"/>
      <c r="I122" s="327" t="s">
        <v>313</v>
      </c>
      <c r="J122" s="422"/>
      <c r="K122" s="423" t="s">
        <v>307</v>
      </c>
      <c r="L122" s="2186"/>
      <c r="M122" s="426"/>
      <c r="N122" s="100"/>
      <c r="O122" s="426"/>
      <c r="P122" s="2187"/>
      <c r="Q122" s="2186"/>
      <c r="R122" s="426"/>
      <c r="S122" s="100"/>
      <c r="T122" s="426"/>
      <c r="U122" s="2187"/>
      <c r="V122" s="2186"/>
      <c r="W122" s="426"/>
      <c r="X122" s="100"/>
      <c r="Y122" s="426"/>
      <c r="Z122" s="2187"/>
      <c r="AA122" s="4811">
        <f>AA120-AA121</f>
        <v>2.8899999999999864</v>
      </c>
      <c r="AB122" s="5181"/>
      <c r="AC122" s="209">
        <f>AC120-AC121</f>
        <v>34.900000000000006</v>
      </c>
      <c r="AD122" s="5181"/>
      <c r="AE122" s="5146">
        <f>AE120-AE121</f>
        <v>44.900000000000006</v>
      </c>
      <c r="AF122" s="4490"/>
      <c r="AG122" s="218"/>
      <c r="AH122" s="218"/>
      <c r="AI122" s="4498"/>
      <c r="AJ122" s="18"/>
    </row>
    <row r="123" spans="2:36" ht="27" thickBot="1">
      <c r="B123" s="4505" t="s">
        <v>2281</v>
      </c>
      <c r="C123" s="123" t="s">
        <v>341</v>
      </c>
      <c r="D123" s="124"/>
      <c r="E123" s="124"/>
      <c r="F123" s="124"/>
      <c r="G123" s="428" t="s">
        <v>342</v>
      </c>
      <c r="H123" s="429"/>
      <c r="I123" s="429"/>
      <c r="J123" s="429"/>
      <c r="K123" s="430"/>
      <c r="L123" s="2175"/>
      <c r="M123" s="148"/>
      <c r="N123" s="148"/>
      <c r="O123" s="148"/>
      <c r="P123" s="2176"/>
      <c r="Q123" s="2175"/>
      <c r="R123" s="148"/>
      <c r="S123" s="148"/>
      <c r="T123" s="148"/>
      <c r="U123" s="2176"/>
      <c r="V123" s="2175"/>
      <c r="W123" s="148"/>
      <c r="X123" s="148"/>
      <c r="Y123" s="148"/>
      <c r="Z123" s="2176"/>
      <c r="AA123" s="2175"/>
      <c r="AB123" s="148"/>
      <c r="AC123" s="148"/>
      <c r="AD123" s="148"/>
      <c r="AE123" s="2176"/>
      <c r="AF123" s="4493"/>
      <c r="AG123" s="129"/>
      <c r="AH123" s="129"/>
      <c r="AI123" s="1006"/>
      <c r="AJ123" s="18"/>
    </row>
    <row r="124" spans="2:36" ht="20.100000000000001" customHeight="1">
      <c r="B124" s="4505" t="s">
        <v>2281</v>
      </c>
      <c r="C124" s="10082" t="s">
        <v>343</v>
      </c>
      <c r="D124" s="9777"/>
      <c r="E124" s="9777"/>
      <c r="F124" s="132" t="s">
        <v>344</v>
      </c>
      <c r="G124" s="4537"/>
      <c r="H124" s="435" t="s">
        <v>345</v>
      </c>
      <c r="I124" s="435"/>
      <c r="J124" s="435"/>
      <c r="K124" s="436" t="s">
        <v>344</v>
      </c>
      <c r="L124" s="2224">
        <f t="shared" ref="L124" si="8">SUM(L125:L128)</f>
        <v>0</v>
      </c>
      <c r="M124" s="441"/>
      <c r="N124" s="334">
        <f>SUM(N125:N128)</f>
        <v>0</v>
      </c>
      <c r="O124" s="441"/>
      <c r="P124" s="2225">
        <f>SUM(P125:P128)</f>
        <v>0</v>
      </c>
      <c r="Q124" s="2224">
        <f>SUM(Q125:Q128)</f>
        <v>0</v>
      </c>
      <c r="R124" s="441"/>
      <c r="S124" s="334">
        <f>SUM(S125:S128)</f>
        <v>0</v>
      </c>
      <c r="T124" s="441"/>
      <c r="U124" s="2225">
        <f>SUM(U125:U128)</f>
        <v>0</v>
      </c>
      <c r="V124" s="2224">
        <f>SUM(V125:V128)</f>
        <v>0</v>
      </c>
      <c r="W124" s="441"/>
      <c r="X124" s="334">
        <f>SUM(X125:X128)</f>
        <v>0</v>
      </c>
      <c r="Y124" s="441"/>
      <c r="Z124" s="2225">
        <f>SUM(Z125:Z128)</f>
        <v>0</v>
      </c>
      <c r="AA124" s="5182">
        <f>SUM(AA125:AA128)</f>
        <v>40609</v>
      </c>
      <c r="AB124" s="5183"/>
      <c r="AC124" s="5184">
        <f>SUM(AC125:AC128)</f>
        <v>65273</v>
      </c>
      <c r="AD124" s="5183"/>
      <c r="AE124" s="5185">
        <f>SUM(AE125:AE128)</f>
        <v>60089</v>
      </c>
      <c r="AF124" s="4490"/>
      <c r="AG124" s="138"/>
      <c r="AH124" s="138"/>
      <c r="AI124" s="187" t="s">
        <v>348</v>
      </c>
      <c r="AJ124" s="18"/>
    </row>
    <row r="125" spans="2:36" ht="20.100000000000001" customHeight="1">
      <c r="B125" s="4505" t="s">
        <v>2281</v>
      </c>
      <c r="C125" s="4538"/>
      <c r="D125" s="267" t="s">
        <v>679</v>
      </c>
      <c r="E125" s="445"/>
      <c r="F125" s="132" t="s">
        <v>344</v>
      </c>
      <c r="G125" s="662"/>
      <c r="H125" s="446"/>
      <c r="I125" s="1065" t="s">
        <v>353</v>
      </c>
      <c r="J125" s="1099"/>
      <c r="K125" s="91" t="s">
        <v>344</v>
      </c>
      <c r="L125" s="2186"/>
      <c r="M125" s="293"/>
      <c r="N125" s="100"/>
      <c r="O125" s="293"/>
      <c r="P125" s="2187"/>
      <c r="Q125" s="2186"/>
      <c r="R125" s="293"/>
      <c r="S125" s="100"/>
      <c r="T125" s="293"/>
      <c r="U125" s="2187"/>
      <c r="V125" s="2186"/>
      <c r="W125" s="293"/>
      <c r="X125" s="100"/>
      <c r="Y125" s="293"/>
      <c r="Z125" s="2187"/>
      <c r="AA125" s="4811">
        <v>40609</v>
      </c>
      <c r="AB125" s="4819"/>
      <c r="AC125" s="209">
        <v>65273</v>
      </c>
      <c r="AD125" s="4819"/>
      <c r="AE125" s="5146">
        <v>60089</v>
      </c>
      <c r="AF125" s="4490"/>
      <c r="AG125" s="138"/>
      <c r="AH125" s="138"/>
      <c r="AI125" s="187" t="s">
        <v>354</v>
      </c>
      <c r="AJ125" s="18"/>
    </row>
    <row r="126" spans="2:36" ht="20.100000000000001" customHeight="1">
      <c r="B126" s="4505" t="s">
        <v>2281</v>
      </c>
      <c r="C126" s="4539"/>
      <c r="D126" s="267" t="s">
        <v>355</v>
      </c>
      <c r="E126" s="445"/>
      <c r="F126" s="132" t="s">
        <v>344</v>
      </c>
      <c r="G126" s="662"/>
      <c r="I126" s="1065" t="s">
        <v>356</v>
      </c>
      <c r="J126" s="1066"/>
      <c r="K126" s="136" t="s">
        <v>344</v>
      </c>
      <c r="L126" s="2186"/>
      <c r="M126" s="449" t="s">
        <v>209</v>
      </c>
      <c r="N126" s="100"/>
      <c r="O126" s="449" t="s">
        <v>209</v>
      </c>
      <c r="P126" s="2187"/>
      <c r="Q126" s="2186"/>
      <c r="R126" s="449" t="s">
        <v>209</v>
      </c>
      <c r="S126" s="100"/>
      <c r="T126" s="449" t="s">
        <v>209</v>
      </c>
      <c r="U126" s="2187"/>
      <c r="V126" s="2186"/>
      <c r="W126" s="449" t="s">
        <v>209</v>
      </c>
      <c r="X126" s="100"/>
      <c r="Y126" s="449" t="s">
        <v>209</v>
      </c>
      <c r="Z126" s="2187"/>
      <c r="AA126" s="4811"/>
      <c r="AB126" s="5186" t="s">
        <v>209</v>
      </c>
      <c r="AC126" s="209"/>
      <c r="AD126" s="5186" t="s">
        <v>209</v>
      </c>
      <c r="AE126" s="5146"/>
      <c r="AF126" s="4490"/>
      <c r="AG126" s="138"/>
      <c r="AH126" s="138"/>
      <c r="AI126" s="187" t="s">
        <v>354</v>
      </c>
      <c r="AJ126" s="18"/>
    </row>
    <row r="127" spans="2:36" ht="20.100000000000001" customHeight="1">
      <c r="B127" s="4505" t="s">
        <v>2281</v>
      </c>
      <c r="C127" s="4539"/>
      <c r="D127" s="267" t="s">
        <v>357</v>
      </c>
      <c r="E127" s="445"/>
      <c r="F127" s="132" t="s">
        <v>344</v>
      </c>
      <c r="G127" s="662"/>
      <c r="I127" s="1065" t="s">
        <v>358</v>
      </c>
      <c r="J127" s="1066"/>
      <c r="K127" s="136" t="s">
        <v>344</v>
      </c>
      <c r="L127" s="2186"/>
      <c r="M127" s="449" t="s">
        <v>209</v>
      </c>
      <c r="N127" s="100"/>
      <c r="O127" s="449" t="s">
        <v>209</v>
      </c>
      <c r="P127" s="2187"/>
      <c r="Q127" s="2186"/>
      <c r="R127" s="449" t="s">
        <v>209</v>
      </c>
      <c r="S127" s="100"/>
      <c r="T127" s="449" t="s">
        <v>209</v>
      </c>
      <c r="U127" s="2187"/>
      <c r="V127" s="2186"/>
      <c r="W127" s="449" t="s">
        <v>209</v>
      </c>
      <c r="X127" s="100"/>
      <c r="Y127" s="449" t="s">
        <v>209</v>
      </c>
      <c r="Z127" s="2187"/>
      <c r="AA127" s="4811"/>
      <c r="AB127" s="5186" t="s">
        <v>209</v>
      </c>
      <c r="AC127" s="209"/>
      <c r="AD127" s="5186" t="s">
        <v>209</v>
      </c>
      <c r="AE127" s="5146"/>
      <c r="AF127" s="4490"/>
      <c r="AG127" s="138"/>
      <c r="AH127" s="138"/>
      <c r="AI127" s="187" t="s">
        <v>359</v>
      </c>
      <c r="AJ127" s="18"/>
    </row>
    <row r="128" spans="2:36" ht="20.100000000000001" customHeight="1" thickBot="1">
      <c r="B128" s="4505" t="s">
        <v>2281</v>
      </c>
      <c r="C128" s="1917"/>
      <c r="D128" s="267" t="s">
        <v>360</v>
      </c>
      <c r="E128" s="445"/>
      <c r="F128" s="132" t="s">
        <v>344</v>
      </c>
      <c r="G128" s="343"/>
      <c r="I128" s="1065" t="s">
        <v>361</v>
      </c>
      <c r="J128" s="1066"/>
      <c r="K128" s="136" t="s">
        <v>344</v>
      </c>
      <c r="L128" s="2186"/>
      <c r="M128" s="449" t="s">
        <v>209</v>
      </c>
      <c r="N128" s="100"/>
      <c r="O128" s="449" t="s">
        <v>209</v>
      </c>
      <c r="P128" s="2187"/>
      <c r="Q128" s="2186"/>
      <c r="R128" s="449" t="s">
        <v>209</v>
      </c>
      <c r="S128" s="100"/>
      <c r="T128" s="449" t="s">
        <v>209</v>
      </c>
      <c r="U128" s="2187"/>
      <c r="V128" s="2186"/>
      <c r="W128" s="449" t="s">
        <v>209</v>
      </c>
      <c r="X128" s="100"/>
      <c r="Y128" s="449" t="s">
        <v>209</v>
      </c>
      <c r="Z128" s="2187"/>
      <c r="AA128" s="4811"/>
      <c r="AB128" s="5186" t="s">
        <v>209</v>
      </c>
      <c r="AC128" s="209"/>
      <c r="AD128" s="5186" t="s">
        <v>209</v>
      </c>
      <c r="AE128" s="5146"/>
      <c r="AF128" s="4490"/>
      <c r="AG128" s="138"/>
      <c r="AH128" s="138"/>
      <c r="AI128" s="187" t="s">
        <v>359</v>
      </c>
      <c r="AJ128" s="18"/>
    </row>
    <row r="129" spans="2:36" ht="20.100000000000001" hidden="1" customHeight="1" thickBot="1">
      <c r="B129" s="1747"/>
      <c r="C129" s="10148" t="s">
        <v>370</v>
      </c>
      <c r="D129" s="9781"/>
      <c r="E129" s="9781"/>
      <c r="F129" s="450" t="s">
        <v>344</v>
      </c>
      <c r="G129" s="451"/>
      <c r="H129" s="452" t="s">
        <v>371</v>
      </c>
      <c r="I129" s="452"/>
      <c r="J129" s="4540"/>
      <c r="K129" s="136" t="s">
        <v>344</v>
      </c>
      <c r="L129" s="2226">
        <f t="shared" ref="L129" si="9">L130-L131</f>
        <v>0</v>
      </c>
      <c r="M129" s="293"/>
      <c r="N129" s="456">
        <f>N130-N131</f>
        <v>0</v>
      </c>
      <c r="O129" s="293"/>
      <c r="P129" s="2227">
        <f>P130-P131</f>
        <v>0</v>
      </c>
      <c r="Q129" s="2226">
        <f>Q130-Q131</f>
        <v>0</v>
      </c>
      <c r="R129" s="293"/>
      <c r="S129" s="456">
        <f>S130-S131</f>
        <v>0</v>
      </c>
      <c r="T129" s="293"/>
      <c r="U129" s="2227">
        <f>U130-U131</f>
        <v>0</v>
      </c>
      <c r="V129" s="2226">
        <f>V130-V131</f>
        <v>0</v>
      </c>
      <c r="W129" s="293"/>
      <c r="X129" s="456">
        <f>X130-X131</f>
        <v>0</v>
      </c>
      <c r="Y129" s="293"/>
      <c r="Z129" s="2227">
        <f>Z130-Z131</f>
        <v>0</v>
      </c>
      <c r="AA129" s="2226">
        <f>AA130-AA131</f>
        <v>0</v>
      </c>
      <c r="AB129" s="293"/>
      <c r="AC129" s="456">
        <f>AC130-AC131</f>
        <v>0</v>
      </c>
      <c r="AD129" s="293"/>
      <c r="AE129" s="2227">
        <f>AE130-AE131</f>
        <v>0</v>
      </c>
      <c r="AF129" s="4490"/>
      <c r="AG129" s="138"/>
      <c r="AH129" s="138"/>
      <c r="AI129" s="982" t="s">
        <v>374</v>
      </c>
      <c r="AJ129" s="18"/>
    </row>
    <row r="130" spans="2:36" ht="20.100000000000001" hidden="1" customHeight="1" thickBot="1">
      <c r="B130" s="1747"/>
      <c r="C130" s="10150"/>
      <c r="D130" s="10152" t="s">
        <v>343</v>
      </c>
      <c r="E130" s="9781"/>
      <c r="F130" s="450" t="s">
        <v>344</v>
      </c>
      <c r="G130" s="451"/>
      <c r="H130" s="458"/>
      <c r="I130" s="459" t="s">
        <v>680</v>
      </c>
      <c r="J130" s="460"/>
      <c r="K130" s="136" t="s">
        <v>344</v>
      </c>
      <c r="L130" s="2186"/>
      <c r="M130" s="293"/>
      <c r="N130" s="100"/>
      <c r="O130" s="293"/>
      <c r="P130" s="2187"/>
      <c r="Q130" s="2186"/>
      <c r="R130" s="293"/>
      <c r="S130" s="100"/>
      <c r="T130" s="293"/>
      <c r="U130" s="2187"/>
      <c r="V130" s="2186"/>
      <c r="W130" s="293"/>
      <c r="X130" s="100"/>
      <c r="Y130" s="293"/>
      <c r="Z130" s="2187"/>
      <c r="AA130" s="2186"/>
      <c r="AB130" s="293"/>
      <c r="AC130" s="100"/>
      <c r="AD130" s="293"/>
      <c r="AE130" s="2187"/>
      <c r="AF130" s="4490"/>
      <c r="AG130" s="138"/>
      <c r="AH130" s="138"/>
      <c r="AI130" s="982" t="s">
        <v>374</v>
      </c>
      <c r="AJ130" s="18"/>
    </row>
    <row r="131" spans="2:36" ht="20.100000000000001" hidden="1" customHeight="1" thickBot="1">
      <c r="B131" s="1747"/>
      <c r="C131" s="10151"/>
      <c r="D131" s="10152" t="s">
        <v>362</v>
      </c>
      <c r="E131" s="9781"/>
      <c r="F131" s="450" t="s">
        <v>344</v>
      </c>
      <c r="G131" s="451"/>
      <c r="H131" s="462"/>
      <c r="I131" s="459" t="s">
        <v>363</v>
      </c>
      <c r="J131" s="460"/>
      <c r="K131" s="136" t="s">
        <v>344</v>
      </c>
      <c r="L131" s="2186"/>
      <c r="M131" s="293"/>
      <c r="N131" s="100"/>
      <c r="O131" s="293"/>
      <c r="P131" s="2187"/>
      <c r="Q131" s="2186"/>
      <c r="R131" s="293"/>
      <c r="S131" s="100"/>
      <c r="T131" s="293"/>
      <c r="U131" s="2187"/>
      <c r="V131" s="2186"/>
      <c r="W131" s="293"/>
      <c r="X131" s="100"/>
      <c r="Y131" s="293"/>
      <c r="Z131" s="2187"/>
      <c r="AA131" s="2186"/>
      <c r="AB131" s="293"/>
      <c r="AC131" s="100"/>
      <c r="AD131" s="293"/>
      <c r="AE131" s="2187"/>
      <c r="AF131" s="4490"/>
      <c r="AG131" s="138"/>
      <c r="AH131" s="138"/>
      <c r="AI131" s="982" t="s">
        <v>374</v>
      </c>
      <c r="AJ131" s="18"/>
    </row>
    <row r="132" spans="2:36" s="481" customFormat="1" ht="20.100000000000001" hidden="1" customHeight="1" thickBot="1">
      <c r="B132" s="1807"/>
      <c r="C132" s="10078" t="s">
        <v>362</v>
      </c>
      <c r="D132" s="9783"/>
      <c r="E132" s="9783"/>
      <c r="F132" s="132" t="s">
        <v>1788</v>
      </c>
      <c r="G132" s="337"/>
      <c r="H132" s="463" t="s">
        <v>363</v>
      </c>
      <c r="I132" s="463"/>
      <c r="J132" s="4541"/>
      <c r="K132" s="466" t="s">
        <v>1788</v>
      </c>
      <c r="L132" s="2339"/>
      <c r="M132" s="448"/>
      <c r="N132" s="474"/>
      <c r="O132" s="448"/>
      <c r="P132" s="2340"/>
      <c r="Q132" s="2339"/>
      <c r="R132" s="448"/>
      <c r="S132" s="474"/>
      <c r="T132" s="448"/>
      <c r="U132" s="2340"/>
      <c r="V132" s="2339"/>
      <c r="W132" s="448"/>
      <c r="X132" s="474"/>
      <c r="Y132" s="448"/>
      <c r="Z132" s="2340"/>
      <c r="AA132" s="2339"/>
      <c r="AB132" s="448"/>
      <c r="AC132" s="474"/>
      <c r="AD132" s="448"/>
      <c r="AE132" s="2340"/>
      <c r="AF132" s="4542"/>
      <c r="AG132" s="477"/>
      <c r="AH132" s="477"/>
      <c r="AI132" s="4543" t="s">
        <v>366</v>
      </c>
      <c r="AJ132" s="480"/>
    </row>
    <row r="133" spans="2:36" ht="20.100000000000001" hidden="1" customHeight="1" thickBot="1">
      <c r="B133" s="1816"/>
      <c r="C133" s="10061" t="s">
        <v>376</v>
      </c>
      <c r="D133" s="9774"/>
      <c r="E133" s="9774"/>
      <c r="F133" s="132" t="s">
        <v>344</v>
      </c>
      <c r="G133" s="337"/>
      <c r="H133" s="140" t="s">
        <v>377</v>
      </c>
      <c r="I133" s="140"/>
      <c r="J133" s="141"/>
      <c r="K133" s="164" t="s">
        <v>344</v>
      </c>
      <c r="L133" s="2186"/>
      <c r="M133" s="484"/>
      <c r="N133" s="100"/>
      <c r="O133" s="484"/>
      <c r="P133" s="2187"/>
      <c r="Q133" s="2186"/>
      <c r="R133" s="484"/>
      <c r="S133" s="100"/>
      <c r="T133" s="484"/>
      <c r="U133" s="2187"/>
      <c r="V133" s="2186"/>
      <c r="W133" s="484"/>
      <c r="X133" s="100"/>
      <c r="Y133" s="485"/>
      <c r="Z133" s="2187"/>
      <c r="AA133" s="2186"/>
      <c r="AB133" s="486"/>
      <c r="AC133" s="100"/>
      <c r="AD133" s="486"/>
      <c r="AE133" s="2187"/>
      <c r="AF133" s="4490"/>
      <c r="AG133" s="138"/>
      <c r="AH133" s="138"/>
      <c r="AI133" s="982" t="s">
        <v>379</v>
      </c>
      <c r="AJ133" s="11"/>
    </row>
    <row r="134" spans="2:36" ht="20.100000000000001" hidden="1" customHeight="1" thickBot="1">
      <c r="B134" s="1816"/>
      <c r="C134" s="10061" t="s">
        <v>380</v>
      </c>
      <c r="D134" s="9774"/>
      <c r="E134" s="9774"/>
      <c r="F134" s="132" t="s">
        <v>156</v>
      </c>
      <c r="G134" s="337"/>
      <c r="H134" s="140" t="s">
        <v>381</v>
      </c>
      <c r="I134" s="140"/>
      <c r="J134" s="141"/>
      <c r="K134" s="164" t="s">
        <v>156</v>
      </c>
      <c r="L134" s="2389"/>
      <c r="M134" s="484"/>
      <c r="N134" s="488"/>
      <c r="O134" s="484"/>
      <c r="P134" s="2390"/>
      <c r="Q134" s="2389"/>
      <c r="R134" s="484"/>
      <c r="S134" s="488"/>
      <c r="T134" s="484"/>
      <c r="U134" s="2390"/>
      <c r="V134" s="2389"/>
      <c r="W134" s="484"/>
      <c r="X134" s="488"/>
      <c r="Y134" s="485"/>
      <c r="Z134" s="2390"/>
      <c r="AA134" s="2389"/>
      <c r="AB134" s="486"/>
      <c r="AC134" s="488"/>
      <c r="AD134" s="486"/>
      <c r="AE134" s="2390"/>
      <c r="AF134" s="4490"/>
      <c r="AG134" s="138"/>
      <c r="AH134" s="138"/>
      <c r="AI134" s="982" t="s">
        <v>384</v>
      </c>
      <c r="AJ134" s="11"/>
    </row>
    <row r="135" spans="2:36" ht="20.100000000000001" hidden="1" customHeight="1" thickBot="1">
      <c r="B135" s="1816"/>
      <c r="C135" s="10069"/>
      <c r="D135" s="490" t="s">
        <v>385</v>
      </c>
      <c r="E135" s="491"/>
      <c r="F135" s="492" t="s">
        <v>344</v>
      </c>
      <c r="G135" s="337"/>
      <c r="I135" s="495" t="s">
        <v>386</v>
      </c>
      <c r="J135" s="643"/>
      <c r="K135" s="164" t="s">
        <v>344</v>
      </c>
      <c r="L135" s="2288"/>
      <c r="M135" s="484"/>
      <c r="N135" s="494"/>
      <c r="O135" s="484"/>
      <c r="P135" s="2289"/>
      <c r="Q135" s="2288"/>
      <c r="R135" s="484"/>
      <c r="S135" s="494"/>
      <c r="T135" s="484"/>
      <c r="U135" s="2289"/>
      <c r="V135" s="2288"/>
      <c r="W135" s="484"/>
      <c r="X135" s="494"/>
      <c r="Y135" s="485"/>
      <c r="Z135" s="2289"/>
      <c r="AA135" s="2288"/>
      <c r="AB135" s="486"/>
      <c r="AC135" s="494"/>
      <c r="AD135" s="486"/>
      <c r="AE135" s="2289"/>
      <c r="AF135" s="4490"/>
      <c r="AG135" s="138"/>
      <c r="AH135" s="138"/>
      <c r="AI135" s="982" t="s">
        <v>384</v>
      </c>
      <c r="AJ135" s="11"/>
    </row>
    <row r="136" spans="2:36" ht="20.100000000000001" hidden="1" customHeight="1" thickBot="1">
      <c r="B136" s="1816"/>
      <c r="C136" s="10076"/>
      <c r="D136" s="490" t="s">
        <v>343</v>
      </c>
      <c r="E136" s="491"/>
      <c r="F136" s="492" t="s">
        <v>344</v>
      </c>
      <c r="G136" s="337"/>
      <c r="I136" s="495" t="s">
        <v>685</v>
      </c>
      <c r="J136" s="643"/>
      <c r="K136" s="164" t="s">
        <v>344</v>
      </c>
      <c r="L136" s="2288"/>
      <c r="M136" s="484"/>
      <c r="N136" s="494"/>
      <c r="O136" s="484"/>
      <c r="P136" s="2289"/>
      <c r="Q136" s="2288"/>
      <c r="R136" s="484"/>
      <c r="S136" s="494"/>
      <c r="T136" s="484"/>
      <c r="U136" s="2289"/>
      <c r="V136" s="2288"/>
      <c r="W136" s="484"/>
      <c r="X136" s="494"/>
      <c r="Y136" s="485"/>
      <c r="Z136" s="2289"/>
      <c r="AA136" s="2288"/>
      <c r="AB136" s="486"/>
      <c r="AC136" s="494"/>
      <c r="AD136" s="486"/>
      <c r="AE136" s="2289"/>
      <c r="AF136" s="4490"/>
      <c r="AG136" s="138"/>
      <c r="AH136" s="138"/>
      <c r="AI136" s="982" t="s">
        <v>384</v>
      </c>
      <c r="AJ136" s="11"/>
    </row>
    <row r="137" spans="2:36" ht="20.100000000000001" hidden="1" customHeight="1" thickBot="1">
      <c r="B137" s="1816"/>
      <c r="C137" s="10061" t="s">
        <v>387</v>
      </c>
      <c r="D137" s="9774"/>
      <c r="E137" s="9774"/>
      <c r="F137" s="492" t="s">
        <v>156</v>
      </c>
      <c r="G137" s="337"/>
      <c r="H137" s="140" t="s">
        <v>388</v>
      </c>
      <c r="I137" s="140"/>
      <c r="J137" s="141"/>
      <c r="K137" s="164" t="s">
        <v>156</v>
      </c>
      <c r="L137" s="2339"/>
      <c r="M137" s="484"/>
      <c r="N137" s="474"/>
      <c r="O137" s="484"/>
      <c r="P137" s="2340"/>
      <c r="Q137" s="2339"/>
      <c r="R137" s="484"/>
      <c r="S137" s="474"/>
      <c r="T137" s="484"/>
      <c r="U137" s="2340"/>
      <c r="V137" s="2339"/>
      <c r="W137" s="484"/>
      <c r="X137" s="474"/>
      <c r="Y137" s="485"/>
      <c r="Z137" s="2340"/>
      <c r="AA137" s="2339"/>
      <c r="AB137" s="486"/>
      <c r="AC137" s="474"/>
      <c r="AD137" s="486"/>
      <c r="AE137" s="2340"/>
      <c r="AF137" s="4490"/>
      <c r="AG137" s="138"/>
      <c r="AH137" s="138"/>
      <c r="AI137" s="982" t="s">
        <v>390</v>
      </c>
      <c r="AJ137" s="11"/>
    </row>
    <row r="138" spans="2:36" ht="20.100000000000001" hidden="1" customHeight="1" thickBot="1">
      <c r="B138" s="1816"/>
      <c r="C138" s="1820"/>
      <c r="D138" s="490" t="s">
        <v>391</v>
      </c>
      <c r="E138" s="491"/>
      <c r="F138" s="492" t="s">
        <v>344</v>
      </c>
      <c r="G138" s="337"/>
      <c r="I138" s="495" t="s">
        <v>392</v>
      </c>
      <c r="J138" s="643"/>
      <c r="K138" s="164" t="s">
        <v>344</v>
      </c>
      <c r="L138" s="2186"/>
      <c r="M138" s="484"/>
      <c r="N138" s="100"/>
      <c r="O138" s="484"/>
      <c r="P138" s="2187"/>
      <c r="Q138" s="2186"/>
      <c r="R138" s="484"/>
      <c r="S138" s="100"/>
      <c r="T138" s="484"/>
      <c r="U138" s="2187"/>
      <c r="V138" s="2186"/>
      <c r="W138" s="484"/>
      <c r="X138" s="100"/>
      <c r="Y138" s="485"/>
      <c r="Z138" s="2187"/>
      <c r="AA138" s="2186"/>
      <c r="AB138" s="486"/>
      <c r="AC138" s="100"/>
      <c r="AD138" s="486"/>
      <c r="AE138" s="2187"/>
      <c r="AF138" s="4490"/>
      <c r="AG138" s="138"/>
      <c r="AH138" s="138"/>
      <c r="AI138" s="982" t="s">
        <v>390</v>
      </c>
      <c r="AJ138" s="11"/>
    </row>
    <row r="139" spans="2:36" ht="20.100000000000001" hidden="1" customHeight="1" thickBot="1">
      <c r="B139" s="1821"/>
      <c r="C139" s="1849"/>
      <c r="D139" s="490" t="s">
        <v>370</v>
      </c>
      <c r="E139" s="491"/>
      <c r="F139" s="492" t="s">
        <v>344</v>
      </c>
      <c r="G139" s="337"/>
      <c r="I139" s="496" t="s">
        <v>686</v>
      </c>
      <c r="J139" s="643"/>
      <c r="K139" s="164" t="s">
        <v>344</v>
      </c>
      <c r="L139" s="2288"/>
      <c r="M139" s="484"/>
      <c r="N139" s="494"/>
      <c r="O139" s="484"/>
      <c r="P139" s="2289"/>
      <c r="Q139" s="2288"/>
      <c r="R139" s="484"/>
      <c r="S139" s="494"/>
      <c r="T139" s="484"/>
      <c r="U139" s="2289"/>
      <c r="V139" s="2288"/>
      <c r="W139" s="484"/>
      <c r="X139" s="494"/>
      <c r="Y139" s="485"/>
      <c r="Z139" s="2289"/>
      <c r="AA139" s="2288"/>
      <c r="AB139" s="486"/>
      <c r="AC139" s="494"/>
      <c r="AD139" s="486"/>
      <c r="AE139" s="2289"/>
      <c r="AF139" s="4490"/>
      <c r="AG139" s="138"/>
      <c r="AH139" s="138"/>
      <c r="AI139" s="982" t="s">
        <v>390</v>
      </c>
      <c r="AJ139" s="11"/>
    </row>
    <row r="140" spans="2:36" ht="20.100000000000001" hidden="1" customHeight="1" thickBot="1">
      <c r="B140" s="1821"/>
      <c r="C140" s="10061" t="s">
        <v>393</v>
      </c>
      <c r="D140" s="9774"/>
      <c r="E140" s="9774"/>
      <c r="F140" s="492" t="s">
        <v>344</v>
      </c>
      <c r="G140" s="337"/>
      <c r="H140" s="359" t="s">
        <v>394</v>
      </c>
      <c r="I140" s="359"/>
      <c r="J140" s="684"/>
      <c r="K140" s="164" t="s">
        <v>344</v>
      </c>
      <c r="L140" s="2230"/>
      <c r="M140" s="505"/>
      <c r="N140" s="506"/>
      <c r="O140" s="505"/>
      <c r="P140" s="2231"/>
      <c r="Q140" s="2230"/>
      <c r="R140" s="505"/>
      <c r="S140" s="506"/>
      <c r="T140" s="505"/>
      <c r="U140" s="2231"/>
      <c r="V140" s="2230"/>
      <c r="W140" s="505"/>
      <c r="X140" s="506"/>
      <c r="Y140" s="507"/>
      <c r="Z140" s="2231"/>
      <c r="AA140" s="2230"/>
      <c r="AB140" s="505"/>
      <c r="AC140" s="506"/>
      <c r="AD140" s="505"/>
      <c r="AE140" s="2231"/>
      <c r="AF140" s="4490"/>
      <c r="AG140" s="138"/>
      <c r="AH140" s="138"/>
      <c r="AI140" s="982" t="s">
        <v>397</v>
      </c>
      <c r="AJ140" s="11"/>
    </row>
    <row r="141" spans="2:36" ht="20.100000000000001" hidden="1" customHeight="1" thickBot="1">
      <c r="B141" s="1821"/>
      <c r="C141" s="10069"/>
      <c r="D141" s="508" t="s">
        <v>687</v>
      </c>
      <c r="E141" s="508"/>
      <c r="F141" s="492" t="s">
        <v>344</v>
      </c>
      <c r="G141" s="337"/>
      <c r="H141" s="348"/>
      <c r="I141" s="495" t="s">
        <v>399</v>
      </c>
      <c r="J141" s="643"/>
      <c r="K141" s="164" t="s">
        <v>344</v>
      </c>
      <c r="L141" s="2228"/>
      <c r="M141" s="505"/>
      <c r="N141" s="260"/>
      <c r="O141" s="505"/>
      <c r="P141" s="2287"/>
      <c r="Q141" s="2228"/>
      <c r="R141" s="505"/>
      <c r="S141" s="260"/>
      <c r="T141" s="505"/>
      <c r="U141" s="2287"/>
      <c r="V141" s="2228"/>
      <c r="W141" s="505"/>
      <c r="X141" s="260"/>
      <c r="Y141" s="507"/>
      <c r="Z141" s="2287"/>
      <c r="AA141" s="2228"/>
      <c r="AB141" s="505"/>
      <c r="AC141" s="260"/>
      <c r="AD141" s="505"/>
      <c r="AE141" s="2287"/>
      <c r="AF141" s="4490"/>
      <c r="AG141" s="138"/>
      <c r="AH141" s="138"/>
      <c r="AI141" s="982" t="s">
        <v>397</v>
      </c>
      <c r="AJ141" s="11"/>
    </row>
    <row r="142" spans="2:36" ht="20.100000000000001" hidden="1" customHeight="1" thickBot="1">
      <c r="B142" s="1821"/>
      <c r="C142" s="10070"/>
      <c r="D142" s="508" t="s">
        <v>400</v>
      </c>
      <c r="E142" s="508"/>
      <c r="F142" s="492" t="s">
        <v>344</v>
      </c>
      <c r="G142" s="337"/>
      <c r="H142" s="353"/>
      <c r="I142" s="495" t="s">
        <v>401</v>
      </c>
      <c r="J142" s="643"/>
      <c r="K142" s="164" t="s">
        <v>344</v>
      </c>
      <c r="L142" s="2228"/>
      <c r="M142" s="505"/>
      <c r="N142" s="260"/>
      <c r="O142" s="505"/>
      <c r="P142" s="2287"/>
      <c r="Q142" s="2228"/>
      <c r="R142" s="505"/>
      <c r="S142" s="260"/>
      <c r="T142" s="505"/>
      <c r="U142" s="2287"/>
      <c r="V142" s="2228"/>
      <c r="W142" s="505"/>
      <c r="X142" s="260"/>
      <c r="Y142" s="507"/>
      <c r="Z142" s="2287"/>
      <c r="AA142" s="2228"/>
      <c r="AB142" s="505"/>
      <c r="AC142" s="260"/>
      <c r="AD142" s="505"/>
      <c r="AE142" s="2287"/>
      <c r="AF142" s="4490"/>
      <c r="AG142" s="138"/>
      <c r="AH142" s="138"/>
      <c r="AI142" s="982" t="s">
        <v>397</v>
      </c>
      <c r="AJ142" s="11"/>
    </row>
    <row r="143" spans="2:36" ht="20.100000000000001" hidden="1" customHeight="1" thickBot="1">
      <c r="B143" s="1821"/>
      <c r="C143" s="10070"/>
      <c r="D143" s="508" t="s">
        <v>402</v>
      </c>
      <c r="E143" s="508"/>
      <c r="F143" s="492" t="s">
        <v>344</v>
      </c>
      <c r="G143" s="337"/>
      <c r="H143" s="353"/>
      <c r="I143" s="495" t="s">
        <v>403</v>
      </c>
      <c r="J143" s="643"/>
      <c r="K143" s="164" t="s">
        <v>344</v>
      </c>
      <c r="L143" s="2229"/>
      <c r="M143" s="505"/>
      <c r="N143" s="510"/>
      <c r="O143" s="505"/>
      <c r="P143" s="2391"/>
      <c r="Q143" s="2229"/>
      <c r="R143" s="505"/>
      <c r="S143" s="510"/>
      <c r="T143" s="505"/>
      <c r="U143" s="2391"/>
      <c r="V143" s="2229"/>
      <c r="W143" s="505"/>
      <c r="X143" s="510"/>
      <c r="Y143" s="507"/>
      <c r="Z143" s="2391"/>
      <c r="AA143" s="2229"/>
      <c r="AB143" s="505"/>
      <c r="AC143" s="510"/>
      <c r="AD143" s="505"/>
      <c r="AE143" s="2391"/>
      <c r="AF143" s="4490"/>
      <c r="AG143" s="138"/>
      <c r="AH143" s="138"/>
      <c r="AI143" s="982" t="s">
        <v>397</v>
      </c>
      <c r="AJ143" s="11"/>
    </row>
    <row r="144" spans="2:36" ht="20.100000000000001" hidden="1" customHeight="1" thickBot="1">
      <c r="B144" s="1821"/>
      <c r="C144" s="10070"/>
      <c r="D144" s="9786" t="s">
        <v>404</v>
      </c>
      <c r="E144" s="9787"/>
      <c r="F144" s="492" t="s">
        <v>344</v>
      </c>
      <c r="G144" s="337"/>
      <c r="H144" s="353"/>
      <c r="I144" s="495" t="s">
        <v>405</v>
      </c>
      <c r="J144" s="643"/>
      <c r="K144" s="164" t="s">
        <v>344</v>
      </c>
      <c r="L144" s="2230"/>
      <c r="M144" s="505"/>
      <c r="N144" s="506"/>
      <c r="O144" s="505"/>
      <c r="P144" s="2231"/>
      <c r="Q144" s="2230"/>
      <c r="R144" s="505"/>
      <c r="S144" s="506"/>
      <c r="T144" s="505"/>
      <c r="U144" s="2231"/>
      <c r="V144" s="2230"/>
      <c r="W144" s="505"/>
      <c r="X144" s="506"/>
      <c r="Y144" s="507"/>
      <c r="Z144" s="2231"/>
      <c r="AA144" s="2230"/>
      <c r="AB144" s="505"/>
      <c r="AC144" s="506"/>
      <c r="AD144" s="505"/>
      <c r="AE144" s="2231"/>
      <c r="AF144" s="4490"/>
      <c r="AG144" s="138"/>
      <c r="AH144" s="138"/>
      <c r="AI144" s="982" t="s">
        <v>397</v>
      </c>
      <c r="AJ144" s="11"/>
    </row>
    <row r="145" spans="2:36" ht="20.100000000000001" hidden="1" customHeight="1" thickBot="1">
      <c r="B145" s="1821"/>
      <c r="C145" s="10070"/>
      <c r="D145" s="9786" t="s">
        <v>406</v>
      </c>
      <c r="E145" s="9787"/>
      <c r="F145" s="492" t="s">
        <v>344</v>
      </c>
      <c r="G145" s="337"/>
      <c r="H145" s="353"/>
      <c r="I145" s="495" t="s">
        <v>407</v>
      </c>
      <c r="J145" s="643"/>
      <c r="K145" s="164" t="s">
        <v>344</v>
      </c>
      <c r="L145" s="2230"/>
      <c r="M145" s="505"/>
      <c r="N145" s="506"/>
      <c r="O145" s="505"/>
      <c r="P145" s="2231"/>
      <c r="Q145" s="2230"/>
      <c r="R145" s="505"/>
      <c r="S145" s="506"/>
      <c r="T145" s="505"/>
      <c r="U145" s="2231"/>
      <c r="V145" s="2230"/>
      <c r="W145" s="505"/>
      <c r="X145" s="506"/>
      <c r="Y145" s="507"/>
      <c r="Z145" s="2231"/>
      <c r="AA145" s="2230"/>
      <c r="AB145" s="505"/>
      <c r="AC145" s="506"/>
      <c r="AD145" s="505"/>
      <c r="AE145" s="2231"/>
      <c r="AF145" s="4490"/>
      <c r="AG145" s="138"/>
      <c r="AH145" s="138"/>
      <c r="AI145" s="982" t="s">
        <v>397</v>
      </c>
      <c r="AJ145" s="11"/>
    </row>
    <row r="146" spans="2:36" ht="20.100000000000001" hidden="1" customHeight="1" thickBot="1">
      <c r="B146" s="1821"/>
      <c r="C146" s="10071"/>
      <c r="D146" s="9788" t="s">
        <v>408</v>
      </c>
      <c r="E146" s="9789"/>
      <c r="F146" s="511" t="s">
        <v>344</v>
      </c>
      <c r="G146" s="106"/>
      <c r="H146" s="353"/>
      <c r="I146" s="4544" t="s">
        <v>409</v>
      </c>
      <c r="J146" s="353"/>
      <c r="K146" s="4545" t="s">
        <v>344</v>
      </c>
      <c r="L146" s="2232"/>
      <c r="M146" s="505"/>
      <c r="N146" s="517"/>
      <c r="O146" s="505"/>
      <c r="P146" s="2233"/>
      <c r="Q146" s="2232"/>
      <c r="R146" s="505"/>
      <c r="S146" s="517"/>
      <c r="T146" s="505"/>
      <c r="U146" s="2233"/>
      <c r="V146" s="2232"/>
      <c r="W146" s="505"/>
      <c r="X146" s="517"/>
      <c r="Y146" s="507"/>
      <c r="Z146" s="2233"/>
      <c r="AA146" s="2232"/>
      <c r="AB146" s="505"/>
      <c r="AC146" s="517"/>
      <c r="AD146" s="505"/>
      <c r="AE146" s="2233"/>
      <c r="AF146" s="4490"/>
      <c r="AG146" s="138"/>
      <c r="AH146" s="138"/>
      <c r="AI146" s="982" t="s">
        <v>397</v>
      </c>
      <c r="AJ146" s="11"/>
    </row>
    <row r="147" spans="2:36" ht="27" thickBot="1">
      <c r="B147" s="4505" t="s">
        <v>2281</v>
      </c>
      <c r="C147" s="123" t="s">
        <v>410</v>
      </c>
      <c r="D147" s="124"/>
      <c r="E147" s="124"/>
      <c r="F147" s="518"/>
      <c r="G147" s="125" t="s">
        <v>411</v>
      </c>
      <c r="H147" s="4546"/>
      <c r="I147" s="126"/>
      <c r="J147" s="129"/>
      <c r="K147" s="2176"/>
      <c r="L147" s="2175"/>
      <c r="M147" s="148"/>
      <c r="N147" s="148"/>
      <c r="O147" s="148"/>
      <c r="P147" s="2176"/>
      <c r="Q147" s="2175"/>
      <c r="R147" s="148"/>
      <c r="S147" s="148"/>
      <c r="T147" s="148"/>
      <c r="U147" s="2176"/>
      <c r="V147" s="2175"/>
      <c r="W147" s="148"/>
      <c r="X147" s="148"/>
      <c r="Y147" s="148"/>
      <c r="Z147" s="2176"/>
      <c r="AA147" s="2175"/>
      <c r="AB147" s="148"/>
      <c r="AC147" s="148"/>
      <c r="AD147" s="148"/>
      <c r="AE147" s="2176"/>
      <c r="AF147" s="4547"/>
      <c r="AG147" s="129"/>
      <c r="AH147" s="129"/>
      <c r="AI147" s="1006"/>
      <c r="AJ147" s="18"/>
    </row>
    <row r="148" spans="2:36" ht="20.100000000000001" customHeight="1">
      <c r="B148" s="4505" t="s">
        <v>2281</v>
      </c>
      <c r="C148" s="9990" t="s">
        <v>412</v>
      </c>
      <c r="D148" s="9790"/>
      <c r="E148" s="9790"/>
      <c r="F148" s="492" t="s">
        <v>344</v>
      </c>
      <c r="G148" s="4548"/>
      <c r="H148" s="134" t="s">
        <v>414</v>
      </c>
      <c r="I148" s="134"/>
      <c r="J148" s="797"/>
      <c r="K148" s="164" t="s">
        <v>344</v>
      </c>
      <c r="L148" s="2392">
        <f t="shared" ref="L148" si="10">L149+L152</f>
        <v>0</v>
      </c>
      <c r="M148" s="532"/>
      <c r="N148" s="531">
        <f>N149+N152</f>
        <v>0</v>
      </c>
      <c r="O148" s="532"/>
      <c r="P148" s="2393">
        <f>P149+P152</f>
        <v>0</v>
      </c>
      <c r="Q148" s="2392">
        <f>Q149+Q152</f>
        <v>0</v>
      </c>
      <c r="R148" s="532"/>
      <c r="S148" s="531">
        <f>S149+S152</f>
        <v>0</v>
      </c>
      <c r="T148" s="532"/>
      <c r="U148" s="2393">
        <f>U149+U152</f>
        <v>0</v>
      </c>
      <c r="V148" s="2392">
        <f>V149+V152</f>
        <v>0</v>
      </c>
      <c r="W148" s="532"/>
      <c r="X148" s="531">
        <f>X149+X152</f>
        <v>0</v>
      </c>
      <c r="Y148" s="532"/>
      <c r="Z148" s="2393">
        <f>Z149+Z152</f>
        <v>0</v>
      </c>
      <c r="AA148" s="5187">
        <f>AA149+AA152</f>
        <v>242</v>
      </c>
      <c r="AB148" s="5188" t="s">
        <v>689</v>
      </c>
      <c r="AC148" s="5189">
        <f>AC149+AC152</f>
        <v>330</v>
      </c>
      <c r="AD148" s="5188" t="s">
        <v>689</v>
      </c>
      <c r="AE148" s="5190">
        <f>AE149+AE152</f>
        <v>244</v>
      </c>
      <c r="AF148" s="4549"/>
      <c r="AG148" s="1825"/>
      <c r="AH148" s="534"/>
      <c r="AI148" s="1244" t="s">
        <v>418</v>
      </c>
      <c r="AJ148" s="18"/>
    </row>
    <row r="149" spans="2:36" ht="20.100000000000001" customHeight="1">
      <c r="B149" s="4509" t="s">
        <v>2281</v>
      </c>
      <c r="C149" s="4528"/>
      <c r="D149" s="357" t="s">
        <v>423</v>
      </c>
      <c r="E149" s="104"/>
      <c r="F149" s="492" t="s">
        <v>344</v>
      </c>
      <c r="G149" s="535"/>
      <c r="H149" s="45"/>
      <c r="I149" s="4550" t="s">
        <v>424</v>
      </c>
      <c r="J149" s="576"/>
      <c r="K149" s="164" t="s">
        <v>344</v>
      </c>
      <c r="L149" s="2302"/>
      <c r="M149" s="543"/>
      <c r="N149" s="542"/>
      <c r="O149" s="543"/>
      <c r="P149" s="2303"/>
      <c r="Q149" s="2302"/>
      <c r="R149" s="543"/>
      <c r="S149" s="542"/>
      <c r="T149" s="543"/>
      <c r="U149" s="2303"/>
      <c r="V149" s="2302"/>
      <c r="W149" s="543"/>
      <c r="X149" s="542"/>
      <c r="Y149" s="543"/>
      <c r="Z149" s="2303"/>
      <c r="AA149" s="5191">
        <v>242</v>
      </c>
      <c r="AB149" s="4949"/>
      <c r="AC149" s="5192">
        <v>330</v>
      </c>
      <c r="AD149" s="4949"/>
      <c r="AE149" s="5193">
        <v>244</v>
      </c>
      <c r="AF149" s="4551"/>
      <c r="AG149" s="546"/>
      <c r="AH149" s="547"/>
      <c r="AI149" s="1244" t="s">
        <v>418</v>
      </c>
      <c r="AJ149" s="18"/>
    </row>
    <row r="150" spans="2:36" ht="20.100000000000001" customHeight="1">
      <c r="B150" s="4505" t="s">
        <v>2281</v>
      </c>
      <c r="C150" s="4531"/>
      <c r="D150" s="549"/>
      <c r="E150" s="306" t="s">
        <v>425</v>
      </c>
      <c r="F150" s="492" t="s">
        <v>344</v>
      </c>
      <c r="G150" s="535"/>
      <c r="H150" s="45"/>
      <c r="I150" s="4552"/>
      <c r="J150" s="201" t="s">
        <v>426</v>
      </c>
      <c r="K150" s="164" t="s">
        <v>344</v>
      </c>
      <c r="L150" s="2302"/>
      <c r="M150" s="543"/>
      <c r="N150" s="542"/>
      <c r="O150" s="543"/>
      <c r="P150" s="2303"/>
      <c r="Q150" s="2302"/>
      <c r="R150" s="543"/>
      <c r="S150" s="542"/>
      <c r="T150" s="543"/>
      <c r="U150" s="2303"/>
      <c r="V150" s="2302"/>
      <c r="W150" s="543"/>
      <c r="X150" s="542"/>
      <c r="Y150" s="543"/>
      <c r="Z150" s="2303"/>
      <c r="AA150" s="5191">
        <v>0</v>
      </c>
      <c r="AB150" s="4949"/>
      <c r="AC150" s="5192">
        <v>0</v>
      </c>
      <c r="AD150" s="4949"/>
      <c r="AE150" s="5193">
        <v>0</v>
      </c>
      <c r="AF150" s="4551"/>
      <c r="AG150" s="547"/>
      <c r="AH150" s="547"/>
      <c r="AI150" s="1244" t="s">
        <v>429</v>
      </c>
      <c r="AJ150" s="18"/>
    </row>
    <row r="151" spans="2:36" ht="20.100000000000001" customHeight="1">
      <c r="B151" s="4505" t="s">
        <v>2281</v>
      </c>
      <c r="C151" s="4531"/>
      <c r="D151" s="553"/>
      <c r="E151" s="306" t="s">
        <v>1790</v>
      </c>
      <c r="F151" s="492" t="s">
        <v>344</v>
      </c>
      <c r="G151" s="535"/>
      <c r="H151" s="45"/>
      <c r="I151" s="4552"/>
      <c r="J151" s="198" t="s">
        <v>438</v>
      </c>
      <c r="K151" s="164" t="s">
        <v>344</v>
      </c>
      <c r="L151" s="2302"/>
      <c r="M151" s="543"/>
      <c r="N151" s="542"/>
      <c r="O151" s="543"/>
      <c r="P151" s="2303"/>
      <c r="Q151" s="2302"/>
      <c r="R151" s="543"/>
      <c r="S151" s="542"/>
      <c r="T151" s="543"/>
      <c r="U151" s="2303"/>
      <c r="V151" s="2302"/>
      <c r="W151" s="543"/>
      <c r="X151" s="542"/>
      <c r="Y151" s="543"/>
      <c r="Z151" s="2303"/>
      <c r="AA151" s="5191">
        <v>242</v>
      </c>
      <c r="AB151" s="4949"/>
      <c r="AC151" s="5192">
        <v>330</v>
      </c>
      <c r="AD151" s="4949"/>
      <c r="AE151" s="5193">
        <v>244</v>
      </c>
      <c r="AF151" s="4551"/>
      <c r="AG151" s="547"/>
      <c r="AH151" s="547"/>
      <c r="AI151" s="1244" t="s">
        <v>489</v>
      </c>
      <c r="AJ151" s="18"/>
    </row>
    <row r="152" spans="2:36" ht="20.100000000000001" customHeight="1">
      <c r="B152" s="4505" t="s">
        <v>2281</v>
      </c>
      <c r="C152" s="4531"/>
      <c r="D152" s="306" t="s">
        <v>444</v>
      </c>
      <c r="E152" s="161"/>
      <c r="F152" s="492" t="s">
        <v>344</v>
      </c>
      <c r="G152" s="535"/>
      <c r="H152" s="45"/>
      <c r="I152" s="571" t="s">
        <v>445</v>
      </c>
      <c r="J152" s="177"/>
      <c r="K152" s="164" t="s">
        <v>344</v>
      </c>
      <c r="L152" s="2302"/>
      <c r="M152" s="543"/>
      <c r="N152" s="542"/>
      <c r="O152" s="543"/>
      <c r="P152" s="2303"/>
      <c r="Q152" s="2302"/>
      <c r="R152" s="543"/>
      <c r="S152" s="542"/>
      <c r="T152" s="543"/>
      <c r="U152" s="2303"/>
      <c r="V152" s="2302"/>
      <c r="W152" s="543"/>
      <c r="X152" s="542"/>
      <c r="Y152" s="543"/>
      <c r="Z152" s="2303"/>
      <c r="AA152" s="5191">
        <v>0</v>
      </c>
      <c r="AB152" s="4949"/>
      <c r="AC152" s="5192">
        <v>0</v>
      </c>
      <c r="AD152" s="4949"/>
      <c r="AE152" s="5193">
        <v>0</v>
      </c>
      <c r="AF152" s="4551"/>
      <c r="AG152" s="546"/>
      <c r="AH152" s="547"/>
      <c r="AI152" s="1244" t="s">
        <v>418</v>
      </c>
      <c r="AJ152" s="18"/>
    </row>
    <row r="153" spans="2:36" ht="20.100000000000001" customHeight="1">
      <c r="B153" s="4505" t="s">
        <v>2281</v>
      </c>
      <c r="D153" s="558"/>
      <c r="E153" s="357" t="s">
        <v>446</v>
      </c>
      <c r="F153" s="492" t="s">
        <v>344</v>
      </c>
      <c r="G153" s="106"/>
      <c r="H153" s="348"/>
      <c r="I153" s="4552"/>
      <c r="J153" s="201" t="s">
        <v>426</v>
      </c>
      <c r="K153" s="164" t="s">
        <v>344</v>
      </c>
      <c r="L153" s="2302"/>
      <c r="M153" s="543"/>
      <c r="N153" s="542"/>
      <c r="O153" s="543"/>
      <c r="P153" s="2303"/>
      <c r="Q153" s="2302"/>
      <c r="R153" s="543"/>
      <c r="S153" s="542"/>
      <c r="T153" s="543"/>
      <c r="U153" s="2303"/>
      <c r="V153" s="2302"/>
      <c r="W153" s="543"/>
      <c r="X153" s="542"/>
      <c r="Y153" s="543"/>
      <c r="Z153" s="2303"/>
      <c r="AA153" s="5191">
        <v>0</v>
      </c>
      <c r="AB153" s="4949"/>
      <c r="AC153" s="5192">
        <v>0</v>
      </c>
      <c r="AD153" s="4949"/>
      <c r="AE153" s="5193">
        <v>0</v>
      </c>
      <c r="AF153" s="4551"/>
      <c r="AG153" s="547"/>
      <c r="AH153" s="547"/>
      <c r="AI153" s="1244" t="s">
        <v>429</v>
      </c>
      <c r="AJ153" s="18"/>
    </row>
    <row r="154" spans="2:36" ht="20.100000000000001" customHeight="1">
      <c r="B154" s="4505" t="s">
        <v>2281</v>
      </c>
      <c r="C154" s="4531"/>
      <c r="D154" s="559"/>
      <c r="E154" s="357" t="s">
        <v>454</v>
      </c>
      <c r="F154" s="492" t="s">
        <v>344</v>
      </c>
      <c r="G154" s="106"/>
      <c r="H154" s="385"/>
      <c r="I154" s="4553"/>
      <c r="J154" s="349" t="s">
        <v>455</v>
      </c>
      <c r="K154" s="164" t="s">
        <v>344</v>
      </c>
      <c r="L154" s="2302"/>
      <c r="M154" s="543"/>
      <c r="N154" s="542"/>
      <c r="O154" s="543"/>
      <c r="P154" s="2303"/>
      <c r="Q154" s="2302"/>
      <c r="R154" s="543"/>
      <c r="S154" s="542"/>
      <c r="T154" s="543"/>
      <c r="U154" s="2303"/>
      <c r="V154" s="2302"/>
      <c r="W154" s="543"/>
      <c r="X154" s="542"/>
      <c r="Y154" s="543"/>
      <c r="Z154" s="2303"/>
      <c r="AA154" s="5191">
        <v>0</v>
      </c>
      <c r="AB154" s="4949"/>
      <c r="AC154" s="5192">
        <v>0</v>
      </c>
      <c r="AD154" s="4949"/>
      <c r="AE154" s="5193">
        <v>0</v>
      </c>
      <c r="AF154" s="4490"/>
      <c r="AG154" s="547"/>
      <c r="AH154" s="547"/>
      <c r="AI154" s="1244" t="s">
        <v>418</v>
      </c>
      <c r="AJ154" s="18"/>
    </row>
    <row r="155" spans="2:36" ht="20.100000000000001" customHeight="1">
      <c r="B155" s="4505" t="s">
        <v>2281</v>
      </c>
      <c r="C155" s="1849" t="s">
        <v>456</v>
      </c>
      <c r="D155" s="161"/>
      <c r="E155" s="161"/>
      <c r="F155" s="492" t="s">
        <v>1792</v>
      </c>
      <c r="G155" s="4554"/>
      <c r="H155" s="178" t="s">
        <v>458</v>
      </c>
      <c r="I155" s="178"/>
      <c r="J155" s="177"/>
      <c r="K155" s="162" t="s">
        <v>459</v>
      </c>
      <c r="L155" s="4555" t="s">
        <v>169</v>
      </c>
      <c r="M155" s="570"/>
      <c r="N155" s="4556" t="s">
        <v>169</v>
      </c>
      <c r="O155" s="570"/>
      <c r="P155" s="4557" t="s">
        <v>169</v>
      </c>
      <c r="Q155" s="4555" t="s">
        <v>169</v>
      </c>
      <c r="R155" s="570"/>
      <c r="S155" s="4556" t="s">
        <v>169</v>
      </c>
      <c r="T155" s="570"/>
      <c r="U155" s="4557" t="s">
        <v>169</v>
      </c>
      <c r="V155" s="4555" t="s">
        <v>169</v>
      </c>
      <c r="W155" s="570"/>
      <c r="X155" s="4556" t="s">
        <v>169</v>
      </c>
      <c r="Y155" s="570"/>
      <c r="Z155" s="4557" t="s">
        <v>169</v>
      </c>
      <c r="AA155" s="5194" t="s">
        <v>169</v>
      </c>
      <c r="AB155" s="5195"/>
      <c r="AC155" s="5196" t="s">
        <v>169</v>
      </c>
      <c r="AD155" s="5195"/>
      <c r="AE155" s="5197" t="s">
        <v>169</v>
      </c>
      <c r="AF155" s="4490"/>
      <c r="AG155" s="547"/>
      <c r="AH155" s="547"/>
      <c r="AI155" s="1244" t="s">
        <v>462</v>
      </c>
      <c r="AJ155" s="18"/>
    </row>
    <row r="156" spans="2:36" ht="20.100000000000001" customHeight="1">
      <c r="B156" s="4505" t="s">
        <v>2281</v>
      </c>
      <c r="C156" s="4514"/>
      <c r="D156" s="571" t="s">
        <v>412</v>
      </c>
      <c r="E156" s="161"/>
      <c r="F156" s="492" t="s">
        <v>344</v>
      </c>
      <c r="G156" s="4554"/>
      <c r="H156" s="337"/>
      <c r="I156" s="571" t="s">
        <v>702</v>
      </c>
      <c r="J156" s="177"/>
      <c r="K156" s="162" t="s">
        <v>703</v>
      </c>
      <c r="L156" s="2186"/>
      <c r="M156" s="293"/>
      <c r="N156" s="569"/>
      <c r="O156" s="293"/>
      <c r="P156" s="2238"/>
      <c r="Q156" s="2237"/>
      <c r="R156" s="293"/>
      <c r="S156" s="569"/>
      <c r="T156" s="293"/>
      <c r="U156" s="2238"/>
      <c r="V156" s="2237"/>
      <c r="W156" s="293"/>
      <c r="X156" s="569"/>
      <c r="Y156" s="293"/>
      <c r="Z156" s="2238"/>
      <c r="AA156" s="5198">
        <v>242</v>
      </c>
      <c r="AB156" s="4819"/>
      <c r="AC156" s="5199">
        <v>330</v>
      </c>
      <c r="AD156" s="4819"/>
      <c r="AE156" s="5200">
        <v>244</v>
      </c>
      <c r="AF156" s="4490"/>
      <c r="AG156" s="547"/>
      <c r="AH156" s="547"/>
      <c r="AI156" s="1244" t="s">
        <v>462</v>
      </c>
      <c r="AJ156" s="18"/>
    </row>
    <row r="157" spans="2:36" ht="20.100000000000001" customHeight="1">
      <c r="B157" s="4505" t="s">
        <v>2281</v>
      </c>
      <c r="C157" s="4516"/>
      <c r="D157" s="571" t="s">
        <v>232</v>
      </c>
      <c r="E157" s="161"/>
      <c r="F157" s="492" t="s">
        <v>233</v>
      </c>
      <c r="G157" s="4554"/>
      <c r="H157" s="343"/>
      <c r="I157" s="571" t="s">
        <v>234</v>
      </c>
      <c r="J157" s="177"/>
      <c r="K157" s="162" t="s">
        <v>235</v>
      </c>
      <c r="L157" s="2186"/>
      <c r="M157" s="293"/>
      <c r="N157" s="569"/>
      <c r="O157" s="293"/>
      <c r="P157" s="2238"/>
      <c r="Q157" s="2237"/>
      <c r="R157" s="293"/>
      <c r="S157" s="569"/>
      <c r="T157" s="293"/>
      <c r="U157" s="2238"/>
      <c r="V157" s="2237"/>
      <c r="W157" s="293"/>
      <c r="X157" s="569"/>
      <c r="Y157" s="293"/>
      <c r="Z157" s="2238"/>
      <c r="AA157" s="5201">
        <v>35105</v>
      </c>
      <c r="AB157" s="4819" t="s">
        <v>3511</v>
      </c>
      <c r="AC157" s="5202">
        <v>86290</v>
      </c>
      <c r="AD157" s="4819"/>
      <c r="AE157" s="5200">
        <v>123595</v>
      </c>
      <c r="AF157" s="4490"/>
      <c r="AG157" s="547"/>
      <c r="AH157" s="547"/>
      <c r="AI157" s="1244" t="s">
        <v>462</v>
      </c>
      <c r="AJ157" s="18"/>
    </row>
    <row r="158" spans="2:36" ht="19.899999999999999" hidden="1" customHeight="1">
      <c r="B158" s="1754"/>
      <c r="C158" s="1849" t="s">
        <v>466</v>
      </c>
      <c r="D158" s="161"/>
      <c r="E158" s="161"/>
      <c r="F158" s="492" t="s">
        <v>344</v>
      </c>
      <c r="G158" s="662"/>
      <c r="H158" s="140" t="s">
        <v>467</v>
      </c>
      <c r="I158" s="140"/>
      <c r="J158" s="177"/>
      <c r="K158" s="164" t="s">
        <v>344</v>
      </c>
      <c r="L158" s="2186"/>
      <c r="M158" s="293"/>
      <c r="N158" s="100"/>
      <c r="O158" s="293"/>
      <c r="P158" s="2187"/>
      <c r="Q158" s="2186"/>
      <c r="R158" s="293"/>
      <c r="S158" s="100"/>
      <c r="T158" s="293"/>
      <c r="U158" s="2187"/>
      <c r="V158" s="2186"/>
      <c r="W158" s="293"/>
      <c r="X158" s="100"/>
      <c r="Y158" s="293"/>
      <c r="Z158" s="2187"/>
      <c r="AA158" s="4811"/>
      <c r="AB158" s="4819"/>
      <c r="AC158" s="209"/>
      <c r="AD158" s="4819"/>
      <c r="AE158" s="5146"/>
      <c r="AF158" s="4490"/>
      <c r="AG158" s="547"/>
      <c r="AH158" s="547"/>
      <c r="AI158" s="1244" t="s">
        <v>470</v>
      </c>
      <c r="AJ158" s="18"/>
    </row>
    <row r="159" spans="2:36" ht="20.100000000000001" hidden="1" customHeight="1" thickBot="1">
      <c r="B159" s="1754"/>
      <c r="C159" s="4514"/>
      <c r="D159" s="306" t="s">
        <v>471</v>
      </c>
      <c r="E159" s="161"/>
      <c r="F159" s="492" t="s">
        <v>344</v>
      </c>
      <c r="G159" s="662"/>
      <c r="H159" s="287"/>
      <c r="I159" s="571" t="s">
        <v>472</v>
      </c>
      <c r="J159" s="177"/>
      <c r="K159" s="164" t="s">
        <v>344</v>
      </c>
      <c r="L159" s="2186"/>
      <c r="M159" s="293"/>
      <c r="N159" s="100"/>
      <c r="O159" s="293"/>
      <c r="P159" s="2187"/>
      <c r="Q159" s="2186"/>
      <c r="R159" s="293"/>
      <c r="S159" s="100"/>
      <c r="T159" s="293"/>
      <c r="U159" s="2187"/>
      <c r="V159" s="2186"/>
      <c r="W159" s="293"/>
      <c r="X159" s="100"/>
      <c r="Y159" s="293"/>
      <c r="Z159" s="2187"/>
      <c r="AA159" s="4811"/>
      <c r="AB159" s="4819"/>
      <c r="AC159" s="209"/>
      <c r="AD159" s="4819"/>
      <c r="AE159" s="5146"/>
      <c r="AF159" s="4490"/>
      <c r="AG159" s="547"/>
      <c r="AH159" s="547"/>
      <c r="AI159" s="1244" t="s">
        <v>470</v>
      </c>
      <c r="AJ159" s="18"/>
    </row>
    <row r="160" spans="2:36" ht="20.100000000000001" hidden="1" customHeight="1" thickBot="1">
      <c r="B160" s="1754"/>
      <c r="C160" s="4516"/>
      <c r="D160" s="306" t="s">
        <v>473</v>
      </c>
      <c r="E160" s="161"/>
      <c r="F160" s="492" t="s">
        <v>344</v>
      </c>
      <c r="G160" s="662"/>
      <c r="H160" s="296"/>
      <c r="I160" s="571" t="s">
        <v>474</v>
      </c>
      <c r="J160" s="177"/>
      <c r="K160" s="164" t="s">
        <v>344</v>
      </c>
      <c r="L160" s="2186"/>
      <c r="M160" s="293"/>
      <c r="N160" s="100"/>
      <c r="O160" s="293"/>
      <c r="P160" s="2187"/>
      <c r="Q160" s="2186"/>
      <c r="R160" s="293"/>
      <c r="S160" s="100"/>
      <c r="T160" s="293"/>
      <c r="U160" s="2187"/>
      <c r="V160" s="2186"/>
      <c r="W160" s="293"/>
      <c r="X160" s="100"/>
      <c r="Y160" s="293"/>
      <c r="Z160" s="2187"/>
      <c r="AA160" s="4811"/>
      <c r="AB160" s="4819"/>
      <c r="AC160" s="209"/>
      <c r="AD160" s="4819"/>
      <c r="AE160" s="5146"/>
      <c r="AF160" s="4490"/>
      <c r="AG160" s="547"/>
      <c r="AH160" s="547"/>
      <c r="AI160" s="1244" t="s">
        <v>475</v>
      </c>
      <c r="AJ160" s="18"/>
    </row>
    <row r="161" spans="2:36" ht="20.100000000000001" hidden="1" customHeight="1" thickBot="1">
      <c r="B161" s="1754"/>
      <c r="C161" s="1849" t="s">
        <v>476</v>
      </c>
      <c r="D161" s="161"/>
      <c r="E161" s="161"/>
      <c r="F161" s="492" t="s">
        <v>344</v>
      </c>
      <c r="G161" s="662"/>
      <c r="H161" s="140" t="s">
        <v>477</v>
      </c>
      <c r="I161" s="140"/>
      <c r="J161" s="177"/>
      <c r="K161" s="164" t="s">
        <v>344</v>
      </c>
      <c r="L161" s="2226">
        <f t="shared" ref="L161" si="11">L162+L163</f>
        <v>0</v>
      </c>
      <c r="M161" s="293"/>
      <c r="N161" s="356">
        <f>N162+N163</f>
        <v>0</v>
      </c>
      <c r="O161" s="293"/>
      <c r="P161" s="2241">
        <f>P162+P163</f>
        <v>0</v>
      </c>
      <c r="Q161" s="2226">
        <f>Q162+Q163</f>
        <v>0</v>
      </c>
      <c r="R161" s="293"/>
      <c r="S161" s="356">
        <f>S162+S163</f>
        <v>0</v>
      </c>
      <c r="T161" s="293"/>
      <c r="U161" s="2241">
        <f>U162+U163</f>
        <v>0</v>
      </c>
      <c r="V161" s="2226">
        <f>V162+V163</f>
        <v>0</v>
      </c>
      <c r="W161" s="293"/>
      <c r="X161" s="356">
        <f>X162+X163</f>
        <v>0</v>
      </c>
      <c r="Y161" s="293"/>
      <c r="Z161" s="2241">
        <f>Z162+Z163</f>
        <v>0</v>
      </c>
      <c r="AA161" s="5203">
        <f>AA162+AA163</f>
        <v>0</v>
      </c>
      <c r="AB161" s="4819"/>
      <c r="AC161" s="5204">
        <f>AC162+AC163</f>
        <v>0</v>
      </c>
      <c r="AD161" s="4819"/>
      <c r="AE161" s="5205">
        <f>AE162+AE163</f>
        <v>0</v>
      </c>
      <c r="AF161" s="4490"/>
      <c r="AG161" s="547"/>
      <c r="AH161" s="547"/>
      <c r="AI161" s="1244" t="s">
        <v>480</v>
      </c>
      <c r="AJ161" s="18"/>
    </row>
    <row r="162" spans="2:36" ht="20.100000000000001" hidden="1" customHeight="1" thickBot="1">
      <c r="B162" s="1754"/>
      <c r="C162" s="4528"/>
      <c r="D162" s="573" t="s">
        <v>481</v>
      </c>
      <c r="E162" s="573"/>
      <c r="F162" s="492" t="s">
        <v>344</v>
      </c>
      <c r="G162" s="416"/>
      <c r="H162" s="575"/>
      <c r="I162" s="4550" t="s">
        <v>482</v>
      </c>
      <c r="J162" s="576"/>
      <c r="K162" s="164" t="s">
        <v>344</v>
      </c>
      <c r="L162" s="2186"/>
      <c r="M162" s="293"/>
      <c r="N162" s="100"/>
      <c r="O162" s="293"/>
      <c r="P162" s="2187"/>
      <c r="Q162" s="2186"/>
      <c r="R162" s="293"/>
      <c r="S162" s="100"/>
      <c r="T162" s="293"/>
      <c r="U162" s="2187"/>
      <c r="V162" s="2186"/>
      <c r="W162" s="293"/>
      <c r="X162" s="100"/>
      <c r="Y162" s="293"/>
      <c r="Z162" s="2187"/>
      <c r="AA162" s="4811"/>
      <c r="AB162" s="4819"/>
      <c r="AC162" s="209"/>
      <c r="AD162" s="4819"/>
      <c r="AE162" s="5146"/>
      <c r="AF162" s="4490"/>
      <c r="AG162" s="547"/>
      <c r="AH162" s="547"/>
      <c r="AI162" s="1244" t="s">
        <v>480</v>
      </c>
      <c r="AJ162" s="18"/>
    </row>
    <row r="163" spans="2:36" ht="20.100000000000001" hidden="1" customHeight="1" thickBot="1">
      <c r="B163" s="1754"/>
      <c r="C163" s="1945"/>
      <c r="D163" s="573" t="s">
        <v>483</v>
      </c>
      <c r="E163" s="573"/>
      <c r="F163" s="492" t="s">
        <v>344</v>
      </c>
      <c r="G163" s="416"/>
      <c r="H163" s="578"/>
      <c r="I163" s="4550" t="s">
        <v>484</v>
      </c>
      <c r="J163" s="576"/>
      <c r="K163" s="164" t="s">
        <v>344</v>
      </c>
      <c r="L163" s="2186"/>
      <c r="M163" s="293"/>
      <c r="N163" s="100"/>
      <c r="O163" s="293"/>
      <c r="P163" s="2187"/>
      <c r="Q163" s="2186"/>
      <c r="R163" s="293"/>
      <c r="S163" s="100"/>
      <c r="T163" s="293"/>
      <c r="U163" s="2187"/>
      <c r="V163" s="2186"/>
      <c r="W163" s="293"/>
      <c r="X163" s="100"/>
      <c r="Y163" s="293"/>
      <c r="Z163" s="2187"/>
      <c r="AA163" s="4811"/>
      <c r="AB163" s="4819"/>
      <c r="AC163" s="209"/>
      <c r="AD163" s="4819"/>
      <c r="AE163" s="5146"/>
      <c r="AF163" s="4490"/>
      <c r="AG163" s="547"/>
      <c r="AH163" s="547"/>
      <c r="AI163" s="1244" t="s">
        <v>480</v>
      </c>
      <c r="AJ163" s="18"/>
    </row>
    <row r="164" spans="2:36" ht="20.100000000000001" hidden="1" customHeight="1" thickBot="1">
      <c r="B164" s="1754"/>
      <c r="C164" s="1758" t="s">
        <v>485</v>
      </c>
      <c r="D164" s="104"/>
      <c r="E164" s="104"/>
      <c r="F164" s="492" t="s">
        <v>344</v>
      </c>
      <c r="G164" s="416"/>
      <c r="H164" s="143" t="s">
        <v>486</v>
      </c>
      <c r="I164" s="143"/>
      <c r="J164" s="576"/>
      <c r="K164" s="164" t="s">
        <v>344</v>
      </c>
      <c r="L164" s="2242">
        <f t="shared" ref="L164" si="12">L165+L166</f>
        <v>0</v>
      </c>
      <c r="M164" s="581"/>
      <c r="N164" s="579">
        <f>N165+N166</f>
        <v>0</v>
      </c>
      <c r="O164" s="581"/>
      <c r="P164" s="2243">
        <f>P165+P166</f>
        <v>0</v>
      </c>
      <c r="Q164" s="2242">
        <f>Q165+Q166</f>
        <v>0</v>
      </c>
      <c r="R164" s="581"/>
      <c r="S164" s="579">
        <f>S165+S166</f>
        <v>0</v>
      </c>
      <c r="T164" s="581"/>
      <c r="U164" s="2243">
        <f>U165+U166</f>
        <v>0</v>
      </c>
      <c r="V164" s="2242">
        <f>V165+V166</f>
        <v>0</v>
      </c>
      <c r="W164" s="581"/>
      <c r="X164" s="579">
        <f>X165+X166</f>
        <v>0</v>
      </c>
      <c r="Y164" s="581"/>
      <c r="Z164" s="2243">
        <f>Z165+Z166</f>
        <v>0</v>
      </c>
      <c r="AA164" s="5206">
        <f>AA165+AA166</f>
        <v>0</v>
      </c>
      <c r="AB164" s="5207"/>
      <c r="AC164" s="5208">
        <f>AC165+AC166</f>
        <v>0</v>
      </c>
      <c r="AD164" s="5207"/>
      <c r="AE164" s="5209">
        <f>AE165+AE166</f>
        <v>0</v>
      </c>
      <c r="AF164" s="4490"/>
      <c r="AG164" s="547"/>
      <c r="AH164" s="547"/>
      <c r="AI164" s="1244" t="s">
        <v>489</v>
      </c>
      <c r="AJ164" s="18"/>
    </row>
    <row r="165" spans="2:36" ht="20.100000000000001" hidden="1" customHeight="1" thickBot="1">
      <c r="B165" s="1754"/>
      <c r="C165" s="4528"/>
      <c r="D165" s="357" t="s">
        <v>497</v>
      </c>
      <c r="E165" s="104"/>
      <c r="F165" s="492" t="s">
        <v>344</v>
      </c>
      <c r="G165" s="416"/>
      <c r="H165" s="575"/>
      <c r="I165" s="4550" t="s">
        <v>498</v>
      </c>
      <c r="J165" s="576"/>
      <c r="K165" s="164" t="s">
        <v>344</v>
      </c>
      <c r="L165" s="2186"/>
      <c r="M165" s="293"/>
      <c r="N165" s="100"/>
      <c r="O165" s="293"/>
      <c r="P165" s="2187"/>
      <c r="Q165" s="2186"/>
      <c r="R165" s="293"/>
      <c r="S165" s="100"/>
      <c r="T165" s="293"/>
      <c r="U165" s="2187"/>
      <c r="V165" s="2186"/>
      <c r="W165" s="293"/>
      <c r="X165" s="100"/>
      <c r="Y165" s="293"/>
      <c r="Z165" s="2187"/>
      <c r="AA165" s="4811"/>
      <c r="AB165" s="4819"/>
      <c r="AC165" s="209"/>
      <c r="AD165" s="4819"/>
      <c r="AE165" s="5146"/>
      <c r="AF165" s="4490"/>
      <c r="AG165" s="547"/>
      <c r="AH165" s="547"/>
      <c r="AI165" s="1244" t="s">
        <v>499</v>
      </c>
      <c r="AJ165" s="18"/>
    </row>
    <row r="166" spans="2:36" ht="20.100000000000001" hidden="1" customHeight="1" thickBot="1">
      <c r="B166" s="1754"/>
      <c r="C166" s="1945"/>
      <c r="D166" s="357" t="s">
        <v>507</v>
      </c>
      <c r="E166" s="104"/>
      <c r="F166" s="492" t="s">
        <v>344</v>
      </c>
      <c r="G166" s="416"/>
      <c r="H166" s="578"/>
      <c r="I166" s="4550" t="s">
        <v>508</v>
      </c>
      <c r="J166" s="576"/>
      <c r="K166" s="164" t="s">
        <v>344</v>
      </c>
      <c r="L166" s="2186"/>
      <c r="M166" s="293"/>
      <c r="N166" s="100"/>
      <c r="O166" s="293"/>
      <c r="P166" s="2187"/>
      <c r="Q166" s="2186"/>
      <c r="R166" s="293"/>
      <c r="S166" s="100"/>
      <c r="T166" s="293"/>
      <c r="U166" s="2187"/>
      <c r="V166" s="2186"/>
      <c r="W166" s="293"/>
      <c r="X166" s="100"/>
      <c r="Y166" s="293"/>
      <c r="Z166" s="2187"/>
      <c r="AA166" s="4811"/>
      <c r="AB166" s="4819"/>
      <c r="AC166" s="209"/>
      <c r="AD166" s="4819"/>
      <c r="AE166" s="5146"/>
      <c r="AF166" s="4490"/>
      <c r="AG166" s="547"/>
      <c r="AH166" s="547"/>
      <c r="AI166" s="1244" t="s">
        <v>499</v>
      </c>
      <c r="AJ166" s="18"/>
    </row>
    <row r="167" spans="2:36" ht="20.100000000000001" customHeight="1" thickBot="1">
      <c r="B167" s="4505" t="s">
        <v>2281</v>
      </c>
      <c r="C167" s="1758" t="s">
        <v>516</v>
      </c>
      <c r="D167" s="104"/>
      <c r="E167" s="104"/>
      <c r="F167" s="492" t="s">
        <v>344</v>
      </c>
      <c r="G167" s="577"/>
      <c r="H167" s="143" t="s">
        <v>517</v>
      </c>
      <c r="I167" s="143"/>
      <c r="J167" s="576"/>
      <c r="K167" s="164" t="s">
        <v>344</v>
      </c>
      <c r="L167" s="2186"/>
      <c r="M167" s="293"/>
      <c r="N167" s="100"/>
      <c r="O167" s="293"/>
      <c r="P167" s="2187"/>
      <c r="Q167" s="2186"/>
      <c r="R167" s="293"/>
      <c r="S167" s="100"/>
      <c r="T167" s="293"/>
      <c r="U167" s="2187"/>
      <c r="V167" s="2186"/>
      <c r="W167" s="293"/>
      <c r="X167" s="100"/>
      <c r="Y167" s="293"/>
      <c r="Z167" s="2187"/>
      <c r="AA167" s="4811">
        <v>0</v>
      </c>
      <c r="AB167" s="4819"/>
      <c r="AC167" s="209">
        <v>0</v>
      </c>
      <c r="AD167" s="4819"/>
      <c r="AE167" s="5146">
        <v>0</v>
      </c>
      <c r="AF167" s="4490"/>
      <c r="AG167" s="547"/>
      <c r="AH167" s="547"/>
      <c r="AI167" s="1244" t="s">
        <v>518</v>
      </c>
      <c r="AJ167" s="18"/>
    </row>
    <row r="168" spans="2:36" ht="20.100000000000001" hidden="1" customHeight="1" thickBot="1">
      <c r="B168" s="1816"/>
      <c r="C168" s="1849" t="s">
        <v>522</v>
      </c>
      <c r="D168" s="161"/>
      <c r="E168" s="161"/>
      <c r="F168" s="492" t="s">
        <v>344</v>
      </c>
      <c r="G168" s="386"/>
      <c r="H168" s="140" t="s">
        <v>523</v>
      </c>
      <c r="I168" s="140"/>
      <c r="J168" s="177"/>
      <c r="K168" s="164" t="s">
        <v>344</v>
      </c>
      <c r="L168" s="2186"/>
      <c r="M168" s="293"/>
      <c r="N168" s="100"/>
      <c r="O168" s="293"/>
      <c r="P168" s="2187"/>
      <c r="Q168" s="2186"/>
      <c r="R168" s="293"/>
      <c r="S168" s="100"/>
      <c r="T168" s="293"/>
      <c r="U168" s="2187"/>
      <c r="V168" s="2186"/>
      <c r="W168" s="293"/>
      <c r="X168" s="100"/>
      <c r="Y168" s="293"/>
      <c r="Z168" s="2187"/>
      <c r="AA168" s="2186"/>
      <c r="AB168" s="293"/>
      <c r="AC168" s="100"/>
      <c r="AD168" s="293"/>
      <c r="AE168" s="2187"/>
      <c r="AF168" s="4490"/>
      <c r="AG168" s="547"/>
      <c r="AH168" s="547"/>
      <c r="AI168" s="1244" t="s">
        <v>524</v>
      </c>
      <c r="AJ168" s="11"/>
    </row>
    <row r="169" spans="2:36" ht="20.100000000000001" hidden="1" customHeight="1" thickBot="1">
      <c r="B169" s="1816"/>
      <c r="C169" s="4514"/>
      <c r="D169" s="490" t="s">
        <v>708</v>
      </c>
      <c r="E169" s="583"/>
      <c r="F169" s="492" t="s">
        <v>344</v>
      </c>
      <c r="G169" s="347"/>
      <c r="H169" s="348" t="s">
        <v>527</v>
      </c>
      <c r="I169" s="495" t="s">
        <v>528</v>
      </c>
      <c r="J169" s="684"/>
      <c r="K169" s="164" t="s">
        <v>344</v>
      </c>
      <c r="L169" s="2186"/>
      <c r="M169" s="293"/>
      <c r="N169" s="100"/>
      <c r="O169" s="293"/>
      <c r="P169" s="2187"/>
      <c r="Q169" s="2186"/>
      <c r="R169" s="293"/>
      <c r="S169" s="100"/>
      <c r="T169" s="293"/>
      <c r="U169" s="2187"/>
      <c r="V169" s="2186"/>
      <c r="W169" s="293"/>
      <c r="X169" s="100"/>
      <c r="Y169" s="293"/>
      <c r="Z169" s="2187"/>
      <c r="AA169" s="2186"/>
      <c r="AB169" s="293"/>
      <c r="AC169" s="100"/>
      <c r="AD169" s="293"/>
      <c r="AE169" s="2187"/>
      <c r="AF169" s="4551"/>
      <c r="AG169" s="547"/>
      <c r="AH169" s="547"/>
      <c r="AI169" s="1244" t="s">
        <v>524</v>
      </c>
      <c r="AJ169" s="11"/>
    </row>
    <row r="170" spans="2:36" ht="20.100000000000001" hidden="1" customHeight="1" thickBot="1">
      <c r="B170" s="1816"/>
      <c r="C170" s="4558"/>
      <c r="D170" s="490" t="s">
        <v>709</v>
      </c>
      <c r="E170" s="583"/>
      <c r="F170" s="492" t="s">
        <v>344</v>
      </c>
      <c r="G170" s="106"/>
      <c r="H170" s="353"/>
      <c r="I170" s="495" t="s">
        <v>530</v>
      </c>
      <c r="J170" s="684"/>
      <c r="K170" s="164" t="s">
        <v>344</v>
      </c>
      <c r="L170" s="2186"/>
      <c r="M170" s="293"/>
      <c r="N170" s="100"/>
      <c r="O170" s="293"/>
      <c r="P170" s="2187"/>
      <c r="Q170" s="2186"/>
      <c r="R170" s="293"/>
      <c r="S170" s="100"/>
      <c r="T170" s="293"/>
      <c r="U170" s="2187"/>
      <c r="V170" s="2186"/>
      <c r="W170" s="293"/>
      <c r="X170" s="100"/>
      <c r="Y170" s="293"/>
      <c r="Z170" s="2187"/>
      <c r="AA170" s="2186"/>
      <c r="AB170" s="293"/>
      <c r="AC170" s="100"/>
      <c r="AD170" s="293"/>
      <c r="AE170" s="2187"/>
      <c r="AF170" s="4551"/>
      <c r="AG170" s="547"/>
      <c r="AH170" s="547"/>
      <c r="AI170" s="1244" t="s">
        <v>524</v>
      </c>
      <c r="AJ170" s="11"/>
    </row>
    <row r="171" spans="2:36" ht="20.100000000000001" hidden="1" customHeight="1" thickBot="1">
      <c r="B171" s="1816"/>
      <c r="C171" s="4558"/>
      <c r="D171" s="490" t="s">
        <v>710</v>
      </c>
      <c r="E171" s="583"/>
      <c r="F171" s="492" t="s">
        <v>344</v>
      </c>
      <c r="G171" s="106"/>
      <c r="H171" s="353"/>
      <c r="I171" s="495" t="s">
        <v>532</v>
      </c>
      <c r="J171" s="684"/>
      <c r="K171" s="164" t="s">
        <v>344</v>
      </c>
      <c r="L171" s="2186"/>
      <c r="M171" s="293"/>
      <c r="N171" s="100"/>
      <c r="O171" s="293"/>
      <c r="P171" s="2187"/>
      <c r="Q171" s="2186"/>
      <c r="R171" s="293"/>
      <c r="S171" s="100"/>
      <c r="T171" s="293"/>
      <c r="U171" s="2187"/>
      <c r="V171" s="2186"/>
      <c r="W171" s="293"/>
      <c r="X171" s="100"/>
      <c r="Y171" s="293"/>
      <c r="Z171" s="2187"/>
      <c r="AA171" s="2186"/>
      <c r="AB171" s="293"/>
      <c r="AC171" s="100"/>
      <c r="AD171" s="293"/>
      <c r="AE171" s="2187"/>
      <c r="AF171" s="4551"/>
      <c r="AG171" s="547"/>
      <c r="AH171" s="547"/>
      <c r="AI171" s="1244" t="s">
        <v>524</v>
      </c>
      <c r="AJ171" s="11"/>
    </row>
    <row r="172" spans="2:36" ht="20.100000000000001" hidden="1" customHeight="1" thickBot="1">
      <c r="B172" s="1834"/>
      <c r="C172" s="4558"/>
      <c r="D172" s="490" t="s">
        <v>711</v>
      </c>
      <c r="E172" s="583"/>
      <c r="F172" s="492" t="s">
        <v>344</v>
      </c>
      <c r="G172" s="106"/>
      <c r="H172" s="353"/>
      <c r="I172" s="495" t="s">
        <v>534</v>
      </c>
      <c r="J172" s="684"/>
      <c r="K172" s="164" t="s">
        <v>344</v>
      </c>
      <c r="L172" s="2186"/>
      <c r="M172" s="293"/>
      <c r="N172" s="100"/>
      <c r="O172" s="293"/>
      <c r="P172" s="2187"/>
      <c r="Q172" s="2186"/>
      <c r="R172" s="293"/>
      <c r="S172" s="100"/>
      <c r="T172" s="293"/>
      <c r="U172" s="2187"/>
      <c r="V172" s="2186"/>
      <c r="W172" s="293"/>
      <c r="X172" s="100"/>
      <c r="Y172" s="293"/>
      <c r="Z172" s="2187"/>
      <c r="AA172" s="2186"/>
      <c r="AB172" s="293"/>
      <c r="AC172" s="100"/>
      <c r="AD172" s="293"/>
      <c r="AE172" s="2187"/>
      <c r="AF172" s="4551"/>
      <c r="AG172" s="547"/>
      <c r="AH172" s="547"/>
      <c r="AI172" s="1244" t="s">
        <v>524</v>
      </c>
      <c r="AJ172" s="11"/>
    </row>
    <row r="173" spans="2:36" ht="20.100000000000001" hidden="1" customHeight="1" thickBot="1">
      <c r="B173" s="1816"/>
      <c r="C173" s="4558"/>
      <c r="D173" s="490" t="s">
        <v>712</v>
      </c>
      <c r="E173" s="583"/>
      <c r="F173" s="492" t="s">
        <v>344</v>
      </c>
      <c r="G173" s="106"/>
      <c r="H173" s="353"/>
      <c r="I173" s="495" t="s">
        <v>536</v>
      </c>
      <c r="J173" s="684"/>
      <c r="K173" s="164" t="s">
        <v>344</v>
      </c>
      <c r="L173" s="2186"/>
      <c r="M173" s="293"/>
      <c r="N173" s="100"/>
      <c r="O173" s="293"/>
      <c r="P173" s="2187"/>
      <c r="Q173" s="2186"/>
      <c r="R173" s="293"/>
      <c r="S173" s="100"/>
      <c r="T173" s="293"/>
      <c r="U173" s="2187"/>
      <c r="V173" s="2186"/>
      <c r="W173" s="293"/>
      <c r="X173" s="100"/>
      <c r="Y173" s="293"/>
      <c r="Z173" s="2187"/>
      <c r="AA173" s="2186"/>
      <c r="AB173" s="293"/>
      <c r="AC173" s="100"/>
      <c r="AD173" s="293"/>
      <c r="AE173" s="2187"/>
      <c r="AF173" s="4551"/>
      <c r="AG173" s="547"/>
      <c r="AH173" s="547"/>
      <c r="AI173" s="1244" t="s">
        <v>524</v>
      </c>
      <c r="AJ173" s="11"/>
    </row>
    <row r="174" spans="2:36" ht="20.100000000000001" hidden="1" customHeight="1" thickBot="1">
      <c r="B174" s="1816"/>
      <c r="C174" s="4558"/>
      <c r="D174" s="490" t="s">
        <v>713</v>
      </c>
      <c r="E174" s="583"/>
      <c r="F174" s="492" t="s">
        <v>344</v>
      </c>
      <c r="G174" s="106"/>
      <c r="H174" s="353"/>
      <c r="I174" s="495" t="s">
        <v>538</v>
      </c>
      <c r="J174" s="684"/>
      <c r="K174" s="164" t="s">
        <v>344</v>
      </c>
      <c r="L174" s="2186"/>
      <c r="M174" s="293"/>
      <c r="N174" s="100"/>
      <c r="O174" s="293"/>
      <c r="P174" s="2187"/>
      <c r="Q174" s="2186"/>
      <c r="R174" s="293"/>
      <c r="S174" s="100"/>
      <c r="T174" s="293"/>
      <c r="U174" s="2187"/>
      <c r="V174" s="2186"/>
      <c r="W174" s="293"/>
      <c r="X174" s="100"/>
      <c r="Y174" s="293"/>
      <c r="Z174" s="2187"/>
      <c r="AA174" s="2186"/>
      <c r="AB174" s="293"/>
      <c r="AC174" s="100"/>
      <c r="AD174" s="293"/>
      <c r="AE174" s="2187"/>
      <c r="AF174" s="4551"/>
      <c r="AG174" s="547"/>
      <c r="AH174" s="547"/>
      <c r="AI174" s="1244" t="s">
        <v>524</v>
      </c>
      <c r="AJ174" s="11"/>
    </row>
    <row r="175" spans="2:36" ht="20.100000000000001" hidden="1" customHeight="1" thickBot="1">
      <c r="B175" s="1816"/>
      <c r="C175" s="4558"/>
      <c r="D175" s="490" t="s">
        <v>714</v>
      </c>
      <c r="E175" s="583"/>
      <c r="F175" s="492" t="s">
        <v>344</v>
      </c>
      <c r="G175" s="106"/>
      <c r="H175" s="353"/>
      <c r="I175" s="495" t="s">
        <v>540</v>
      </c>
      <c r="J175" s="684"/>
      <c r="K175" s="164" t="s">
        <v>344</v>
      </c>
      <c r="L175" s="2186"/>
      <c r="M175" s="293"/>
      <c r="N175" s="100"/>
      <c r="O175" s="293"/>
      <c r="P175" s="2187"/>
      <c r="Q175" s="2186"/>
      <c r="R175" s="293"/>
      <c r="S175" s="100"/>
      <c r="T175" s="293"/>
      <c r="U175" s="2187"/>
      <c r="V175" s="2186"/>
      <c r="W175" s="293"/>
      <c r="X175" s="100"/>
      <c r="Y175" s="293"/>
      <c r="Z175" s="2187"/>
      <c r="AA175" s="2186"/>
      <c r="AB175" s="293"/>
      <c r="AC175" s="100"/>
      <c r="AD175" s="293"/>
      <c r="AE175" s="2187"/>
      <c r="AF175" s="4551"/>
      <c r="AG175" s="547"/>
      <c r="AH175" s="547"/>
      <c r="AI175" s="1244" t="s">
        <v>524</v>
      </c>
      <c r="AJ175" s="11"/>
    </row>
    <row r="176" spans="2:36" ht="20.100000000000001" hidden="1" customHeight="1" thickBot="1">
      <c r="B176" s="1821"/>
      <c r="C176" s="4559"/>
      <c r="D176" s="585" t="s">
        <v>715</v>
      </c>
      <c r="E176" s="586"/>
      <c r="F176" s="511" t="s">
        <v>344</v>
      </c>
      <c r="G176" s="106"/>
      <c r="H176" s="353"/>
      <c r="I176" s="4560" t="s">
        <v>542</v>
      </c>
      <c r="J176" s="1374"/>
      <c r="K176" s="4561" t="s">
        <v>344</v>
      </c>
      <c r="L176" s="2244"/>
      <c r="M176" s="594"/>
      <c r="N176" s="593"/>
      <c r="O176" s="594"/>
      <c r="P176" s="2245"/>
      <c r="Q176" s="2244"/>
      <c r="R176" s="594"/>
      <c r="S176" s="593"/>
      <c r="T176" s="594"/>
      <c r="U176" s="2245"/>
      <c r="V176" s="2244"/>
      <c r="W176" s="594"/>
      <c r="X176" s="593"/>
      <c r="Y176" s="594"/>
      <c r="Z176" s="2245"/>
      <c r="AA176" s="2244"/>
      <c r="AB176" s="594"/>
      <c r="AC176" s="593"/>
      <c r="AD176" s="594"/>
      <c r="AE176" s="2245"/>
      <c r="AF176" s="4551"/>
      <c r="AG176" s="597"/>
      <c r="AH176" s="597"/>
      <c r="AI176" s="1244" t="s">
        <v>524</v>
      </c>
      <c r="AJ176" s="11"/>
    </row>
    <row r="177" spans="2:36" ht="27" thickBot="1">
      <c r="B177" s="4505" t="s">
        <v>2281</v>
      </c>
      <c r="C177" s="123" t="s">
        <v>543</v>
      </c>
      <c r="D177" s="124"/>
      <c r="E177" s="124"/>
      <c r="F177" s="124"/>
      <c r="G177" s="598" t="s">
        <v>1793</v>
      </c>
      <c r="H177" s="4562"/>
      <c r="I177" s="126"/>
      <c r="J177" s="126"/>
      <c r="K177" s="2195"/>
      <c r="L177" s="2175"/>
      <c r="M177" s="148"/>
      <c r="N177" s="148"/>
      <c r="O177" s="148"/>
      <c r="P177" s="2176"/>
      <c r="Q177" s="2175"/>
      <c r="R177" s="148"/>
      <c r="S177" s="148"/>
      <c r="T177" s="148"/>
      <c r="U177" s="2176"/>
      <c r="V177" s="2175"/>
      <c r="W177" s="148"/>
      <c r="X177" s="148"/>
      <c r="Y177" s="148"/>
      <c r="Z177" s="2176"/>
      <c r="AA177" s="2175"/>
      <c r="AB177" s="148"/>
      <c r="AC177" s="148"/>
      <c r="AD177" s="148"/>
      <c r="AE177" s="2176"/>
      <c r="AF177" s="4493"/>
      <c r="AG177" s="129"/>
      <c r="AH177" s="129"/>
      <c r="AI177" s="1006"/>
      <c r="AJ177" s="18"/>
    </row>
    <row r="178" spans="2:36" ht="20.100000000000001" customHeight="1">
      <c r="B178" s="4505" t="s">
        <v>2281</v>
      </c>
      <c r="C178" s="4563" t="s">
        <v>544</v>
      </c>
      <c r="D178" s="601"/>
      <c r="E178" s="601"/>
      <c r="F178" s="492" t="s">
        <v>33</v>
      </c>
      <c r="G178" s="4525"/>
      <c r="H178" s="254" t="s">
        <v>545</v>
      </c>
      <c r="I178" s="254"/>
      <c r="J178" s="296"/>
      <c r="K178" s="164" t="s">
        <v>35</v>
      </c>
      <c r="L178" s="2186"/>
      <c r="M178" s="484"/>
      <c r="N178" s="100"/>
      <c r="O178" s="484"/>
      <c r="P178" s="2187"/>
      <c r="Q178" s="2186"/>
      <c r="R178" s="484"/>
      <c r="S178" s="100"/>
      <c r="T178" s="484"/>
      <c r="U178" s="2187"/>
      <c r="V178" s="2186"/>
      <c r="W178" s="484"/>
      <c r="X178" s="100"/>
      <c r="Y178" s="484"/>
      <c r="Z178" s="2187"/>
      <c r="AA178" s="4811" t="s">
        <v>641</v>
      </c>
      <c r="AB178" s="486"/>
      <c r="AC178" s="209" t="s">
        <v>641</v>
      </c>
      <c r="AD178" s="486"/>
      <c r="AE178" s="5146" t="s">
        <v>641</v>
      </c>
      <c r="AF178" s="4515"/>
      <c r="AG178" s="547"/>
      <c r="AH178" s="547"/>
      <c r="AI178" s="1195" t="s">
        <v>548</v>
      </c>
      <c r="AJ178" s="18"/>
    </row>
    <row r="179" spans="2:36" ht="26.25">
      <c r="B179" s="4505" t="s">
        <v>2281</v>
      </c>
      <c r="C179" s="1849" t="s">
        <v>550</v>
      </c>
      <c r="D179" s="161"/>
      <c r="E179" s="161"/>
      <c r="F179" s="492" t="s">
        <v>33</v>
      </c>
      <c r="G179" s="662"/>
      <c r="H179" s="140" t="s">
        <v>551</v>
      </c>
      <c r="I179" s="140"/>
      <c r="J179" s="141"/>
      <c r="K179" s="164" t="s">
        <v>35</v>
      </c>
      <c r="L179" s="2186"/>
      <c r="M179" s="484"/>
      <c r="N179" s="100"/>
      <c r="O179" s="484"/>
      <c r="P179" s="2187"/>
      <c r="Q179" s="2186"/>
      <c r="R179" s="484"/>
      <c r="S179" s="100"/>
      <c r="T179" s="484"/>
      <c r="U179" s="2187"/>
      <c r="V179" s="2186"/>
      <c r="W179" s="484"/>
      <c r="X179" s="100"/>
      <c r="Y179" s="484"/>
      <c r="Z179" s="2187"/>
      <c r="AA179" s="4811" t="s">
        <v>641</v>
      </c>
      <c r="AB179" s="486"/>
      <c r="AC179" s="209" t="s">
        <v>641</v>
      </c>
      <c r="AD179" s="486"/>
      <c r="AE179" s="5146" t="s">
        <v>641</v>
      </c>
      <c r="AF179" s="4515"/>
      <c r="AG179" s="547"/>
      <c r="AH179" s="547"/>
      <c r="AI179" s="1195" t="s">
        <v>555</v>
      </c>
      <c r="AJ179" s="18"/>
    </row>
    <row r="180" spans="2:36" ht="20.100000000000001" customHeight="1">
      <c r="B180" s="4505" t="s">
        <v>2281</v>
      </c>
      <c r="C180" s="161" t="s">
        <v>556</v>
      </c>
      <c r="D180" s="161"/>
      <c r="E180" s="161"/>
      <c r="F180" s="492" t="s">
        <v>557</v>
      </c>
      <c r="G180" s="662"/>
      <c r="H180" s="140" t="s">
        <v>558</v>
      </c>
      <c r="I180" s="140"/>
      <c r="J180" s="177"/>
      <c r="K180" s="164" t="s">
        <v>559</v>
      </c>
      <c r="L180" s="2186"/>
      <c r="M180" s="484"/>
      <c r="N180" s="100"/>
      <c r="O180" s="484"/>
      <c r="P180" s="2187"/>
      <c r="Q180" s="2186"/>
      <c r="R180" s="484"/>
      <c r="S180" s="100"/>
      <c r="T180" s="484"/>
      <c r="U180" s="2187"/>
      <c r="V180" s="2186"/>
      <c r="W180" s="484"/>
      <c r="X180" s="100"/>
      <c r="Y180" s="484"/>
      <c r="Z180" s="2187"/>
      <c r="AA180" s="4811">
        <v>0</v>
      </c>
      <c r="AB180" s="486"/>
      <c r="AC180" s="209">
        <v>0</v>
      </c>
      <c r="AD180" s="486"/>
      <c r="AE180" s="5146">
        <v>0</v>
      </c>
      <c r="AF180" s="4490"/>
      <c r="AG180" s="547"/>
      <c r="AH180" s="547"/>
      <c r="AI180" s="4564" t="s">
        <v>561</v>
      </c>
      <c r="AJ180" s="18"/>
    </row>
    <row r="181" spans="2:36" ht="20.100000000000001" customHeight="1">
      <c r="B181" s="4505" t="s">
        <v>2281</v>
      </c>
      <c r="C181" s="1849" t="s">
        <v>563</v>
      </c>
      <c r="D181" s="161"/>
      <c r="E181" s="161"/>
      <c r="F181" s="285" t="s">
        <v>557</v>
      </c>
      <c r="G181" s="662"/>
      <c r="H181" s="140" t="s">
        <v>564</v>
      </c>
      <c r="I181" s="140"/>
      <c r="J181" s="177"/>
      <c r="K181" s="162" t="s">
        <v>559</v>
      </c>
      <c r="L181" s="2186"/>
      <c r="M181" s="484"/>
      <c r="N181" s="100"/>
      <c r="O181" s="484"/>
      <c r="P181" s="2187"/>
      <c r="Q181" s="2186"/>
      <c r="R181" s="484"/>
      <c r="S181" s="100"/>
      <c r="T181" s="484"/>
      <c r="U181" s="2187"/>
      <c r="V181" s="2186"/>
      <c r="W181" s="484"/>
      <c r="X181" s="100"/>
      <c r="Y181" s="484"/>
      <c r="Z181" s="2187"/>
      <c r="AA181" s="4811">
        <v>0</v>
      </c>
      <c r="AB181" s="486"/>
      <c r="AC181" s="209">
        <v>0</v>
      </c>
      <c r="AD181" s="486"/>
      <c r="AE181" s="5146">
        <v>0</v>
      </c>
      <c r="AF181" s="4490"/>
      <c r="AG181" s="547"/>
      <c r="AH181" s="547"/>
      <c r="AI181" s="1195" t="s">
        <v>568</v>
      </c>
      <c r="AJ181" s="18"/>
    </row>
    <row r="182" spans="2:36" ht="20.100000000000001" customHeight="1" thickBot="1">
      <c r="B182" s="4505" t="s">
        <v>2281</v>
      </c>
      <c r="C182" s="4565" t="s">
        <v>570</v>
      </c>
      <c r="D182" s="4566"/>
      <c r="E182" s="4566"/>
      <c r="F182" s="285" t="s">
        <v>33</v>
      </c>
      <c r="G182" s="343"/>
      <c r="H182" s="140" t="s">
        <v>571</v>
      </c>
      <c r="I182" s="140"/>
      <c r="J182" s="177"/>
      <c r="K182" s="162" t="s">
        <v>35</v>
      </c>
      <c r="L182" s="2186"/>
      <c r="M182" s="484"/>
      <c r="N182" s="100"/>
      <c r="O182" s="610"/>
      <c r="P182" s="2187"/>
      <c r="Q182" s="2186"/>
      <c r="R182" s="484"/>
      <c r="S182" s="100"/>
      <c r="T182" s="610"/>
      <c r="U182" s="2187"/>
      <c r="V182" s="2186"/>
      <c r="W182" s="610"/>
      <c r="X182" s="100"/>
      <c r="Y182" s="610"/>
      <c r="Z182" s="2187"/>
      <c r="AA182" s="4811">
        <v>0</v>
      </c>
      <c r="AB182" s="486"/>
      <c r="AC182" s="209">
        <v>0</v>
      </c>
      <c r="AD182" s="486"/>
      <c r="AE182" s="5146">
        <v>0</v>
      </c>
      <c r="AF182" s="4515"/>
      <c r="AG182" s="547"/>
      <c r="AH182" s="547"/>
      <c r="AI182" s="1195" t="s">
        <v>575</v>
      </c>
      <c r="AJ182" s="611"/>
    </row>
    <row r="183" spans="2:36" ht="20.100000000000001" hidden="1" customHeight="1" thickBot="1">
      <c r="B183" s="1846"/>
      <c r="C183" s="1849" t="s">
        <v>576</v>
      </c>
      <c r="D183" s="161"/>
      <c r="E183" s="161"/>
      <c r="F183" s="285" t="s">
        <v>413</v>
      </c>
      <c r="G183" s="386"/>
      <c r="H183" s="140" t="s">
        <v>577</v>
      </c>
      <c r="I183" s="140"/>
      <c r="J183" s="177"/>
      <c r="K183" s="162" t="s">
        <v>413</v>
      </c>
      <c r="L183" s="2250">
        <v>0</v>
      </c>
      <c r="M183" s="484">
        <v>0</v>
      </c>
      <c r="N183" s="612">
        <v>0</v>
      </c>
      <c r="O183" s="484">
        <v>0</v>
      </c>
      <c r="P183" s="2187"/>
      <c r="Q183" s="2250">
        <v>0</v>
      </c>
      <c r="R183" s="613" t="s">
        <v>724</v>
      </c>
      <c r="S183" s="612">
        <v>0</v>
      </c>
      <c r="T183" s="613" t="s">
        <v>724</v>
      </c>
      <c r="U183" s="2187"/>
      <c r="V183" s="2250" t="s">
        <v>2351</v>
      </c>
      <c r="W183" s="484" t="s">
        <v>2352</v>
      </c>
      <c r="X183" s="612" t="s">
        <v>2351</v>
      </c>
      <c r="Y183" s="484" t="s">
        <v>2352</v>
      </c>
      <c r="Z183" s="2187"/>
      <c r="AA183" s="2186"/>
      <c r="AB183" s="484"/>
      <c r="AC183" s="100"/>
      <c r="AD183" s="484"/>
      <c r="AE183" s="2187"/>
      <c r="AF183" s="4490"/>
      <c r="AG183" s="547"/>
      <c r="AH183" s="547"/>
      <c r="AI183" s="1195" t="s">
        <v>581</v>
      </c>
      <c r="AJ183" s="11"/>
    </row>
    <row r="184" spans="2:36" ht="20.100000000000001" hidden="1" customHeight="1" thickBot="1">
      <c r="B184" s="1847"/>
      <c r="C184" s="614"/>
      <c r="D184" s="615" t="s">
        <v>582</v>
      </c>
      <c r="E184" s="616"/>
      <c r="F184" s="285" t="s">
        <v>413</v>
      </c>
      <c r="G184" s="535"/>
      <c r="H184" s="45"/>
      <c r="I184" s="4567" t="s">
        <v>583</v>
      </c>
      <c r="J184" s="2484"/>
      <c r="K184" s="162" t="s">
        <v>413</v>
      </c>
      <c r="L184" s="2250">
        <v>0</v>
      </c>
      <c r="M184" s="484">
        <v>0</v>
      </c>
      <c r="N184" s="612">
        <v>0</v>
      </c>
      <c r="O184" s="484">
        <v>0</v>
      </c>
      <c r="P184" s="2187"/>
      <c r="Q184" s="2250">
        <v>0</v>
      </c>
      <c r="R184" s="613" t="s">
        <v>726</v>
      </c>
      <c r="S184" s="612">
        <v>0</v>
      </c>
      <c r="T184" s="613" t="s">
        <v>726</v>
      </c>
      <c r="U184" s="2187"/>
      <c r="V184" s="2250">
        <v>0</v>
      </c>
      <c r="W184" s="484" t="s">
        <v>2353</v>
      </c>
      <c r="X184" s="612">
        <v>0</v>
      </c>
      <c r="Y184" s="484" t="s">
        <v>2353</v>
      </c>
      <c r="Z184" s="2187"/>
      <c r="AA184" s="2186"/>
      <c r="AB184" s="484"/>
      <c r="AC184" s="100"/>
      <c r="AD184" s="484"/>
      <c r="AE184" s="2187"/>
      <c r="AF184" s="4490"/>
      <c r="AG184" s="547"/>
      <c r="AH184" s="547"/>
      <c r="AI184" s="1195" t="s">
        <v>581</v>
      </c>
      <c r="AJ184" s="11"/>
    </row>
    <row r="185" spans="2:36" ht="20.100000000000001" hidden="1" customHeight="1" thickTop="1" thickBot="1">
      <c r="B185" s="1847"/>
      <c r="C185" s="614"/>
      <c r="D185" s="615" t="s">
        <v>584</v>
      </c>
      <c r="E185" s="616"/>
      <c r="F185" s="285" t="s">
        <v>413</v>
      </c>
      <c r="G185" s="535"/>
      <c r="H185" s="45"/>
      <c r="I185" s="4567" t="s">
        <v>585</v>
      </c>
      <c r="J185" s="2484"/>
      <c r="K185" s="162" t="s">
        <v>413</v>
      </c>
      <c r="L185" s="2186"/>
      <c r="M185" s="484"/>
      <c r="N185" s="100"/>
      <c r="O185" s="484"/>
      <c r="P185" s="2187"/>
      <c r="Q185" s="2186"/>
      <c r="R185" s="613"/>
      <c r="S185" s="100"/>
      <c r="T185" s="484"/>
      <c r="U185" s="2187"/>
      <c r="V185" s="2186"/>
      <c r="W185" s="484"/>
      <c r="X185" s="100"/>
      <c r="Y185" s="484"/>
      <c r="Z185" s="2187"/>
      <c r="AA185" s="2186"/>
      <c r="AB185" s="484"/>
      <c r="AC185" s="100"/>
      <c r="AD185" s="484"/>
      <c r="AE185" s="2187"/>
      <c r="AF185" s="4490"/>
      <c r="AG185" s="547"/>
      <c r="AH185" s="547"/>
      <c r="AI185" s="1195" t="s">
        <v>581</v>
      </c>
      <c r="AJ185" s="11"/>
    </row>
    <row r="186" spans="2:36" ht="20.100000000000001" hidden="1" customHeight="1" thickTop="1" thickBot="1">
      <c r="B186" s="1847"/>
      <c r="C186" s="614"/>
      <c r="D186" s="615" t="s">
        <v>586</v>
      </c>
      <c r="E186" s="616"/>
      <c r="F186" s="285" t="s">
        <v>413</v>
      </c>
      <c r="G186" s="535"/>
      <c r="H186" s="45"/>
      <c r="I186" s="4567" t="s">
        <v>587</v>
      </c>
      <c r="J186" s="2484"/>
      <c r="K186" s="162" t="s">
        <v>413</v>
      </c>
      <c r="L186" s="2250">
        <v>0</v>
      </c>
      <c r="M186" s="484">
        <v>0</v>
      </c>
      <c r="N186" s="612">
        <v>0</v>
      </c>
      <c r="O186" s="484">
        <v>0</v>
      </c>
      <c r="P186" s="2187"/>
      <c r="Q186" s="2250">
        <v>0</v>
      </c>
      <c r="R186" s="613" t="s">
        <v>726</v>
      </c>
      <c r="S186" s="612">
        <v>0</v>
      </c>
      <c r="T186" s="613" t="s">
        <v>726</v>
      </c>
      <c r="U186" s="2187"/>
      <c r="V186" s="2250">
        <v>0</v>
      </c>
      <c r="W186" s="484" t="s">
        <v>2353</v>
      </c>
      <c r="X186" s="612">
        <v>0</v>
      </c>
      <c r="Y186" s="484" t="s">
        <v>2353</v>
      </c>
      <c r="Z186" s="2187"/>
      <c r="AA186" s="2186"/>
      <c r="AB186" s="484"/>
      <c r="AC186" s="100"/>
      <c r="AD186" s="484"/>
      <c r="AE186" s="2187"/>
      <c r="AF186" s="4490"/>
      <c r="AG186" s="547"/>
      <c r="AH186" s="547"/>
      <c r="AI186" s="1195" t="s">
        <v>581</v>
      </c>
      <c r="AJ186" s="11"/>
    </row>
    <row r="187" spans="2:36" ht="20.100000000000001" hidden="1" customHeight="1" thickTop="1" thickBot="1">
      <c r="B187" s="1847"/>
      <c r="C187" s="614"/>
      <c r="D187" s="615" t="s">
        <v>588</v>
      </c>
      <c r="E187" s="616"/>
      <c r="F187" s="285" t="s">
        <v>413</v>
      </c>
      <c r="G187" s="535"/>
      <c r="H187" s="45"/>
      <c r="I187" s="4567" t="s">
        <v>589</v>
      </c>
      <c r="J187" s="2484"/>
      <c r="K187" s="162" t="s">
        <v>413</v>
      </c>
      <c r="L187" s="2250">
        <v>0</v>
      </c>
      <c r="M187" s="484">
        <v>0</v>
      </c>
      <c r="N187" s="612">
        <v>0</v>
      </c>
      <c r="O187" s="484">
        <v>0</v>
      </c>
      <c r="P187" s="2187"/>
      <c r="Q187" s="2250">
        <v>0</v>
      </c>
      <c r="R187" s="613" t="s">
        <v>726</v>
      </c>
      <c r="S187" s="612">
        <v>0</v>
      </c>
      <c r="T187" s="613" t="s">
        <v>726</v>
      </c>
      <c r="U187" s="2187"/>
      <c r="V187" s="2250">
        <v>0</v>
      </c>
      <c r="W187" s="484" t="s">
        <v>2353</v>
      </c>
      <c r="X187" s="612">
        <v>0</v>
      </c>
      <c r="Y187" s="484" t="s">
        <v>2353</v>
      </c>
      <c r="Z187" s="2187"/>
      <c r="AA187" s="2186"/>
      <c r="AB187" s="484"/>
      <c r="AC187" s="100"/>
      <c r="AD187" s="484"/>
      <c r="AE187" s="2187"/>
      <c r="AF187" s="4490"/>
      <c r="AG187" s="547"/>
      <c r="AH187" s="547"/>
      <c r="AI187" s="1195" t="s">
        <v>581</v>
      </c>
      <c r="AJ187" s="11"/>
    </row>
    <row r="188" spans="2:36" ht="20.100000000000001" hidden="1" customHeight="1" thickTop="1" thickBot="1">
      <c r="B188" s="1847"/>
      <c r="C188" s="614"/>
      <c r="D188" s="619" t="s">
        <v>590</v>
      </c>
      <c r="E188" s="619"/>
      <c r="F188" s="285" t="s">
        <v>413</v>
      </c>
      <c r="G188" s="535"/>
      <c r="H188" s="45"/>
      <c r="I188" s="4567" t="s">
        <v>591</v>
      </c>
      <c r="J188" s="2484"/>
      <c r="K188" s="162" t="s">
        <v>413</v>
      </c>
      <c r="L188" s="2186"/>
      <c r="M188" s="484"/>
      <c r="N188" s="100"/>
      <c r="O188" s="484"/>
      <c r="P188" s="2187"/>
      <c r="Q188" s="2186"/>
      <c r="R188" s="613"/>
      <c r="S188" s="100"/>
      <c r="T188" s="484"/>
      <c r="U188" s="2187"/>
      <c r="V188" s="2186"/>
      <c r="W188" s="484"/>
      <c r="X188" s="100"/>
      <c r="Y188" s="484"/>
      <c r="Z188" s="2187"/>
      <c r="AA188" s="2186"/>
      <c r="AB188" s="484"/>
      <c r="AC188" s="100"/>
      <c r="AD188" s="484"/>
      <c r="AE188" s="2187"/>
      <c r="AF188" s="4490"/>
      <c r="AG188" s="547"/>
      <c r="AH188" s="547"/>
      <c r="AI188" s="4568" t="s">
        <v>581</v>
      </c>
      <c r="AJ188" s="11"/>
    </row>
    <row r="189" spans="2:36" ht="20.100000000000001" hidden="1" customHeight="1" thickTop="1" thickBot="1">
      <c r="B189" s="1848"/>
      <c r="C189" s="1849" t="s">
        <v>592</v>
      </c>
      <c r="D189" s="161"/>
      <c r="E189" s="161"/>
      <c r="F189" s="285" t="s">
        <v>156</v>
      </c>
      <c r="G189" s="621"/>
      <c r="H189" s="622" t="s">
        <v>593</v>
      </c>
      <c r="I189" s="622"/>
      <c r="J189" s="2484"/>
      <c r="K189" s="162" t="s">
        <v>156</v>
      </c>
      <c r="L189" s="2186"/>
      <c r="M189" s="484"/>
      <c r="N189" s="100"/>
      <c r="O189" s="484"/>
      <c r="P189" s="2187"/>
      <c r="Q189" s="2186"/>
      <c r="R189" s="613"/>
      <c r="S189" s="100"/>
      <c r="T189" s="484"/>
      <c r="U189" s="2187"/>
      <c r="V189" s="2186"/>
      <c r="W189" s="484"/>
      <c r="X189" s="100"/>
      <c r="Y189" s="484"/>
      <c r="Z189" s="2187"/>
      <c r="AA189" s="2186"/>
      <c r="AB189" s="484"/>
      <c r="AC189" s="100"/>
      <c r="AD189" s="484"/>
      <c r="AE189" s="2187"/>
      <c r="AF189" s="4490"/>
      <c r="AG189" s="547"/>
      <c r="AH189" s="547"/>
      <c r="AI189" s="4568" t="s">
        <v>596</v>
      </c>
      <c r="AJ189" s="11"/>
    </row>
    <row r="190" spans="2:36" ht="20.100000000000001" hidden="1" customHeight="1" thickTop="1" thickBot="1">
      <c r="B190" s="1847"/>
      <c r="C190" s="614"/>
      <c r="D190" s="619" t="s">
        <v>598</v>
      </c>
      <c r="E190" s="619"/>
      <c r="F190" s="285" t="s">
        <v>413</v>
      </c>
      <c r="G190" s="535"/>
      <c r="H190" s="45"/>
      <c r="I190" s="4567" t="s">
        <v>599</v>
      </c>
      <c r="J190" s="2484"/>
      <c r="K190" s="162" t="s">
        <v>413</v>
      </c>
      <c r="L190" s="2186"/>
      <c r="M190" s="484"/>
      <c r="N190" s="100"/>
      <c r="O190" s="484"/>
      <c r="P190" s="2187"/>
      <c r="Q190" s="2186"/>
      <c r="R190" s="484"/>
      <c r="S190" s="100"/>
      <c r="T190" s="484"/>
      <c r="U190" s="2187"/>
      <c r="V190" s="2186"/>
      <c r="W190" s="484"/>
      <c r="X190" s="100"/>
      <c r="Y190" s="484"/>
      <c r="Z190" s="2187"/>
      <c r="AA190" s="2186"/>
      <c r="AB190" s="484"/>
      <c r="AC190" s="100"/>
      <c r="AD190" s="484"/>
      <c r="AE190" s="2187"/>
      <c r="AF190" s="4490"/>
      <c r="AG190" s="547"/>
      <c r="AH190" s="547"/>
      <c r="AI190" s="4568" t="s">
        <v>600</v>
      </c>
      <c r="AJ190" s="11"/>
    </row>
    <row r="191" spans="2:36" ht="20.100000000000001" hidden="1" customHeight="1" thickTop="1" thickBot="1">
      <c r="B191" s="1847"/>
      <c r="C191" s="614"/>
      <c r="D191" s="619" t="s">
        <v>601</v>
      </c>
      <c r="E191" s="619"/>
      <c r="F191" s="285" t="s">
        <v>413</v>
      </c>
      <c r="G191" s="535"/>
      <c r="H191" s="45"/>
      <c r="I191" s="4567" t="s">
        <v>602</v>
      </c>
      <c r="J191" s="2484"/>
      <c r="K191" s="162" t="s">
        <v>413</v>
      </c>
      <c r="L191" s="2186"/>
      <c r="M191" s="484"/>
      <c r="N191" s="100"/>
      <c r="O191" s="484"/>
      <c r="P191" s="2187"/>
      <c r="Q191" s="2186"/>
      <c r="R191" s="484"/>
      <c r="S191" s="100"/>
      <c r="T191" s="484"/>
      <c r="U191" s="2187"/>
      <c r="V191" s="2186"/>
      <c r="W191" s="484"/>
      <c r="X191" s="100"/>
      <c r="Y191" s="484"/>
      <c r="Z191" s="2187"/>
      <c r="AA191" s="2186"/>
      <c r="AB191" s="484"/>
      <c r="AC191" s="100"/>
      <c r="AD191" s="484"/>
      <c r="AE191" s="2187"/>
      <c r="AF191" s="4490"/>
      <c r="AG191" s="547"/>
      <c r="AH191" s="547"/>
      <c r="AI191" s="4568" t="s">
        <v>600</v>
      </c>
      <c r="AJ191" s="11"/>
    </row>
    <row r="192" spans="2:36" ht="20.100000000000001" hidden="1" customHeight="1" thickTop="1" thickBot="1">
      <c r="B192" s="1848"/>
      <c r="C192" s="1849" t="s">
        <v>603</v>
      </c>
      <c r="D192" s="161"/>
      <c r="E192" s="161"/>
      <c r="F192" s="285" t="s">
        <v>156</v>
      </c>
      <c r="G192" s="621"/>
      <c r="H192" s="622" t="s">
        <v>604</v>
      </c>
      <c r="I192" s="622"/>
      <c r="J192" s="2484"/>
      <c r="K192" s="162" t="s">
        <v>156</v>
      </c>
      <c r="L192" s="2186"/>
      <c r="M192" s="484"/>
      <c r="N192" s="100"/>
      <c r="O192" s="484"/>
      <c r="P192" s="2187"/>
      <c r="Q192" s="2186"/>
      <c r="R192" s="484"/>
      <c r="S192" s="100"/>
      <c r="T192" s="484"/>
      <c r="U192" s="2187"/>
      <c r="V192" s="2186"/>
      <c r="W192" s="484"/>
      <c r="X192" s="100"/>
      <c r="Y192" s="484"/>
      <c r="Z192" s="2187"/>
      <c r="AA192" s="2186"/>
      <c r="AB192" s="484"/>
      <c r="AC192" s="100"/>
      <c r="AD192" s="484"/>
      <c r="AE192" s="2187"/>
      <c r="AF192" s="4490"/>
      <c r="AG192" s="547"/>
      <c r="AH192" s="547"/>
      <c r="AI192" s="4568" t="s">
        <v>607</v>
      </c>
      <c r="AJ192" s="11"/>
    </row>
    <row r="193" spans="1:37" ht="20.100000000000001" hidden="1" customHeight="1" thickTop="1" thickBot="1">
      <c r="B193" s="1847"/>
      <c r="C193" s="614"/>
      <c r="D193" s="615" t="s">
        <v>582</v>
      </c>
      <c r="E193" s="616"/>
      <c r="F193" s="285" t="s">
        <v>413</v>
      </c>
      <c r="G193" s="535"/>
      <c r="H193" s="45"/>
      <c r="I193" s="4567" t="s">
        <v>608</v>
      </c>
      <c r="J193" s="2484"/>
      <c r="K193" s="162" t="s">
        <v>413</v>
      </c>
      <c r="L193" s="2186"/>
      <c r="M193" s="484"/>
      <c r="N193" s="100"/>
      <c r="O193" s="484"/>
      <c r="P193" s="2187"/>
      <c r="Q193" s="2186"/>
      <c r="R193" s="484"/>
      <c r="S193" s="100"/>
      <c r="T193" s="484"/>
      <c r="U193" s="2187"/>
      <c r="V193" s="2186"/>
      <c r="W193" s="484"/>
      <c r="X193" s="100"/>
      <c r="Y193" s="484"/>
      <c r="Z193" s="2187"/>
      <c r="AA193" s="2186"/>
      <c r="AB193" s="484"/>
      <c r="AC193" s="100"/>
      <c r="AD193" s="484"/>
      <c r="AE193" s="2187"/>
      <c r="AF193" s="4490"/>
      <c r="AG193" s="547"/>
      <c r="AH193" s="547"/>
      <c r="AI193" s="4568" t="s">
        <v>607</v>
      </c>
      <c r="AJ193" s="11"/>
    </row>
    <row r="194" spans="1:37" ht="20.100000000000001" hidden="1" customHeight="1" thickTop="1" thickBot="1">
      <c r="B194" s="1847"/>
      <c r="C194" s="614"/>
      <c r="D194" s="615" t="s">
        <v>584</v>
      </c>
      <c r="E194" s="616"/>
      <c r="F194" s="285" t="s">
        <v>413</v>
      </c>
      <c r="G194" s="535"/>
      <c r="H194" s="45"/>
      <c r="I194" s="4567" t="s">
        <v>609</v>
      </c>
      <c r="J194" s="2484"/>
      <c r="K194" s="162" t="s">
        <v>413</v>
      </c>
      <c r="L194" s="2186"/>
      <c r="M194" s="484"/>
      <c r="N194" s="100"/>
      <c r="O194" s="484"/>
      <c r="P194" s="2187"/>
      <c r="Q194" s="2186"/>
      <c r="R194" s="484"/>
      <c r="S194" s="100"/>
      <c r="T194" s="484"/>
      <c r="U194" s="2187"/>
      <c r="V194" s="2186"/>
      <c r="W194" s="484"/>
      <c r="X194" s="100"/>
      <c r="Y194" s="484"/>
      <c r="Z194" s="2187"/>
      <c r="AA194" s="2186"/>
      <c r="AB194" s="484"/>
      <c r="AC194" s="100"/>
      <c r="AD194" s="484"/>
      <c r="AE194" s="2187"/>
      <c r="AF194" s="4490"/>
      <c r="AG194" s="547"/>
      <c r="AH194" s="547"/>
      <c r="AI194" s="4568" t="s">
        <v>607</v>
      </c>
      <c r="AJ194" s="11"/>
    </row>
    <row r="195" spans="1:37" ht="20.100000000000001" hidden="1" customHeight="1" thickTop="1" thickBot="1">
      <c r="B195" s="1847"/>
      <c r="C195" s="614"/>
      <c r="D195" s="615" t="s">
        <v>586</v>
      </c>
      <c r="E195" s="616"/>
      <c r="F195" s="285" t="s">
        <v>413</v>
      </c>
      <c r="G195" s="535"/>
      <c r="H195" s="45"/>
      <c r="I195" s="4567" t="s">
        <v>610</v>
      </c>
      <c r="J195" s="2484"/>
      <c r="K195" s="162" t="s">
        <v>413</v>
      </c>
      <c r="L195" s="2186"/>
      <c r="M195" s="484"/>
      <c r="N195" s="100"/>
      <c r="O195" s="484"/>
      <c r="P195" s="2187"/>
      <c r="Q195" s="2186"/>
      <c r="R195" s="484"/>
      <c r="S195" s="100"/>
      <c r="T195" s="484"/>
      <c r="U195" s="2187"/>
      <c r="V195" s="2186"/>
      <c r="W195" s="484"/>
      <c r="X195" s="100"/>
      <c r="Y195" s="484"/>
      <c r="Z195" s="2187"/>
      <c r="AA195" s="2186"/>
      <c r="AB195" s="484"/>
      <c r="AC195" s="100"/>
      <c r="AD195" s="484"/>
      <c r="AE195" s="2187"/>
      <c r="AF195" s="4490"/>
      <c r="AG195" s="547"/>
      <c r="AH195" s="547"/>
      <c r="AI195" s="4568" t="s">
        <v>607</v>
      </c>
      <c r="AJ195" s="11"/>
    </row>
    <row r="196" spans="1:37" ht="20.100000000000001" hidden="1" customHeight="1" thickTop="1" thickBot="1">
      <c r="B196" s="1847"/>
      <c r="C196" s="614"/>
      <c r="D196" s="615" t="s">
        <v>588</v>
      </c>
      <c r="E196" s="616"/>
      <c r="F196" s="285" t="s">
        <v>413</v>
      </c>
      <c r="G196" s="535"/>
      <c r="H196" s="45"/>
      <c r="I196" s="4567" t="s">
        <v>611</v>
      </c>
      <c r="J196" s="2484"/>
      <c r="K196" s="162" t="s">
        <v>413</v>
      </c>
      <c r="L196" s="2186"/>
      <c r="M196" s="484"/>
      <c r="N196" s="100"/>
      <c r="O196" s="484"/>
      <c r="P196" s="2187"/>
      <c r="Q196" s="2186"/>
      <c r="R196" s="484"/>
      <c r="S196" s="100"/>
      <c r="T196" s="484"/>
      <c r="U196" s="2187"/>
      <c r="V196" s="2186"/>
      <c r="W196" s="484"/>
      <c r="X196" s="100"/>
      <c r="Y196" s="484"/>
      <c r="Z196" s="2187"/>
      <c r="AA196" s="2186"/>
      <c r="AB196" s="484"/>
      <c r="AC196" s="100"/>
      <c r="AD196" s="484"/>
      <c r="AE196" s="2187"/>
      <c r="AF196" s="4490"/>
      <c r="AG196" s="547"/>
      <c r="AH196" s="547"/>
      <c r="AI196" s="4568" t="s">
        <v>607</v>
      </c>
      <c r="AJ196" s="11"/>
    </row>
    <row r="197" spans="1:37" ht="20.100000000000001" hidden="1" customHeight="1" thickTop="1" thickBot="1">
      <c r="B197" s="1847"/>
      <c r="C197" s="1820"/>
      <c r="D197" s="619" t="s">
        <v>590</v>
      </c>
      <c r="E197" s="619"/>
      <c r="F197" s="285" t="s">
        <v>413</v>
      </c>
      <c r="G197" s="535"/>
      <c r="H197" s="45"/>
      <c r="I197" s="4567" t="s">
        <v>612</v>
      </c>
      <c r="J197" s="2484"/>
      <c r="K197" s="162" t="s">
        <v>413</v>
      </c>
      <c r="L197" s="2186"/>
      <c r="M197" s="484"/>
      <c r="N197" s="100"/>
      <c r="O197" s="484"/>
      <c r="P197" s="2187"/>
      <c r="Q197" s="2186"/>
      <c r="R197" s="484"/>
      <c r="S197" s="100"/>
      <c r="T197" s="484"/>
      <c r="U197" s="2187"/>
      <c r="V197" s="2186"/>
      <c r="W197" s="484"/>
      <c r="X197" s="100"/>
      <c r="Y197" s="484"/>
      <c r="Z197" s="2187"/>
      <c r="AA197" s="2186"/>
      <c r="AB197" s="484"/>
      <c r="AC197" s="100"/>
      <c r="AD197" s="484"/>
      <c r="AE197" s="2187"/>
      <c r="AF197" s="4490"/>
      <c r="AG197" s="547"/>
      <c r="AH197" s="547"/>
      <c r="AI197" s="4568" t="s">
        <v>607</v>
      </c>
      <c r="AJ197" s="11"/>
    </row>
    <row r="198" spans="1:37" ht="20.100000000000001" hidden="1" customHeight="1" thickTop="1" thickBot="1">
      <c r="B198" s="1847"/>
      <c r="C198" s="1849" t="s">
        <v>613</v>
      </c>
      <c r="D198" s="161"/>
      <c r="E198" s="161"/>
      <c r="F198" s="285" t="s">
        <v>156</v>
      </c>
      <c r="G198" s="621"/>
      <c r="H198" s="622" t="s">
        <v>614</v>
      </c>
      <c r="I198" s="622"/>
      <c r="J198" s="2484"/>
      <c r="K198" s="162" t="s">
        <v>156</v>
      </c>
      <c r="L198" s="2186"/>
      <c r="M198" s="484"/>
      <c r="N198" s="100"/>
      <c r="O198" s="484"/>
      <c r="P198" s="2187"/>
      <c r="Q198" s="2186"/>
      <c r="R198" s="484"/>
      <c r="S198" s="100"/>
      <c r="T198" s="484"/>
      <c r="U198" s="2187"/>
      <c r="V198" s="2186"/>
      <c r="W198" s="484"/>
      <c r="X198" s="100"/>
      <c r="Y198" s="484"/>
      <c r="Z198" s="2187"/>
      <c r="AA198" s="2186"/>
      <c r="AB198" s="484"/>
      <c r="AC198" s="100"/>
      <c r="AD198" s="484"/>
      <c r="AE198" s="2187"/>
      <c r="AF198" s="4490"/>
      <c r="AG198" s="547"/>
      <c r="AH198" s="547"/>
      <c r="AI198" s="4568" t="s">
        <v>617</v>
      </c>
      <c r="AJ198" s="11"/>
    </row>
    <row r="199" spans="1:37" ht="20.100000000000001" hidden="1" customHeight="1" thickTop="1" thickBot="1">
      <c r="B199" s="1847"/>
      <c r="C199" s="1849"/>
      <c r="D199" s="615" t="s">
        <v>618</v>
      </c>
      <c r="E199" s="616"/>
      <c r="F199" s="285" t="s">
        <v>413</v>
      </c>
      <c r="G199" s="624"/>
      <c r="H199" s="625"/>
      <c r="I199" s="4569" t="s">
        <v>619</v>
      </c>
      <c r="J199" s="2484"/>
      <c r="K199" s="162" t="s">
        <v>413</v>
      </c>
      <c r="L199" s="2186"/>
      <c r="M199" s="484"/>
      <c r="N199" s="100"/>
      <c r="O199" s="484"/>
      <c r="P199" s="2187"/>
      <c r="Q199" s="2186"/>
      <c r="R199" s="484"/>
      <c r="S199" s="100"/>
      <c r="T199" s="484"/>
      <c r="U199" s="2187"/>
      <c r="V199" s="2186"/>
      <c r="W199" s="484"/>
      <c r="X199" s="100"/>
      <c r="Y199" s="484"/>
      <c r="Z199" s="2187"/>
      <c r="AA199" s="2186"/>
      <c r="AB199" s="484"/>
      <c r="AC199" s="100"/>
      <c r="AD199" s="484"/>
      <c r="AE199" s="2187"/>
      <c r="AF199" s="4490"/>
      <c r="AG199" s="547"/>
      <c r="AH199" s="547"/>
      <c r="AI199" s="4568" t="s">
        <v>617</v>
      </c>
      <c r="AJ199" s="11"/>
    </row>
    <row r="200" spans="1:37" ht="20.100000000000001" hidden="1" customHeight="1" thickTop="1" thickBot="1">
      <c r="B200" s="1847"/>
      <c r="C200" s="1820"/>
      <c r="D200" s="615" t="s">
        <v>620</v>
      </c>
      <c r="E200" s="616"/>
      <c r="F200" s="285" t="s">
        <v>413</v>
      </c>
      <c r="G200" s="627"/>
      <c r="H200" s="628"/>
      <c r="I200" s="4569" t="s">
        <v>621</v>
      </c>
      <c r="J200" s="2484"/>
      <c r="K200" s="162" t="s">
        <v>413</v>
      </c>
      <c r="L200" s="2186"/>
      <c r="M200" s="484"/>
      <c r="N200" s="100"/>
      <c r="O200" s="484"/>
      <c r="P200" s="2187"/>
      <c r="Q200" s="2186"/>
      <c r="R200" s="484"/>
      <c r="S200" s="100"/>
      <c r="T200" s="484"/>
      <c r="U200" s="2187"/>
      <c r="V200" s="2186"/>
      <c r="W200" s="484"/>
      <c r="X200" s="100"/>
      <c r="Y200" s="484"/>
      <c r="Z200" s="2187"/>
      <c r="AA200" s="2186"/>
      <c r="AB200" s="484"/>
      <c r="AC200" s="100"/>
      <c r="AD200" s="484"/>
      <c r="AE200" s="2187"/>
      <c r="AF200" s="4490"/>
      <c r="AG200" s="547"/>
      <c r="AH200" s="547"/>
      <c r="AI200" s="4568" t="s">
        <v>617</v>
      </c>
      <c r="AJ200" s="11"/>
    </row>
    <row r="201" spans="1:37" ht="20.100000000000001" hidden="1" customHeight="1" thickTop="1" thickBot="1">
      <c r="B201" s="1847"/>
      <c r="C201" s="1820"/>
      <c r="D201" s="615" t="s">
        <v>622</v>
      </c>
      <c r="E201" s="616"/>
      <c r="F201" s="285" t="s">
        <v>413</v>
      </c>
      <c r="G201" s="627"/>
      <c r="H201" s="628"/>
      <c r="I201" s="4569" t="s">
        <v>623</v>
      </c>
      <c r="J201" s="2484"/>
      <c r="K201" s="162" t="s">
        <v>413</v>
      </c>
      <c r="L201" s="2186"/>
      <c r="M201" s="484"/>
      <c r="N201" s="100"/>
      <c r="O201" s="484"/>
      <c r="P201" s="2187"/>
      <c r="Q201" s="2186"/>
      <c r="R201" s="484"/>
      <c r="S201" s="100"/>
      <c r="T201" s="484"/>
      <c r="U201" s="2187"/>
      <c r="V201" s="2186"/>
      <c r="W201" s="484"/>
      <c r="X201" s="100"/>
      <c r="Y201" s="484"/>
      <c r="Z201" s="2187"/>
      <c r="AA201" s="2186"/>
      <c r="AB201" s="484"/>
      <c r="AC201" s="100"/>
      <c r="AD201" s="484"/>
      <c r="AE201" s="2187"/>
      <c r="AF201" s="4490"/>
      <c r="AG201" s="547"/>
      <c r="AH201" s="547"/>
      <c r="AI201" s="4568" t="s">
        <v>617</v>
      </c>
      <c r="AJ201" s="11"/>
    </row>
    <row r="202" spans="1:37" ht="19.899999999999999" hidden="1" customHeight="1" thickTop="1" thickBot="1">
      <c r="B202" s="1848"/>
      <c r="C202" s="1820"/>
      <c r="D202" s="10143" t="s">
        <v>624</v>
      </c>
      <c r="E202" s="10233"/>
      <c r="F202" s="285" t="s">
        <v>413</v>
      </c>
      <c r="G202" s="4570"/>
      <c r="H202" s="4571"/>
      <c r="I202" s="4572" t="s">
        <v>625</v>
      </c>
      <c r="J202" s="4573"/>
      <c r="K202" s="162" t="s">
        <v>413</v>
      </c>
      <c r="L202" s="2186"/>
      <c r="M202" s="484"/>
      <c r="N202" s="100"/>
      <c r="O202" s="484"/>
      <c r="P202" s="2187"/>
      <c r="Q202" s="2186"/>
      <c r="R202" s="484"/>
      <c r="S202" s="100"/>
      <c r="T202" s="484"/>
      <c r="U202" s="2187"/>
      <c r="V202" s="2186"/>
      <c r="W202" s="484"/>
      <c r="X202" s="100"/>
      <c r="Y202" s="484"/>
      <c r="Z202" s="2187"/>
      <c r="AA202" s="2186"/>
      <c r="AB202" s="484"/>
      <c r="AC202" s="100"/>
      <c r="AD202" s="484"/>
      <c r="AE202" s="2187"/>
      <c r="AF202" s="4490"/>
      <c r="AG202" s="547"/>
      <c r="AH202" s="547"/>
      <c r="AI202" s="4568" t="s">
        <v>617</v>
      </c>
      <c r="AJ202" s="11"/>
    </row>
    <row r="203" spans="1:37" ht="27.75" thickTop="1" thickBot="1">
      <c r="A203" s="50"/>
      <c r="B203" s="4505" t="s">
        <v>2281</v>
      </c>
      <c r="C203" s="1742" t="s">
        <v>727</v>
      </c>
      <c r="D203" s="629"/>
      <c r="E203" s="629"/>
      <c r="F203" s="630"/>
      <c r="G203" s="631" t="s">
        <v>728</v>
      </c>
      <c r="H203" s="632"/>
      <c r="I203" s="632"/>
      <c r="J203" s="632"/>
      <c r="K203" s="630"/>
      <c r="L203" s="4574"/>
      <c r="M203" s="633"/>
      <c r="N203" s="633"/>
      <c r="O203" s="633"/>
      <c r="P203" s="4575"/>
      <c r="Q203" s="4574"/>
      <c r="R203" s="633"/>
      <c r="S203" s="633"/>
      <c r="T203" s="633"/>
      <c r="U203" s="4575"/>
      <c r="V203" s="4574"/>
      <c r="W203" s="633"/>
      <c r="X203" s="633"/>
      <c r="Y203" s="633"/>
      <c r="Z203" s="4575"/>
      <c r="AA203" s="4574"/>
      <c r="AB203" s="633"/>
      <c r="AC203" s="633"/>
      <c r="AD203" s="633"/>
      <c r="AE203" s="4575"/>
      <c r="AF203" s="4576"/>
      <c r="AG203" s="1746"/>
      <c r="AH203" s="1746"/>
      <c r="AI203" s="3563"/>
      <c r="AJ203" s="18"/>
      <c r="AK203" s="54"/>
    </row>
    <row r="204" spans="1:37" ht="27" thickBot="1">
      <c r="B204" s="4505" t="s">
        <v>2281</v>
      </c>
      <c r="C204" s="123" t="s">
        <v>729</v>
      </c>
      <c r="D204" s="124"/>
      <c r="E204" s="124"/>
      <c r="F204" s="78"/>
      <c r="G204" s="125" t="s">
        <v>3488</v>
      </c>
      <c r="H204" s="126"/>
      <c r="I204" s="126"/>
      <c r="J204" s="126"/>
      <c r="K204" s="78"/>
      <c r="L204" s="2175"/>
      <c r="M204" s="148"/>
      <c r="N204" s="148"/>
      <c r="O204" s="148"/>
      <c r="P204" s="2176"/>
      <c r="Q204" s="2175"/>
      <c r="R204" s="148"/>
      <c r="S204" s="148"/>
      <c r="T204" s="148"/>
      <c r="U204" s="2176"/>
      <c r="V204" s="2175"/>
      <c r="W204" s="148"/>
      <c r="X204" s="148"/>
      <c r="Y204" s="148"/>
      <c r="Z204" s="2176"/>
      <c r="AA204" s="2175"/>
      <c r="AB204" s="148"/>
      <c r="AC204" s="148"/>
      <c r="AD204" s="148"/>
      <c r="AE204" s="2176"/>
      <c r="AF204" s="4493"/>
      <c r="AG204" s="129"/>
      <c r="AH204" s="129"/>
      <c r="AI204" s="1006"/>
      <c r="AJ204" s="18"/>
    </row>
    <row r="205" spans="1:37" ht="19.899999999999999" customHeight="1">
      <c r="B205" s="4505" t="s">
        <v>2281</v>
      </c>
      <c r="C205" s="10145" t="s">
        <v>731</v>
      </c>
      <c r="D205" s="9801"/>
      <c r="E205" s="9801"/>
      <c r="F205" s="636" t="s">
        <v>732</v>
      </c>
      <c r="G205" s="10234" t="s">
        <v>3489</v>
      </c>
      <c r="H205" s="254" t="s">
        <v>733</v>
      </c>
      <c r="I205" s="254"/>
      <c r="J205" s="4577"/>
      <c r="K205" s="436" t="s">
        <v>734</v>
      </c>
      <c r="L205" s="2392">
        <f t="shared" ref="L205" si="13">SUM(L206:L209)</f>
        <v>1054</v>
      </c>
      <c r="M205" s="639"/>
      <c r="N205" s="531">
        <f>SUM(N206:N209)</f>
        <v>909</v>
      </c>
      <c r="O205" s="543"/>
      <c r="P205" s="2393">
        <f>SUM(P206:P209)</f>
        <v>0</v>
      </c>
      <c r="Q205" s="2392">
        <f>SUM(Q206:Q209)</f>
        <v>1105</v>
      </c>
      <c r="R205" s="641"/>
      <c r="S205" s="531">
        <f>SUM(S206:S209)</f>
        <v>2446</v>
      </c>
      <c r="T205" s="543"/>
      <c r="U205" s="2393">
        <f>SUM(U206:U209)</f>
        <v>0</v>
      </c>
      <c r="V205" s="2392">
        <f>SUM(V206:V209)</f>
        <v>381</v>
      </c>
      <c r="W205" s="543"/>
      <c r="X205" s="531">
        <f>SUM(X206:X209)</f>
        <v>393</v>
      </c>
      <c r="Y205" s="543"/>
      <c r="Z205" s="2393">
        <f>SUM(Z206:Z209)</f>
        <v>393</v>
      </c>
      <c r="AA205" s="2392">
        <f>SUM(AA206:AA209)</f>
        <v>2555</v>
      </c>
      <c r="AB205" s="641"/>
      <c r="AC205" s="531">
        <f>SUM(AC206:AC209)</f>
        <v>2284</v>
      </c>
      <c r="AD205" s="543"/>
      <c r="AE205" s="2393">
        <f>SUM(AE206:AE209)</f>
        <v>2114</v>
      </c>
      <c r="AF205" s="4578"/>
      <c r="AG205" s="547"/>
      <c r="AH205" s="534"/>
      <c r="AI205" s="4568" t="s">
        <v>739</v>
      </c>
      <c r="AJ205" s="18"/>
    </row>
    <row r="206" spans="1:37" ht="20.100000000000001" customHeight="1">
      <c r="B206" s="4505" t="s">
        <v>2281</v>
      </c>
      <c r="C206" s="4579"/>
      <c r="D206" s="619" t="s">
        <v>743</v>
      </c>
      <c r="E206" s="619"/>
      <c r="F206" s="492" t="s">
        <v>732</v>
      </c>
      <c r="G206" s="10231"/>
      <c r="H206" s="348"/>
      <c r="I206" s="495" t="s">
        <v>744</v>
      </c>
      <c r="J206" s="643"/>
      <c r="K206" s="164" t="s">
        <v>734</v>
      </c>
      <c r="L206" s="2260">
        <v>52</v>
      </c>
      <c r="M206" s="646" t="s">
        <v>748</v>
      </c>
      <c r="N206" s="647">
        <v>77</v>
      </c>
      <c r="O206" s="646" t="s">
        <v>748</v>
      </c>
      <c r="P206" s="2303"/>
      <c r="Q206" s="2260">
        <v>374</v>
      </c>
      <c r="R206" s="648" t="s">
        <v>759</v>
      </c>
      <c r="S206" s="647">
        <v>392</v>
      </c>
      <c r="T206" s="648" t="s">
        <v>759</v>
      </c>
      <c r="U206" s="2303"/>
      <c r="V206" s="2398">
        <v>365</v>
      </c>
      <c r="W206" s="650" t="s">
        <v>751</v>
      </c>
      <c r="X206" s="649">
        <v>337</v>
      </c>
      <c r="Y206" s="648" t="s">
        <v>751</v>
      </c>
      <c r="Z206" s="2456">
        <v>337</v>
      </c>
      <c r="AA206" s="5579">
        <v>1280</v>
      </c>
      <c r="AB206" s="5512"/>
      <c r="AC206" s="5580">
        <v>1144</v>
      </c>
      <c r="AD206" s="5512"/>
      <c r="AE206" s="5581">
        <v>1059</v>
      </c>
      <c r="AF206" s="4490"/>
      <c r="AG206" s="547"/>
      <c r="AH206" s="547"/>
      <c r="AI206" s="4568" t="s">
        <v>739</v>
      </c>
      <c r="AJ206" s="18"/>
    </row>
    <row r="207" spans="1:37" ht="20.100000000000001" customHeight="1">
      <c r="B207" s="4505" t="s">
        <v>2281</v>
      </c>
      <c r="C207" s="4580"/>
      <c r="D207" s="9773" t="s">
        <v>752</v>
      </c>
      <c r="E207" s="9774"/>
      <c r="F207" s="492" t="s">
        <v>732</v>
      </c>
      <c r="G207" s="10231"/>
      <c r="H207" s="353"/>
      <c r="I207" s="495" t="s">
        <v>753</v>
      </c>
      <c r="J207" s="643"/>
      <c r="K207" s="164" t="s">
        <v>734</v>
      </c>
      <c r="L207" s="2260">
        <v>1001</v>
      </c>
      <c r="M207" s="646" t="s">
        <v>748</v>
      </c>
      <c r="N207" s="647">
        <v>831</v>
      </c>
      <c r="O207" s="646" t="s">
        <v>748</v>
      </c>
      <c r="P207" s="2303"/>
      <c r="Q207" s="2260">
        <v>726</v>
      </c>
      <c r="R207" s="648" t="s">
        <v>801</v>
      </c>
      <c r="S207" s="647">
        <v>2049</v>
      </c>
      <c r="T207" s="648" t="s">
        <v>801</v>
      </c>
      <c r="U207" s="2303"/>
      <c r="V207" s="2398">
        <v>9</v>
      </c>
      <c r="W207" s="648" t="s">
        <v>751</v>
      </c>
      <c r="X207" s="649">
        <v>49</v>
      </c>
      <c r="Y207" s="648" t="s">
        <v>751</v>
      </c>
      <c r="Z207" s="2456">
        <v>49</v>
      </c>
      <c r="AA207" s="5579">
        <v>0</v>
      </c>
      <c r="AB207" s="5512"/>
      <c r="AC207" s="5580">
        <v>0</v>
      </c>
      <c r="AD207" s="5512"/>
      <c r="AE207" s="5580">
        <v>0</v>
      </c>
      <c r="AF207" s="4490"/>
      <c r="AG207" s="547"/>
      <c r="AH207" s="547"/>
      <c r="AI207" s="4568" t="s">
        <v>739</v>
      </c>
      <c r="AJ207" s="18"/>
    </row>
    <row r="208" spans="1:37" ht="20.100000000000001" customHeight="1">
      <c r="B208" s="4505" t="s">
        <v>2281</v>
      </c>
      <c r="C208" s="4580"/>
      <c r="D208" s="619" t="s">
        <v>756</v>
      </c>
      <c r="E208" s="619"/>
      <c r="F208" s="295" t="s">
        <v>732</v>
      </c>
      <c r="G208" s="10231"/>
      <c r="H208" s="353"/>
      <c r="I208" s="495" t="s">
        <v>757</v>
      </c>
      <c r="J208" s="643"/>
      <c r="K208" s="372" t="s">
        <v>734</v>
      </c>
      <c r="L208" s="2260">
        <v>1</v>
      </c>
      <c r="M208" s="641">
        <v>0</v>
      </c>
      <c r="N208" s="647">
        <v>1</v>
      </c>
      <c r="O208" s="641" t="s">
        <v>760</v>
      </c>
      <c r="P208" s="2303"/>
      <c r="Q208" s="2260">
        <v>5</v>
      </c>
      <c r="R208" s="543">
        <v>0</v>
      </c>
      <c r="S208" s="647">
        <v>5</v>
      </c>
      <c r="T208" s="543">
        <v>0</v>
      </c>
      <c r="U208" s="2303"/>
      <c r="V208" s="2398">
        <v>7</v>
      </c>
      <c r="W208" s="648" t="s">
        <v>763</v>
      </c>
      <c r="X208" s="649">
        <v>7</v>
      </c>
      <c r="Y208" s="648" t="s">
        <v>763</v>
      </c>
      <c r="Z208" s="2456">
        <v>7</v>
      </c>
      <c r="AA208" s="5579">
        <v>0</v>
      </c>
      <c r="AB208" s="5512"/>
      <c r="AC208" s="5580">
        <v>0</v>
      </c>
      <c r="AD208" s="5512"/>
      <c r="AE208" s="5580">
        <v>0</v>
      </c>
      <c r="AF208" s="4490"/>
      <c r="AG208" s="547"/>
      <c r="AH208" s="547"/>
      <c r="AI208" s="4568" t="s">
        <v>739</v>
      </c>
      <c r="AJ208" s="18"/>
    </row>
    <row r="209" spans="1:37" ht="20.100000000000001" customHeight="1">
      <c r="B209" s="4505" t="s">
        <v>2281</v>
      </c>
      <c r="C209" s="4581"/>
      <c r="D209" s="9773" t="s">
        <v>764</v>
      </c>
      <c r="E209" s="9774"/>
      <c r="F209" s="295" t="s">
        <v>742</v>
      </c>
      <c r="G209" s="10231"/>
      <c r="H209" s="385"/>
      <c r="I209" s="495" t="s">
        <v>765</v>
      </c>
      <c r="J209" s="643"/>
      <c r="K209" s="372" t="s">
        <v>734</v>
      </c>
      <c r="L209" s="2260">
        <v>0</v>
      </c>
      <c r="M209" s="641">
        <v>0</v>
      </c>
      <c r="N209" s="647">
        <v>0</v>
      </c>
      <c r="O209" s="641">
        <v>0</v>
      </c>
      <c r="P209" s="2303"/>
      <c r="Q209" s="2398">
        <v>0</v>
      </c>
      <c r="R209" s="543">
        <v>0</v>
      </c>
      <c r="S209" s="647">
        <v>0</v>
      </c>
      <c r="T209" s="543">
        <v>0</v>
      </c>
      <c r="U209" s="2456"/>
      <c r="V209" s="2398">
        <v>0</v>
      </c>
      <c r="W209" s="543">
        <v>0</v>
      </c>
      <c r="X209" s="649">
        <v>0</v>
      </c>
      <c r="Y209" s="543">
        <v>0</v>
      </c>
      <c r="Z209" s="2456">
        <v>0</v>
      </c>
      <c r="AA209" s="5579">
        <v>1275</v>
      </c>
      <c r="AB209" s="5512"/>
      <c r="AC209" s="5580">
        <v>1140</v>
      </c>
      <c r="AD209" s="5512"/>
      <c r="AE209" s="5581">
        <v>1055</v>
      </c>
      <c r="AF209" s="4497"/>
      <c r="AG209" s="1101"/>
      <c r="AH209" s="1101"/>
      <c r="AI209" s="4582" t="s">
        <v>739</v>
      </c>
      <c r="AJ209" s="18"/>
    </row>
    <row r="210" spans="1:37" ht="20.100000000000001" customHeight="1">
      <c r="B210" s="4509" t="s">
        <v>2281</v>
      </c>
      <c r="C210" s="4583" t="s">
        <v>769</v>
      </c>
      <c r="D210" s="4518"/>
      <c r="E210" s="4518"/>
      <c r="F210" s="4584" t="s">
        <v>168</v>
      </c>
      <c r="G210" s="10231"/>
      <c r="H210" s="312" t="s">
        <v>1804</v>
      </c>
      <c r="I210" s="654"/>
      <c r="J210" s="655"/>
      <c r="K210" s="656" t="s">
        <v>168</v>
      </c>
      <c r="L210" s="2304"/>
      <c r="M210" s="660"/>
      <c r="N210" s="659"/>
      <c r="O210" s="660"/>
      <c r="P210" s="2305"/>
      <c r="Q210" s="2304"/>
      <c r="R210" s="661"/>
      <c r="S210" s="659"/>
      <c r="T210" s="661"/>
      <c r="U210" s="2305"/>
      <c r="V210" s="2304"/>
      <c r="W210" s="661"/>
      <c r="X210" s="659"/>
      <c r="Y210" s="661"/>
      <c r="Z210" s="2305"/>
      <c r="AA210" s="2304"/>
      <c r="AB210" s="661"/>
      <c r="AC210" s="320"/>
      <c r="AD210" s="413"/>
      <c r="AE210" s="2276"/>
      <c r="AF210" s="4585"/>
      <c r="AG210" s="4586"/>
      <c r="AH210" s="4586"/>
      <c r="AI210" s="4587"/>
      <c r="AJ210" s="18"/>
    </row>
    <row r="211" spans="1:37" ht="20.100000000000001" customHeight="1">
      <c r="B211" s="4509" t="s">
        <v>2281</v>
      </c>
      <c r="C211" s="4588"/>
      <c r="D211" s="619" t="s">
        <v>771</v>
      </c>
      <c r="E211" s="619"/>
      <c r="F211" s="285" t="s">
        <v>732</v>
      </c>
      <c r="G211" s="10231"/>
      <c r="H211" s="287"/>
      <c r="I211" s="184" t="s">
        <v>772</v>
      </c>
      <c r="J211" s="141"/>
      <c r="K211" s="162" t="s">
        <v>734</v>
      </c>
      <c r="L211" s="2260">
        <v>52</v>
      </c>
      <c r="M211" s="543" t="s">
        <v>775</v>
      </c>
      <c r="N211" s="647">
        <v>77</v>
      </c>
      <c r="O211" s="543" t="s">
        <v>775</v>
      </c>
      <c r="P211" s="2303"/>
      <c r="Q211" s="2260">
        <v>374</v>
      </c>
      <c r="R211" s="648" t="s">
        <v>759</v>
      </c>
      <c r="S211" s="647">
        <v>392</v>
      </c>
      <c r="T211" s="648" t="s">
        <v>759</v>
      </c>
      <c r="U211" s="2303"/>
      <c r="V211" s="2398">
        <v>365</v>
      </c>
      <c r="W211" s="648" t="s">
        <v>751</v>
      </c>
      <c r="X211" s="649">
        <v>337</v>
      </c>
      <c r="Y211" s="648" t="s">
        <v>751</v>
      </c>
      <c r="Z211" s="2303"/>
      <c r="AA211" s="2302">
        <v>1280</v>
      </c>
      <c r="AB211" s="543"/>
      <c r="AC211" s="542">
        <v>1144</v>
      </c>
      <c r="AD211" s="543"/>
      <c r="AE211" s="2303">
        <v>1059</v>
      </c>
      <c r="AF211" s="4589"/>
      <c r="AG211" s="878"/>
      <c r="AH211" s="878"/>
      <c r="AI211" s="4568" t="s">
        <v>770</v>
      </c>
      <c r="AJ211" s="18"/>
    </row>
    <row r="212" spans="1:37" ht="20.100000000000001" customHeight="1">
      <c r="B212" s="4509" t="s">
        <v>2281</v>
      </c>
      <c r="C212" s="4590"/>
      <c r="D212" s="619" t="s">
        <v>777</v>
      </c>
      <c r="E212" s="306"/>
      <c r="F212" s="285" t="s">
        <v>732</v>
      </c>
      <c r="G212" s="10231"/>
      <c r="H212" s="322"/>
      <c r="I212" s="184" t="s">
        <v>778</v>
      </c>
      <c r="J212" s="141"/>
      <c r="K212" s="162" t="s">
        <v>734</v>
      </c>
      <c r="L212" s="2260">
        <v>1002</v>
      </c>
      <c r="M212" s="543" t="s">
        <v>775</v>
      </c>
      <c r="N212" s="647">
        <v>832</v>
      </c>
      <c r="O212" s="543" t="s">
        <v>775</v>
      </c>
      <c r="P212" s="2303"/>
      <c r="Q212" s="2260">
        <v>731</v>
      </c>
      <c r="R212" s="648" t="s">
        <v>801</v>
      </c>
      <c r="S212" s="647">
        <v>2054</v>
      </c>
      <c r="T212" s="648" t="s">
        <v>801</v>
      </c>
      <c r="U212" s="2303"/>
      <c r="V212" s="2398">
        <v>16</v>
      </c>
      <c r="W212" s="648" t="s">
        <v>751</v>
      </c>
      <c r="X212" s="649">
        <v>56</v>
      </c>
      <c r="Y212" s="648" t="s">
        <v>751</v>
      </c>
      <c r="Z212" s="2303"/>
      <c r="AA212" s="2302">
        <v>0</v>
      </c>
      <c r="AB212" s="543"/>
      <c r="AC212" s="542">
        <v>0</v>
      </c>
      <c r="AD212" s="543"/>
      <c r="AE212" s="2303">
        <v>0</v>
      </c>
      <c r="AF212" s="4490"/>
      <c r="AG212" s="547"/>
      <c r="AH212" s="547"/>
      <c r="AI212" s="4568" t="s">
        <v>770</v>
      </c>
      <c r="AJ212" s="18"/>
    </row>
    <row r="213" spans="1:37" ht="19.899999999999999" customHeight="1">
      <c r="B213" s="4509" t="s">
        <v>2281</v>
      </c>
      <c r="C213" s="4590"/>
      <c r="D213" s="619" t="s">
        <v>781</v>
      </c>
      <c r="E213" s="306"/>
      <c r="F213" s="285" t="s">
        <v>732</v>
      </c>
      <c r="G213" s="10231"/>
      <c r="H213" s="322"/>
      <c r="I213" s="184" t="s">
        <v>782</v>
      </c>
      <c r="J213" s="141"/>
      <c r="K213" s="162" t="s">
        <v>734</v>
      </c>
      <c r="L213" s="2260">
        <v>1054</v>
      </c>
      <c r="M213" s="543">
        <v>0</v>
      </c>
      <c r="N213" s="647">
        <v>909</v>
      </c>
      <c r="O213" s="543">
        <v>0</v>
      </c>
      <c r="P213" s="2303"/>
      <c r="Q213" s="2260">
        <v>564</v>
      </c>
      <c r="R213" s="648">
        <v>0</v>
      </c>
      <c r="S213" s="647">
        <v>577</v>
      </c>
      <c r="T213" s="543">
        <v>0</v>
      </c>
      <c r="U213" s="2303"/>
      <c r="V213" s="2398">
        <v>381</v>
      </c>
      <c r="W213" s="543">
        <v>0</v>
      </c>
      <c r="X213" s="649">
        <v>393</v>
      </c>
      <c r="Y213" s="543">
        <v>0</v>
      </c>
      <c r="Z213" s="2303"/>
      <c r="AA213" s="2302">
        <v>838</v>
      </c>
      <c r="AB213" s="543"/>
      <c r="AC213" s="542">
        <v>730</v>
      </c>
      <c r="AD213" s="543"/>
      <c r="AE213" s="2303">
        <v>685</v>
      </c>
      <c r="AF213" s="4490"/>
      <c r="AG213" s="547"/>
      <c r="AH213" s="547"/>
      <c r="AI213" s="4568" t="s">
        <v>770</v>
      </c>
      <c r="AJ213" s="18"/>
    </row>
    <row r="214" spans="1:37" ht="20.100000000000001" customHeight="1">
      <c r="B214" s="4509" t="s">
        <v>2281</v>
      </c>
      <c r="C214" s="4590"/>
      <c r="D214" s="619" t="s">
        <v>784</v>
      </c>
      <c r="E214" s="306"/>
      <c r="F214" s="285" t="s">
        <v>732</v>
      </c>
      <c r="G214" s="10231"/>
      <c r="H214" s="322"/>
      <c r="I214" s="184" t="s">
        <v>785</v>
      </c>
      <c r="J214" s="141"/>
      <c r="K214" s="162" t="s">
        <v>734</v>
      </c>
      <c r="L214" s="2260">
        <v>0</v>
      </c>
      <c r="M214" s="543">
        <v>0</v>
      </c>
      <c r="N214" s="647">
        <v>0</v>
      </c>
      <c r="O214" s="543">
        <v>0</v>
      </c>
      <c r="P214" s="2303"/>
      <c r="Q214" s="2260">
        <v>541</v>
      </c>
      <c r="R214" s="543">
        <v>0</v>
      </c>
      <c r="S214" s="647">
        <v>1869</v>
      </c>
      <c r="T214" s="543">
        <v>0</v>
      </c>
      <c r="U214" s="2303"/>
      <c r="V214" s="2398">
        <v>0</v>
      </c>
      <c r="W214" s="543">
        <v>0</v>
      </c>
      <c r="X214" s="649">
        <v>0</v>
      </c>
      <c r="Y214" s="543">
        <v>0</v>
      </c>
      <c r="Z214" s="2303"/>
      <c r="AA214" s="2302">
        <v>442</v>
      </c>
      <c r="AB214" s="543"/>
      <c r="AC214" s="542">
        <v>414</v>
      </c>
      <c r="AD214" s="543"/>
      <c r="AE214" s="2303">
        <v>374</v>
      </c>
      <c r="AF214" s="4490"/>
      <c r="AG214" s="547"/>
      <c r="AH214" s="547"/>
      <c r="AI214" s="4568" t="s">
        <v>770</v>
      </c>
      <c r="AJ214" s="18"/>
    </row>
    <row r="215" spans="1:37" ht="19.899999999999999" customHeight="1">
      <c r="B215" s="4509" t="s">
        <v>2281</v>
      </c>
      <c r="C215" s="4591"/>
      <c r="D215" s="619" t="s">
        <v>788</v>
      </c>
      <c r="E215" s="619"/>
      <c r="F215" s="285" t="s">
        <v>732</v>
      </c>
      <c r="G215" s="10231"/>
      <c r="H215" s="296"/>
      <c r="I215" s="495" t="s">
        <v>789</v>
      </c>
      <c r="J215" s="643"/>
      <c r="K215" s="162" t="s">
        <v>734</v>
      </c>
      <c r="L215" s="2260">
        <v>0</v>
      </c>
      <c r="M215" s="543">
        <v>0</v>
      </c>
      <c r="N215" s="647">
        <v>0</v>
      </c>
      <c r="O215" s="543">
        <v>0</v>
      </c>
      <c r="P215" s="2303"/>
      <c r="Q215" s="2260">
        <v>0</v>
      </c>
      <c r="R215" s="543">
        <v>0</v>
      </c>
      <c r="S215" s="647">
        <v>0</v>
      </c>
      <c r="T215" s="543">
        <v>0</v>
      </c>
      <c r="U215" s="2303"/>
      <c r="V215" s="2398">
        <v>0</v>
      </c>
      <c r="W215" s="543">
        <v>0</v>
      </c>
      <c r="X215" s="649">
        <v>0</v>
      </c>
      <c r="Y215" s="543">
        <v>0</v>
      </c>
      <c r="Z215" s="2303"/>
      <c r="AA215" s="2536">
        <v>0</v>
      </c>
      <c r="AB215" s="789"/>
      <c r="AC215" s="2537">
        <v>0</v>
      </c>
      <c r="AD215" s="789"/>
      <c r="AE215" s="2538">
        <v>0</v>
      </c>
      <c r="AF215" s="4490"/>
      <c r="AG215" s="547"/>
      <c r="AH215" s="547"/>
      <c r="AI215" s="4568" t="s">
        <v>770</v>
      </c>
      <c r="AJ215" s="18"/>
    </row>
    <row r="216" spans="1:37" ht="20.100000000000001" customHeight="1">
      <c r="B216" s="4505" t="s">
        <v>2281</v>
      </c>
      <c r="C216" s="4592" t="s">
        <v>791</v>
      </c>
      <c r="D216" s="663"/>
      <c r="E216" s="4593"/>
      <c r="F216" s="4594"/>
      <c r="G216" s="10231"/>
      <c r="H216" s="312" t="s">
        <v>792</v>
      </c>
      <c r="I216" s="654"/>
      <c r="J216" s="655"/>
      <c r="K216" s="656" t="s">
        <v>168</v>
      </c>
      <c r="L216" s="2304"/>
      <c r="M216" s="661"/>
      <c r="N216" s="659"/>
      <c r="O216" s="661"/>
      <c r="P216" s="2305"/>
      <c r="Q216" s="2304"/>
      <c r="R216" s="661"/>
      <c r="S216" s="659"/>
      <c r="T216" s="661"/>
      <c r="U216" s="2305"/>
      <c r="V216" s="2304"/>
      <c r="W216" s="661"/>
      <c r="X216" s="659"/>
      <c r="Y216" s="661"/>
      <c r="Z216" s="2305"/>
      <c r="AA216" s="5210"/>
      <c r="AB216" s="5211"/>
      <c r="AC216" s="5212"/>
      <c r="AD216" s="5213"/>
      <c r="AE216" s="5214"/>
      <c r="AF216" s="4490"/>
      <c r="AG216" s="547"/>
      <c r="AH216" s="547"/>
      <c r="AI216" s="4568" t="s">
        <v>793</v>
      </c>
      <c r="AJ216" s="18"/>
    </row>
    <row r="217" spans="1:37" ht="20.100000000000001" customHeight="1">
      <c r="B217" s="4505" t="s">
        <v>2281</v>
      </c>
      <c r="C217" s="4588"/>
      <c r="D217" s="490" t="s">
        <v>796</v>
      </c>
      <c r="E217" s="491"/>
      <c r="F217" s="285" t="s">
        <v>732</v>
      </c>
      <c r="G217" s="10231"/>
      <c r="H217" s="287"/>
      <c r="I217" s="198" t="s">
        <v>797</v>
      </c>
      <c r="J217" s="198"/>
      <c r="K217" s="162" t="s">
        <v>734</v>
      </c>
      <c r="L217" s="2260">
        <v>541</v>
      </c>
      <c r="M217" s="648" t="s">
        <v>748</v>
      </c>
      <c r="N217" s="647">
        <v>452</v>
      </c>
      <c r="O217" s="648" t="s">
        <v>748</v>
      </c>
      <c r="P217" s="2303"/>
      <c r="Q217" s="2260">
        <v>568</v>
      </c>
      <c r="R217" s="648" t="s">
        <v>801</v>
      </c>
      <c r="S217" s="647">
        <v>1195</v>
      </c>
      <c r="T217" s="648" t="s">
        <v>801</v>
      </c>
      <c r="U217" s="2303"/>
      <c r="V217" s="2398">
        <v>293</v>
      </c>
      <c r="W217" s="648" t="s">
        <v>751</v>
      </c>
      <c r="X217" s="649">
        <v>281</v>
      </c>
      <c r="Y217" s="648" t="s">
        <v>751</v>
      </c>
      <c r="Z217" s="2303"/>
      <c r="AA217" s="2536">
        <v>737</v>
      </c>
      <c r="AB217" s="789"/>
      <c r="AC217" s="2537">
        <v>646</v>
      </c>
      <c r="AD217" s="789"/>
      <c r="AE217" s="2538">
        <v>597</v>
      </c>
      <c r="AF217" s="543"/>
      <c r="AG217" s="547"/>
      <c r="AH217" s="547"/>
      <c r="AI217" s="4568" t="s">
        <v>793</v>
      </c>
      <c r="AJ217" s="18"/>
    </row>
    <row r="218" spans="1:37" ht="19.899999999999999" customHeight="1">
      <c r="B218" s="4505" t="s">
        <v>2281</v>
      </c>
      <c r="C218" s="4591"/>
      <c r="D218" s="490" t="s">
        <v>802</v>
      </c>
      <c r="E218" s="491"/>
      <c r="F218" s="285" t="s">
        <v>732</v>
      </c>
      <c r="G218" s="10231"/>
      <c r="H218" s="296"/>
      <c r="I218" s="666" t="s">
        <v>1807</v>
      </c>
      <c r="J218" s="666"/>
      <c r="K218" s="162" t="s">
        <v>734</v>
      </c>
      <c r="L218" s="2260">
        <v>513</v>
      </c>
      <c r="M218" s="648" t="s">
        <v>748</v>
      </c>
      <c r="N218" s="647">
        <v>457</v>
      </c>
      <c r="O218" s="648" t="s">
        <v>748</v>
      </c>
      <c r="P218" s="2303"/>
      <c r="Q218" s="2260">
        <v>537</v>
      </c>
      <c r="R218" s="648" t="s">
        <v>801</v>
      </c>
      <c r="S218" s="647">
        <v>1251</v>
      </c>
      <c r="T218" s="648" t="s">
        <v>801</v>
      </c>
      <c r="U218" s="2303"/>
      <c r="V218" s="2398">
        <v>88</v>
      </c>
      <c r="W218" s="648" t="s">
        <v>751</v>
      </c>
      <c r="X218" s="649">
        <v>112</v>
      </c>
      <c r="Y218" s="648" t="s">
        <v>751</v>
      </c>
      <c r="Z218" s="2303"/>
      <c r="AA218" s="2536">
        <v>543</v>
      </c>
      <c r="AB218" s="789"/>
      <c r="AC218" s="2537">
        <v>498</v>
      </c>
      <c r="AD218" s="789"/>
      <c r="AE218" s="2538">
        <v>462</v>
      </c>
      <c r="AF218" s="4490"/>
      <c r="AG218" s="547"/>
      <c r="AH218" s="547"/>
      <c r="AI218" s="4568" t="s">
        <v>793</v>
      </c>
      <c r="AJ218" s="18"/>
    </row>
    <row r="219" spans="1:37" ht="19.899999999999999" customHeight="1">
      <c r="B219" s="4505" t="s">
        <v>2281</v>
      </c>
      <c r="C219" s="4592" t="s">
        <v>805</v>
      </c>
      <c r="D219" s="663"/>
      <c r="E219" s="4595"/>
      <c r="F219" s="4584" t="s">
        <v>168</v>
      </c>
      <c r="G219" s="10231"/>
      <c r="H219" s="668" t="s">
        <v>806</v>
      </c>
      <c r="I219" s="669"/>
      <c r="J219" s="670"/>
      <c r="K219" s="656" t="s">
        <v>168</v>
      </c>
      <c r="L219" s="2304"/>
      <c r="M219" s="671"/>
      <c r="N219" s="659"/>
      <c r="O219" s="671"/>
      <c r="P219" s="2305"/>
      <c r="Q219" s="2304"/>
      <c r="R219" s="671"/>
      <c r="S219" s="659"/>
      <c r="T219" s="671"/>
      <c r="U219" s="2305"/>
      <c r="V219" s="2304"/>
      <c r="W219" s="671"/>
      <c r="X219" s="659"/>
      <c r="Y219" s="671"/>
      <c r="Z219" s="2305"/>
      <c r="AA219" s="5210"/>
      <c r="AB219" s="5211"/>
      <c r="AC219" s="5212"/>
      <c r="AD219" s="5213"/>
      <c r="AE219" s="5214"/>
      <c r="AF219" s="4490"/>
      <c r="AG219" s="547"/>
      <c r="AH219" s="547"/>
      <c r="AI219" s="4568" t="s">
        <v>1930</v>
      </c>
      <c r="AJ219" s="18"/>
    </row>
    <row r="220" spans="1:37" ht="20.100000000000001" customHeight="1">
      <c r="A220"/>
      <c r="B220" s="4505" t="s">
        <v>2281</v>
      </c>
      <c r="C220" s="4596"/>
      <c r="D220" s="490" t="s">
        <v>796</v>
      </c>
      <c r="E220" s="491"/>
      <c r="F220" s="674" t="s">
        <v>156</v>
      </c>
      <c r="G220" s="10231"/>
      <c r="H220" s="676"/>
      <c r="I220" s="198" t="s">
        <v>808</v>
      </c>
      <c r="J220" s="177"/>
      <c r="K220" s="509" t="s">
        <v>156</v>
      </c>
      <c r="L220" s="2302"/>
      <c r="M220" s="679"/>
      <c r="N220" s="542"/>
      <c r="O220" s="680"/>
      <c r="P220" s="2303"/>
      <c r="Q220" s="2302"/>
      <c r="R220" s="680"/>
      <c r="S220" s="542"/>
      <c r="T220" s="680"/>
      <c r="U220" s="2303"/>
      <c r="V220" s="2302"/>
      <c r="W220" s="679"/>
      <c r="X220" s="542"/>
      <c r="Y220" s="679"/>
      <c r="Z220" s="2303"/>
      <c r="AA220" s="5576">
        <f>+AA217/AA211</f>
        <v>0.57578125000000002</v>
      </c>
      <c r="AB220" s="5577"/>
      <c r="AC220" s="5578">
        <f>+AC217/AC211</f>
        <v>0.56468531468531469</v>
      </c>
      <c r="AD220" s="5577"/>
      <c r="AE220" s="5578">
        <f>+AE217/AE211</f>
        <v>0.5637393767705382</v>
      </c>
      <c r="AF220" s="4490"/>
      <c r="AG220" s="681"/>
      <c r="AH220" s="681"/>
      <c r="AI220" s="4568" t="s">
        <v>1930</v>
      </c>
      <c r="AJ220" s="18"/>
      <c r="AK220"/>
    </row>
    <row r="221" spans="1:37" ht="20.100000000000001" customHeight="1">
      <c r="A221"/>
      <c r="B221" s="4505" t="s">
        <v>2281</v>
      </c>
      <c r="C221" s="4597"/>
      <c r="D221" s="490" t="s">
        <v>802</v>
      </c>
      <c r="E221" s="491"/>
      <c r="F221" s="674" t="s">
        <v>156</v>
      </c>
      <c r="G221" s="10231"/>
      <c r="H221" s="683"/>
      <c r="I221" s="666" t="s">
        <v>811</v>
      </c>
      <c r="J221" s="684"/>
      <c r="K221" s="509" t="s">
        <v>156</v>
      </c>
      <c r="L221" s="2302"/>
      <c r="M221" s="679"/>
      <c r="N221" s="542"/>
      <c r="O221" s="680"/>
      <c r="P221" s="2303"/>
      <c r="Q221" s="2302"/>
      <c r="R221" s="680"/>
      <c r="S221" s="542"/>
      <c r="T221" s="680"/>
      <c r="U221" s="2303"/>
      <c r="V221" s="2302"/>
      <c r="W221" s="679"/>
      <c r="X221" s="542"/>
      <c r="Y221" s="679"/>
      <c r="Z221" s="2303"/>
      <c r="AA221" s="5576">
        <f>+AA218/AA211</f>
        <v>0.42421874999999998</v>
      </c>
      <c r="AB221" s="5577"/>
      <c r="AC221" s="5578">
        <f>+AC218/AC211</f>
        <v>0.43531468531468531</v>
      </c>
      <c r="AD221" s="5577"/>
      <c r="AE221" s="5578">
        <f>+AE218/AE211</f>
        <v>0.43626062322946174</v>
      </c>
      <c r="AF221" s="4490"/>
      <c r="AG221" s="681"/>
      <c r="AH221" s="681"/>
      <c r="AI221" s="4568" t="s">
        <v>1930</v>
      </c>
      <c r="AJ221" s="18"/>
      <c r="AK221"/>
    </row>
    <row r="222" spans="1:37" ht="20.100000000000001" hidden="1" customHeight="1">
      <c r="A222"/>
      <c r="B222" s="4598"/>
      <c r="C222" s="4599" t="s">
        <v>814</v>
      </c>
      <c r="D222" s="663"/>
      <c r="E222" s="663"/>
      <c r="F222" s="4584" t="s">
        <v>168</v>
      </c>
      <c r="G222" s="10231"/>
      <c r="H222" s="686" t="s">
        <v>815</v>
      </c>
      <c r="I222" s="669"/>
      <c r="J222" s="670"/>
      <c r="K222" s="656" t="s">
        <v>168</v>
      </c>
      <c r="L222" s="2304"/>
      <c r="M222" s="687"/>
      <c r="N222" s="659"/>
      <c r="O222" s="688"/>
      <c r="P222" s="2305"/>
      <c r="Q222" s="2304"/>
      <c r="R222" s="688"/>
      <c r="S222" s="659"/>
      <c r="T222" s="688"/>
      <c r="U222" s="2305"/>
      <c r="V222" s="2304"/>
      <c r="W222" s="687"/>
      <c r="X222" s="659"/>
      <c r="Y222" s="687"/>
      <c r="Z222" s="2305"/>
      <c r="AA222" s="5210"/>
      <c r="AB222" s="5211"/>
      <c r="AC222" s="5212"/>
      <c r="AD222" s="5213"/>
      <c r="AE222" s="5214"/>
      <c r="AF222" s="4490"/>
      <c r="AG222" s="547"/>
      <c r="AH222" s="681"/>
      <c r="AI222" s="4600"/>
      <c r="AJ222" s="18"/>
      <c r="AK222"/>
    </row>
    <row r="223" spans="1:37" ht="20.100000000000001" hidden="1" customHeight="1">
      <c r="B223" s="1848"/>
      <c r="C223" s="4601"/>
      <c r="D223" s="490" t="s">
        <v>796</v>
      </c>
      <c r="E223" s="491"/>
      <c r="F223" s="285" t="s">
        <v>156</v>
      </c>
      <c r="G223" s="10231"/>
      <c r="H223" s="348"/>
      <c r="I223" s="198" t="s">
        <v>808</v>
      </c>
      <c r="J223" s="177"/>
      <c r="K223" s="162" t="s">
        <v>156</v>
      </c>
      <c r="L223" s="2302"/>
      <c r="M223" s="679"/>
      <c r="N223" s="542"/>
      <c r="O223" s="680"/>
      <c r="P223" s="2303"/>
      <c r="Q223" s="2302"/>
      <c r="R223" s="680"/>
      <c r="S223" s="542"/>
      <c r="T223" s="680"/>
      <c r="U223" s="2303"/>
      <c r="V223" s="2302"/>
      <c r="W223" s="679"/>
      <c r="X223" s="542"/>
      <c r="Y223" s="679"/>
      <c r="Z223" s="2303"/>
      <c r="AA223" s="2536"/>
      <c r="AB223" s="789"/>
      <c r="AC223" s="2537"/>
      <c r="AD223" s="789"/>
      <c r="AE223" s="2538"/>
      <c r="AF223" s="4490"/>
      <c r="AG223" s="547"/>
      <c r="AH223" s="547"/>
      <c r="AI223" s="4568"/>
      <c r="AJ223" s="18"/>
    </row>
    <row r="224" spans="1:37" ht="20.100000000000001" hidden="1" customHeight="1">
      <c r="B224" s="1848"/>
      <c r="C224" s="4602"/>
      <c r="D224" s="490" t="s">
        <v>802</v>
      </c>
      <c r="E224" s="491"/>
      <c r="F224" s="285" t="s">
        <v>156</v>
      </c>
      <c r="G224" s="10231"/>
      <c r="H224" s="385"/>
      <c r="I224" s="666" t="s">
        <v>811</v>
      </c>
      <c r="J224" s="684"/>
      <c r="K224" s="162" t="s">
        <v>156</v>
      </c>
      <c r="L224" s="2302"/>
      <c r="M224" s="679"/>
      <c r="N224" s="542"/>
      <c r="O224" s="680"/>
      <c r="P224" s="2303"/>
      <c r="Q224" s="2302"/>
      <c r="R224" s="680"/>
      <c r="S224" s="542"/>
      <c r="T224" s="680"/>
      <c r="U224" s="2303"/>
      <c r="V224" s="2302"/>
      <c r="W224" s="679"/>
      <c r="X224" s="542"/>
      <c r="Y224" s="679"/>
      <c r="Z224" s="2303"/>
      <c r="AA224" s="2536"/>
      <c r="AB224" s="789"/>
      <c r="AC224" s="2537"/>
      <c r="AD224" s="789"/>
      <c r="AE224" s="2538"/>
      <c r="AF224" s="4490"/>
      <c r="AG224" s="547"/>
      <c r="AH224" s="547"/>
      <c r="AI224" s="4568"/>
      <c r="AJ224" s="18"/>
    </row>
    <row r="225" spans="2:36" ht="20.100000000000001" customHeight="1">
      <c r="B225" s="4505" t="s">
        <v>2281</v>
      </c>
      <c r="C225" s="4599" t="s">
        <v>820</v>
      </c>
      <c r="D225" s="663"/>
      <c r="E225" s="695"/>
      <c r="F225" s="4584" t="s">
        <v>168</v>
      </c>
      <c r="G225" s="10231"/>
      <c r="H225" s="686" t="s">
        <v>821</v>
      </c>
      <c r="I225" s="669"/>
      <c r="J225" s="670"/>
      <c r="K225" s="656" t="s">
        <v>168</v>
      </c>
      <c r="L225" s="2304"/>
      <c r="M225" s="661"/>
      <c r="N225" s="659"/>
      <c r="O225" s="671"/>
      <c r="P225" s="2305"/>
      <c r="Q225" s="2304"/>
      <c r="R225" s="671"/>
      <c r="S225" s="659"/>
      <c r="T225" s="671"/>
      <c r="U225" s="2305"/>
      <c r="V225" s="2304"/>
      <c r="W225" s="661"/>
      <c r="X225" s="659"/>
      <c r="Y225" s="661"/>
      <c r="Z225" s="2305"/>
      <c r="AA225" s="5210"/>
      <c r="AB225" s="5211"/>
      <c r="AC225" s="5212"/>
      <c r="AD225" s="5213"/>
      <c r="AE225" s="5214"/>
      <c r="AF225" s="4490"/>
      <c r="AG225" s="547"/>
      <c r="AH225" s="547"/>
      <c r="AI225" s="4568" t="s">
        <v>822</v>
      </c>
      <c r="AJ225" s="18"/>
    </row>
    <row r="226" spans="2:36" ht="20.100000000000001" customHeight="1">
      <c r="B226" s="4505" t="s">
        <v>2281</v>
      </c>
      <c r="C226" s="4601"/>
      <c r="D226" s="490" t="s">
        <v>823</v>
      </c>
      <c r="E226" s="491"/>
      <c r="F226" s="285" t="s">
        <v>732</v>
      </c>
      <c r="G226" s="10231"/>
      <c r="H226" s="347"/>
      <c r="I226" s="666" t="s">
        <v>824</v>
      </c>
      <c r="J226" s="666"/>
      <c r="K226" s="162" t="s">
        <v>734</v>
      </c>
      <c r="L226" s="2260">
        <v>272</v>
      </c>
      <c r="M226" s="648" t="s">
        <v>748</v>
      </c>
      <c r="N226" s="647">
        <v>209</v>
      </c>
      <c r="O226" s="648" t="s">
        <v>748</v>
      </c>
      <c r="P226" s="2303"/>
      <c r="Q226" s="2260">
        <v>811</v>
      </c>
      <c r="R226" s="648" t="s">
        <v>801</v>
      </c>
      <c r="S226" s="647">
        <v>2120</v>
      </c>
      <c r="T226" s="648" t="s">
        <v>801</v>
      </c>
      <c r="U226" s="2303"/>
      <c r="V226" s="2398">
        <v>116</v>
      </c>
      <c r="W226" s="648" t="s">
        <v>751</v>
      </c>
      <c r="X226" s="649">
        <v>114</v>
      </c>
      <c r="Y226" s="648" t="s">
        <v>751</v>
      </c>
      <c r="Z226" s="2303"/>
      <c r="AA226" s="2536">
        <v>883</v>
      </c>
      <c r="AB226" s="789"/>
      <c r="AC226" s="2537">
        <v>744</v>
      </c>
      <c r="AD226" s="789"/>
      <c r="AE226" s="2538">
        <v>684</v>
      </c>
      <c r="AF226" s="4490"/>
      <c r="AG226" s="696"/>
      <c r="AH226" s="547"/>
      <c r="AI226" s="4568" t="s">
        <v>822</v>
      </c>
      <c r="AJ226" s="18"/>
    </row>
    <row r="227" spans="2:36" ht="20.100000000000001" customHeight="1">
      <c r="B227" s="4505" t="s">
        <v>2281</v>
      </c>
      <c r="C227" s="4603"/>
      <c r="D227" s="490" t="s">
        <v>827</v>
      </c>
      <c r="E227" s="491"/>
      <c r="F227" s="285" t="s">
        <v>732</v>
      </c>
      <c r="G227" s="10231"/>
      <c r="H227" s="106"/>
      <c r="I227" s="45" t="s">
        <v>828</v>
      </c>
      <c r="J227" s="45"/>
      <c r="K227" s="162" t="s">
        <v>734</v>
      </c>
      <c r="L227" s="2260">
        <v>778</v>
      </c>
      <c r="M227" s="648" t="s">
        <v>748</v>
      </c>
      <c r="N227" s="647">
        <v>694</v>
      </c>
      <c r="O227" s="648" t="s">
        <v>748</v>
      </c>
      <c r="P227" s="2303"/>
      <c r="Q227" s="2260">
        <v>292</v>
      </c>
      <c r="R227" s="648" t="s">
        <v>801</v>
      </c>
      <c r="S227" s="647">
        <v>325</v>
      </c>
      <c r="T227" s="648" t="s">
        <v>801</v>
      </c>
      <c r="U227" s="2303"/>
      <c r="V227" s="2398">
        <v>257</v>
      </c>
      <c r="W227" s="648" t="s">
        <v>751</v>
      </c>
      <c r="X227" s="649">
        <v>270</v>
      </c>
      <c r="Y227" s="648" t="s">
        <v>751</v>
      </c>
      <c r="Z227" s="2303"/>
      <c r="AA227" s="2536">
        <v>381</v>
      </c>
      <c r="AB227" s="789"/>
      <c r="AC227" s="2537">
        <v>382</v>
      </c>
      <c r="AD227" s="789"/>
      <c r="AE227" s="2538">
        <v>353</v>
      </c>
      <c r="AF227" s="4490"/>
      <c r="AG227" s="547"/>
      <c r="AH227" s="547"/>
      <c r="AI227" s="4568" t="s">
        <v>822</v>
      </c>
      <c r="AJ227" s="18"/>
    </row>
    <row r="228" spans="2:36" ht="20.100000000000001" customHeight="1">
      <c r="B228" s="4505" t="s">
        <v>2281</v>
      </c>
      <c r="C228" s="4602"/>
      <c r="D228" s="490" t="s">
        <v>830</v>
      </c>
      <c r="E228" s="491"/>
      <c r="F228" s="285" t="s">
        <v>732</v>
      </c>
      <c r="G228" s="10231"/>
      <c r="H228" s="384"/>
      <c r="I228" s="666" t="s">
        <v>1811</v>
      </c>
      <c r="J228" s="666"/>
      <c r="K228" s="162" t="s">
        <v>734</v>
      </c>
      <c r="L228" s="2260">
        <v>4</v>
      </c>
      <c r="M228" s="648" t="s">
        <v>748</v>
      </c>
      <c r="N228" s="647">
        <v>6</v>
      </c>
      <c r="O228" s="648" t="s">
        <v>748</v>
      </c>
      <c r="P228" s="2303"/>
      <c r="Q228" s="2260">
        <v>2</v>
      </c>
      <c r="R228" s="648" t="s">
        <v>801</v>
      </c>
      <c r="S228" s="647">
        <v>1</v>
      </c>
      <c r="T228" s="648" t="s">
        <v>801</v>
      </c>
      <c r="U228" s="2303"/>
      <c r="V228" s="2398">
        <v>8</v>
      </c>
      <c r="W228" s="648" t="s">
        <v>751</v>
      </c>
      <c r="X228" s="649">
        <v>9</v>
      </c>
      <c r="Y228" s="648" t="s">
        <v>751</v>
      </c>
      <c r="Z228" s="2303"/>
      <c r="AA228" s="2536">
        <v>16</v>
      </c>
      <c r="AB228" s="789"/>
      <c r="AC228" s="2537">
        <v>18</v>
      </c>
      <c r="AD228" s="789"/>
      <c r="AE228" s="2538">
        <v>22</v>
      </c>
      <c r="AF228" s="4490"/>
      <c r="AG228" s="547"/>
      <c r="AH228" s="547"/>
      <c r="AI228" s="4568" t="s">
        <v>822</v>
      </c>
      <c r="AJ228" s="18"/>
    </row>
    <row r="229" spans="2:36" ht="20.100000000000001" customHeight="1">
      <c r="B229" s="4505" t="s">
        <v>2281</v>
      </c>
      <c r="C229" s="4604" t="s">
        <v>833</v>
      </c>
      <c r="D229" s="583"/>
      <c r="E229" s="583"/>
      <c r="F229" s="285" t="s">
        <v>732</v>
      </c>
      <c r="G229" s="10231"/>
      <c r="H229" s="359" t="s">
        <v>834</v>
      </c>
      <c r="I229" s="359"/>
      <c r="J229" s="643"/>
      <c r="K229" s="162" t="s">
        <v>734</v>
      </c>
      <c r="L229" s="2260">
        <v>0</v>
      </c>
      <c r="M229" s="543">
        <v>0</v>
      </c>
      <c r="N229" s="647">
        <v>0</v>
      </c>
      <c r="O229" s="543">
        <v>0</v>
      </c>
      <c r="P229" s="2303"/>
      <c r="Q229" s="2260">
        <v>0</v>
      </c>
      <c r="R229" s="543">
        <v>0</v>
      </c>
      <c r="S229" s="647">
        <v>0</v>
      </c>
      <c r="T229" s="543">
        <v>0</v>
      </c>
      <c r="U229" s="2303"/>
      <c r="V229" s="2398">
        <v>0</v>
      </c>
      <c r="W229" s="543">
        <v>0</v>
      </c>
      <c r="X229" s="649">
        <v>0</v>
      </c>
      <c r="Y229" s="543">
        <v>0</v>
      </c>
      <c r="Z229" s="2303"/>
      <c r="AA229" s="5217" t="s">
        <v>641</v>
      </c>
      <c r="AB229" s="5218"/>
      <c r="AC229" s="5219" t="s">
        <v>641</v>
      </c>
      <c r="AD229" s="5218"/>
      <c r="AE229" s="5220" t="s">
        <v>641</v>
      </c>
      <c r="AF229" s="4490"/>
      <c r="AG229" s="547"/>
      <c r="AH229" s="547"/>
      <c r="AI229" s="4568" t="s">
        <v>837</v>
      </c>
      <c r="AJ229" s="18"/>
    </row>
    <row r="230" spans="2:36" ht="20.100000000000001" customHeight="1">
      <c r="B230" s="4505" t="s">
        <v>2281</v>
      </c>
      <c r="C230" s="4599" t="s">
        <v>843</v>
      </c>
      <c r="D230" s="4605"/>
      <c r="E230" s="4605"/>
      <c r="F230" s="4584" t="s">
        <v>168</v>
      </c>
      <c r="G230" s="10231"/>
      <c r="H230" s="686" t="s">
        <v>844</v>
      </c>
      <c r="I230" s="698"/>
      <c r="J230" s="655"/>
      <c r="K230" s="656" t="s">
        <v>168</v>
      </c>
      <c r="L230" s="2304"/>
      <c r="M230" s="661"/>
      <c r="N230" s="659"/>
      <c r="O230" s="661"/>
      <c r="P230" s="2305"/>
      <c r="Q230" s="2304"/>
      <c r="R230" s="661"/>
      <c r="S230" s="659"/>
      <c r="T230" s="661"/>
      <c r="U230" s="2305"/>
      <c r="V230" s="2304"/>
      <c r="W230" s="661"/>
      <c r="X230" s="659"/>
      <c r="Y230" s="661"/>
      <c r="Z230" s="2305"/>
      <c r="AA230" s="5210"/>
      <c r="AB230" s="5211"/>
      <c r="AC230" s="5212"/>
      <c r="AD230" s="5213"/>
      <c r="AE230" s="5214"/>
      <c r="AF230" s="4490"/>
      <c r="AG230" s="547"/>
      <c r="AH230" s="547"/>
      <c r="AI230" s="4568" t="s">
        <v>3014</v>
      </c>
      <c r="AJ230" s="18"/>
    </row>
    <row r="231" spans="2:36" ht="20.100000000000001" customHeight="1">
      <c r="B231" s="4505" t="s">
        <v>2281</v>
      </c>
      <c r="C231" s="4606"/>
      <c r="D231" s="490" t="s">
        <v>823</v>
      </c>
      <c r="E231" s="491"/>
      <c r="F231" s="285" t="s">
        <v>732</v>
      </c>
      <c r="G231" s="10231"/>
      <c r="H231" s="348"/>
      <c r="I231" s="495" t="s">
        <v>824</v>
      </c>
      <c r="J231" s="643"/>
      <c r="K231" s="162" t="s">
        <v>734</v>
      </c>
      <c r="L231" s="2302"/>
      <c r="M231" s="543"/>
      <c r="N231" s="542"/>
      <c r="O231" s="543"/>
      <c r="P231" s="2303"/>
      <c r="Q231" s="2302"/>
      <c r="R231" s="543"/>
      <c r="S231" s="542"/>
      <c r="T231" s="543"/>
      <c r="U231" s="2303"/>
      <c r="V231" s="2302"/>
      <c r="W231" s="543"/>
      <c r="X231" s="542"/>
      <c r="Y231" s="543"/>
      <c r="Z231" s="2303"/>
      <c r="AA231" s="2536">
        <v>0</v>
      </c>
      <c r="AB231" s="789"/>
      <c r="AC231" s="2537">
        <v>0</v>
      </c>
      <c r="AD231" s="789"/>
      <c r="AE231" s="2538">
        <v>0</v>
      </c>
      <c r="AF231" s="4490"/>
      <c r="AG231" s="696"/>
      <c r="AH231" s="547"/>
      <c r="AI231" s="4568" t="s">
        <v>3014</v>
      </c>
      <c r="AJ231" s="18"/>
    </row>
    <row r="232" spans="2:36" ht="20.100000000000001" customHeight="1">
      <c r="B232" s="4505" t="s">
        <v>2281</v>
      </c>
      <c r="C232" s="4603"/>
      <c r="D232" s="490" t="s">
        <v>827</v>
      </c>
      <c r="E232" s="491"/>
      <c r="F232" s="285" t="s">
        <v>732</v>
      </c>
      <c r="G232" s="10231"/>
      <c r="H232" s="353"/>
      <c r="I232" s="495" t="s">
        <v>828</v>
      </c>
      <c r="J232" s="643"/>
      <c r="K232" s="162" t="s">
        <v>734</v>
      </c>
      <c r="L232" s="2302"/>
      <c r="M232" s="543"/>
      <c r="N232" s="542"/>
      <c r="O232" s="543"/>
      <c r="P232" s="2303"/>
      <c r="Q232" s="2302"/>
      <c r="R232" s="543"/>
      <c r="S232" s="542"/>
      <c r="T232" s="543"/>
      <c r="U232" s="2303"/>
      <c r="V232" s="2302"/>
      <c r="W232" s="543"/>
      <c r="X232" s="542"/>
      <c r="Y232" s="543"/>
      <c r="Z232" s="2303"/>
      <c r="AA232" s="2536">
        <v>45</v>
      </c>
      <c r="AB232" s="789"/>
      <c r="AC232" s="2537">
        <v>35</v>
      </c>
      <c r="AD232" s="789"/>
      <c r="AE232" s="2538">
        <v>33</v>
      </c>
      <c r="AF232" s="4490"/>
      <c r="AG232" s="547"/>
      <c r="AH232" s="547"/>
      <c r="AI232" s="4568" t="s">
        <v>3014</v>
      </c>
      <c r="AJ232" s="18"/>
    </row>
    <row r="233" spans="2:36" ht="20.100000000000001" customHeight="1">
      <c r="B233" s="4505" t="s">
        <v>2281</v>
      </c>
      <c r="C233" s="4602"/>
      <c r="D233" s="490" t="s">
        <v>830</v>
      </c>
      <c r="E233" s="491"/>
      <c r="F233" s="285" t="s">
        <v>732</v>
      </c>
      <c r="G233" s="10231"/>
      <c r="H233" s="385"/>
      <c r="I233" s="495" t="s">
        <v>1811</v>
      </c>
      <c r="J233" s="643"/>
      <c r="K233" s="162" t="s">
        <v>734</v>
      </c>
      <c r="L233" s="2302"/>
      <c r="M233" s="543"/>
      <c r="N233" s="542"/>
      <c r="O233" s="543"/>
      <c r="P233" s="2303"/>
      <c r="Q233" s="2302"/>
      <c r="R233" s="543"/>
      <c r="S233" s="542"/>
      <c r="T233" s="543"/>
      <c r="U233" s="2303"/>
      <c r="V233" s="2302"/>
      <c r="W233" s="543"/>
      <c r="X233" s="542"/>
      <c r="Y233" s="543"/>
      <c r="Z233" s="2303"/>
      <c r="AA233" s="2536">
        <v>7</v>
      </c>
      <c r="AB233" s="789"/>
      <c r="AC233" s="2537">
        <v>7</v>
      </c>
      <c r="AD233" s="789"/>
      <c r="AE233" s="2538">
        <v>6</v>
      </c>
      <c r="AF233" s="4490"/>
      <c r="AG233" s="547"/>
      <c r="AH233" s="547"/>
      <c r="AI233" s="4568" t="s">
        <v>3014</v>
      </c>
      <c r="AJ233" s="18"/>
    </row>
    <row r="234" spans="2:36" ht="20.100000000000001" customHeight="1">
      <c r="B234" s="4505" t="s">
        <v>2281</v>
      </c>
      <c r="C234" s="306" t="s">
        <v>849</v>
      </c>
      <c r="D234" s="701"/>
      <c r="E234" s="701"/>
      <c r="F234" s="285" t="s">
        <v>742</v>
      </c>
      <c r="G234" s="10231"/>
      <c r="H234" s="359" t="s">
        <v>850</v>
      </c>
      <c r="I234" s="359"/>
      <c r="J234" s="643"/>
      <c r="K234" s="162" t="s">
        <v>734</v>
      </c>
      <c r="L234" s="2302"/>
      <c r="M234" s="543"/>
      <c r="N234" s="647">
        <v>0</v>
      </c>
      <c r="O234" s="543"/>
      <c r="P234" s="2303"/>
      <c r="Q234" s="2302"/>
      <c r="R234" s="543"/>
      <c r="S234" s="649">
        <v>1</v>
      </c>
      <c r="T234" s="543"/>
      <c r="U234" s="2303"/>
      <c r="V234" s="2302"/>
      <c r="W234" s="543"/>
      <c r="X234" s="649">
        <v>3</v>
      </c>
      <c r="Y234" s="543"/>
      <c r="Z234" s="2303"/>
      <c r="AA234" s="2536">
        <v>52</v>
      </c>
      <c r="AB234" s="789"/>
      <c r="AC234" s="2537">
        <v>42</v>
      </c>
      <c r="AD234" s="789"/>
      <c r="AE234" s="2538">
        <v>39</v>
      </c>
      <c r="AF234" s="4490"/>
      <c r="AG234" s="547"/>
      <c r="AH234" s="547"/>
      <c r="AI234" s="4568" t="s">
        <v>3017</v>
      </c>
      <c r="AJ234" s="18"/>
    </row>
    <row r="235" spans="2:36" ht="20.100000000000001" customHeight="1">
      <c r="B235" s="4505" t="s">
        <v>2281</v>
      </c>
      <c r="C235" s="306" t="s">
        <v>857</v>
      </c>
      <c r="D235" s="701"/>
      <c r="E235" s="703"/>
      <c r="F235" s="285" t="s">
        <v>156</v>
      </c>
      <c r="G235" s="10231"/>
      <c r="H235" s="359" t="s">
        <v>858</v>
      </c>
      <c r="I235" s="359"/>
      <c r="J235" s="643"/>
      <c r="K235" s="162" t="s">
        <v>156</v>
      </c>
      <c r="L235" s="2302"/>
      <c r="M235" s="543"/>
      <c r="N235" s="647">
        <v>0</v>
      </c>
      <c r="O235" s="543"/>
      <c r="P235" s="2303"/>
      <c r="Q235" s="2302"/>
      <c r="R235" s="543"/>
      <c r="S235" s="649">
        <v>0.25</v>
      </c>
      <c r="T235" s="543"/>
      <c r="U235" s="2303"/>
      <c r="V235" s="2302"/>
      <c r="W235" s="543"/>
      <c r="X235" s="649">
        <v>0.43</v>
      </c>
      <c r="Y235" s="543"/>
      <c r="Z235" s="2303"/>
      <c r="AA235" s="5215">
        <f>+AA234/AA206</f>
        <v>4.0625000000000001E-2</v>
      </c>
      <c r="AB235" s="789"/>
      <c r="AC235" s="5216">
        <f>+AC234/AC206</f>
        <v>3.6713286713286712E-2</v>
      </c>
      <c r="AD235" s="789"/>
      <c r="AE235" s="5216">
        <f>+AE234/AE206</f>
        <v>3.6827195467422094E-2</v>
      </c>
      <c r="AF235" s="4490"/>
      <c r="AG235" s="547"/>
      <c r="AH235" s="547"/>
      <c r="AI235" s="4568" t="s">
        <v>3017</v>
      </c>
      <c r="AJ235" s="18"/>
    </row>
    <row r="236" spans="2:36" ht="20.100000000000001" customHeight="1">
      <c r="B236" s="4505" t="s">
        <v>2281</v>
      </c>
      <c r="C236" s="4609" t="s">
        <v>863</v>
      </c>
      <c r="D236" s="497"/>
      <c r="E236" s="360"/>
      <c r="F236" s="285" t="s">
        <v>156</v>
      </c>
      <c r="G236" s="10231"/>
      <c r="H236" s="359" t="s">
        <v>864</v>
      </c>
      <c r="I236" s="359"/>
      <c r="J236" s="643"/>
      <c r="K236" s="162" t="s">
        <v>156</v>
      </c>
      <c r="L236" s="2302"/>
      <c r="M236" s="543"/>
      <c r="N236" s="647">
        <v>0</v>
      </c>
      <c r="O236" s="543"/>
      <c r="P236" s="2303"/>
      <c r="Q236" s="2302"/>
      <c r="R236" s="543"/>
      <c r="S236" s="649">
        <v>4.0000000000000002E-4</v>
      </c>
      <c r="T236" s="543"/>
      <c r="U236" s="2303"/>
      <c r="V236" s="2302"/>
      <c r="W236" s="543"/>
      <c r="X236" s="649">
        <v>7.0000000000000001E-3</v>
      </c>
      <c r="Y236" s="543"/>
      <c r="Z236" s="2303"/>
      <c r="AA236" s="5215">
        <v>4.0625000000000001E-2</v>
      </c>
      <c r="AB236" s="789"/>
      <c r="AC236" s="5216">
        <v>3.6713286713286712E-2</v>
      </c>
      <c r="AD236" s="789"/>
      <c r="AE236" s="5216">
        <v>3.6827195467422094E-2</v>
      </c>
      <c r="AF236" s="4490"/>
      <c r="AG236" s="547"/>
      <c r="AH236" s="547"/>
      <c r="AI236" s="4568" t="s">
        <v>3017</v>
      </c>
      <c r="AJ236" s="18"/>
    </row>
    <row r="237" spans="2:36" ht="20.100000000000001" customHeight="1" thickBot="1">
      <c r="B237" s="4505" t="s">
        <v>2281</v>
      </c>
      <c r="C237" s="4609" t="s">
        <v>870</v>
      </c>
      <c r="D237" s="497"/>
      <c r="E237" s="360"/>
      <c r="F237" s="706" t="s">
        <v>156</v>
      </c>
      <c r="G237" s="10232"/>
      <c r="H237" s="708" t="s">
        <v>871</v>
      </c>
      <c r="I237" s="708"/>
      <c r="J237" s="4610"/>
      <c r="K237" s="711" t="s">
        <v>156</v>
      </c>
      <c r="L237" s="2306"/>
      <c r="M237" s="713"/>
      <c r="N237" s="712"/>
      <c r="O237" s="713"/>
      <c r="P237" s="2307"/>
      <c r="Q237" s="2306"/>
      <c r="R237" s="713"/>
      <c r="S237" s="712"/>
      <c r="T237" s="713"/>
      <c r="U237" s="2307"/>
      <c r="V237" s="2306"/>
      <c r="W237" s="713"/>
      <c r="X237" s="712"/>
      <c r="Y237" s="713"/>
      <c r="Z237" s="2307"/>
      <c r="AA237" s="5221">
        <v>52</v>
      </c>
      <c r="AB237" s="5074"/>
      <c r="AC237" s="2537">
        <v>42</v>
      </c>
      <c r="AD237" s="5074"/>
      <c r="AE237" s="5222">
        <v>39</v>
      </c>
      <c r="AF237" s="4490"/>
      <c r="AG237" s="715"/>
      <c r="AH237" s="547"/>
      <c r="AI237" s="1244" t="s">
        <v>3014</v>
      </c>
      <c r="AJ237" s="18"/>
    </row>
    <row r="238" spans="2:36" ht="29.65" customHeight="1" thickBot="1">
      <c r="B238" s="4505" t="s">
        <v>2281</v>
      </c>
      <c r="C238" s="123" t="s">
        <v>877</v>
      </c>
      <c r="D238" s="124"/>
      <c r="E238" s="124"/>
      <c r="F238" s="78"/>
      <c r="G238" s="598" t="s">
        <v>3493</v>
      </c>
      <c r="H238" s="126"/>
      <c r="I238" s="126"/>
      <c r="J238" s="126"/>
      <c r="K238" s="78"/>
      <c r="L238" s="2394"/>
      <c r="M238" s="718"/>
      <c r="N238" s="718"/>
      <c r="O238" s="718"/>
      <c r="P238" s="2395"/>
      <c r="Q238" s="2394"/>
      <c r="R238" s="718"/>
      <c r="S238" s="718"/>
      <c r="T238" s="718"/>
      <c r="U238" s="2395"/>
      <c r="V238" s="2394"/>
      <c r="W238" s="718"/>
      <c r="X238" s="718"/>
      <c r="Y238" s="718"/>
      <c r="Z238" s="2395"/>
      <c r="AA238" s="5223"/>
      <c r="AB238" s="5224"/>
      <c r="AC238" s="5224"/>
      <c r="AD238" s="5224"/>
      <c r="AE238" s="5225"/>
      <c r="AF238" s="4493"/>
      <c r="AG238" s="719"/>
      <c r="AH238" s="719"/>
      <c r="AI238" s="4611"/>
      <c r="AJ238" s="18"/>
    </row>
    <row r="239" spans="2:36" ht="20.100000000000001" customHeight="1">
      <c r="B239" s="4505" t="s">
        <v>2281</v>
      </c>
      <c r="C239" s="4612" t="s">
        <v>879</v>
      </c>
      <c r="D239" s="86"/>
      <c r="E239" s="86"/>
      <c r="F239" s="636" t="s">
        <v>732</v>
      </c>
      <c r="G239" s="10235" t="s">
        <v>3489</v>
      </c>
      <c r="H239" s="721" t="s">
        <v>880</v>
      </c>
      <c r="I239" s="134"/>
      <c r="J239" s="135"/>
      <c r="K239" s="436" t="s">
        <v>734</v>
      </c>
      <c r="L239" s="2396">
        <f t="shared" ref="L239" si="14">L240+L241</f>
        <v>173</v>
      </c>
      <c r="M239" s="723"/>
      <c r="N239" s="640">
        <f>N240+N241</f>
        <v>107</v>
      </c>
      <c r="O239" s="725"/>
      <c r="P239" s="2397">
        <f>P240+P241</f>
        <v>0</v>
      </c>
      <c r="Q239" s="2396">
        <f>Q240+Q241</f>
        <v>1247</v>
      </c>
      <c r="R239" s="723"/>
      <c r="S239" s="640">
        <f>S240+S241</f>
        <v>2538</v>
      </c>
      <c r="T239" s="725"/>
      <c r="U239" s="2397">
        <f>U240+U241</f>
        <v>0</v>
      </c>
      <c r="V239" s="2396">
        <f>V240+V241</f>
        <v>16</v>
      </c>
      <c r="W239" s="723"/>
      <c r="X239" s="640">
        <f>X240+X241</f>
        <v>86</v>
      </c>
      <c r="Y239" s="725"/>
      <c r="Z239" s="2397">
        <f>Z240+Z241</f>
        <v>0</v>
      </c>
      <c r="AA239" s="5226">
        <f>AA240+AA241</f>
        <v>752</v>
      </c>
      <c r="AB239" s="5227"/>
      <c r="AC239" s="5228">
        <f>AC240+AC241</f>
        <v>781</v>
      </c>
      <c r="AD239" s="5229"/>
      <c r="AE239" s="5230">
        <f>AE240+AE241</f>
        <v>836</v>
      </c>
      <c r="AF239" s="4578"/>
      <c r="AG239" s="547"/>
      <c r="AH239" s="534"/>
      <c r="AI239" s="4568" t="s">
        <v>883</v>
      </c>
      <c r="AJ239" s="18"/>
    </row>
    <row r="240" spans="2:36" ht="20.100000000000001" customHeight="1">
      <c r="B240" s="4505" t="s">
        <v>2281</v>
      </c>
      <c r="C240" s="4528"/>
      <c r="D240" s="266" t="s">
        <v>885</v>
      </c>
      <c r="E240" s="266"/>
      <c r="F240" s="132" t="s">
        <v>732</v>
      </c>
      <c r="G240" s="10236"/>
      <c r="H240" s="1903"/>
      <c r="I240" s="1065" t="s">
        <v>886</v>
      </c>
      <c r="J240" s="1066"/>
      <c r="K240" s="136" t="s">
        <v>734</v>
      </c>
      <c r="L240" s="2398">
        <v>173</v>
      </c>
      <c r="M240" s="648" t="s">
        <v>887</v>
      </c>
      <c r="N240" s="649">
        <v>107</v>
      </c>
      <c r="O240" s="648" t="s">
        <v>887</v>
      </c>
      <c r="P240" s="2303"/>
      <c r="Q240" s="2398">
        <v>1247</v>
      </c>
      <c r="R240" s="648" t="s">
        <v>888</v>
      </c>
      <c r="S240" s="649">
        <v>2538</v>
      </c>
      <c r="T240" s="648" t="s">
        <v>888</v>
      </c>
      <c r="U240" s="2303"/>
      <c r="V240" s="2398">
        <v>16</v>
      </c>
      <c r="W240" s="648" t="s">
        <v>887</v>
      </c>
      <c r="X240" s="649">
        <v>86</v>
      </c>
      <c r="Y240" s="648" t="s">
        <v>887</v>
      </c>
      <c r="Z240" s="2303"/>
      <c r="AA240" s="2536">
        <v>752</v>
      </c>
      <c r="AB240" s="789"/>
      <c r="AC240" s="2537">
        <v>781</v>
      </c>
      <c r="AD240" s="789"/>
      <c r="AE240" s="2538">
        <v>836</v>
      </c>
      <c r="AF240" s="4490"/>
      <c r="AG240" s="547"/>
      <c r="AH240" s="547"/>
      <c r="AI240" s="4568" t="s">
        <v>883</v>
      </c>
      <c r="AJ240" s="18"/>
    </row>
    <row r="241" spans="2:36" ht="20.100000000000001" customHeight="1">
      <c r="B241" s="4505" t="s">
        <v>2281</v>
      </c>
      <c r="C241" s="1945"/>
      <c r="D241" s="726" t="s">
        <v>889</v>
      </c>
      <c r="E241" s="721"/>
      <c r="F241" s="132" t="s">
        <v>732</v>
      </c>
      <c r="G241" s="10236"/>
      <c r="H241" s="1918"/>
      <c r="I241" s="1065" t="s">
        <v>890</v>
      </c>
      <c r="J241" s="1066"/>
      <c r="K241" s="136" t="s">
        <v>734</v>
      </c>
      <c r="L241" s="2398">
        <v>0</v>
      </c>
      <c r="M241" s="543">
        <v>0</v>
      </c>
      <c r="N241" s="649">
        <v>0</v>
      </c>
      <c r="O241" s="543">
        <v>0</v>
      </c>
      <c r="P241" s="2303"/>
      <c r="Q241" s="2398">
        <v>0</v>
      </c>
      <c r="R241" s="543">
        <v>0</v>
      </c>
      <c r="S241" s="649">
        <v>0</v>
      </c>
      <c r="T241" s="648">
        <v>0</v>
      </c>
      <c r="U241" s="2303"/>
      <c r="V241" s="2398">
        <v>0</v>
      </c>
      <c r="W241" s="543">
        <v>0</v>
      </c>
      <c r="X241" s="649">
        <v>0</v>
      </c>
      <c r="Y241" s="543">
        <v>0</v>
      </c>
      <c r="Z241" s="2303"/>
      <c r="AA241" s="2536">
        <v>0</v>
      </c>
      <c r="AB241" s="789"/>
      <c r="AC241" s="2537">
        <v>0</v>
      </c>
      <c r="AD241" s="789"/>
      <c r="AE241" s="2538">
        <v>0</v>
      </c>
      <c r="AF241" s="4490"/>
      <c r="AG241" s="547"/>
      <c r="AH241" s="547"/>
      <c r="AI241" s="4568" t="s">
        <v>883</v>
      </c>
      <c r="AJ241" s="18"/>
    </row>
    <row r="242" spans="2:36" ht="20.100000000000001" customHeight="1">
      <c r="B242" s="4505" t="s">
        <v>2281</v>
      </c>
      <c r="C242" s="4613" t="s">
        <v>891</v>
      </c>
      <c r="D242" s="727"/>
      <c r="E242" s="727"/>
      <c r="F242" s="4614" t="s">
        <v>168</v>
      </c>
      <c r="G242" s="10236"/>
      <c r="H242" s="728" t="s">
        <v>1818</v>
      </c>
      <c r="I242" s="654"/>
      <c r="J242" s="655"/>
      <c r="K242" s="731" t="s">
        <v>168</v>
      </c>
      <c r="L242" s="2399"/>
      <c r="M242" s="661"/>
      <c r="N242" s="734"/>
      <c r="O242" s="661"/>
      <c r="P242" s="2305"/>
      <c r="Q242" s="2399"/>
      <c r="R242" s="661"/>
      <c r="S242" s="734"/>
      <c r="T242" s="671"/>
      <c r="U242" s="2305"/>
      <c r="V242" s="2399"/>
      <c r="W242" s="661"/>
      <c r="X242" s="734"/>
      <c r="Y242" s="661"/>
      <c r="Z242" s="2305"/>
      <c r="AA242" s="5210"/>
      <c r="AB242" s="5211"/>
      <c r="AC242" s="5231"/>
      <c r="AD242" s="5211"/>
      <c r="AE242" s="5232"/>
      <c r="AF242" s="4585"/>
      <c r="AG242" s="4586"/>
      <c r="AH242" s="4586"/>
      <c r="AI242" s="4587"/>
      <c r="AJ242" s="18"/>
    </row>
    <row r="243" spans="2:36" ht="20.100000000000001" customHeight="1">
      <c r="B243" s="4505" t="s">
        <v>2281</v>
      </c>
      <c r="C243" s="4588"/>
      <c r="D243" s="490" t="s">
        <v>796</v>
      </c>
      <c r="E243" s="491"/>
      <c r="F243" s="492" t="s">
        <v>732</v>
      </c>
      <c r="G243" s="10236"/>
      <c r="H243" s="886"/>
      <c r="I243" s="358" t="s">
        <v>893</v>
      </c>
      <c r="J243" s="735"/>
      <c r="K243" s="136" t="s">
        <v>734</v>
      </c>
      <c r="L243" s="2398">
        <v>99</v>
      </c>
      <c r="M243" s="648" t="s">
        <v>748</v>
      </c>
      <c r="N243" s="649">
        <v>69</v>
      </c>
      <c r="O243" s="648" t="s">
        <v>748</v>
      </c>
      <c r="P243" s="2303"/>
      <c r="Q243" s="2398">
        <v>566</v>
      </c>
      <c r="R243" s="648" t="s">
        <v>801</v>
      </c>
      <c r="S243" s="649">
        <v>1232</v>
      </c>
      <c r="T243" s="648" t="s">
        <v>801</v>
      </c>
      <c r="U243" s="2303"/>
      <c r="V243" s="2398">
        <v>7</v>
      </c>
      <c r="W243" s="648" t="s">
        <v>751</v>
      </c>
      <c r="X243" s="649">
        <v>41</v>
      </c>
      <c r="Y243" s="648" t="s">
        <v>751</v>
      </c>
      <c r="Z243" s="2303"/>
      <c r="AA243" s="2536">
        <v>436</v>
      </c>
      <c r="AB243" s="789"/>
      <c r="AC243" s="2537">
        <v>419</v>
      </c>
      <c r="AD243" s="789"/>
      <c r="AE243" s="2538">
        <v>437</v>
      </c>
      <c r="AF243" s="4490"/>
      <c r="AG243" s="547"/>
      <c r="AH243" s="547"/>
      <c r="AI243" s="4568" t="s">
        <v>892</v>
      </c>
      <c r="AJ243" s="18"/>
    </row>
    <row r="244" spans="2:36" ht="20.100000000000001" customHeight="1">
      <c r="B244" s="4505" t="s">
        <v>2281</v>
      </c>
      <c r="C244" s="4591"/>
      <c r="D244" s="490" t="s">
        <v>802</v>
      </c>
      <c r="E244" s="491"/>
      <c r="F244" s="492" t="s">
        <v>732</v>
      </c>
      <c r="G244" s="10236"/>
      <c r="H244" s="4512"/>
      <c r="I244" s="358" t="s">
        <v>896</v>
      </c>
      <c r="J244" s="735"/>
      <c r="K244" s="136" t="s">
        <v>734</v>
      </c>
      <c r="L244" s="2398">
        <v>74</v>
      </c>
      <c r="M244" s="648" t="s">
        <v>748</v>
      </c>
      <c r="N244" s="649">
        <v>38</v>
      </c>
      <c r="O244" s="648" t="s">
        <v>748</v>
      </c>
      <c r="P244" s="2303"/>
      <c r="Q244" s="2398">
        <v>681</v>
      </c>
      <c r="R244" s="648" t="s">
        <v>801</v>
      </c>
      <c r="S244" s="649">
        <v>1306</v>
      </c>
      <c r="T244" s="648" t="s">
        <v>801</v>
      </c>
      <c r="U244" s="2303"/>
      <c r="V244" s="2398">
        <v>9</v>
      </c>
      <c r="W244" s="648" t="s">
        <v>751</v>
      </c>
      <c r="X244" s="649">
        <v>45</v>
      </c>
      <c r="Y244" s="648" t="s">
        <v>751</v>
      </c>
      <c r="Z244" s="2303"/>
      <c r="AA244" s="2536">
        <v>316</v>
      </c>
      <c r="AB244" s="789"/>
      <c r="AC244" s="2537">
        <v>362</v>
      </c>
      <c r="AD244" s="789"/>
      <c r="AE244" s="2538">
        <v>399</v>
      </c>
      <c r="AF244" s="4490"/>
      <c r="AG244" s="547"/>
      <c r="AH244" s="547"/>
      <c r="AI244" s="4568" t="s">
        <v>892</v>
      </c>
      <c r="AJ244" s="18"/>
    </row>
    <row r="245" spans="2:36" ht="20.100000000000001" customHeight="1">
      <c r="B245" s="4505" t="s">
        <v>2281</v>
      </c>
      <c r="C245" s="4613" t="s">
        <v>897</v>
      </c>
      <c r="D245" s="727"/>
      <c r="E245" s="727"/>
      <c r="F245" s="4614" t="s">
        <v>168</v>
      </c>
      <c r="G245" s="10236"/>
      <c r="H245" s="736" t="s">
        <v>898</v>
      </c>
      <c r="I245" s="736"/>
      <c r="J245" s="736"/>
      <c r="K245" s="731" t="s">
        <v>168</v>
      </c>
      <c r="L245" s="2399"/>
      <c r="M245" s="671"/>
      <c r="N245" s="734"/>
      <c r="O245" s="671"/>
      <c r="P245" s="2305"/>
      <c r="Q245" s="2399"/>
      <c r="R245" s="671"/>
      <c r="S245" s="734"/>
      <c r="T245" s="671"/>
      <c r="U245" s="2305"/>
      <c r="V245" s="2399"/>
      <c r="W245" s="671"/>
      <c r="X245" s="734"/>
      <c r="Y245" s="671"/>
      <c r="Z245" s="2305"/>
      <c r="AA245" s="5210"/>
      <c r="AB245" s="5211"/>
      <c r="AC245" s="5231"/>
      <c r="AD245" s="5211"/>
      <c r="AE245" s="5232"/>
      <c r="AF245" s="4585"/>
      <c r="AG245" s="4586"/>
      <c r="AH245" s="4586"/>
      <c r="AI245" s="4587"/>
      <c r="AJ245" s="18"/>
    </row>
    <row r="246" spans="2:36" ht="20.100000000000001" customHeight="1">
      <c r="B246" s="4505" t="s">
        <v>2281</v>
      </c>
      <c r="D246" s="490" t="s">
        <v>823</v>
      </c>
      <c r="E246" s="491"/>
      <c r="F246" s="492" t="s">
        <v>732</v>
      </c>
      <c r="G246" s="10236"/>
      <c r="H246" s="886"/>
      <c r="I246" s="358" t="s">
        <v>900</v>
      </c>
      <c r="J246" s="735"/>
      <c r="K246" s="136" t="s">
        <v>734</v>
      </c>
      <c r="L246" s="2398">
        <v>97</v>
      </c>
      <c r="M246" s="648" t="s">
        <v>748</v>
      </c>
      <c r="N246" s="649">
        <v>46</v>
      </c>
      <c r="O246" s="648" t="s">
        <v>748</v>
      </c>
      <c r="P246" s="2303"/>
      <c r="Q246" s="2398">
        <v>1225</v>
      </c>
      <c r="R246" s="648" t="s">
        <v>801</v>
      </c>
      <c r="S246" s="649">
        <v>2502</v>
      </c>
      <c r="T246" s="648" t="s">
        <v>801</v>
      </c>
      <c r="U246" s="2303"/>
      <c r="V246" s="2398">
        <v>9</v>
      </c>
      <c r="W246" s="648" t="s">
        <v>751</v>
      </c>
      <c r="X246" s="649">
        <v>54</v>
      </c>
      <c r="Y246" s="648" t="s">
        <v>751</v>
      </c>
      <c r="Z246" s="2303"/>
      <c r="AA246" s="2536">
        <v>721</v>
      </c>
      <c r="AB246" s="789"/>
      <c r="AC246" s="2537">
        <v>746</v>
      </c>
      <c r="AD246" s="789"/>
      <c r="AE246" s="2538">
        <v>761</v>
      </c>
      <c r="AF246" s="4490"/>
      <c r="AG246" s="547"/>
      <c r="AH246" s="547"/>
      <c r="AI246" s="4568" t="s">
        <v>899</v>
      </c>
      <c r="AJ246" s="18"/>
    </row>
    <row r="247" spans="2:36" ht="20.100000000000001" customHeight="1">
      <c r="B247" s="4505" t="s">
        <v>2281</v>
      </c>
      <c r="C247" s="4590"/>
      <c r="D247" s="490" t="s">
        <v>827</v>
      </c>
      <c r="E247" s="491"/>
      <c r="F247" s="492" t="s">
        <v>732</v>
      </c>
      <c r="G247" s="10236"/>
      <c r="H247" s="4511"/>
      <c r="I247" s="358" t="s">
        <v>903</v>
      </c>
      <c r="J247" s="735"/>
      <c r="K247" s="136" t="s">
        <v>734</v>
      </c>
      <c r="L247" s="2398">
        <v>76</v>
      </c>
      <c r="M247" s="648" t="s">
        <v>748</v>
      </c>
      <c r="N247" s="649">
        <v>61</v>
      </c>
      <c r="O247" s="648" t="s">
        <v>748</v>
      </c>
      <c r="P247" s="2303"/>
      <c r="Q247" s="2398">
        <v>22</v>
      </c>
      <c r="R247" s="648" t="s">
        <v>801</v>
      </c>
      <c r="S247" s="649">
        <v>36</v>
      </c>
      <c r="T247" s="648" t="s">
        <v>801</v>
      </c>
      <c r="U247" s="2303"/>
      <c r="V247" s="2398">
        <v>7</v>
      </c>
      <c r="W247" s="648" t="s">
        <v>751</v>
      </c>
      <c r="X247" s="649">
        <v>30</v>
      </c>
      <c r="Y247" s="648" t="s">
        <v>751</v>
      </c>
      <c r="Z247" s="2303"/>
      <c r="AA247" s="2536">
        <v>30</v>
      </c>
      <c r="AB247" s="789"/>
      <c r="AC247" s="2537">
        <v>34</v>
      </c>
      <c r="AD247" s="789"/>
      <c r="AE247" s="2538">
        <v>68</v>
      </c>
      <c r="AF247" s="4490"/>
      <c r="AG247" s="547"/>
      <c r="AH247" s="547"/>
      <c r="AI247" s="4568" t="s">
        <v>899</v>
      </c>
      <c r="AJ247" s="18"/>
    </row>
    <row r="248" spans="2:36" ht="20.100000000000001" customHeight="1">
      <c r="B248" s="4505" t="s">
        <v>2281</v>
      </c>
      <c r="C248" s="4591"/>
      <c r="D248" s="490" t="s">
        <v>830</v>
      </c>
      <c r="E248" s="491"/>
      <c r="F248" s="492" t="s">
        <v>732</v>
      </c>
      <c r="G248" s="10236"/>
      <c r="H248" s="4512"/>
      <c r="I248" s="358" t="s">
        <v>905</v>
      </c>
      <c r="J248" s="735"/>
      <c r="K248" s="136" t="s">
        <v>734</v>
      </c>
      <c r="L248" s="2398">
        <v>0</v>
      </c>
      <c r="M248" s="648" t="s">
        <v>748</v>
      </c>
      <c r="N248" s="649">
        <v>0</v>
      </c>
      <c r="O248" s="648" t="s">
        <v>748</v>
      </c>
      <c r="P248" s="2303"/>
      <c r="Q248" s="2398">
        <v>0</v>
      </c>
      <c r="R248" s="648" t="s">
        <v>801</v>
      </c>
      <c r="S248" s="649">
        <v>0</v>
      </c>
      <c r="T248" s="648" t="s">
        <v>801</v>
      </c>
      <c r="U248" s="2303"/>
      <c r="V248" s="2398">
        <v>0</v>
      </c>
      <c r="W248" s="648" t="s">
        <v>751</v>
      </c>
      <c r="X248" s="649">
        <v>2</v>
      </c>
      <c r="Y248" s="648" t="s">
        <v>751</v>
      </c>
      <c r="Z248" s="2303"/>
      <c r="AA248" s="2536">
        <v>1</v>
      </c>
      <c r="AB248" s="789"/>
      <c r="AC248" s="2537">
        <v>1</v>
      </c>
      <c r="AD248" s="789"/>
      <c r="AE248" s="2538">
        <v>7</v>
      </c>
      <c r="AF248" s="4490"/>
      <c r="AG248" s="547"/>
      <c r="AH248" s="547"/>
      <c r="AI248" s="4568" t="s">
        <v>899</v>
      </c>
      <c r="AJ248" s="18"/>
    </row>
    <row r="249" spans="2:36" ht="20.100000000000001" hidden="1" customHeight="1">
      <c r="B249" s="1865"/>
      <c r="C249" s="1849" t="s">
        <v>907</v>
      </c>
      <c r="D249" s="701"/>
      <c r="E249" s="701"/>
      <c r="F249" s="492" t="s">
        <v>742</v>
      </c>
      <c r="G249" s="10236"/>
      <c r="H249" s="491" t="s">
        <v>908</v>
      </c>
      <c r="I249" s="359"/>
      <c r="J249" s="643"/>
      <c r="K249" s="164" t="s">
        <v>734</v>
      </c>
      <c r="L249" s="2398">
        <v>0</v>
      </c>
      <c r="M249" s="652">
        <v>0</v>
      </c>
      <c r="N249" s="649">
        <v>0</v>
      </c>
      <c r="O249" s="652">
        <v>0</v>
      </c>
      <c r="P249" s="2261"/>
      <c r="Q249" s="2398">
        <v>0</v>
      </c>
      <c r="R249" s="652">
        <v>0</v>
      </c>
      <c r="S249" s="649">
        <v>0</v>
      </c>
      <c r="T249" s="652">
        <v>0</v>
      </c>
      <c r="U249" s="2261"/>
      <c r="V249" s="2398">
        <v>0</v>
      </c>
      <c r="W249" s="652">
        <v>0</v>
      </c>
      <c r="X249" s="649">
        <v>0</v>
      </c>
      <c r="Y249" s="652">
        <v>0</v>
      </c>
      <c r="Z249" s="2261"/>
      <c r="AA249" s="5233"/>
      <c r="AB249" s="790"/>
      <c r="AC249" s="5234"/>
      <c r="AD249" s="790"/>
      <c r="AE249" s="5235"/>
      <c r="AF249" s="4490"/>
      <c r="AG249" s="547"/>
      <c r="AH249" s="547"/>
      <c r="AI249" s="4568" t="s">
        <v>911</v>
      </c>
      <c r="AJ249" s="18"/>
    </row>
    <row r="250" spans="2:36" ht="20.100000000000001" customHeight="1">
      <c r="B250" s="4505" t="s">
        <v>2281</v>
      </c>
      <c r="C250" s="4615" t="s">
        <v>915</v>
      </c>
      <c r="D250" s="583"/>
      <c r="E250" s="583"/>
      <c r="F250" s="285" t="s">
        <v>742</v>
      </c>
      <c r="G250" s="10236"/>
      <c r="H250" s="736" t="s">
        <v>916</v>
      </c>
      <c r="I250" s="736"/>
      <c r="J250" s="736"/>
      <c r="K250" s="731" t="s">
        <v>1443</v>
      </c>
      <c r="L250" s="2400">
        <f t="shared" ref="L250" si="15">L251+L252</f>
        <v>437</v>
      </c>
      <c r="M250" s="543"/>
      <c r="N250" s="738">
        <f>N251+N252</f>
        <v>231</v>
      </c>
      <c r="O250" s="543"/>
      <c r="P250" s="2401">
        <f>P251+P252</f>
        <v>0</v>
      </c>
      <c r="Q250" s="2400">
        <f>Q251+Q252</f>
        <v>1242</v>
      </c>
      <c r="R250" s="543"/>
      <c r="S250" s="738">
        <f>S251+S252</f>
        <v>2080</v>
      </c>
      <c r="T250" s="543"/>
      <c r="U250" s="2401">
        <f>U251+U252</f>
        <v>0</v>
      </c>
      <c r="V250" s="2400">
        <f>V251+V252</f>
        <v>103</v>
      </c>
      <c r="W250" s="543"/>
      <c r="X250" s="738">
        <f>X251+X252</f>
        <v>74</v>
      </c>
      <c r="Y250" s="543"/>
      <c r="Z250" s="2401">
        <f>Z251+Z252</f>
        <v>0</v>
      </c>
      <c r="AA250" s="2405">
        <f>AA251+AA252</f>
        <v>733</v>
      </c>
      <c r="AB250" s="789"/>
      <c r="AC250" s="783">
        <f>AC251+AC252</f>
        <v>858</v>
      </c>
      <c r="AD250" s="789"/>
      <c r="AE250" s="2406">
        <f>AE251+AE252</f>
        <v>887</v>
      </c>
      <c r="AF250" s="4490"/>
      <c r="AG250" s="547"/>
      <c r="AH250" s="547"/>
      <c r="AI250" s="4568" t="s">
        <v>919</v>
      </c>
      <c r="AJ250" s="18"/>
    </row>
    <row r="251" spans="2:36" ht="20.100000000000001" customHeight="1">
      <c r="B251" s="4505" t="s">
        <v>2281</v>
      </c>
      <c r="C251" s="4616"/>
      <c r="D251" s="490" t="s">
        <v>920</v>
      </c>
      <c r="E251" s="491"/>
      <c r="F251" s="285" t="s">
        <v>742</v>
      </c>
      <c r="G251" s="10236"/>
      <c r="H251" s="886"/>
      <c r="I251" s="358" t="s">
        <v>921</v>
      </c>
      <c r="J251" s="735"/>
      <c r="K251" s="109" t="s">
        <v>734</v>
      </c>
      <c r="L251" s="2398">
        <v>202</v>
      </c>
      <c r="M251" s="648" t="s">
        <v>748</v>
      </c>
      <c r="N251" s="649">
        <v>84</v>
      </c>
      <c r="O251" s="648" t="s">
        <v>748</v>
      </c>
      <c r="P251" s="2303"/>
      <c r="Q251" s="2398">
        <v>1213</v>
      </c>
      <c r="R251" s="648" t="s">
        <v>801</v>
      </c>
      <c r="S251" s="649">
        <v>2070</v>
      </c>
      <c r="T251" s="648" t="s">
        <v>801</v>
      </c>
      <c r="U251" s="2303"/>
      <c r="V251" s="2398">
        <v>103</v>
      </c>
      <c r="W251" s="648" t="s">
        <v>751</v>
      </c>
      <c r="X251" s="649">
        <v>74</v>
      </c>
      <c r="Y251" s="648" t="s">
        <v>751</v>
      </c>
      <c r="Z251" s="2303"/>
      <c r="AA251" s="2536">
        <v>675</v>
      </c>
      <c r="AB251" s="789"/>
      <c r="AC251" s="2537">
        <v>713</v>
      </c>
      <c r="AD251" s="789"/>
      <c r="AE251" s="2538">
        <v>793</v>
      </c>
      <c r="AF251" s="4490"/>
      <c r="AG251" s="547"/>
      <c r="AH251" s="547"/>
      <c r="AI251" s="4568" t="s">
        <v>922</v>
      </c>
      <c r="AJ251" s="18"/>
    </row>
    <row r="252" spans="2:36" ht="20.100000000000001" customHeight="1">
      <c r="B252" s="4505" t="s">
        <v>2281</v>
      </c>
      <c r="C252" s="4617"/>
      <c r="D252" s="490" t="s">
        <v>923</v>
      </c>
      <c r="E252" s="491"/>
      <c r="F252" s="285" t="s">
        <v>742</v>
      </c>
      <c r="G252" s="10236"/>
      <c r="H252" s="4512"/>
      <c r="I252" s="358" t="s">
        <v>924</v>
      </c>
      <c r="J252" s="735"/>
      <c r="K252" s="109" t="s">
        <v>734</v>
      </c>
      <c r="L252" s="2398">
        <v>235</v>
      </c>
      <c r="M252" s="648" t="s">
        <v>748</v>
      </c>
      <c r="N252" s="649">
        <v>147</v>
      </c>
      <c r="O252" s="648" t="s">
        <v>748</v>
      </c>
      <c r="P252" s="2303"/>
      <c r="Q252" s="2398">
        <v>29</v>
      </c>
      <c r="R252" s="648" t="s">
        <v>801</v>
      </c>
      <c r="S252" s="649">
        <v>10</v>
      </c>
      <c r="T252" s="648" t="s">
        <v>801</v>
      </c>
      <c r="U252" s="2303"/>
      <c r="V252" s="2398">
        <v>0</v>
      </c>
      <c r="W252" s="648" t="s">
        <v>751</v>
      </c>
      <c r="X252" s="649">
        <v>0</v>
      </c>
      <c r="Y252" s="648" t="s">
        <v>751</v>
      </c>
      <c r="Z252" s="2303"/>
      <c r="AA252" s="2536">
        <v>58</v>
      </c>
      <c r="AB252" s="789"/>
      <c r="AC252" s="2537">
        <v>145</v>
      </c>
      <c r="AD252" s="789"/>
      <c r="AE252" s="2538">
        <v>94</v>
      </c>
      <c r="AF252" s="4490"/>
      <c r="AG252" s="547"/>
      <c r="AH252" s="547"/>
      <c r="AI252" s="4568" t="s">
        <v>919</v>
      </c>
      <c r="AJ252" s="18"/>
    </row>
    <row r="253" spans="2:36" ht="20.100000000000001" customHeight="1">
      <c r="B253" s="4505" t="s">
        <v>2281</v>
      </c>
      <c r="C253" s="4618" t="s">
        <v>925</v>
      </c>
      <c r="D253" s="663"/>
      <c r="E253" s="663"/>
      <c r="F253" s="4614" t="s">
        <v>168</v>
      </c>
      <c r="G253" s="10236"/>
      <c r="H253" s="728" t="s">
        <v>926</v>
      </c>
      <c r="I253" s="739"/>
      <c r="J253" s="739"/>
      <c r="K253" s="731" t="s">
        <v>168</v>
      </c>
      <c r="L253" s="2399"/>
      <c r="M253" s="671"/>
      <c r="N253" s="734"/>
      <c r="O253" s="671"/>
      <c r="P253" s="2305"/>
      <c r="Q253" s="2399"/>
      <c r="R253" s="671"/>
      <c r="S253" s="734"/>
      <c r="T253" s="671"/>
      <c r="U253" s="2305"/>
      <c r="V253" s="2399"/>
      <c r="W253" s="671"/>
      <c r="X253" s="734"/>
      <c r="Y253" s="671"/>
      <c r="Z253" s="2305"/>
      <c r="AA253" s="5210"/>
      <c r="AB253" s="5211"/>
      <c r="AC253" s="5231"/>
      <c r="AD253" s="5211"/>
      <c r="AE253" s="5232"/>
      <c r="AF253" s="4585"/>
      <c r="AG253" s="4586"/>
      <c r="AH253" s="4586"/>
      <c r="AI253" s="4587"/>
      <c r="AJ253" s="18"/>
    </row>
    <row r="254" spans="2:36" ht="20.100000000000001" customHeight="1">
      <c r="B254" s="4505" t="s">
        <v>2281</v>
      </c>
      <c r="C254" s="4619"/>
      <c r="D254" s="490" t="s">
        <v>796</v>
      </c>
      <c r="E254" s="491"/>
      <c r="F254" s="285" t="s">
        <v>156</v>
      </c>
      <c r="G254" s="10236"/>
      <c r="H254" s="886"/>
      <c r="I254" s="490" t="s">
        <v>928</v>
      </c>
      <c r="J254" s="742"/>
      <c r="K254" s="109" t="s">
        <v>156</v>
      </c>
      <c r="L254" s="2302"/>
      <c r="M254" s="543"/>
      <c r="N254" s="542"/>
      <c r="O254" s="543"/>
      <c r="P254" s="2303"/>
      <c r="Q254" s="2302"/>
      <c r="R254" s="543"/>
      <c r="S254" s="542"/>
      <c r="T254" s="543"/>
      <c r="U254" s="2303"/>
      <c r="V254" s="2302"/>
      <c r="W254" s="543"/>
      <c r="X254" s="542"/>
      <c r="Y254" s="543"/>
      <c r="Z254" s="2303"/>
      <c r="AA254" s="5215">
        <v>0.58809999999999996</v>
      </c>
      <c r="AB254" s="789"/>
      <c r="AC254" s="5216">
        <v>0.54558204768583451</v>
      </c>
      <c r="AD254" s="789"/>
      <c r="AE254" s="5216">
        <v>0.5271122320302648</v>
      </c>
      <c r="AF254" s="4490"/>
      <c r="AG254" s="547"/>
      <c r="AH254" s="547"/>
      <c r="AI254" s="4568" t="s">
        <v>927</v>
      </c>
      <c r="AJ254" s="18"/>
    </row>
    <row r="255" spans="2:36" ht="20.100000000000001" customHeight="1">
      <c r="B255" s="4505" t="s">
        <v>2281</v>
      </c>
      <c r="C255" s="4620"/>
      <c r="D255" s="490" t="s">
        <v>802</v>
      </c>
      <c r="E255" s="491"/>
      <c r="F255" s="285" t="s">
        <v>156</v>
      </c>
      <c r="G255" s="10236"/>
      <c r="H255" s="4511"/>
      <c r="I255" s="490" t="s">
        <v>933</v>
      </c>
      <c r="J255" s="742"/>
      <c r="K255" s="109" t="s">
        <v>156</v>
      </c>
      <c r="L255" s="2302"/>
      <c r="M255" s="543"/>
      <c r="N255" s="542"/>
      <c r="O255" s="543"/>
      <c r="P255" s="2303"/>
      <c r="Q255" s="2302"/>
      <c r="R255" s="543"/>
      <c r="S255" s="542"/>
      <c r="T255" s="543"/>
      <c r="U255" s="2303"/>
      <c r="V255" s="2302"/>
      <c r="W255" s="543"/>
      <c r="X255" s="542"/>
      <c r="Y255" s="543"/>
      <c r="Z255" s="2303"/>
      <c r="AA255" s="5215">
        <v>0.4118</v>
      </c>
      <c r="AB255" s="789"/>
      <c r="AC255" s="5216">
        <v>0.45441795231416549</v>
      </c>
      <c r="AD255" s="789"/>
      <c r="AE255" s="5216">
        <v>0.4728877679697352</v>
      </c>
      <c r="AF255" s="4490"/>
      <c r="AG255" s="547"/>
      <c r="AH255" s="547"/>
      <c r="AI255" s="4568" t="s">
        <v>927</v>
      </c>
      <c r="AJ255" s="18"/>
    </row>
    <row r="256" spans="2:36" ht="20.100000000000001" customHeight="1">
      <c r="B256" s="4505" t="s">
        <v>2281</v>
      </c>
      <c r="C256" s="4620"/>
      <c r="D256" s="490" t="s">
        <v>823</v>
      </c>
      <c r="E256" s="491"/>
      <c r="F256" s="285" t="s">
        <v>156</v>
      </c>
      <c r="G256" s="10236"/>
      <c r="H256" s="4511"/>
      <c r="I256" s="490" t="s">
        <v>936</v>
      </c>
      <c r="J256" s="742"/>
      <c r="K256" s="109" t="s">
        <v>156</v>
      </c>
      <c r="L256" s="2302"/>
      <c r="M256" s="543"/>
      <c r="N256" s="542"/>
      <c r="O256" s="543"/>
      <c r="P256" s="2303"/>
      <c r="Q256" s="2302"/>
      <c r="R256" s="543"/>
      <c r="S256" s="542"/>
      <c r="T256" s="543"/>
      <c r="U256" s="2303"/>
      <c r="V256" s="2302"/>
      <c r="W256" s="543"/>
      <c r="X256" s="542"/>
      <c r="Y256" s="543"/>
      <c r="Z256" s="2303"/>
      <c r="AA256" s="5215">
        <v>0.79249999999999998</v>
      </c>
      <c r="AB256" s="789"/>
      <c r="AC256" s="5216">
        <v>0.92005610098176716</v>
      </c>
      <c r="AD256" s="789"/>
      <c r="AE256" s="5216">
        <v>0.86002522068095844</v>
      </c>
      <c r="AF256" s="4490"/>
      <c r="AG256" s="547"/>
      <c r="AH256" s="547"/>
      <c r="AI256" s="4568" t="s">
        <v>927</v>
      </c>
      <c r="AJ256" s="18"/>
    </row>
    <row r="257" spans="2:36" ht="20.100000000000001" customHeight="1">
      <c r="B257" s="4505" t="s">
        <v>2281</v>
      </c>
      <c r="C257" s="4620"/>
      <c r="D257" s="490" t="s">
        <v>827</v>
      </c>
      <c r="E257" s="491"/>
      <c r="F257" s="285" t="s">
        <v>156</v>
      </c>
      <c r="G257" s="10236"/>
      <c r="H257" s="4511"/>
      <c r="I257" s="490" t="s">
        <v>938</v>
      </c>
      <c r="J257" s="742"/>
      <c r="K257" s="109" t="s">
        <v>156</v>
      </c>
      <c r="L257" s="2302"/>
      <c r="M257" s="543"/>
      <c r="N257" s="542"/>
      <c r="O257" s="543"/>
      <c r="P257" s="2303"/>
      <c r="Q257" s="2302"/>
      <c r="R257" s="543"/>
      <c r="S257" s="542"/>
      <c r="T257" s="543"/>
      <c r="U257" s="2303"/>
      <c r="V257" s="2302"/>
      <c r="W257" s="543"/>
      <c r="X257" s="542"/>
      <c r="Y257" s="543"/>
      <c r="Z257" s="2303"/>
      <c r="AA257" s="5215">
        <v>0.2029</v>
      </c>
      <c r="AB257" s="789"/>
      <c r="AC257" s="5216">
        <v>7.7138849929873771E-2</v>
      </c>
      <c r="AD257" s="789"/>
      <c r="AE257" s="5216">
        <v>0.13114754098360656</v>
      </c>
      <c r="AF257" s="4490"/>
      <c r="AG257" s="547"/>
      <c r="AH257" s="547"/>
      <c r="AI257" s="4568" t="s">
        <v>927</v>
      </c>
      <c r="AJ257" s="18"/>
    </row>
    <row r="258" spans="2:36" ht="20.100000000000001" customHeight="1">
      <c r="B258" s="4505" t="s">
        <v>2281</v>
      </c>
      <c r="C258" s="4621"/>
      <c r="D258" s="490" t="s">
        <v>830</v>
      </c>
      <c r="E258" s="491"/>
      <c r="F258" s="285" t="s">
        <v>156</v>
      </c>
      <c r="G258" s="10236"/>
      <c r="H258" s="4512"/>
      <c r="I258" s="490" t="s">
        <v>940</v>
      </c>
      <c r="J258" s="742"/>
      <c r="K258" s="109" t="s">
        <v>156</v>
      </c>
      <c r="L258" s="2302"/>
      <c r="M258" s="543"/>
      <c r="N258" s="542"/>
      <c r="O258" s="543"/>
      <c r="P258" s="2303"/>
      <c r="Q258" s="2302"/>
      <c r="R258" s="543"/>
      <c r="S258" s="542"/>
      <c r="T258" s="543"/>
      <c r="U258" s="2303"/>
      <c r="V258" s="2302"/>
      <c r="W258" s="543"/>
      <c r="X258" s="542"/>
      <c r="Y258" s="543"/>
      <c r="Z258" s="2303"/>
      <c r="AA258" s="5215">
        <v>4.4000000000000003E-3</v>
      </c>
      <c r="AB258" s="789"/>
      <c r="AC258" s="5216">
        <v>2.8050490883590462E-3</v>
      </c>
      <c r="AD258" s="789"/>
      <c r="AE258" s="5216">
        <v>8.8272383354350576E-3</v>
      </c>
      <c r="AF258" s="4490"/>
      <c r="AG258" s="547"/>
      <c r="AH258" s="547"/>
      <c r="AI258" s="4568" t="s">
        <v>927</v>
      </c>
      <c r="AJ258" s="18"/>
    </row>
    <row r="259" spans="2:36" ht="20.100000000000001" customHeight="1">
      <c r="B259" s="4505" t="s">
        <v>2281</v>
      </c>
      <c r="C259" s="4618" t="s">
        <v>943</v>
      </c>
      <c r="D259" s="663"/>
      <c r="E259" s="663"/>
      <c r="F259" s="4614" t="s">
        <v>168</v>
      </c>
      <c r="G259" s="10236"/>
      <c r="H259" s="728" t="s">
        <v>944</v>
      </c>
      <c r="I259" s="744"/>
      <c r="J259" s="739"/>
      <c r="K259" s="731" t="s">
        <v>168</v>
      </c>
      <c r="L259" s="2275"/>
      <c r="M259" s="413"/>
      <c r="N259" s="320"/>
      <c r="O259" s="413"/>
      <c r="P259" s="2276"/>
      <c r="Q259" s="2275"/>
      <c r="R259" s="413"/>
      <c r="S259" s="320"/>
      <c r="T259" s="413"/>
      <c r="U259" s="2276"/>
      <c r="V259" s="2275"/>
      <c r="W259" s="413"/>
      <c r="X259" s="320"/>
      <c r="Y259" s="413"/>
      <c r="Z259" s="2276"/>
      <c r="AA259" s="5236"/>
      <c r="AB259" s="5213"/>
      <c r="AC259" s="5212"/>
      <c r="AD259" s="5213"/>
      <c r="AE259" s="5214"/>
      <c r="AF259" s="4585"/>
      <c r="AG259" s="4586"/>
      <c r="AH259" s="4586"/>
      <c r="AI259" s="4587"/>
      <c r="AJ259" s="18"/>
    </row>
    <row r="260" spans="2:36" ht="20.100000000000001" customHeight="1">
      <c r="B260" s="4505" t="s">
        <v>2281</v>
      </c>
      <c r="C260" s="4619"/>
      <c r="D260" s="490" t="s">
        <v>796</v>
      </c>
      <c r="E260" s="491"/>
      <c r="F260" s="285" t="s">
        <v>156</v>
      </c>
      <c r="G260" s="10236"/>
      <c r="H260" s="886"/>
      <c r="I260" s="490" t="s">
        <v>928</v>
      </c>
      <c r="J260" s="742"/>
      <c r="K260" s="109" t="s">
        <v>156</v>
      </c>
      <c r="L260" s="2186"/>
      <c r="M260" s="293"/>
      <c r="N260" s="100"/>
      <c r="O260" s="293"/>
      <c r="P260" s="2187"/>
      <c r="Q260" s="2186"/>
      <c r="R260" s="293"/>
      <c r="S260" s="100"/>
      <c r="T260" s="293"/>
      <c r="U260" s="2187"/>
      <c r="V260" s="2186"/>
      <c r="W260" s="293"/>
      <c r="X260" s="100"/>
      <c r="Y260" s="293"/>
      <c r="Z260" s="2187"/>
      <c r="AA260" s="5215">
        <v>0.65510000000000002</v>
      </c>
      <c r="AB260" s="448"/>
      <c r="AC260" s="5216">
        <v>0.52413793103448281</v>
      </c>
      <c r="AD260" s="448"/>
      <c r="AE260" s="5216">
        <v>0.52127659574468088</v>
      </c>
      <c r="AF260" s="4490"/>
      <c r="AG260" s="547"/>
      <c r="AH260" s="547"/>
      <c r="AI260" s="4568" t="s">
        <v>919</v>
      </c>
      <c r="AJ260" s="18"/>
    </row>
    <row r="261" spans="2:36" ht="20.100000000000001" customHeight="1">
      <c r="B261" s="4505" t="s">
        <v>2281</v>
      </c>
      <c r="C261" s="4620"/>
      <c r="D261" s="490" t="s">
        <v>802</v>
      </c>
      <c r="E261" s="491"/>
      <c r="F261" s="285" t="s">
        <v>156</v>
      </c>
      <c r="G261" s="10236"/>
      <c r="H261" s="4511"/>
      <c r="I261" s="490" t="s">
        <v>933</v>
      </c>
      <c r="J261" s="742"/>
      <c r="K261" s="109" t="s">
        <v>156</v>
      </c>
      <c r="L261" s="2186"/>
      <c r="M261" s="293"/>
      <c r="N261" s="100"/>
      <c r="O261" s="293"/>
      <c r="P261" s="2187"/>
      <c r="Q261" s="2186"/>
      <c r="R261" s="293"/>
      <c r="S261" s="100"/>
      <c r="T261" s="293"/>
      <c r="U261" s="2187"/>
      <c r="V261" s="2186"/>
      <c r="W261" s="293"/>
      <c r="X261" s="100"/>
      <c r="Y261" s="293"/>
      <c r="Z261" s="2187"/>
      <c r="AA261" s="5215">
        <v>0.3448</v>
      </c>
      <c r="AB261" s="448"/>
      <c r="AC261" s="5216">
        <v>0.47586206896551725</v>
      </c>
      <c r="AD261" s="448"/>
      <c r="AE261" s="5216">
        <v>0.47872340425531917</v>
      </c>
      <c r="AF261" s="4490"/>
      <c r="AG261" s="547"/>
      <c r="AH261" s="547"/>
      <c r="AI261" s="4568" t="s">
        <v>919</v>
      </c>
      <c r="AJ261" s="18"/>
    </row>
    <row r="262" spans="2:36" ht="20.100000000000001" customHeight="1">
      <c r="B262" s="4505" t="s">
        <v>2281</v>
      </c>
      <c r="C262" s="4620"/>
      <c r="D262" s="490" t="s">
        <v>823</v>
      </c>
      <c r="E262" s="491"/>
      <c r="F262" s="285" t="s">
        <v>156</v>
      </c>
      <c r="G262" s="10236"/>
      <c r="H262" s="4511"/>
      <c r="I262" s="490" t="s">
        <v>936</v>
      </c>
      <c r="J262" s="742"/>
      <c r="K262" s="109" t="s">
        <v>156</v>
      </c>
      <c r="L262" s="2186"/>
      <c r="M262" s="293"/>
      <c r="N262" s="100"/>
      <c r="O262" s="293"/>
      <c r="P262" s="2187"/>
      <c r="Q262" s="2186"/>
      <c r="R262" s="293"/>
      <c r="S262" s="100"/>
      <c r="T262" s="293"/>
      <c r="U262" s="2187"/>
      <c r="V262" s="2186"/>
      <c r="W262" s="293"/>
      <c r="X262" s="100"/>
      <c r="Y262" s="293"/>
      <c r="Z262" s="2187"/>
      <c r="AA262" s="5215">
        <v>0.43099999999999999</v>
      </c>
      <c r="AB262" s="448"/>
      <c r="AC262" s="5216">
        <v>0.35862068965517241</v>
      </c>
      <c r="AD262" s="448"/>
      <c r="AE262" s="5216">
        <v>0.7021276595744681</v>
      </c>
      <c r="AF262" s="4490"/>
      <c r="AG262" s="547"/>
      <c r="AH262" s="547"/>
      <c r="AI262" s="4568" t="s">
        <v>919</v>
      </c>
      <c r="AJ262" s="18"/>
    </row>
    <row r="263" spans="2:36" ht="20.100000000000001" customHeight="1">
      <c r="B263" s="4505" t="s">
        <v>2281</v>
      </c>
      <c r="C263" s="4622"/>
      <c r="D263" s="726" t="s">
        <v>827</v>
      </c>
      <c r="E263" s="721"/>
      <c r="F263" s="105" t="s">
        <v>156</v>
      </c>
      <c r="G263" s="10236"/>
      <c r="H263" s="4511"/>
      <c r="I263" s="726" t="s">
        <v>938</v>
      </c>
      <c r="J263" s="742"/>
      <c r="K263" s="109" t="s">
        <v>156</v>
      </c>
      <c r="L263" s="2186"/>
      <c r="M263" s="293"/>
      <c r="N263" s="100"/>
      <c r="O263" s="293"/>
      <c r="P263" s="2187"/>
      <c r="Q263" s="2186"/>
      <c r="R263" s="293"/>
      <c r="S263" s="100"/>
      <c r="T263" s="293"/>
      <c r="U263" s="2187"/>
      <c r="V263" s="2186"/>
      <c r="W263" s="293"/>
      <c r="X263" s="100"/>
      <c r="Y263" s="293"/>
      <c r="Z263" s="2187"/>
      <c r="AA263" s="5215">
        <v>0.55169999999999997</v>
      </c>
      <c r="AB263" s="448"/>
      <c r="AC263" s="5216">
        <v>0.11724137931034483</v>
      </c>
      <c r="AD263" s="448"/>
      <c r="AE263" s="5216">
        <v>0.2978723404255319</v>
      </c>
      <c r="AF263" s="4490"/>
      <c r="AG263" s="547"/>
      <c r="AH263" s="547"/>
      <c r="AI263" s="4568" t="s">
        <v>919</v>
      </c>
      <c r="AJ263" s="18"/>
    </row>
    <row r="264" spans="2:36" ht="20.100000000000001" customHeight="1" thickBot="1">
      <c r="B264" s="4505" t="s">
        <v>2281</v>
      </c>
      <c r="C264" s="4623"/>
      <c r="D264" s="726" t="s">
        <v>830</v>
      </c>
      <c r="E264" s="721"/>
      <c r="F264" s="706" t="s">
        <v>156</v>
      </c>
      <c r="G264" s="10237"/>
      <c r="H264" s="4624"/>
      <c r="I264" s="747" t="s">
        <v>940</v>
      </c>
      <c r="J264" s="748"/>
      <c r="K264" s="711" t="s">
        <v>156</v>
      </c>
      <c r="L264" s="2244"/>
      <c r="M264" s="594"/>
      <c r="N264" s="593"/>
      <c r="O264" s="594"/>
      <c r="P264" s="2245"/>
      <c r="Q264" s="2244"/>
      <c r="R264" s="594"/>
      <c r="S264" s="593"/>
      <c r="T264" s="594"/>
      <c r="U264" s="2245"/>
      <c r="V264" s="2244"/>
      <c r="W264" s="594"/>
      <c r="X264" s="593"/>
      <c r="Y264" s="594"/>
      <c r="Z264" s="2245"/>
      <c r="AA264" s="5215">
        <v>1.72E-2</v>
      </c>
      <c r="AB264" s="1959"/>
      <c r="AC264" s="5216">
        <v>0</v>
      </c>
      <c r="AD264" s="1959"/>
      <c r="AE264" s="5216">
        <v>0</v>
      </c>
      <c r="AF264" s="4625"/>
      <c r="AG264" s="547"/>
      <c r="AH264" s="597"/>
      <c r="AI264" s="4568" t="s">
        <v>919</v>
      </c>
      <c r="AJ264" s="18"/>
    </row>
    <row r="265" spans="2:36" ht="27" thickBot="1">
      <c r="B265" s="4505" t="s">
        <v>2281</v>
      </c>
      <c r="C265" s="123" t="s">
        <v>952</v>
      </c>
      <c r="D265" s="124"/>
      <c r="E265" s="124"/>
      <c r="F265" s="78"/>
      <c r="G265" s="125" t="s">
        <v>953</v>
      </c>
      <c r="H265" s="126"/>
      <c r="I265" s="521"/>
      <c r="J265" s="521"/>
      <c r="K265" s="78"/>
      <c r="L265" s="2175"/>
      <c r="M265" s="148"/>
      <c r="N265" s="148"/>
      <c r="O265" s="148"/>
      <c r="P265" s="2176"/>
      <c r="Q265" s="2175"/>
      <c r="R265" s="148"/>
      <c r="S265" s="148"/>
      <c r="T265" s="148"/>
      <c r="U265" s="2176"/>
      <c r="V265" s="2175"/>
      <c r="W265" s="148"/>
      <c r="X265" s="148"/>
      <c r="Y265" s="148"/>
      <c r="Z265" s="2176"/>
      <c r="AA265" s="5237"/>
      <c r="AB265" s="1423"/>
      <c r="AC265" s="1423"/>
      <c r="AD265" s="1423"/>
      <c r="AE265" s="5238"/>
      <c r="AF265" s="4493"/>
      <c r="AG265" s="80"/>
      <c r="AH265" s="80"/>
      <c r="AI265" s="4626"/>
      <c r="AJ265" s="18"/>
    </row>
    <row r="266" spans="2:36" ht="20.100000000000001" hidden="1" customHeight="1" thickBot="1">
      <c r="B266" s="4505" t="s">
        <v>2281</v>
      </c>
      <c r="C266" s="4627" t="s">
        <v>954</v>
      </c>
      <c r="D266" s="753"/>
      <c r="E266" s="754"/>
      <c r="F266" s="755" t="s">
        <v>557</v>
      </c>
      <c r="G266" s="756"/>
      <c r="H266" s="757" t="s">
        <v>955</v>
      </c>
      <c r="I266" s="757"/>
      <c r="J266" s="788"/>
      <c r="K266" s="758" t="s">
        <v>559</v>
      </c>
      <c r="L266" s="2402">
        <v>0</v>
      </c>
      <c r="M266" s="764">
        <v>0</v>
      </c>
      <c r="N266" s="765">
        <v>0</v>
      </c>
      <c r="O266" s="764">
        <v>0</v>
      </c>
      <c r="P266" s="2403"/>
      <c r="Q266" s="2402">
        <v>0</v>
      </c>
      <c r="R266" s="764">
        <v>0</v>
      </c>
      <c r="S266" s="765">
        <v>0</v>
      </c>
      <c r="T266" s="764">
        <v>0</v>
      </c>
      <c r="U266" s="2403"/>
      <c r="V266" s="2402">
        <v>0</v>
      </c>
      <c r="W266" s="764">
        <v>0</v>
      </c>
      <c r="X266" s="765">
        <v>0</v>
      </c>
      <c r="Y266" s="764">
        <v>0</v>
      </c>
      <c r="Z266" s="2403"/>
      <c r="AA266" s="5239"/>
      <c r="AB266" s="5240"/>
      <c r="AC266" s="5241"/>
      <c r="AD266" s="5240"/>
      <c r="AE266" s="5242"/>
      <c r="AF266" s="4578"/>
      <c r="AG266" s="534"/>
      <c r="AH266" s="767"/>
      <c r="AI266" s="4628" t="s">
        <v>958</v>
      </c>
      <c r="AJ266" s="18"/>
    </row>
    <row r="267" spans="2:36" ht="20.100000000000001" hidden="1" customHeight="1">
      <c r="B267" s="4505" t="s">
        <v>2281</v>
      </c>
      <c r="C267" s="4627" t="s">
        <v>961</v>
      </c>
      <c r="D267" s="753"/>
      <c r="E267" s="754"/>
      <c r="F267" s="285" t="s">
        <v>557</v>
      </c>
      <c r="G267" s="771"/>
      <c r="H267" s="757" t="s">
        <v>962</v>
      </c>
      <c r="I267" s="757"/>
      <c r="J267" s="788"/>
      <c r="K267" s="162" t="s">
        <v>559</v>
      </c>
      <c r="L267" s="2404">
        <v>0</v>
      </c>
      <c r="M267" s="484">
        <v>0</v>
      </c>
      <c r="N267" s="702">
        <v>0</v>
      </c>
      <c r="O267" s="484">
        <v>0</v>
      </c>
      <c r="P267" s="2187"/>
      <c r="Q267" s="2404">
        <v>0</v>
      </c>
      <c r="R267" s="484">
        <v>0</v>
      </c>
      <c r="S267" s="702">
        <v>0</v>
      </c>
      <c r="T267" s="484">
        <v>0</v>
      </c>
      <c r="U267" s="2187"/>
      <c r="V267" s="2404">
        <v>0</v>
      </c>
      <c r="W267" s="484">
        <v>0</v>
      </c>
      <c r="X267" s="702">
        <v>0</v>
      </c>
      <c r="Y267" s="484">
        <v>0</v>
      </c>
      <c r="Z267" s="2187"/>
      <c r="AA267" s="2339"/>
      <c r="AB267" s="5243"/>
      <c r="AC267" s="474"/>
      <c r="AD267" s="5243"/>
      <c r="AE267" s="2340"/>
      <c r="AF267" s="4490"/>
      <c r="AG267" s="547"/>
      <c r="AH267" s="773"/>
      <c r="AI267" s="4629" t="s">
        <v>965</v>
      </c>
      <c r="AJ267" s="18"/>
    </row>
    <row r="268" spans="2:36" ht="20.100000000000001" customHeight="1">
      <c r="B268" s="4509" t="s">
        <v>2281</v>
      </c>
      <c r="C268" s="4627" t="s">
        <v>967</v>
      </c>
      <c r="D268" s="753"/>
      <c r="E268" s="754"/>
      <c r="F268" s="285" t="s">
        <v>168</v>
      </c>
      <c r="G268" s="777"/>
      <c r="H268" s="757" t="s">
        <v>968</v>
      </c>
      <c r="I268" s="757"/>
      <c r="J268" s="788"/>
      <c r="K268" s="778" t="s">
        <v>168</v>
      </c>
      <c r="L268" s="2404"/>
      <c r="M268" s="484"/>
      <c r="N268" s="702"/>
      <c r="O268" s="484"/>
      <c r="P268" s="2187"/>
      <c r="Q268" s="2404"/>
      <c r="R268" s="484"/>
      <c r="S268" s="702"/>
      <c r="T268" s="484"/>
      <c r="U268" s="2187"/>
      <c r="V268" s="2404"/>
      <c r="W268" s="484"/>
      <c r="X268" s="702"/>
      <c r="Y268" s="484"/>
      <c r="Z268" s="2187"/>
      <c r="AA268" s="5217" t="s">
        <v>641</v>
      </c>
      <c r="AB268" s="5218"/>
      <c r="AC268" s="5219" t="s">
        <v>641</v>
      </c>
      <c r="AD268" s="5218"/>
      <c r="AE268" s="5220" t="s">
        <v>641</v>
      </c>
      <c r="AF268" s="4490"/>
      <c r="AG268" s="547"/>
      <c r="AH268" s="773"/>
      <c r="AI268" s="4630" t="s">
        <v>971</v>
      </c>
      <c r="AJ268" s="18"/>
    </row>
    <row r="269" spans="2:36" ht="20.100000000000001" hidden="1" customHeight="1">
      <c r="B269" s="4505" t="s">
        <v>2281</v>
      </c>
      <c r="C269" s="1878" t="s">
        <v>972</v>
      </c>
      <c r="D269" s="781"/>
      <c r="E269" s="781"/>
      <c r="F269" s="285" t="s">
        <v>156</v>
      </c>
      <c r="G269" s="777"/>
      <c r="H269" s="757" t="s">
        <v>973</v>
      </c>
      <c r="I269" s="757"/>
      <c r="J269" s="788"/>
      <c r="K269" s="782" t="s">
        <v>156</v>
      </c>
      <c r="L269" s="2405" t="str">
        <f t="shared" ref="L269" si="16">IFERROR(L270/L271*100,"-")</f>
        <v>-</v>
      </c>
      <c r="M269" s="652"/>
      <c r="N269" s="783" t="str">
        <f>IFERROR(N270/N271*100,"-")</f>
        <v>-</v>
      </c>
      <c r="O269" s="652"/>
      <c r="P269" s="2406" t="str">
        <f>IFERROR(P270/P271*100,"-")</f>
        <v>-</v>
      </c>
      <c r="Q269" s="2405">
        <f>IFERROR(Q270/Q271*100,"-")</f>
        <v>100</v>
      </c>
      <c r="R269" s="652"/>
      <c r="S269" s="783">
        <f>IFERROR(S270/S271*100,"-")</f>
        <v>26.343154246100518</v>
      </c>
      <c r="T269" s="652"/>
      <c r="U269" s="2406" t="str">
        <f>IFERROR(U270/U271*100,"-")</f>
        <v>-</v>
      </c>
      <c r="V269" s="2405">
        <f>IFERROR(V270/V271*100,"-")</f>
        <v>100</v>
      </c>
      <c r="W269" s="652"/>
      <c r="X269" s="783">
        <f>IFERROR(X270/X271*100,"-")</f>
        <v>0</v>
      </c>
      <c r="Y269" s="652"/>
      <c r="Z269" s="2406" t="str">
        <f>IFERROR(Z270/Z271*100,"-")</f>
        <v>-</v>
      </c>
      <c r="AA269" s="2405" t="str">
        <f>IFERROR(AA270/AA271*100,"-")</f>
        <v>-</v>
      </c>
      <c r="AB269" s="790"/>
      <c r="AC269" s="783" t="str">
        <f>IFERROR(AC270/AC271*100,"-")</f>
        <v>-</v>
      </c>
      <c r="AD269" s="790"/>
      <c r="AE269" s="2406" t="str">
        <f>IFERROR(AE270/AE271*100,"-")</f>
        <v>-</v>
      </c>
      <c r="AF269" s="4490"/>
      <c r="AG269" s="547"/>
      <c r="AH269" s="773"/>
      <c r="AI269" s="4631" t="s">
        <v>976</v>
      </c>
      <c r="AJ269" s="18"/>
    </row>
    <row r="270" spans="2:36" ht="20.100000000000001" hidden="1" customHeight="1">
      <c r="B270" s="4505" t="s">
        <v>2281</v>
      </c>
      <c r="C270" s="4632"/>
      <c r="D270" s="787" t="s">
        <v>978</v>
      </c>
      <c r="E270" s="781"/>
      <c r="F270" s="285" t="s">
        <v>742</v>
      </c>
      <c r="G270" s="771"/>
      <c r="H270" s="905"/>
      <c r="I270" s="788" t="s">
        <v>979</v>
      </c>
      <c r="J270" s="788"/>
      <c r="K270" s="782" t="s">
        <v>734</v>
      </c>
      <c r="L270" s="2398">
        <v>0</v>
      </c>
      <c r="M270" s="652">
        <v>0</v>
      </c>
      <c r="N270" s="649">
        <v>0</v>
      </c>
      <c r="O270" s="652">
        <v>0</v>
      </c>
      <c r="P270" s="2303"/>
      <c r="Q270" s="2398">
        <v>564</v>
      </c>
      <c r="R270" s="737" t="s">
        <v>2422</v>
      </c>
      <c r="S270" s="649">
        <v>152</v>
      </c>
      <c r="T270" s="737" t="s">
        <v>2423</v>
      </c>
      <c r="U270" s="2303"/>
      <c r="V270" s="2398">
        <v>379</v>
      </c>
      <c r="W270" s="792" t="s">
        <v>2424</v>
      </c>
      <c r="X270" s="649">
        <v>0</v>
      </c>
      <c r="Y270" s="737" t="s">
        <v>2425</v>
      </c>
      <c r="Z270" s="2303"/>
      <c r="AA270" s="2536"/>
      <c r="AB270" s="790"/>
      <c r="AC270" s="2537"/>
      <c r="AD270" s="790"/>
      <c r="AE270" s="2538"/>
      <c r="AF270" s="4490"/>
      <c r="AG270" s="547"/>
      <c r="AH270" s="773"/>
      <c r="AI270" s="4633" t="s">
        <v>976</v>
      </c>
      <c r="AJ270" s="18"/>
    </row>
    <row r="271" spans="2:36" ht="20.100000000000001" hidden="1" customHeight="1">
      <c r="B271" s="4505" t="s">
        <v>2281</v>
      </c>
      <c r="C271" s="4634"/>
      <c r="D271" s="787" t="s">
        <v>984</v>
      </c>
      <c r="E271" s="781"/>
      <c r="F271" s="285" t="s">
        <v>742</v>
      </c>
      <c r="G271" s="771"/>
      <c r="H271" s="912"/>
      <c r="I271" s="788" t="s">
        <v>985</v>
      </c>
      <c r="J271" s="788"/>
      <c r="K271" s="782" t="s">
        <v>734</v>
      </c>
      <c r="L271" s="2398">
        <v>0</v>
      </c>
      <c r="M271" s="652">
        <v>0</v>
      </c>
      <c r="N271" s="649">
        <v>0</v>
      </c>
      <c r="O271" s="652">
        <v>0</v>
      </c>
      <c r="P271" s="2303"/>
      <c r="Q271" s="2398">
        <v>564</v>
      </c>
      <c r="R271" s="652">
        <v>0</v>
      </c>
      <c r="S271" s="649">
        <v>577</v>
      </c>
      <c r="T271" s="652">
        <v>0</v>
      </c>
      <c r="U271" s="2303"/>
      <c r="V271" s="2398">
        <v>379</v>
      </c>
      <c r="W271" s="652">
        <v>0</v>
      </c>
      <c r="X271" s="649">
        <v>391</v>
      </c>
      <c r="Y271" s="652">
        <v>0</v>
      </c>
      <c r="Z271" s="2303"/>
      <c r="AA271" s="2536"/>
      <c r="AB271" s="790"/>
      <c r="AC271" s="2537"/>
      <c r="AD271" s="790"/>
      <c r="AE271" s="2538"/>
      <c r="AF271" s="4490"/>
      <c r="AG271" s="547"/>
      <c r="AH271" s="773"/>
      <c r="AI271" s="4633" t="s">
        <v>976</v>
      </c>
      <c r="AJ271" s="18"/>
    </row>
    <row r="272" spans="2:36" ht="20.100000000000001" hidden="1" customHeight="1">
      <c r="B272" s="4505" t="s">
        <v>2281</v>
      </c>
      <c r="C272" s="1878" t="s">
        <v>988</v>
      </c>
      <c r="D272" s="781"/>
      <c r="E272" s="781"/>
      <c r="F272" s="285" t="s">
        <v>156</v>
      </c>
      <c r="G272" s="386"/>
      <c r="H272" s="140" t="s">
        <v>989</v>
      </c>
      <c r="I272" s="140"/>
      <c r="J272" s="177"/>
      <c r="K272" s="782" t="s">
        <v>156</v>
      </c>
      <c r="L272" s="2265" t="str">
        <f t="shared" ref="L272" si="17">IFERROR(L273/L274*100,"-")</f>
        <v>-</v>
      </c>
      <c r="M272" s="484"/>
      <c r="N272" s="785" t="str">
        <f>IFERROR(N273/N274*100,"-")</f>
        <v>-</v>
      </c>
      <c r="O272" s="484"/>
      <c r="P272" s="2266" t="str">
        <f>IFERROR(P273/P274*100,"-")</f>
        <v>-</v>
      </c>
      <c r="Q272" s="2265">
        <f>IFERROR(Q273/Q274*100,"-")</f>
        <v>0</v>
      </c>
      <c r="R272" s="484"/>
      <c r="S272" s="785">
        <f>IFERROR(S273/S274*100,"-")</f>
        <v>0</v>
      </c>
      <c r="T272" s="484"/>
      <c r="U272" s="2266" t="str">
        <f>IFERROR(U273/U274*100,"-")</f>
        <v>-</v>
      </c>
      <c r="V272" s="2265">
        <f>IFERROR(V273/V274*100,"-")</f>
        <v>0</v>
      </c>
      <c r="W272" s="484"/>
      <c r="X272" s="785">
        <f>IFERROR(X273/X274*100,"-")</f>
        <v>0</v>
      </c>
      <c r="Y272" s="484"/>
      <c r="Z272" s="2266" t="str">
        <f>IFERROR(Z273/Z274*100,"-")</f>
        <v>-</v>
      </c>
      <c r="AA272" s="2265" t="str">
        <f>IFERROR(AA273/AA274*100,"-")</f>
        <v>-</v>
      </c>
      <c r="AB272" s="5243"/>
      <c r="AC272" s="785" t="str">
        <f>IFERROR(AC273/AC274*100,"-")</f>
        <v>-</v>
      </c>
      <c r="AD272" s="5243"/>
      <c r="AE272" s="2266" t="str">
        <f>IFERROR(AE273/AE274*100,"-")</f>
        <v>-</v>
      </c>
      <c r="AF272" s="4490"/>
      <c r="AG272" s="547"/>
      <c r="AH272" s="773"/>
      <c r="AI272" s="4633" t="s">
        <v>992</v>
      </c>
      <c r="AJ272" s="18"/>
    </row>
    <row r="273" spans="2:36" ht="20.100000000000001" hidden="1" customHeight="1">
      <c r="B273" s="4505" t="s">
        <v>2281</v>
      </c>
      <c r="C273" s="4619"/>
      <c r="D273" s="787" t="s">
        <v>994</v>
      </c>
      <c r="E273" s="781"/>
      <c r="F273" s="285" t="s">
        <v>742</v>
      </c>
      <c r="G273" s="201"/>
      <c r="H273" s="574"/>
      <c r="I273" s="576" t="s">
        <v>995</v>
      </c>
      <c r="J273" s="576"/>
      <c r="K273" s="782" t="s">
        <v>734</v>
      </c>
      <c r="L273" s="2398">
        <v>0</v>
      </c>
      <c r="M273" s="652">
        <v>0</v>
      </c>
      <c r="N273" s="649">
        <v>0</v>
      </c>
      <c r="O273" s="652">
        <v>0</v>
      </c>
      <c r="P273" s="2303"/>
      <c r="Q273" s="2398">
        <v>0</v>
      </c>
      <c r="R273" s="652">
        <v>0</v>
      </c>
      <c r="S273" s="649">
        <v>0</v>
      </c>
      <c r="T273" s="652">
        <v>0</v>
      </c>
      <c r="U273" s="2303"/>
      <c r="V273" s="2398">
        <v>0</v>
      </c>
      <c r="W273" s="737" t="s">
        <v>2429</v>
      </c>
      <c r="X273" s="649">
        <v>0</v>
      </c>
      <c r="Y273" s="737" t="s">
        <v>2429</v>
      </c>
      <c r="Z273" s="2303"/>
      <c r="AA273" s="2536"/>
      <c r="AB273" s="790"/>
      <c r="AC273" s="2537"/>
      <c r="AD273" s="790"/>
      <c r="AE273" s="2538"/>
      <c r="AF273" s="4490"/>
      <c r="AG273" s="547"/>
      <c r="AH273" s="1102"/>
      <c r="AI273" s="4633" t="s">
        <v>992</v>
      </c>
      <c r="AJ273" s="18"/>
    </row>
    <row r="274" spans="2:36" ht="20.100000000000001" hidden="1" customHeight="1">
      <c r="B274" s="4505" t="s">
        <v>2281</v>
      </c>
      <c r="C274" s="4621"/>
      <c r="D274" s="781" t="s">
        <v>999</v>
      </c>
      <c r="E274" s="793"/>
      <c r="F274" s="285" t="s">
        <v>742</v>
      </c>
      <c r="G274" s="201"/>
      <c r="H274" s="577"/>
      <c r="I274" s="576" t="s">
        <v>1830</v>
      </c>
      <c r="J274" s="576"/>
      <c r="K274" s="782" t="s">
        <v>734</v>
      </c>
      <c r="L274" s="2398">
        <v>0</v>
      </c>
      <c r="M274" s="652">
        <v>0</v>
      </c>
      <c r="N274" s="649">
        <v>0</v>
      </c>
      <c r="O274" s="652">
        <v>0</v>
      </c>
      <c r="P274" s="2303"/>
      <c r="Q274" s="2398">
        <v>564</v>
      </c>
      <c r="R274" s="652">
        <v>0</v>
      </c>
      <c r="S274" s="649">
        <v>577</v>
      </c>
      <c r="T274" s="652">
        <v>0</v>
      </c>
      <c r="U274" s="2303"/>
      <c r="V274" s="2398">
        <v>379</v>
      </c>
      <c r="W274" s="737">
        <v>0</v>
      </c>
      <c r="X274" s="649">
        <v>391</v>
      </c>
      <c r="Y274" s="737">
        <v>0</v>
      </c>
      <c r="Z274" s="2303"/>
      <c r="AA274" s="2536"/>
      <c r="AB274" s="790"/>
      <c r="AC274" s="2537"/>
      <c r="AD274" s="790"/>
      <c r="AE274" s="2538"/>
      <c r="AF274" s="4490"/>
      <c r="AG274" s="4635"/>
      <c r="AH274" s="547"/>
      <c r="AI274" s="4633" t="s">
        <v>992</v>
      </c>
      <c r="AJ274" s="18"/>
    </row>
    <row r="275" spans="2:36" ht="20.100000000000001" hidden="1" customHeight="1">
      <c r="B275" s="4636" t="s">
        <v>2281</v>
      </c>
      <c r="C275" s="4637" t="s">
        <v>1000</v>
      </c>
      <c r="D275" s="107"/>
      <c r="E275" s="107"/>
      <c r="F275" s="285" t="s">
        <v>156</v>
      </c>
      <c r="G275" s="10238" t="s">
        <v>3494</v>
      </c>
      <c r="H275" s="576" t="s">
        <v>1001</v>
      </c>
      <c r="I275" s="576"/>
      <c r="J275" s="797"/>
      <c r="K275" s="91" t="s">
        <v>156</v>
      </c>
      <c r="L275" s="4638"/>
      <c r="M275" s="4639"/>
      <c r="N275" s="4640"/>
      <c r="O275" s="4639"/>
      <c r="P275" s="4641"/>
      <c r="Q275" s="2457">
        <v>12.23404255319149</v>
      </c>
      <c r="R275" s="804"/>
      <c r="S275" s="806">
        <v>15.771230502599654</v>
      </c>
      <c r="T275" s="804"/>
      <c r="U275" s="2301"/>
      <c r="V275" s="4638"/>
      <c r="W275" s="4639"/>
      <c r="X275" s="4640"/>
      <c r="Y275" s="4639"/>
      <c r="Z275" s="4641"/>
      <c r="AA275" s="5244"/>
      <c r="AB275" s="5245"/>
      <c r="AC275" s="5246"/>
      <c r="AD275" s="5245"/>
      <c r="AE275" s="5247"/>
      <c r="AF275" s="4589"/>
      <c r="AG275" s="547"/>
      <c r="AH275" s="4642"/>
      <c r="AI275" s="4633" t="s">
        <v>1003</v>
      </c>
      <c r="AJ275" s="18"/>
    </row>
    <row r="276" spans="2:36" ht="20.100000000000001" hidden="1" customHeight="1">
      <c r="B276" s="4636" t="s">
        <v>2281</v>
      </c>
      <c r="C276" s="1758" t="s">
        <v>1006</v>
      </c>
      <c r="D276" s="104"/>
      <c r="E276" s="104"/>
      <c r="F276" s="809" t="s">
        <v>742</v>
      </c>
      <c r="G276" s="10239"/>
      <c r="H276" s="143" t="s">
        <v>1007</v>
      </c>
      <c r="I276" s="143"/>
      <c r="K276" s="810" t="s">
        <v>734</v>
      </c>
      <c r="L276" s="4643"/>
      <c r="M276" s="4644"/>
      <c r="N276" s="4645"/>
      <c r="O276" s="4644"/>
      <c r="P276" s="4646"/>
      <c r="Q276" s="2398">
        <v>69</v>
      </c>
      <c r="R276" s="543"/>
      <c r="S276" s="649">
        <v>91</v>
      </c>
      <c r="T276" s="543"/>
      <c r="U276" s="2303"/>
      <c r="V276" s="4643"/>
      <c r="W276" s="4644"/>
      <c r="X276" s="4645"/>
      <c r="Y276" s="4644"/>
      <c r="Z276" s="4646"/>
      <c r="AA276" s="5248"/>
      <c r="AB276" s="5249"/>
      <c r="AC276" s="5250"/>
      <c r="AD276" s="5249"/>
      <c r="AE276" s="5251"/>
      <c r="AF276" s="4490"/>
      <c r="AG276" s="547"/>
      <c r="AH276" s="4647"/>
      <c r="AI276" s="4633" t="s">
        <v>1003</v>
      </c>
      <c r="AJ276" s="18"/>
    </row>
    <row r="277" spans="2:36" ht="20.100000000000001" customHeight="1" thickBot="1">
      <c r="B277" s="4505" t="s">
        <v>2281</v>
      </c>
      <c r="C277" s="4648" t="s">
        <v>1010</v>
      </c>
      <c r="D277" s="120"/>
      <c r="E277" s="120"/>
      <c r="F277" s="811" t="s">
        <v>1011</v>
      </c>
      <c r="G277" s="812"/>
      <c r="H277" s="813" t="s">
        <v>1012</v>
      </c>
      <c r="I277" s="813"/>
      <c r="J277" s="576"/>
      <c r="K277" s="815" t="s">
        <v>1013</v>
      </c>
      <c r="L277" s="2408"/>
      <c r="M277" s="823"/>
      <c r="N277" s="822"/>
      <c r="O277" s="823"/>
      <c r="P277" s="2307"/>
      <c r="Q277" s="2408"/>
      <c r="R277" s="823"/>
      <c r="S277" s="822"/>
      <c r="T277" s="823"/>
      <c r="U277" s="2307"/>
      <c r="V277" s="2408"/>
      <c r="W277" s="823"/>
      <c r="X277" s="822"/>
      <c r="Y277" s="823"/>
      <c r="Z277" s="2307"/>
      <c r="AA277" s="5217" t="s">
        <v>641</v>
      </c>
      <c r="AB277" s="5218"/>
      <c r="AC277" s="5219" t="s">
        <v>641</v>
      </c>
      <c r="AD277" s="5218"/>
      <c r="AE277" s="5220" t="s">
        <v>641</v>
      </c>
      <c r="AF277" s="4625"/>
      <c r="AG277" s="547"/>
      <c r="AH277" s="547"/>
      <c r="AI277" s="1244" t="s">
        <v>1014</v>
      </c>
      <c r="AJ277" s="18"/>
    </row>
    <row r="278" spans="2:36" ht="27" thickBot="1">
      <c r="B278" s="4505" t="s">
        <v>2281</v>
      </c>
      <c r="C278" s="123" t="s">
        <v>1015</v>
      </c>
      <c r="D278" s="124"/>
      <c r="E278" s="124"/>
      <c r="F278" s="78"/>
      <c r="G278" s="125" t="s">
        <v>1016</v>
      </c>
      <c r="H278" s="126"/>
      <c r="I278" s="126"/>
      <c r="J278" s="126"/>
      <c r="K278" s="78"/>
      <c r="L278" s="2175"/>
      <c r="M278" s="148"/>
      <c r="N278" s="148"/>
      <c r="O278" s="148"/>
      <c r="P278" s="2176"/>
      <c r="Q278" s="2175"/>
      <c r="R278" s="148"/>
      <c r="S278" s="148"/>
      <c r="T278" s="148"/>
      <c r="U278" s="2176"/>
      <c r="V278" s="2175"/>
      <c r="W278" s="148"/>
      <c r="X278" s="148"/>
      <c r="Y278" s="148"/>
      <c r="Z278" s="2176"/>
      <c r="AA278" s="5237"/>
      <c r="AB278" s="1423"/>
      <c r="AC278" s="1423"/>
      <c r="AD278" s="1423"/>
      <c r="AE278" s="5238"/>
      <c r="AF278" s="4493"/>
      <c r="AG278" s="129"/>
      <c r="AH278" s="129"/>
      <c r="AI278" s="1006"/>
      <c r="AJ278" s="18"/>
    </row>
    <row r="279" spans="2:36" ht="20.100000000000001" customHeight="1">
      <c r="B279" s="4505" t="s">
        <v>2281</v>
      </c>
      <c r="C279" s="4612" t="s">
        <v>1017</v>
      </c>
      <c r="D279" s="86"/>
      <c r="E279" s="86"/>
      <c r="F279" s="824" t="s">
        <v>1636</v>
      </c>
      <c r="G279" s="4548"/>
      <c r="H279" s="134" t="s">
        <v>1019</v>
      </c>
      <c r="I279" s="134"/>
      <c r="J279" s="135"/>
      <c r="K279" s="825" t="s">
        <v>1831</v>
      </c>
      <c r="L279" s="2396">
        <f t="shared" ref="L279" si="18">IFERROR(L280/L281,"-")</f>
        <v>2.8823529411764706</v>
      </c>
      <c r="M279" s="827"/>
      <c r="N279" s="640">
        <f>IFERROR(N280/N281,"-")</f>
        <v>1.2893289328932893</v>
      </c>
      <c r="O279" s="827"/>
      <c r="P279" s="2393" t="str">
        <f>IFERROR(P280/P281,"-")</f>
        <v>-</v>
      </c>
      <c r="Q279" s="2396">
        <f>IFERROR(Q280/Q281,"-")</f>
        <v>1.1507092198581561</v>
      </c>
      <c r="R279" s="827"/>
      <c r="S279" s="640">
        <f>IFERROR(S280/S281,"-")</f>
        <v>1.0797227036395147</v>
      </c>
      <c r="T279" s="827"/>
      <c r="U279" s="2393" t="str">
        <f>IFERROR(U280/U281,"-")</f>
        <v>-</v>
      </c>
      <c r="V279" s="2396">
        <f>IFERROR(V280/V281,"-")</f>
        <v>2.079155672823219</v>
      </c>
      <c r="W279" s="827"/>
      <c r="X279" s="640">
        <f>IFERROR(X280/X281,"-")</f>
        <v>8.1892583120204598</v>
      </c>
      <c r="Y279" s="827"/>
      <c r="Z279" s="2460"/>
      <c r="AA279" s="5217" t="s">
        <v>641</v>
      </c>
      <c r="AB279" s="5218"/>
      <c r="AC279" s="5219" t="s">
        <v>641</v>
      </c>
      <c r="AD279" s="5218"/>
      <c r="AE279" s="5220" t="s">
        <v>641</v>
      </c>
      <c r="AF279" s="4578"/>
      <c r="AG279" s="534"/>
      <c r="AH279" s="534"/>
      <c r="AI279" s="4568" t="s">
        <v>1023</v>
      </c>
      <c r="AJ279" s="18"/>
    </row>
    <row r="280" spans="2:36" ht="20.100000000000001" customHeight="1">
      <c r="B280" s="4505" t="s">
        <v>2281</v>
      </c>
      <c r="C280" s="4528"/>
      <c r="D280" s="9598" t="s">
        <v>1025</v>
      </c>
      <c r="E280" s="9599"/>
      <c r="F280" s="809" t="s">
        <v>1018</v>
      </c>
      <c r="G280" s="416"/>
      <c r="H280" s="574"/>
      <c r="I280" s="349" t="s">
        <v>1026</v>
      </c>
      <c r="J280" s="144"/>
      <c r="K280" s="810" t="s">
        <v>1831</v>
      </c>
      <c r="L280" s="2398">
        <v>3038</v>
      </c>
      <c r="M280" s="648" t="s">
        <v>1028</v>
      </c>
      <c r="N280" s="649">
        <v>1172</v>
      </c>
      <c r="O280" s="648" t="s">
        <v>1029</v>
      </c>
      <c r="P280" s="2303"/>
      <c r="Q280" s="2398">
        <v>649</v>
      </c>
      <c r="R280" s="543">
        <v>0</v>
      </c>
      <c r="S280" s="649">
        <v>623</v>
      </c>
      <c r="T280" s="543">
        <v>0</v>
      </c>
      <c r="U280" s="2303"/>
      <c r="V280" s="2398">
        <v>788</v>
      </c>
      <c r="W280" s="648" t="s">
        <v>1030</v>
      </c>
      <c r="X280" s="649">
        <v>3202</v>
      </c>
      <c r="Y280" s="648" t="s">
        <v>1030</v>
      </c>
      <c r="Z280" s="2303"/>
      <c r="AA280" s="5217" t="s">
        <v>641</v>
      </c>
      <c r="AB280" s="5218"/>
      <c r="AC280" s="5219" t="s">
        <v>641</v>
      </c>
      <c r="AD280" s="5218"/>
      <c r="AE280" s="5220" t="s">
        <v>641</v>
      </c>
      <c r="AF280" s="4490"/>
      <c r="AG280" s="547"/>
      <c r="AH280" s="547"/>
      <c r="AI280" s="4568" t="s">
        <v>1023</v>
      </c>
      <c r="AJ280" s="18"/>
    </row>
    <row r="281" spans="2:36" ht="20.100000000000001" customHeight="1">
      <c r="B281" s="4505" t="s">
        <v>2281</v>
      </c>
      <c r="C281" s="1945"/>
      <c r="D281" s="9598" t="s">
        <v>1031</v>
      </c>
      <c r="E281" s="9599"/>
      <c r="F281" s="809" t="s">
        <v>742</v>
      </c>
      <c r="G281" s="416"/>
      <c r="H281" s="577"/>
      <c r="I281" s="349" t="s">
        <v>1032</v>
      </c>
      <c r="J281" s="144"/>
      <c r="K281" s="810" t="s">
        <v>734</v>
      </c>
      <c r="L281" s="2398">
        <v>1054</v>
      </c>
      <c r="M281" s="648" t="s">
        <v>1034</v>
      </c>
      <c r="N281" s="649">
        <v>909</v>
      </c>
      <c r="O281" s="648" t="s">
        <v>1035</v>
      </c>
      <c r="P281" s="2303"/>
      <c r="Q281" s="2398">
        <v>564</v>
      </c>
      <c r="R281" s="543">
        <v>0</v>
      </c>
      <c r="S281" s="649">
        <v>577</v>
      </c>
      <c r="T281" s="543">
        <v>0</v>
      </c>
      <c r="U281" s="2303"/>
      <c r="V281" s="2398">
        <v>379</v>
      </c>
      <c r="W281" s="543">
        <v>0</v>
      </c>
      <c r="X281" s="649">
        <v>391</v>
      </c>
      <c r="Y281" s="543">
        <v>0</v>
      </c>
      <c r="Z281" s="2303"/>
      <c r="AA281" s="5217" t="s">
        <v>641</v>
      </c>
      <c r="AB281" s="5218"/>
      <c r="AC281" s="5219" t="s">
        <v>641</v>
      </c>
      <c r="AD281" s="5218"/>
      <c r="AE281" s="5220" t="s">
        <v>641</v>
      </c>
      <c r="AF281" s="4490"/>
      <c r="AG281" s="547"/>
      <c r="AH281" s="547"/>
      <c r="AI281" s="4568" t="s">
        <v>1023</v>
      </c>
      <c r="AJ281" s="18"/>
    </row>
    <row r="282" spans="2:36" ht="20.100000000000001" customHeight="1">
      <c r="B282" s="4505" t="s">
        <v>2281</v>
      </c>
      <c r="C282" s="1758" t="s">
        <v>1036</v>
      </c>
      <c r="D282" s="104"/>
      <c r="E282" s="104"/>
      <c r="F282" s="105" t="s">
        <v>1042</v>
      </c>
      <c r="G282" s="416"/>
      <c r="H282" s="143" t="s">
        <v>1037</v>
      </c>
      <c r="I282" s="143"/>
      <c r="J282" s="144"/>
      <c r="K282" s="109" t="s">
        <v>1043</v>
      </c>
      <c r="L282" s="2400">
        <f t="shared" ref="L282" si="19">IFERROR(L283/L281,"-")</f>
        <v>37.950664136622393</v>
      </c>
      <c r="M282" s="543"/>
      <c r="N282" s="738">
        <f>IFERROR(N283/N281,"-")</f>
        <v>0</v>
      </c>
      <c r="O282" s="543"/>
      <c r="P282" s="2401" t="str">
        <f>IFERROR(P283/P281,"-")</f>
        <v>-</v>
      </c>
      <c r="Q282" s="2400">
        <f>IFERROR(Q283/Q281,"-")</f>
        <v>1132.6860088652481</v>
      </c>
      <c r="R282" s="543"/>
      <c r="S282" s="738">
        <f>IFERROR(S283/S281,"-")</f>
        <v>2714.4675043327557</v>
      </c>
      <c r="T282" s="543"/>
      <c r="U282" s="2401" t="str">
        <f>IFERROR(U283/U281,"-")</f>
        <v>-</v>
      </c>
      <c r="V282" s="2400">
        <f>IFERROR(V283/V281,"-")</f>
        <v>194.93041680300195</v>
      </c>
      <c r="W282" s="543"/>
      <c r="X282" s="738">
        <f>IFERROR(X283/X281,"-")</f>
        <v>1473.4989959510995</v>
      </c>
      <c r="Y282" s="543"/>
      <c r="Z282" s="2401" t="str">
        <f>IFERROR(Z283/Z281,"-")</f>
        <v>-</v>
      </c>
      <c r="AA282" s="2405" t="str">
        <f>IFERROR(AA283/AA281,"-")</f>
        <v>-</v>
      </c>
      <c r="AB282" s="789"/>
      <c r="AC282" s="783" t="str">
        <f>IFERROR(AC283/AC281,"-")</f>
        <v>-</v>
      </c>
      <c r="AD282" s="789"/>
      <c r="AE282" s="2406" t="str">
        <f>IFERROR(AE283/AE281,"-")</f>
        <v>-</v>
      </c>
      <c r="AF282" s="4490"/>
      <c r="AG282" s="547"/>
      <c r="AH282" s="547"/>
      <c r="AI282" s="4568" t="s">
        <v>1040</v>
      </c>
      <c r="AJ282" s="18"/>
    </row>
    <row r="283" spans="2:36" ht="20.100000000000001" customHeight="1">
      <c r="B283" s="4505" t="s">
        <v>2281</v>
      </c>
      <c r="C283" s="1868"/>
      <c r="D283" s="9598" t="s">
        <v>1045</v>
      </c>
      <c r="E283" s="9599"/>
      <c r="F283" s="105" t="s">
        <v>1048</v>
      </c>
      <c r="G283" s="384"/>
      <c r="I283" s="184" t="s">
        <v>1046</v>
      </c>
      <c r="J283" s="141"/>
      <c r="K283" s="109" t="s">
        <v>1043</v>
      </c>
      <c r="L283" s="2398">
        <v>40000</v>
      </c>
      <c r="M283" s="543">
        <v>37.950664136622393</v>
      </c>
      <c r="N283" s="649">
        <v>0</v>
      </c>
      <c r="O283" s="543" t="s">
        <v>1049</v>
      </c>
      <c r="P283" s="2303"/>
      <c r="Q283" s="2398">
        <v>638834.90899999999</v>
      </c>
      <c r="R283" s="543" t="s">
        <v>145</v>
      </c>
      <c r="S283" s="649">
        <v>1566247.75</v>
      </c>
      <c r="T283" s="543" t="s">
        <v>145</v>
      </c>
      <c r="U283" s="2303"/>
      <c r="V283" s="2398">
        <v>73878.627968337736</v>
      </c>
      <c r="W283" s="543"/>
      <c r="X283" s="649">
        <v>576138.10741687985</v>
      </c>
      <c r="Y283" s="543"/>
      <c r="Z283" s="2303"/>
      <c r="AA283" s="5217" t="s">
        <v>641</v>
      </c>
      <c r="AB283" s="5218"/>
      <c r="AC283" s="5219" t="s">
        <v>641</v>
      </c>
      <c r="AD283" s="5218"/>
      <c r="AE283" s="5220" t="s">
        <v>641</v>
      </c>
      <c r="AF283" s="4490"/>
      <c r="AG283" s="547"/>
      <c r="AH283" s="547"/>
      <c r="AI283" s="4568" t="s">
        <v>1040</v>
      </c>
      <c r="AJ283" s="18"/>
    </row>
    <row r="284" spans="2:36" s="837" customFormat="1" ht="20.100000000000001" customHeight="1">
      <c r="B284" s="4636" t="s">
        <v>2281</v>
      </c>
      <c r="C284" s="1849" t="s">
        <v>1050</v>
      </c>
      <c r="D284" s="161"/>
      <c r="E284" s="161"/>
      <c r="F284" s="285" t="s">
        <v>1051</v>
      </c>
      <c r="G284" s="10230" t="s">
        <v>3496</v>
      </c>
      <c r="H284" s="140" t="s">
        <v>1052</v>
      </c>
      <c r="I284" s="140"/>
      <c r="J284" s="141"/>
      <c r="K284" s="162" t="s">
        <v>1053</v>
      </c>
      <c r="L284" s="2400" t="str">
        <f t="shared" ref="L284" si="20">IFERROR(L285/L286*100,"-")</f>
        <v>-</v>
      </c>
      <c r="M284" s="652"/>
      <c r="N284" s="738" t="str">
        <f>IFERROR(N285/N286*100,"-")</f>
        <v>-</v>
      </c>
      <c r="O284" s="652"/>
      <c r="P284" s="2401" t="str">
        <f>IFERROR(P285/P286*100,"-")</f>
        <v>-</v>
      </c>
      <c r="Q284" s="2400">
        <f>IFERROR(Q285/Q286*100,"-")</f>
        <v>0</v>
      </c>
      <c r="R284" s="652"/>
      <c r="S284" s="738">
        <f>IFERROR(S285/S286*100,"-")</f>
        <v>0</v>
      </c>
      <c r="T284" s="652"/>
      <c r="U284" s="2401" t="str">
        <f>IFERROR(U285/U286*100,"-")</f>
        <v>-</v>
      </c>
      <c r="V284" s="2400" t="str">
        <f>IFERROR(V285/V286*100,"-")</f>
        <v>-</v>
      </c>
      <c r="W284" s="652"/>
      <c r="X284" s="738" t="str">
        <f>IFERROR(X285/X286*100,"-")</f>
        <v>-</v>
      </c>
      <c r="Y284" s="652"/>
      <c r="Z284" s="2461" t="str">
        <f>IFERROR(Z285/Z286*100,"-")</f>
        <v>-</v>
      </c>
      <c r="AA284" s="2405" t="str">
        <f>IFERROR(AA285/AA286*100,"-")</f>
        <v>-</v>
      </c>
      <c r="AB284" s="790"/>
      <c r="AC284" s="783" t="str">
        <f>IFERROR(AC285/AC286*100,"-")</f>
        <v>-</v>
      </c>
      <c r="AD284" s="790"/>
      <c r="AE284" s="2406" t="str">
        <f>IFERROR(AE285/AE222,"-")</f>
        <v>-</v>
      </c>
      <c r="AF284" s="4649"/>
      <c r="AG284" s="832"/>
      <c r="AH284" s="832"/>
      <c r="AI284" s="4650" t="s">
        <v>1056</v>
      </c>
      <c r="AJ284" s="836"/>
    </row>
    <row r="285" spans="2:36" s="837" customFormat="1" ht="20.100000000000001" customHeight="1">
      <c r="B285" s="4636" t="s">
        <v>2281</v>
      </c>
      <c r="C285" s="4514"/>
      <c r="D285" s="9598" t="s">
        <v>1058</v>
      </c>
      <c r="E285" s="9599"/>
      <c r="F285" s="838" t="s">
        <v>742</v>
      </c>
      <c r="G285" s="10231"/>
      <c r="H285" s="337"/>
      <c r="I285" s="141" t="s">
        <v>1059</v>
      </c>
      <c r="J285" s="141"/>
      <c r="K285" s="179" t="s">
        <v>734</v>
      </c>
      <c r="L285" s="2398">
        <v>0</v>
      </c>
      <c r="M285" s="737" t="s">
        <v>1065</v>
      </c>
      <c r="N285" s="649">
        <v>0</v>
      </c>
      <c r="O285" s="737" t="s">
        <v>1065</v>
      </c>
      <c r="P285" s="2303"/>
      <c r="Q285" s="2398">
        <v>0</v>
      </c>
      <c r="R285" s="737" t="s">
        <v>1066</v>
      </c>
      <c r="S285" s="649">
        <v>0</v>
      </c>
      <c r="T285" s="737" t="s">
        <v>1066</v>
      </c>
      <c r="U285" s="2303"/>
      <c r="V285" s="2398">
        <v>0</v>
      </c>
      <c r="W285" s="737" t="s">
        <v>1067</v>
      </c>
      <c r="X285" s="649">
        <v>0</v>
      </c>
      <c r="Y285" s="737" t="s">
        <v>1068</v>
      </c>
      <c r="Z285" s="2462"/>
      <c r="AA285" s="5217" t="s">
        <v>641</v>
      </c>
      <c r="AB285" s="5218"/>
      <c r="AC285" s="5219" t="s">
        <v>641</v>
      </c>
      <c r="AD285" s="5218"/>
      <c r="AE285" s="5220" t="s">
        <v>641</v>
      </c>
      <c r="AF285" s="4649"/>
      <c r="AG285" s="832"/>
      <c r="AH285" s="832"/>
      <c r="AI285" s="4650" t="s">
        <v>1056</v>
      </c>
      <c r="AJ285" s="836"/>
    </row>
    <row r="286" spans="2:36" s="837" customFormat="1" ht="20.100000000000001" customHeight="1" thickBot="1">
      <c r="B286" s="4636" t="s">
        <v>2281</v>
      </c>
      <c r="C286" s="4559"/>
      <c r="D286" s="844" t="s">
        <v>1069</v>
      </c>
      <c r="E286" s="323"/>
      <c r="F286" s="845" t="s">
        <v>742</v>
      </c>
      <c r="G286" s="10232"/>
      <c r="H286" s="325"/>
      <c r="I286" s="327" t="s">
        <v>1070</v>
      </c>
      <c r="J286" s="422"/>
      <c r="K286" s="849" t="s">
        <v>734</v>
      </c>
      <c r="L286" s="2409">
        <v>0</v>
      </c>
      <c r="M286" s="854" t="s">
        <v>1065</v>
      </c>
      <c r="N286" s="853">
        <v>0</v>
      </c>
      <c r="O286" s="854" t="s">
        <v>1065</v>
      </c>
      <c r="P286" s="2307"/>
      <c r="Q286" s="2409">
        <v>564</v>
      </c>
      <c r="R286" s="854" t="s">
        <v>1073</v>
      </c>
      <c r="S286" s="853">
        <v>577</v>
      </c>
      <c r="T286" s="854" t="s">
        <v>1073</v>
      </c>
      <c r="U286" s="2307"/>
      <c r="V286" s="2409">
        <v>0</v>
      </c>
      <c r="W286" s="854" t="s">
        <v>1067</v>
      </c>
      <c r="X286" s="853">
        <v>0</v>
      </c>
      <c r="Y286" s="854" t="s">
        <v>1068</v>
      </c>
      <c r="Z286" s="2463"/>
      <c r="AA286" s="5217" t="s">
        <v>641</v>
      </c>
      <c r="AB286" s="5218"/>
      <c r="AC286" s="5219" t="s">
        <v>641</v>
      </c>
      <c r="AD286" s="5218"/>
      <c r="AE286" s="5220" t="s">
        <v>641</v>
      </c>
      <c r="AF286" s="4651"/>
      <c r="AG286" s="859"/>
      <c r="AH286" s="859"/>
      <c r="AI286" s="4650" t="s">
        <v>1056</v>
      </c>
      <c r="AJ286" s="836"/>
    </row>
    <row r="287" spans="2:36" ht="27" thickBot="1">
      <c r="B287" s="4505" t="s">
        <v>2281</v>
      </c>
      <c r="C287" s="123" t="s">
        <v>1074</v>
      </c>
      <c r="D287" s="124"/>
      <c r="E287" s="124"/>
      <c r="F287" s="78"/>
      <c r="G287" s="519" t="s">
        <v>3497</v>
      </c>
      <c r="H287" s="521"/>
      <c r="I287" s="521"/>
      <c r="J287" s="521"/>
      <c r="K287" s="78"/>
      <c r="L287" s="2175"/>
      <c r="M287" s="148"/>
      <c r="N287" s="148"/>
      <c r="O287" s="148"/>
      <c r="P287" s="2176"/>
      <c r="Q287" s="2175"/>
      <c r="R287" s="148"/>
      <c r="S287" s="148"/>
      <c r="T287" s="148"/>
      <c r="U287" s="2176"/>
      <c r="V287" s="2175"/>
      <c r="W287" s="148"/>
      <c r="X287" s="148"/>
      <c r="Y287" s="148"/>
      <c r="Z287" s="2176"/>
      <c r="AA287" s="5237"/>
      <c r="AB287" s="1423"/>
      <c r="AC287" s="1423"/>
      <c r="AD287" s="1423"/>
      <c r="AE287" s="5238"/>
      <c r="AF287" s="4493"/>
      <c r="AG287" s="129"/>
      <c r="AH287" s="129"/>
      <c r="AI287" s="1006"/>
      <c r="AJ287" s="18"/>
    </row>
    <row r="288" spans="2:36" ht="19.350000000000001" customHeight="1">
      <c r="B288" s="4505" t="s">
        <v>2281</v>
      </c>
      <c r="C288" s="4652" t="s">
        <v>1075</v>
      </c>
      <c r="D288" s="860"/>
      <c r="E288" s="860"/>
      <c r="F288" s="4653" t="s">
        <v>168</v>
      </c>
      <c r="G288" s="4654"/>
      <c r="H288" s="860" t="s">
        <v>1076</v>
      </c>
      <c r="I288" s="860"/>
      <c r="J288" s="860"/>
      <c r="K288" s="862" t="s">
        <v>168</v>
      </c>
      <c r="L288" s="2412"/>
      <c r="M288" s="866"/>
      <c r="N288" s="865"/>
      <c r="O288" s="866"/>
      <c r="P288" s="2413"/>
      <c r="Q288" s="2412"/>
      <c r="R288" s="866"/>
      <c r="S288" s="865"/>
      <c r="T288" s="866"/>
      <c r="U288" s="2413"/>
      <c r="V288" s="2412"/>
      <c r="W288" s="866"/>
      <c r="X288" s="865"/>
      <c r="Y288" s="866"/>
      <c r="Z288" s="2413"/>
      <c r="AA288" s="5252"/>
      <c r="AB288" s="5253"/>
      <c r="AC288" s="5254"/>
      <c r="AD288" s="5253"/>
      <c r="AE288" s="5255"/>
      <c r="AF288" s="4585"/>
      <c r="AG288" s="4586"/>
      <c r="AH288" s="4586"/>
      <c r="AI288" s="4587"/>
      <c r="AJ288" s="18"/>
    </row>
    <row r="289" spans="2:36" ht="19.350000000000001" customHeight="1">
      <c r="B289" s="4505" t="s">
        <v>2281</v>
      </c>
      <c r="C289" s="4655"/>
      <c r="D289" s="870" t="s">
        <v>1077</v>
      </c>
      <c r="E289" s="871"/>
      <c r="F289" s="285" t="s">
        <v>156</v>
      </c>
      <c r="G289" s="106"/>
      <c r="H289" s="353"/>
      <c r="I289" s="872" t="s">
        <v>1078</v>
      </c>
      <c r="J289" s="385"/>
      <c r="K289" s="873" t="s">
        <v>154</v>
      </c>
      <c r="L289" s="2414">
        <v>0</v>
      </c>
      <c r="M289" s="875"/>
      <c r="N289" s="802">
        <v>0</v>
      </c>
      <c r="O289" s="875"/>
      <c r="P289" s="2268"/>
      <c r="Q289" s="2414">
        <v>0</v>
      </c>
      <c r="R289" s="875"/>
      <c r="S289" s="802">
        <v>0</v>
      </c>
      <c r="T289" s="875"/>
      <c r="U289" s="2268"/>
      <c r="V289" s="2414">
        <v>28.571428571428569</v>
      </c>
      <c r="W289" s="875"/>
      <c r="X289" s="802">
        <v>28.571428571428569</v>
      </c>
      <c r="Y289" s="875"/>
      <c r="Z289" s="2268"/>
      <c r="AA289" s="5217" t="s">
        <v>641</v>
      </c>
      <c r="AB289" s="5218"/>
      <c r="AC289" s="5219" t="s">
        <v>641</v>
      </c>
      <c r="AD289" s="5218"/>
      <c r="AE289" s="5220" t="s">
        <v>641</v>
      </c>
      <c r="AF289" s="4589"/>
      <c r="AG289" s="547"/>
      <c r="AH289" s="878"/>
      <c r="AI289" s="982" t="s">
        <v>807</v>
      </c>
      <c r="AJ289" s="18"/>
    </row>
    <row r="290" spans="2:36" ht="19.350000000000001" customHeight="1">
      <c r="B290" s="4505" t="s">
        <v>2281</v>
      </c>
      <c r="C290" s="4655"/>
      <c r="D290" s="490" t="s">
        <v>1082</v>
      </c>
      <c r="E290" s="491"/>
      <c r="F290" s="285" t="s">
        <v>154</v>
      </c>
      <c r="G290" s="106"/>
      <c r="H290" s="353"/>
      <c r="I290" s="495" t="s">
        <v>1083</v>
      </c>
      <c r="J290" s="643"/>
      <c r="K290" s="109" t="s">
        <v>154</v>
      </c>
      <c r="L290" s="2186"/>
      <c r="M290" s="92"/>
      <c r="N290" s="100"/>
      <c r="O290" s="92"/>
      <c r="P290" s="2187"/>
      <c r="Q290" s="2186"/>
      <c r="R290" s="92"/>
      <c r="S290" s="100"/>
      <c r="T290" s="92"/>
      <c r="U290" s="2187"/>
      <c r="V290" s="2186"/>
      <c r="W290" s="92"/>
      <c r="X290" s="100"/>
      <c r="Y290" s="92"/>
      <c r="Z290" s="2187"/>
      <c r="AA290" s="5217" t="s">
        <v>641</v>
      </c>
      <c r="AB290" s="5218"/>
      <c r="AC290" s="5219" t="s">
        <v>641</v>
      </c>
      <c r="AD290" s="5218"/>
      <c r="AE290" s="5220" t="s">
        <v>641</v>
      </c>
      <c r="AF290" s="4490"/>
      <c r="AG290" s="547"/>
      <c r="AH290" s="547"/>
      <c r="AI290" s="982" t="s">
        <v>807</v>
      </c>
      <c r="AJ290" s="18"/>
    </row>
    <row r="291" spans="2:36" ht="19.350000000000001" customHeight="1">
      <c r="B291" s="4505" t="s">
        <v>2281</v>
      </c>
      <c r="C291" s="4655"/>
      <c r="D291" s="744" t="s">
        <v>1084</v>
      </c>
      <c r="E291" s="728"/>
      <c r="F291" s="2371" t="s">
        <v>154</v>
      </c>
      <c r="G291" s="106"/>
      <c r="H291" s="353"/>
      <c r="I291" s="654" t="s">
        <v>1085</v>
      </c>
      <c r="J291" s="655"/>
      <c r="K291" s="881" t="s">
        <v>154</v>
      </c>
      <c r="L291" s="2275"/>
      <c r="M291" s="171"/>
      <c r="N291" s="320"/>
      <c r="O291" s="171"/>
      <c r="P291" s="2276"/>
      <c r="Q291" s="2275"/>
      <c r="R291" s="171"/>
      <c r="S291" s="320"/>
      <c r="T291" s="171"/>
      <c r="U291" s="2276"/>
      <c r="V291" s="2275"/>
      <c r="W291" s="171"/>
      <c r="X291" s="320"/>
      <c r="Y291" s="171"/>
      <c r="Z291" s="2276"/>
      <c r="AA291" s="5256"/>
      <c r="AB291" s="5257"/>
      <c r="AC291" s="5258"/>
      <c r="AD291" s="5257"/>
      <c r="AE291" s="5259"/>
      <c r="AF291" s="4585"/>
      <c r="AG291" s="4586"/>
      <c r="AH291" s="4586"/>
      <c r="AI291" s="4587"/>
      <c r="AJ291" s="18"/>
    </row>
    <row r="292" spans="2:36" ht="19.350000000000001" customHeight="1">
      <c r="B292" s="4505" t="s">
        <v>2281</v>
      </c>
      <c r="C292" s="4655"/>
      <c r="E292" s="286" t="s">
        <v>1833</v>
      </c>
      <c r="F292" s="285" t="s">
        <v>154</v>
      </c>
      <c r="G292" s="106"/>
      <c r="H292" s="353"/>
      <c r="I292" s="11"/>
      <c r="J292" s="358" t="s">
        <v>1086</v>
      </c>
      <c r="K292" s="109" t="s">
        <v>154</v>
      </c>
      <c r="L292" s="2186"/>
      <c r="M292" s="92"/>
      <c r="N292" s="100"/>
      <c r="O292" s="92"/>
      <c r="P292" s="2187"/>
      <c r="Q292" s="2186"/>
      <c r="R292" s="92"/>
      <c r="S292" s="100"/>
      <c r="T292" s="92"/>
      <c r="U292" s="2187"/>
      <c r="V292" s="2186"/>
      <c r="W292" s="92"/>
      <c r="X292" s="100"/>
      <c r="Y292" s="92"/>
      <c r="Z292" s="2187"/>
      <c r="AA292" s="5217" t="s">
        <v>641</v>
      </c>
      <c r="AB292" s="5218"/>
      <c r="AC292" s="5219" t="s">
        <v>641</v>
      </c>
      <c r="AD292" s="5218"/>
      <c r="AE292" s="5220" t="s">
        <v>641</v>
      </c>
      <c r="AF292" s="4490"/>
      <c r="AG292" s="547"/>
      <c r="AH292" s="547"/>
      <c r="AI292" s="982" t="s">
        <v>807</v>
      </c>
      <c r="AJ292" s="18"/>
    </row>
    <row r="293" spans="2:36" ht="19.350000000000001" customHeight="1">
      <c r="B293" s="4505" t="s">
        <v>2281</v>
      </c>
      <c r="C293" s="4655"/>
      <c r="D293" s="884"/>
      <c r="E293" s="286" t="s">
        <v>1834</v>
      </c>
      <c r="F293" s="285" t="s">
        <v>154</v>
      </c>
      <c r="G293" s="106"/>
      <c r="H293" s="353"/>
      <c r="I293" s="4656"/>
      <c r="J293" s="358" t="s">
        <v>1088</v>
      </c>
      <c r="K293" s="109" t="s">
        <v>154</v>
      </c>
      <c r="L293" s="2186"/>
      <c r="M293" s="92"/>
      <c r="N293" s="100"/>
      <c r="O293" s="92"/>
      <c r="P293" s="2187"/>
      <c r="Q293" s="2186"/>
      <c r="R293" s="92"/>
      <c r="S293" s="100"/>
      <c r="T293" s="92"/>
      <c r="U293" s="2187"/>
      <c r="V293" s="2186"/>
      <c r="W293" s="92"/>
      <c r="X293" s="100"/>
      <c r="Y293" s="92"/>
      <c r="Z293" s="2187"/>
      <c r="AA293" s="5217" t="s">
        <v>641</v>
      </c>
      <c r="AB293" s="5218"/>
      <c r="AC293" s="5219" t="s">
        <v>641</v>
      </c>
      <c r="AD293" s="5218"/>
      <c r="AE293" s="5220" t="s">
        <v>641</v>
      </c>
      <c r="AF293" s="4490"/>
      <c r="AG293" s="547"/>
      <c r="AH293" s="547"/>
      <c r="AI293" s="982" t="s">
        <v>807</v>
      </c>
      <c r="AJ293" s="18"/>
    </row>
    <row r="294" spans="2:36" ht="19.350000000000001" customHeight="1">
      <c r="B294" s="4505" t="s">
        <v>2281</v>
      </c>
      <c r="C294" s="4655"/>
      <c r="D294" s="885"/>
      <c r="E294" s="286" t="s">
        <v>1835</v>
      </c>
      <c r="F294" s="285" t="s">
        <v>154</v>
      </c>
      <c r="G294" s="106"/>
      <c r="H294" s="353"/>
      <c r="I294" s="4657"/>
      <c r="J294" s="358" t="s">
        <v>1089</v>
      </c>
      <c r="K294" s="109" t="s">
        <v>154</v>
      </c>
      <c r="L294" s="2186"/>
      <c r="M294" s="92"/>
      <c r="N294" s="100"/>
      <c r="O294" s="92"/>
      <c r="P294" s="2187"/>
      <c r="Q294" s="2186"/>
      <c r="R294" s="92"/>
      <c r="S294" s="100"/>
      <c r="T294" s="92"/>
      <c r="U294" s="2187"/>
      <c r="V294" s="2186"/>
      <c r="W294" s="92"/>
      <c r="X294" s="100"/>
      <c r="Y294" s="92"/>
      <c r="Z294" s="2187"/>
      <c r="AA294" s="5217" t="s">
        <v>641</v>
      </c>
      <c r="AB294" s="5218"/>
      <c r="AC294" s="5219" t="s">
        <v>641</v>
      </c>
      <c r="AD294" s="5218"/>
      <c r="AE294" s="5220" t="s">
        <v>641</v>
      </c>
      <c r="AF294" s="4490"/>
      <c r="AG294" s="547"/>
      <c r="AH294" s="547"/>
      <c r="AI294" s="982" t="s">
        <v>807</v>
      </c>
      <c r="AJ294" s="18"/>
    </row>
    <row r="295" spans="2:36" ht="19.350000000000001" customHeight="1">
      <c r="B295" s="4509" t="s">
        <v>2281</v>
      </c>
      <c r="C295" s="4655"/>
      <c r="D295" s="490" t="s">
        <v>1090</v>
      </c>
      <c r="E295" s="491"/>
      <c r="F295" s="285" t="s">
        <v>154</v>
      </c>
      <c r="G295" s="106"/>
      <c r="H295" s="353"/>
      <c r="I295" s="495" t="s">
        <v>1091</v>
      </c>
      <c r="J295" s="643"/>
      <c r="K295" s="109" t="s">
        <v>154</v>
      </c>
      <c r="L295" s="2404">
        <v>13.738019169329075</v>
      </c>
      <c r="M295" s="92"/>
      <c r="N295" s="702">
        <v>16</v>
      </c>
      <c r="O295" s="92"/>
      <c r="P295" s="2187"/>
      <c r="Q295" s="2404">
        <v>42.857142857142854</v>
      </c>
      <c r="R295" s="92"/>
      <c r="S295" s="702">
        <v>41.269841269841265</v>
      </c>
      <c r="T295" s="92"/>
      <c r="U295" s="2187"/>
      <c r="V295" s="2404">
        <v>15.789473684210526</v>
      </c>
      <c r="W295" s="92"/>
      <c r="X295" s="702">
        <v>16.666666666666664</v>
      </c>
      <c r="Y295" s="92"/>
      <c r="Z295" s="2187"/>
      <c r="AA295" s="5217" t="s">
        <v>641</v>
      </c>
      <c r="AB295" s="5218"/>
      <c r="AC295" s="5219" t="s">
        <v>641</v>
      </c>
      <c r="AD295" s="5218"/>
      <c r="AE295" s="5220" t="s">
        <v>641</v>
      </c>
      <c r="AF295" s="4490"/>
      <c r="AG295" s="547"/>
      <c r="AH295" s="547"/>
      <c r="AI295" s="982" t="s">
        <v>852</v>
      </c>
      <c r="AJ295" s="18"/>
    </row>
    <row r="296" spans="2:36" ht="19.149999999999999" customHeight="1">
      <c r="B296" s="4505" t="s">
        <v>2281</v>
      </c>
      <c r="C296" s="4655"/>
      <c r="D296" s="286" t="s">
        <v>1097</v>
      </c>
      <c r="E296" s="286"/>
      <c r="F296" s="285" t="s">
        <v>154</v>
      </c>
      <c r="G296" s="106"/>
      <c r="H296" s="353"/>
      <c r="I296" s="495" t="s">
        <v>1098</v>
      </c>
      <c r="J296" s="643"/>
      <c r="K296" s="109" t="s">
        <v>154</v>
      </c>
      <c r="L296" s="2404">
        <v>1.4388489208633095</v>
      </c>
      <c r="M296" s="92"/>
      <c r="N296" s="702">
        <v>3.5087719298245612</v>
      </c>
      <c r="O296" s="92"/>
      <c r="P296" s="2187"/>
      <c r="Q296" s="2404">
        <v>0</v>
      </c>
      <c r="R296" s="92"/>
      <c r="S296" s="702">
        <v>0</v>
      </c>
      <c r="T296" s="92"/>
      <c r="U296" s="2187"/>
      <c r="V296" s="2404">
        <v>40</v>
      </c>
      <c r="W296" s="92"/>
      <c r="X296" s="702">
        <v>40</v>
      </c>
      <c r="Y296" s="92"/>
      <c r="Z296" s="2187"/>
      <c r="AA296" s="5217" t="s">
        <v>641</v>
      </c>
      <c r="AB296" s="5218"/>
      <c r="AC296" s="5219" t="s">
        <v>641</v>
      </c>
      <c r="AD296" s="5218"/>
      <c r="AE296" s="5220" t="s">
        <v>641</v>
      </c>
      <c r="AF296" s="4490"/>
      <c r="AG296" s="547"/>
      <c r="AH296" s="547"/>
      <c r="AI296" s="982" t="s">
        <v>1101</v>
      </c>
      <c r="AJ296" s="18"/>
    </row>
    <row r="297" spans="2:36" ht="19.350000000000001" customHeight="1">
      <c r="B297" s="4505" t="s">
        <v>2281</v>
      </c>
      <c r="C297" s="4655"/>
      <c r="D297" s="886" t="s">
        <v>1103</v>
      </c>
      <c r="E297" s="886"/>
      <c r="F297" s="285" t="s">
        <v>154</v>
      </c>
      <c r="G297" s="106"/>
      <c r="H297" s="353"/>
      <c r="I297" s="495" t="s">
        <v>1104</v>
      </c>
      <c r="J297" s="643"/>
      <c r="K297" s="162" t="s">
        <v>154</v>
      </c>
      <c r="L297" s="2404">
        <v>85.882637262472798</v>
      </c>
      <c r="M297" s="92"/>
      <c r="N297" s="702">
        <v>82.247056388175423</v>
      </c>
      <c r="O297" s="92"/>
      <c r="P297" s="2187"/>
      <c r="Q297" s="2404">
        <v>119.89054293130317</v>
      </c>
      <c r="R297" s="92"/>
      <c r="S297" s="702">
        <v>114.66069429343651</v>
      </c>
      <c r="T297" s="92"/>
      <c r="U297" s="2187"/>
      <c r="V297" s="2404">
        <v>156.08059219041078</v>
      </c>
      <c r="W297" s="92"/>
      <c r="X297" s="702">
        <v>104.04324918526433</v>
      </c>
      <c r="Y297" s="92"/>
      <c r="Z297" s="2187"/>
      <c r="AA297" s="5217" t="s">
        <v>641</v>
      </c>
      <c r="AB297" s="5218"/>
      <c r="AC297" s="5219" t="s">
        <v>641</v>
      </c>
      <c r="AD297" s="5218"/>
      <c r="AE297" s="5220" t="s">
        <v>641</v>
      </c>
      <c r="AF297" s="4490"/>
      <c r="AG297" s="547"/>
      <c r="AH297" s="547"/>
      <c r="AI297" s="982" t="s">
        <v>1107</v>
      </c>
      <c r="AJ297" s="18"/>
    </row>
    <row r="298" spans="2:36" ht="19.350000000000001" hidden="1" customHeight="1">
      <c r="B298" s="4505" t="s">
        <v>2281</v>
      </c>
      <c r="C298" s="4658" t="s">
        <v>1112</v>
      </c>
      <c r="D298" s="736"/>
      <c r="E298" s="736"/>
      <c r="F298" s="2371" t="s">
        <v>168</v>
      </c>
      <c r="G298" s="4659"/>
      <c r="H298" s="736" t="s">
        <v>1113</v>
      </c>
      <c r="I298" s="736"/>
      <c r="J298" s="736"/>
      <c r="K298" s="881" t="s">
        <v>168</v>
      </c>
      <c r="L298" s="2415"/>
      <c r="M298" s="171"/>
      <c r="N298" s="891"/>
      <c r="O298" s="171"/>
      <c r="P298" s="2276"/>
      <c r="Q298" s="2415"/>
      <c r="R298" s="171"/>
      <c r="S298" s="891"/>
      <c r="T298" s="171"/>
      <c r="U298" s="2276"/>
      <c r="V298" s="2415"/>
      <c r="W298" s="171"/>
      <c r="X298" s="891"/>
      <c r="Y298" s="171"/>
      <c r="Z298" s="2276"/>
      <c r="AA298" s="5236"/>
      <c r="AB298" s="5213"/>
      <c r="AC298" s="5212"/>
      <c r="AD298" s="5213"/>
      <c r="AE298" s="5214"/>
      <c r="AF298" s="4490"/>
      <c r="AG298" s="547"/>
      <c r="AH298" s="547"/>
      <c r="AI298" s="982"/>
      <c r="AJ298" s="18"/>
    </row>
    <row r="299" spans="2:36" ht="19.350000000000001" hidden="1" customHeight="1">
      <c r="B299" s="4505" t="s">
        <v>2281</v>
      </c>
      <c r="C299" s="4655"/>
      <c r="D299" s="4660" t="s">
        <v>1114</v>
      </c>
      <c r="E299" s="4661"/>
      <c r="F299" s="2371" t="s">
        <v>742</v>
      </c>
      <c r="G299" s="106"/>
      <c r="H299" s="353"/>
      <c r="I299" s="685" t="s">
        <v>1838</v>
      </c>
      <c r="J299" s="655"/>
      <c r="K299" s="881" t="s">
        <v>734</v>
      </c>
      <c r="L299" s="2415"/>
      <c r="M299" s="171"/>
      <c r="N299" s="891"/>
      <c r="O299" s="171"/>
      <c r="P299" s="2276"/>
      <c r="Q299" s="2415"/>
      <c r="R299" s="171"/>
      <c r="S299" s="891"/>
      <c r="T299" s="171"/>
      <c r="U299" s="2276"/>
      <c r="V299" s="2415"/>
      <c r="W299" s="171"/>
      <c r="X299" s="891"/>
      <c r="Y299" s="171"/>
      <c r="Z299" s="2276"/>
      <c r="AA299" s="5236"/>
      <c r="AB299" s="5213"/>
      <c r="AC299" s="5212"/>
      <c r="AD299" s="5213"/>
      <c r="AE299" s="5214"/>
      <c r="AF299" s="4490"/>
      <c r="AG299" s="547"/>
      <c r="AH299" s="547"/>
      <c r="AI299" s="982"/>
      <c r="AJ299" s="18"/>
    </row>
    <row r="300" spans="2:36" ht="19.350000000000001" hidden="1" customHeight="1">
      <c r="B300" s="4505" t="s">
        <v>2281</v>
      </c>
      <c r="C300" s="4655"/>
      <c r="D300" s="892"/>
      <c r="E300" s="893" t="s">
        <v>1116</v>
      </c>
      <c r="F300" s="285" t="s">
        <v>742</v>
      </c>
      <c r="G300" s="106"/>
      <c r="H300" s="353"/>
      <c r="I300" s="347"/>
      <c r="J300" s="777" t="s">
        <v>1117</v>
      </c>
      <c r="K300" s="109" t="s">
        <v>734</v>
      </c>
      <c r="L300" s="2404" t="s">
        <v>640</v>
      </c>
      <c r="M300" s="92"/>
      <c r="N300" s="702" t="s">
        <v>640</v>
      </c>
      <c r="O300" s="92"/>
      <c r="P300" s="2187"/>
      <c r="Q300" s="2404">
        <v>0</v>
      </c>
      <c r="R300" s="92"/>
      <c r="S300" s="702">
        <v>0</v>
      </c>
      <c r="T300" s="92"/>
      <c r="U300" s="2187"/>
      <c r="V300" s="2404">
        <v>140</v>
      </c>
      <c r="W300" s="92"/>
      <c r="X300" s="702">
        <v>163</v>
      </c>
      <c r="Y300" s="92"/>
      <c r="Z300" s="2187"/>
      <c r="AA300" s="2339"/>
      <c r="AB300" s="448"/>
      <c r="AC300" s="474"/>
      <c r="AD300" s="448"/>
      <c r="AE300" s="2340"/>
      <c r="AF300" s="4490"/>
      <c r="AG300" s="547"/>
      <c r="AH300" s="547"/>
      <c r="AI300" s="982" t="s">
        <v>1120</v>
      </c>
      <c r="AJ300" s="18"/>
    </row>
    <row r="301" spans="2:36" ht="19.350000000000001" hidden="1" customHeight="1">
      <c r="B301" s="4505" t="s">
        <v>2281</v>
      </c>
      <c r="C301" s="4655"/>
      <c r="D301" s="894"/>
      <c r="E301" s="893" t="s">
        <v>1125</v>
      </c>
      <c r="F301" s="285" t="s">
        <v>742</v>
      </c>
      <c r="G301" s="106"/>
      <c r="H301" s="353"/>
      <c r="I301" s="384"/>
      <c r="J301" s="777" t="s">
        <v>1840</v>
      </c>
      <c r="K301" s="109" t="s">
        <v>734</v>
      </c>
      <c r="L301" s="2404" t="s">
        <v>640</v>
      </c>
      <c r="M301" s="92"/>
      <c r="N301" s="702" t="s">
        <v>640</v>
      </c>
      <c r="O301" s="92"/>
      <c r="P301" s="2187"/>
      <c r="Q301" s="2404">
        <v>0</v>
      </c>
      <c r="R301" s="92"/>
      <c r="S301" s="702">
        <v>0</v>
      </c>
      <c r="T301" s="92"/>
      <c r="U301" s="2187"/>
      <c r="V301" s="2404">
        <v>17</v>
      </c>
      <c r="W301" s="92"/>
      <c r="X301" s="702">
        <v>15</v>
      </c>
      <c r="Y301" s="92"/>
      <c r="Z301" s="2187"/>
      <c r="AA301" s="2339"/>
      <c r="AB301" s="448"/>
      <c r="AC301" s="474"/>
      <c r="AD301" s="448"/>
      <c r="AE301" s="2340"/>
      <c r="AF301" s="4490"/>
      <c r="AG301" s="547"/>
      <c r="AH301" s="547"/>
      <c r="AI301" s="982" t="s">
        <v>1120</v>
      </c>
      <c r="AJ301" s="18"/>
    </row>
    <row r="302" spans="2:36" ht="19.350000000000001" hidden="1" customHeight="1">
      <c r="B302" s="4505" t="s">
        <v>2281</v>
      </c>
      <c r="C302" s="4655"/>
      <c r="D302" s="4660" t="s">
        <v>1127</v>
      </c>
      <c r="E302" s="4661"/>
      <c r="F302" s="2371" t="s">
        <v>742</v>
      </c>
      <c r="G302" s="106"/>
      <c r="H302" s="353"/>
      <c r="I302" s="685" t="s">
        <v>1128</v>
      </c>
      <c r="J302" s="895"/>
      <c r="K302" s="881" t="s">
        <v>734</v>
      </c>
      <c r="L302" s="2415"/>
      <c r="M302" s="171"/>
      <c r="N302" s="891"/>
      <c r="O302" s="171"/>
      <c r="P302" s="2276"/>
      <c r="Q302" s="2415"/>
      <c r="R302" s="171"/>
      <c r="S302" s="891"/>
      <c r="T302" s="171"/>
      <c r="U302" s="2276"/>
      <c r="V302" s="2415"/>
      <c r="W302" s="171"/>
      <c r="X302" s="891"/>
      <c r="Y302" s="171"/>
      <c r="Z302" s="2276"/>
      <c r="AA302" s="5236"/>
      <c r="AB302" s="5213"/>
      <c r="AC302" s="5212"/>
      <c r="AD302" s="5213"/>
      <c r="AE302" s="5214"/>
      <c r="AF302" s="4490"/>
      <c r="AG302" s="547"/>
      <c r="AH302" s="547"/>
      <c r="AI302" s="1244" t="s">
        <v>1129</v>
      </c>
      <c r="AJ302" s="18"/>
    </row>
    <row r="303" spans="2:36" ht="19.350000000000001" hidden="1" customHeight="1">
      <c r="B303" s="4505" t="s">
        <v>2281</v>
      </c>
      <c r="C303" s="4655"/>
      <c r="E303" s="286" t="s">
        <v>1841</v>
      </c>
      <c r="F303" s="285" t="s">
        <v>732</v>
      </c>
      <c r="G303" s="106"/>
      <c r="H303" s="353"/>
      <c r="I303" s="347"/>
      <c r="J303" s="777" t="s">
        <v>1131</v>
      </c>
      <c r="K303" s="109" t="s">
        <v>734</v>
      </c>
      <c r="L303" s="2186"/>
      <c r="M303" s="293"/>
      <c r="N303" s="100"/>
      <c r="O303" s="293"/>
      <c r="P303" s="2187"/>
      <c r="Q303" s="2186"/>
      <c r="R303" s="293"/>
      <c r="S303" s="100"/>
      <c r="T303" s="293"/>
      <c r="U303" s="2187"/>
      <c r="V303" s="2186"/>
      <c r="W303" s="293"/>
      <c r="X303" s="100"/>
      <c r="Y303" s="293"/>
      <c r="Z303" s="2187"/>
      <c r="AA303" s="2339"/>
      <c r="AB303" s="448"/>
      <c r="AC303" s="474"/>
      <c r="AD303" s="448"/>
      <c r="AE303" s="2340"/>
      <c r="AF303" s="4490"/>
      <c r="AG303" s="547"/>
      <c r="AH303" s="547"/>
      <c r="AI303" s="1244" t="s">
        <v>1129</v>
      </c>
      <c r="AJ303" s="18"/>
    </row>
    <row r="304" spans="2:36" ht="19.350000000000001" hidden="1" customHeight="1">
      <c r="B304" s="4505" t="s">
        <v>2281</v>
      </c>
      <c r="C304" s="4655"/>
      <c r="E304" s="286" t="s">
        <v>1843</v>
      </c>
      <c r="F304" s="285" t="s">
        <v>732</v>
      </c>
      <c r="G304" s="106"/>
      <c r="H304" s="353"/>
      <c r="I304" s="384"/>
      <c r="J304" s="777" t="s">
        <v>1137</v>
      </c>
      <c r="K304" s="109" t="s">
        <v>734</v>
      </c>
      <c r="L304" s="2186"/>
      <c r="M304" s="293"/>
      <c r="N304" s="100"/>
      <c r="O304" s="293"/>
      <c r="P304" s="2187"/>
      <c r="Q304" s="2186"/>
      <c r="R304" s="293"/>
      <c r="S304" s="100"/>
      <c r="T304" s="293"/>
      <c r="U304" s="2187"/>
      <c r="V304" s="2186"/>
      <c r="W304" s="293"/>
      <c r="X304" s="100"/>
      <c r="Y304" s="293"/>
      <c r="Z304" s="2187"/>
      <c r="AA304" s="2339"/>
      <c r="AB304" s="448"/>
      <c r="AC304" s="474"/>
      <c r="AD304" s="448"/>
      <c r="AE304" s="2340"/>
      <c r="AF304" s="4490"/>
      <c r="AG304" s="547"/>
      <c r="AH304" s="547"/>
      <c r="AI304" s="4662" t="s">
        <v>1129</v>
      </c>
      <c r="AJ304" s="18"/>
    </row>
    <row r="305" spans="2:36" ht="19.350000000000001" hidden="1" customHeight="1">
      <c r="B305" s="4505" t="s">
        <v>2281</v>
      </c>
      <c r="C305" s="4655"/>
      <c r="D305" s="286" t="s">
        <v>1844</v>
      </c>
      <c r="E305" s="286"/>
      <c r="F305" s="285" t="s">
        <v>154</v>
      </c>
      <c r="G305" s="106"/>
      <c r="H305" s="353"/>
      <c r="I305" s="495" t="s">
        <v>1140</v>
      </c>
      <c r="J305" s="643"/>
      <c r="K305" s="109" t="s">
        <v>154</v>
      </c>
      <c r="L305" s="2186"/>
      <c r="M305" s="92"/>
      <c r="N305" s="100"/>
      <c r="O305" s="92"/>
      <c r="P305" s="2187"/>
      <c r="Q305" s="2186"/>
      <c r="R305" s="92"/>
      <c r="S305" s="100"/>
      <c r="T305" s="92"/>
      <c r="U305" s="2187"/>
      <c r="V305" s="2186"/>
      <c r="W305" s="92"/>
      <c r="X305" s="100"/>
      <c r="Y305" s="92"/>
      <c r="Z305" s="2187"/>
      <c r="AA305" s="2339"/>
      <c r="AB305" s="448"/>
      <c r="AC305" s="474"/>
      <c r="AD305" s="448"/>
      <c r="AE305" s="2340"/>
      <c r="AF305" s="4490"/>
      <c r="AG305" s="547"/>
      <c r="AH305" s="547"/>
      <c r="AI305" s="4662" t="s">
        <v>1143</v>
      </c>
      <c r="AJ305" s="18"/>
    </row>
    <row r="306" spans="2:36" ht="19.350000000000001" hidden="1" customHeight="1">
      <c r="B306" s="4505" t="s">
        <v>2281</v>
      </c>
      <c r="C306" s="4655"/>
      <c r="D306" s="286" t="s">
        <v>1845</v>
      </c>
      <c r="E306" s="286"/>
      <c r="F306" s="285" t="s">
        <v>154</v>
      </c>
      <c r="G306" s="106"/>
      <c r="H306" s="353"/>
      <c r="I306" s="495" t="s">
        <v>1148</v>
      </c>
      <c r="J306" s="643"/>
      <c r="K306" s="109" t="s">
        <v>154</v>
      </c>
      <c r="L306" s="2186"/>
      <c r="M306" s="92"/>
      <c r="N306" s="100"/>
      <c r="O306" s="92"/>
      <c r="P306" s="2187"/>
      <c r="Q306" s="2186"/>
      <c r="R306" s="92"/>
      <c r="S306" s="100"/>
      <c r="T306" s="92"/>
      <c r="U306" s="2187"/>
      <c r="V306" s="2186"/>
      <c r="W306" s="92"/>
      <c r="X306" s="100"/>
      <c r="Y306" s="92"/>
      <c r="Z306" s="2187"/>
      <c r="AA306" s="2339"/>
      <c r="AB306" s="448"/>
      <c r="AC306" s="474"/>
      <c r="AD306" s="448"/>
      <c r="AE306" s="2340"/>
      <c r="AF306" s="4490"/>
      <c r="AG306" s="547"/>
      <c r="AH306" s="547"/>
      <c r="AI306" s="4662" t="s">
        <v>1143</v>
      </c>
      <c r="AJ306" s="18"/>
    </row>
    <row r="307" spans="2:36" ht="19.350000000000001" hidden="1" customHeight="1">
      <c r="B307" s="4505" t="s">
        <v>2281</v>
      </c>
      <c r="C307" s="4634"/>
      <c r="D307" s="286" t="s">
        <v>1846</v>
      </c>
      <c r="E307" s="286"/>
      <c r="F307" s="285" t="s">
        <v>154</v>
      </c>
      <c r="G307" s="106"/>
      <c r="H307" s="385"/>
      <c r="I307" s="495" t="s">
        <v>1151</v>
      </c>
      <c r="J307" s="643"/>
      <c r="K307" s="109" t="s">
        <v>154</v>
      </c>
      <c r="L307" s="2186"/>
      <c r="M307" s="92"/>
      <c r="N307" s="100"/>
      <c r="O307" s="92"/>
      <c r="P307" s="2187"/>
      <c r="Q307" s="2186"/>
      <c r="R307" s="92"/>
      <c r="S307" s="100"/>
      <c r="T307" s="92"/>
      <c r="U307" s="2187"/>
      <c r="V307" s="2186"/>
      <c r="W307" s="92"/>
      <c r="X307" s="100"/>
      <c r="Y307" s="92"/>
      <c r="Z307" s="2187"/>
      <c r="AA307" s="2339"/>
      <c r="AB307" s="284"/>
      <c r="AC307" s="474"/>
      <c r="AD307" s="284"/>
      <c r="AE307" s="2340"/>
      <c r="AF307" s="4490"/>
      <c r="AG307" s="547"/>
      <c r="AH307" s="547"/>
      <c r="AI307" s="1244" t="s">
        <v>1154</v>
      </c>
      <c r="AJ307" s="18"/>
    </row>
    <row r="308" spans="2:36" ht="19.350000000000001" customHeight="1">
      <c r="B308" s="4505" t="s">
        <v>2281</v>
      </c>
      <c r="C308" s="4658" t="s">
        <v>1157</v>
      </c>
      <c r="D308" s="736"/>
      <c r="E308" s="736"/>
      <c r="F308" s="2371" t="s">
        <v>732</v>
      </c>
      <c r="G308" s="168"/>
      <c r="H308" s="686" t="s">
        <v>1158</v>
      </c>
      <c r="I308" s="654"/>
      <c r="J308" s="655"/>
      <c r="K308" s="881" t="s">
        <v>734</v>
      </c>
      <c r="L308" s="2275"/>
      <c r="M308" s="171"/>
      <c r="N308" s="320"/>
      <c r="O308" s="171"/>
      <c r="P308" s="2276"/>
      <c r="Q308" s="2275"/>
      <c r="R308" s="171"/>
      <c r="S308" s="320"/>
      <c r="T308" s="171"/>
      <c r="U308" s="2276"/>
      <c r="V308" s="2275"/>
      <c r="W308" s="171"/>
      <c r="X308" s="320"/>
      <c r="Y308" s="171"/>
      <c r="Z308" s="2276"/>
      <c r="AA308" s="5236"/>
      <c r="AB308" s="5260"/>
      <c r="AC308" s="5212"/>
      <c r="AD308" s="5260"/>
      <c r="AE308" s="5214"/>
      <c r="AF308" s="4585"/>
      <c r="AG308" s="4586"/>
      <c r="AH308" s="4586"/>
      <c r="AI308" s="4587"/>
      <c r="AJ308" s="18"/>
    </row>
    <row r="309" spans="2:36" ht="19.350000000000001" customHeight="1">
      <c r="B309" s="4505" t="s">
        <v>2281</v>
      </c>
      <c r="C309" s="4663"/>
      <c r="D309" s="286" t="s">
        <v>1847</v>
      </c>
      <c r="E309" s="286"/>
      <c r="F309" s="285" t="s">
        <v>732</v>
      </c>
      <c r="G309" s="106"/>
      <c r="H309" s="348"/>
      <c r="I309" s="358" t="s">
        <v>1160</v>
      </c>
      <c r="J309" s="358"/>
      <c r="K309" s="109" t="s">
        <v>734</v>
      </c>
      <c r="L309" s="2186"/>
      <c r="M309" s="293"/>
      <c r="N309" s="100"/>
      <c r="O309" s="293"/>
      <c r="P309" s="2187"/>
      <c r="Q309" s="2186"/>
      <c r="R309" s="293"/>
      <c r="S309" s="100"/>
      <c r="T309" s="293"/>
      <c r="U309" s="2187"/>
      <c r="V309" s="2186"/>
      <c r="W309" s="293"/>
      <c r="X309" s="100"/>
      <c r="Y309" s="293"/>
      <c r="Z309" s="2187"/>
      <c r="AA309" s="2339">
        <v>8</v>
      </c>
      <c r="AB309" s="448"/>
      <c r="AC309" s="474">
        <v>18</v>
      </c>
      <c r="AD309" s="448"/>
      <c r="AE309" s="2340">
        <v>13</v>
      </c>
      <c r="AF309" s="4490"/>
      <c r="AG309" s="547"/>
      <c r="AH309" s="547"/>
      <c r="AI309" s="1244" t="s">
        <v>1163</v>
      </c>
      <c r="AJ309" s="18"/>
    </row>
    <row r="310" spans="2:36" ht="19.350000000000001" customHeight="1">
      <c r="B310" s="4505" t="s">
        <v>2281</v>
      </c>
      <c r="C310" s="4664"/>
      <c r="D310" s="286" t="s">
        <v>1849</v>
      </c>
      <c r="E310" s="897"/>
      <c r="F310" s="285" t="s">
        <v>732</v>
      </c>
      <c r="G310" s="106"/>
      <c r="H310" s="385"/>
      <c r="I310" s="358" t="s">
        <v>1167</v>
      </c>
      <c r="J310" s="358"/>
      <c r="K310" s="109" t="s">
        <v>734</v>
      </c>
      <c r="L310" s="2186"/>
      <c r="M310" s="293"/>
      <c r="N310" s="100"/>
      <c r="O310" s="293"/>
      <c r="P310" s="2187"/>
      <c r="Q310" s="2186"/>
      <c r="R310" s="293"/>
      <c r="S310" s="100"/>
      <c r="T310" s="293"/>
      <c r="U310" s="2187"/>
      <c r="V310" s="2186"/>
      <c r="W310" s="293"/>
      <c r="X310" s="100"/>
      <c r="Y310" s="293"/>
      <c r="Z310" s="2187"/>
      <c r="AA310" s="2339">
        <v>15</v>
      </c>
      <c r="AB310" s="448"/>
      <c r="AC310" s="474">
        <v>11</v>
      </c>
      <c r="AD310" s="448"/>
      <c r="AE310" s="2340">
        <v>8</v>
      </c>
      <c r="AF310" s="4490"/>
      <c r="AG310" s="547"/>
      <c r="AH310" s="547"/>
      <c r="AI310" s="1244" t="s">
        <v>1163</v>
      </c>
      <c r="AJ310" s="18"/>
    </row>
    <row r="311" spans="2:36" ht="19.350000000000001" customHeight="1">
      <c r="B311" s="4505" t="s">
        <v>2281</v>
      </c>
      <c r="C311" s="4658" t="s">
        <v>1168</v>
      </c>
      <c r="D311" s="736"/>
      <c r="E311" s="736"/>
      <c r="F311" s="2371" t="s">
        <v>732</v>
      </c>
      <c r="G311" s="4659"/>
      <c r="H311" s="736" t="s">
        <v>1169</v>
      </c>
      <c r="I311" s="736"/>
      <c r="J311" s="736"/>
      <c r="K311" s="881" t="s">
        <v>168</v>
      </c>
      <c r="L311" s="2275"/>
      <c r="M311" s="413"/>
      <c r="N311" s="320"/>
      <c r="O311" s="413"/>
      <c r="P311" s="2276"/>
      <c r="Q311" s="2275"/>
      <c r="R311" s="413"/>
      <c r="S311" s="320"/>
      <c r="T311" s="413"/>
      <c r="U311" s="2276"/>
      <c r="V311" s="2275"/>
      <c r="W311" s="413"/>
      <c r="X311" s="320"/>
      <c r="Y311" s="413"/>
      <c r="Z311" s="2276"/>
      <c r="AA311" s="5236"/>
      <c r="AB311" s="5213"/>
      <c r="AC311" s="5212"/>
      <c r="AD311" s="5213"/>
      <c r="AE311" s="5214"/>
      <c r="AF311" s="4585"/>
      <c r="AG311" s="4586"/>
      <c r="AH311" s="4586"/>
      <c r="AI311" s="4587"/>
      <c r="AJ311" s="18"/>
    </row>
    <row r="312" spans="2:36" ht="19.350000000000001" customHeight="1">
      <c r="B312" s="4505" t="s">
        <v>2281</v>
      </c>
      <c r="C312" s="4619"/>
      <c r="D312" s="286" t="s">
        <v>1850</v>
      </c>
      <c r="E312" s="286"/>
      <c r="F312" s="285" t="s">
        <v>732</v>
      </c>
      <c r="G312" s="106"/>
      <c r="H312" s="348"/>
      <c r="I312" s="495" t="s">
        <v>1171</v>
      </c>
      <c r="J312" s="643"/>
      <c r="K312" s="109" t="s">
        <v>734</v>
      </c>
      <c r="L312" s="2416" t="s">
        <v>2471</v>
      </c>
      <c r="M312" s="293">
        <v>2</v>
      </c>
      <c r="N312" s="899" t="s">
        <v>2471</v>
      </c>
      <c r="O312" s="293"/>
      <c r="P312" s="2417">
        <v>0</v>
      </c>
      <c r="Q312" s="2404">
        <v>0</v>
      </c>
      <c r="R312" s="293">
        <v>0</v>
      </c>
      <c r="S312" s="702">
        <v>0</v>
      </c>
      <c r="T312" s="293"/>
      <c r="U312" s="2417">
        <v>0</v>
      </c>
      <c r="V312" s="2404" t="s">
        <v>2472</v>
      </c>
      <c r="W312" s="293">
        <v>0</v>
      </c>
      <c r="X312" s="702" t="s">
        <v>2472</v>
      </c>
      <c r="Y312" s="293"/>
      <c r="Z312" s="2187"/>
      <c r="AA312" s="2339">
        <v>22</v>
      </c>
      <c r="AB312" s="448"/>
      <c r="AC312" s="474">
        <v>19</v>
      </c>
      <c r="AD312" s="448"/>
      <c r="AE312" s="2340">
        <v>16</v>
      </c>
      <c r="AF312" s="4490"/>
      <c r="AG312" s="547"/>
      <c r="AH312" s="547"/>
      <c r="AI312" s="1244" t="s">
        <v>1174</v>
      </c>
      <c r="AJ312" s="18"/>
    </row>
    <row r="313" spans="2:36" ht="19.350000000000001" customHeight="1">
      <c r="B313" s="4505" t="s">
        <v>2281</v>
      </c>
      <c r="C313" s="4621"/>
      <c r="D313" s="286" t="s">
        <v>1180</v>
      </c>
      <c r="E313" s="286"/>
      <c r="F313" s="285" t="s">
        <v>742</v>
      </c>
      <c r="G313" s="106"/>
      <c r="H313" s="385"/>
      <c r="I313" s="286" t="s">
        <v>1181</v>
      </c>
      <c r="J313" s="286"/>
      <c r="K313" s="109" t="s">
        <v>734</v>
      </c>
      <c r="L313" s="2418">
        <v>0</v>
      </c>
      <c r="M313" s="426">
        <v>0</v>
      </c>
      <c r="N313" s="901">
        <v>0</v>
      </c>
      <c r="O313" s="426"/>
      <c r="P313" s="2419">
        <v>0</v>
      </c>
      <c r="Q313" s="2418">
        <v>0</v>
      </c>
      <c r="R313" s="426">
        <v>0</v>
      </c>
      <c r="S313" s="901">
        <v>0</v>
      </c>
      <c r="T313" s="426"/>
      <c r="U313" s="2419">
        <v>0</v>
      </c>
      <c r="V313" s="2418" t="s">
        <v>2472</v>
      </c>
      <c r="W313" s="426">
        <v>0</v>
      </c>
      <c r="X313" s="901" t="s">
        <v>2472</v>
      </c>
      <c r="Y313" s="426"/>
      <c r="Z313" s="2289"/>
      <c r="AA313" s="5217" t="s">
        <v>641</v>
      </c>
      <c r="AB313" s="5218"/>
      <c r="AC313" s="5219" t="s">
        <v>641</v>
      </c>
      <c r="AD313" s="5218"/>
      <c r="AE313" s="5220" t="s">
        <v>641</v>
      </c>
      <c r="AF313" s="4490"/>
      <c r="AG313" s="547"/>
      <c r="AH313" s="547"/>
      <c r="AI313" s="1244" t="s">
        <v>1174</v>
      </c>
      <c r="AJ313" s="18"/>
    </row>
    <row r="314" spans="2:36" ht="19.350000000000001" customHeight="1">
      <c r="B314" s="4505" t="s">
        <v>2281</v>
      </c>
      <c r="C314" s="4618" t="s">
        <v>1186</v>
      </c>
      <c r="D314" s="663"/>
      <c r="E314" s="4665"/>
      <c r="F314" s="4653" t="s">
        <v>168</v>
      </c>
      <c r="G314" s="4659"/>
      <c r="H314" s="736" t="s">
        <v>1187</v>
      </c>
      <c r="I314" s="736"/>
      <c r="J314" s="736"/>
      <c r="K314" s="881" t="s">
        <v>168</v>
      </c>
      <c r="L314" s="2420"/>
      <c r="M314" s="904"/>
      <c r="N314" s="903"/>
      <c r="O314" s="904"/>
      <c r="P314" s="2421"/>
      <c r="Q314" s="2420"/>
      <c r="R314" s="904"/>
      <c r="S314" s="903"/>
      <c r="T314" s="904"/>
      <c r="U314" s="2421"/>
      <c r="V314" s="2420"/>
      <c r="W314" s="904"/>
      <c r="X314" s="903"/>
      <c r="Y314" s="904"/>
      <c r="Z314" s="2464"/>
      <c r="AA314" s="5261"/>
      <c r="AB314" s="5262"/>
      <c r="AC314" s="5263"/>
      <c r="AD314" s="5262"/>
      <c r="AE314" s="5264"/>
      <c r="AF314" s="4585"/>
      <c r="AG314" s="4586"/>
      <c r="AH314" s="4586"/>
      <c r="AI314" s="4587"/>
      <c r="AJ314" s="18"/>
    </row>
    <row r="315" spans="2:36" ht="19.350000000000001" customHeight="1">
      <c r="B315" s="4505" t="s">
        <v>2281</v>
      </c>
      <c r="C315" s="4619"/>
      <c r="D315" s="286" t="s">
        <v>1188</v>
      </c>
      <c r="E315" s="286"/>
      <c r="F315" s="285" t="s">
        <v>156</v>
      </c>
      <c r="G315" s="909"/>
      <c r="H315" s="906"/>
      <c r="I315" s="961" t="s">
        <v>1189</v>
      </c>
      <c r="J315" s="4666"/>
      <c r="K315" s="109" t="s">
        <v>156</v>
      </c>
      <c r="L315" s="2404">
        <v>92.694497153700198</v>
      </c>
      <c r="M315" s="92"/>
      <c r="N315" s="702">
        <v>94.71947194719472</v>
      </c>
      <c r="O315" s="92"/>
      <c r="P315" s="2187"/>
      <c r="Q315" s="2404">
        <v>94.858156028368796</v>
      </c>
      <c r="R315" s="92"/>
      <c r="S315" s="702">
        <v>93.934142114384741</v>
      </c>
      <c r="T315" s="92"/>
      <c r="U315" s="2187"/>
      <c r="V315" s="2404">
        <v>95.778364116094977</v>
      </c>
      <c r="W315" s="92"/>
      <c r="X315" s="702">
        <v>89.258312020460366</v>
      </c>
      <c r="Y315" s="92"/>
      <c r="Z315" s="2187"/>
      <c r="AA315" s="5217" t="s">
        <v>641</v>
      </c>
      <c r="AB315" s="5218"/>
      <c r="AC315" s="5219" t="s">
        <v>641</v>
      </c>
      <c r="AD315" s="5218"/>
      <c r="AE315" s="5220" t="s">
        <v>641</v>
      </c>
      <c r="AF315" s="4490"/>
      <c r="AG315" s="547"/>
      <c r="AH315" s="547"/>
      <c r="AI315" s="1244" t="s">
        <v>1192</v>
      </c>
      <c r="AJ315" s="18"/>
    </row>
    <row r="316" spans="2:36" ht="19.350000000000001" customHeight="1">
      <c r="B316" s="4505" t="s">
        <v>2281</v>
      </c>
      <c r="C316" s="4620"/>
      <c r="D316" s="286" t="s">
        <v>1196</v>
      </c>
      <c r="E316" s="286"/>
      <c r="F316" s="285" t="s">
        <v>156</v>
      </c>
      <c r="G316" s="909"/>
      <c r="H316" s="910"/>
      <c r="I316" s="961" t="s">
        <v>1197</v>
      </c>
      <c r="J316" s="4666"/>
      <c r="K316" s="109" t="s">
        <v>156</v>
      </c>
      <c r="L316" s="2404">
        <v>92.694497153700198</v>
      </c>
      <c r="M316" s="92"/>
      <c r="N316" s="702">
        <v>94.71947194719472</v>
      </c>
      <c r="O316" s="92"/>
      <c r="P316" s="2187"/>
      <c r="Q316" s="2404">
        <v>94.858156028368796</v>
      </c>
      <c r="R316" s="92"/>
      <c r="S316" s="702">
        <v>93.934142114384741</v>
      </c>
      <c r="T316" s="92"/>
      <c r="U316" s="2187"/>
      <c r="V316" s="2404">
        <v>96.569920844327171</v>
      </c>
      <c r="W316" s="92"/>
      <c r="X316" s="702">
        <v>90.025575447570333</v>
      </c>
      <c r="Y316" s="92"/>
      <c r="Z316" s="2187"/>
      <c r="AA316" s="5217" t="s">
        <v>641</v>
      </c>
      <c r="AB316" s="5218"/>
      <c r="AC316" s="5219" t="s">
        <v>641</v>
      </c>
      <c r="AD316" s="5218"/>
      <c r="AE316" s="5220" t="s">
        <v>641</v>
      </c>
      <c r="AF316" s="4490"/>
      <c r="AG316" s="547"/>
      <c r="AH316" s="547"/>
      <c r="AI316" s="1244" t="s">
        <v>1192</v>
      </c>
      <c r="AJ316" s="18"/>
    </row>
    <row r="317" spans="2:36" ht="19.350000000000001" customHeight="1">
      <c r="B317" s="4505" t="s">
        <v>2281</v>
      </c>
      <c r="C317" s="4621"/>
      <c r="D317" s="893" t="s">
        <v>1198</v>
      </c>
      <c r="E317" s="911"/>
      <c r="F317" s="285" t="s">
        <v>156</v>
      </c>
      <c r="G317" s="909"/>
      <c r="H317" s="913"/>
      <c r="I317" s="777" t="s">
        <v>1852</v>
      </c>
      <c r="J317" s="777"/>
      <c r="K317" s="109" t="s">
        <v>156</v>
      </c>
      <c r="L317" s="2404">
        <v>92.694497153700198</v>
      </c>
      <c r="M317" s="92"/>
      <c r="N317" s="702">
        <v>94.71947194719472</v>
      </c>
      <c r="O317" s="92"/>
      <c r="P317" s="2187"/>
      <c r="Q317" s="2404">
        <v>94.858156028368796</v>
      </c>
      <c r="R317" s="92"/>
      <c r="S317" s="702">
        <v>93.934142114384741</v>
      </c>
      <c r="T317" s="92"/>
      <c r="U317" s="2187"/>
      <c r="V317" s="2404">
        <v>96.569920844327171</v>
      </c>
      <c r="W317" s="92"/>
      <c r="X317" s="702">
        <v>90.025575447570333</v>
      </c>
      <c r="Y317" s="92"/>
      <c r="Z317" s="2187"/>
      <c r="AA317" s="5217" t="s">
        <v>641</v>
      </c>
      <c r="AB317" s="5218"/>
      <c r="AC317" s="5219" t="s">
        <v>641</v>
      </c>
      <c r="AD317" s="5218"/>
      <c r="AE317" s="5220" t="s">
        <v>641</v>
      </c>
      <c r="AF317" s="4490"/>
      <c r="AG317" s="546"/>
      <c r="AH317" s="547"/>
      <c r="AI317" s="1244" t="s">
        <v>1192</v>
      </c>
      <c r="AJ317" s="18"/>
    </row>
    <row r="318" spans="2:36" ht="19.350000000000001" customHeight="1">
      <c r="B318" s="4505" t="s">
        <v>2281</v>
      </c>
      <c r="C318" s="1878" t="s">
        <v>1200</v>
      </c>
      <c r="D318" s="781"/>
      <c r="E318" s="781"/>
      <c r="F318" s="285" t="s">
        <v>156</v>
      </c>
      <c r="G318" s="909"/>
      <c r="H318" s="757" t="s">
        <v>1201</v>
      </c>
      <c r="I318" s="757"/>
      <c r="J318" s="4666"/>
      <c r="K318" s="109" t="s">
        <v>156</v>
      </c>
      <c r="L318" s="2226">
        <f t="shared" ref="L318" si="21">IFERROR(L319/L320*100,"-")</f>
        <v>8302.3336329535396</v>
      </c>
      <c r="M318" s="293"/>
      <c r="N318" s="356">
        <f>IFERROR(N319/N320*100,"-")</f>
        <v>6970.5534619517111</v>
      </c>
      <c r="O318" s="293"/>
      <c r="P318" s="2241" t="str">
        <f>IFERROR(P319/P320*100,"-")</f>
        <v>-</v>
      </c>
      <c r="Q318" s="2226">
        <f>IFERROR(Q319/Q320*100,"-")</f>
        <v>7.8456599564427547</v>
      </c>
      <c r="R318" s="293"/>
      <c r="S318" s="356">
        <f>IFERROR(S319/S320*100,"-")</f>
        <v>7.3792618859629826</v>
      </c>
      <c r="T318" s="293"/>
      <c r="U318" s="2241" t="str">
        <f>IFERROR(U319/U320*100,"-")</f>
        <v>-</v>
      </c>
      <c r="V318" s="2226">
        <f>IFERROR(V319/V320*100,"-")</f>
        <v>3.9979412259403513</v>
      </c>
      <c r="W318" s="293"/>
      <c r="X318" s="356">
        <f>IFERROR(X319/X320*100,"-")</f>
        <v>3.1804838441454444</v>
      </c>
      <c r="Y318" s="293"/>
      <c r="Z318" s="2241" t="str">
        <f>IFERROR(Z319/Z320*100,"-")</f>
        <v>-</v>
      </c>
      <c r="AA318" s="2265" t="str">
        <f>IFERROR(AA319/AA320*100,"-")</f>
        <v>-</v>
      </c>
      <c r="AB318" s="448"/>
      <c r="AC318" s="785" t="str">
        <f>IFERROR(AC319/AC320*100,"-")</f>
        <v>-</v>
      </c>
      <c r="AD318" s="448"/>
      <c r="AE318" s="2266" t="str">
        <f>IFERROR(AE319/AE320*100,"-")</f>
        <v>-</v>
      </c>
      <c r="AF318" s="4667"/>
      <c r="AG318" s="547"/>
      <c r="AH318" s="547"/>
      <c r="AI318" s="1244" t="s">
        <v>1204</v>
      </c>
      <c r="AJ318" s="18"/>
    </row>
    <row r="319" spans="2:36" ht="19.350000000000001" customHeight="1">
      <c r="B319" s="4505" t="s">
        <v>2281</v>
      </c>
      <c r="C319" s="4632"/>
      <c r="D319" s="914" t="s">
        <v>1205</v>
      </c>
      <c r="E319" s="915"/>
      <c r="F319" s="285" t="s">
        <v>33</v>
      </c>
      <c r="G319" s="909"/>
      <c r="H319" s="905"/>
      <c r="I319" s="913" t="s">
        <v>1206</v>
      </c>
      <c r="J319" s="913"/>
      <c r="K319" s="109" t="s">
        <v>35</v>
      </c>
      <c r="L319" s="2414">
        <v>195954584.22174096</v>
      </c>
      <c r="M319" s="919" t="s">
        <v>3180</v>
      </c>
      <c r="N319" s="802">
        <v>165088566.73236036</v>
      </c>
      <c r="O319" s="919" t="s">
        <v>2482</v>
      </c>
      <c r="P319" s="2268"/>
      <c r="Q319" s="2414">
        <v>195283.10768738901</v>
      </c>
      <c r="R319" s="919" t="s">
        <v>1214</v>
      </c>
      <c r="S319" s="802">
        <v>230961.32265972221</v>
      </c>
      <c r="T319" s="919" t="s">
        <v>1214</v>
      </c>
      <c r="U319" s="2268"/>
      <c r="V319" s="2414">
        <v>79152000</v>
      </c>
      <c r="W319" s="877">
        <v>0</v>
      </c>
      <c r="X319" s="802">
        <v>79752000</v>
      </c>
      <c r="Y319" s="877">
        <v>0</v>
      </c>
      <c r="Z319" s="2268"/>
      <c r="AA319" s="5265"/>
      <c r="AB319" s="5266" t="s">
        <v>3512</v>
      </c>
      <c r="AC319" s="5267"/>
      <c r="AD319" s="5268" t="s">
        <v>3513</v>
      </c>
      <c r="AE319" s="5269"/>
      <c r="AF319" s="5270"/>
      <c r="AG319" s="547"/>
      <c r="AH319" s="547"/>
      <c r="AI319" s="1244" t="s">
        <v>1204</v>
      </c>
      <c r="AJ319" s="18"/>
    </row>
    <row r="320" spans="2:36" ht="19.149999999999999" customHeight="1">
      <c r="B320" s="4505" t="s">
        <v>2281</v>
      </c>
      <c r="C320" s="4634"/>
      <c r="D320" s="920" t="s">
        <v>1215</v>
      </c>
      <c r="E320" s="921"/>
      <c r="F320" s="285" t="s">
        <v>33</v>
      </c>
      <c r="G320" s="909"/>
      <c r="H320" s="912"/>
      <c r="I320" s="922" t="s">
        <v>1216</v>
      </c>
      <c r="J320" s="922"/>
      <c r="K320" s="109" t="s">
        <v>35</v>
      </c>
      <c r="L320" s="2404">
        <v>2360235</v>
      </c>
      <c r="M320" s="294" t="s">
        <v>2484</v>
      </c>
      <c r="N320" s="702">
        <v>2368371</v>
      </c>
      <c r="O320" s="294" t="s">
        <v>2484</v>
      </c>
      <c r="P320" s="2187"/>
      <c r="Q320" s="2404">
        <v>2489059.0309999995</v>
      </c>
      <c r="R320" s="294" t="s">
        <v>1214</v>
      </c>
      <c r="S320" s="702">
        <v>3129870.2530000005</v>
      </c>
      <c r="T320" s="294" t="s">
        <v>1214</v>
      </c>
      <c r="U320" s="2187"/>
      <c r="V320" s="2404">
        <v>1979819000</v>
      </c>
      <c r="W320" s="293">
        <v>0</v>
      </c>
      <c r="X320" s="702">
        <v>2507543000</v>
      </c>
      <c r="Y320" s="293">
        <v>0</v>
      </c>
      <c r="Z320" s="2187"/>
      <c r="AA320" s="2339"/>
      <c r="AB320" s="5271" t="s">
        <v>3514</v>
      </c>
      <c r="AC320" s="474"/>
      <c r="AD320" s="929" t="s">
        <v>3515</v>
      </c>
      <c r="AE320" s="2340"/>
      <c r="AF320" s="5270"/>
      <c r="AG320" s="547"/>
      <c r="AH320" s="547"/>
      <c r="AI320" s="1244" t="s">
        <v>1204</v>
      </c>
      <c r="AJ320" s="18"/>
    </row>
    <row r="321" spans="1:37" ht="19.350000000000001" hidden="1" customHeight="1">
      <c r="B321" s="4505" t="s">
        <v>2281</v>
      </c>
      <c r="C321" s="4669" t="s">
        <v>1221</v>
      </c>
      <c r="D321" s="924"/>
      <c r="E321" s="924"/>
      <c r="F321" s="285" t="s">
        <v>156</v>
      </c>
      <c r="G321" s="909"/>
      <c r="H321" s="925" t="s">
        <v>1222</v>
      </c>
      <c r="I321" s="925"/>
      <c r="J321" s="922"/>
      <c r="K321" s="109" t="s">
        <v>156</v>
      </c>
      <c r="L321" s="2270">
        <f t="shared" ref="L321" si="22">IFERROR(L322/L323*100,"-")</f>
        <v>0</v>
      </c>
      <c r="M321" s="929"/>
      <c r="N321" s="391">
        <f>IFERROR(N322/N323*100,"-")</f>
        <v>0</v>
      </c>
      <c r="O321" s="930"/>
      <c r="P321" s="2216" t="str">
        <f>IFERROR(P322/P323*100,"-")</f>
        <v>-</v>
      </c>
      <c r="Q321" s="2270">
        <f>IFERROR(Q322/Q323*100,"-")</f>
        <v>0</v>
      </c>
      <c r="R321" s="930"/>
      <c r="S321" s="391">
        <f>IFERROR(S322/S323*100,"-")</f>
        <v>0</v>
      </c>
      <c r="T321" s="930"/>
      <c r="U321" s="2216" t="str">
        <f>IFERROR(U322/U323*100,"-")</f>
        <v>-</v>
      </c>
      <c r="V321" s="2270">
        <f>IFERROR(V322/V323*100,"-")</f>
        <v>0</v>
      </c>
      <c r="W321" s="929"/>
      <c r="X321" s="391">
        <f>IFERROR(X322/X323*100,"-")</f>
        <v>0</v>
      </c>
      <c r="Y321" s="929"/>
      <c r="Z321" s="2216">
        <f>IFERROR(Z322/Z323*100,"-")</f>
        <v>0</v>
      </c>
      <c r="AA321" s="5272" t="str">
        <f>IFERROR(AA322/AA323*100,"-")</f>
        <v>-</v>
      </c>
      <c r="AB321" s="929"/>
      <c r="AC321" s="2002" t="str">
        <f>IFERROR(AC322/AC323*100,"-")</f>
        <v>-</v>
      </c>
      <c r="AD321" s="929"/>
      <c r="AE321" s="5273" t="str">
        <f>IFERROR(AE322/AE323*100,"-")</f>
        <v>-</v>
      </c>
      <c r="AF321" s="4668"/>
      <c r="AG321" s="547"/>
      <c r="AH321" s="547"/>
      <c r="AI321" s="1244" t="s">
        <v>1225</v>
      </c>
      <c r="AJ321" s="18"/>
    </row>
    <row r="322" spans="1:37" ht="19.350000000000001" hidden="1" customHeight="1" thickBot="1">
      <c r="B322" s="4505" t="s">
        <v>2281</v>
      </c>
      <c r="C322" s="1914"/>
      <c r="D322" s="931" t="s">
        <v>1226</v>
      </c>
      <c r="E322" s="931"/>
      <c r="F322" s="285" t="s">
        <v>33</v>
      </c>
      <c r="G322" s="909"/>
      <c r="H322" s="922"/>
      <c r="I322" s="932" t="s">
        <v>1227</v>
      </c>
      <c r="J322" s="922"/>
      <c r="K322" s="109" t="s">
        <v>35</v>
      </c>
      <c r="L322" s="2186"/>
      <c r="M322" s="935"/>
      <c r="N322" s="100"/>
      <c r="O322" s="935"/>
      <c r="P322" s="2187"/>
      <c r="Q322" s="2186"/>
      <c r="R322" s="284"/>
      <c r="S322" s="100"/>
      <c r="T322" s="935"/>
      <c r="U322" s="2187"/>
      <c r="V322" s="2186"/>
      <c r="W322" s="284"/>
      <c r="X322" s="100"/>
      <c r="Y322" s="284"/>
      <c r="Z322" s="2187"/>
      <c r="AA322" s="2339"/>
      <c r="AB322" s="284"/>
      <c r="AC322" s="474"/>
      <c r="AD322" s="284"/>
      <c r="AE322" s="2340"/>
      <c r="AF322" s="4668"/>
      <c r="AG322" s="547"/>
      <c r="AH322" s="547"/>
      <c r="AI322" s="1244" t="s">
        <v>1225</v>
      </c>
      <c r="AJ322" s="18"/>
    </row>
    <row r="323" spans="1:37" ht="19.350000000000001" hidden="1" customHeight="1" thickBot="1">
      <c r="B323" s="4505" t="s">
        <v>2281</v>
      </c>
      <c r="C323" s="1915"/>
      <c r="D323" s="936" t="s">
        <v>1031</v>
      </c>
      <c r="E323" s="924"/>
      <c r="F323" s="285" t="s">
        <v>33</v>
      </c>
      <c r="G323" s="909"/>
      <c r="H323" s="922"/>
      <c r="I323" s="932" t="s">
        <v>1032</v>
      </c>
      <c r="J323" s="922"/>
      <c r="K323" s="109" t="s">
        <v>35</v>
      </c>
      <c r="L323" s="2422">
        <v>1054</v>
      </c>
      <c r="M323" s="941"/>
      <c r="N323" s="937">
        <v>909</v>
      </c>
      <c r="O323" s="941"/>
      <c r="P323" s="2283">
        <v>0</v>
      </c>
      <c r="Q323" s="2422">
        <v>1105</v>
      </c>
      <c r="R323" s="941"/>
      <c r="S323" s="937">
        <v>2446</v>
      </c>
      <c r="T323" s="941"/>
      <c r="U323" s="2283">
        <v>0</v>
      </c>
      <c r="V323" s="2422">
        <v>381</v>
      </c>
      <c r="W323" s="939"/>
      <c r="X323" s="937">
        <v>393</v>
      </c>
      <c r="Y323" s="939"/>
      <c r="Z323" s="2283">
        <v>393</v>
      </c>
      <c r="AA323" s="2422">
        <v>0</v>
      </c>
      <c r="AB323" s="939"/>
      <c r="AC323" s="937">
        <v>0</v>
      </c>
      <c r="AD323" s="939"/>
      <c r="AE323" s="2283">
        <v>0</v>
      </c>
      <c r="AF323" s="4668"/>
      <c r="AG323" s="547"/>
      <c r="AH323" s="547"/>
      <c r="AI323" s="1244" t="s">
        <v>1225</v>
      </c>
      <c r="AJ323" s="18"/>
    </row>
    <row r="324" spans="1:37" ht="19.350000000000001" customHeight="1" thickBot="1">
      <c r="B324" s="4505" t="s">
        <v>2281</v>
      </c>
      <c r="C324" s="4669" t="s">
        <v>1229</v>
      </c>
      <c r="D324" s="924"/>
      <c r="E324" s="924"/>
      <c r="F324" s="942" t="s">
        <v>156</v>
      </c>
      <c r="G324" s="384"/>
      <c r="H324" s="943" t="s">
        <v>1230</v>
      </c>
      <c r="I324" s="944"/>
      <c r="J324" s="945"/>
      <c r="K324" s="873" t="s">
        <v>156</v>
      </c>
      <c r="L324" s="2267"/>
      <c r="M324" s="877"/>
      <c r="N324" s="335"/>
      <c r="O324" s="877"/>
      <c r="P324" s="2268"/>
      <c r="Q324" s="2267"/>
      <c r="R324" s="877"/>
      <c r="S324" s="335"/>
      <c r="T324" s="877"/>
      <c r="U324" s="2268"/>
      <c r="V324" s="2267"/>
      <c r="W324" s="877"/>
      <c r="X324" s="335"/>
      <c r="Y324" s="877"/>
      <c r="Z324" s="2268"/>
      <c r="AA324" s="5217" t="s">
        <v>641</v>
      </c>
      <c r="AB324" s="5218"/>
      <c r="AC324" s="5219" t="s">
        <v>641</v>
      </c>
      <c r="AD324" s="5218"/>
      <c r="AE324" s="5220" t="s">
        <v>641</v>
      </c>
      <c r="AF324" s="4667"/>
      <c r="AG324" s="547"/>
      <c r="AH324" s="547"/>
      <c r="AI324" s="4527" t="s">
        <v>3499</v>
      </c>
      <c r="AJ324" s="18"/>
    </row>
    <row r="325" spans="1:37" ht="27" thickBot="1">
      <c r="B325" s="4505" t="s">
        <v>2281</v>
      </c>
      <c r="C325" s="123" t="s">
        <v>1234</v>
      </c>
      <c r="D325" s="124"/>
      <c r="E325" s="124"/>
      <c r="F325" s="124"/>
      <c r="G325" s="519" t="s">
        <v>3500</v>
      </c>
      <c r="H325" s="126"/>
      <c r="I325" s="126"/>
      <c r="J325" s="126"/>
      <c r="K325" s="124"/>
      <c r="L325" s="2175"/>
      <c r="M325" s="148"/>
      <c r="N325" s="148"/>
      <c r="O325" s="148"/>
      <c r="P325" s="2176"/>
      <c r="Q325" s="2175"/>
      <c r="R325" s="148"/>
      <c r="S325" s="148"/>
      <c r="T325" s="148"/>
      <c r="U325" s="2176"/>
      <c r="V325" s="2175"/>
      <c r="W325" s="148"/>
      <c r="X325" s="148"/>
      <c r="Y325" s="148"/>
      <c r="Z325" s="2176"/>
      <c r="AA325" s="5237"/>
      <c r="AB325" s="1423"/>
      <c r="AC325" s="1423"/>
      <c r="AD325" s="1423"/>
      <c r="AE325" s="5238"/>
      <c r="AF325" s="2175"/>
      <c r="AG325" s="148"/>
      <c r="AH325" s="80"/>
      <c r="AI325" s="4670"/>
      <c r="AJ325"/>
      <c r="AK325"/>
    </row>
    <row r="326" spans="1:37" s="139" customFormat="1" ht="20.100000000000001" customHeight="1">
      <c r="A326" s="11"/>
      <c r="B326" s="4505" t="s">
        <v>2281</v>
      </c>
      <c r="C326" s="4671" t="s">
        <v>1236</v>
      </c>
      <c r="D326" s="947"/>
      <c r="E326" s="947"/>
      <c r="F326" s="4614" t="s">
        <v>168</v>
      </c>
      <c r="G326" s="4672"/>
      <c r="H326" s="949" t="s">
        <v>1237</v>
      </c>
      <c r="I326" s="949"/>
      <c r="J326" s="950"/>
      <c r="K326" s="731" t="s">
        <v>168</v>
      </c>
      <c r="L326" s="2423"/>
      <c r="M326" s="954"/>
      <c r="N326" s="953"/>
      <c r="O326" s="954"/>
      <c r="P326" s="2424"/>
      <c r="Q326" s="2423"/>
      <c r="R326" s="954"/>
      <c r="S326" s="953"/>
      <c r="T326" s="954"/>
      <c r="U326" s="2424"/>
      <c r="V326" s="2423"/>
      <c r="W326" s="954"/>
      <c r="X326" s="953"/>
      <c r="Y326" s="954"/>
      <c r="Z326" s="2424"/>
      <c r="AA326" s="5274"/>
      <c r="AB326" s="5275"/>
      <c r="AC326" s="5276"/>
      <c r="AD326" s="5275"/>
      <c r="AE326" s="5277"/>
      <c r="AF326" s="4673"/>
      <c r="AG326" s="956"/>
      <c r="AH326" s="956"/>
      <c r="AI326" s="4674"/>
      <c r="AJ326" s="18"/>
    </row>
    <row r="327" spans="1:37" ht="20.100000000000001" customHeight="1">
      <c r="B327" s="4505" t="s">
        <v>2281</v>
      </c>
      <c r="C327" s="4523"/>
      <c r="D327" s="893" t="s">
        <v>1238</v>
      </c>
      <c r="E327" s="893"/>
      <c r="F327" s="492" t="s">
        <v>154</v>
      </c>
      <c r="G327" s="662"/>
      <c r="H327" s="322"/>
      <c r="I327" s="344" t="s">
        <v>1239</v>
      </c>
      <c r="J327" s="296"/>
      <c r="K327" s="91" t="s">
        <v>154</v>
      </c>
      <c r="L327" s="2286"/>
      <c r="M327" s="960"/>
      <c r="N327" s="959"/>
      <c r="O327" s="960"/>
      <c r="P327" s="2425"/>
      <c r="Q327" s="2286"/>
      <c r="R327" s="960"/>
      <c r="S327" s="959"/>
      <c r="T327" s="960"/>
      <c r="U327" s="2425"/>
      <c r="V327" s="2286"/>
      <c r="W327" s="960"/>
      <c r="X327" s="959"/>
      <c r="Y327" s="960"/>
      <c r="Z327" s="2425"/>
      <c r="AA327" s="5215">
        <v>1.5625000000000001E-3</v>
      </c>
      <c r="AB327" s="2007"/>
      <c r="AC327" s="5216">
        <v>4.370629370629371E-3</v>
      </c>
      <c r="AD327" s="789"/>
      <c r="AE327" s="5216">
        <v>9.442870632672332E-3</v>
      </c>
      <c r="AF327" s="4667"/>
      <c r="AG327" s="547"/>
      <c r="AH327" s="547"/>
      <c r="AI327" s="4662" t="s">
        <v>1240</v>
      </c>
      <c r="AJ327" s="18"/>
    </row>
    <row r="328" spans="1:37" ht="20.100000000000001" hidden="1" customHeight="1">
      <c r="B328" s="4505" t="s">
        <v>2281</v>
      </c>
      <c r="C328" s="4523"/>
      <c r="D328" s="893" t="s">
        <v>1242</v>
      </c>
      <c r="E328" s="893"/>
      <c r="F328" s="492" t="s">
        <v>154</v>
      </c>
      <c r="G328" s="662"/>
      <c r="H328" s="322"/>
      <c r="I328" s="961" t="s">
        <v>1243</v>
      </c>
      <c r="J328" s="922"/>
      <c r="K328" s="136" t="s">
        <v>154</v>
      </c>
      <c r="L328" s="2228"/>
      <c r="M328" s="382"/>
      <c r="N328" s="260"/>
      <c r="O328" s="382"/>
      <c r="P328" s="2287"/>
      <c r="Q328" s="2228"/>
      <c r="R328" s="382"/>
      <c r="S328" s="260"/>
      <c r="T328" s="382"/>
      <c r="U328" s="2287"/>
      <c r="V328" s="2228"/>
      <c r="W328" s="382"/>
      <c r="X328" s="260"/>
      <c r="Y328" s="382"/>
      <c r="Z328" s="2287"/>
      <c r="AA328" s="2232"/>
      <c r="AB328" s="2007"/>
      <c r="AC328" s="517"/>
      <c r="AD328" s="2007"/>
      <c r="AE328" s="2233"/>
      <c r="AF328" s="4668"/>
      <c r="AG328" s="547"/>
      <c r="AH328" s="547"/>
      <c r="AI328" s="4662" t="s">
        <v>1244</v>
      </c>
      <c r="AJ328" s="18"/>
    </row>
    <row r="329" spans="1:37" ht="20.100000000000001" customHeight="1">
      <c r="B329" s="4505" t="s">
        <v>2281</v>
      </c>
      <c r="C329" s="4523"/>
      <c r="D329" s="931" t="s">
        <v>1246</v>
      </c>
      <c r="E329" s="931"/>
      <c r="F329" s="132" t="s">
        <v>154</v>
      </c>
      <c r="G329" s="662"/>
      <c r="H329" s="322"/>
      <c r="I329" s="932" t="s">
        <v>1247</v>
      </c>
      <c r="J329" s="922"/>
      <c r="K329" s="136" t="s">
        <v>154</v>
      </c>
      <c r="L329" s="2228"/>
      <c r="M329" s="382"/>
      <c r="N329" s="260"/>
      <c r="O329" s="382"/>
      <c r="P329" s="2287"/>
      <c r="Q329" s="2228"/>
      <c r="R329" s="382"/>
      <c r="S329" s="260"/>
      <c r="T329" s="382"/>
      <c r="U329" s="2287"/>
      <c r="V329" s="2228"/>
      <c r="W329" s="382"/>
      <c r="X329" s="260"/>
      <c r="Y329" s="382"/>
      <c r="Z329" s="2287"/>
      <c r="AA329" s="5215">
        <v>0</v>
      </c>
      <c r="AB329" s="2007"/>
      <c r="AC329" s="5216">
        <v>0</v>
      </c>
      <c r="AD329" s="789"/>
      <c r="AE329" s="5216">
        <v>0</v>
      </c>
      <c r="AF329" s="4668"/>
      <c r="AG329" s="547"/>
      <c r="AH329" s="547"/>
      <c r="AI329" s="4662" t="s">
        <v>1240</v>
      </c>
      <c r="AJ329" s="18"/>
    </row>
    <row r="330" spans="1:37" s="139" customFormat="1" ht="20.100000000000001" hidden="1" customHeight="1">
      <c r="A330" s="11"/>
      <c r="B330" s="4505" t="s">
        <v>2281</v>
      </c>
      <c r="C330" s="4675"/>
      <c r="D330" s="931" t="s">
        <v>1248</v>
      </c>
      <c r="E330" s="931"/>
      <c r="F330" s="132" t="s">
        <v>154</v>
      </c>
      <c r="G330" s="662"/>
      <c r="H330" s="296"/>
      <c r="I330" s="932" t="s">
        <v>1249</v>
      </c>
      <c r="J330" s="922"/>
      <c r="K330" s="136" t="s">
        <v>154</v>
      </c>
      <c r="L330" s="2228"/>
      <c r="M330" s="382"/>
      <c r="N330" s="260"/>
      <c r="O330" s="382"/>
      <c r="P330" s="2287"/>
      <c r="Q330" s="2228"/>
      <c r="R330" s="382"/>
      <c r="S330" s="260"/>
      <c r="T330" s="382"/>
      <c r="U330" s="2287"/>
      <c r="V330" s="2228"/>
      <c r="W330" s="382"/>
      <c r="X330" s="260"/>
      <c r="Y330" s="382"/>
      <c r="Z330" s="2287"/>
      <c r="AA330" s="2232"/>
      <c r="AB330" s="2007"/>
      <c r="AC330" s="517"/>
      <c r="AD330" s="2007"/>
      <c r="AE330" s="2233"/>
      <c r="AF330" s="4668"/>
      <c r="AG330" s="547"/>
      <c r="AH330" s="547"/>
      <c r="AI330" s="4662" t="s">
        <v>1244</v>
      </c>
      <c r="AJ330" s="18"/>
    </row>
    <row r="331" spans="1:37" ht="20.100000000000001" customHeight="1">
      <c r="B331" s="4505" t="s">
        <v>2281</v>
      </c>
      <c r="C331" s="1878" t="s">
        <v>1250</v>
      </c>
      <c r="D331" s="781"/>
      <c r="E331" s="781"/>
      <c r="F331" s="132" t="s">
        <v>557</v>
      </c>
      <c r="G331" s="909"/>
      <c r="H331" s="757" t="s">
        <v>1251</v>
      </c>
      <c r="I331" s="757"/>
      <c r="J331" s="4666"/>
      <c r="K331" s="109" t="s">
        <v>559</v>
      </c>
      <c r="L331" s="2228">
        <v>3</v>
      </c>
      <c r="M331" s="383" t="s">
        <v>1256</v>
      </c>
      <c r="N331" s="260">
        <v>2</v>
      </c>
      <c r="O331" s="382" t="s">
        <v>1257</v>
      </c>
      <c r="P331" s="2287"/>
      <c r="Q331" s="2228">
        <v>0</v>
      </c>
      <c r="R331" s="382">
        <v>0</v>
      </c>
      <c r="S331" s="260">
        <v>0</v>
      </c>
      <c r="T331" s="382">
        <v>0</v>
      </c>
      <c r="U331" s="2287"/>
      <c r="V331" s="2228">
        <v>0</v>
      </c>
      <c r="W331" s="382" t="s">
        <v>2496</v>
      </c>
      <c r="X331" s="260">
        <v>0</v>
      </c>
      <c r="Y331" s="382" t="s">
        <v>2496</v>
      </c>
      <c r="Z331" s="2287"/>
      <c r="AA331" s="2232">
        <v>2</v>
      </c>
      <c r="AB331" s="2007"/>
      <c r="AC331" s="517">
        <v>5</v>
      </c>
      <c r="AD331" s="2007"/>
      <c r="AE331" s="2233">
        <v>10</v>
      </c>
      <c r="AF331" s="4668"/>
      <c r="AG331" s="547"/>
      <c r="AH331" s="547"/>
      <c r="AI331" s="4662" t="s">
        <v>1253</v>
      </c>
      <c r="AJ331" s="18"/>
    </row>
    <row r="332" spans="1:37" ht="20.100000000000001" customHeight="1">
      <c r="B332" s="4505" t="s">
        <v>2281</v>
      </c>
      <c r="C332" s="1878" t="s">
        <v>1258</v>
      </c>
      <c r="D332" s="781"/>
      <c r="E332" s="781"/>
      <c r="F332" s="132" t="s">
        <v>557</v>
      </c>
      <c r="G332" s="909"/>
      <c r="H332" s="757" t="s">
        <v>1259</v>
      </c>
      <c r="I332" s="757"/>
      <c r="J332" s="4666"/>
      <c r="K332" s="109" t="s">
        <v>559</v>
      </c>
      <c r="L332" s="2228"/>
      <c r="M332" s="383"/>
      <c r="N332" s="260"/>
      <c r="O332" s="382"/>
      <c r="P332" s="2287"/>
      <c r="Q332" s="2228"/>
      <c r="R332" s="382"/>
      <c r="S332" s="260"/>
      <c r="T332" s="382"/>
      <c r="U332" s="2287"/>
      <c r="V332" s="2228"/>
      <c r="W332" s="382"/>
      <c r="X332" s="260"/>
      <c r="Y332" s="382"/>
      <c r="Z332" s="2287"/>
      <c r="AA332" s="2232">
        <v>2</v>
      </c>
      <c r="AB332" s="2007"/>
      <c r="AC332" s="517">
        <v>5</v>
      </c>
      <c r="AD332" s="2007"/>
      <c r="AE332" s="2233">
        <v>10</v>
      </c>
      <c r="AF332" s="4668"/>
      <c r="AG332" s="547"/>
      <c r="AH332" s="547"/>
      <c r="AI332" s="4662" t="s">
        <v>1240</v>
      </c>
      <c r="AJ332" s="18"/>
    </row>
    <row r="333" spans="1:37" ht="20.100000000000001" customHeight="1">
      <c r="B333" s="4505" t="s">
        <v>2281</v>
      </c>
      <c r="C333" s="1878" t="s">
        <v>1261</v>
      </c>
      <c r="D333" s="781"/>
      <c r="E333" s="781"/>
      <c r="F333" s="132" t="s">
        <v>557</v>
      </c>
      <c r="G333" s="909"/>
      <c r="H333" s="757" t="s">
        <v>1262</v>
      </c>
      <c r="I333" s="757"/>
      <c r="J333" s="4666"/>
      <c r="K333" s="109" t="s">
        <v>559</v>
      </c>
      <c r="L333" s="2228">
        <v>0</v>
      </c>
      <c r="M333" s="382">
        <v>0</v>
      </c>
      <c r="N333" s="260">
        <v>0</v>
      </c>
      <c r="O333" s="382">
        <v>0</v>
      </c>
      <c r="P333" s="2287"/>
      <c r="Q333" s="2228">
        <v>0</v>
      </c>
      <c r="R333" s="382">
        <v>0</v>
      </c>
      <c r="S333" s="260">
        <v>0</v>
      </c>
      <c r="T333" s="382">
        <v>0</v>
      </c>
      <c r="U333" s="2287"/>
      <c r="V333" s="2228">
        <v>0</v>
      </c>
      <c r="W333" s="382" t="s">
        <v>2496</v>
      </c>
      <c r="X333" s="260">
        <v>0</v>
      </c>
      <c r="Y333" s="382" t="s">
        <v>2496</v>
      </c>
      <c r="Z333" s="2287"/>
      <c r="AA333" s="2232">
        <v>0</v>
      </c>
      <c r="AB333" s="2007"/>
      <c r="AC333" s="517">
        <v>0</v>
      </c>
      <c r="AD333" s="2007"/>
      <c r="AE333" s="2233">
        <v>0</v>
      </c>
      <c r="AF333" s="4668"/>
      <c r="AG333" s="547"/>
      <c r="AH333" s="547"/>
      <c r="AI333" s="1244" t="s">
        <v>1264</v>
      </c>
      <c r="AJ333" s="18"/>
    </row>
    <row r="334" spans="1:37" ht="20.100000000000001" customHeight="1">
      <c r="B334" s="4505" t="s">
        <v>2281</v>
      </c>
      <c r="C334" s="4606"/>
      <c r="D334" s="787" t="s">
        <v>1266</v>
      </c>
      <c r="E334" s="781"/>
      <c r="F334" s="132" t="s">
        <v>156</v>
      </c>
      <c r="G334" s="909"/>
      <c r="H334" s="963"/>
      <c r="I334" s="932" t="s">
        <v>1267</v>
      </c>
      <c r="J334" s="922"/>
      <c r="K334" s="109" t="s">
        <v>156</v>
      </c>
      <c r="L334" s="2228"/>
      <c r="M334" s="382"/>
      <c r="N334" s="260"/>
      <c r="O334" s="382"/>
      <c r="P334" s="2287"/>
      <c r="Q334" s="2228"/>
      <c r="R334" s="382"/>
      <c r="S334" s="260"/>
      <c r="T334" s="382"/>
      <c r="U334" s="2287"/>
      <c r="V334" s="2228"/>
      <c r="W334" s="382"/>
      <c r="X334" s="260"/>
      <c r="Y334" s="382"/>
      <c r="Z334" s="2287"/>
      <c r="AA334" s="5217" t="s">
        <v>641</v>
      </c>
      <c r="AB334" s="5218"/>
      <c r="AC334" s="5219" t="s">
        <v>641</v>
      </c>
      <c r="AD334" s="5218"/>
      <c r="AE334" s="5220" t="s">
        <v>641</v>
      </c>
      <c r="AF334" s="4668"/>
      <c r="AG334" s="547"/>
      <c r="AH334" s="547"/>
      <c r="AI334" s="4662" t="s">
        <v>1207</v>
      </c>
      <c r="AJ334" s="18"/>
    </row>
    <row r="335" spans="1:37" ht="20.100000000000001" customHeight="1">
      <c r="B335" s="4505" t="s">
        <v>2281</v>
      </c>
      <c r="C335" s="4581"/>
      <c r="D335" s="787" t="s">
        <v>1269</v>
      </c>
      <c r="E335" s="781"/>
      <c r="F335" s="132" t="s">
        <v>156</v>
      </c>
      <c r="G335" s="909"/>
      <c r="H335" s="964"/>
      <c r="I335" s="932" t="s">
        <v>1270</v>
      </c>
      <c r="J335" s="922"/>
      <c r="K335" s="109" t="s">
        <v>156</v>
      </c>
      <c r="L335" s="2228"/>
      <c r="M335" s="382"/>
      <c r="N335" s="260"/>
      <c r="O335" s="382"/>
      <c r="P335" s="2287"/>
      <c r="Q335" s="2228"/>
      <c r="R335" s="382"/>
      <c r="S335" s="260"/>
      <c r="T335" s="382"/>
      <c r="U335" s="2287"/>
      <c r="V335" s="2228"/>
      <c r="W335" s="382"/>
      <c r="X335" s="260"/>
      <c r="Y335" s="382"/>
      <c r="Z335" s="2287"/>
      <c r="AA335" s="5217" t="s">
        <v>641</v>
      </c>
      <c r="AB335" s="5218"/>
      <c r="AC335" s="5219" t="s">
        <v>641</v>
      </c>
      <c r="AD335" s="5218"/>
      <c r="AE335" s="5220" t="s">
        <v>641</v>
      </c>
      <c r="AF335" s="4668"/>
      <c r="AG335" s="547"/>
      <c r="AH335" s="547"/>
      <c r="AI335" s="4676" t="s">
        <v>1207</v>
      </c>
      <c r="AJ335" s="18"/>
    </row>
    <row r="336" spans="1:37" ht="20.100000000000001" customHeight="1">
      <c r="B336" s="4505" t="s">
        <v>2281</v>
      </c>
      <c r="C336" s="4669" t="s">
        <v>1271</v>
      </c>
      <c r="D336" s="924"/>
      <c r="E336" s="924"/>
      <c r="F336" s="132" t="s">
        <v>1272</v>
      </c>
      <c r="G336" s="909"/>
      <c r="H336" s="925" t="s">
        <v>1273</v>
      </c>
      <c r="I336" s="925"/>
      <c r="J336" s="922"/>
      <c r="K336" s="109" t="s">
        <v>1853</v>
      </c>
      <c r="L336" s="2426">
        <f>L337/L338*1000000</f>
        <v>1.363170407206264</v>
      </c>
      <c r="M336" s="973"/>
      <c r="N336" s="972">
        <f>N337/N338*1000000</f>
        <v>1.0537452212654217</v>
      </c>
      <c r="O336" s="973"/>
      <c r="P336" s="2427"/>
      <c r="Q336" s="2426">
        <f>Q337/Q338*1000000</f>
        <v>0</v>
      </c>
      <c r="R336" s="973"/>
      <c r="S336" s="972">
        <f>S337/S338*1000000</f>
        <v>0</v>
      </c>
      <c r="T336" s="973"/>
      <c r="U336" s="2427"/>
      <c r="V336" s="2426">
        <f>V337/V338*1000000</f>
        <v>0</v>
      </c>
      <c r="W336" s="973"/>
      <c r="X336" s="972">
        <f>X337/X338*1000000</f>
        <v>0</v>
      </c>
      <c r="Y336" s="973"/>
      <c r="Z336" s="2427"/>
      <c r="AA336" s="5278">
        <f>AA337/(AA338/10^6)</f>
        <v>44444.444444444445</v>
      </c>
      <c r="AB336" s="973"/>
      <c r="AC336" s="5279"/>
      <c r="AD336" s="973"/>
      <c r="AE336" s="5280"/>
      <c r="AF336" s="4668"/>
      <c r="AG336" s="547"/>
      <c r="AH336" s="547"/>
      <c r="AI336" s="4676" t="s">
        <v>1277</v>
      </c>
      <c r="AJ336" s="18"/>
    </row>
    <row r="337" spans="2:36" ht="20.100000000000001" customHeight="1">
      <c r="B337" s="4505" t="s">
        <v>2281</v>
      </c>
      <c r="C337" s="1935"/>
      <c r="D337" s="787" t="s">
        <v>1279</v>
      </c>
      <c r="E337" s="781"/>
      <c r="F337" s="132" t="s">
        <v>557</v>
      </c>
      <c r="G337" s="909"/>
      <c r="H337" s="963"/>
      <c r="I337" s="932" t="s">
        <v>1280</v>
      </c>
      <c r="J337" s="922"/>
      <c r="K337" s="109" t="s">
        <v>559</v>
      </c>
      <c r="L337" s="2228">
        <v>3</v>
      </c>
      <c r="M337" s="979" t="s">
        <v>1283</v>
      </c>
      <c r="N337" s="260">
        <v>2</v>
      </c>
      <c r="O337" s="979" t="s">
        <v>1284</v>
      </c>
      <c r="P337" s="2287"/>
      <c r="Q337" s="2228">
        <v>0</v>
      </c>
      <c r="R337" s="980">
        <v>0</v>
      </c>
      <c r="S337" s="260">
        <v>0</v>
      </c>
      <c r="T337" s="980">
        <v>0</v>
      </c>
      <c r="U337" s="2287"/>
      <c r="V337" s="2228">
        <v>0</v>
      </c>
      <c r="W337" s="980" t="s">
        <v>2496</v>
      </c>
      <c r="X337" s="260">
        <v>0</v>
      </c>
      <c r="Y337" s="980" t="s">
        <v>2496</v>
      </c>
      <c r="Z337" s="2287"/>
      <c r="AA337" s="2232">
        <v>2</v>
      </c>
      <c r="AB337" s="2007"/>
      <c r="AC337" s="517">
        <v>5</v>
      </c>
      <c r="AD337" s="2007"/>
      <c r="AE337" s="2233">
        <v>10</v>
      </c>
      <c r="AF337" s="4668"/>
      <c r="AG337" s="547"/>
      <c r="AH337" s="547"/>
      <c r="AI337" s="4677" t="s">
        <v>1277</v>
      </c>
      <c r="AJ337" s="18"/>
    </row>
    <row r="338" spans="2:36" ht="20.100000000000001" customHeight="1">
      <c r="B338" s="4505" t="s">
        <v>2281</v>
      </c>
      <c r="C338" s="4678"/>
      <c r="D338" s="936" t="s">
        <v>1286</v>
      </c>
      <c r="E338" s="924"/>
      <c r="F338" s="105" t="s">
        <v>1018</v>
      </c>
      <c r="G338" s="909"/>
      <c r="H338" s="964"/>
      <c r="I338" s="932" t="s">
        <v>1287</v>
      </c>
      <c r="J338" s="922"/>
      <c r="K338" s="109" t="s">
        <v>1831</v>
      </c>
      <c r="L338" s="2428">
        <v>2200752</v>
      </c>
      <c r="M338" s="979" t="s">
        <v>1296</v>
      </c>
      <c r="N338" s="984">
        <v>1897992</v>
      </c>
      <c r="O338" s="979" t="s">
        <v>1297</v>
      </c>
      <c r="P338" s="2287"/>
      <c r="Q338" s="2428">
        <v>1433842</v>
      </c>
      <c r="R338" s="979" t="s">
        <v>2506</v>
      </c>
      <c r="S338" s="984">
        <v>2398249</v>
      </c>
      <c r="T338" s="979" t="s">
        <v>2507</v>
      </c>
      <c r="U338" s="2287"/>
      <c r="V338" s="2428">
        <v>749808</v>
      </c>
      <c r="W338" s="979" t="s">
        <v>1300</v>
      </c>
      <c r="X338" s="984">
        <v>773424</v>
      </c>
      <c r="Y338" s="979" t="s">
        <v>1300</v>
      </c>
      <c r="Z338" s="2287"/>
      <c r="AA338" s="2232">
        <v>45</v>
      </c>
      <c r="AB338" s="980"/>
      <c r="AC338" s="517">
        <v>112.5</v>
      </c>
      <c r="AD338" s="980"/>
      <c r="AE338" s="2233">
        <v>225</v>
      </c>
      <c r="AF338" s="4668"/>
      <c r="AG338" s="547"/>
      <c r="AH338" s="547"/>
      <c r="AI338" s="4677" t="s">
        <v>1277</v>
      </c>
      <c r="AJ338" s="18"/>
    </row>
    <row r="339" spans="2:36" ht="20.100000000000001" hidden="1" customHeight="1">
      <c r="B339" s="4505" t="s">
        <v>2281</v>
      </c>
      <c r="C339" s="4669" t="s">
        <v>1302</v>
      </c>
      <c r="D339" s="924"/>
      <c r="E339" s="924"/>
      <c r="F339" s="105" t="s">
        <v>1272</v>
      </c>
      <c r="G339" s="909"/>
      <c r="H339" s="925" t="s">
        <v>1303</v>
      </c>
      <c r="I339" s="925"/>
      <c r="J339" s="922"/>
      <c r="K339" s="162" t="s">
        <v>1853</v>
      </c>
      <c r="L339" s="2228"/>
      <c r="M339" s="980"/>
      <c r="N339" s="260"/>
      <c r="O339" s="980"/>
      <c r="P339" s="2287"/>
      <c r="Q339" s="2228"/>
      <c r="R339" s="980"/>
      <c r="S339" s="260"/>
      <c r="T339" s="980"/>
      <c r="U339" s="2287"/>
      <c r="V339" s="2228"/>
      <c r="W339" s="980"/>
      <c r="X339" s="260"/>
      <c r="Y339" s="980"/>
      <c r="Z339" s="2287"/>
      <c r="AA339" s="2232"/>
      <c r="AB339" s="980"/>
      <c r="AC339" s="517"/>
      <c r="AD339" s="980"/>
      <c r="AE339" s="2233"/>
      <c r="AF339" s="4668"/>
      <c r="AG339" s="547"/>
      <c r="AH339" s="547"/>
      <c r="AI339" s="1244" t="s">
        <v>1306</v>
      </c>
      <c r="AJ339" s="18"/>
    </row>
    <row r="340" spans="2:36" ht="20.100000000000001" hidden="1" customHeight="1">
      <c r="B340" s="4505" t="s">
        <v>2281</v>
      </c>
      <c r="C340" s="1935"/>
      <c r="D340" s="936" t="s">
        <v>1307</v>
      </c>
      <c r="E340" s="924"/>
      <c r="F340" s="105" t="s">
        <v>557</v>
      </c>
      <c r="G340" s="909"/>
      <c r="H340" s="963"/>
      <c r="I340" s="932" t="s">
        <v>1308</v>
      </c>
      <c r="J340" s="922"/>
      <c r="K340" s="162" t="s">
        <v>559</v>
      </c>
      <c r="L340" s="2228"/>
      <c r="M340" s="980"/>
      <c r="N340" s="260"/>
      <c r="O340" s="980"/>
      <c r="P340" s="2287"/>
      <c r="Q340" s="2228"/>
      <c r="R340" s="980"/>
      <c r="S340" s="260"/>
      <c r="T340" s="980"/>
      <c r="U340" s="2287"/>
      <c r="V340" s="2228"/>
      <c r="W340" s="980"/>
      <c r="X340" s="260"/>
      <c r="Y340" s="980"/>
      <c r="Z340" s="2287"/>
      <c r="AA340" s="2232"/>
      <c r="AB340" s="980"/>
      <c r="AC340" s="517"/>
      <c r="AD340" s="980"/>
      <c r="AE340" s="2233"/>
      <c r="AF340" s="4668"/>
      <c r="AG340" s="547"/>
      <c r="AH340" s="547"/>
      <c r="AI340" s="1244" t="s">
        <v>1306</v>
      </c>
      <c r="AJ340" s="18"/>
    </row>
    <row r="341" spans="2:36" ht="20.100000000000001" hidden="1" customHeight="1">
      <c r="B341" s="4505" t="s">
        <v>2281</v>
      </c>
      <c r="C341" s="4678"/>
      <c r="D341" s="936" t="s">
        <v>1309</v>
      </c>
      <c r="E341" s="924"/>
      <c r="F341" s="105" t="s">
        <v>1018</v>
      </c>
      <c r="G341" s="909"/>
      <c r="H341" s="964"/>
      <c r="I341" s="922" t="s">
        <v>1856</v>
      </c>
      <c r="J341" s="922"/>
      <c r="K341" s="162" t="s">
        <v>1831</v>
      </c>
      <c r="L341" s="2228"/>
      <c r="M341" s="980"/>
      <c r="N341" s="260"/>
      <c r="O341" s="980"/>
      <c r="P341" s="2287"/>
      <c r="Q341" s="2228"/>
      <c r="R341" s="980"/>
      <c r="S341" s="260"/>
      <c r="T341" s="980"/>
      <c r="U341" s="2287"/>
      <c r="V341" s="2228"/>
      <c r="W341" s="980"/>
      <c r="X341" s="260"/>
      <c r="Y341" s="980"/>
      <c r="Z341" s="2287"/>
      <c r="AA341" s="2232"/>
      <c r="AB341" s="980"/>
      <c r="AC341" s="517"/>
      <c r="AD341" s="980"/>
      <c r="AE341" s="2233"/>
      <c r="AF341" s="4668"/>
      <c r="AG341" s="547"/>
      <c r="AH341" s="547"/>
      <c r="AI341" s="1244" t="s">
        <v>1306</v>
      </c>
      <c r="AJ341" s="18"/>
    </row>
    <row r="342" spans="2:36" ht="20.100000000000001" hidden="1" customHeight="1">
      <c r="B342" s="4505" t="s">
        <v>2281</v>
      </c>
      <c r="C342" s="4669" t="s">
        <v>1311</v>
      </c>
      <c r="D342" s="924"/>
      <c r="E342" s="924"/>
      <c r="F342" s="105" t="s">
        <v>1312</v>
      </c>
      <c r="G342" s="909"/>
      <c r="H342" s="925" t="s">
        <v>1313</v>
      </c>
      <c r="I342" s="925"/>
      <c r="J342" s="922"/>
      <c r="K342" s="162" t="s">
        <v>1857</v>
      </c>
      <c r="L342" s="2228"/>
      <c r="M342" s="980"/>
      <c r="N342" s="260"/>
      <c r="O342" s="980"/>
      <c r="P342" s="2287"/>
      <c r="Q342" s="2228"/>
      <c r="R342" s="980"/>
      <c r="S342" s="260"/>
      <c r="T342" s="980"/>
      <c r="U342" s="2287"/>
      <c r="V342" s="2228"/>
      <c r="W342" s="980"/>
      <c r="X342" s="260"/>
      <c r="Y342" s="980"/>
      <c r="Z342" s="2287"/>
      <c r="AA342" s="2232"/>
      <c r="AB342" s="980"/>
      <c r="AC342" s="517"/>
      <c r="AD342" s="980"/>
      <c r="AE342" s="2233"/>
      <c r="AF342" s="4668"/>
      <c r="AG342" s="547"/>
      <c r="AH342" s="547"/>
      <c r="AI342" s="1244" t="s">
        <v>1317</v>
      </c>
      <c r="AJ342" s="18"/>
    </row>
    <row r="343" spans="2:36" ht="20.100000000000001" hidden="1" customHeight="1">
      <c r="B343" s="4505" t="s">
        <v>2281</v>
      </c>
      <c r="C343" s="1935"/>
      <c r="D343" s="936" t="s">
        <v>1318</v>
      </c>
      <c r="E343" s="924"/>
      <c r="F343" s="105" t="s">
        <v>557</v>
      </c>
      <c r="G343" s="909"/>
      <c r="H343" s="963"/>
      <c r="I343" s="932" t="s">
        <v>1319</v>
      </c>
      <c r="J343" s="922"/>
      <c r="K343" s="162" t="s">
        <v>559</v>
      </c>
      <c r="L343" s="2228"/>
      <c r="M343" s="980"/>
      <c r="N343" s="260"/>
      <c r="O343" s="980"/>
      <c r="P343" s="2287"/>
      <c r="Q343" s="2228"/>
      <c r="R343" s="980"/>
      <c r="S343" s="260"/>
      <c r="T343" s="980"/>
      <c r="U343" s="2287"/>
      <c r="V343" s="2228"/>
      <c r="W343" s="980"/>
      <c r="X343" s="260"/>
      <c r="Y343" s="980"/>
      <c r="Z343" s="2287"/>
      <c r="AA343" s="2232"/>
      <c r="AB343" s="980"/>
      <c r="AC343" s="517"/>
      <c r="AD343" s="980"/>
      <c r="AE343" s="2233"/>
      <c r="AF343" s="4668"/>
      <c r="AG343" s="547"/>
      <c r="AH343" s="547"/>
      <c r="AI343" s="1244" t="s">
        <v>1317</v>
      </c>
      <c r="AJ343" s="18"/>
    </row>
    <row r="344" spans="2:36" ht="20.100000000000001" hidden="1" customHeight="1">
      <c r="B344" s="4505" t="s">
        <v>2281</v>
      </c>
      <c r="C344" s="4678"/>
      <c r="D344" s="936" t="s">
        <v>1286</v>
      </c>
      <c r="E344" s="924"/>
      <c r="F344" s="105" t="s">
        <v>1018</v>
      </c>
      <c r="G344" s="909"/>
      <c r="H344" s="964"/>
      <c r="I344" s="932" t="s">
        <v>1287</v>
      </c>
      <c r="J344" s="922"/>
      <c r="K344" s="162" t="s">
        <v>1831</v>
      </c>
      <c r="L344" s="2429">
        <f>L338</f>
        <v>2200752</v>
      </c>
      <c r="M344" s="980"/>
      <c r="N344" s="516">
        <f>N338</f>
        <v>1897992</v>
      </c>
      <c r="O344" s="980"/>
      <c r="P344" s="2430">
        <f>P338</f>
        <v>0</v>
      </c>
      <c r="Q344" s="2429">
        <f>Q338</f>
        <v>1433842</v>
      </c>
      <c r="R344" s="980"/>
      <c r="S344" s="516">
        <f>S338</f>
        <v>2398249</v>
      </c>
      <c r="T344" s="980"/>
      <c r="U344" s="2430">
        <f>U338</f>
        <v>0</v>
      </c>
      <c r="V344" s="2429">
        <f>V338</f>
        <v>749808</v>
      </c>
      <c r="W344" s="980"/>
      <c r="X344" s="516">
        <f>X338</f>
        <v>773424</v>
      </c>
      <c r="Y344" s="980"/>
      <c r="Z344" s="2430">
        <f>Z338</f>
        <v>0</v>
      </c>
      <c r="AA344" s="2429"/>
      <c r="AB344" s="980"/>
      <c r="AC344" s="516"/>
      <c r="AD344" s="980"/>
      <c r="AE344" s="2430"/>
      <c r="AF344" s="4668"/>
      <c r="AG344" s="547"/>
      <c r="AH344" s="547"/>
      <c r="AI344" s="1244" t="s">
        <v>1317</v>
      </c>
      <c r="AJ344" s="18"/>
    </row>
    <row r="345" spans="2:36" ht="20.100000000000001" hidden="1" customHeight="1">
      <c r="B345" s="4505" t="s">
        <v>2281</v>
      </c>
      <c r="C345" s="4669" t="s">
        <v>1320</v>
      </c>
      <c r="D345" s="924"/>
      <c r="E345" s="924"/>
      <c r="F345" s="105" t="s">
        <v>1858</v>
      </c>
      <c r="G345" s="662"/>
      <c r="H345" s="143" t="s">
        <v>1321</v>
      </c>
      <c r="I345" s="143"/>
      <c r="J345" s="144"/>
      <c r="K345" s="162" t="s">
        <v>1857</v>
      </c>
      <c r="L345" s="2228"/>
      <c r="M345" s="980"/>
      <c r="N345" s="260"/>
      <c r="O345" s="980"/>
      <c r="P345" s="2287"/>
      <c r="Q345" s="2228"/>
      <c r="R345" s="980"/>
      <c r="S345" s="260"/>
      <c r="T345" s="980"/>
      <c r="U345" s="2287"/>
      <c r="V345" s="2228"/>
      <c r="W345" s="980"/>
      <c r="X345" s="260"/>
      <c r="Y345" s="980"/>
      <c r="Z345" s="2287"/>
      <c r="AA345" s="2232"/>
      <c r="AB345" s="980"/>
      <c r="AC345" s="517"/>
      <c r="AD345" s="980"/>
      <c r="AE345" s="2233"/>
      <c r="AF345" s="4668"/>
      <c r="AG345" s="547"/>
      <c r="AH345" s="547"/>
      <c r="AI345" s="1244" t="s">
        <v>1244</v>
      </c>
      <c r="AJ345" s="18"/>
    </row>
    <row r="346" spans="2:36" ht="20.100000000000001" hidden="1" customHeight="1">
      <c r="B346" s="4505" t="s">
        <v>2281</v>
      </c>
      <c r="C346" s="1935"/>
      <c r="D346" s="936" t="s">
        <v>1318</v>
      </c>
      <c r="E346" s="924"/>
      <c r="F346" s="105" t="s">
        <v>557</v>
      </c>
      <c r="G346" s="909"/>
      <c r="H346" s="963"/>
      <c r="I346" s="932" t="s">
        <v>1324</v>
      </c>
      <c r="J346" s="922"/>
      <c r="K346" s="162" t="s">
        <v>559</v>
      </c>
      <c r="L346" s="2228"/>
      <c r="M346" s="980"/>
      <c r="N346" s="260"/>
      <c r="O346" s="980"/>
      <c r="P346" s="2287"/>
      <c r="Q346" s="2228"/>
      <c r="R346" s="980"/>
      <c r="S346" s="260"/>
      <c r="T346" s="980"/>
      <c r="U346" s="2287"/>
      <c r="V346" s="2228"/>
      <c r="W346" s="980"/>
      <c r="X346" s="260"/>
      <c r="Y346" s="980"/>
      <c r="Z346" s="2287"/>
      <c r="AA346" s="2232"/>
      <c r="AB346" s="980"/>
      <c r="AC346" s="517"/>
      <c r="AD346" s="980"/>
      <c r="AE346" s="2233"/>
      <c r="AF346" s="4668"/>
      <c r="AG346" s="547"/>
      <c r="AH346" s="547"/>
      <c r="AI346" s="1244" t="s">
        <v>1244</v>
      </c>
      <c r="AJ346" s="18"/>
    </row>
    <row r="347" spans="2:36" ht="20.100000000000001" hidden="1" customHeight="1">
      <c r="B347" s="4505" t="s">
        <v>2281</v>
      </c>
      <c r="C347" s="4678"/>
      <c r="D347" s="936" t="s">
        <v>1286</v>
      </c>
      <c r="E347" s="924"/>
      <c r="F347" s="105" t="s">
        <v>1018</v>
      </c>
      <c r="G347" s="909"/>
      <c r="H347" s="964"/>
      <c r="I347" s="932" t="s">
        <v>1287</v>
      </c>
      <c r="J347" s="922"/>
      <c r="K347" s="162" t="s">
        <v>1831</v>
      </c>
      <c r="L347" s="2429">
        <f>L338</f>
        <v>2200752</v>
      </c>
      <c r="M347" s="980"/>
      <c r="N347" s="516">
        <f>N338</f>
        <v>1897992</v>
      </c>
      <c r="O347" s="980"/>
      <c r="P347" s="2287">
        <f>P338</f>
        <v>0</v>
      </c>
      <c r="Q347" s="2228">
        <f>Q338</f>
        <v>1433842</v>
      </c>
      <c r="R347" s="980"/>
      <c r="S347" s="260">
        <f>S338</f>
        <v>2398249</v>
      </c>
      <c r="T347" s="980"/>
      <c r="U347" s="2287">
        <f>U338</f>
        <v>0</v>
      </c>
      <c r="V347" s="2228">
        <f>V338</f>
        <v>749808</v>
      </c>
      <c r="W347" s="980"/>
      <c r="X347" s="260">
        <f>X338</f>
        <v>773424</v>
      </c>
      <c r="Y347" s="980"/>
      <c r="Z347" s="2287"/>
      <c r="AA347" s="2232"/>
      <c r="AB347" s="980"/>
      <c r="AC347" s="517"/>
      <c r="AD347" s="980"/>
      <c r="AE347" s="2233"/>
      <c r="AF347" s="4668"/>
      <c r="AG347" s="547"/>
      <c r="AH347" s="547"/>
      <c r="AI347" s="1244" t="s">
        <v>1244</v>
      </c>
      <c r="AJ347" s="18"/>
    </row>
    <row r="348" spans="2:36" ht="20.100000000000001" hidden="1" customHeight="1">
      <c r="B348" s="4505" t="s">
        <v>2281</v>
      </c>
      <c r="C348" s="4669" t="s">
        <v>1325</v>
      </c>
      <c r="D348" s="924"/>
      <c r="E348" s="924"/>
      <c r="F348" s="105" t="s">
        <v>557</v>
      </c>
      <c r="G348" s="909"/>
      <c r="H348" s="925" t="s">
        <v>1326</v>
      </c>
      <c r="I348" s="925"/>
      <c r="J348" s="922"/>
      <c r="K348" s="109" t="s">
        <v>559</v>
      </c>
      <c r="L348" s="2228">
        <v>0</v>
      </c>
      <c r="M348" s="382"/>
      <c r="N348" s="260">
        <v>0</v>
      </c>
      <c r="O348" s="382"/>
      <c r="P348" s="2287"/>
      <c r="Q348" s="2228">
        <v>0</v>
      </c>
      <c r="R348" s="382"/>
      <c r="S348" s="260">
        <v>0</v>
      </c>
      <c r="T348" s="382"/>
      <c r="U348" s="2287"/>
      <c r="V348" s="2228">
        <v>0</v>
      </c>
      <c r="W348" s="382"/>
      <c r="X348" s="260">
        <v>0</v>
      </c>
      <c r="Y348" s="382"/>
      <c r="Z348" s="2287"/>
      <c r="AA348" s="2232"/>
      <c r="AB348" s="2007"/>
      <c r="AC348" s="517"/>
      <c r="AD348" s="2007"/>
      <c r="AE348" s="2233"/>
      <c r="AF348" s="4668"/>
      <c r="AG348" s="547"/>
      <c r="AH348" s="547"/>
      <c r="AI348" s="4679" t="s">
        <v>1329</v>
      </c>
      <c r="AJ348" s="18"/>
    </row>
    <row r="349" spans="2:36" ht="20.100000000000001" customHeight="1">
      <c r="B349" s="4505" t="s">
        <v>2281</v>
      </c>
      <c r="C349" s="4669" t="s">
        <v>1331</v>
      </c>
      <c r="D349" s="924"/>
      <c r="E349" s="924"/>
      <c r="F349" s="105" t="s">
        <v>557</v>
      </c>
      <c r="G349" s="909"/>
      <c r="H349" s="925" t="s">
        <v>1332</v>
      </c>
      <c r="I349" s="925"/>
      <c r="J349" s="922"/>
      <c r="K349" s="109" t="s">
        <v>559</v>
      </c>
      <c r="L349" s="2228"/>
      <c r="M349" s="382"/>
      <c r="N349" s="260"/>
      <c r="O349" s="382"/>
      <c r="P349" s="2287"/>
      <c r="Q349" s="2228"/>
      <c r="R349" s="382"/>
      <c r="S349" s="260"/>
      <c r="T349" s="382"/>
      <c r="U349" s="2287"/>
      <c r="V349" s="2228"/>
      <c r="W349" s="382"/>
      <c r="X349" s="260"/>
      <c r="Y349" s="382"/>
      <c r="Z349" s="2287"/>
      <c r="AA349" s="5217" t="s">
        <v>641</v>
      </c>
      <c r="AB349" s="5218"/>
      <c r="AC349" s="5219" t="s">
        <v>641</v>
      </c>
      <c r="AD349" s="5218"/>
      <c r="AE349" s="5220" t="s">
        <v>641</v>
      </c>
      <c r="AF349" s="4668"/>
      <c r="AG349" s="547"/>
      <c r="AH349" s="547"/>
      <c r="AI349" s="4679" t="s">
        <v>1277</v>
      </c>
      <c r="AJ349" s="18"/>
    </row>
    <row r="350" spans="2:36" ht="20.100000000000001" customHeight="1">
      <c r="B350" s="4505" t="s">
        <v>2281</v>
      </c>
      <c r="C350" s="4669" t="s">
        <v>1334</v>
      </c>
      <c r="D350" s="924"/>
      <c r="E350" s="924"/>
      <c r="F350" s="119" t="s">
        <v>557</v>
      </c>
      <c r="G350" s="909"/>
      <c r="H350" s="925" t="s">
        <v>1335</v>
      </c>
      <c r="I350" s="925"/>
      <c r="J350" s="963"/>
      <c r="K350" s="122" t="s">
        <v>559</v>
      </c>
      <c r="L350" s="2230"/>
      <c r="M350" s="989"/>
      <c r="N350" s="506"/>
      <c r="O350" s="989"/>
      <c r="P350" s="2231"/>
      <c r="Q350" s="2230"/>
      <c r="R350" s="989"/>
      <c r="S350" s="506"/>
      <c r="T350" s="989"/>
      <c r="U350" s="2231"/>
      <c r="V350" s="2230"/>
      <c r="W350" s="989"/>
      <c r="X350" s="506"/>
      <c r="Y350" s="989"/>
      <c r="Z350" s="2231"/>
      <c r="AA350" s="5217" t="s">
        <v>641</v>
      </c>
      <c r="AB350" s="5218"/>
      <c r="AC350" s="5219" t="s">
        <v>641</v>
      </c>
      <c r="AD350" s="5218"/>
      <c r="AE350" s="5220" t="s">
        <v>641</v>
      </c>
      <c r="AF350" s="4668"/>
      <c r="AG350" s="547"/>
      <c r="AH350" s="547"/>
      <c r="AI350" s="982" t="s">
        <v>1336</v>
      </c>
      <c r="AJ350" s="18"/>
    </row>
    <row r="351" spans="2:36" ht="20.100000000000001" customHeight="1">
      <c r="B351" s="4505" t="s">
        <v>2281</v>
      </c>
      <c r="C351" s="1758" t="s">
        <v>1337</v>
      </c>
      <c r="D351" s="104"/>
      <c r="E351" s="104"/>
      <c r="F351" s="105" t="s">
        <v>156</v>
      </c>
      <c r="G351" s="4680"/>
      <c r="H351" s="991" t="s">
        <v>1338</v>
      </c>
      <c r="I351" s="991"/>
      <c r="J351" s="1292"/>
      <c r="K351" s="109" t="s">
        <v>156</v>
      </c>
      <c r="L351" s="2228"/>
      <c r="M351" s="382"/>
      <c r="N351" s="260"/>
      <c r="O351" s="382"/>
      <c r="P351" s="2287"/>
      <c r="Q351" s="2228"/>
      <c r="R351" s="382"/>
      <c r="S351" s="260"/>
      <c r="T351" s="382"/>
      <c r="U351" s="2287"/>
      <c r="V351" s="2228"/>
      <c r="W351" s="382"/>
      <c r="X351" s="260"/>
      <c r="Y351" s="382"/>
      <c r="Z351" s="2287"/>
      <c r="AA351" s="5215">
        <f>+AA352/AA353</f>
        <v>0.58750000000000002</v>
      </c>
      <c r="AB351" s="2007"/>
      <c r="AC351" s="5216">
        <f>+AC352/AC353</f>
        <v>0.68269230769230771</v>
      </c>
      <c r="AD351" s="789"/>
      <c r="AE351" s="5216">
        <f>+AE352/AE353</f>
        <v>0.78942398489140697</v>
      </c>
      <c r="AF351" s="4668"/>
      <c r="AG351" s="547"/>
      <c r="AH351" s="547"/>
      <c r="AI351" s="982" t="s">
        <v>1341</v>
      </c>
      <c r="AJ351" s="18"/>
    </row>
    <row r="352" spans="2:36" ht="20.100000000000001" customHeight="1">
      <c r="B352" s="4505" t="s">
        <v>2281</v>
      </c>
      <c r="C352" s="1935"/>
      <c r="D352" s="936" t="s">
        <v>1342</v>
      </c>
      <c r="E352" s="924"/>
      <c r="F352" s="105" t="s">
        <v>742</v>
      </c>
      <c r="G352" s="909"/>
      <c r="H352" s="963"/>
      <c r="I352" s="932" t="s">
        <v>1343</v>
      </c>
      <c r="J352" s="922"/>
      <c r="K352" s="109" t="s">
        <v>734</v>
      </c>
      <c r="L352" s="2228">
        <v>0</v>
      </c>
      <c r="M352" s="382">
        <v>0</v>
      </c>
      <c r="N352" s="260">
        <v>0</v>
      </c>
      <c r="O352" s="382">
        <v>0</v>
      </c>
      <c r="P352" s="2287"/>
      <c r="Q352" s="2228">
        <v>428</v>
      </c>
      <c r="R352" s="383" t="s">
        <v>1348</v>
      </c>
      <c r="S352" s="260">
        <v>427</v>
      </c>
      <c r="T352" s="383" t="s">
        <v>1348</v>
      </c>
      <c r="U352" s="2287"/>
      <c r="V352" s="2228">
        <v>0</v>
      </c>
      <c r="W352" s="383" t="s">
        <v>1350</v>
      </c>
      <c r="X352" s="260">
        <v>0</v>
      </c>
      <c r="Y352" s="383" t="s">
        <v>1350</v>
      </c>
      <c r="Z352" s="2287"/>
      <c r="AA352" s="2232">
        <v>752</v>
      </c>
      <c r="AB352" s="2007"/>
      <c r="AC352" s="517">
        <v>781</v>
      </c>
      <c r="AD352" s="2007"/>
      <c r="AE352" s="2233">
        <v>836</v>
      </c>
      <c r="AF352" s="4668"/>
      <c r="AG352" s="547"/>
      <c r="AH352" s="547"/>
      <c r="AI352" s="982" t="s">
        <v>1341</v>
      </c>
      <c r="AJ352" s="18"/>
    </row>
    <row r="353" spans="2:36" ht="20.100000000000001" customHeight="1" thickBot="1">
      <c r="B353" s="4505" t="s">
        <v>2281</v>
      </c>
      <c r="C353" s="4678"/>
      <c r="D353" s="931" t="s">
        <v>1351</v>
      </c>
      <c r="E353" s="931"/>
      <c r="F353" s="119" t="s">
        <v>742</v>
      </c>
      <c r="G353" s="912"/>
      <c r="H353" s="964"/>
      <c r="I353" s="932" t="s">
        <v>1861</v>
      </c>
      <c r="J353" s="963"/>
      <c r="K353" s="122" t="s">
        <v>734</v>
      </c>
      <c r="L353" s="2230">
        <v>0</v>
      </c>
      <c r="M353" s="989">
        <v>0</v>
      </c>
      <c r="N353" s="506">
        <v>0</v>
      </c>
      <c r="O353" s="989">
        <v>0</v>
      </c>
      <c r="P353" s="2231"/>
      <c r="Q353" s="2230">
        <v>564</v>
      </c>
      <c r="R353" s="989">
        <v>0</v>
      </c>
      <c r="S353" s="506">
        <v>577</v>
      </c>
      <c r="T353" s="989">
        <v>0</v>
      </c>
      <c r="U353" s="2231"/>
      <c r="V353" s="2230">
        <v>379</v>
      </c>
      <c r="W353" s="989">
        <v>0</v>
      </c>
      <c r="X353" s="506">
        <v>391</v>
      </c>
      <c r="Y353" s="989">
        <v>0</v>
      </c>
      <c r="Z353" s="2231"/>
      <c r="AA353" s="5281">
        <v>1280</v>
      </c>
      <c r="AB353" s="5282"/>
      <c r="AC353" s="5283">
        <v>1144</v>
      </c>
      <c r="AD353" s="5282"/>
      <c r="AE353" s="5284">
        <v>1059</v>
      </c>
      <c r="AF353" s="4668"/>
      <c r="AG353" s="547"/>
      <c r="AH353" s="547"/>
      <c r="AI353" s="982" t="s">
        <v>1341</v>
      </c>
      <c r="AJ353" s="18"/>
    </row>
    <row r="354" spans="2:36" ht="20.100000000000001" hidden="1" customHeight="1" thickBot="1">
      <c r="B354" s="4505" t="s">
        <v>2281</v>
      </c>
      <c r="C354" s="4669" t="s">
        <v>1352</v>
      </c>
      <c r="D354" s="924"/>
      <c r="E354" s="924"/>
      <c r="F354" s="119" t="s">
        <v>156</v>
      </c>
      <c r="G354" s="777"/>
      <c r="H354" s="925" t="s">
        <v>1353</v>
      </c>
      <c r="I354" s="925"/>
      <c r="J354" s="994"/>
      <c r="K354" s="122" t="s">
        <v>156</v>
      </c>
      <c r="L354" s="2230"/>
      <c r="M354" s="989"/>
      <c r="N354" s="506"/>
      <c r="O354" s="989"/>
      <c r="P354" s="2231"/>
      <c r="Q354" s="2230"/>
      <c r="R354" s="989"/>
      <c r="S354" s="506"/>
      <c r="T354" s="989"/>
      <c r="U354" s="2231"/>
      <c r="V354" s="2230"/>
      <c r="W354" s="989"/>
      <c r="X354" s="506"/>
      <c r="Y354" s="989"/>
      <c r="Z354" s="2231"/>
      <c r="AA354" s="5281"/>
      <c r="AB354" s="5282"/>
      <c r="AC354" s="5283"/>
      <c r="AD354" s="5282"/>
      <c r="AE354" s="5284"/>
      <c r="AF354" s="4668"/>
      <c r="AG354" s="547"/>
      <c r="AH354" s="547"/>
      <c r="AI354" s="1244" t="s">
        <v>1357</v>
      </c>
      <c r="AJ354" s="18"/>
    </row>
    <row r="355" spans="2:36" ht="20.100000000000001" hidden="1" customHeight="1" thickBot="1">
      <c r="B355" s="4505" t="s">
        <v>2281</v>
      </c>
      <c r="C355" s="1935"/>
      <c r="D355" s="995" t="s">
        <v>1358</v>
      </c>
      <c r="E355" s="926"/>
      <c r="F355" s="119" t="s">
        <v>1011</v>
      </c>
      <c r="G355" s="905"/>
      <c r="H355" s="963"/>
      <c r="I355" s="932" t="s">
        <v>1359</v>
      </c>
      <c r="J355" s="963"/>
      <c r="K355" s="122" t="s">
        <v>1013</v>
      </c>
      <c r="L355" s="2230"/>
      <c r="M355" s="989"/>
      <c r="N355" s="506"/>
      <c r="O355" s="989"/>
      <c r="P355" s="2231"/>
      <c r="Q355" s="2230"/>
      <c r="R355" s="989"/>
      <c r="S355" s="506"/>
      <c r="T355" s="989"/>
      <c r="U355" s="2231"/>
      <c r="V355" s="2230"/>
      <c r="W355" s="989"/>
      <c r="X355" s="506"/>
      <c r="Y355" s="989"/>
      <c r="Z355" s="2231"/>
      <c r="AA355" s="5281"/>
      <c r="AB355" s="5282"/>
      <c r="AC355" s="5283"/>
      <c r="AD355" s="5282"/>
      <c r="AE355" s="5284"/>
      <c r="AF355" s="4668"/>
      <c r="AG355" s="547"/>
      <c r="AH355" s="547"/>
      <c r="AI355" s="1244" t="s">
        <v>1357</v>
      </c>
      <c r="AJ355" s="18"/>
    </row>
    <row r="356" spans="2:36" ht="20.100000000000001" hidden="1" customHeight="1" thickBot="1">
      <c r="B356" s="4505" t="s">
        <v>2281</v>
      </c>
      <c r="C356" s="4678"/>
      <c r="D356" s="936" t="s">
        <v>1360</v>
      </c>
      <c r="E356" s="924"/>
      <c r="F356" s="119" t="s">
        <v>1011</v>
      </c>
      <c r="G356" s="912"/>
      <c r="H356" s="964"/>
      <c r="I356" s="932" t="s">
        <v>1361</v>
      </c>
      <c r="J356" s="963"/>
      <c r="K356" s="122" t="s">
        <v>1013</v>
      </c>
      <c r="L356" s="2230"/>
      <c r="M356" s="989"/>
      <c r="N356" s="506"/>
      <c r="O356" s="989"/>
      <c r="P356" s="2231"/>
      <c r="Q356" s="2230"/>
      <c r="R356" s="989"/>
      <c r="S356" s="506"/>
      <c r="T356" s="989"/>
      <c r="U356" s="2231"/>
      <c r="V356" s="2230"/>
      <c r="W356" s="989"/>
      <c r="X356" s="506"/>
      <c r="Y356" s="989"/>
      <c r="Z356" s="2231"/>
      <c r="AA356" s="5281"/>
      <c r="AB356" s="5282"/>
      <c r="AC356" s="5283"/>
      <c r="AD356" s="5282"/>
      <c r="AE356" s="5284"/>
      <c r="AF356" s="4668"/>
      <c r="AG356" s="547"/>
      <c r="AH356" s="547"/>
      <c r="AI356" s="1244" t="s">
        <v>1357</v>
      </c>
      <c r="AJ356" s="18"/>
    </row>
    <row r="357" spans="2:36" ht="20.100000000000001" hidden="1" customHeight="1" thickBot="1">
      <c r="B357" s="4505" t="s">
        <v>2281</v>
      </c>
      <c r="C357" s="4669" t="s">
        <v>1362</v>
      </c>
      <c r="D357" s="924"/>
      <c r="E357" s="924"/>
      <c r="F357" s="119" t="s">
        <v>156</v>
      </c>
      <c r="G357" s="777"/>
      <c r="H357" s="925" t="s">
        <v>1363</v>
      </c>
      <c r="I357" s="925"/>
      <c r="J357" s="994"/>
      <c r="K357" s="122" t="s">
        <v>156</v>
      </c>
      <c r="L357" s="2230"/>
      <c r="M357" s="989"/>
      <c r="N357" s="506"/>
      <c r="O357" s="989"/>
      <c r="P357" s="2231"/>
      <c r="Q357" s="2230"/>
      <c r="R357" s="989"/>
      <c r="S357" s="506"/>
      <c r="T357" s="989"/>
      <c r="U357" s="2231"/>
      <c r="V357" s="2230"/>
      <c r="W357" s="989"/>
      <c r="X357" s="506"/>
      <c r="Y357" s="989"/>
      <c r="Z357" s="2231"/>
      <c r="AA357" s="5281"/>
      <c r="AB357" s="5282"/>
      <c r="AC357" s="5283"/>
      <c r="AD357" s="5282"/>
      <c r="AE357" s="5284"/>
      <c r="AF357" s="4668"/>
      <c r="AG357" s="547"/>
      <c r="AH357" s="547"/>
      <c r="AI357" s="1244" t="s">
        <v>1366</v>
      </c>
      <c r="AJ357" s="18"/>
    </row>
    <row r="358" spans="2:36" ht="20.100000000000001" hidden="1" customHeight="1" thickBot="1">
      <c r="B358" s="4505" t="s">
        <v>2281</v>
      </c>
      <c r="C358" s="1935"/>
      <c r="D358" s="936" t="s">
        <v>1367</v>
      </c>
      <c r="E358" s="924"/>
      <c r="F358" s="119" t="s">
        <v>1011</v>
      </c>
      <c r="G358" s="905"/>
      <c r="H358" s="963"/>
      <c r="I358" s="349" t="s">
        <v>1368</v>
      </c>
      <c r="J358" s="575"/>
      <c r="K358" s="122" t="s">
        <v>1013</v>
      </c>
      <c r="L358" s="2230"/>
      <c r="M358" s="989"/>
      <c r="N358" s="506"/>
      <c r="O358" s="989"/>
      <c r="P358" s="2231"/>
      <c r="Q358" s="2230"/>
      <c r="R358" s="989"/>
      <c r="S358" s="506"/>
      <c r="T358" s="989"/>
      <c r="U358" s="2231"/>
      <c r="V358" s="2230"/>
      <c r="W358" s="989"/>
      <c r="X358" s="506"/>
      <c r="Y358" s="989"/>
      <c r="Z358" s="2231"/>
      <c r="AA358" s="5281"/>
      <c r="AB358" s="5282"/>
      <c r="AC358" s="5283"/>
      <c r="AD358" s="5282"/>
      <c r="AE358" s="5284"/>
      <c r="AF358" s="4668"/>
      <c r="AG358" s="547"/>
      <c r="AH358" s="547"/>
      <c r="AI358" s="1244" t="s">
        <v>1366</v>
      </c>
      <c r="AJ358" s="18"/>
    </row>
    <row r="359" spans="2:36" ht="20.100000000000001" hidden="1" customHeight="1" thickBot="1">
      <c r="B359" s="4505" t="s">
        <v>2281</v>
      </c>
      <c r="C359" s="4678"/>
      <c r="D359" s="936" t="s">
        <v>1369</v>
      </c>
      <c r="E359" s="924"/>
      <c r="F359" s="119" t="s">
        <v>1011</v>
      </c>
      <c r="G359" s="912"/>
      <c r="H359" s="964"/>
      <c r="I359" s="349" t="s">
        <v>1862</v>
      </c>
      <c r="J359" s="575"/>
      <c r="K359" s="122" t="s">
        <v>1013</v>
      </c>
      <c r="L359" s="2230"/>
      <c r="M359" s="989"/>
      <c r="N359" s="506"/>
      <c r="O359" s="989"/>
      <c r="P359" s="2231"/>
      <c r="Q359" s="2230"/>
      <c r="R359" s="989"/>
      <c r="S359" s="506"/>
      <c r="T359" s="989"/>
      <c r="U359" s="2231"/>
      <c r="V359" s="2230"/>
      <c r="W359" s="989"/>
      <c r="X359" s="506"/>
      <c r="Y359" s="989"/>
      <c r="Z359" s="2231"/>
      <c r="AA359" s="5281"/>
      <c r="AB359" s="5282"/>
      <c r="AC359" s="5283"/>
      <c r="AD359" s="5282"/>
      <c r="AE359" s="5284"/>
      <c r="AF359" s="4668"/>
      <c r="AG359" s="547"/>
      <c r="AH359" s="547"/>
      <c r="AI359" s="4662" t="s">
        <v>1366</v>
      </c>
      <c r="AJ359" s="18"/>
    </row>
    <row r="360" spans="2:36" ht="20.100000000000001" hidden="1" customHeight="1" thickBot="1">
      <c r="B360" s="4505" t="s">
        <v>2281</v>
      </c>
      <c r="C360" s="4681" t="s">
        <v>1371</v>
      </c>
      <c r="D360" s="359"/>
      <c r="E360" s="359"/>
      <c r="F360" s="997" t="s">
        <v>156</v>
      </c>
      <c r="G360" s="358"/>
      <c r="H360" s="998" t="s">
        <v>1372</v>
      </c>
      <c r="I360" s="998"/>
      <c r="J360" s="1069"/>
      <c r="K360" s="122" t="s">
        <v>156</v>
      </c>
      <c r="L360" s="2230"/>
      <c r="M360" s="989"/>
      <c r="N360" s="506"/>
      <c r="O360" s="989"/>
      <c r="P360" s="2231"/>
      <c r="Q360" s="2230"/>
      <c r="R360" s="989"/>
      <c r="S360" s="506"/>
      <c r="T360" s="989"/>
      <c r="U360" s="2231"/>
      <c r="V360" s="2230"/>
      <c r="W360" s="989"/>
      <c r="X360" s="506"/>
      <c r="Y360" s="989"/>
      <c r="Z360" s="2231"/>
      <c r="AA360" s="5281"/>
      <c r="AB360" s="5282"/>
      <c r="AC360" s="5283"/>
      <c r="AD360" s="5282"/>
      <c r="AE360" s="5284"/>
      <c r="AF360" s="4668"/>
      <c r="AG360" s="547"/>
      <c r="AH360" s="547"/>
      <c r="AI360" s="4662" t="s">
        <v>1375</v>
      </c>
      <c r="AJ360" s="18"/>
    </row>
    <row r="361" spans="2:36" ht="20.100000000000001" hidden="1" customHeight="1" thickBot="1">
      <c r="B361" s="4505" t="s">
        <v>2281</v>
      </c>
      <c r="C361" s="4632"/>
      <c r="D361" s="787" t="s">
        <v>1863</v>
      </c>
      <c r="E361" s="781"/>
      <c r="F361" s="997" t="s">
        <v>1011</v>
      </c>
      <c r="G361" s="347"/>
      <c r="H361" s="348"/>
      <c r="I361" s="184" t="s">
        <v>1377</v>
      </c>
      <c r="J361" s="287"/>
      <c r="K361" s="122" t="s">
        <v>1013</v>
      </c>
      <c r="L361" s="2230"/>
      <c r="M361" s="989"/>
      <c r="N361" s="506"/>
      <c r="O361" s="989"/>
      <c r="P361" s="2231"/>
      <c r="Q361" s="2230"/>
      <c r="R361" s="989"/>
      <c r="S361" s="506"/>
      <c r="T361" s="989"/>
      <c r="U361" s="2231"/>
      <c r="V361" s="2230"/>
      <c r="W361" s="989"/>
      <c r="X361" s="506"/>
      <c r="Y361" s="989"/>
      <c r="Z361" s="2231"/>
      <c r="AA361" s="5281"/>
      <c r="AB361" s="5282"/>
      <c r="AC361" s="5283"/>
      <c r="AD361" s="5282"/>
      <c r="AE361" s="5284"/>
      <c r="AF361" s="4668"/>
      <c r="AG361" s="547"/>
      <c r="AH361" s="547"/>
      <c r="AI361" s="4662" t="s">
        <v>1375</v>
      </c>
      <c r="AJ361" s="18"/>
    </row>
    <row r="362" spans="2:36" ht="20.100000000000001" hidden="1" customHeight="1" thickBot="1">
      <c r="B362" s="4505" t="s">
        <v>2281</v>
      </c>
      <c r="C362" s="4634"/>
      <c r="D362" s="787" t="s">
        <v>1864</v>
      </c>
      <c r="E362" s="781"/>
      <c r="F362" s="997" t="s">
        <v>1011</v>
      </c>
      <c r="G362" s="384"/>
      <c r="H362" s="385"/>
      <c r="I362" s="184" t="s">
        <v>1862</v>
      </c>
      <c r="J362" s="287"/>
      <c r="K362" s="122" t="s">
        <v>1013</v>
      </c>
      <c r="L362" s="2230"/>
      <c r="M362" s="989"/>
      <c r="N362" s="506"/>
      <c r="O362" s="989"/>
      <c r="P362" s="2231"/>
      <c r="Q362" s="2230"/>
      <c r="R362" s="989"/>
      <c r="S362" s="506"/>
      <c r="T362" s="989"/>
      <c r="U362" s="2231"/>
      <c r="V362" s="2230"/>
      <c r="W362" s="989"/>
      <c r="X362" s="506"/>
      <c r="Y362" s="989"/>
      <c r="Z362" s="2231"/>
      <c r="AA362" s="5281"/>
      <c r="AB362" s="5282"/>
      <c r="AC362" s="5283"/>
      <c r="AD362" s="5282"/>
      <c r="AE362" s="5284"/>
      <c r="AF362" s="4668"/>
      <c r="AG362" s="547"/>
      <c r="AH362" s="547"/>
      <c r="AI362" s="4662" t="s">
        <v>1375</v>
      </c>
      <c r="AJ362" s="18"/>
    </row>
    <row r="363" spans="2:36" ht="20.100000000000001" hidden="1" customHeight="1" thickBot="1">
      <c r="B363" s="4505" t="s">
        <v>2281</v>
      </c>
      <c r="C363" s="4681" t="s">
        <v>1378</v>
      </c>
      <c r="D363" s="359"/>
      <c r="E363" s="359"/>
      <c r="F363" s="997" t="s">
        <v>156</v>
      </c>
      <c r="G363" s="358"/>
      <c r="H363" s="359" t="s">
        <v>1379</v>
      </c>
      <c r="I363" s="359"/>
      <c r="J363" s="348"/>
      <c r="K363" s="165" t="s">
        <v>156</v>
      </c>
      <c r="L363" s="2230"/>
      <c r="M363" s="989"/>
      <c r="N363" s="506"/>
      <c r="O363" s="989"/>
      <c r="P363" s="2231"/>
      <c r="Q363" s="2230"/>
      <c r="R363" s="989"/>
      <c r="S363" s="506"/>
      <c r="T363" s="989"/>
      <c r="U363" s="2231"/>
      <c r="V363" s="2230"/>
      <c r="W363" s="989"/>
      <c r="X363" s="506"/>
      <c r="Y363" s="989"/>
      <c r="Z363" s="2231"/>
      <c r="AA363" s="5281"/>
      <c r="AB363" s="5282"/>
      <c r="AC363" s="5283"/>
      <c r="AD363" s="5282"/>
      <c r="AE363" s="5284"/>
      <c r="AF363" s="4668"/>
      <c r="AG363" s="547"/>
      <c r="AH363" s="547"/>
      <c r="AI363" s="4662" t="s">
        <v>1375</v>
      </c>
      <c r="AJ363" s="18"/>
    </row>
    <row r="364" spans="2:36" ht="20.100000000000001" hidden="1" customHeight="1" thickBot="1">
      <c r="B364" s="4505" t="s">
        <v>2281</v>
      </c>
      <c r="C364" s="4632"/>
      <c r="D364" s="787" t="s">
        <v>1382</v>
      </c>
      <c r="E364" s="781"/>
      <c r="F364" s="997" t="s">
        <v>1011</v>
      </c>
      <c r="G364" s="347"/>
      <c r="H364" s="348"/>
      <c r="I364" s="184" t="s">
        <v>1383</v>
      </c>
      <c r="J364" s="287"/>
      <c r="K364" s="122" t="s">
        <v>1013</v>
      </c>
      <c r="L364" s="2230"/>
      <c r="M364" s="989"/>
      <c r="N364" s="506"/>
      <c r="O364" s="989"/>
      <c r="P364" s="2231"/>
      <c r="Q364" s="2230"/>
      <c r="R364" s="989"/>
      <c r="S364" s="506"/>
      <c r="T364" s="989"/>
      <c r="U364" s="2231"/>
      <c r="V364" s="2230"/>
      <c r="W364" s="989"/>
      <c r="X364" s="506"/>
      <c r="Y364" s="989"/>
      <c r="Z364" s="2231"/>
      <c r="AA364" s="5281"/>
      <c r="AB364" s="5282"/>
      <c r="AC364" s="5283"/>
      <c r="AD364" s="5282"/>
      <c r="AE364" s="5284"/>
      <c r="AF364" s="4668"/>
      <c r="AG364" s="547"/>
      <c r="AH364" s="547"/>
      <c r="AI364" s="4662" t="s">
        <v>1375</v>
      </c>
      <c r="AJ364" s="18"/>
    </row>
    <row r="365" spans="2:36" ht="20.100000000000001" hidden="1" customHeight="1" thickBot="1">
      <c r="B365" s="4505" t="s">
        <v>2281</v>
      </c>
      <c r="C365" s="4634"/>
      <c r="D365" s="787" t="s">
        <v>1384</v>
      </c>
      <c r="F365" s="997" t="s">
        <v>1011</v>
      </c>
      <c r="G365" s="384"/>
      <c r="H365" s="385"/>
      <c r="I365" s="1000" t="s">
        <v>1865</v>
      </c>
      <c r="J365" s="643"/>
      <c r="K365" s="109" t="s">
        <v>1013</v>
      </c>
      <c r="L365" s="2230"/>
      <c r="M365" s="989"/>
      <c r="N365" s="506"/>
      <c r="O365" s="989"/>
      <c r="P365" s="2231"/>
      <c r="Q365" s="2230"/>
      <c r="R365" s="989"/>
      <c r="S365" s="506"/>
      <c r="T365" s="989"/>
      <c r="U365" s="2231"/>
      <c r="V365" s="2230"/>
      <c r="W365" s="989"/>
      <c r="X365" s="506"/>
      <c r="Y365" s="989"/>
      <c r="Z365" s="2231"/>
      <c r="AA365" s="5281"/>
      <c r="AB365" s="5282"/>
      <c r="AC365" s="5283"/>
      <c r="AD365" s="5282"/>
      <c r="AE365" s="5284"/>
      <c r="AF365" s="4668"/>
      <c r="AG365" s="547"/>
      <c r="AH365" s="547"/>
      <c r="AI365" s="1244" t="s">
        <v>1375</v>
      </c>
      <c r="AJ365" s="18"/>
    </row>
    <row r="366" spans="2:36" ht="20.100000000000001" hidden="1" customHeight="1" thickBot="1">
      <c r="B366" s="4505" t="s">
        <v>2281</v>
      </c>
      <c r="C366" s="4619" t="s">
        <v>1386</v>
      </c>
      <c r="D366" s="781"/>
      <c r="E366" s="781"/>
      <c r="F366" s="997" t="s">
        <v>557</v>
      </c>
      <c r="G366" s="386"/>
      <c r="H366" s="140" t="s">
        <v>1866</v>
      </c>
      <c r="I366" s="140"/>
      <c r="J366" s="287"/>
      <c r="K366" s="122" t="s">
        <v>559</v>
      </c>
      <c r="L366" s="2230"/>
      <c r="M366" s="989"/>
      <c r="N366" s="506"/>
      <c r="O366" s="989"/>
      <c r="P366" s="2231"/>
      <c r="Q366" s="2230"/>
      <c r="R366" s="989"/>
      <c r="S366" s="506"/>
      <c r="T366" s="989"/>
      <c r="U366" s="2231"/>
      <c r="V366" s="2230"/>
      <c r="W366" s="989"/>
      <c r="X366" s="506"/>
      <c r="Y366" s="989"/>
      <c r="Z366" s="2231"/>
      <c r="AA366" s="5281"/>
      <c r="AB366" s="5282"/>
      <c r="AC366" s="5283"/>
      <c r="AD366" s="5282"/>
      <c r="AE366" s="5284"/>
      <c r="AF366" s="4668"/>
      <c r="AG366" s="547"/>
      <c r="AH366" s="547"/>
      <c r="AI366" s="1325" t="s">
        <v>1390</v>
      </c>
      <c r="AJ366" s="18"/>
    </row>
    <row r="367" spans="2:36" ht="20.100000000000001" hidden="1" customHeight="1" thickBot="1">
      <c r="B367" s="4505" t="s">
        <v>2281</v>
      </c>
      <c r="C367" s="1878" t="s">
        <v>1391</v>
      </c>
      <c r="D367" s="781"/>
      <c r="E367" s="781"/>
      <c r="F367" s="285" t="s">
        <v>156</v>
      </c>
      <c r="G367" s="777"/>
      <c r="H367" s="757" t="s">
        <v>1392</v>
      </c>
      <c r="I367" s="757"/>
      <c r="J367" s="906"/>
      <c r="K367" s="122" t="s">
        <v>156</v>
      </c>
      <c r="L367" s="2228"/>
      <c r="M367" s="382"/>
      <c r="N367" s="260"/>
      <c r="O367" s="382"/>
      <c r="P367" s="2287"/>
      <c r="Q367" s="2228"/>
      <c r="R367" s="382"/>
      <c r="S367" s="260"/>
      <c r="T367" s="382"/>
      <c r="U367" s="2287"/>
      <c r="V367" s="2228"/>
      <c r="W367" s="382"/>
      <c r="X367" s="260"/>
      <c r="Y367" s="382"/>
      <c r="Z367" s="2287"/>
      <c r="AA367" s="2232"/>
      <c r="AB367" s="2007"/>
      <c r="AC367" s="517"/>
      <c r="AD367" s="2007"/>
      <c r="AE367" s="2233"/>
      <c r="AF367" s="4668"/>
      <c r="AG367" s="547"/>
      <c r="AH367" s="547"/>
      <c r="AI367" s="1244" t="s">
        <v>1395</v>
      </c>
      <c r="AJ367" s="18"/>
    </row>
    <row r="368" spans="2:36" ht="27" thickBot="1">
      <c r="B368" s="4505" t="s">
        <v>2281</v>
      </c>
      <c r="C368" s="1709" t="s">
        <v>1396</v>
      </c>
      <c r="D368" s="124"/>
      <c r="E368" s="124"/>
      <c r="F368" s="124"/>
      <c r="G368" s="598" t="s">
        <v>1397</v>
      </c>
      <c r="H368" s="124"/>
      <c r="I368" s="126"/>
      <c r="J368" s="126"/>
      <c r="K368" s="78"/>
      <c r="L368" s="2431"/>
      <c r="M368" s="1005"/>
      <c r="N368" s="1005"/>
      <c r="O368" s="1005"/>
      <c r="P368" s="2432"/>
      <c r="Q368" s="2431"/>
      <c r="R368" s="1005"/>
      <c r="S368" s="1005"/>
      <c r="T368" s="1005"/>
      <c r="U368" s="2432"/>
      <c r="V368" s="2431"/>
      <c r="W368" s="1005"/>
      <c r="X368" s="1005"/>
      <c r="Y368" s="1005"/>
      <c r="Z368" s="2432"/>
      <c r="AA368" s="5285"/>
      <c r="AB368" s="5286"/>
      <c r="AC368" s="5286"/>
      <c r="AD368" s="5286"/>
      <c r="AE368" s="5287"/>
      <c r="AF368" s="4493"/>
      <c r="AG368" s="129"/>
      <c r="AH368" s="129"/>
      <c r="AI368" s="1006"/>
      <c r="AJ368" s="18"/>
    </row>
    <row r="369" spans="1:37" ht="20.100000000000001" hidden="1" customHeight="1">
      <c r="B369" s="4682"/>
      <c r="C369" s="86" t="s">
        <v>1398</v>
      </c>
      <c r="D369" s="86"/>
      <c r="E369" s="86"/>
      <c r="F369" s="1007" t="s">
        <v>233</v>
      </c>
      <c r="G369" s="1008"/>
      <c r="H369" s="1009" t="s">
        <v>1399</v>
      </c>
      <c r="I369" s="1009"/>
      <c r="J369" s="1010"/>
      <c r="K369" s="1011" t="s">
        <v>295</v>
      </c>
      <c r="L369" s="2292"/>
      <c r="M369" s="1019"/>
      <c r="N369" s="1018"/>
      <c r="O369" s="1019"/>
      <c r="P369" s="2293"/>
      <c r="Q369" s="2292"/>
      <c r="R369" s="1017"/>
      <c r="S369" s="1018"/>
      <c r="T369" s="1019"/>
      <c r="U369" s="2293"/>
      <c r="V369" s="2292"/>
      <c r="W369" s="1020"/>
      <c r="X369" s="1018"/>
      <c r="Y369" s="1017"/>
      <c r="Z369" s="2293"/>
      <c r="AA369" s="5288"/>
      <c r="AB369" s="1192"/>
      <c r="AC369" s="5289"/>
      <c r="AD369" s="1192"/>
      <c r="AE369" s="5290"/>
      <c r="AF369" s="4683"/>
      <c r="AG369" s="534"/>
      <c r="AH369" s="534"/>
      <c r="AI369" s="1244" t="s">
        <v>1402</v>
      </c>
      <c r="AJ369" s="18"/>
    </row>
    <row r="370" spans="1:37" ht="20.100000000000001" hidden="1" customHeight="1">
      <c r="B370" s="4505" t="s">
        <v>2281</v>
      </c>
      <c r="C370" s="4516" t="s">
        <v>1403</v>
      </c>
      <c r="D370" s="1022"/>
      <c r="E370" s="1023"/>
      <c r="F370" s="1007" t="s">
        <v>1404</v>
      </c>
      <c r="G370" s="347"/>
      <c r="H370" s="359" t="s">
        <v>1405</v>
      </c>
      <c r="I370" s="359"/>
      <c r="J370" s="385"/>
      <c r="K370" s="1024" t="s">
        <v>1406</v>
      </c>
      <c r="L370" s="2433">
        <v>0</v>
      </c>
      <c r="M370" s="1029">
        <v>0</v>
      </c>
      <c r="N370" s="1028">
        <v>0</v>
      </c>
      <c r="O370" s="1029">
        <v>0</v>
      </c>
      <c r="P370" s="2434"/>
      <c r="Q370" s="2433">
        <v>500000000</v>
      </c>
      <c r="R370" s="1030" t="s">
        <v>2517</v>
      </c>
      <c r="S370" s="1028">
        <v>0</v>
      </c>
      <c r="T370" s="1029">
        <v>0</v>
      </c>
      <c r="U370" s="2434"/>
      <c r="V370" s="2433">
        <v>0</v>
      </c>
      <c r="W370" s="1031" t="s">
        <v>2518</v>
      </c>
      <c r="X370" s="1028">
        <v>0</v>
      </c>
      <c r="Y370" s="1030" t="s">
        <v>2519</v>
      </c>
      <c r="Z370" s="2434"/>
      <c r="AA370" s="5291"/>
      <c r="AB370" s="5292"/>
      <c r="AC370" s="5293"/>
      <c r="AD370" s="5292"/>
      <c r="AE370" s="5294"/>
      <c r="AF370" s="4684"/>
      <c r="AG370" s="878"/>
      <c r="AH370" s="878"/>
      <c r="AI370" s="1244" t="s">
        <v>1409</v>
      </c>
      <c r="AJ370" s="18"/>
    </row>
    <row r="371" spans="1:37" ht="20.100000000000001" customHeight="1">
      <c r="B371" s="4505" t="s">
        <v>2281</v>
      </c>
      <c r="C371" s="2041" t="s">
        <v>1413</v>
      </c>
      <c r="D371" s="491"/>
      <c r="E371" s="491"/>
      <c r="F371" s="1007" t="s">
        <v>1595</v>
      </c>
      <c r="G371" s="88"/>
      <c r="H371" s="359" t="s">
        <v>1414</v>
      </c>
      <c r="I371" s="359"/>
      <c r="J371" s="643"/>
      <c r="K371" s="109" t="s">
        <v>1597</v>
      </c>
      <c r="L371" s="2435"/>
      <c r="M371" s="1036"/>
      <c r="N371" s="1039"/>
      <c r="O371" s="1036"/>
      <c r="P371" s="2436"/>
      <c r="Q371" s="2435"/>
      <c r="R371" s="1036"/>
      <c r="S371" s="1039"/>
      <c r="T371" s="1036"/>
      <c r="U371" s="2436"/>
      <c r="V371" s="2435"/>
      <c r="W371" s="1036"/>
      <c r="X371" s="1039"/>
      <c r="Y371" s="1036"/>
      <c r="Z371" s="2436"/>
      <c r="AA371" s="5217" t="s">
        <v>641</v>
      </c>
      <c r="AB371" s="5218"/>
      <c r="AC371" s="5219" t="s">
        <v>641</v>
      </c>
      <c r="AD371" s="5218"/>
      <c r="AE371" s="5220" t="s">
        <v>641</v>
      </c>
      <c r="AF371" s="4684"/>
      <c r="AG371" s="547"/>
      <c r="AH371" s="547"/>
      <c r="AI371" s="1244" t="s">
        <v>1416</v>
      </c>
      <c r="AJ371" s="18"/>
    </row>
    <row r="372" spans="1:37" ht="20.100000000000001" customHeight="1">
      <c r="B372" s="4505" t="s">
        <v>2281</v>
      </c>
      <c r="C372" s="4599" t="s">
        <v>1419</v>
      </c>
      <c r="D372" s="663"/>
      <c r="E372" s="663"/>
      <c r="F372" s="4685" t="s">
        <v>168</v>
      </c>
      <c r="G372" s="4686"/>
      <c r="H372" s="728" t="s">
        <v>1420</v>
      </c>
      <c r="I372" s="663"/>
      <c r="J372" s="655"/>
      <c r="K372" s="1040" t="s">
        <v>168</v>
      </c>
      <c r="L372" s="2384"/>
      <c r="M372" s="1042"/>
      <c r="N372" s="318"/>
      <c r="O372" s="1042"/>
      <c r="P372" s="2437"/>
      <c r="Q372" s="2384"/>
      <c r="R372" s="1042"/>
      <c r="S372" s="318"/>
      <c r="T372" s="1042"/>
      <c r="U372" s="2437"/>
      <c r="V372" s="2384"/>
      <c r="W372" s="1042"/>
      <c r="X372" s="318"/>
      <c r="Y372" s="1042"/>
      <c r="Z372" s="2437"/>
      <c r="AA372" s="5295"/>
      <c r="AB372" s="5296"/>
      <c r="AC372" s="5297"/>
      <c r="AD372" s="5296"/>
      <c r="AE372" s="5298"/>
      <c r="AF372" s="4585"/>
      <c r="AG372" s="4586"/>
      <c r="AH372" s="4586"/>
      <c r="AI372" s="4587"/>
      <c r="AJ372" s="18"/>
    </row>
    <row r="373" spans="1:37" ht="20.100000000000001" customHeight="1">
      <c r="B373" s="4505" t="s">
        <v>2281</v>
      </c>
      <c r="C373" s="4606"/>
      <c r="D373" s="787" t="s">
        <v>1018</v>
      </c>
      <c r="E373" s="781"/>
      <c r="F373" s="1007" t="s">
        <v>1018</v>
      </c>
      <c r="G373" s="106"/>
      <c r="H373" s="348"/>
      <c r="I373" s="495" t="s">
        <v>1421</v>
      </c>
      <c r="J373" s="684"/>
      <c r="K373" s="162" t="s">
        <v>1831</v>
      </c>
      <c r="L373" s="2228">
        <v>0</v>
      </c>
      <c r="M373" s="505">
        <v>0</v>
      </c>
      <c r="N373" s="260">
        <v>0</v>
      </c>
      <c r="O373" s="505">
        <v>0</v>
      </c>
      <c r="P373" s="2287"/>
      <c r="Q373" s="2228">
        <v>0</v>
      </c>
      <c r="R373" s="505">
        <v>0</v>
      </c>
      <c r="S373" s="260">
        <v>0</v>
      </c>
      <c r="T373" s="505">
        <v>0</v>
      </c>
      <c r="U373" s="2287"/>
      <c r="V373" s="2228">
        <v>0</v>
      </c>
      <c r="W373" s="503" t="s">
        <v>1426</v>
      </c>
      <c r="X373" s="260">
        <v>0</v>
      </c>
      <c r="Y373" s="503" t="s">
        <v>1426</v>
      </c>
      <c r="Z373" s="2287"/>
      <c r="AA373" s="5217" t="s">
        <v>641</v>
      </c>
      <c r="AB373" s="5218"/>
      <c r="AC373" s="5219" t="s">
        <v>641</v>
      </c>
      <c r="AD373" s="5218"/>
      <c r="AE373" s="5220" t="s">
        <v>641</v>
      </c>
      <c r="AF373" s="2239"/>
      <c r="AG373" s="547"/>
      <c r="AH373" s="1047"/>
      <c r="AI373" s="1244" t="s">
        <v>1425</v>
      </c>
      <c r="AJ373" s="18"/>
    </row>
    <row r="374" spans="1:37" ht="20.100000000000001" customHeight="1" thickBot="1">
      <c r="B374" s="4687" t="s">
        <v>2281</v>
      </c>
      <c r="C374" s="4688"/>
      <c r="D374" s="4689" t="s">
        <v>1428</v>
      </c>
      <c r="E374" s="4690"/>
      <c r="F374" s="4691" t="s">
        <v>742</v>
      </c>
      <c r="G374" s="1171"/>
      <c r="H374" s="1171"/>
      <c r="I374" s="4692" t="s">
        <v>1429</v>
      </c>
      <c r="J374" s="4693"/>
      <c r="K374" s="1172" t="s">
        <v>734</v>
      </c>
      <c r="L374" s="2323">
        <v>0</v>
      </c>
      <c r="M374" s="1178">
        <v>0</v>
      </c>
      <c r="N374" s="1177">
        <v>0</v>
      </c>
      <c r="O374" s="1178">
        <v>0</v>
      </c>
      <c r="P374" s="2324"/>
      <c r="Q374" s="2323">
        <v>0</v>
      </c>
      <c r="R374" s="1178">
        <v>0</v>
      </c>
      <c r="S374" s="1177">
        <v>0</v>
      </c>
      <c r="T374" s="1178">
        <v>0</v>
      </c>
      <c r="U374" s="2324"/>
      <c r="V374" s="2323">
        <v>0</v>
      </c>
      <c r="W374" s="4694" t="s">
        <v>1426</v>
      </c>
      <c r="X374" s="1177">
        <v>0</v>
      </c>
      <c r="Y374" s="4694" t="s">
        <v>1426</v>
      </c>
      <c r="Z374" s="2324"/>
      <c r="AA374" s="5217" t="s">
        <v>641</v>
      </c>
      <c r="AB374" s="5218"/>
      <c r="AC374" s="5219" t="s">
        <v>641</v>
      </c>
      <c r="AD374" s="5218"/>
      <c r="AE374" s="5220" t="s">
        <v>641</v>
      </c>
      <c r="AF374" s="4695"/>
      <c r="AG374" s="597"/>
      <c r="AH374" s="4696"/>
      <c r="AI374" s="4697" t="s">
        <v>1431</v>
      </c>
      <c r="AJ374" s="18"/>
    </row>
    <row r="375" spans="1:37" ht="20.100000000000001" hidden="1" customHeight="1" thickBot="1">
      <c r="B375" s="4698"/>
      <c r="C375" s="4699" t="s">
        <v>1433</v>
      </c>
      <c r="D375" s="4700"/>
      <c r="E375" s="4700"/>
      <c r="F375" s="1143" t="s">
        <v>156</v>
      </c>
      <c r="G375" s="4701"/>
      <c r="H375" s="4702" t="s">
        <v>1434</v>
      </c>
      <c r="I375" s="4703"/>
      <c r="J375" s="4704"/>
      <c r="K375" s="873" t="s">
        <v>156</v>
      </c>
      <c r="L375" s="2286"/>
      <c r="M375" s="960"/>
      <c r="N375" s="959"/>
      <c r="O375" s="960"/>
      <c r="P375" s="2517"/>
      <c r="Q375" s="2286"/>
      <c r="R375" s="960"/>
      <c r="S375" s="959"/>
      <c r="T375" s="960"/>
      <c r="U375" s="2425"/>
      <c r="V375" s="2141"/>
      <c r="W375" s="960"/>
      <c r="X375" s="959"/>
      <c r="Y375" s="960"/>
      <c r="Z375" s="959"/>
      <c r="AA375" s="959"/>
      <c r="AB375" s="960"/>
      <c r="AC375" s="959"/>
      <c r="AD375" s="960"/>
      <c r="AE375" s="959"/>
      <c r="AF375" s="873"/>
      <c r="AG375" s="878"/>
      <c r="AH375" s="878"/>
      <c r="AI375" s="620"/>
      <c r="AJ375" s="18"/>
    </row>
    <row r="376" spans="1:37" ht="27.75" hidden="1" thickTop="1" thickBot="1">
      <c r="A376" s="50"/>
      <c r="B376" s="1742" t="s">
        <v>1437</v>
      </c>
      <c r="C376" s="629"/>
      <c r="D376" s="629"/>
      <c r="E376" s="629"/>
      <c r="F376" s="630"/>
      <c r="G376" s="631" t="s">
        <v>1438</v>
      </c>
      <c r="H376" s="629"/>
      <c r="I376" s="632"/>
      <c r="J376" s="632"/>
      <c r="K376" s="630"/>
      <c r="L376" s="2438"/>
      <c r="M376" s="1054"/>
      <c r="N376" s="1054"/>
      <c r="O376" s="1054"/>
      <c r="P376" s="1054"/>
      <c r="Q376" s="2438"/>
      <c r="R376" s="1054"/>
      <c r="S376" s="1054"/>
      <c r="T376" s="1054"/>
      <c r="U376" s="2439"/>
      <c r="V376" s="1054"/>
      <c r="W376" s="1054"/>
      <c r="X376" s="1054"/>
      <c r="Y376" s="1054"/>
      <c r="Z376" s="1054"/>
      <c r="AA376" s="1054"/>
      <c r="AB376" s="1054"/>
      <c r="AC376" s="1054"/>
      <c r="AD376" s="1054"/>
      <c r="AE376" s="1054"/>
      <c r="AF376" s="633"/>
      <c r="AG376" s="633"/>
      <c r="AH376" s="633"/>
      <c r="AI376" s="1055"/>
      <c r="AJ376" s="18"/>
      <c r="AK376" s="54"/>
    </row>
    <row r="377" spans="1:37" ht="27" hidden="1" thickBot="1">
      <c r="B377" s="123" t="s">
        <v>1439</v>
      </c>
      <c r="C377" s="124"/>
      <c r="D377" s="124"/>
      <c r="E377" s="124"/>
      <c r="F377" s="78"/>
      <c r="G377" s="125" t="s">
        <v>2525</v>
      </c>
      <c r="H377" s="124"/>
      <c r="I377" s="124"/>
      <c r="J377" s="126"/>
      <c r="K377" s="78"/>
      <c r="L377" s="2431"/>
      <c r="M377" s="1005"/>
      <c r="N377" s="1005"/>
      <c r="O377" s="1005"/>
      <c r="P377" s="1005"/>
      <c r="Q377" s="2431"/>
      <c r="R377" s="1005"/>
      <c r="S377" s="1005"/>
      <c r="T377" s="1005"/>
      <c r="U377" s="2432"/>
      <c r="V377" s="1005"/>
      <c r="W377" s="1005"/>
      <c r="X377" s="1005"/>
      <c r="Y377" s="1005"/>
      <c r="Z377" s="1005"/>
      <c r="AA377" s="1005"/>
      <c r="AB377" s="1005"/>
      <c r="AC377" s="1005"/>
      <c r="AD377" s="1005"/>
      <c r="AE377" s="1005"/>
      <c r="AF377" s="80"/>
      <c r="AG377" s="80"/>
      <c r="AH377" s="80"/>
      <c r="AI377" s="1952"/>
      <c r="AJ377" s="18"/>
    </row>
    <row r="378" spans="1:37" ht="20.100000000000001" hidden="1" customHeight="1">
      <c r="B378" s="1865"/>
      <c r="C378" s="4705" t="s">
        <v>1441</v>
      </c>
      <c r="D378" s="4706"/>
      <c r="E378" s="4706"/>
      <c r="F378" s="1040" t="s">
        <v>168</v>
      </c>
      <c r="G378" s="1056"/>
      <c r="H378" s="698" t="s">
        <v>1442</v>
      </c>
      <c r="I378" s="698"/>
      <c r="J378" s="655"/>
      <c r="K378" s="956" t="s">
        <v>734</v>
      </c>
      <c r="L378" s="2423"/>
      <c r="M378" s="954"/>
      <c r="N378" s="953"/>
      <c r="O378" s="954"/>
      <c r="P378" s="4707"/>
      <c r="Q378" s="2423"/>
      <c r="R378" s="954"/>
      <c r="S378" s="953"/>
      <c r="T378" s="954"/>
      <c r="U378" s="2424"/>
      <c r="V378" s="2140"/>
      <c r="W378" s="954"/>
      <c r="X378" s="953"/>
      <c r="Y378" s="954"/>
      <c r="Z378" s="953"/>
      <c r="AA378" s="953"/>
      <c r="AB378" s="954"/>
      <c r="AC378" s="953"/>
      <c r="AD378" s="954"/>
      <c r="AE378" s="953"/>
      <c r="AF378" s="873"/>
      <c r="AG378" s="547"/>
      <c r="AH378" s="547"/>
      <c r="AI378" s="1043"/>
      <c r="AJ378" s="18"/>
    </row>
    <row r="379" spans="1:37" ht="20.100000000000001" hidden="1" customHeight="1">
      <c r="B379" s="1865"/>
      <c r="C379" s="4708"/>
      <c r="D379" s="787" t="s">
        <v>1445</v>
      </c>
      <c r="E379" s="781"/>
      <c r="F379" s="105" t="s">
        <v>732</v>
      </c>
      <c r="G379" s="106"/>
      <c r="H379" s="353"/>
      <c r="I379" s="945" t="s">
        <v>1446</v>
      </c>
      <c r="J379" s="945"/>
      <c r="K379" s="873" t="s">
        <v>734</v>
      </c>
      <c r="L379" s="2300">
        <v>0</v>
      </c>
      <c r="M379" s="807">
        <v>0</v>
      </c>
      <c r="N379" s="805">
        <v>0</v>
      </c>
      <c r="O379" s="807">
        <v>0</v>
      </c>
      <c r="P379" s="2544"/>
      <c r="Q379" s="2300">
        <v>0</v>
      </c>
      <c r="R379" s="807">
        <v>0</v>
      </c>
      <c r="S379" s="805">
        <v>0</v>
      </c>
      <c r="T379" s="807">
        <v>0</v>
      </c>
      <c r="U379" s="2301"/>
      <c r="V379" s="2145" t="s">
        <v>2526</v>
      </c>
      <c r="W379" s="807" t="s">
        <v>2527</v>
      </c>
      <c r="X379" s="805" t="s">
        <v>2526</v>
      </c>
      <c r="Y379" s="807" t="s">
        <v>2527</v>
      </c>
      <c r="Z379" s="805"/>
      <c r="AA379" s="805"/>
      <c r="AB379" s="807"/>
      <c r="AC379" s="805"/>
      <c r="AD379" s="807"/>
      <c r="AE379" s="805"/>
      <c r="AF379" s="873"/>
      <c r="AG379" s="547"/>
      <c r="AH379" s="547"/>
      <c r="AI379" s="277" t="s">
        <v>1449</v>
      </c>
      <c r="AJ379" s="18"/>
    </row>
    <row r="380" spans="1:37" ht="20.100000000000001" hidden="1" customHeight="1">
      <c r="B380" s="1865"/>
      <c r="C380" s="4709"/>
      <c r="D380" s="787" t="s">
        <v>1451</v>
      </c>
      <c r="E380" s="781"/>
      <c r="F380" s="105" t="s">
        <v>732</v>
      </c>
      <c r="G380" s="106"/>
      <c r="H380" s="353"/>
      <c r="I380" s="735" t="s">
        <v>1452</v>
      </c>
      <c r="J380" s="735"/>
      <c r="K380" s="109" t="s">
        <v>734</v>
      </c>
      <c r="L380" s="2302">
        <v>0</v>
      </c>
      <c r="M380" s="543">
        <v>0</v>
      </c>
      <c r="N380" s="542">
        <v>0</v>
      </c>
      <c r="O380" s="543">
        <v>0</v>
      </c>
      <c r="P380" s="795"/>
      <c r="Q380" s="2302">
        <v>0</v>
      </c>
      <c r="R380" s="543">
        <v>0</v>
      </c>
      <c r="S380" s="542">
        <v>0</v>
      </c>
      <c r="T380" s="543">
        <v>0</v>
      </c>
      <c r="U380" s="2303"/>
      <c r="V380" s="2449" t="s">
        <v>2528</v>
      </c>
      <c r="W380" s="648">
        <v>0</v>
      </c>
      <c r="X380" s="1064" t="s">
        <v>2528</v>
      </c>
      <c r="Y380" s="543">
        <v>0</v>
      </c>
      <c r="Z380" s="542"/>
      <c r="AA380" s="542"/>
      <c r="AB380" s="543"/>
      <c r="AC380" s="542"/>
      <c r="AD380" s="543"/>
      <c r="AE380" s="542"/>
      <c r="AF380" s="109"/>
      <c r="AG380" s="547"/>
      <c r="AH380" s="547"/>
      <c r="AI380" s="277" t="s">
        <v>1455</v>
      </c>
      <c r="AJ380" s="18"/>
    </row>
    <row r="381" spans="1:37" ht="20.100000000000001" hidden="1" customHeight="1">
      <c r="B381" s="1865"/>
      <c r="C381" s="4664"/>
      <c r="D381" s="787" t="s">
        <v>1456</v>
      </c>
      <c r="E381" s="781"/>
      <c r="F381" s="105" t="s">
        <v>732</v>
      </c>
      <c r="G381" s="384"/>
      <c r="H381" s="385"/>
      <c r="I381" s="1065" t="s">
        <v>1457</v>
      </c>
      <c r="J381" s="1066"/>
      <c r="K381" s="109" t="s">
        <v>734</v>
      </c>
      <c r="L381" s="2302">
        <v>0</v>
      </c>
      <c r="M381" s="543">
        <v>0</v>
      </c>
      <c r="N381" s="542">
        <v>0</v>
      </c>
      <c r="O381" s="543">
        <v>0</v>
      </c>
      <c r="P381" s="795"/>
      <c r="Q381" s="2302">
        <v>0</v>
      </c>
      <c r="R381" s="543">
        <v>0</v>
      </c>
      <c r="S381" s="542">
        <v>0</v>
      </c>
      <c r="T381" s="543">
        <v>0</v>
      </c>
      <c r="U381" s="2303"/>
      <c r="V381" s="2449" t="s">
        <v>2529</v>
      </c>
      <c r="W381" s="648" t="s">
        <v>2530</v>
      </c>
      <c r="X381" s="1064" t="s">
        <v>2529</v>
      </c>
      <c r="Y381" s="543" t="s">
        <v>2530</v>
      </c>
      <c r="Z381" s="542"/>
      <c r="AA381" s="542"/>
      <c r="AB381" s="543"/>
      <c r="AC381" s="542"/>
      <c r="AD381" s="543"/>
      <c r="AE381" s="542"/>
      <c r="AF381" s="109"/>
      <c r="AG381" s="547"/>
      <c r="AH381" s="547"/>
      <c r="AI381" s="277" t="s">
        <v>1460</v>
      </c>
      <c r="AJ381" s="18"/>
    </row>
    <row r="382" spans="1:37" ht="20.100000000000001" hidden="1" customHeight="1">
      <c r="B382" s="1865"/>
      <c r="C382" s="4710" t="s">
        <v>1461</v>
      </c>
      <c r="D382" s="4711"/>
      <c r="E382" s="4712"/>
      <c r="F382" s="1040" t="s">
        <v>168</v>
      </c>
      <c r="G382" s="685"/>
      <c r="H382" s="686" t="s">
        <v>1462</v>
      </c>
      <c r="I382" s="739"/>
      <c r="J382" s="739"/>
      <c r="K382" s="315" t="s">
        <v>168</v>
      </c>
      <c r="L382" s="2304"/>
      <c r="M382" s="661"/>
      <c r="N382" s="659"/>
      <c r="O382" s="661"/>
      <c r="P382" s="2546"/>
      <c r="Q382" s="2304"/>
      <c r="R382" s="661"/>
      <c r="S382" s="659"/>
      <c r="T382" s="661"/>
      <c r="U382" s="2305"/>
      <c r="V382" s="2133"/>
      <c r="W382" s="661"/>
      <c r="X382" s="659"/>
      <c r="Y382" s="661"/>
      <c r="Z382" s="659"/>
      <c r="AA382" s="659"/>
      <c r="AB382" s="661"/>
      <c r="AC382" s="659"/>
      <c r="AD382" s="661"/>
      <c r="AE382" s="659"/>
      <c r="AF382" s="873"/>
      <c r="AG382" s="547"/>
      <c r="AH382" s="547"/>
      <c r="AI382" s="1043"/>
      <c r="AJ382" s="18"/>
    </row>
    <row r="383" spans="1:37" ht="20.100000000000001" hidden="1" customHeight="1">
      <c r="B383" s="1865"/>
      <c r="C383" s="4713"/>
      <c r="D383" s="787" t="s">
        <v>1445</v>
      </c>
      <c r="E383" s="781"/>
      <c r="F383" s="105" t="s">
        <v>154</v>
      </c>
      <c r="G383" s="347"/>
      <c r="H383" s="1069"/>
      <c r="I383" s="735" t="s">
        <v>1454</v>
      </c>
      <c r="J383" s="735"/>
      <c r="K383" s="109" t="s">
        <v>154</v>
      </c>
      <c r="L383" s="2302"/>
      <c r="M383" s="543"/>
      <c r="N383" s="542"/>
      <c r="O383" s="543"/>
      <c r="P383" s="795"/>
      <c r="Q383" s="2302"/>
      <c r="R383" s="543"/>
      <c r="S383" s="542"/>
      <c r="T383" s="543"/>
      <c r="U383" s="2303"/>
      <c r="V383" s="2449"/>
      <c r="W383" s="648"/>
      <c r="X383" s="1064"/>
      <c r="Y383" s="543"/>
      <c r="Z383" s="542"/>
      <c r="AA383" s="542"/>
      <c r="AB383" s="543"/>
      <c r="AC383" s="542"/>
      <c r="AD383" s="543"/>
      <c r="AE383" s="542"/>
      <c r="AF383" s="109"/>
      <c r="AG383" s="547"/>
      <c r="AH383" s="547"/>
      <c r="AI383" s="277" t="s">
        <v>1465</v>
      </c>
      <c r="AJ383" s="18"/>
    </row>
    <row r="384" spans="1:37" ht="20.100000000000001" hidden="1" customHeight="1">
      <c r="B384" s="1865"/>
      <c r="C384" s="4714"/>
      <c r="D384" s="787" t="s">
        <v>1466</v>
      </c>
      <c r="E384" s="781"/>
      <c r="F384" s="706" t="s">
        <v>154</v>
      </c>
      <c r="G384" s="1070"/>
      <c r="H384" s="1071"/>
      <c r="I384" s="1072" t="s">
        <v>1467</v>
      </c>
      <c r="J384" s="1072"/>
      <c r="K384" s="711" t="s">
        <v>154</v>
      </c>
      <c r="L384" s="2306"/>
      <c r="M384" s="713"/>
      <c r="N384" s="712"/>
      <c r="O384" s="713"/>
      <c r="P384" s="2542"/>
      <c r="Q384" s="2306"/>
      <c r="R384" s="713"/>
      <c r="S384" s="712"/>
      <c r="T384" s="713"/>
      <c r="U384" s="2307"/>
      <c r="V384" s="2450"/>
      <c r="W384" s="1078"/>
      <c r="X384" s="1077"/>
      <c r="Y384" s="713"/>
      <c r="Z384" s="712"/>
      <c r="AA384" s="712"/>
      <c r="AB384" s="713"/>
      <c r="AC384" s="712"/>
      <c r="AD384" s="713"/>
      <c r="AE384" s="712"/>
      <c r="AF384" s="711"/>
      <c r="AG384" s="547"/>
      <c r="AH384" s="547"/>
      <c r="AI384" s="277" t="s">
        <v>1465</v>
      </c>
      <c r="AJ384" s="18"/>
    </row>
    <row r="385" spans="2:36" ht="27" hidden="1" thickBot="1">
      <c r="B385" s="123" t="s">
        <v>1468</v>
      </c>
      <c r="C385" s="124"/>
      <c r="D385" s="124"/>
      <c r="E385" s="124"/>
      <c r="F385" s="78"/>
      <c r="G385" s="125" t="s">
        <v>2531</v>
      </c>
      <c r="H385" s="126"/>
      <c r="I385" s="126"/>
      <c r="J385" s="126"/>
      <c r="K385" s="78"/>
      <c r="L385" s="2431"/>
      <c r="M385" s="1005"/>
      <c r="N385" s="1005"/>
      <c r="O385" s="1005"/>
      <c r="P385" s="1005"/>
      <c r="Q385" s="2431"/>
      <c r="R385" s="1005"/>
      <c r="S385" s="1005"/>
      <c r="T385" s="1005"/>
      <c r="U385" s="2432"/>
      <c r="V385" s="4715"/>
      <c r="W385" s="4715"/>
      <c r="X385" s="4715"/>
      <c r="Y385" s="1005"/>
      <c r="Z385" s="1005"/>
      <c r="AA385" s="1005"/>
      <c r="AB385" s="1005"/>
      <c r="AC385" s="1005"/>
      <c r="AD385" s="1005"/>
      <c r="AE385" s="1005"/>
      <c r="AF385" s="80"/>
      <c r="AG385" s="80"/>
      <c r="AH385" s="80"/>
      <c r="AI385" s="1952"/>
      <c r="AJ385" s="18"/>
    </row>
    <row r="386" spans="2:36" ht="20.100000000000001" hidden="1" customHeight="1">
      <c r="B386" s="1961"/>
      <c r="C386" s="4716" t="s">
        <v>1469</v>
      </c>
      <c r="D386" s="4717"/>
      <c r="E386" s="4717"/>
      <c r="F386" s="2371" t="s">
        <v>168</v>
      </c>
      <c r="G386" s="739"/>
      <c r="H386" s="698" t="s">
        <v>1470</v>
      </c>
      <c r="I386" s="698"/>
      <c r="J386" s="655"/>
      <c r="K386" s="881" t="s">
        <v>168</v>
      </c>
      <c r="L386" s="2440"/>
      <c r="M386" s="1081"/>
      <c r="N386" s="1080"/>
      <c r="O386" s="1081"/>
      <c r="P386" s="4718"/>
      <c r="Q386" s="2440"/>
      <c r="R386" s="1081"/>
      <c r="S386" s="1080"/>
      <c r="T386" s="1081"/>
      <c r="U386" s="2441"/>
      <c r="V386" s="2451"/>
      <c r="W386" s="1083"/>
      <c r="X386" s="1082"/>
      <c r="Y386" s="1081"/>
      <c r="Z386" s="1080"/>
      <c r="AA386" s="1080"/>
      <c r="AB386" s="1081"/>
      <c r="AC386" s="1080"/>
      <c r="AD386" s="1081"/>
      <c r="AE386" s="1080"/>
      <c r="AF386" s="162"/>
      <c r="AG386" s="534"/>
      <c r="AH386" s="534"/>
      <c r="AI386" s="1043"/>
      <c r="AJ386" s="18"/>
    </row>
    <row r="387" spans="2:36" ht="20.100000000000001" hidden="1" customHeight="1">
      <c r="B387" s="4719"/>
      <c r="C387" s="4709"/>
      <c r="D387" s="787" t="s">
        <v>1445</v>
      </c>
      <c r="E387" s="781"/>
      <c r="F387" s="105" t="s">
        <v>1471</v>
      </c>
      <c r="G387" s="106"/>
      <c r="H387" s="353"/>
      <c r="I387" s="384" t="s">
        <v>1472</v>
      </c>
      <c r="J387" s="384"/>
      <c r="K387" s="1034" t="s">
        <v>559</v>
      </c>
      <c r="L387" s="2302">
        <v>0</v>
      </c>
      <c r="M387" s="652">
        <v>0</v>
      </c>
      <c r="N387" s="542">
        <v>0</v>
      </c>
      <c r="O387" s="652">
        <v>0</v>
      </c>
      <c r="P387" s="795"/>
      <c r="Q387" s="2302">
        <v>0</v>
      </c>
      <c r="R387" s="652">
        <v>0</v>
      </c>
      <c r="S387" s="542">
        <v>0</v>
      </c>
      <c r="T387" s="652">
        <v>0</v>
      </c>
      <c r="U387" s="2303"/>
      <c r="V387" s="2449" t="s">
        <v>2532</v>
      </c>
      <c r="W387" s="737" t="s">
        <v>2533</v>
      </c>
      <c r="X387" s="1064" t="s">
        <v>2532</v>
      </c>
      <c r="Y387" s="652" t="s">
        <v>2533</v>
      </c>
      <c r="Z387" s="542"/>
      <c r="AA387" s="542"/>
      <c r="AB387" s="652"/>
      <c r="AC387" s="542"/>
      <c r="AD387" s="652"/>
      <c r="AE387" s="542"/>
      <c r="AF387" s="1034"/>
      <c r="AG387" s="878"/>
      <c r="AH387" s="878"/>
      <c r="AI387" s="277" t="s">
        <v>1475</v>
      </c>
      <c r="AJ387" s="18"/>
    </row>
    <row r="388" spans="2:36" ht="20.100000000000001" hidden="1" customHeight="1">
      <c r="B388" s="1848"/>
      <c r="C388" s="4621"/>
      <c r="D388" s="787" t="s">
        <v>1466</v>
      </c>
      <c r="E388" s="781"/>
      <c r="F388" s="105" t="s">
        <v>1476</v>
      </c>
      <c r="G388" s="384"/>
      <c r="H388" s="385"/>
      <c r="I388" s="358" t="s">
        <v>1477</v>
      </c>
      <c r="J388" s="358"/>
      <c r="K388" s="162" t="s">
        <v>1013</v>
      </c>
      <c r="L388" s="2302">
        <v>0</v>
      </c>
      <c r="M388" s="652">
        <v>0</v>
      </c>
      <c r="N388" s="542">
        <v>0</v>
      </c>
      <c r="O388" s="652">
        <v>0</v>
      </c>
      <c r="P388" s="795"/>
      <c r="Q388" s="2302">
        <v>0</v>
      </c>
      <c r="R388" s="652">
        <v>0</v>
      </c>
      <c r="S388" s="542">
        <v>0</v>
      </c>
      <c r="T388" s="652">
        <v>0</v>
      </c>
      <c r="U388" s="2303"/>
      <c r="V388" s="2449" t="s">
        <v>2534</v>
      </c>
      <c r="W388" s="737" t="s">
        <v>2535</v>
      </c>
      <c r="X388" s="1064" t="s">
        <v>2534</v>
      </c>
      <c r="Y388" s="652" t="s">
        <v>2535</v>
      </c>
      <c r="Z388" s="542"/>
      <c r="AA388" s="542"/>
      <c r="AB388" s="652"/>
      <c r="AC388" s="542"/>
      <c r="AD388" s="652"/>
      <c r="AE388" s="542"/>
      <c r="AF388" s="162"/>
      <c r="AG388" s="547"/>
      <c r="AH388" s="547"/>
      <c r="AI388" s="277" t="s">
        <v>1480</v>
      </c>
      <c r="AJ388" s="18"/>
    </row>
    <row r="389" spans="2:36" ht="20.100000000000001" hidden="1" customHeight="1">
      <c r="B389" s="1848"/>
      <c r="C389" s="4599" t="s">
        <v>1481</v>
      </c>
      <c r="D389" s="663"/>
      <c r="E389" s="663"/>
      <c r="F389" s="2371" t="s">
        <v>168</v>
      </c>
      <c r="G389" s="739"/>
      <c r="H389" s="698" t="s">
        <v>1482</v>
      </c>
      <c r="I389" s="698"/>
      <c r="J389" s="655"/>
      <c r="K389" s="881" t="s">
        <v>168</v>
      </c>
      <c r="L389" s="2384"/>
      <c r="M389" s="1042"/>
      <c r="N389" s="318"/>
      <c r="O389" s="1042"/>
      <c r="P389" s="4720"/>
      <c r="Q389" s="2384"/>
      <c r="R389" s="1042"/>
      <c r="S389" s="318"/>
      <c r="T389" s="1042"/>
      <c r="U389" s="2437"/>
      <c r="V389" s="2452"/>
      <c r="W389" s="1087"/>
      <c r="X389" s="1086"/>
      <c r="Y389" s="1042"/>
      <c r="Z389" s="318"/>
      <c r="AA389" s="318"/>
      <c r="AB389" s="1042"/>
      <c r="AC389" s="318"/>
      <c r="AD389" s="1042"/>
      <c r="AE389" s="318"/>
      <c r="AF389" s="162"/>
      <c r="AG389" s="547"/>
      <c r="AH389" s="547"/>
      <c r="AI389" s="1043"/>
      <c r="AJ389" s="18"/>
    </row>
    <row r="390" spans="2:36" ht="20.100000000000001" hidden="1" customHeight="1">
      <c r="B390" s="1848"/>
      <c r="C390" s="4619"/>
      <c r="D390" s="787" t="s">
        <v>1483</v>
      </c>
      <c r="E390" s="781"/>
      <c r="F390" s="105" t="s">
        <v>1476</v>
      </c>
      <c r="G390" s="347"/>
      <c r="H390" s="348"/>
      <c r="I390" s="358" t="s">
        <v>1484</v>
      </c>
      <c r="J390" s="358"/>
      <c r="K390" s="162" t="s">
        <v>559</v>
      </c>
      <c r="L390" s="2302">
        <v>0</v>
      </c>
      <c r="M390" s="652">
        <v>0</v>
      </c>
      <c r="N390" s="542">
        <v>0</v>
      </c>
      <c r="O390" s="652">
        <v>0</v>
      </c>
      <c r="P390" s="795"/>
      <c r="Q390" s="2302">
        <v>0</v>
      </c>
      <c r="R390" s="652">
        <v>0</v>
      </c>
      <c r="S390" s="542">
        <v>0</v>
      </c>
      <c r="T390" s="652">
        <v>0</v>
      </c>
      <c r="U390" s="2303"/>
      <c r="V390" s="2449" t="s">
        <v>2536</v>
      </c>
      <c r="W390" s="737" t="s">
        <v>2537</v>
      </c>
      <c r="X390" s="1064" t="s">
        <v>2536</v>
      </c>
      <c r="Y390" s="652" t="s">
        <v>2537</v>
      </c>
      <c r="Z390" s="542"/>
      <c r="AA390" s="542"/>
      <c r="AB390" s="652"/>
      <c r="AC390" s="542"/>
      <c r="AD390" s="652"/>
      <c r="AE390" s="542"/>
      <c r="AF390" s="162"/>
      <c r="AG390" s="547"/>
      <c r="AH390" s="547"/>
      <c r="AI390" s="277" t="s">
        <v>1487</v>
      </c>
      <c r="AJ390" s="18"/>
    </row>
    <row r="391" spans="2:36" ht="20.100000000000001" hidden="1" customHeight="1">
      <c r="B391" s="1848"/>
      <c r="C391" s="4621"/>
      <c r="D391" s="787" t="s">
        <v>1488</v>
      </c>
      <c r="E391" s="781"/>
      <c r="F391" s="105" t="s">
        <v>1476</v>
      </c>
      <c r="G391" s="384"/>
      <c r="H391" s="385"/>
      <c r="I391" s="358" t="s">
        <v>1489</v>
      </c>
      <c r="J391" s="358"/>
      <c r="K391" s="162" t="s">
        <v>559</v>
      </c>
      <c r="L391" s="2302"/>
      <c r="M391" s="652"/>
      <c r="N391" s="542"/>
      <c r="O391" s="652"/>
      <c r="P391" s="795"/>
      <c r="Q391" s="2302"/>
      <c r="R391" s="652"/>
      <c r="S391" s="542"/>
      <c r="T391" s="652"/>
      <c r="U391" s="2303"/>
      <c r="V391" s="2449"/>
      <c r="W391" s="737"/>
      <c r="X391" s="1064" t="s">
        <v>168</v>
      </c>
      <c r="Y391" s="638"/>
      <c r="Z391" s="542"/>
      <c r="AA391" s="542"/>
      <c r="AB391" s="652"/>
      <c r="AC391" s="542"/>
      <c r="AD391" s="652"/>
      <c r="AE391" s="542"/>
      <c r="AF391" s="162"/>
      <c r="AG391" s="547"/>
      <c r="AH391" s="547"/>
      <c r="AI391" s="277" t="s">
        <v>1492</v>
      </c>
      <c r="AJ391" s="18"/>
    </row>
    <row r="392" spans="2:36" ht="20.100000000000001" hidden="1" customHeight="1">
      <c r="B392" s="1848"/>
      <c r="C392" s="4721" t="s">
        <v>1493</v>
      </c>
      <c r="D392" s="698"/>
      <c r="E392" s="655"/>
      <c r="F392" s="2371" t="s">
        <v>168</v>
      </c>
      <c r="G392" s="739"/>
      <c r="H392" s="698" t="s">
        <v>1494</v>
      </c>
      <c r="I392" s="698"/>
      <c r="J392" s="655"/>
      <c r="K392" s="881" t="s">
        <v>168</v>
      </c>
      <c r="L392" s="2384"/>
      <c r="M392" s="1042"/>
      <c r="N392" s="318"/>
      <c r="O392" s="1042"/>
      <c r="P392" s="4720"/>
      <c r="Q392" s="2384"/>
      <c r="R392" s="1042"/>
      <c r="S392" s="318"/>
      <c r="T392" s="1042"/>
      <c r="U392" s="2437"/>
      <c r="V392" s="2452"/>
      <c r="W392" s="1087"/>
      <c r="X392" s="1086"/>
      <c r="Y392" s="1091"/>
      <c r="Z392" s="318"/>
      <c r="AA392" s="318"/>
      <c r="AB392" s="1042"/>
      <c r="AC392" s="318"/>
      <c r="AD392" s="1042"/>
      <c r="AE392" s="318"/>
      <c r="AF392" s="162"/>
      <c r="AG392" s="547"/>
      <c r="AH392" s="547"/>
      <c r="AI392" s="1043"/>
      <c r="AJ392" s="18"/>
    </row>
    <row r="393" spans="2:36" s="139" customFormat="1" ht="20.100000000000001" hidden="1" customHeight="1">
      <c r="B393" s="1754"/>
      <c r="C393" s="11"/>
      <c r="D393" s="787" t="s">
        <v>1495</v>
      </c>
      <c r="E393" s="781"/>
      <c r="F393" s="105" t="s">
        <v>154</v>
      </c>
      <c r="G393" s="347"/>
      <c r="H393" s="1069"/>
      <c r="I393" s="735" t="s">
        <v>1496</v>
      </c>
      <c r="J393" s="735"/>
      <c r="K393" s="109" t="s">
        <v>154</v>
      </c>
      <c r="L393" s="2312">
        <v>0</v>
      </c>
      <c r="M393" s="581">
        <v>0</v>
      </c>
      <c r="N393" s="1095">
        <v>0</v>
      </c>
      <c r="O393" s="581">
        <v>0</v>
      </c>
      <c r="P393" s="4722"/>
      <c r="Q393" s="2312">
        <v>0</v>
      </c>
      <c r="R393" s="581">
        <v>0</v>
      </c>
      <c r="S393" s="1095">
        <v>0</v>
      </c>
      <c r="T393" s="581">
        <v>0</v>
      </c>
      <c r="U393" s="2313"/>
      <c r="V393" s="2453" t="s">
        <v>2538</v>
      </c>
      <c r="W393" s="1097">
        <v>1</v>
      </c>
      <c r="X393" s="1096" t="s">
        <v>2538</v>
      </c>
      <c r="Y393" s="581">
        <v>1</v>
      </c>
      <c r="Z393" s="1095"/>
      <c r="AA393" s="1095"/>
      <c r="AB393" s="581"/>
      <c r="AC393" s="1095"/>
      <c r="AD393" s="581"/>
      <c r="AE393" s="1095"/>
      <c r="AF393" s="162"/>
      <c r="AG393" s="547"/>
      <c r="AH393" s="547"/>
      <c r="AI393" s="277" t="s">
        <v>1499</v>
      </c>
      <c r="AJ393" s="18"/>
    </row>
    <row r="394" spans="2:36" s="139" customFormat="1" ht="20.100000000000001" hidden="1" customHeight="1">
      <c r="B394" s="1754"/>
      <c r="C394" s="4620"/>
      <c r="D394" s="787" t="s">
        <v>1500</v>
      </c>
      <c r="E394" s="781"/>
      <c r="F394" s="105" t="s">
        <v>154</v>
      </c>
      <c r="G394" s="106"/>
      <c r="H394" s="1098"/>
      <c r="I394" s="735" t="s">
        <v>1501</v>
      </c>
      <c r="J394" s="735"/>
      <c r="K394" s="109" t="s">
        <v>154</v>
      </c>
      <c r="L394" s="2312">
        <v>0</v>
      </c>
      <c r="M394" s="581">
        <v>0</v>
      </c>
      <c r="N394" s="1095">
        <v>0</v>
      </c>
      <c r="O394" s="581">
        <v>0</v>
      </c>
      <c r="P394" s="4722"/>
      <c r="Q394" s="2312">
        <v>0</v>
      </c>
      <c r="R394" s="581">
        <v>0</v>
      </c>
      <c r="S394" s="1095">
        <v>0</v>
      </c>
      <c r="T394" s="581">
        <v>0</v>
      </c>
      <c r="U394" s="2313"/>
      <c r="V394" s="2453" t="s">
        <v>2539</v>
      </c>
      <c r="W394" s="1097" t="s">
        <v>169</v>
      </c>
      <c r="X394" s="1096" t="s">
        <v>2538</v>
      </c>
      <c r="Y394" s="581" t="s">
        <v>169</v>
      </c>
      <c r="Z394" s="1095"/>
      <c r="AA394" s="1095"/>
      <c r="AB394" s="581"/>
      <c r="AC394" s="1095"/>
      <c r="AD394" s="581"/>
      <c r="AE394" s="1095"/>
      <c r="AF394" s="162"/>
      <c r="AG394" s="547"/>
      <c r="AH394" s="547"/>
      <c r="AI394" s="277" t="s">
        <v>1504</v>
      </c>
      <c r="AJ394" s="18"/>
    </row>
    <row r="395" spans="2:36" s="139" customFormat="1" ht="20.100000000000001" hidden="1" customHeight="1">
      <c r="B395" s="1754"/>
      <c r="C395" s="4620"/>
      <c r="D395" s="787" t="s">
        <v>1505</v>
      </c>
      <c r="E395" s="781"/>
      <c r="F395" s="105" t="s">
        <v>154</v>
      </c>
      <c r="G395" s="106"/>
      <c r="H395" s="1098"/>
      <c r="I395" s="735" t="s">
        <v>1506</v>
      </c>
      <c r="J395" s="735"/>
      <c r="K395" s="109" t="s">
        <v>154</v>
      </c>
      <c r="L395" s="2312">
        <v>0</v>
      </c>
      <c r="M395" s="581">
        <v>0</v>
      </c>
      <c r="N395" s="1095">
        <v>0</v>
      </c>
      <c r="O395" s="581">
        <v>0</v>
      </c>
      <c r="P395" s="4722"/>
      <c r="Q395" s="2312">
        <v>0</v>
      </c>
      <c r="R395" s="581">
        <v>0</v>
      </c>
      <c r="S395" s="1095">
        <v>0</v>
      </c>
      <c r="T395" s="581">
        <v>0</v>
      </c>
      <c r="U395" s="2313"/>
      <c r="V395" s="2453" t="s">
        <v>2540</v>
      </c>
      <c r="W395" s="1097" t="s">
        <v>169</v>
      </c>
      <c r="X395" s="1096" t="s">
        <v>2540</v>
      </c>
      <c r="Y395" s="581" t="s">
        <v>169</v>
      </c>
      <c r="Z395" s="1095"/>
      <c r="AA395" s="1095"/>
      <c r="AB395" s="581"/>
      <c r="AC395" s="1095"/>
      <c r="AD395" s="581"/>
      <c r="AE395" s="1095"/>
      <c r="AF395" s="162"/>
      <c r="AG395" s="547"/>
      <c r="AH395" s="547"/>
      <c r="AI395" s="277" t="s">
        <v>1509</v>
      </c>
      <c r="AJ395" s="18"/>
    </row>
    <row r="396" spans="2:36" s="139" customFormat="1" ht="20.100000000000001" hidden="1" customHeight="1">
      <c r="B396" s="1754"/>
      <c r="C396" s="4620"/>
      <c r="D396" s="787" t="s">
        <v>1510</v>
      </c>
      <c r="E396" s="781"/>
      <c r="F396" s="105" t="s">
        <v>154</v>
      </c>
      <c r="G396" s="106"/>
      <c r="H396" s="1098"/>
      <c r="I396" s="735" t="s">
        <v>1511</v>
      </c>
      <c r="J396" s="735"/>
      <c r="K396" s="109" t="s">
        <v>154</v>
      </c>
      <c r="L396" s="2312">
        <v>0</v>
      </c>
      <c r="M396" s="581">
        <v>0</v>
      </c>
      <c r="N396" s="1095">
        <v>0</v>
      </c>
      <c r="O396" s="581">
        <v>0</v>
      </c>
      <c r="P396" s="4722"/>
      <c r="Q396" s="2312">
        <v>0</v>
      </c>
      <c r="R396" s="581">
        <v>0</v>
      </c>
      <c r="S396" s="1095">
        <v>0</v>
      </c>
      <c r="T396" s="581">
        <v>0</v>
      </c>
      <c r="U396" s="2313"/>
      <c r="V396" s="2453" t="s">
        <v>2541</v>
      </c>
      <c r="W396" s="1097" t="s">
        <v>169</v>
      </c>
      <c r="X396" s="1096" t="s">
        <v>2541</v>
      </c>
      <c r="Y396" s="581" t="s">
        <v>169</v>
      </c>
      <c r="Z396" s="1095"/>
      <c r="AA396" s="1095"/>
      <c r="AB396" s="581"/>
      <c r="AC396" s="1095"/>
      <c r="AD396" s="581"/>
      <c r="AE396" s="1095"/>
      <c r="AF396" s="162"/>
      <c r="AG396" s="547"/>
      <c r="AH396" s="547"/>
      <c r="AI396" s="277" t="s">
        <v>1514</v>
      </c>
      <c r="AJ396" s="18"/>
    </row>
    <row r="397" spans="2:36" s="139" customFormat="1" ht="20.100000000000001" hidden="1" customHeight="1">
      <c r="B397" s="1754"/>
      <c r="C397" s="1906"/>
      <c r="D397" s="787" t="s">
        <v>1515</v>
      </c>
      <c r="E397" s="781"/>
      <c r="F397" s="105" t="s">
        <v>154</v>
      </c>
      <c r="G397" s="384"/>
      <c r="H397" s="1099"/>
      <c r="I397" s="735" t="s">
        <v>1516</v>
      </c>
      <c r="J397" s="735"/>
      <c r="K397" s="109" t="s">
        <v>154</v>
      </c>
      <c r="L397" s="2312">
        <v>0</v>
      </c>
      <c r="M397" s="581">
        <v>0</v>
      </c>
      <c r="N397" s="1095">
        <v>0</v>
      </c>
      <c r="O397" s="581">
        <v>0</v>
      </c>
      <c r="P397" s="4722"/>
      <c r="Q397" s="2312">
        <v>0</v>
      </c>
      <c r="R397" s="581">
        <v>0</v>
      </c>
      <c r="S397" s="1095">
        <v>0</v>
      </c>
      <c r="T397" s="581">
        <v>0</v>
      </c>
      <c r="U397" s="2313"/>
      <c r="V397" s="2453" t="s">
        <v>2542</v>
      </c>
      <c r="W397" s="1097" t="s">
        <v>169</v>
      </c>
      <c r="X397" s="1096" t="s">
        <v>2542</v>
      </c>
      <c r="Y397" s="581" t="s">
        <v>169</v>
      </c>
      <c r="Z397" s="1095"/>
      <c r="AA397" s="1095"/>
      <c r="AB397" s="581"/>
      <c r="AC397" s="1095"/>
      <c r="AD397" s="581"/>
      <c r="AE397" s="1095"/>
      <c r="AF397" s="162"/>
      <c r="AG397" s="547"/>
      <c r="AH397" s="547"/>
      <c r="AI397" s="277" t="s">
        <v>1519</v>
      </c>
      <c r="AJ397" s="18"/>
    </row>
    <row r="398" spans="2:36" s="139" customFormat="1" ht="20.100000000000001" hidden="1" customHeight="1">
      <c r="B398" s="1747"/>
      <c r="C398" s="4669" t="s">
        <v>1520</v>
      </c>
      <c r="D398" s="924"/>
      <c r="E398" s="924"/>
      <c r="F398" s="105" t="s">
        <v>742</v>
      </c>
      <c r="G398" s="358"/>
      <c r="H398" s="359" t="s">
        <v>1521</v>
      </c>
      <c r="I398" s="359"/>
      <c r="J398" s="643"/>
      <c r="K398" s="109" t="s">
        <v>734</v>
      </c>
      <c r="L398" s="2302">
        <v>0</v>
      </c>
      <c r="M398" s="543">
        <v>0</v>
      </c>
      <c r="N398" s="542">
        <v>0</v>
      </c>
      <c r="O398" s="543">
        <v>0</v>
      </c>
      <c r="P398" s="795"/>
      <c r="Q398" s="2302">
        <v>0</v>
      </c>
      <c r="R398" s="543">
        <v>0</v>
      </c>
      <c r="S398" s="542">
        <v>0</v>
      </c>
      <c r="T398" s="543">
        <v>0</v>
      </c>
      <c r="U398" s="2303"/>
      <c r="V398" s="2449" t="s">
        <v>2543</v>
      </c>
      <c r="W398" s="648" t="s">
        <v>2544</v>
      </c>
      <c r="X398" s="1064" t="s">
        <v>2543</v>
      </c>
      <c r="Y398" s="543" t="s">
        <v>2544</v>
      </c>
      <c r="Z398" s="542"/>
      <c r="AA398" s="542"/>
      <c r="AB398" s="543"/>
      <c r="AC398" s="542"/>
      <c r="AD398" s="543"/>
      <c r="AE398" s="542"/>
      <c r="AF398" s="162"/>
      <c r="AG398" s="547"/>
      <c r="AH398" s="547"/>
      <c r="AI398" s="981" t="s">
        <v>1522</v>
      </c>
      <c r="AJ398" s="18"/>
    </row>
    <row r="399" spans="2:36" s="139" customFormat="1" ht="20.100000000000001" hidden="1" customHeight="1">
      <c r="B399" s="1902"/>
      <c r="C399" s="4669" t="s">
        <v>1523</v>
      </c>
      <c r="D399" s="924"/>
      <c r="E399" s="924"/>
      <c r="F399" s="105" t="s">
        <v>742</v>
      </c>
      <c r="G399" s="358"/>
      <c r="H399" s="359" t="s">
        <v>1524</v>
      </c>
      <c r="I399" s="359"/>
      <c r="J399" s="643"/>
      <c r="K399" s="109" t="s">
        <v>734</v>
      </c>
      <c r="L399" s="2302">
        <v>0</v>
      </c>
      <c r="M399" s="543">
        <v>0</v>
      </c>
      <c r="N399" s="542">
        <v>0</v>
      </c>
      <c r="O399" s="543">
        <v>0</v>
      </c>
      <c r="P399" s="795"/>
      <c r="Q399" s="2302">
        <v>0</v>
      </c>
      <c r="R399" s="543">
        <v>0</v>
      </c>
      <c r="S399" s="542">
        <v>0</v>
      </c>
      <c r="T399" s="543">
        <v>0</v>
      </c>
      <c r="U399" s="2303"/>
      <c r="V399" s="2449" t="s">
        <v>2545</v>
      </c>
      <c r="W399" s="648" t="s">
        <v>169</v>
      </c>
      <c r="X399" s="1064" t="s">
        <v>2545</v>
      </c>
      <c r="Y399" s="543" t="s">
        <v>169</v>
      </c>
      <c r="Z399" s="542"/>
      <c r="AA399" s="542"/>
      <c r="AB399" s="543"/>
      <c r="AC399" s="542"/>
      <c r="AD399" s="543"/>
      <c r="AE399" s="542"/>
      <c r="AF399" s="165"/>
      <c r="AG399" s="1101"/>
      <c r="AH399" s="1102"/>
      <c r="AI399" s="1103" t="s">
        <v>1525</v>
      </c>
      <c r="AJ399" s="18"/>
    </row>
    <row r="400" spans="2:36" s="139" customFormat="1" ht="20.100000000000001" hidden="1" customHeight="1">
      <c r="B400" s="1747"/>
      <c r="C400" s="4669" t="s">
        <v>1526</v>
      </c>
      <c r="D400" s="924"/>
      <c r="E400" s="924"/>
      <c r="F400" s="105" t="s">
        <v>156</v>
      </c>
      <c r="G400" s="358"/>
      <c r="H400" s="359" t="s">
        <v>1527</v>
      </c>
      <c r="I400" s="359"/>
      <c r="J400" s="348"/>
      <c r="K400" s="122" t="s">
        <v>156</v>
      </c>
      <c r="L400" s="2314"/>
      <c r="M400" s="1109"/>
      <c r="N400" s="1108"/>
      <c r="O400" s="1109"/>
      <c r="P400" s="2545"/>
      <c r="Q400" s="2314"/>
      <c r="R400" s="1109"/>
      <c r="S400" s="1108"/>
      <c r="T400" s="1109"/>
      <c r="U400" s="2315"/>
      <c r="V400" s="2454"/>
      <c r="W400" s="1111"/>
      <c r="X400" s="1110"/>
      <c r="Y400" s="1109"/>
      <c r="Z400" s="1108"/>
      <c r="AA400" s="1108"/>
      <c r="AB400" s="1109"/>
      <c r="AC400" s="1108"/>
      <c r="AD400" s="1109"/>
      <c r="AE400" s="1108"/>
      <c r="AF400" s="1114"/>
      <c r="AG400" s="1115"/>
      <c r="AH400" s="773"/>
      <c r="AI400" s="1116" t="s">
        <v>1529</v>
      </c>
      <c r="AJ400" s="18"/>
    </row>
    <row r="401" spans="2:36" s="139" customFormat="1" ht="20.100000000000001" hidden="1" customHeight="1">
      <c r="B401" s="1965"/>
      <c r="C401" s="1915"/>
      <c r="D401" s="936" t="s">
        <v>1530</v>
      </c>
      <c r="E401" s="924"/>
      <c r="F401" s="105" t="s">
        <v>742</v>
      </c>
      <c r="G401" s="905"/>
      <c r="H401" s="963"/>
      <c r="I401" s="932" t="s">
        <v>1531</v>
      </c>
      <c r="J401" s="993"/>
      <c r="K401" s="109" t="s">
        <v>734</v>
      </c>
      <c r="L401" s="2302"/>
      <c r="M401" s="543"/>
      <c r="N401" s="542"/>
      <c r="O401" s="543"/>
      <c r="P401" s="795"/>
      <c r="Q401" s="2302"/>
      <c r="R401" s="543"/>
      <c r="S401" s="542"/>
      <c r="T401" s="543"/>
      <c r="U401" s="2303"/>
      <c r="V401" s="2449"/>
      <c r="W401" s="648"/>
      <c r="X401" s="1064"/>
      <c r="Y401" s="543"/>
      <c r="Z401" s="542"/>
      <c r="AA401" s="542"/>
      <c r="AB401" s="543"/>
      <c r="AC401" s="542"/>
      <c r="AD401" s="543"/>
      <c r="AE401" s="542"/>
      <c r="AF401" s="1119"/>
      <c r="AG401" s="1115"/>
      <c r="AH401" s="773"/>
      <c r="AI401" s="1120" t="s">
        <v>1529</v>
      </c>
      <c r="AJ401" s="18"/>
    </row>
    <row r="402" spans="2:36" s="139" customFormat="1" ht="20.100000000000001" hidden="1" customHeight="1">
      <c r="B402" s="1968"/>
      <c r="C402" s="4723"/>
      <c r="D402" s="4724" t="s">
        <v>1532</v>
      </c>
      <c r="E402" s="4725"/>
      <c r="F402" s="706" t="s">
        <v>742</v>
      </c>
      <c r="G402" s="1121"/>
      <c r="H402" s="1122"/>
      <c r="I402" s="1123" t="s">
        <v>1533</v>
      </c>
      <c r="J402" s="1124"/>
      <c r="K402" s="711" t="s">
        <v>734</v>
      </c>
      <c r="L402" s="2316">
        <f>L398</f>
        <v>0</v>
      </c>
      <c r="M402" s="713"/>
      <c r="N402" s="819">
        <f>N398</f>
        <v>0</v>
      </c>
      <c r="O402" s="713"/>
      <c r="P402" s="2542"/>
      <c r="Q402" s="2306"/>
      <c r="R402" s="713"/>
      <c r="S402" s="712"/>
      <c r="T402" s="713"/>
      <c r="U402" s="2307"/>
      <c r="V402" s="2134"/>
      <c r="W402" s="713"/>
      <c r="X402" s="712"/>
      <c r="Y402" s="713"/>
      <c r="Z402" s="712"/>
      <c r="AA402" s="712"/>
      <c r="AB402" s="713"/>
      <c r="AC402" s="712"/>
      <c r="AD402" s="713"/>
      <c r="AE402" s="712"/>
      <c r="AF402" s="4726"/>
      <c r="AG402" s="4727"/>
      <c r="AH402" s="1129"/>
      <c r="AI402" s="4728" t="s">
        <v>1529</v>
      </c>
      <c r="AJ402" s="18"/>
    </row>
    <row r="403" spans="2:36" ht="27" hidden="1" thickBot="1">
      <c r="B403" s="1976" t="s">
        <v>1534</v>
      </c>
      <c r="C403" s="1132"/>
      <c r="D403" s="1132"/>
      <c r="E403" s="1132"/>
      <c r="F403" s="518"/>
      <c r="G403" s="519" t="s">
        <v>2546</v>
      </c>
      <c r="H403" s="1133"/>
      <c r="I403" s="1133"/>
      <c r="J403" s="1133"/>
      <c r="K403" s="518"/>
      <c r="L403" s="2410"/>
      <c r="M403" s="1134"/>
      <c r="N403" s="1134"/>
      <c r="O403" s="1134"/>
      <c r="P403" s="1134"/>
      <c r="Q403" s="2410"/>
      <c r="R403" s="1134"/>
      <c r="S403" s="1134"/>
      <c r="T403" s="1134"/>
      <c r="U403" s="2411"/>
      <c r="V403" s="1134"/>
      <c r="W403" s="1134"/>
      <c r="X403" s="1134"/>
      <c r="Y403" s="1134"/>
      <c r="Z403" s="1134"/>
      <c r="AA403" s="1134"/>
      <c r="AB403" s="1134"/>
      <c r="AC403" s="1134"/>
      <c r="AD403" s="1134"/>
      <c r="AE403" s="1134"/>
      <c r="AF403" s="1135"/>
      <c r="AG403" s="1135"/>
      <c r="AH403" s="4729"/>
      <c r="AI403" s="1136"/>
      <c r="AJ403" s="18"/>
    </row>
    <row r="404" spans="2:36" ht="20.100000000000001" hidden="1" customHeight="1">
      <c r="B404" s="1980"/>
      <c r="C404" s="4730" t="s">
        <v>1468</v>
      </c>
      <c r="D404" s="1138"/>
      <c r="E404" s="1138"/>
      <c r="F404" s="4731" t="s">
        <v>168</v>
      </c>
      <c r="G404" s="1056"/>
      <c r="H404" s="1138" t="s">
        <v>1867</v>
      </c>
      <c r="I404" s="1138"/>
      <c r="J404" s="1138"/>
      <c r="K404" s="1139" t="s">
        <v>168</v>
      </c>
      <c r="L404" s="2423"/>
      <c r="M404" s="954"/>
      <c r="N404" s="953"/>
      <c r="O404" s="954"/>
      <c r="P404" s="4707"/>
      <c r="Q404" s="2423"/>
      <c r="R404" s="954"/>
      <c r="S404" s="953"/>
      <c r="T404" s="954"/>
      <c r="U404" s="2424"/>
      <c r="V404" s="2140"/>
      <c r="W404" s="954"/>
      <c r="X404" s="953"/>
      <c r="Y404" s="954"/>
      <c r="Z404" s="953"/>
      <c r="AA404" s="953"/>
      <c r="AB404" s="954"/>
      <c r="AC404" s="953"/>
      <c r="AD404" s="954"/>
      <c r="AE404" s="953"/>
      <c r="AF404" s="162"/>
      <c r="AG404" s="4732"/>
      <c r="AH404" s="4733"/>
      <c r="AI404" s="4734"/>
      <c r="AJ404" s="18"/>
    </row>
    <row r="405" spans="2:36" ht="20.100000000000001" hidden="1" customHeight="1">
      <c r="B405" s="4735"/>
      <c r="C405" s="4709"/>
      <c r="D405" s="1142" t="s">
        <v>1536</v>
      </c>
      <c r="E405" s="915"/>
      <c r="F405" s="1143" t="s">
        <v>33</v>
      </c>
      <c r="G405" s="106"/>
      <c r="H405" s="353"/>
      <c r="I405" s="384" t="s">
        <v>1537</v>
      </c>
      <c r="J405" s="384"/>
      <c r="K405" s="1034" t="s">
        <v>35</v>
      </c>
      <c r="L405" s="2319">
        <v>0</v>
      </c>
      <c r="M405" s="1151">
        <v>0</v>
      </c>
      <c r="N405" s="1150">
        <v>0</v>
      </c>
      <c r="O405" s="1151">
        <v>0</v>
      </c>
      <c r="P405" s="2547"/>
      <c r="Q405" s="2319">
        <v>0</v>
      </c>
      <c r="R405" s="1151">
        <v>0</v>
      </c>
      <c r="S405" s="1150">
        <v>0</v>
      </c>
      <c r="T405" s="1151">
        <v>0</v>
      </c>
      <c r="U405" s="2320"/>
      <c r="V405" s="2149">
        <v>0</v>
      </c>
      <c r="W405" s="1151">
        <v>0</v>
      </c>
      <c r="X405" s="1150">
        <v>0</v>
      </c>
      <c r="Y405" s="1151">
        <v>0</v>
      </c>
      <c r="Z405" s="1150"/>
      <c r="AA405" s="1150"/>
      <c r="AB405" s="1151"/>
      <c r="AC405" s="1150"/>
      <c r="AD405" s="1151"/>
      <c r="AE405" s="1150"/>
      <c r="AF405" s="1153"/>
      <c r="AG405" s="1154"/>
      <c r="AH405" s="1155"/>
      <c r="AI405" s="981" t="s">
        <v>1540</v>
      </c>
      <c r="AJ405" s="18"/>
    </row>
    <row r="406" spans="2:36" ht="20.100000000000001" hidden="1" customHeight="1">
      <c r="B406" s="1984"/>
      <c r="C406" s="4664"/>
      <c r="D406" s="787" t="s">
        <v>1451</v>
      </c>
      <c r="E406" s="781"/>
      <c r="F406" s="285" t="s">
        <v>33</v>
      </c>
      <c r="G406" s="384"/>
      <c r="H406" s="385"/>
      <c r="I406" s="347" t="s">
        <v>1541</v>
      </c>
      <c r="J406" s="347"/>
      <c r="K406" s="165" t="s">
        <v>35</v>
      </c>
      <c r="L406" s="2321">
        <v>0</v>
      </c>
      <c r="M406" s="1163">
        <v>0</v>
      </c>
      <c r="N406" s="1162">
        <v>0</v>
      </c>
      <c r="O406" s="1163">
        <v>0</v>
      </c>
      <c r="P406" s="2539"/>
      <c r="Q406" s="2321">
        <v>0</v>
      </c>
      <c r="R406" s="1163">
        <v>0</v>
      </c>
      <c r="S406" s="1162">
        <v>0</v>
      </c>
      <c r="T406" s="1163">
        <v>0</v>
      </c>
      <c r="U406" s="2322"/>
      <c r="V406" s="2150">
        <v>0</v>
      </c>
      <c r="W406" s="1163">
        <v>0</v>
      </c>
      <c r="X406" s="1162">
        <v>0</v>
      </c>
      <c r="Y406" s="1163">
        <v>0</v>
      </c>
      <c r="Z406" s="1162"/>
      <c r="AA406" s="1162"/>
      <c r="AB406" s="1163"/>
      <c r="AC406" s="1162"/>
      <c r="AD406" s="1163"/>
      <c r="AE406" s="1162"/>
      <c r="AF406" s="165"/>
      <c r="AG406" s="1102"/>
      <c r="AH406" s="1101"/>
      <c r="AI406" s="277" t="s">
        <v>1544</v>
      </c>
      <c r="AJ406" s="18"/>
    </row>
    <row r="407" spans="2:36" ht="20.100000000000001" hidden="1" customHeight="1">
      <c r="B407" s="1847"/>
      <c r="C407" s="4736" t="s">
        <v>1545</v>
      </c>
      <c r="D407" s="753"/>
      <c r="E407" s="753"/>
      <c r="F407" s="105" t="s">
        <v>156</v>
      </c>
      <c r="G407" s="358"/>
      <c r="H407" s="359" t="s">
        <v>1546</v>
      </c>
      <c r="I407" s="359"/>
      <c r="J407" s="643"/>
      <c r="K407" s="162" t="s">
        <v>154</v>
      </c>
      <c r="L407" s="2228">
        <v>0</v>
      </c>
      <c r="M407" s="505"/>
      <c r="N407" s="260">
        <v>0</v>
      </c>
      <c r="O407" s="505"/>
      <c r="P407" s="2372"/>
      <c r="Q407" s="2228">
        <v>0</v>
      </c>
      <c r="R407" s="505"/>
      <c r="S407" s="260">
        <v>0</v>
      </c>
      <c r="T407" s="505"/>
      <c r="U407" s="2287"/>
      <c r="V407" s="2109">
        <v>0</v>
      </c>
      <c r="W407" s="505"/>
      <c r="X407" s="260">
        <v>0</v>
      </c>
      <c r="Y407" s="505"/>
      <c r="Z407" s="260"/>
      <c r="AA407" s="260"/>
      <c r="AB407" s="505"/>
      <c r="AC407" s="260"/>
      <c r="AD407" s="505"/>
      <c r="AE407" s="260"/>
      <c r="AF407" s="162"/>
      <c r="AG407" s="773"/>
      <c r="AH407" s="547"/>
      <c r="AI407" s="277" t="s">
        <v>1549</v>
      </c>
      <c r="AJ407" s="18"/>
    </row>
    <row r="408" spans="2:36" ht="20.100000000000001" hidden="1" customHeight="1">
      <c r="B408" s="1847"/>
      <c r="C408" s="4663"/>
      <c r="D408" s="936" t="s">
        <v>1550</v>
      </c>
      <c r="E408" s="924"/>
      <c r="F408" s="105" t="s">
        <v>33</v>
      </c>
      <c r="G408" s="347"/>
      <c r="H408" s="348"/>
      <c r="I408" s="358" t="s">
        <v>1551</v>
      </c>
      <c r="J408" s="358"/>
      <c r="K408" s="162" t="s">
        <v>35</v>
      </c>
      <c r="L408" s="2228">
        <v>0</v>
      </c>
      <c r="M408" s="505">
        <v>0</v>
      </c>
      <c r="N408" s="260">
        <v>0</v>
      </c>
      <c r="O408" s="505">
        <v>0</v>
      </c>
      <c r="P408" s="2372"/>
      <c r="Q408" s="2228">
        <v>0</v>
      </c>
      <c r="R408" s="505">
        <v>0</v>
      </c>
      <c r="S408" s="260">
        <v>0</v>
      </c>
      <c r="T408" s="505">
        <v>0</v>
      </c>
      <c r="U408" s="2287"/>
      <c r="V408" s="2109">
        <v>0</v>
      </c>
      <c r="W408" s="505">
        <v>0</v>
      </c>
      <c r="X408" s="260">
        <v>0</v>
      </c>
      <c r="Y408" s="505">
        <v>0</v>
      </c>
      <c r="Z408" s="260"/>
      <c r="AA408" s="260"/>
      <c r="AB408" s="505"/>
      <c r="AC408" s="260"/>
      <c r="AD408" s="505"/>
      <c r="AE408" s="260"/>
      <c r="AF408" s="165"/>
      <c r="AG408" s="773"/>
      <c r="AH408" s="1101"/>
      <c r="AI408" s="427" t="s">
        <v>1549</v>
      </c>
      <c r="AJ408" s="18"/>
    </row>
    <row r="409" spans="2:36" ht="20.100000000000001" hidden="1" customHeight="1">
      <c r="B409" s="1984"/>
      <c r="C409" s="4714"/>
      <c r="D409" s="1168" t="s">
        <v>1552</v>
      </c>
      <c r="E409" s="1169"/>
      <c r="F409" s="1170" t="s">
        <v>33</v>
      </c>
      <c r="G409" s="1070"/>
      <c r="H409" s="1171"/>
      <c r="I409" s="707" t="s">
        <v>1553</v>
      </c>
      <c r="J409" s="707"/>
      <c r="K409" s="1172" t="s">
        <v>35</v>
      </c>
      <c r="L409" s="2323">
        <v>0</v>
      </c>
      <c r="M409" s="1178">
        <v>0</v>
      </c>
      <c r="N409" s="1177">
        <v>0</v>
      </c>
      <c r="O409" s="1178">
        <v>0</v>
      </c>
      <c r="P409" s="4737"/>
      <c r="Q409" s="2323">
        <v>0</v>
      </c>
      <c r="R409" s="1178">
        <v>0</v>
      </c>
      <c r="S409" s="1177">
        <v>0</v>
      </c>
      <c r="T409" s="1178">
        <v>0</v>
      </c>
      <c r="U409" s="2324"/>
      <c r="V409" s="2151">
        <v>0</v>
      </c>
      <c r="W409" s="1178">
        <v>0</v>
      </c>
      <c r="X409" s="1177">
        <v>0</v>
      </c>
      <c r="Y409" s="1178">
        <v>0</v>
      </c>
      <c r="Z409" s="1177"/>
      <c r="AA409" s="1177"/>
      <c r="AB409" s="1178"/>
      <c r="AC409" s="1177"/>
      <c r="AD409" s="1178"/>
      <c r="AE409" s="1177"/>
      <c r="AF409" s="1181"/>
      <c r="AG409" s="1182"/>
      <c r="AH409" s="597"/>
      <c r="AI409" s="1183" t="s">
        <v>1549</v>
      </c>
      <c r="AJ409" s="18"/>
    </row>
    <row r="410" spans="2:36" ht="27" hidden="1" thickBot="1">
      <c r="B410" s="123" t="s">
        <v>1555</v>
      </c>
      <c r="C410" s="1132"/>
      <c r="D410" s="1132"/>
      <c r="E410" s="1132"/>
      <c r="F410" s="1132"/>
      <c r="G410" s="519" t="s">
        <v>1556</v>
      </c>
      <c r="H410" s="521"/>
      <c r="I410" s="521"/>
      <c r="J410" s="521"/>
      <c r="K410" s="518"/>
      <c r="L410" s="2410"/>
      <c r="M410" s="1134"/>
      <c r="N410" s="1134"/>
      <c r="O410" s="1134"/>
      <c r="P410" s="1134"/>
      <c r="Q410" s="2410"/>
      <c r="R410" s="1134"/>
      <c r="S410" s="1134"/>
      <c r="T410" s="1134"/>
      <c r="U410" s="2411"/>
      <c r="V410" s="1134"/>
      <c r="W410" s="1134"/>
      <c r="X410" s="1134"/>
      <c r="Y410" s="1134"/>
      <c r="Z410" s="1134"/>
      <c r="AA410" s="1134"/>
      <c r="AB410" s="1134"/>
      <c r="AC410" s="1134"/>
      <c r="AD410" s="1134"/>
      <c r="AE410" s="1134"/>
      <c r="AF410" s="1185"/>
      <c r="AG410" s="1135"/>
      <c r="AH410" s="1135"/>
      <c r="AI410" s="1136"/>
      <c r="AJ410" s="18"/>
    </row>
    <row r="411" spans="2:36" s="139" customFormat="1" ht="20.100000000000001" hidden="1" customHeight="1">
      <c r="B411" s="1993"/>
      <c r="C411" s="4738" t="s">
        <v>1557</v>
      </c>
      <c r="D411" s="1186"/>
      <c r="E411" s="1186"/>
      <c r="F411" s="755" t="s">
        <v>156</v>
      </c>
      <c r="G411" s="1008"/>
      <c r="H411" s="1009" t="s">
        <v>1558</v>
      </c>
      <c r="I411" s="1009"/>
      <c r="J411" s="1187"/>
      <c r="K411" s="758" t="s">
        <v>156</v>
      </c>
      <c r="L411" s="2325" t="str">
        <f t="shared" ref="L411" si="23">IFERROR(L412/L413*100,"-")</f>
        <v>-</v>
      </c>
      <c r="M411" s="1192"/>
      <c r="N411" s="1191" t="str">
        <f>IFERROR(N412/N413*100,"-")</f>
        <v>-</v>
      </c>
      <c r="O411" s="1193" t="str">
        <f>IFERROR(O413/O412*100,"-")</f>
        <v>-</v>
      </c>
      <c r="P411" s="4739" t="str">
        <f>IFERROR(P412/P413*100,"-")</f>
        <v>-</v>
      </c>
      <c r="Q411" s="2325" t="str">
        <f>IFERROR(Q412/Q413*100,"-")</f>
        <v>-</v>
      </c>
      <c r="R411" s="1192"/>
      <c r="S411" s="1191" t="str">
        <f>IFERROR(S412/S413*100,"-")</f>
        <v>-</v>
      </c>
      <c r="T411" s="1192"/>
      <c r="U411" s="2326" t="str">
        <f>IFERROR(U412/U413*100,"-")</f>
        <v>-</v>
      </c>
      <c r="V411" s="2152" t="str">
        <f>IFERROR(V412/V413*100,"-")</f>
        <v>-</v>
      </c>
      <c r="W411" s="1189"/>
      <c r="X411" s="1191" t="str">
        <f>IFERROR(X412/X413*100,"-")</f>
        <v>-</v>
      </c>
      <c r="Y411" s="1189"/>
      <c r="Z411" s="1191" t="str">
        <f>IFERROR(Z412/Z413*100,"-")</f>
        <v>-</v>
      </c>
      <c r="AA411" s="1191" t="str">
        <f>IFERROR(AA412/AA413*100,"-")</f>
        <v>-</v>
      </c>
      <c r="AB411" s="1019"/>
      <c r="AC411" s="1191" t="str">
        <f>IFERROR(AC412/AC413*100,"-")</f>
        <v>-</v>
      </c>
      <c r="AD411" s="1019"/>
      <c r="AE411" s="1191" t="str">
        <f>IFERROR(AE412/AE413*100,"-")</f>
        <v>-</v>
      </c>
      <c r="AF411" s="758"/>
      <c r="AG411" s="534"/>
      <c r="AH411" s="534"/>
      <c r="AI411" s="277" t="s">
        <v>1561</v>
      </c>
      <c r="AJ411" s="10"/>
    </row>
    <row r="412" spans="2:36" s="139" customFormat="1" ht="20.100000000000001" hidden="1" customHeight="1">
      <c r="B412" s="1998"/>
      <c r="C412" s="1935"/>
      <c r="D412" s="1196" t="s">
        <v>1562</v>
      </c>
      <c r="E412" s="1197"/>
      <c r="F412" s="105" t="s">
        <v>1563</v>
      </c>
      <c r="G412" s="743"/>
      <c r="H412" s="1069"/>
      <c r="I412" s="457" t="s">
        <v>1564</v>
      </c>
      <c r="J412" s="457"/>
      <c r="K412" s="109" t="s">
        <v>1868</v>
      </c>
      <c r="L412" s="2182">
        <v>0</v>
      </c>
      <c r="M412" s="93">
        <v>0</v>
      </c>
      <c r="N412" s="153">
        <v>0</v>
      </c>
      <c r="O412" s="93">
        <v>0</v>
      </c>
      <c r="P412" s="1241"/>
      <c r="Q412" s="2182">
        <v>0</v>
      </c>
      <c r="R412" s="93">
        <v>0</v>
      </c>
      <c r="S412" s="153">
        <v>0</v>
      </c>
      <c r="T412" s="93">
        <v>0</v>
      </c>
      <c r="U412" s="2183"/>
      <c r="V412" s="1238" t="s">
        <v>2547</v>
      </c>
      <c r="W412" s="1201">
        <v>0.51</v>
      </c>
      <c r="X412" s="153" t="s">
        <v>2547</v>
      </c>
      <c r="Y412" s="1201">
        <v>0.51</v>
      </c>
      <c r="Z412" s="153"/>
      <c r="AA412" s="153"/>
      <c r="AB412" s="93"/>
      <c r="AC412" s="153"/>
      <c r="AD412" s="93"/>
      <c r="AE412" s="153"/>
      <c r="AF412" s="162"/>
      <c r="AG412" s="547"/>
      <c r="AH412" s="547"/>
      <c r="AI412" s="277" t="s">
        <v>1561</v>
      </c>
      <c r="AJ412" s="10"/>
    </row>
    <row r="413" spans="2:36" s="139" customFormat="1" ht="20.100000000000001" hidden="1" customHeight="1">
      <c r="B413" s="1998"/>
      <c r="C413" s="4678"/>
      <c r="D413" s="1196" t="s">
        <v>1567</v>
      </c>
      <c r="E413" s="1203"/>
      <c r="F413" s="105" t="s">
        <v>1563</v>
      </c>
      <c r="G413" s="945"/>
      <c r="H413" s="1099"/>
      <c r="I413" s="457" t="s">
        <v>1568</v>
      </c>
      <c r="J413" s="457"/>
      <c r="K413" s="109" t="s">
        <v>1868</v>
      </c>
      <c r="L413" s="2182">
        <v>0</v>
      </c>
      <c r="M413" s="93">
        <v>0</v>
      </c>
      <c r="N413" s="153">
        <v>0</v>
      </c>
      <c r="O413" s="93">
        <v>0</v>
      </c>
      <c r="P413" s="1241"/>
      <c r="Q413" s="2182">
        <v>0</v>
      </c>
      <c r="R413" s="93">
        <v>0</v>
      </c>
      <c r="S413" s="153">
        <v>0</v>
      </c>
      <c r="T413" s="93">
        <v>0</v>
      </c>
      <c r="U413" s="2183"/>
      <c r="V413" s="1238" t="s">
        <v>2547</v>
      </c>
      <c r="W413" s="1201">
        <v>0.51</v>
      </c>
      <c r="X413" s="153" t="s">
        <v>2547</v>
      </c>
      <c r="Y413" s="1201">
        <v>0.51</v>
      </c>
      <c r="Z413" s="153"/>
      <c r="AA413" s="153"/>
      <c r="AB413" s="93"/>
      <c r="AC413" s="153"/>
      <c r="AD413" s="93"/>
      <c r="AE413" s="153"/>
      <c r="AF413" s="162"/>
      <c r="AG413" s="547"/>
      <c r="AH413" s="547"/>
      <c r="AI413" s="277" t="s">
        <v>1561</v>
      </c>
      <c r="AJ413" s="10"/>
    </row>
    <row r="414" spans="2:36" s="139" customFormat="1" ht="20.100000000000001" hidden="1" customHeight="1">
      <c r="B414" s="1998"/>
      <c r="C414" s="4669" t="s">
        <v>1569</v>
      </c>
      <c r="D414" s="924"/>
      <c r="E414" s="924"/>
      <c r="F414" s="105" t="s">
        <v>156</v>
      </c>
      <c r="G414" s="358"/>
      <c r="H414" s="359" t="s">
        <v>1570</v>
      </c>
      <c r="I414" s="359"/>
      <c r="J414" s="684"/>
      <c r="K414" s="109" t="s">
        <v>156</v>
      </c>
      <c r="L414" s="2327" t="str">
        <f t="shared" ref="L414" si="24">IFERROR(L415/L416*100,"-")</f>
        <v>-</v>
      </c>
      <c r="M414" s="1208"/>
      <c r="N414" s="1207" t="str">
        <f>IFERROR(N415/N416*100,"-")</f>
        <v>-</v>
      </c>
      <c r="O414" s="1208"/>
      <c r="P414" s="4740" t="str">
        <f>IFERROR(P415/P416*100,"-")</f>
        <v>-</v>
      </c>
      <c r="Q414" s="2327" t="str">
        <f>IFERROR(Q415/Q416*100,"-")</f>
        <v>-</v>
      </c>
      <c r="R414" s="1208"/>
      <c r="S414" s="1207" t="str">
        <f>IFERROR(S415/S416*100,"-")</f>
        <v>-</v>
      </c>
      <c r="T414" s="1208"/>
      <c r="U414" s="2328" t="str">
        <f>IFERROR(U415/U416*100,"-")</f>
        <v>-</v>
      </c>
      <c r="V414" s="2153" t="str">
        <f>IFERROR(V415/V416*100,"-")</f>
        <v>-</v>
      </c>
      <c r="W414" s="1209"/>
      <c r="X414" s="1207" t="str">
        <f>IFERROR(X415/X416*100,"-")</f>
        <v>-</v>
      </c>
      <c r="Y414" s="1209"/>
      <c r="Z414" s="1207" t="str">
        <f>IFERROR(Z415/Z416*100,"-")</f>
        <v>-</v>
      </c>
      <c r="AA414" s="1207" t="str">
        <f>IFERROR(AA415/AA416*100,"-")</f>
        <v>-</v>
      </c>
      <c r="AB414" s="1036"/>
      <c r="AC414" s="1207" t="str">
        <f>IFERROR(AC415/AC416*100,"-")</f>
        <v>-</v>
      </c>
      <c r="AD414" s="1036"/>
      <c r="AE414" s="1207" t="str">
        <f>IFERROR(AE415/AE416*100,"-")</f>
        <v>-</v>
      </c>
      <c r="AF414" s="162"/>
      <c r="AG414" s="547"/>
      <c r="AH414" s="547"/>
      <c r="AI414" s="277" t="s">
        <v>1573</v>
      </c>
      <c r="AJ414" s="10"/>
    </row>
    <row r="415" spans="2:36" s="139" customFormat="1" ht="20.100000000000001" hidden="1" customHeight="1">
      <c r="B415" s="1998"/>
      <c r="C415" s="1210"/>
      <c r="D415" s="936" t="s">
        <v>1574</v>
      </c>
      <c r="E415" s="924"/>
      <c r="F415" s="105" t="s">
        <v>1563</v>
      </c>
      <c r="G415" s="1211"/>
      <c r="H415" s="963"/>
      <c r="I415" s="932" t="s">
        <v>1575</v>
      </c>
      <c r="J415" s="993"/>
      <c r="K415" s="109" t="s">
        <v>1868</v>
      </c>
      <c r="L415" s="2329">
        <v>0</v>
      </c>
      <c r="M415" s="1204">
        <v>0</v>
      </c>
      <c r="N415" s="1215">
        <v>0</v>
      </c>
      <c r="O415" s="1204">
        <v>0</v>
      </c>
      <c r="P415" s="2540"/>
      <c r="Q415" s="2329">
        <v>0</v>
      </c>
      <c r="R415" s="1204">
        <v>0</v>
      </c>
      <c r="S415" s="1215">
        <v>0</v>
      </c>
      <c r="T415" s="1204">
        <v>0</v>
      </c>
      <c r="U415" s="2330"/>
      <c r="V415" s="2154" t="s">
        <v>2548</v>
      </c>
      <c r="W415" s="1204">
        <v>0.4</v>
      </c>
      <c r="X415" s="1215" t="s">
        <v>2548</v>
      </c>
      <c r="Y415" s="1204">
        <v>0.4</v>
      </c>
      <c r="Z415" s="1215"/>
      <c r="AA415" s="1215"/>
      <c r="AB415" s="93"/>
      <c r="AC415" s="1215"/>
      <c r="AD415" s="93"/>
      <c r="AE415" s="153"/>
      <c r="AF415" s="162"/>
      <c r="AG415" s="547"/>
      <c r="AH415" s="547"/>
      <c r="AI415" s="277" t="s">
        <v>1573</v>
      </c>
      <c r="AJ415" s="10"/>
    </row>
    <row r="416" spans="2:36" s="139" customFormat="1" ht="20.100000000000001" hidden="1" customHeight="1">
      <c r="B416" s="1998"/>
      <c r="C416" s="1210"/>
      <c r="D416" s="1216" t="s">
        <v>1567</v>
      </c>
      <c r="E416" s="1217"/>
      <c r="F416" s="105" t="s">
        <v>1563</v>
      </c>
      <c r="G416" s="1218"/>
      <c r="H416" s="964"/>
      <c r="I416" s="1219" t="s">
        <v>1576</v>
      </c>
      <c r="J416" s="1220"/>
      <c r="K416" s="109" t="s">
        <v>1868</v>
      </c>
      <c r="L416" s="2182">
        <v>0</v>
      </c>
      <c r="M416" s="93">
        <v>0</v>
      </c>
      <c r="N416" s="153">
        <v>0</v>
      </c>
      <c r="O416" s="93">
        <v>0</v>
      </c>
      <c r="P416" s="1241"/>
      <c r="Q416" s="2182">
        <v>0</v>
      </c>
      <c r="R416" s="93">
        <v>0</v>
      </c>
      <c r="S416" s="153">
        <v>0</v>
      </c>
      <c r="T416" s="93">
        <v>0</v>
      </c>
      <c r="U416" s="2183"/>
      <c r="V416" s="1238" t="s">
        <v>2548</v>
      </c>
      <c r="W416" s="1201">
        <v>0.4</v>
      </c>
      <c r="X416" s="153" t="s">
        <v>2548</v>
      </c>
      <c r="Y416" s="1221">
        <v>0.4</v>
      </c>
      <c r="Z416" s="153"/>
      <c r="AA416" s="153"/>
      <c r="AB416" s="93"/>
      <c r="AC416" s="153"/>
      <c r="AD416" s="93"/>
      <c r="AE416" s="153"/>
      <c r="AF416" s="162"/>
      <c r="AG416" s="547"/>
      <c r="AH416" s="547"/>
      <c r="AI416" s="277" t="s">
        <v>1573</v>
      </c>
      <c r="AJ416" s="10"/>
    </row>
    <row r="417" spans="2:36" s="139" customFormat="1" ht="20.100000000000001" hidden="1" customHeight="1">
      <c r="B417" s="1998"/>
      <c r="C417" s="4669" t="s">
        <v>1577</v>
      </c>
      <c r="D417" s="924"/>
      <c r="E417" s="924"/>
      <c r="F417" s="1222" t="s">
        <v>156</v>
      </c>
      <c r="G417" s="1223"/>
      <c r="H417" s="925" t="s">
        <v>1578</v>
      </c>
      <c r="I417" s="926"/>
      <c r="J417" s="1224"/>
      <c r="K417" s="873" t="s">
        <v>156</v>
      </c>
      <c r="L417" s="2331" t="str">
        <f t="shared" ref="L417" si="25">IFERROR(L418/L419*100,"-")</f>
        <v>-</v>
      </c>
      <c r="M417" s="1227"/>
      <c r="N417" s="1226" t="str">
        <f>IFERROR(N418/N419*100,"-")</f>
        <v>-</v>
      </c>
      <c r="O417" s="1227"/>
      <c r="P417" s="4741" t="str">
        <f>IFERROR(P418/P419*100,"-")</f>
        <v>-</v>
      </c>
      <c r="Q417" s="2331" t="str">
        <f>IFERROR(Q418/Q419*100,"-")</f>
        <v>-</v>
      </c>
      <c r="R417" s="1227"/>
      <c r="S417" s="1226" t="str">
        <f>IFERROR(S418/S419*100,"-")</f>
        <v>-</v>
      </c>
      <c r="T417" s="1227"/>
      <c r="U417" s="2332" t="str">
        <f>IFERROR(U418/U419*100,"-")</f>
        <v>-</v>
      </c>
      <c r="V417" s="2155" t="str">
        <f>IFERROR(V418/V419*100,"-")</f>
        <v>-</v>
      </c>
      <c r="W417" s="1228"/>
      <c r="X417" s="1226" t="str">
        <f>IFERROR(X418/X419*100,"-")</f>
        <v>-</v>
      </c>
      <c r="Y417" s="1228"/>
      <c r="Z417" s="1226" t="str">
        <f>IFERROR(Z418/Z419*100,"-")</f>
        <v>-</v>
      </c>
      <c r="AA417" s="1226" t="str">
        <f>IFERROR(AA418/AA419*100,"-")</f>
        <v>-</v>
      </c>
      <c r="AB417" s="1229"/>
      <c r="AC417" s="1226" t="str">
        <f>IFERROR(AC418/AC419*100,"-")</f>
        <v>-</v>
      </c>
      <c r="AD417" s="1229"/>
      <c r="AE417" s="1226" t="str">
        <f>IFERROR(AE418/AE419*100,"-")</f>
        <v>-</v>
      </c>
      <c r="AF417" s="1034"/>
      <c r="AG417" s="878"/>
      <c r="AH417" s="878"/>
      <c r="AI417" s="277" t="s">
        <v>1581</v>
      </c>
      <c r="AJ417" s="10"/>
    </row>
    <row r="418" spans="2:36" s="139" customFormat="1" ht="20.100000000000001" hidden="1" customHeight="1">
      <c r="B418" s="1998"/>
      <c r="C418" s="1210"/>
      <c r="D418" s="936" t="s">
        <v>1582</v>
      </c>
      <c r="E418" s="924"/>
      <c r="F418" s="105" t="s">
        <v>1563</v>
      </c>
      <c r="G418" s="1211"/>
      <c r="H418" s="963"/>
      <c r="I418" s="932" t="s">
        <v>1583</v>
      </c>
      <c r="J418" s="993"/>
      <c r="K418" s="109" t="s">
        <v>1868</v>
      </c>
      <c r="L418" s="2329">
        <v>0</v>
      </c>
      <c r="M418" s="1204">
        <v>0</v>
      </c>
      <c r="N418" s="1215">
        <v>0</v>
      </c>
      <c r="O418" s="1204">
        <v>0</v>
      </c>
      <c r="P418" s="2540"/>
      <c r="Q418" s="2329">
        <v>0</v>
      </c>
      <c r="R418" s="1204">
        <v>0</v>
      </c>
      <c r="S418" s="1215">
        <v>0</v>
      </c>
      <c r="T418" s="1204">
        <v>0</v>
      </c>
      <c r="U418" s="2330"/>
      <c r="V418" s="2154" t="s">
        <v>2547</v>
      </c>
      <c r="W418" s="1204">
        <v>0.51</v>
      </c>
      <c r="X418" s="1215" t="s">
        <v>2547</v>
      </c>
      <c r="Y418" s="1204">
        <v>0.51</v>
      </c>
      <c r="Z418" s="1215"/>
      <c r="AA418" s="1215"/>
      <c r="AB418" s="93"/>
      <c r="AC418" s="1215"/>
      <c r="AD418" s="93"/>
      <c r="AE418" s="153"/>
      <c r="AF418" s="162"/>
      <c r="AG418" s="547"/>
      <c r="AH418" s="547"/>
      <c r="AI418" s="277" t="s">
        <v>1581</v>
      </c>
      <c r="AJ418" s="10"/>
    </row>
    <row r="419" spans="2:36" s="139" customFormat="1" ht="20.100000000000001" hidden="1" customHeight="1">
      <c r="B419" s="1998"/>
      <c r="C419" s="1914"/>
      <c r="D419" s="1216" t="s">
        <v>1584</v>
      </c>
      <c r="E419" s="1217"/>
      <c r="F419" s="105" t="s">
        <v>1563</v>
      </c>
      <c r="G419" s="1218"/>
      <c r="H419" s="964"/>
      <c r="I419" s="1219" t="s">
        <v>1585</v>
      </c>
      <c r="J419" s="1220"/>
      <c r="K419" s="109" t="s">
        <v>1868</v>
      </c>
      <c r="L419" s="2321">
        <v>0</v>
      </c>
      <c r="M419" s="1160">
        <v>0</v>
      </c>
      <c r="N419" s="1162">
        <v>0</v>
      </c>
      <c r="O419" s="1160">
        <v>0</v>
      </c>
      <c r="P419" s="2539"/>
      <c r="Q419" s="2321">
        <v>0</v>
      </c>
      <c r="R419" s="1160">
        <v>0</v>
      </c>
      <c r="S419" s="1162">
        <v>0</v>
      </c>
      <c r="T419" s="1160">
        <v>0</v>
      </c>
      <c r="U419" s="2322"/>
      <c r="V419" s="1238" t="s">
        <v>2547</v>
      </c>
      <c r="W419" s="1201">
        <v>0.51</v>
      </c>
      <c r="X419" s="153" t="s">
        <v>2547</v>
      </c>
      <c r="Y419" s="1221">
        <v>0.51</v>
      </c>
      <c r="Z419" s="153"/>
      <c r="AA419" s="1162"/>
      <c r="AB419" s="1160"/>
      <c r="AC419" s="1162"/>
      <c r="AD419" s="1160"/>
      <c r="AE419" s="1162"/>
      <c r="AF419" s="165"/>
      <c r="AG419" s="1101"/>
      <c r="AH419" s="1101"/>
      <c r="AI419" s="277" t="s">
        <v>1581</v>
      </c>
      <c r="AJ419" s="10"/>
    </row>
    <row r="420" spans="2:36" s="139" customFormat="1" ht="20.100000000000001" hidden="1" customHeight="1">
      <c r="B420" s="1998"/>
      <c r="C420" s="4669" t="s">
        <v>1586</v>
      </c>
      <c r="D420" s="1233"/>
      <c r="E420" s="1233"/>
      <c r="F420" s="1234" t="s">
        <v>156</v>
      </c>
      <c r="G420" s="1223"/>
      <c r="H420" s="925" t="s">
        <v>1587</v>
      </c>
      <c r="I420" s="926"/>
      <c r="J420" s="992"/>
      <c r="K420" s="109" t="s">
        <v>156</v>
      </c>
      <c r="L420" s="2182">
        <v>0</v>
      </c>
      <c r="M420" s="93">
        <v>0</v>
      </c>
      <c r="N420" s="153">
        <v>0</v>
      </c>
      <c r="O420" s="93">
        <v>0</v>
      </c>
      <c r="P420" s="1241"/>
      <c r="Q420" s="2182">
        <v>0</v>
      </c>
      <c r="R420" s="93">
        <v>0</v>
      </c>
      <c r="S420" s="153">
        <v>0</v>
      </c>
      <c r="T420" s="93">
        <v>0</v>
      </c>
      <c r="U420" s="2183"/>
      <c r="V420" s="1238">
        <v>0</v>
      </c>
      <c r="W420" s="1201">
        <v>0</v>
      </c>
      <c r="X420" s="153">
        <v>0</v>
      </c>
      <c r="Y420" s="1221">
        <v>0</v>
      </c>
      <c r="Z420" s="1237"/>
      <c r="AA420" s="1238"/>
      <c r="AB420" s="1239"/>
      <c r="AC420" s="1237"/>
      <c r="AD420" s="1240"/>
      <c r="AE420" s="1241"/>
      <c r="AF420" s="285"/>
      <c r="AG420" s="547"/>
      <c r="AH420" s="546"/>
      <c r="AI420" s="1243" t="s">
        <v>1588</v>
      </c>
      <c r="AJ420" s="10"/>
    </row>
    <row r="421" spans="2:36" s="139" customFormat="1" ht="20.100000000000001" hidden="1" customHeight="1">
      <c r="B421" s="1998"/>
      <c r="C421" s="4669" t="s">
        <v>1589</v>
      </c>
      <c r="D421" s="924"/>
      <c r="E421" s="924"/>
      <c r="F421" s="105" t="s">
        <v>156</v>
      </c>
      <c r="G421" s="1211"/>
      <c r="H421" s="1245" t="s">
        <v>1590</v>
      </c>
      <c r="I421" s="1246"/>
      <c r="J421" s="1247"/>
      <c r="K421" s="109" t="s">
        <v>156</v>
      </c>
      <c r="L421" s="2331" t="str">
        <f t="shared" ref="L421" si="26">IFERROR(((L422-L423+L424)/L422)*100,"-")</f>
        <v>-</v>
      </c>
      <c r="M421" s="1227"/>
      <c r="N421" s="1226" t="str">
        <f>IFERROR(((N422-N423+N424)/N422)*100,"-")</f>
        <v>-</v>
      </c>
      <c r="O421" s="1227"/>
      <c r="P421" s="4741" t="str">
        <f>IFERROR(((P422-P423+P424)/P422)*100,"-")</f>
        <v>-</v>
      </c>
      <c r="Q421" s="2331" t="str">
        <f>IFERROR(((Q422-Q423+Q424)/Q422)*100,"-")</f>
        <v>-</v>
      </c>
      <c r="R421" s="1227"/>
      <c r="S421" s="1226" t="str">
        <f>IFERROR(((S422-S423+S424)/S422)*100,"-")</f>
        <v>-</v>
      </c>
      <c r="T421" s="1227"/>
      <c r="U421" s="2332" t="str">
        <f>IFERROR(((U422-U423+U424)/U422)*100,"-")</f>
        <v>-</v>
      </c>
      <c r="V421" s="2153" t="str">
        <f>IFERROR(((V422-V423+V424)/V422)*100,"-")</f>
        <v>-</v>
      </c>
      <c r="W421" s="1209"/>
      <c r="X421" s="1207" t="str">
        <f>IFERROR(((X422-X423+X424)/X422)*100,"-")</f>
        <v>-</v>
      </c>
      <c r="Y421" s="1209"/>
      <c r="Z421" s="1207" t="str">
        <f>IFERROR(((Z422-Z423+Z424)/Z422)*100,"-")</f>
        <v>-</v>
      </c>
      <c r="AA421" s="1226" t="str">
        <f>IFERROR(((AA422-AA423+AA424)/AA422)*100,"-")</f>
        <v>-</v>
      </c>
      <c r="AB421" s="1229"/>
      <c r="AC421" s="1226" t="str">
        <f>IFERROR(((AC422-AC423+AC424)/AC422)*100,"-")</f>
        <v>-</v>
      </c>
      <c r="AD421" s="1229"/>
      <c r="AE421" s="1226" t="str">
        <f>IFERROR(((AE422-AE423+AE424)/AE422)*100,"-")</f>
        <v>-</v>
      </c>
      <c r="AF421" s="1034"/>
      <c r="AG421" s="878"/>
      <c r="AH421" s="878"/>
      <c r="AI421" s="277" t="s">
        <v>1593</v>
      </c>
      <c r="AJ421" s="10"/>
    </row>
    <row r="422" spans="2:36" s="139" customFormat="1" ht="20.100000000000001" hidden="1" customHeight="1">
      <c r="B422" s="1998"/>
      <c r="C422" s="2034"/>
      <c r="D422" s="932" t="s">
        <v>1594</v>
      </c>
      <c r="E422" s="926"/>
      <c r="F422" s="105" t="s">
        <v>1595</v>
      </c>
      <c r="G422" s="1249"/>
      <c r="H422" s="1250"/>
      <c r="I422" s="932" t="s">
        <v>1596</v>
      </c>
      <c r="J422" s="993"/>
      <c r="K422" s="109" t="s">
        <v>1597</v>
      </c>
      <c r="L422" s="2329">
        <v>0</v>
      </c>
      <c r="M422" s="1204">
        <v>0</v>
      </c>
      <c r="N422" s="1215">
        <v>0</v>
      </c>
      <c r="O422" s="1204">
        <v>0</v>
      </c>
      <c r="P422" s="2540"/>
      <c r="Q422" s="2329">
        <v>0</v>
      </c>
      <c r="R422" s="1204">
        <v>0</v>
      </c>
      <c r="S422" s="1215">
        <v>0</v>
      </c>
      <c r="T422" s="1204">
        <v>0</v>
      </c>
      <c r="U422" s="2330"/>
      <c r="V422" s="2154">
        <v>0</v>
      </c>
      <c r="W422" s="1204">
        <v>0</v>
      </c>
      <c r="X422" s="1215">
        <v>0</v>
      </c>
      <c r="Y422" s="1204">
        <v>0</v>
      </c>
      <c r="Z422" s="1215"/>
      <c r="AA422" s="1215"/>
      <c r="AB422" s="93"/>
      <c r="AC422" s="1215"/>
      <c r="AD422" s="93"/>
      <c r="AE422" s="153"/>
      <c r="AF422" s="162"/>
      <c r="AG422" s="547"/>
      <c r="AH422" s="547"/>
      <c r="AI422" s="277" t="s">
        <v>1598</v>
      </c>
      <c r="AJ422" s="10"/>
    </row>
    <row r="423" spans="2:36" s="139" customFormat="1" ht="20.100000000000001" hidden="1" customHeight="1">
      <c r="B423" s="1998"/>
      <c r="C423" s="4742"/>
      <c r="D423" s="1219" t="s">
        <v>1600</v>
      </c>
      <c r="E423" s="1251"/>
      <c r="F423" s="105" t="s">
        <v>1595</v>
      </c>
      <c r="G423" s="1252"/>
      <c r="H423" s="1253"/>
      <c r="I423" s="1254" t="s">
        <v>1601</v>
      </c>
      <c r="J423" s="1255"/>
      <c r="K423" s="109" t="s">
        <v>1597</v>
      </c>
      <c r="L423" s="2182">
        <v>0</v>
      </c>
      <c r="M423" s="93">
        <v>0</v>
      </c>
      <c r="N423" s="153">
        <v>0</v>
      </c>
      <c r="O423" s="93">
        <v>0</v>
      </c>
      <c r="P423" s="1241"/>
      <c r="Q423" s="2182">
        <v>0</v>
      </c>
      <c r="R423" s="93">
        <v>0</v>
      </c>
      <c r="S423" s="153">
        <v>0</v>
      </c>
      <c r="T423" s="93">
        <v>0</v>
      </c>
      <c r="U423" s="2183"/>
      <c r="V423" s="1238">
        <v>0</v>
      </c>
      <c r="W423" s="1201">
        <v>0</v>
      </c>
      <c r="X423" s="153">
        <v>0</v>
      </c>
      <c r="Y423" s="1221">
        <v>0</v>
      </c>
      <c r="Z423" s="153"/>
      <c r="AA423" s="153"/>
      <c r="AB423" s="93"/>
      <c r="AC423" s="153"/>
      <c r="AD423" s="93"/>
      <c r="AE423" s="153"/>
      <c r="AF423" s="162"/>
      <c r="AG423" s="547"/>
      <c r="AH423" s="547"/>
      <c r="AI423" s="277" t="s">
        <v>1598</v>
      </c>
      <c r="AJ423" s="10"/>
    </row>
    <row r="424" spans="2:36" s="139" customFormat="1" ht="20.100000000000001" hidden="1" customHeight="1">
      <c r="B424" s="2026"/>
      <c r="C424" s="4743"/>
      <c r="D424" s="1256" t="s">
        <v>1602</v>
      </c>
      <c r="E424" s="1257"/>
      <c r="F424" s="1258" t="s">
        <v>1595</v>
      </c>
      <c r="G424" s="1259"/>
      <c r="H424" s="1260"/>
      <c r="I424" s="1256" t="s">
        <v>1603</v>
      </c>
      <c r="J424" s="1257"/>
      <c r="K424" s="1261" t="s">
        <v>1597</v>
      </c>
      <c r="L424" s="2333">
        <v>0</v>
      </c>
      <c r="M424" s="1266">
        <v>0</v>
      </c>
      <c r="N424" s="1268">
        <v>0</v>
      </c>
      <c r="O424" s="1266">
        <v>0</v>
      </c>
      <c r="P424" s="4744"/>
      <c r="Q424" s="2333">
        <v>0</v>
      </c>
      <c r="R424" s="1266">
        <v>0</v>
      </c>
      <c r="S424" s="1268">
        <v>0</v>
      </c>
      <c r="T424" s="1266">
        <v>0</v>
      </c>
      <c r="U424" s="2334"/>
      <c r="V424" s="2156">
        <v>0</v>
      </c>
      <c r="W424" s="1269">
        <v>0</v>
      </c>
      <c r="X424" s="1268">
        <v>0</v>
      </c>
      <c r="Y424" s="1270">
        <v>0</v>
      </c>
      <c r="Z424" s="1268"/>
      <c r="AA424" s="1268"/>
      <c r="AB424" s="1266"/>
      <c r="AC424" s="1268"/>
      <c r="AD424" s="1266"/>
      <c r="AE424" s="1268"/>
      <c r="AF424" s="165"/>
      <c r="AG424" s="1101"/>
      <c r="AH424" s="1101"/>
      <c r="AI424" s="981" t="s">
        <v>1598</v>
      </c>
      <c r="AJ424" s="10"/>
    </row>
    <row r="425" spans="2:36" ht="27" hidden="1" thickBot="1">
      <c r="B425" s="1710" t="s">
        <v>1604</v>
      </c>
      <c r="C425" s="1132"/>
      <c r="D425" s="1132"/>
      <c r="E425" s="1132"/>
      <c r="F425" s="518"/>
      <c r="G425" s="1272" t="s">
        <v>1440</v>
      </c>
      <c r="H425" s="1132"/>
      <c r="I425" s="1132"/>
      <c r="J425" s="1273"/>
      <c r="K425" s="518"/>
      <c r="L425" s="2410"/>
      <c r="M425" s="1134"/>
      <c r="N425" s="1134"/>
      <c r="O425" s="1134"/>
      <c r="P425" s="1134"/>
      <c r="Q425" s="2410"/>
      <c r="R425" s="1134"/>
      <c r="S425" s="1134"/>
      <c r="T425" s="1134"/>
      <c r="U425" s="2411"/>
      <c r="V425" s="1134"/>
      <c r="W425" s="1134"/>
      <c r="X425" s="1134"/>
      <c r="Y425" s="1134"/>
      <c r="Z425" s="1134"/>
      <c r="AA425" s="1134"/>
      <c r="AB425" s="1134"/>
      <c r="AC425" s="1134"/>
      <c r="AD425" s="1134"/>
      <c r="AE425" s="1134"/>
      <c r="AF425" s="1274"/>
      <c r="AG425" s="129"/>
      <c r="AH425" s="129"/>
      <c r="AI425" s="328"/>
      <c r="AJ425" s="18"/>
    </row>
    <row r="426" spans="2:36" s="139" customFormat="1" ht="20.100000000000001" hidden="1" customHeight="1">
      <c r="B426" s="2031"/>
      <c r="C426" s="4738" t="s">
        <v>1605</v>
      </c>
      <c r="D426" s="1186"/>
      <c r="E426" s="1186"/>
      <c r="F426" s="755" t="s">
        <v>156</v>
      </c>
      <c r="G426" s="1275"/>
      <c r="H426" s="1276" t="s">
        <v>1606</v>
      </c>
      <c r="I426" s="1277"/>
      <c r="J426" s="1278"/>
      <c r="K426" s="758" t="s">
        <v>156</v>
      </c>
      <c r="L426" s="2335" t="str">
        <f t="shared" ref="L426" si="27">IFERROR(L427/L428*100,"-")</f>
        <v>-</v>
      </c>
      <c r="M426" s="1282"/>
      <c r="N426" s="1281" t="str">
        <f>IFERROR(N427/N428*100,"-")</f>
        <v>-</v>
      </c>
      <c r="O426" s="1283"/>
      <c r="P426" s="4745" t="str">
        <f>IFERROR(P427/P428*100,"-")</f>
        <v>-</v>
      </c>
      <c r="Q426" s="2335" t="str">
        <f>IFERROR(Q427/Q428*100,"-")</f>
        <v>-</v>
      </c>
      <c r="R426" s="1282"/>
      <c r="S426" s="1281"/>
      <c r="T426" s="1282"/>
      <c r="U426" s="2336"/>
      <c r="V426" s="2157"/>
      <c r="W426" s="1280"/>
      <c r="X426" s="1281"/>
      <c r="Y426" s="1280"/>
      <c r="Z426" s="1281" t="str">
        <f>IFERROR(Z427/Z428*100,"-")</f>
        <v>-</v>
      </c>
      <c r="AA426" s="1281" t="str">
        <f>IFERROR(AA427/AA428*100,"-")</f>
        <v>-</v>
      </c>
      <c r="AB426" s="1283"/>
      <c r="AC426" s="1281" t="str">
        <f>IFERROR(AC427/AC428*100,"-")</f>
        <v>-</v>
      </c>
      <c r="AD426" s="1283"/>
      <c r="AE426" s="1281" t="str">
        <f>IFERROR(AE427/AE428*100,"-")</f>
        <v>-</v>
      </c>
      <c r="AF426" s="162"/>
      <c r="AG426" s="534"/>
      <c r="AH426" s="534"/>
      <c r="AI426" s="277" t="s">
        <v>1609</v>
      </c>
      <c r="AJ426" s="10"/>
    </row>
    <row r="427" spans="2:36" s="139" customFormat="1" ht="20.100000000000001" hidden="1" customHeight="1">
      <c r="B427" s="2031"/>
      <c r="C427" s="1935"/>
      <c r="D427" s="1216" t="s">
        <v>1610</v>
      </c>
      <c r="E427" s="1217"/>
      <c r="F427" s="105" t="s">
        <v>33</v>
      </c>
      <c r="G427" s="475"/>
      <c r="H427" s="1285"/>
      <c r="I427" s="1219" t="s">
        <v>1611</v>
      </c>
      <c r="J427" s="1285"/>
      <c r="K427" s="109" t="s">
        <v>35</v>
      </c>
      <c r="L427" s="2182">
        <v>0</v>
      </c>
      <c r="M427" s="93">
        <v>0</v>
      </c>
      <c r="N427" s="153">
        <v>0</v>
      </c>
      <c r="O427" s="93">
        <v>0</v>
      </c>
      <c r="P427" s="1241"/>
      <c r="Q427" s="2182">
        <v>0</v>
      </c>
      <c r="R427" s="93">
        <v>0</v>
      </c>
      <c r="S427" s="153">
        <v>0</v>
      </c>
      <c r="T427" s="93">
        <v>0</v>
      </c>
      <c r="U427" s="2183"/>
      <c r="V427" s="1238">
        <v>0</v>
      </c>
      <c r="W427" s="1201">
        <v>0</v>
      </c>
      <c r="X427" s="153">
        <v>0</v>
      </c>
      <c r="Y427" s="1201">
        <v>0</v>
      </c>
      <c r="Z427" s="153"/>
      <c r="AA427" s="153"/>
      <c r="AB427" s="93"/>
      <c r="AC427" s="153"/>
      <c r="AD427" s="93"/>
      <c r="AE427" s="153"/>
      <c r="AF427" s="162"/>
      <c r="AG427" s="547"/>
      <c r="AH427" s="547"/>
      <c r="AI427" s="277" t="s">
        <v>1609</v>
      </c>
      <c r="AJ427" s="10"/>
    </row>
    <row r="428" spans="2:36" s="139" customFormat="1" ht="20.100000000000001" hidden="1" customHeight="1">
      <c r="B428" s="2031"/>
      <c r="C428" s="4678"/>
      <c r="D428" s="1216" t="s">
        <v>1612</v>
      </c>
      <c r="E428" s="1217"/>
      <c r="F428" s="105" t="s">
        <v>33</v>
      </c>
      <c r="G428" s="475"/>
      <c r="H428" s="1285"/>
      <c r="I428" s="1219" t="s">
        <v>1613</v>
      </c>
      <c r="J428" s="1285"/>
      <c r="K428" s="109" t="s">
        <v>35</v>
      </c>
      <c r="L428" s="2182">
        <v>0</v>
      </c>
      <c r="M428" s="93">
        <v>0</v>
      </c>
      <c r="N428" s="153">
        <v>0</v>
      </c>
      <c r="O428" s="93">
        <v>0</v>
      </c>
      <c r="P428" s="1241"/>
      <c r="Q428" s="2182">
        <v>0</v>
      </c>
      <c r="R428" s="93">
        <v>0</v>
      </c>
      <c r="S428" s="153">
        <v>0</v>
      </c>
      <c r="T428" s="93">
        <v>0</v>
      </c>
      <c r="U428" s="2183"/>
      <c r="V428" s="1238">
        <v>0</v>
      </c>
      <c r="W428" s="1201">
        <v>0</v>
      </c>
      <c r="X428" s="153">
        <v>0</v>
      </c>
      <c r="Y428" s="1201">
        <v>0</v>
      </c>
      <c r="Z428" s="153"/>
      <c r="AA428" s="153"/>
      <c r="AB428" s="93"/>
      <c r="AC428" s="153"/>
      <c r="AD428" s="93"/>
      <c r="AE428" s="153"/>
      <c r="AF428" s="162"/>
      <c r="AG428" s="547"/>
      <c r="AH428" s="547"/>
      <c r="AI428" s="154" t="s">
        <v>1609</v>
      </c>
      <c r="AJ428" s="10"/>
    </row>
    <row r="429" spans="2:36" s="139" customFormat="1" ht="20.100000000000001" hidden="1" customHeight="1">
      <c r="B429" s="2031"/>
      <c r="C429" s="4669" t="s">
        <v>1614</v>
      </c>
      <c r="D429" s="924"/>
      <c r="E429" s="924"/>
      <c r="F429" s="285" t="s">
        <v>156</v>
      </c>
      <c r="G429" s="1286"/>
      <c r="H429" s="991" t="s">
        <v>1615</v>
      </c>
      <c r="I429" s="992"/>
      <c r="J429" s="1287"/>
      <c r="K429" s="162" t="s">
        <v>156</v>
      </c>
      <c r="L429" s="2337" t="str">
        <f t="shared" ref="L429" si="28">IFERROR(L430/L431*100,"-")</f>
        <v>-</v>
      </c>
      <c r="M429" s="1198"/>
      <c r="N429" s="1291" t="str">
        <f>IFERROR(N430/N431*100,"-")</f>
        <v>-</v>
      </c>
      <c r="O429" s="1198"/>
      <c r="P429" s="4746" t="str">
        <f>IFERROR(P430/P431*100,"-")</f>
        <v>-</v>
      </c>
      <c r="Q429" s="2337" t="str">
        <f>IFERROR(Q430/Q431*100,"-")</f>
        <v>-</v>
      </c>
      <c r="R429" s="1198"/>
      <c r="S429" s="1291" t="str">
        <f>IFERROR(S430/S431*100,"-")</f>
        <v>-</v>
      </c>
      <c r="T429" s="1198"/>
      <c r="U429" s="2338" t="str">
        <f>IFERROR(U430/U431*100,"-")</f>
        <v>-</v>
      </c>
      <c r="V429" s="2158" t="str">
        <f>IFERROR(V430/V431*100,"-")</f>
        <v>-</v>
      </c>
      <c r="W429" s="1204"/>
      <c r="X429" s="1291" t="str">
        <f>IFERROR(X430/X431*100,"-")</f>
        <v>-</v>
      </c>
      <c r="Y429" s="1204"/>
      <c r="Z429" s="1291" t="str">
        <f>IFERROR(Z430/Z431*100,"-")</f>
        <v>-</v>
      </c>
      <c r="AA429" s="1291" t="str">
        <f>IFERROR(AA430/AA431*100,"-")</f>
        <v>-</v>
      </c>
      <c r="AB429" s="93"/>
      <c r="AC429" s="1291" t="str">
        <f>IFERROR(AC430/AC431*100,"-")</f>
        <v>-</v>
      </c>
      <c r="AD429" s="93"/>
      <c r="AE429" s="1291" t="str">
        <f>IFERROR(AE430/AE431*100,"-")</f>
        <v>-</v>
      </c>
      <c r="AF429" s="1034"/>
      <c r="AG429" s="547"/>
      <c r="AH429" s="547"/>
      <c r="AI429" s="154" t="s">
        <v>1618</v>
      </c>
      <c r="AJ429" s="10"/>
    </row>
    <row r="430" spans="2:36" s="139" customFormat="1" ht="20.100000000000001" hidden="1" customHeight="1">
      <c r="B430" s="2031"/>
      <c r="C430" s="1914"/>
      <c r="D430" s="936" t="s">
        <v>1619</v>
      </c>
      <c r="E430" s="924"/>
      <c r="F430" s="105" t="s">
        <v>33</v>
      </c>
      <c r="G430" s="1286"/>
      <c r="H430" s="1292"/>
      <c r="I430" s="995" t="s">
        <v>1620</v>
      </c>
      <c r="J430" s="993"/>
      <c r="K430" s="109" t="s">
        <v>35</v>
      </c>
      <c r="L430" s="2329">
        <v>0</v>
      </c>
      <c r="M430" s="1213" t="s">
        <v>2171</v>
      </c>
      <c r="N430" s="1215">
        <v>0</v>
      </c>
      <c r="O430" s="1213" t="s">
        <v>2171</v>
      </c>
      <c r="P430" s="2540"/>
      <c r="Q430" s="2329">
        <v>0</v>
      </c>
      <c r="R430" s="1204">
        <v>0</v>
      </c>
      <c r="S430" s="1215">
        <v>0</v>
      </c>
      <c r="T430" s="1204">
        <v>0</v>
      </c>
      <c r="U430" s="2330"/>
      <c r="V430" s="2154">
        <v>0</v>
      </c>
      <c r="W430" s="1204">
        <v>0</v>
      </c>
      <c r="X430" s="1215">
        <v>0</v>
      </c>
      <c r="Y430" s="1204">
        <v>0</v>
      </c>
      <c r="Z430" s="1215"/>
      <c r="AA430" s="1215"/>
      <c r="AB430" s="93"/>
      <c r="AC430" s="1215"/>
      <c r="AD430" s="93"/>
      <c r="AE430" s="153"/>
      <c r="AF430" s="1034"/>
      <c r="AG430" s="547"/>
      <c r="AH430" s="547"/>
      <c r="AI430" s="154" t="s">
        <v>1618</v>
      </c>
      <c r="AJ430" s="10"/>
    </row>
    <row r="431" spans="2:36" s="139" customFormat="1" ht="20.100000000000001" hidden="1" customHeight="1">
      <c r="B431" s="2031"/>
      <c r="C431" s="1914"/>
      <c r="D431" s="1216" t="s">
        <v>1621</v>
      </c>
      <c r="E431" s="1217"/>
      <c r="F431" s="105" t="s">
        <v>33</v>
      </c>
      <c r="G431" s="475"/>
      <c r="H431" s="1285"/>
      <c r="I431" s="726" t="s">
        <v>1622</v>
      </c>
      <c r="J431" s="1293"/>
      <c r="K431" s="109" t="s">
        <v>35</v>
      </c>
      <c r="L431" s="2182">
        <v>0</v>
      </c>
      <c r="M431" s="93">
        <v>0</v>
      </c>
      <c r="N431" s="153">
        <v>0</v>
      </c>
      <c r="O431" s="93">
        <v>0</v>
      </c>
      <c r="P431" s="1241"/>
      <c r="Q431" s="2182">
        <v>0</v>
      </c>
      <c r="R431" s="93">
        <v>0</v>
      </c>
      <c r="S431" s="153">
        <v>0</v>
      </c>
      <c r="T431" s="93">
        <v>0</v>
      </c>
      <c r="U431" s="2183"/>
      <c r="V431" s="1238">
        <v>0</v>
      </c>
      <c r="W431" s="1201">
        <v>0</v>
      </c>
      <c r="X431" s="153">
        <v>0</v>
      </c>
      <c r="Y431" s="1221">
        <v>0</v>
      </c>
      <c r="Z431" s="153"/>
      <c r="AA431" s="153"/>
      <c r="AB431" s="93"/>
      <c r="AC431" s="153"/>
      <c r="AD431" s="93"/>
      <c r="AE431" s="153"/>
      <c r="AF431" s="1034"/>
      <c r="AG431" s="547"/>
      <c r="AH431" s="547"/>
      <c r="AI431" s="154" t="s">
        <v>1618</v>
      </c>
      <c r="AJ431" s="10"/>
    </row>
    <row r="432" spans="2:36" s="139" customFormat="1" ht="20.100000000000001" hidden="1" customHeight="1">
      <c r="B432" s="2031"/>
      <c r="C432" s="4669" t="s">
        <v>1623</v>
      </c>
      <c r="D432" s="924"/>
      <c r="E432" s="924"/>
      <c r="F432" s="285" t="s">
        <v>156</v>
      </c>
      <c r="G432" s="1223"/>
      <c r="H432" s="925" t="s">
        <v>1624</v>
      </c>
      <c r="I432" s="926"/>
      <c r="J432" s="993"/>
      <c r="K432" s="162" t="s">
        <v>156</v>
      </c>
      <c r="L432" s="2337" t="str">
        <f t="shared" ref="L432" si="29">IFERROR(L433/L434*100,"-")</f>
        <v>-</v>
      </c>
      <c r="M432" s="1198"/>
      <c r="N432" s="1291" t="str">
        <f>IFERROR(N433/N434*100,"-")</f>
        <v>-</v>
      </c>
      <c r="O432" s="1198"/>
      <c r="P432" s="4746" t="str">
        <f>IFERROR(P433/P434*100,"-")</f>
        <v>-</v>
      </c>
      <c r="Q432" s="2337" t="str">
        <f>IFERROR(Q433/Q434*100,"-")</f>
        <v>-</v>
      </c>
      <c r="R432" s="1198"/>
      <c r="S432" s="1291" t="str">
        <f>IFERROR(S433/S434*100,"-")</f>
        <v>-</v>
      </c>
      <c r="T432" s="1198"/>
      <c r="U432" s="2338" t="str">
        <f>IFERROR(U433/U434*100,"-")</f>
        <v>-</v>
      </c>
      <c r="V432" s="2158" t="str">
        <f>IFERROR(V433/V434*100,"-")</f>
        <v>-</v>
      </c>
      <c r="W432" s="1204"/>
      <c r="X432" s="1291" t="str">
        <f>IFERROR(X433/X434*100,"-")</f>
        <v>-</v>
      </c>
      <c r="Y432" s="1204"/>
      <c r="Z432" s="1291" t="str">
        <f>IFERROR(Z433/Z434*100,"-")</f>
        <v>-</v>
      </c>
      <c r="AA432" s="1291" t="str">
        <f>IFERROR(AA433/AA434*100,"-")</f>
        <v>-</v>
      </c>
      <c r="AB432" s="93"/>
      <c r="AC432" s="1291" t="str">
        <f>IFERROR(AC433/AC434*100,"-")</f>
        <v>-</v>
      </c>
      <c r="AD432" s="93"/>
      <c r="AE432" s="1291" t="str">
        <f>IFERROR(AE433/AE434*100,"-")</f>
        <v>-</v>
      </c>
      <c r="AF432" s="1034"/>
      <c r="AG432" s="547"/>
      <c r="AH432" s="547"/>
      <c r="AI432" s="154" t="s">
        <v>1627</v>
      </c>
      <c r="AJ432" s="10"/>
    </row>
    <row r="433" spans="2:36" s="139" customFormat="1" ht="20.100000000000001" hidden="1" customHeight="1">
      <c r="B433" s="2031"/>
      <c r="C433" s="1914"/>
      <c r="D433" s="936" t="s">
        <v>1628</v>
      </c>
      <c r="E433" s="924"/>
      <c r="F433" s="105" t="s">
        <v>33</v>
      </c>
      <c r="G433" s="1286"/>
      <c r="H433" s="1292"/>
      <c r="I433" s="995" t="s">
        <v>1629</v>
      </c>
      <c r="J433" s="993"/>
      <c r="K433" s="109" t="s">
        <v>35</v>
      </c>
      <c r="L433" s="2329">
        <v>0</v>
      </c>
      <c r="M433" s="1204">
        <v>0</v>
      </c>
      <c r="N433" s="1215">
        <v>0</v>
      </c>
      <c r="O433" s="1204">
        <v>0</v>
      </c>
      <c r="P433" s="2540"/>
      <c r="Q433" s="2329">
        <v>0</v>
      </c>
      <c r="R433" s="1204">
        <v>0</v>
      </c>
      <c r="S433" s="1215">
        <v>0</v>
      </c>
      <c r="T433" s="1204">
        <v>0</v>
      </c>
      <c r="U433" s="2330"/>
      <c r="V433" s="2154">
        <v>0</v>
      </c>
      <c r="W433" s="1204">
        <v>0</v>
      </c>
      <c r="X433" s="1215">
        <v>0</v>
      </c>
      <c r="Y433" s="1204">
        <v>0</v>
      </c>
      <c r="Z433" s="1215"/>
      <c r="AA433" s="1215"/>
      <c r="AB433" s="93"/>
      <c r="AC433" s="1215"/>
      <c r="AD433" s="93"/>
      <c r="AE433" s="153"/>
      <c r="AF433" s="1034"/>
      <c r="AG433" s="547"/>
      <c r="AH433" s="547"/>
      <c r="AI433" s="277" t="s">
        <v>1627</v>
      </c>
      <c r="AJ433" s="10"/>
    </row>
    <row r="434" spans="2:36" s="139" customFormat="1" ht="20.100000000000001" hidden="1" customHeight="1">
      <c r="B434" s="2033"/>
      <c r="C434" s="1935"/>
      <c r="D434" s="1295" t="s">
        <v>1630</v>
      </c>
      <c r="E434" s="1296"/>
      <c r="F434" s="105" t="s">
        <v>33</v>
      </c>
      <c r="G434" s="1297"/>
      <c r="H434" s="1298"/>
      <c r="I434" s="1299" t="s">
        <v>1631</v>
      </c>
      <c r="J434" s="1255"/>
      <c r="K434" s="109" t="s">
        <v>35</v>
      </c>
      <c r="L434" s="2321">
        <v>0</v>
      </c>
      <c r="M434" s="1160">
        <v>0</v>
      </c>
      <c r="N434" s="1162">
        <v>0</v>
      </c>
      <c r="O434" s="1160">
        <v>0</v>
      </c>
      <c r="P434" s="2539"/>
      <c r="Q434" s="2321">
        <v>0</v>
      </c>
      <c r="R434" s="1160">
        <v>0</v>
      </c>
      <c r="S434" s="1162">
        <v>0</v>
      </c>
      <c r="T434" s="1160">
        <v>0</v>
      </c>
      <c r="U434" s="2322"/>
      <c r="V434" s="2150">
        <v>0</v>
      </c>
      <c r="W434" s="1300">
        <v>0</v>
      </c>
      <c r="X434" s="1162">
        <v>0</v>
      </c>
      <c r="Y434" s="1301">
        <v>0</v>
      </c>
      <c r="Z434" s="1162"/>
      <c r="AA434" s="1162"/>
      <c r="AB434" s="1160"/>
      <c r="AC434" s="1162"/>
      <c r="AD434" s="1160"/>
      <c r="AE434" s="1162"/>
      <c r="AF434" s="1153"/>
      <c r="AG434" s="1101"/>
      <c r="AH434" s="1101"/>
      <c r="AI434" s="277" t="s">
        <v>1627</v>
      </c>
      <c r="AJ434" s="10"/>
    </row>
    <row r="435" spans="2:36" ht="27" hidden="1" thickBot="1">
      <c r="B435" s="123" t="s">
        <v>1632</v>
      </c>
      <c r="C435" s="124"/>
      <c r="D435" s="124"/>
      <c r="E435" s="124"/>
      <c r="F435" s="78"/>
      <c r="G435" s="125" t="s">
        <v>2549</v>
      </c>
      <c r="H435" s="126"/>
      <c r="I435" s="126"/>
      <c r="J435" s="126"/>
      <c r="K435" s="78"/>
      <c r="L435" s="2431"/>
      <c r="M435" s="1005"/>
      <c r="N435" s="1005"/>
      <c r="O435" s="1005"/>
      <c r="P435" s="1005"/>
      <c r="Q435" s="2431"/>
      <c r="R435" s="1005"/>
      <c r="S435" s="1005"/>
      <c r="T435" s="1005"/>
      <c r="U435" s="2432"/>
      <c r="V435" s="1005"/>
      <c r="W435" s="1005"/>
      <c r="X435" s="1005"/>
      <c r="Y435" s="1005"/>
      <c r="Z435" s="1005"/>
      <c r="AA435" s="1005"/>
      <c r="AB435" s="1005"/>
      <c r="AC435" s="1005"/>
      <c r="AD435" s="1005"/>
      <c r="AE435" s="1005"/>
      <c r="AF435" s="1274"/>
      <c r="AG435" s="129"/>
      <c r="AH435" s="129"/>
      <c r="AI435" s="328"/>
      <c r="AJ435" s="18"/>
    </row>
    <row r="436" spans="2:36" ht="20.100000000000001" hidden="1" customHeight="1">
      <c r="B436" s="2038"/>
      <c r="C436" s="4747" t="s">
        <v>1633</v>
      </c>
      <c r="D436" s="949"/>
      <c r="E436" s="949"/>
      <c r="F436" s="2371" t="s">
        <v>168</v>
      </c>
      <c r="G436" s="168"/>
      <c r="H436" s="949" t="s">
        <v>1634</v>
      </c>
      <c r="I436" s="949"/>
      <c r="J436" s="949"/>
      <c r="K436" s="1139"/>
      <c r="L436" s="2442"/>
      <c r="M436" s="1304"/>
      <c r="N436" s="1303"/>
      <c r="O436" s="1304"/>
      <c r="P436" s="4748"/>
      <c r="Q436" s="2442"/>
      <c r="R436" s="1304"/>
      <c r="S436" s="1303"/>
      <c r="T436" s="1304"/>
      <c r="U436" s="2443"/>
      <c r="V436" s="2455"/>
      <c r="W436" s="1304"/>
      <c r="X436" s="1305"/>
      <c r="Y436" s="1304"/>
      <c r="Z436" s="1302"/>
      <c r="AA436" s="1302"/>
      <c r="AB436" s="954"/>
      <c r="AC436" s="1302"/>
      <c r="AD436" s="954"/>
      <c r="AE436" s="1302"/>
      <c r="AF436" s="758"/>
      <c r="AG436" s="534"/>
      <c r="AH436" s="534"/>
      <c r="AI436" s="690"/>
      <c r="AJ436" s="18"/>
    </row>
    <row r="437" spans="2:36" ht="20.100000000000001" hidden="1" customHeight="1">
      <c r="B437" s="4749"/>
      <c r="C437" s="4709"/>
      <c r="D437" s="787" t="s">
        <v>1018</v>
      </c>
      <c r="E437" s="781"/>
      <c r="F437" s="285" t="s">
        <v>1636</v>
      </c>
      <c r="G437" s="106"/>
      <c r="H437" s="353"/>
      <c r="I437" s="384" t="s">
        <v>1637</v>
      </c>
      <c r="J437" s="384"/>
      <c r="K437" s="1034" t="s">
        <v>1831</v>
      </c>
      <c r="L437" s="2444">
        <v>0</v>
      </c>
      <c r="M437" s="1149" t="s">
        <v>2550</v>
      </c>
      <c r="N437" s="1307">
        <v>0</v>
      </c>
      <c r="O437" s="1149" t="s">
        <v>2551</v>
      </c>
      <c r="P437" s="2547"/>
      <c r="Q437" s="2444">
        <v>376</v>
      </c>
      <c r="R437" s="1149" t="s">
        <v>2552</v>
      </c>
      <c r="S437" s="1307">
        <v>548</v>
      </c>
      <c r="T437" s="1149" t="s">
        <v>2553</v>
      </c>
      <c r="U437" s="2320"/>
      <c r="V437" s="2159">
        <v>1433.25</v>
      </c>
      <c r="W437" s="1149" t="s">
        <v>2554</v>
      </c>
      <c r="X437" s="1307">
        <v>643</v>
      </c>
      <c r="Y437" s="1149" t="s">
        <v>2555</v>
      </c>
      <c r="Z437" s="1150"/>
      <c r="AA437" s="1150"/>
      <c r="AB437" s="1151"/>
      <c r="AC437" s="1150"/>
      <c r="AD437" s="1151"/>
      <c r="AE437" s="1150"/>
      <c r="AF437" s="1034"/>
      <c r="AG437" s="878"/>
      <c r="AH437" s="878"/>
      <c r="AI437" s="620" t="s">
        <v>1640</v>
      </c>
      <c r="AJ437" s="18"/>
    </row>
    <row r="438" spans="2:36" ht="20.100000000000001" hidden="1" customHeight="1">
      <c r="B438" s="1761"/>
      <c r="C438" s="4664"/>
      <c r="D438" s="787" t="s">
        <v>1428</v>
      </c>
      <c r="E438" s="781"/>
      <c r="F438" s="285" t="s">
        <v>732</v>
      </c>
      <c r="G438" s="384"/>
      <c r="H438" s="385"/>
      <c r="I438" s="358" t="s">
        <v>1643</v>
      </c>
      <c r="J438" s="358"/>
      <c r="K438" s="162" t="s">
        <v>734</v>
      </c>
      <c r="L438" s="2445">
        <v>0</v>
      </c>
      <c r="M438" s="1045" t="s">
        <v>2556</v>
      </c>
      <c r="N438" s="1308">
        <v>0</v>
      </c>
      <c r="O438" s="1045" t="s">
        <v>2557</v>
      </c>
      <c r="P438" s="1241"/>
      <c r="Q438" s="2445">
        <v>94</v>
      </c>
      <c r="R438" s="1045" t="s">
        <v>2552</v>
      </c>
      <c r="S438" s="1308">
        <v>137</v>
      </c>
      <c r="T438" s="1045" t="s">
        <v>2552</v>
      </c>
      <c r="U438" s="2183"/>
      <c r="V438" s="2160">
        <v>379</v>
      </c>
      <c r="W438" s="1045" t="s">
        <v>2558</v>
      </c>
      <c r="X438" s="1308">
        <v>391</v>
      </c>
      <c r="Y438" s="1045" t="s">
        <v>2559</v>
      </c>
      <c r="Z438" s="153"/>
      <c r="AA438" s="153"/>
      <c r="AB438" s="227"/>
      <c r="AC438" s="153"/>
      <c r="AD438" s="227"/>
      <c r="AE438" s="153"/>
      <c r="AF438" s="162"/>
      <c r="AG438" s="547"/>
      <c r="AH438" s="547"/>
      <c r="AI438" s="620" t="s">
        <v>1645</v>
      </c>
      <c r="AJ438" s="18"/>
    </row>
    <row r="439" spans="2:36" ht="20.100000000000001" hidden="1" customHeight="1">
      <c r="B439" s="1761"/>
      <c r="C439" s="4750" t="s">
        <v>1647</v>
      </c>
      <c r="D439" s="4711"/>
      <c r="E439" s="4712"/>
      <c r="F439" s="2371" t="s">
        <v>168</v>
      </c>
      <c r="G439" s="685"/>
      <c r="H439" s="686" t="s">
        <v>1648</v>
      </c>
      <c r="I439" s="654"/>
      <c r="J439" s="655"/>
      <c r="K439" s="881"/>
      <c r="L439" s="2310"/>
      <c r="M439" s="1085"/>
      <c r="N439" s="1085"/>
      <c r="O439" s="1085"/>
      <c r="P439" s="2375"/>
      <c r="Q439" s="2310"/>
      <c r="R439" s="1085"/>
      <c r="S439" s="1085"/>
      <c r="T439" s="1085"/>
      <c r="U439" s="2311"/>
      <c r="V439" s="1597"/>
      <c r="W439" s="1085"/>
      <c r="X439" s="1085"/>
      <c r="Y439" s="1085"/>
      <c r="Z439" s="1085"/>
      <c r="AA439" s="1085"/>
      <c r="AB439" s="1085"/>
      <c r="AC439" s="1085"/>
      <c r="AD439" s="1085"/>
      <c r="AE439" s="1085"/>
      <c r="AF439" s="162"/>
      <c r="AG439" s="547"/>
      <c r="AH439" s="547"/>
      <c r="AI439" s="690"/>
      <c r="AJ439" s="18"/>
    </row>
    <row r="440" spans="2:36" ht="20.100000000000001" hidden="1" customHeight="1">
      <c r="B440" s="1761"/>
      <c r="C440" s="4601"/>
      <c r="D440" s="787" t="s">
        <v>1650</v>
      </c>
      <c r="E440" s="781"/>
      <c r="F440" s="285" t="s">
        <v>1476</v>
      </c>
      <c r="G440" s="347"/>
      <c r="H440" s="348"/>
      <c r="I440" s="495" t="s">
        <v>1651</v>
      </c>
      <c r="J440" s="360"/>
      <c r="K440" s="162" t="s">
        <v>559</v>
      </c>
      <c r="L440" s="2446">
        <v>0</v>
      </c>
      <c r="M440" s="505">
        <v>0</v>
      </c>
      <c r="N440" s="404">
        <v>0</v>
      </c>
      <c r="O440" s="505">
        <v>0</v>
      </c>
      <c r="P440" s="2357"/>
      <c r="Q440" s="2213">
        <v>0</v>
      </c>
      <c r="R440" s="503" t="s">
        <v>2560</v>
      </c>
      <c r="S440" s="274">
        <v>0</v>
      </c>
      <c r="T440" s="503" t="s">
        <v>2560</v>
      </c>
      <c r="U440" s="2214"/>
      <c r="V440" s="2161" t="s">
        <v>2351</v>
      </c>
      <c r="W440" s="505" t="s">
        <v>2352</v>
      </c>
      <c r="X440" s="404" t="s">
        <v>2351</v>
      </c>
      <c r="Y440" s="505" t="s">
        <v>2352</v>
      </c>
      <c r="Z440" s="274"/>
      <c r="AA440" s="274"/>
      <c r="AB440" s="505"/>
      <c r="AC440" s="274"/>
      <c r="AD440" s="505"/>
      <c r="AE440" s="274"/>
      <c r="AF440" s="162"/>
      <c r="AG440" s="547"/>
      <c r="AH440" s="547"/>
      <c r="AI440" s="277" t="s">
        <v>1654</v>
      </c>
      <c r="AJ440" s="18"/>
    </row>
    <row r="441" spans="2:36" ht="20.100000000000001" hidden="1" customHeight="1">
      <c r="B441" s="1761"/>
      <c r="C441" s="4603"/>
      <c r="D441" s="787" t="s">
        <v>1656</v>
      </c>
      <c r="E441" s="781"/>
      <c r="F441" s="285" t="s">
        <v>1476</v>
      </c>
      <c r="G441" s="106"/>
      <c r="H441" s="353"/>
      <c r="I441" s="495" t="s">
        <v>1657</v>
      </c>
      <c r="J441" s="360"/>
      <c r="K441" s="162" t="s">
        <v>559</v>
      </c>
      <c r="L441" s="2446">
        <v>0</v>
      </c>
      <c r="M441" s="505">
        <v>0</v>
      </c>
      <c r="N441" s="404">
        <v>0</v>
      </c>
      <c r="O441" s="505">
        <v>0</v>
      </c>
      <c r="P441" s="2357"/>
      <c r="Q441" s="2213">
        <v>0</v>
      </c>
      <c r="R441" s="503" t="s">
        <v>724</v>
      </c>
      <c r="S441" s="274">
        <v>0</v>
      </c>
      <c r="T441" s="503" t="s">
        <v>724</v>
      </c>
      <c r="U441" s="2214"/>
      <c r="V441" s="2161" t="s">
        <v>2351</v>
      </c>
      <c r="W441" s="505" t="s">
        <v>2352</v>
      </c>
      <c r="X441" s="404" t="s">
        <v>2351</v>
      </c>
      <c r="Y441" s="505" t="s">
        <v>2352</v>
      </c>
      <c r="Z441" s="274"/>
      <c r="AA441" s="274"/>
      <c r="AB441" s="505"/>
      <c r="AC441" s="274"/>
      <c r="AD441" s="505"/>
      <c r="AE441" s="274"/>
      <c r="AF441" s="162"/>
      <c r="AG441" s="547"/>
      <c r="AH441" s="547"/>
      <c r="AI441" s="277" t="s">
        <v>1660</v>
      </c>
      <c r="AJ441" s="18"/>
    </row>
    <row r="442" spans="2:36" ht="20.100000000000001" hidden="1" customHeight="1">
      <c r="B442" s="4681"/>
      <c r="C442" s="4603"/>
      <c r="D442" s="787" t="s">
        <v>1661</v>
      </c>
      <c r="E442" s="781"/>
      <c r="F442" s="285" t="s">
        <v>1476</v>
      </c>
      <c r="G442" s="106"/>
      <c r="H442" s="353"/>
      <c r="I442" s="495" t="s">
        <v>1662</v>
      </c>
      <c r="J442" s="360"/>
      <c r="K442" s="162" t="s">
        <v>559</v>
      </c>
      <c r="L442" s="2446">
        <v>0</v>
      </c>
      <c r="M442" s="505">
        <v>0</v>
      </c>
      <c r="N442" s="404">
        <v>0</v>
      </c>
      <c r="O442" s="505">
        <v>0</v>
      </c>
      <c r="P442" s="2357"/>
      <c r="Q442" s="2213">
        <v>0</v>
      </c>
      <c r="R442" s="503" t="s">
        <v>726</v>
      </c>
      <c r="S442" s="274">
        <v>0</v>
      </c>
      <c r="T442" s="503" t="s">
        <v>726</v>
      </c>
      <c r="U442" s="2214"/>
      <c r="V442" s="2161">
        <v>0</v>
      </c>
      <c r="W442" s="505" t="s">
        <v>2353</v>
      </c>
      <c r="X442" s="404">
        <v>0</v>
      </c>
      <c r="Y442" s="505" t="s">
        <v>2353</v>
      </c>
      <c r="Z442" s="274"/>
      <c r="AA442" s="274"/>
      <c r="AB442" s="505"/>
      <c r="AC442" s="274"/>
      <c r="AD442" s="505"/>
      <c r="AE442" s="274"/>
      <c r="AF442" s="162"/>
      <c r="AG442" s="547"/>
      <c r="AH442" s="547"/>
      <c r="AI442" s="277" t="s">
        <v>1665</v>
      </c>
      <c r="AJ442" s="18"/>
    </row>
    <row r="443" spans="2:36" ht="20.100000000000001" hidden="1" customHeight="1">
      <c r="B443" s="4604"/>
      <c r="C443" s="4603"/>
      <c r="D443" s="787" t="s">
        <v>1668</v>
      </c>
      <c r="E443" s="781"/>
      <c r="F443" s="285" t="s">
        <v>557</v>
      </c>
      <c r="G443" s="106"/>
      <c r="H443" s="353"/>
      <c r="I443" s="495" t="s">
        <v>1669</v>
      </c>
      <c r="J443" s="360"/>
      <c r="K443" s="162" t="s">
        <v>559</v>
      </c>
      <c r="L443" s="2213"/>
      <c r="M443" s="505"/>
      <c r="N443" s="274"/>
      <c r="O443" s="505"/>
      <c r="P443" s="2357"/>
      <c r="Q443" s="2213"/>
      <c r="R443" s="503"/>
      <c r="S443" s="274"/>
      <c r="T443" s="505"/>
      <c r="U443" s="2214"/>
      <c r="V443" s="2162"/>
      <c r="W443" s="505"/>
      <c r="X443" s="274"/>
      <c r="Y443" s="505"/>
      <c r="Z443" s="274"/>
      <c r="AA443" s="274"/>
      <c r="AB443" s="505"/>
      <c r="AC443" s="274"/>
      <c r="AD443" s="505"/>
      <c r="AE443" s="274"/>
      <c r="AF443" s="162"/>
      <c r="AG443" s="547"/>
      <c r="AH443" s="547"/>
      <c r="AI443" s="277"/>
      <c r="AJ443" s="18"/>
    </row>
    <row r="444" spans="2:36" ht="20.100000000000001" hidden="1" customHeight="1">
      <c r="B444" s="4681"/>
      <c r="C444" s="4603"/>
      <c r="D444" s="936" t="s">
        <v>1673</v>
      </c>
      <c r="E444" s="924"/>
      <c r="F444" s="285" t="s">
        <v>557</v>
      </c>
      <c r="G444" s="106"/>
      <c r="H444" s="353"/>
      <c r="I444" s="495" t="s">
        <v>1674</v>
      </c>
      <c r="J444" s="360"/>
      <c r="K444" s="162" t="s">
        <v>559</v>
      </c>
      <c r="L444" s="2446">
        <v>0</v>
      </c>
      <c r="M444" s="505">
        <v>0</v>
      </c>
      <c r="N444" s="404">
        <v>0</v>
      </c>
      <c r="O444" s="505">
        <v>0</v>
      </c>
      <c r="P444" s="2357"/>
      <c r="Q444" s="2213">
        <v>0</v>
      </c>
      <c r="R444" s="503" t="s">
        <v>726</v>
      </c>
      <c r="S444" s="274">
        <v>0</v>
      </c>
      <c r="T444" s="503" t="s">
        <v>726</v>
      </c>
      <c r="U444" s="2214"/>
      <c r="V444" s="2161">
        <v>0</v>
      </c>
      <c r="W444" s="505" t="s">
        <v>2353</v>
      </c>
      <c r="X444" s="404">
        <v>0</v>
      </c>
      <c r="Y444" s="505" t="s">
        <v>2353</v>
      </c>
      <c r="Z444" s="274"/>
      <c r="AA444" s="274"/>
      <c r="AB444" s="505"/>
      <c r="AC444" s="274"/>
      <c r="AD444" s="505"/>
      <c r="AE444" s="274"/>
      <c r="AF444" s="508"/>
      <c r="AG444" s="547"/>
      <c r="AH444" s="547"/>
      <c r="AI444" s="277" t="s">
        <v>1677</v>
      </c>
      <c r="AJ444" s="18"/>
    </row>
    <row r="445" spans="2:36" ht="20.100000000000001" hidden="1" customHeight="1">
      <c r="B445" s="4681"/>
      <c r="C445" s="4603"/>
      <c r="D445" s="936" t="s">
        <v>1679</v>
      </c>
      <c r="E445" s="924"/>
      <c r="F445" s="285" t="s">
        <v>233</v>
      </c>
      <c r="G445" s="106"/>
      <c r="H445" s="353"/>
      <c r="I445" s="495" t="s">
        <v>1353</v>
      </c>
      <c r="J445" s="360"/>
      <c r="K445" s="162" t="s">
        <v>295</v>
      </c>
      <c r="L445" s="2446">
        <v>0</v>
      </c>
      <c r="M445" s="505">
        <v>0</v>
      </c>
      <c r="N445" s="404">
        <v>0</v>
      </c>
      <c r="O445" s="505">
        <v>0</v>
      </c>
      <c r="P445" s="2357"/>
      <c r="Q445" s="2213">
        <v>0</v>
      </c>
      <c r="R445" s="503" t="s">
        <v>726</v>
      </c>
      <c r="S445" s="274">
        <v>0</v>
      </c>
      <c r="T445" s="503" t="s">
        <v>726</v>
      </c>
      <c r="U445" s="2214"/>
      <c r="V445" s="2161">
        <v>0</v>
      </c>
      <c r="W445" s="505" t="s">
        <v>2353</v>
      </c>
      <c r="X445" s="404">
        <v>0</v>
      </c>
      <c r="Y445" s="505" t="s">
        <v>2353</v>
      </c>
      <c r="Z445" s="274"/>
      <c r="AA445" s="274"/>
      <c r="AB445" s="505"/>
      <c r="AC445" s="274"/>
      <c r="AD445" s="505"/>
      <c r="AE445" s="274"/>
      <c r="AF445" s="162"/>
      <c r="AG445" s="547"/>
      <c r="AH445" s="547"/>
      <c r="AI445" s="277" t="s">
        <v>1357</v>
      </c>
      <c r="AJ445" s="18"/>
    </row>
    <row r="446" spans="2:36" ht="20.100000000000001" hidden="1" customHeight="1">
      <c r="B446" s="4681"/>
      <c r="C446" s="4603"/>
      <c r="D446" s="936" t="s">
        <v>1683</v>
      </c>
      <c r="E446" s="924"/>
      <c r="F446" s="285" t="s">
        <v>156</v>
      </c>
      <c r="G446" s="106"/>
      <c r="H446" s="353"/>
      <c r="I446" s="495" t="s">
        <v>1684</v>
      </c>
      <c r="J446" s="360"/>
      <c r="K446" s="162" t="s">
        <v>156</v>
      </c>
      <c r="L446" s="2213"/>
      <c r="M446" s="505"/>
      <c r="N446" s="274"/>
      <c r="O446" s="505"/>
      <c r="P446" s="2357"/>
      <c r="Q446" s="2213"/>
      <c r="R446" s="503"/>
      <c r="S446" s="274"/>
      <c r="T446" s="503"/>
      <c r="U446" s="2214"/>
      <c r="V446" s="2162"/>
      <c r="W446" s="505"/>
      <c r="X446" s="274"/>
      <c r="Y446" s="505"/>
      <c r="Z446" s="274"/>
      <c r="AA446" s="274"/>
      <c r="AB446" s="505"/>
      <c r="AC446" s="274"/>
      <c r="AD446" s="505"/>
      <c r="AE446" s="274"/>
      <c r="AF446" s="162"/>
      <c r="AG446" s="547"/>
      <c r="AH446" s="547"/>
      <c r="AI446" s="277"/>
      <c r="AJ446" s="18"/>
    </row>
    <row r="447" spans="2:36" ht="20.100000000000001" hidden="1" customHeight="1">
      <c r="B447" s="4615"/>
      <c r="C447" s="4603"/>
      <c r="D447" s="936" t="s">
        <v>1688</v>
      </c>
      <c r="E447" s="924"/>
      <c r="F447" s="285" t="s">
        <v>557</v>
      </c>
      <c r="G447" s="106"/>
      <c r="H447" s="353"/>
      <c r="I447" s="495" t="s">
        <v>1689</v>
      </c>
      <c r="J447" s="360"/>
      <c r="K447" s="162" t="s">
        <v>559</v>
      </c>
      <c r="L447" s="2213"/>
      <c r="M447" s="505"/>
      <c r="N447" s="274"/>
      <c r="O447" s="505"/>
      <c r="P447" s="2357"/>
      <c r="Q447" s="2213"/>
      <c r="R447" s="503"/>
      <c r="S447" s="274"/>
      <c r="T447" s="505"/>
      <c r="U447" s="2214"/>
      <c r="V447" s="2162"/>
      <c r="W447" s="505"/>
      <c r="X447" s="274"/>
      <c r="Y447" s="505"/>
      <c r="Z447" s="274"/>
      <c r="AA447" s="274"/>
      <c r="AB447" s="505"/>
      <c r="AC447" s="274"/>
      <c r="AD447" s="505"/>
      <c r="AE447" s="274"/>
      <c r="AF447" s="162"/>
      <c r="AG447" s="547"/>
      <c r="AH447" s="547"/>
      <c r="AI447" s="265"/>
      <c r="AJ447" s="18"/>
    </row>
    <row r="448" spans="2:36" ht="20.100000000000001" hidden="1" customHeight="1">
      <c r="B448" s="4604"/>
      <c r="C448" s="4602"/>
      <c r="D448" s="936" t="s">
        <v>1693</v>
      </c>
      <c r="E448" s="924"/>
      <c r="F448" s="285" t="s">
        <v>557</v>
      </c>
      <c r="G448" s="384"/>
      <c r="H448" s="385"/>
      <c r="I448" s="495" t="s">
        <v>1694</v>
      </c>
      <c r="J448" s="360"/>
      <c r="K448" s="162" t="s">
        <v>559</v>
      </c>
      <c r="L448" s="2213"/>
      <c r="M448" s="505"/>
      <c r="N448" s="274"/>
      <c r="O448" s="505"/>
      <c r="P448" s="2357"/>
      <c r="Q448" s="2213"/>
      <c r="R448" s="503"/>
      <c r="S448" s="274"/>
      <c r="T448" s="505"/>
      <c r="U448" s="2214"/>
      <c r="V448" s="2162"/>
      <c r="W448" s="505"/>
      <c r="X448" s="274"/>
      <c r="Y448" s="505"/>
      <c r="Z448" s="274"/>
      <c r="AA448" s="274"/>
      <c r="AB448" s="505"/>
      <c r="AC448" s="274"/>
      <c r="AD448" s="505"/>
      <c r="AE448" s="274"/>
      <c r="AF448" s="162"/>
      <c r="AG448" s="547"/>
      <c r="AH448" s="547"/>
      <c r="AI448" s="265"/>
      <c r="AJ448" s="18"/>
    </row>
    <row r="449" spans="1:36" s="139" customFormat="1" ht="19.149999999999999" hidden="1" customHeight="1">
      <c r="A449" s="11"/>
      <c r="B449" s="4604"/>
      <c r="C449" s="4618" t="s">
        <v>1698</v>
      </c>
      <c r="D449" s="4751"/>
      <c r="E449" s="4752"/>
      <c r="F449" s="2371" t="s">
        <v>168</v>
      </c>
      <c r="G449" s="685"/>
      <c r="H449" s="686" t="s">
        <v>1699</v>
      </c>
      <c r="I449" s="729"/>
      <c r="J449" s="730"/>
      <c r="K449" s="881"/>
      <c r="L449" s="2220"/>
      <c r="M449" s="1042"/>
      <c r="N449" s="319"/>
      <c r="O449" s="1042"/>
      <c r="P449" s="2358"/>
      <c r="Q449" s="2220"/>
      <c r="R449" s="1087"/>
      <c r="S449" s="319"/>
      <c r="T449" s="1042"/>
      <c r="U449" s="2221"/>
      <c r="V449" s="2163"/>
      <c r="W449" s="1042"/>
      <c r="X449" s="319"/>
      <c r="Y449" s="1042"/>
      <c r="Z449" s="319"/>
      <c r="AA449" s="319"/>
      <c r="AB449" s="1042"/>
      <c r="AC449" s="319"/>
      <c r="AD449" s="1042"/>
      <c r="AE449" s="319"/>
      <c r="AF449" s="162"/>
      <c r="AG449" s="547"/>
      <c r="AH449" s="547"/>
      <c r="AI449" s="691"/>
      <c r="AJ449" s="18"/>
    </row>
    <row r="450" spans="1:36" ht="20.100000000000001" hidden="1" customHeight="1">
      <c r="B450" s="4513"/>
      <c r="C450" s="4663"/>
      <c r="D450" s="936" t="s">
        <v>1700</v>
      </c>
      <c r="E450" s="924"/>
      <c r="F450" s="285" t="s">
        <v>1476</v>
      </c>
      <c r="G450" s="347"/>
      <c r="H450" s="348"/>
      <c r="I450" s="358" t="s">
        <v>1701</v>
      </c>
      <c r="J450" s="358"/>
      <c r="K450" s="162" t="s">
        <v>559</v>
      </c>
      <c r="L450" s="2213">
        <v>0</v>
      </c>
      <c r="M450" s="505" t="s">
        <v>1705</v>
      </c>
      <c r="N450" s="274">
        <v>0</v>
      </c>
      <c r="O450" s="505" t="s">
        <v>1705</v>
      </c>
      <c r="P450" s="2357"/>
      <c r="Q450" s="2213">
        <v>0</v>
      </c>
      <c r="R450" s="503" t="s">
        <v>2561</v>
      </c>
      <c r="S450" s="274">
        <v>0</v>
      </c>
      <c r="T450" s="503" t="s">
        <v>2561</v>
      </c>
      <c r="U450" s="2214"/>
      <c r="V450" s="2162" t="s">
        <v>2562</v>
      </c>
      <c r="W450" s="503" t="s">
        <v>2563</v>
      </c>
      <c r="X450" s="274" t="s">
        <v>2564</v>
      </c>
      <c r="Y450" s="503" t="s">
        <v>2565</v>
      </c>
      <c r="Z450" s="274"/>
      <c r="AA450" s="274"/>
      <c r="AB450" s="505"/>
      <c r="AC450" s="274"/>
      <c r="AD450" s="505"/>
      <c r="AE450" s="274"/>
      <c r="AF450" s="162"/>
      <c r="AG450" s="547"/>
      <c r="AH450" s="547"/>
      <c r="AI450" s="265" t="s">
        <v>1704</v>
      </c>
      <c r="AJ450" s="18"/>
    </row>
    <row r="451" spans="1:36" ht="20.100000000000001" hidden="1" customHeight="1">
      <c r="B451" s="4681"/>
      <c r="C451" s="4664"/>
      <c r="D451" s="936" t="s">
        <v>1706</v>
      </c>
      <c r="E451" s="924"/>
      <c r="F451" s="285" t="s">
        <v>1476</v>
      </c>
      <c r="G451" s="384"/>
      <c r="H451" s="385"/>
      <c r="I451" s="358" t="s">
        <v>1707</v>
      </c>
      <c r="J451" s="358"/>
      <c r="K451" s="162" t="s">
        <v>559</v>
      </c>
      <c r="L451" s="2213">
        <v>0</v>
      </c>
      <c r="M451" s="505">
        <v>0</v>
      </c>
      <c r="N451" s="274">
        <v>0</v>
      </c>
      <c r="O451" s="505">
        <v>0</v>
      </c>
      <c r="P451" s="2357"/>
      <c r="Q451" s="2213">
        <v>0</v>
      </c>
      <c r="R451" s="505">
        <v>0</v>
      </c>
      <c r="S451" s="274">
        <v>0</v>
      </c>
      <c r="T451" s="505">
        <v>0</v>
      </c>
      <c r="U451" s="2214"/>
      <c r="V451" s="2162">
        <v>0</v>
      </c>
      <c r="W451" s="505">
        <v>0</v>
      </c>
      <c r="X451" s="274">
        <v>0</v>
      </c>
      <c r="Y451" s="505">
        <v>0</v>
      </c>
      <c r="Z451" s="274"/>
      <c r="AA451" s="274"/>
      <c r="AB451" s="505"/>
      <c r="AC451" s="274"/>
      <c r="AD451" s="505"/>
      <c r="AE451" s="274"/>
      <c r="AF451" s="162"/>
      <c r="AG451" s="547"/>
      <c r="AH451" s="547"/>
      <c r="AI451" s="265" t="s">
        <v>1710</v>
      </c>
      <c r="AJ451" s="18"/>
    </row>
    <row r="452" spans="1:36" ht="20.100000000000001" hidden="1" customHeight="1">
      <c r="B452" s="1848"/>
      <c r="C452" s="4609" t="s">
        <v>1712</v>
      </c>
      <c r="D452" s="497"/>
      <c r="E452" s="360"/>
      <c r="F452" s="285" t="s">
        <v>557</v>
      </c>
      <c r="G452" s="358"/>
      <c r="H452" s="359" t="s">
        <v>1713</v>
      </c>
      <c r="I452" s="497"/>
      <c r="J452" s="360"/>
      <c r="K452" s="109" t="s">
        <v>559</v>
      </c>
      <c r="L452" s="2182"/>
      <c r="M452" s="93"/>
      <c r="N452" s="153"/>
      <c r="O452" s="93"/>
      <c r="P452" s="1241"/>
      <c r="Q452" s="2182"/>
      <c r="R452" s="93"/>
      <c r="S452" s="153"/>
      <c r="T452" s="93"/>
      <c r="U452" s="2183"/>
      <c r="V452" s="1238"/>
      <c r="W452" s="93"/>
      <c r="X452" s="153"/>
      <c r="Y452" s="93"/>
      <c r="Z452" s="153"/>
      <c r="AA452" s="153"/>
      <c r="AB452" s="93"/>
      <c r="AC452" s="153"/>
      <c r="AD452" s="93"/>
      <c r="AE452" s="153"/>
      <c r="AF452" s="162"/>
      <c r="AG452" s="547"/>
      <c r="AH452" s="547"/>
      <c r="AI452" s="265"/>
      <c r="AJ452" s="18"/>
    </row>
    <row r="453" spans="1:36" ht="20.100000000000001" hidden="1" customHeight="1">
      <c r="B453" s="1848"/>
      <c r="C453" s="4753" t="s">
        <v>1722</v>
      </c>
      <c r="D453" s="497"/>
      <c r="E453" s="360"/>
      <c r="F453" s="285" t="s">
        <v>557</v>
      </c>
      <c r="G453" s="358"/>
      <c r="H453" s="359" t="s">
        <v>1723</v>
      </c>
      <c r="I453" s="497"/>
      <c r="J453" s="360"/>
      <c r="K453" s="109" t="s">
        <v>559</v>
      </c>
      <c r="L453" s="2182"/>
      <c r="M453" s="93"/>
      <c r="N453" s="153"/>
      <c r="O453" s="93"/>
      <c r="P453" s="1241"/>
      <c r="Q453" s="2182"/>
      <c r="R453" s="93"/>
      <c r="S453" s="153"/>
      <c r="T453" s="93"/>
      <c r="U453" s="2183"/>
      <c r="V453" s="1238"/>
      <c r="W453" s="93"/>
      <c r="X453" s="153"/>
      <c r="Y453" s="93"/>
      <c r="Z453" s="153"/>
      <c r="AA453" s="153"/>
      <c r="AB453" s="93"/>
      <c r="AC453" s="153"/>
      <c r="AD453" s="93"/>
      <c r="AE453" s="153"/>
      <c r="AF453" s="162"/>
      <c r="AG453" s="547"/>
      <c r="AH453" s="547"/>
      <c r="AI453" s="265"/>
      <c r="AJ453" s="18"/>
    </row>
    <row r="454" spans="1:36" s="139" customFormat="1" ht="20.100000000000001" hidden="1" customHeight="1">
      <c r="B454" s="4754"/>
      <c r="C454" s="4669" t="s">
        <v>1727</v>
      </c>
      <c r="D454" s="1313"/>
      <c r="E454" s="1313"/>
      <c r="F454" s="285" t="s">
        <v>156</v>
      </c>
      <c r="G454" s="1223"/>
      <c r="H454" s="925" t="s">
        <v>1728</v>
      </c>
      <c r="I454" s="926"/>
      <c r="J454" s="927"/>
      <c r="K454" s="109" t="s">
        <v>156</v>
      </c>
      <c r="L454" s="2447" t="str">
        <f t="shared" ref="L454" si="30">IFERROR(L455/L456*100,"-")</f>
        <v>-</v>
      </c>
      <c r="M454" s="1198"/>
      <c r="N454" s="1314" t="str">
        <f>IFERROR(N455/N456*100,"-")</f>
        <v>-</v>
      </c>
      <c r="O454" s="1198"/>
      <c r="P454" s="4755" t="str">
        <f>IFERROR(P455/P456*100,"-")</f>
        <v>-</v>
      </c>
      <c r="Q454" s="2447">
        <f>IFERROR(Q455/Q456*100,"-")</f>
        <v>16.666666666666664</v>
      </c>
      <c r="R454" s="1198"/>
      <c r="S454" s="1314">
        <f>IFERROR(S455/S456*100,"-")</f>
        <v>23.743500866551127</v>
      </c>
      <c r="T454" s="1198"/>
      <c r="U454" s="2448" t="str">
        <f>IFERROR(U455/U456*100,"-")</f>
        <v>-</v>
      </c>
      <c r="V454" s="2164">
        <f>IFERROR(V455/V456*100,"-")</f>
        <v>0</v>
      </c>
      <c r="W454" s="1204"/>
      <c r="X454" s="1314">
        <f>IFERROR(X455/X456*100,"-")</f>
        <v>0</v>
      </c>
      <c r="Y454" s="1204"/>
      <c r="Z454" s="1314" t="str">
        <f>IFERROR(Z455/Z456*100,"-")</f>
        <v>-</v>
      </c>
      <c r="AA454" s="1314" t="str">
        <f>IFERROR(AA455/AA456*100,"-")</f>
        <v>-</v>
      </c>
      <c r="AB454" s="93"/>
      <c r="AC454" s="1314" t="str">
        <f>IFERROR(AC455/AC456*100,"-")</f>
        <v>-</v>
      </c>
      <c r="AD454" s="93"/>
      <c r="AE454" s="1314" t="str">
        <f>IFERROR(AE455/AE456*100,"-")</f>
        <v>-</v>
      </c>
      <c r="AF454" s="508"/>
      <c r="AG454" s="547"/>
      <c r="AH454" s="547"/>
      <c r="AI454" s="265" t="s">
        <v>1732</v>
      </c>
      <c r="AJ454" s="10"/>
    </row>
    <row r="455" spans="1:36" s="139" customFormat="1" ht="20.100000000000001" hidden="1" customHeight="1">
      <c r="B455" s="4756"/>
      <c r="C455" s="4757"/>
      <c r="D455" s="1317" t="s">
        <v>1733</v>
      </c>
      <c r="E455" s="1318"/>
      <c r="F455" s="285" t="s">
        <v>742</v>
      </c>
      <c r="G455" s="1319"/>
      <c r="H455" s="1320"/>
      <c r="I455" s="1321" t="s">
        <v>1734</v>
      </c>
      <c r="J455" s="1322"/>
      <c r="K455" s="109" t="s">
        <v>734</v>
      </c>
      <c r="L455" s="4758">
        <v>0</v>
      </c>
      <c r="M455" s="4759">
        <v>0</v>
      </c>
      <c r="N455" s="4760">
        <v>0</v>
      </c>
      <c r="O455" s="4759">
        <v>0</v>
      </c>
      <c r="P455" s="4761"/>
      <c r="Q455" s="2329">
        <v>94</v>
      </c>
      <c r="R455" s="1213" t="s">
        <v>2552</v>
      </c>
      <c r="S455" s="1215">
        <v>137</v>
      </c>
      <c r="T455" s="1213" t="s">
        <v>2567</v>
      </c>
      <c r="U455" s="2330"/>
      <c r="V455" s="2154">
        <v>0</v>
      </c>
      <c r="W455" s="1204" t="s">
        <v>2353</v>
      </c>
      <c r="X455" s="1215">
        <v>0</v>
      </c>
      <c r="Y455" s="1204" t="s">
        <v>2353</v>
      </c>
      <c r="Z455" s="1215"/>
      <c r="AA455" s="1215"/>
      <c r="AB455" s="93"/>
      <c r="AC455" s="1215"/>
      <c r="AD455" s="93"/>
      <c r="AE455" s="153"/>
      <c r="AF455" s="508"/>
      <c r="AG455" s="547"/>
      <c r="AH455" s="547"/>
      <c r="AI455" s="265" t="s">
        <v>1732</v>
      </c>
      <c r="AJ455" s="10"/>
    </row>
    <row r="456" spans="1:36" s="139" customFormat="1" ht="22.9" hidden="1" customHeight="1">
      <c r="B456" s="4762"/>
      <c r="C456" s="1326"/>
      <c r="D456" s="1327" t="s">
        <v>1737</v>
      </c>
      <c r="E456" s="1328"/>
      <c r="F456" s="706" t="s">
        <v>742</v>
      </c>
      <c r="G456" s="1329"/>
      <c r="H456" s="1330"/>
      <c r="I456" s="1327" t="s">
        <v>1738</v>
      </c>
      <c r="J456" s="1331"/>
      <c r="K456" s="711" t="s">
        <v>734</v>
      </c>
      <c r="L456" s="4763">
        <v>0</v>
      </c>
      <c r="M456" s="4764">
        <v>0</v>
      </c>
      <c r="N456" s="4763">
        <v>0</v>
      </c>
      <c r="O456" s="4764">
        <v>0</v>
      </c>
      <c r="P456" s="4765"/>
      <c r="Q456" s="2190">
        <v>564</v>
      </c>
      <c r="R456" s="239">
        <v>0</v>
      </c>
      <c r="S456" s="240">
        <v>577</v>
      </c>
      <c r="T456" s="239">
        <v>0</v>
      </c>
      <c r="U456" s="2381"/>
      <c r="V456" s="2156">
        <v>379</v>
      </c>
      <c r="W456" s="1269">
        <v>0</v>
      </c>
      <c r="X456" s="1268">
        <v>391</v>
      </c>
      <c r="Y456" s="1270">
        <v>0</v>
      </c>
      <c r="Z456" s="1268"/>
      <c r="AA456" s="1268"/>
      <c r="AB456" s="1266"/>
      <c r="AC456" s="1268"/>
      <c r="AD456" s="1266"/>
      <c r="AE456" s="1268"/>
      <c r="AF456" s="1337"/>
      <c r="AG456" s="597"/>
      <c r="AH456" s="1129"/>
      <c r="AI456" s="1339" t="s">
        <v>1732</v>
      </c>
      <c r="AJ456" s="10"/>
    </row>
    <row r="457" spans="1:36">
      <c r="C457" s="481"/>
      <c r="D457" s="481"/>
      <c r="E457" s="481"/>
      <c r="G457" s="1342"/>
      <c r="H457" s="1342"/>
      <c r="I457" s="1342"/>
      <c r="J457" s="1342"/>
      <c r="L457" s="1344"/>
      <c r="M457" s="1344"/>
      <c r="N457" s="1344"/>
      <c r="O457" s="1344"/>
      <c r="P457" s="1344"/>
      <c r="Q457" s="1344"/>
      <c r="R457" s="1344"/>
      <c r="S457" s="1344"/>
      <c r="T457" s="1344"/>
      <c r="U457" s="1344"/>
      <c r="V457" s="1344"/>
      <c r="W457" s="1344"/>
      <c r="X457" s="1344"/>
      <c r="Y457" s="1344"/>
      <c r="Z457" s="1344"/>
      <c r="AA457" s="1344"/>
      <c r="AB457" s="1344"/>
      <c r="AC457" s="1344"/>
      <c r="AD457" s="1344"/>
      <c r="AE457" s="1344"/>
    </row>
    <row r="458" spans="1:36">
      <c r="L458" s="1344"/>
      <c r="M458" s="1344"/>
      <c r="N458" s="1344"/>
      <c r="O458" s="1344"/>
      <c r="P458" s="1344"/>
      <c r="Q458" s="1344"/>
      <c r="R458" s="1344"/>
      <c r="S458" s="1344"/>
      <c r="T458" s="1344"/>
      <c r="U458" s="1344"/>
      <c r="V458" s="1344"/>
      <c r="W458" s="1344"/>
      <c r="X458" s="1344"/>
      <c r="Y458" s="1344"/>
      <c r="Z458" s="1344"/>
      <c r="AA458" s="1344"/>
      <c r="AB458" s="1344"/>
      <c r="AC458" s="1344"/>
      <c r="AD458" s="1344"/>
      <c r="AE458" s="1344"/>
    </row>
    <row r="459" spans="1:36">
      <c r="L459" s="1344"/>
      <c r="M459" s="1344"/>
      <c r="N459" s="1344"/>
      <c r="O459" s="1344"/>
      <c r="P459" s="1344"/>
      <c r="Q459" s="1344"/>
      <c r="R459" s="1344"/>
      <c r="S459" s="1344"/>
      <c r="T459" s="1344"/>
      <c r="U459" s="1344"/>
      <c r="V459" s="1344"/>
      <c r="W459" s="1344"/>
      <c r="X459" s="1344"/>
      <c r="Y459" s="1344"/>
      <c r="Z459" s="1344"/>
      <c r="AA459" s="1344"/>
      <c r="AB459" s="1344"/>
      <c r="AC459" s="1344"/>
      <c r="AD459" s="1344"/>
      <c r="AE459" s="1344"/>
    </row>
    <row r="460" spans="1:36">
      <c r="L460" s="1344"/>
      <c r="M460" s="1344"/>
      <c r="N460" s="1344"/>
      <c r="O460" s="1344"/>
      <c r="P460" s="1344"/>
      <c r="Q460" s="1344"/>
      <c r="R460" s="1344"/>
      <c r="S460" s="1344"/>
      <c r="T460" s="1344"/>
      <c r="U460" s="1344"/>
      <c r="V460" s="1344"/>
      <c r="W460" s="1344"/>
      <c r="X460" s="1344"/>
      <c r="Y460" s="1344"/>
      <c r="Z460" s="1344"/>
      <c r="AA460" s="1344"/>
      <c r="AB460" s="1344"/>
      <c r="AC460" s="1344"/>
      <c r="AD460" s="1344"/>
      <c r="AE460" s="1344"/>
    </row>
    <row r="461" spans="1:36">
      <c r="L461" s="1344"/>
      <c r="M461" s="1344"/>
      <c r="N461" s="1344"/>
      <c r="O461" s="1344"/>
      <c r="P461" s="1344"/>
      <c r="Q461" s="1344"/>
      <c r="R461" s="1344"/>
      <c r="S461" s="1344"/>
      <c r="T461" s="1344"/>
      <c r="U461" s="1344"/>
      <c r="V461" s="1344"/>
      <c r="W461" s="1344"/>
      <c r="X461" s="1344"/>
      <c r="Y461" s="1344"/>
      <c r="Z461" s="1344"/>
      <c r="AA461" s="1344"/>
      <c r="AB461" s="1344"/>
      <c r="AC461" s="1344"/>
      <c r="AD461" s="1344"/>
      <c r="AE461" s="1344"/>
    </row>
  </sheetData>
  <autoFilter ref="B12:AI456" xr:uid="{00000000-0009-0000-0000-00000E000000}"/>
  <mergeCells count="64">
    <mergeCell ref="D63:E63"/>
    <mergeCell ref="D64:E64"/>
    <mergeCell ref="B11:F11"/>
    <mergeCell ref="G11:J11"/>
    <mergeCell ref="L11:P11"/>
    <mergeCell ref="H95:J95"/>
    <mergeCell ref="AF11:AF12"/>
    <mergeCell ref="AG11:AG12"/>
    <mergeCell ref="AH11:AH12"/>
    <mergeCell ref="AI11:AI12"/>
    <mergeCell ref="Q11:U11"/>
    <mergeCell ref="V11:Z11"/>
    <mergeCell ref="AA11:AE11"/>
    <mergeCell ref="D102:E102"/>
    <mergeCell ref="D65:E65"/>
    <mergeCell ref="C80:E80"/>
    <mergeCell ref="C81:C82"/>
    <mergeCell ref="C84:C85"/>
    <mergeCell ref="C95:E95"/>
    <mergeCell ref="D96:E96"/>
    <mergeCell ref="D97:E97"/>
    <mergeCell ref="C98:E98"/>
    <mergeCell ref="D99:E99"/>
    <mergeCell ref="D100:E100"/>
    <mergeCell ref="C116:E116"/>
    <mergeCell ref="D103:E103"/>
    <mergeCell ref="D106:E106"/>
    <mergeCell ref="D107:E107"/>
    <mergeCell ref="C108:E108"/>
    <mergeCell ref="D109:E109"/>
    <mergeCell ref="D110:E110"/>
    <mergeCell ref="C111:E111"/>
    <mergeCell ref="C112:E112"/>
    <mergeCell ref="C113:E113"/>
    <mergeCell ref="D114:E114"/>
    <mergeCell ref="D115:E115"/>
    <mergeCell ref="C141:C146"/>
    <mergeCell ref="D144:E144"/>
    <mergeCell ref="D145:E145"/>
    <mergeCell ref="D146:E146"/>
    <mergeCell ref="C124:E124"/>
    <mergeCell ref="C129:E129"/>
    <mergeCell ref="C130:C131"/>
    <mergeCell ref="D130:E130"/>
    <mergeCell ref="D131:E131"/>
    <mergeCell ref="C132:E132"/>
    <mergeCell ref="C133:E133"/>
    <mergeCell ref="C134:E134"/>
    <mergeCell ref="C135:C136"/>
    <mergeCell ref="C137:E137"/>
    <mergeCell ref="C140:E140"/>
    <mergeCell ref="G284:G286"/>
    <mergeCell ref="D285:E285"/>
    <mergeCell ref="C148:E148"/>
    <mergeCell ref="D202:E202"/>
    <mergeCell ref="C205:E205"/>
    <mergeCell ref="G205:G237"/>
    <mergeCell ref="D207:E207"/>
    <mergeCell ref="D209:E209"/>
    <mergeCell ref="G239:G264"/>
    <mergeCell ref="G275:G276"/>
    <mergeCell ref="D280:E280"/>
    <mergeCell ref="D281:E281"/>
    <mergeCell ref="D283:E283"/>
  </mergeCells>
  <phoneticPr fontId="3" type="noConversion"/>
  <pageMargins left="0.25" right="0.25" top="0.75" bottom="0.75" header="0" footer="0"/>
  <pageSetup paperSize="8" scale="33" fitToHeight="0"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F3D2C-08FD-48D3-985B-48F0BA3F0CC5}">
  <sheetPr>
    <tabColor theme="2" tint="-0.249977111117893"/>
    <pageSetUpPr fitToPage="1"/>
  </sheetPr>
  <dimension ref="A1:AW59"/>
  <sheetViews>
    <sheetView zoomScale="85" zoomScaleNormal="85" zoomScaleSheetLayoutView="100" workbookViewId="0">
      <pane xSplit="11" ySplit="14" topLeftCell="L15" activePane="bottomRight" state="frozen"/>
      <selection pane="topRight" activeCell="L1" sqref="L1"/>
      <selection pane="bottomLeft" activeCell="A15" sqref="A15"/>
      <selection pane="bottomRight" activeCell="E2" sqref="E2"/>
    </sheetView>
  </sheetViews>
  <sheetFormatPr defaultColWidth="13" defaultRowHeight="15"/>
  <cols>
    <col min="1" max="1" width="1.125" style="7887" customWidth="1"/>
    <col min="2" max="2" width="4.375" style="7887" customWidth="1"/>
    <col min="3" max="3" width="11.75" style="7887" customWidth="1"/>
    <col min="4" max="4" width="13.125" style="7887" customWidth="1"/>
    <col min="5" max="5" width="39.625" style="7887" customWidth="1"/>
    <col min="6" max="6" width="16.5" style="7887" customWidth="1"/>
    <col min="7" max="7" width="6.125" style="8056" hidden="1" customWidth="1"/>
    <col min="8" max="8" width="9.75" style="8056" hidden="1" customWidth="1"/>
    <col min="9" max="9" width="25.5" style="8056" hidden="1" customWidth="1"/>
    <col min="10" max="10" width="20.875" style="8056" hidden="1" customWidth="1"/>
    <col min="11" max="11" width="16.5" style="7887" hidden="1" customWidth="1"/>
    <col min="12" max="14" width="15.625" style="8054" customWidth="1"/>
    <col min="15" max="15" width="46.125" style="8054" customWidth="1"/>
    <col min="16" max="16" width="12.25" style="8055" hidden="1" customWidth="1"/>
    <col min="17" max="17" width="11.75" style="8055" hidden="1" customWidth="1"/>
    <col min="18" max="18" width="13.875" style="8055" hidden="1" customWidth="1"/>
    <col min="19" max="49" width="13" style="7887" customWidth="1"/>
    <col min="50" max="52" width="13" style="7872" customWidth="1"/>
    <col min="53" max="16384" width="13" style="7872"/>
  </cols>
  <sheetData>
    <row r="1" spans="1:49" ht="10.9" customHeight="1">
      <c r="A1" s="8353"/>
      <c r="B1" s="8302"/>
      <c r="C1" s="8302"/>
      <c r="D1" s="8302"/>
      <c r="E1" s="8302"/>
      <c r="F1" s="8303"/>
      <c r="G1" s="8304"/>
      <c r="H1" s="8305"/>
      <c r="I1" s="8305"/>
      <c r="J1" s="8305"/>
      <c r="K1" s="8303"/>
      <c r="L1" s="8354"/>
      <c r="M1" s="8354"/>
      <c r="N1" s="8354"/>
      <c r="O1" s="8307"/>
      <c r="P1" s="8308"/>
      <c r="Q1" s="8308"/>
      <c r="R1" s="8308"/>
    </row>
    <row r="2" spans="1:49" s="7894" customFormat="1" ht="33" customHeight="1">
      <c r="A2" s="8355"/>
      <c r="B2" s="8309" t="s">
        <v>3639</v>
      </c>
      <c r="C2" s="8310"/>
      <c r="D2" s="8302"/>
      <c r="E2" s="8302"/>
      <c r="F2" s="8303"/>
      <c r="G2" s="8304"/>
      <c r="H2" s="8311"/>
      <c r="I2" s="8305"/>
      <c r="J2" s="8303"/>
      <c r="K2" s="8303"/>
      <c r="L2" s="8354"/>
      <c r="M2" s="8356"/>
      <c r="N2" s="8354"/>
      <c r="O2" s="8307"/>
      <c r="P2" s="8312"/>
      <c r="Q2" s="8312"/>
      <c r="R2" s="8312"/>
      <c r="S2" s="7893"/>
      <c r="T2" s="7893"/>
      <c r="U2" s="7893"/>
      <c r="V2" s="7893"/>
      <c r="W2" s="7893"/>
      <c r="X2" s="7893"/>
      <c r="Y2" s="7893"/>
      <c r="Z2" s="7893"/>
      <c r="AA2" s="7893"/>
      <c r="AB2" s="7893"/>
      <c r="AC2" s="7893"/>
      <c r="AD2" s="7893"/>
      <c r="AE2" s="7893"/>
      <c r="AF2" s="7893"/>
      <c r="AG2" s="7893"/>
      <c r="AH2" s="7893"/>
      <c r="AI2" s="7893"/>
      <c r="AJ2" s="7893"/>
      <c r="AK2" s="7893"/>
      <c r="AL2" s="7893"/>
      <c r="AM2" s="7893"/>
      <c r="AN2" s="7893"/>
      <c r="AO2" s="7893"/>
      <c r="AP2" s="7893"/>
      <c r="AQ2" s="7893"/>
      <c r="AR2" s="7893"/>
      <c r="AS2" s="7893"/>
      <c r="AT2" s="7893"/>
      <c r="AU2" s="7893"/>
      <c r="AV2" s="7893"/>
      <c r="AW2" s="7893"/>
    </row>
    <row r="3" spans="1:49" ht="11.45" customHeight="1">
      <c r="B3" s="8313"/>
      <c r="C3" s="8313"/>
      <c r="D3" s="8313"/>
      <c r="E3" s="8313"/>
      <c r="F3" s="8303"/>
      <c r="G3" s="8304"/>
      <c r="H3" s="8305"/>
      <c r="I3" s="8305"/>
      <c r="J3" s="8305"/>
      <c r="K3" s="8303"/>
      <c r="L3" s="8354"/>
      <c r="M3" s="8354"/>
      <c r="N3" s="8354"/>
      <c r="O3" s="8307"/>
      <c r="P3" s="8314"/>
      <c r="Q3" s="8314"/>
      <c r="R3" s="8314"/>
    </row>
    <row r="4" spans="1:49" s="7887" customFormat="1" ht="10.15" customHeight="1">
      <c r="F4" s="8055"/>
      <c r="G4" s="8056"/>
      <c r="H4" s="8056"/>
      <c r="I4" s="8056"/>
      <c r="J4" s="8056"/>
      <c r="K4" s="8055"/>
      <c r="L4" s="7902"/>
      <c r="M4" s="7902"/>
      <c r="N4" s="7902"/>
      <c r="O4" s="8054"/>
      <c r="P4" s="8055"/>
      <c r="Q4" s="8055"/>
      <c r="R4" s="8055"/>
    </row>
    <row r="5" spans="1:49" s="7887" customFormat="1" ht="20.65" hidden="1" customHeight="1">
      <c r="B5" s="8357"/>
      <c r="C5" s="8358"/>
      <c r="D5" s="8358"/>
      <c r="E5" s="8358"/>
      <c r="F5" s="8359"/>
      <c r="G5" s="8359"/>
      <c r="H5" s="8056"/>
      <c r="I5" s="8360"/>
      <c r="J5" s="8360"/>
      <c r="K5" s="8361"/>
      <c r="L5" s="7901"/>
      <c r="M5" s="7901"/>
      <c r="N5" s="7901"/>
      <c r="O5" s="7898"/>
      <c r="P5" s="7899"/>
      <c r="Q5" s="7899"/>
      <c r="R5" s="7899"/>
    </row>
    <row r="6" spans="1:49" s="7887" customFormat="1" ht="20.65" hidden="1" customHeight="1" thickBot="1">
      <c r="B6" s="8362"/>
      <c r="E6" s="8360"/>
      <c r="F6" s="8363"/>
      <c r="G6" s="8363"/>
      <c r="H6" s="8360"/>
      <c r="I6" s="8360"/>
      <c r="J6" s="8360"/>
      <c r="K6" s="8361"/>
      <c r="L6" s="7901"/>
      <c r="M6" s="7902"/>
      <c r="N6" s="7901"/>
      <c r="O6" s="7898"/>
      <c r="P6" s="7899"/>
      <c r="Q6" s="7899"/>
      <c r="R6" s="7899"/>
    </row>
    <row r="7" spans="1:49" s="7887" customFormat="1" ht="20.65" hidden="1" customHeight="1" thickBot="1">
      <c r="B7" s="8362"/>
      <c r="E7" s="8360"/>
      <c r="F7" s="8363"/>
      <c r="G7" s="8363"/>
      <c r="H7" s="8360"/>
      <c r="I7" s="8360"/>
      <c r="J7" s="8360"/>
      <c r="K7" s="7900"/>
      <c r="L7" s="7901"/>
      <c r="M7" s="7903"/>
      <c r="N7" s="7901"/>
      <c r="O7" s="7898"/>
      <c r="P7" s="7899"/>
      <c r="Q7" s="7899"/>
      <c r="R7" s="7899"/>
    </row>
    <row r="8" spans="1:49" s="7887" customFormat="1" ht="20.65" hidden="1" customHeight="1" thickBot="1">
      <c r="B8" s="8362"/>
      <c r="E8" s="8360"/>
      <c r="F8" s="8363"/>
      <c r="G8" s="8363"/>
      <c r="H8" s="7901"/>
      <c r="I8" s="7902"/>
      <c r="J8" s="7903"/>
      <c r="K8" s="7904"/>
      <c r="L8" s="8054"/>
      <c r="M8" s="8054"/>
      <c r="N8" s="7901"/>
      <c r="O8" s="7898"/>
      <c r="P8" s="7899"/>
      <c r="Q8" s="7899"/>
      <c r="R8" s="7899"/>
    </row>
    <row r="9" spans="1:49" s="7887" customFormat="1" ht="20.65" hidden="1" customHeight="1" thickBot="1">
      <c r="B9" s="8362"/>
      <c r="E9" s="8360"/>
      <c r="F9" s="8363"/>
      <c r="G9" s="8363"/>
      <c r="H9" s="7901"/>
      <c r="I9" s="7902"/>
      <c r="J9" s="7903"/>
      <c r="K9" s="7904"/>
      <c r="L9" s="8054"/>
      <c r="M9" s="8054"/>
      <c r="N9" s="7901"/>
      <c r="O9" s="7898"/>
      <c r="P9" s="7899"/>
      <c r="Q9" s="7899"/>
      <c r="R9" s="7899"/>
    </row>
    <row r="10" spans="1:49" s="7887" customFormat="1" ht="20.65" hidden="1" customHeight="1" thickBot="1">
      <c r="B10" s="8364"/>
      <c r="C10" s="8365"/>
      <c r="D10" s="8365"/>
      <c r="E10" s="8366"/>
      <c r="F10" s="8367"/>
      <c r="G10" s="8367"/>
      <c r="H10" s="7901"/>
      <c r="I10" s="7902"/>
      <c r="J10" s="7903"/>
      <c r="K10" s="7904"/>
      <c r="L10" s="8054"/>
      <c r="M10" s="8054"/>
      <c r="N10" s="7901"/>
      <c r="O10" s="7898"/>
      <c r="P10" s="7899"/>
      <c r="Q10" s="7899"/>
      <c r="R10" s="7899"/>
    </row>
    <row r="11" spans="1:49" s="7887" customFormat="1" ht="17.25" customHeight="1" thickBot="1">
      <c r="B11" s="8747" t="s">
        <v>0</v>
      </c>
      <c r="C11" s="8057"/>
      <c r="D11" s="8368"/>
      <c r="E11" s="8368"/>
      <c r="F11" s="8369"/>
      <c r="G11" s="8370"/>
      <c r="H11" s="8371"/>
      <c r="I11" s="8371"/>
      <c r="J11" s="8371"/>
      <c r="K11" s="8369"/>
      <c r="L11" s="8372"/>
      <c r="M11" s="7902"/>
      <c r="N11" s="8373"/>
      <c r="O11" s="7909"/>
      <c r="P11" s="8369"/>
      <c r="Q11" s="8369"/>
      <c r="R11" s="8369"/>
    </row>
    <row r="12" spans="1:49" ht="26.65" customHeight="1" thickTop="1">
      <c r="A12" s="8374"/>
      <c r="B12" s="9464" t="s">
        <v>1</v>
      </c>
      <c r="C12" s="9464"/>
      <c r="D12" s="9464"/>
      <c r="E12" s="9464"/>
      <c r="F12" s="9464"/>
      <c r="G12" s="9465" t="s">
        <v>2</v>
      </c>
      <c r="H12" s="9465"/>
      <c r="I12" s="9465"/>
      <c r="J12" s="9465"/>
      <c r="K12" s="8375"/>
      <c r="L12" s="9464" t="s">
        <v>3</v>
      </c>
      <c r="M12" s="9464"/>
      <c r="N12" s="9464"/>
      <c r="O12" s="9472" t="s">
        <v>3588</v>
      </c>
      <c r="P12" s="9466" t="s">
        <v>11</v>
      </c>
      <c r="Q12" s="9467"/>
      <c r="R12" s="9468"/>
    </row>
    <row r="13" spans="1:49" ht="21.6" customHeight="1" thickBot="1">
      <c r="A13" s="8374"/>
      <c r="B13" s="8376"/>
      <c r="C13" s="8377" t="s">
        <v>12</v>
      </c>
      <c r="D13" s="8377" t="s">
        <v>13</v>
      </c>
      <c r="E13" s="8377" t="s">
        <v>14</v>
      </c>
      <c r="F13" s="8377" t="s">
        <v>15</v>
      </c>
      <c r="G13" s="8377" t="s">
        <v>16</v>
      </c>
      <c r="H13" s="8377" t="s">
        <v>12</v>
      </c>
      <c r="I13" s="8377" t="s">
        <v>13</v>
      </c>
      <c r="J13" s="8377" t="s">
        <v>14</v>
      </c>
      <c r="K13" s="8378" t="s">
        <v>17</v>
      </c>
      <c r="L13" s="8379" t="s">
        <v>18</v>
      </c>
      <c r="M13" s="8380" t="s">
        <v>20</v>
      </c>
      <c r="N13" s="8381" t="s">
        <v>21</v>
      </c>
      <c r="O13" s="9473"/>
      <c r="P13" s="8929" t="s">
        <v>23</v>
      </c>
      <c r="Q13" s="8068" t="s">
        <v>24</v>
      </c>
      <c r="R13" s="8069" t="s">
        <v>25</v>
      </c>
    </row>
    <row r="14" spans="1:49" ht="21.75" thickBot="1">
      <c r="A14" s="8374"/>
      <c r="B14" s="8070" t="s">
        <v>26</v>
      </c>
      <c r="C14" s="8382"/>
      <c r="D14" s="8382"/>
      <c r="E14" s="8382"/>
      <c r="F14" s="8383"/>
      <c r="G14" s="8384" t="s">
        <v>27</v>
      </c>
      <c r="H14" s="8385"/>
      <c r="I14" s="8385"/>
      <c r="J14" s="8385"/>
      <c r="K14" s="8383"/>
      <c r="L14" s="8386"/>
      <c r="M14" s="8387"/>
      <c r="N14" s="8387"/>
      <c r="O14" s="8933"/>
      <c r="P14" s="8388"/>
      <c r="Q14" s="8388"/>
      <c r="R14" s="8389"/>
    </row>
    <row r="15" spans="1:49" ht="21.75" thickBot="1">
      <c r="B15" s="8390" t="s">
        <v>29</v>
      </c>
      <c r="C15" s="8391"/>
      <c r="D15" s="8391"/>
      <c r="E15" s="8391"/>
      <c r="F15" s="8075"/>
      <c r="G15" s="8392" t="s">
        <v>30</v>
      </c>
      <c r="H15" s="8141"/>
      <c r="I15" s="8141"/>
      <c r="J15" s="8141"/>
      <c r="K15" s="8075"/>
      <c r="L15" s="8393"/>
      <c r="M15" s="8394"/>
      <c r="N15" s="8394"/>
      <c r="O15" s="8934"/>
      <c r="P15" s="8395"/>
      <c r="Q15" s="8395"/>
      <c r="R15" s="8396"/>
    </row>
    <row r="16" spans="1:49" ht="20.100000000000001" customHeight="1">
      <c r="A16" s="8374"/>
      <c r="B16" s="8397"/>
      <c r="C16" s="8398" t="s">
        <v>32</v>
      </c>
      <c r="D16" s="8399"/>
      <c r="E16" s="8399"/>
      <c r="F16" s="8185" t="s">
        <v>33</v>
      </c>
      <c r="G16" s="8400"/>
      <c r="H16" s="9469" t="s">
        <v>34</v>
      </c>
      <c r="I16" s="9470"/>
      <c r="J16" s="9471"/>
      <c r="K16" s="8185" t="s">
        <v>35</v>
      </c>
      <c r="L16" s="8401">
        <v>620645.63070700003</v>
      </c>
      <c r="M16" s="8402">
        <v>682681.904094</v>
      </c>
      <c r="N16" s="8403">
        <v>474595</v>
      </c>
      <c r="O16" s="8935"/>
      <c r="P16" s="8930"/>
      <c r="Q16" s="8404"/>
      <c r="R16" s="8405"/>
    </row>
    <row r="17" spans="2:18" ht="20.100000000000001" customHeight="1">
      <c r="B17" s="8397"/>
      <c r="C17" s="8406" t="s">
        <v>38</v>
      </c>
      <c r="D17" s="8254"/>
      <c r="E17" s="8254"/>
      <c r="F17" s="7941" t="s">
        <v>33</v>
      </c>
      <c r="G17" s="7951"/>
      <c r="H17" s="9454" t="s">
        <v>39</v>
      </c>
      <c r="I17" s="9455"/>
      <c r="J17" s="9456"/>
      <c r="K17" s="7941" t="s">
        <v>35</v>
      </c>
      <c r="L17" s="8401">
        <v>3164846</v>
      </c>
      <c r="M17" s="8402">
        <v>2918786.482394</v>
      </c>
      <c r="N17" s="8403">
        <v>2719620</v>
      </c>
      <c r="O17" s="8936"/>
      <c r="P17" s="8931"/>
      <c r="Q17" s="8325"/>
      <c r="R17" s="8083"/>
    </row>
    <row r="18" spans="2:18" ht="20.100000000000001" customHeight="1">
      <c r="B18" s="8407"/>
      <c r="C18" s="8408" t="s">
        <v>40</v>
      </c>
      <c r="D18" s="7931"/>
      <c r="E18" s="7931"/>
      <c r="F18" s="8409" t="s">
        <v>33</v>
      </c>
      <c r="G18" s="8410"/>
      <c r="H18" s="9457" t="s">
        <v>41</v>
      </c>
      <c r="I18" s="9458"/>
      <c r="J18" s="9459"/>
      <c r="K18" s="8409" t="s">
        <v>35</v>
      </c>
      <c r="L18" s="8411">
        <v>3785492.3756090002</v>
      </c>
      <c r="M18" s="8412">
        <v>3601468.3864879999</v>
      </c>
      <c r="N18" s="8413">
        <v>3194215</v>
      </c>
      <c r="O18" s="8936"/>
      <c r="P18" s="8931"/>
      <c r="Q18" s="8414" t="s">
        <v>42</v>
      </c>
      <c r="R18" s="8083"/>
    </row>
    <row r="19" spans="2:18" ht="20.100000000000001" customHeight="1">
      <c r="B19" s="8397"/>
      <c r="C19" s="8406" t="s">
        <v>43</v>
      </c>
      <c r="D19" s="8254"/>
      <c r="E19" s="8254"/>
      <c r="F19" s="7941" t="s">
        <v>33</v>
      </c>
      <c r="G19" s="7951"/>
      <c r="H19" s="9454" t="s">
        <v>44</v>
      </c>
      <c r="I19" s="9455"/>
      <c r="J19" s="9456"/>
      <c r="K19" s="7941" t="s">
        <v>35</v>
      </c>
      <c r="L19" s="8401">
        <v>975423.22236100002</v>
      </c>
      <c r="M19" s="8402">
        <v>1238638.1151690001</v>
      </c>
      <c r="N19" s="8403">
        <v>1032489</v>
      </c>
      <c r="O19" s="8936"/>
      <c r="P19" s="8931"/>
      <c r="Q19" s="8325"/>
      <c r="R19" s="8083"/>
    </row>
    <row r="20" spans="2:18" ht="20.100000000000001" customHeight="1">
      <c r="B20" s="8397"/>
      <c r="C20" s="8406" t="s">
        <v>45</v>
      </c>
      <c r="D20" s="8254"/>
      <c r="E20" s="8254"/>
      <c r="F20" s="7941" t="s">
        <v>33</v>
      </c>
      <c r="G20" s="7951"/>
      <c r="H20" s="9454" t="s">
        <v>46</v>
      </c>
      <c r="I20" s="9455"/>
      <c r="J20" s="9456"/>
      <c r="K20" s="7941" t="s">
        <v>35</v>
      </c>
      <c r="L20" s="8401">
        <v>2508783.7857059999</v>
      </c>
      <c r="M20" s="8402">
        <v>1969740.930624</v>
      </c>
      <c r="N20" s="8403">
        <v>1900485</v>
      </c>
      <c r="O20" s="8936"/>
      <c r="P20" s="8931"/>
      <c r="Q20" s="8325"/>
      <c r="R20" s="8083"/>
    </row>
    <row r="21" spans="2:18" ht="20.100000000000001" customHeight="1">
      <c r="B21" s="8407"/>
      <c r="C21" s="8408" t="s">
        <v>47</v>
      </c>
      <c r="D21" s="7931"/>
      <c r="E21" s="7931"/>
      <c r="F21" s="8409" t="s">
        <v>33</v>
      </c>
      <c r="G21" s="8410"/>
      <c r="H21" s="9457" t="s">
        <v>48</v>
      </c>
      <c r="I21" s="9458"/>
      <c r="J21" s="9459"/>
      <c r="K21" s="8409" t="s">
        <v>35</v>
      </c>
      <c r="L21" s="8411">
        <v>3484207.0080670002</v>
      </c>
      <c r="M21" s="8412">
        <v>3208379.0457930001</v>
      </c>
      <c r="N21" s="8413">
        <v>2932974</v>
      </c>
      <c r="O21" s="8936"/>
      <c r="P21" s="8931"/>
      <c r="Q21" s="8414" t="s">
        <v>42</v>
      </c>
      <c r="R21" s="8083"/>
    </row>
    <row r="22" spans="2:18" ht="20.100000000000001" customHeight="1">
      <c r="B22" s="8397"/>
      <c r="C22" s="8406" t="s">
        <v>49</v>
      </c>
      <c r="D22" s="8254"/>
      <c r="E22" s="8254"/>
      <c r="F22" s="7941" t="s">
        <v>33</v>
      </c>
      <c r="G22" s="7951"/>
      <c r="H22" s="9454" t="s">
        <v>50</v>
      </c>
      <c r="I22" s="9455"/>
      <c r="J22" s="9456"/>
      <c r="K22" s="7941" t="s">
        <v>35</v>
      </c>
      <c r="L22" s="8401">
        <v>225247.92629500001</v>
      </c>
      <c r="M22" s="8402">
        <v>376320.42445200001</v>
      </c>
      <c r="N22" s="8403">
        <v>421276</v>
      </c>
      <c r="O22" s="8936"/>
      <c r="P22" s="8931"/>
      <c r="Q22" s="8325"/>
      <c r="R22" s="8083"/>
    </row>
    <row r="23" spans="2:18" ht="20.100000000000001" customHeight="1">
      <c r="B23" s="8407"/>
      <c r="C23" s="8408" t="s">
        <v>51</v>
      </c>
      <c r="D23" s="7931"/>
      <c r="E23" s="7931"/>
      <c r="F23" s="8409" t="s">
        <v>33</v>
      </c>
      <c r="G23" s="8410"/>
      <c r="H23" s="9457" t="s">
        <v>52</v>
      </c>
      <c r="I23" s="9458"/>
      <c r="J23" s="9459"/>
      <c r="K23" s="8409" t="s">
        <v>35</v>
      </c>
      <c r="L23" s="8411">
        <v>301285.36754200002</v>
      </c>
      <c r="M23" s="8412">
        <v>393089.34069500002</v>
      </c>
      <c r="N23" s="8413">
        <v>261241</v>
      </c>
      <c r="O23" s="8936"/>
      <c r="P23" s="8931"/>
      <c r="Q23" s="8414" t="s">
        <v>42</v>
      </c>
      <c r="R23" s="8083"/>
    </row>
    <row r="24" spans="2:18" ht="20.100000000000001" customHeight="1" thickBot="1">
      <c r="B24" s="8397"/>
      <c r="C24" s="8415" t="s">
        <v>53</v>
      </c>
      <c r="D24" s="8416"/>
      <c r="E24" s="8416"/>
      <c r="F24" s="8417" t="s">
        <v>33</v>
      </c>
      <c r="G24" s="8103"/>
      <c r="H24" s="9457" t="s">
        <v>54</v>
      </c>
      <c r="I24" s="9458"/>
      <c r="J24" s="9459"/>
      <c r="K24" s="8417" t="s">
        <v>35</v>
      </c>
      <c r="L24" s="8411">
        <v>3785492.3756090002</v>
      </c>
      <c r="M24" s="8412">
        <v>3601468.3864879999</v>
      </c>
      <c r="N24" s="8413">
        <v>3194215</v>
      </c>
      <c r="O24" s="8937"/>
      <c r="P24" s="8931"/>
      <c r="Q24" s="8325"/>
      <c r="R24" s="8083"/>
    </row>
    <row r="25" spans="2:18" ht="21.75" thickBot="1">
      <c r="B25" s="8073" t="s">
        <v>55</v>
      </c>
      <c r="C25" s="8074"/>
      <c r="D25" s="8074"/>
      <c r="E25" s="8074"/>
      <c r="F25" s="8075"/>
      <c r="G25" s="8076" t="s">
        <v>56</v>
      </c>
      <c r="H25" s="8077"/>
      <c r="I25" s="8077"/>
      <c r="J25" s="8077"/>
      <c r="K25" s="8075"/>
      <c r="L25" s="8418"/>
      <c r="M25" s="8419"/>
      <c r="N25" s="8419"/>
      <c r="O25" s="8938"/>
      <c r="P25" s="8236"/>
      <c r="Q25" s="8236"/>
      <c r="R25" s="8081"/>
    </row>
    <row r="26" spans="2:18" s="7887" customFormat="1" ht="20.100000000000001" customHeight="1">
      <c r="B26" s="8407"/>
      <c r="C26" s="9460" t="s">
        <v>57</v>
      </c>
      <c r="D26" s="9460"/>
      <c r="E26" s="9460"/>
      <c r="F26" s="8124" t="s">
        <v>33</v>
      </c>
      <c r="G26" s="8420"/>
      <c r="H26" s="9461" t="s">
        <v>58</v>
      </c>
      <c r="I26" s="9462"/>
      <c r="J26" s="9463"/>
      <c r="K26" s="8124" t="s">
        <v>35</v>
      </c>
      <c r="L26" s="8421">
        <v>733257.447682</v>
      </c>
      <c r="M26" s="8422">
        <v>1273191.852459</v>
      </c>
      <c r="N26" s="8423">
        <v>1545839</v>
      </c>
      <c r="O26" s="8939"/>
      <c r="P26" s="8931"/>
      <c r="Q26" s="8414" t="s">
        <v>42</v>
      </c>
      <c r="R26" s="8083"/>
    </row>
    <row r="27" spans="2:18" ht="20.100000000000001" customHeight="1">
      <c r="B27" s="8397"/>
      <c r="C27" s="8406" t="s">
        <v>59</v>
      </c>
      <c r="D27" s="8254"/>
      <c r="E27" s="8254"/>
      <c r="F27" s="7941" t="s">
        <v>33</v>
      </c>
      <c r="G27" s="8424"/>
      <c r="H27" s="9450" t="s">
        <v>60</v>
      </c>
      <c r="I27" s="9451"/>
      <c r="J27" s="9452"/>
      <c r="K27" s="7941" t="s">
        <v>35</v>
      </c>
      <c r="L27" s="8421">
        <v>-969055.14523200004</v>
      </c>
      <c r="M27" s="8422">
        <v>-1343427.9848750001</v>
      </c>
      <c r="N27" s="8425">
        <v>-1496773</v>
      </c>
      <c r="O27" s="8940"/>
      <c r="P27" s="8931"/>
      <c r="Q27" s="8325"/>
      <c r="R27" s="8083"/>
    </row>
    <row r="28" spans="2:18" s="7887" customFormat="1" ht="20.100000000000001" customHeight="1">
      <c r="B28" s="8407"/>
      <c r="C28" s="8406" t="s">
        <v>61</v>
      </c>
      <c r="D28" s="8254"/>
      <c r="E28" s="8254"/>
      <c r="F28" s="7941" t="s">
        <v>33</v>
      </c>
      <c r="G28" s="8426"/>
      <c r="H28" s="9450" t="s">
        <v>62</v>
      </c>
      <c r="I28" s="9451"/>
      <c r="J28" s="9452"/>
      <c r="K28" s="7941" t="s">
        <v>35</v>
      </c>
      <c r="L28" s="8421">
        <v>-235797.69755000001</v>
      </c>
      <c r="M28" s="8422">
        <v>-70236.132415999993</v>
      </c>
      <c r="N28" s="8423">
        <v>49066</v>
      </c>
      <c r="O28" s="8940"/>
      <c r="P28" s="8931"/>
      <c r="Q28" s="8414" t="s">
        <v>42</v>
      </c>
      <c r="R28" s="8083"/>
    </row>
    <row r="29" spans="2:18" ht="20.100000000000001" customHeight="1">
      <c r="B29" s="8407"/>
      <c r="C29" s="8406" t="s">
        <v>63</v>
      </c>
      <c r="D29" s="8254"/>
      <c r="E29" s="8254"/>
      <c r="F29" s="7941" t="s">
        <v>33</v>
      </c>
      <c r="G29" s="8424"/>
      <c r="H29" s="9450" t="s">
        <v>64</v>
      </c>
      <c r="I29" s="9451"/>
      <c r="J29" s="9452"/>
      <c r="K29" s="7941" t="s">
        <v>35</v>
      </c>
      <c r="L29" s="8421">
        <v>67643</v>
      </c>
      <c r="M29" s="8422">
        <v>99955</v>
      </c>
      <c r="N29" s="8423">
        <v>54024</v>
      </c>
      <c r="O29" s="8940"/>
      <c r="P29" s="8931"/>
      <c r="Q29" s="8325"/>
      <c r="R29" s="8083"/>
    </row>
    <row r="30" spans="2:18" ht="20.100000000000001" customHeight="1">
      <c r="B30" s="8397"/>
      <c r="C30" s="9453" t="s">
        <v>65</v>
      </c>
      <c r="D30" s="9453"/>
      <c r="E30" s="9453"/>
      <c r="F30" s="7941" t="s">
        <v>33</v>
      </c>
      <c r="G30" s="8424"/>
      <c r="H30" s="9450" t="s">
        <v>66</v>
      </c>
      <c r="I30" s="9451"/>
      <c r="J30" s="9452"/>
      <c r="K30" s="7941" t="s">
        <v>35</v>
      </c>
      <c r="L30" s="8421">
        <v>-191348.45773600001</v>
      </c>
      <c r="M30" s="8427">
        <v>-229456.54026000001</v>
      </c>
      <c r="N30" s="8428">
        <v>-228193</v>
      </c>
      <c r="O30" s="8940"/>
      <c r="P30" s="8931"/>
      <c r="Q30" s="8325"/>
      <c r="R30" s="8083"/>
    </row>
    <row r="31" spans="2:18" ht="20.100000000000001" customHeight="1">
      <c r="B31" s="8397"/>
      <c r="C31" s="8406" t="s">
        <v>67</v>
      </c>
      <c r="D31" s="8253"/>
      <c r="E31" s="8253"/>
      <c r="F31" s="7941" t="s">
        <v>33</v>
      </c>
      <c r="G31" s="8424"/>
      <c r="H31" s="9450" t="s">
        <v>68</v>
      </c>
      <c r="I31" s="9451"/>
      <c r="J31" s="9452"/>
      <c r="K31" s="7941" t="s">
        <v>35</v>
      </c>
      <c r="L31" s="8421">
        <v>3214.111668</v>
      </c>
      <c r="M31" s="8422">
        <v>25316.281386999999</v>
      </c>
      <c r="N31" s="8428">
        <v>-17567</v>
      </c>
      <c r="O31" s="8940"/>
      <c r="P31" s="8931"/>
      <c r="Q31" s="8325"/>
      <c r="R31" s="8083"/>
    </row>
    <row r="32" spans="2:18" ht="20.100000000000001" customHeight="1">
      <c r="B32" s="8397"/>
      <c r="C32" s="9453" t="s">
        <v>69</v>
      </c>
      <c r="D32" s="9448"/>
      <c r="E32" s="9449"/>
      <c r="F32" s="7941" t="s">
        <v>33</v>
      </c>
      <c r="G32" s="8424"/>
      <c r="H32" s="9450" t="s">
        <v>70</v>
      </c>
      <c r="I32" s="9451"/>
      <c r="J32" s="9452"/>
      <c r="K32" s="7941" t="s">
        <v>35</v>
      </c>
      <c r="L32" s="8421">
        <v>-2865</v>
      </c>
      <c r="M32" s="8422">
        <v>-11841</v>
      </c>
      <c r="N32" s="8423">
        <v>25169</v>
      </c>
      <c r="O32" s="8940"/>
      <c r="P32" s="8931"/>
      <c r="Q32" s="8325"/>
      <c r="R32" s="8083"/>
    </row>
    <row r="33" spans="2:18" ht="20.100000000000001" customHeight="1">
      <c r="B33" s="8397"/>
      <c r="C33" s="9453" t="s">
        <v>71</v>
      </c>
      <c r="D33" s="9453"/>
      <c r="E33" s="9453"/>
      <c r="F33" s="8124" t="s">
        <v>33</v>
      </c>
      <c r="G33" s="8424"/>
      <c r="H33" s="9450" t="s">
        <v>72</v>
      </c>
      <c r="I33" s="9451"/>
      <c r="J33" s="9452"/>
      <c r="K33" s="8124" t="s">
        <v>35</v>
      </c>
      <c r="L33" s="8421">
        <v>-359154.417166</v>
      </c>
      <c r="M33" s="8422">
        <v>-186262.118231</v>
      </c>
      <c r="N33" s="8428">
        <v>-117502</v>
      </c>
      <c r="O33" s="8940"/>
      <c r="P33" s="8931"/>
      <c r="Q33" s="8325"/>
      <c r="R33" s="8083"/>
    </row>
    <row r="34" spans="2:18" ht="20.100000000000001" customHeight="1">
      <c r="B34" s="8407"/>
      <c r="C34" s="8406" t="s">
        <v>73</v>
      </c>
      <c r="D34" s="8254"/>
      <c r="E34" s="8254"/>
      <c r="F34" s="7941" t="s">
        <v>33</v>
      </c>
      <c r="G34" s="8424"/>
      <c r="H34" s="9450" t="s">
        <v>74</v>
      </c>
      <c r="I34" s="9451"/>
      <c r="J34" s="9452"/>
      <c r="K34" s="7941" t="s">
        <v>35</v>
      </c>
      <c r="L34" s="8421">
        <v>34520.820068000001</v>
      </c>
      <c r="M34" s="8422">
        <v>23136.550266999999</v>
      </c>
      <c r="N34" s="8423">
        <v>2190</v>
      </c>
      <c r="O34" s="8940"/>
      <c r="P34" s="8931"/>
      <c r="Q34" s="8414" t="s">
        <v>42</v>
      </c>
      <c r="R34" s="8083"/>
    </row>
    <row r="35" spans="2:18" s="7887" customFormat="1" ht="20.100000000000001" customHeight="1">
      <c r="B35" s="8407"/>
      <c r="C35" s="8406" t="s">
        <v>75</v>
      </c>
      <c r="D35" s="8254"/>
      <c r="E35" s="8254"/>
      <c r="F35" s="7941" t="s">
        <v>33</v>
      </c>
      <c r="G35" s="8426"/>
      <c r="H35" s="9450" t="s">
        <v>76</v>
      </c>
      <c r="I35" s="9451"/>
      <c r="J35" s="9452"/>
      <c r="K35" s="7941" t="s">
        <v>35</v>
      </c>
      <c r="L35" s="8421">
        <v>-338788</v>
      </c>
      <c r="M35" s="8422">
        <v>-214508</v>
      </c>
      <c r="N35" s="8428">
        <v>-123353</v>
      </c>
      <c r="O35" s="8940"/>
      <c r="P35" s="8931"/>
      <c r="Q35" s="8414" t="s">
        <v>42</v>
      </c>
      <c r="R35" s="8083"/>
    </row>
    <row r="36" spans="2:18" ht="20.100000000000001" customHeight="1">
      <c r="B36" s="8397"/>
      <c r="C36" s="8406" t="s">
        <v>77</v>
      </c>
      <c r="D36" s="8254"/>
      <c r="E36" s="8254"/>
      <c r="F36" s="7941" t="s">
        <v>33</v>
      </c>
      <c r="G36" s="8424"/>
      <c r="H36" s="9450" t="s">
        <v>78</v>
      </c>
      <c r="I36" s="9451"/>
      <c r="J36" s="9452"/>
      <c r="K36" s="7941" t="s">
        <v>35</v>
      </c>
      <c r="L36" s="8429">
        <v>35285</v>
      </c>
      <c r="M36" s="8422">
        <v>-22562</v>
      </c>
      <c r="N36" s="8423">
        <v>29411</v>
      </c>
      <c r="O36" s="8940"/>
      <c r="P36" s="8931"/>
      <c r="Q36" s="8325"/>
      <c r="R36" s="8083"/>
    </row>
    <row r="37" spans="2:18" ht="20.100000000000001" customHeight="1" thickBot="1">
      <c r="B37" s="8397"/>
      <c r="C37" s="8430" t="s">
        <v>79</v>
      </c>
      <c r="D37" s="8431"/>
      <c r="E37" s="8431"/>
      <c r="F37" s="7941" t="s">
        <v>33</v>
      </c>
      <c r="G37" s="8432"/>
      <c r="H37" s="9450" t="s">
        <v>80</v>
      </c>
      <c r="I37" s="9451"/>
      <c r="J37" s="9452"/>
      <c r="K37" s="7941" t="s">
        <v>35</v>
      </c>
      <c r="L37" s="8421">
        <v>-303503</v>
      </c>
      <c r="M37" s="8422">
        <v>-237069</v>
      </c>
      <c r="N37" s="8428">
        <v>-93943</v>
      </c>
      <c r="O37" s="8941"/>
      <c r="P37" s="8931"/>
      <c r="Q37" s="8325"/>
      <c r="R37" s="8083"/>
    </row>
    <row r="38" spans="2:18" ht="21.75" thickBot="1">
      <c r="B38" s="8073" t="s">
        <v>81</v>
      </c>
      <c r="C38" s="8074"/>
      <c r="D38" s="8074"/>
      <c r="E38" s="8074"/>
      <c r="F38" s="8287"/>
      <c r="G38" s="8076" t="s">
        <v>82</v>
      </c>
      <c r="H38" s="8077"/>
      <c r="I38" s="8077"/>
      <c r="J38" s="8077"/>
      <c r="K38" s="8075"/>
      <c r="L38" s="8433"/>
      <c r="M38" s="8434"/>
      <c r="N38" s="8434"/>
      <c r="O38" s="8938"/>
      <c r="P38" s="8236"/>
      <c r="Q38" s="8236"/>
      <c r="R38" s="8081"/>
    </row>
    <row r="39" spans="2:18" ht="20.100000000000001" customHeight="1">
      <c r="B39" s="8189"/>
      <c r="C39" s="8398" t="s">
        <v>32</v>
      </c>
      <c r="D39" s="8399"/>
      <c r="E39" s="8399"/>
      <c r="F39" s="8435" t="s">
        <v>33</v>
      </c>
      <c r="G39" s="8436"/>
      <c r="H39" s="9445" t="s">
        <v>83</v>
      </c>
      <c r="I39" s="9446"/>
      <c r="J39" s="9447"/>
      <c r="K39" s="7941" t="s">
        <v>35</v>
      </c>
      <c r="L39" s="8437">
        <v>447740</v>
      </c>
      <c r="M39" s="8438">
        <v>563407</v>
      </c>
      <c r="N39" s="8439">
        <v>403970</v>
      </c>
      <c r="O39" s="8935"/>
      <c r="P39" s="8931"/>
      <c r="Q39" s="7992"/>
      <c r="R39" s="8083"/>
    </row>
    <row r="40" spans="2:18" ht="20.100000000000001" customHeight="1">
      <c r="B40" s="8189"/>
      <c r="C40" s="8406" t="s">
        <v>38</v>
      </c>
      <c r="D40" s="8254"/>
      <c r="E40" s="8254"/>
      <c r="F40" s="8003" t="s">
        <v>33</v>
      </c>
      <c r="G40" s="8424"/>
      <c r="H40" s="9437" t="s">
        <v>84</v>
      </c>
      <c r="I40" s="9438"/>
      <c r="J40" s="9439"/>
      <c r="K40" s="7941" t="s">
        <v>35</v>
      </c>
      <c r="L40" s="8440">
        <v>1571781</v>
      </c>
      <c r="M40" s="8438">
        <v>1429245</v>
      </c>
      <c r="N40" s="8439">
        <v>1557735</v>
      </c>
      <c r="O40" s="8936"/>
      <c r="P40" s="8931"/>
      <c r="Q40" s="7992"/>
      <c r="R40" s="8083"/>
    </row>
    <row r="41" spans="2:18" ht="20.100000000000001" customHeight="1">
      <c r="B41" s="8189"/>
      <c r="C41" s="8408" t="s">
        <v>40</v>
      </c>
      <c r="D41" s="7931"/>
      <c r="E41" s="7931"/>
      <c r="F41" s="8441" t="s">
        <v>33</v>
      </c>
      <c r="G41" s="8442"/>
      <c r="H41" s="9440" t="s">
        <v>85</v>
      </c>
      <c r="I41" s="9441"/>
      <c r="J41" s="9442"/>
      <c r="K41" s="8409" t="s">
        <v>35</v>
      </c>
      <c r="L41" s="8443">
        <v>2019522</v>
      </c>
      <c r="M41" s="8444">
        <v>1992652</v>
      </c>
      <c r="N41" s="8445">
        <v>1961705</v>
      </c>
      <c r="O41" s="8936"/>
      <c r="P41" s="8931"/>
      <c r="Q41" s="7992" t="s">
        <v>42</v>
      </c>
      <c r="R41" s="8083"/>
    </row>
    <row r="42" spans="2:18" ht="20.100000000000001" customHeight="1">
      <c r="B42" s="8189"/>
      <c r="C42" s="8406" t="s">
        <v>43</v>
      </c>
      <c r="D42" s="8254"/>
      <c r="E42" s="8254"/>
      <c r="F42" s="8003" t="s">
        <v>33</v>
      </c>
      <c r="G42" s="8424"/>
      <c r="H42" s="9437" t="s">
        <v>86</v>
      </c>
      <c r="I42" s="9438"/>
      <c r="J42" s="9439"/>
      <c r="K42" s="7941" t="s">
        <v>35</v>
      </c>
      <c r="L42" s="8440">
        <v>326149</v>
      </c>
      <c r="M42" s="8438">
        <v>618778</v>
      </c>
      <c r="N42" s="8439">
        <v>420289</v>
      </c>
      <c r="O42" s="8936"/>
      <c r="P42" s="8931"/>
      <c r="Q42" s="7992"/>
      <c r="R42" s="8083"/>
    </row>
    <row r="43" spans="2:18" ht="20.100000000000001" customHeight="1">
      <c r="B43" s="8189"/>
      <c r="C43" s="8406" t="s">
        <v>45</v>
      </c>
      <c r="D43" s="8254"/>
      <c r="E43" s="8254"/>
      <c r="F43" s="8003" t="s">
        <v>33</v>
      </c>
      <c r="G43" s="8424"/>
      <c r="H43" s="9437" t="s">
        <v>87</v>
      </c>
      <c r="I43" s="9438"/>
      <c r="J43" s="9439"/>
      <c r="K43" s="7941" t="s">
        <v>35</v>
      </c>
      <c r="L43" s="8440">
        <v>1296392</v>
      </c>
      <c r="M43" s="8438">
        <v>804577</v>
      </c>
      <c r="N43" s="8439">
        <v>912958</v>
      </c>
      <c r="O43" s="8936"/>
      <c r="P43" s="8931"/>
      <c r="Q43" s="7992"/>
      <c r="R43" s="8083"/>
    </row>
    <row r="44" spans="2:18" ht="20.100000000000001" customHeight="1">
      <c r="B44" s="8189"/>
      <c r="C44" s="8408" t="s">
        <v>47</v>
      </c>
      <c r="D44" s="7931"/>
      <c r="E44" s="7931"/>
      <c r="F44" s="8446" t="s">
        <v>33</v>
      </c>
      <c r="G44" s="8410"/>
      <c r="H44" s="9440" t="s">
        <v>88</v>
      </c>
      <c r="I44" s="9441"/>
      <c r="J44" s="9442"/>
      <c r="K44" s="8447" t="s">
        <v>35</v>
      </c>
      <c r="L44" s="8443">
        <v>1622541</v>
      </c>
      <c r="M44" s="8444">
        <v>1423355</v>
      </c>
      <c r="N44" s="8445">
        <v>1333247</v>
      </c>
      <c r="O44" s="8936"/>
      <c r="P44" s="8931"/>
      <c r="Q44" s="7992" t="s">
        <v>42</v>
      </c>
      <c r="R44" s="8083"/>
    </row>
    <row r="45" spans="2:18" ht="20.100000000000001" customHeight="1">
      <c r="B45" s="8189"/>
      <c r="C45" s="8408" t="s">
        <v>51</v>
      </c>
      <c r="D45" s="7931"/>
      <c r="E45" s="7931"/>
      <c r="F45" s="8441" t="s">
        <v>33</v>
      </c>
      <c r="G45" s="8410"/>
      <c r="H45" s="9440" t="s">
        <v>89</v>
      </c>
      <c r="I45" s="9441"/>
      <c r="J45" s="9442"/>
      <c r="K45" s="8409" t="s">
        <v>35</v>
      </c>
      <c r="L45" s="8443">
        <v>396981</v>
      </c>
      <c r="M45" s="8444">
        <v>569297</v>
      </c>
      <c r="N45" s="8445">
        <v>628458</v>
      </c>
      <c r="O45" s="8936"/>
      <c r="P45" s="8931"/>
      <c r="Q45" s="7992" t="s">
        <v>42</v>
      </c>
      <c r="R45" s="8083"/>
    </row>
    <row r="46" spans="2:18" ht="20.100000000000001" customHeight="1" thickBot="1">
      <c r="B46" s="8189"/>
      <c r="C46" s="8415" t="s">
        <v>53</v>
      </c>
      <c r="D46" s="8416"/>
      <c r="E46" s="8416"/>
      <c r="F46" s="9147" t="s">
        <v>33</v>
      </c>
      <c r="G46" s="9150"/>
      <c r="H46" s="9440" t="s">
        <v>90</v>
      </c>
      <c r="I46" s="9441"/>
      <c r="J46" s="9442"/>
      <c r="K46" s="8409" t="s">
        <v>35</v>
      </c>
      <c r="L46" s="8448">
        <v>2019522</v>
      </c>
      <c r="M46" s="8444">
        <v>1992652</v>
      </c>
      <c r="N46" s="8445">
        <v>1961705</v>
      </c>
      <c r="O46" s="8937"/>
      <c r="P46" s="8931"/>
      <c r="Q46" s="7992"/>
      <c r="R46" s="8083"/>
    </row>
    <row r="47" spans="2:18" ht="21.75" thickBot="1">
      <c r="B47" s="8073" t="s">
        <v>91</v>
      </c>
      <c r="C47" s="8074"/>
      <c r="D47" s="8074"/>
      <c r="E47" s="8074"/>
      <c r="F47" s="8287"/>
      <c r="G47" s="9151"/>
      <c r="H47" s="8077"/>
      <c r="I47" s="8077"/>
      <c r="J47" s="8077"/>
      <c r="K47" s="8075"/>
      <c r="L47" s="8434"/>
      <c r="M47" s="8434"/>
      <c r="N47" s="8434"/>
      <c r="O47" s="8938"/>
      <c r="P47" s="8236"/>
      <c r="Q47" s="8236"/>
      <c r="R47" s="8081"/>
    </row>
    <row r="48" spans="2:18" ht="20.100000000000001" customHeight="1">
      <c r="B48" s="8189"/>
      <c r="C48" s="8449" t="s">
        <v>92</v>
      </c>
      <c r="D48" s="9443"/>
      <c r="E48" s="9444"/>
      <c r="F48" s="9148" t="s">
        <v>33</v>
      </c>
      <c r="G48" s="9152"/>
      <c r="H48" s="9445" t="s">
        <v>93</v>
      </c>
      <c r="I48" s="9446"/>
      <c r="J48" s="9447"/>
      <c r="K48" s="8450" t="s">
        <v>35</v>
      </c>
      <c r="L48" s="8451">
        <v>328613</v>
      </c>
      <c r="M48" s="8451">
        <v>706613</v>
      </c>
      <c r="N48" s="8452">
        <v>773326</v>
      </c>
      <c r="O48" s="8939"/>
      <c r="P48" s="8931"/>
      <c r="Q48" s="7992" t="s">
        <v>42</v>
      </c>
      <c r="R48" s="8083"/>
    </row>
    <row r="49" spans="2:18" ht="20.100000000000001" customHeight="1">
      <c r="B49" s="8189"/>
      <c r="C49" s="8453" t="s">
        <v>94</v>
      </c>
      <c r="D49" s="9448"/>
      <c r="E49" s="9449"/>
      <c r="F49" s="9149" t="s">
        <v>33</v>
      </c>
      <c r="G49" s="9153"/>
      <c r="H49" s="9437" t="s">
        <v>95</v>
      </c>
      <c r="I49" s="9438"/>
      <c r="J49" s="9439"/>
      <c r="K49" s="7933" t="s">
        <v>35</v>
      </c>
      <c r="L49" s="8451">
        <v>492180.98977300001</v>
      </c>
      <c r="M49" s="8451">
        <v>718980.16267999995</v>
      </c>
      <c r="N49" s="8454">
        <v>764759</v>
      </c>
      <c r="O49" s="8940"/>
      <c r="P49" s="8931"/>
      <c r="Q49" s="7992"/>
      <c r="R49" s="8083"/>
    </row>
    <row r="50" spans="2:18" ht="20.100000000000001" customHeight="1">
      <c r="B50" s="8189"/>
      <c r="C50" s="8453" t="s">
        <v>96</v>
      </c>
      <c r="D50" s="9448"/>
      <c r="E50" s="9449"/>
      <c r="F50" s="7941" t="s">
        <v>33</v>
      </c>
      <c r="G50" s="9153"/>
      <c r="H50" s="8254" t="s">
        <v>97</v>
      </c>
      <c r="I50" s="8254"/>
      <c r="J50" s="8254"/>
      <c r="K50" s="7933" t="s">
        <v>35</v>
      </c>
      <c r="L50" s="8455">
        <v>-163568</v>
      </c>
      <c r="M50" s="8455">
        <v>-12368</v>
      </c>
      <c r="N50" s="8454">
        <v>8566.9008740000008</v>
      </c>
      <c r="O50" s="8940"/>
      <c r="P50" s="8931"/>
      <c r="Q50" s="7992" t="s">
        <v>42</v>
      </c>
      <c r="R50" s="8083"/>
    </row>
    <row r="51" spans="2:18" ht="20.100000000000001" customHeight="1">
      <c r="B51" s="8189"/>
      <c r="C51" s="9434" t="s">
        <v>67</v>
      </c>
      <c r="D51" s="9435"/>
      <c r="E51" s="9436"/>
      <c r="F51" s="7941" t="s">
        <v>33</v>
      </c>
      <c r="G51" s="9153"/>
      <c r="H51" s="8254" t="s">
        <v>98</v>
      </c>
      <c r="I51" s="8254"/>
      <c r="J51" s="8254"/>
      <c r="K51" s="7933" t="s">
        <v>35</v>
      </c>
      <c r="L51" s="8455">
        <v>-86679</v>
      </c>
      <c r="M51" s="8455">
        <v>-117859</v>
      </c>
      <c r="N51" s="8454">
        <v>-33543</v>
      </c>
      <c r="O51" s="8940"/>
      <c r="P51" s="8931"/>
      <c r="Q51" s="7992"/>
      <c r="R51" s="8083"/>
    </row>
    <row r="52" spans="2:18" ht="20.100000000000001" customHeight="1">
      <c r="B52" s="8189"/>
      <c r="C52" s="9434" t="s">
        <v>63</v>
      </c>
      <c r="D52" s="9435"/>
      <c r="E52" s="9436"/>
      <c r="F52" s="7941" t="s">
        <v>33</v>
      </c>
      <c r="G52" s="9153"/>
      <c r="H52" s="8254" t="s">
        <v>99</v>
      </c>
      <c r="I52" s="8254"/>
      <c r="J52" s="8254"/>
      <c r="K52" s="7933" t="s">
        <v>35</v>
      </c>
      <c r="L52" s="8451">
        <v>48059.635273</v>
      </c>
      <c r="M52" s="8451">
        <v>79083</v>
      </c>
      <c r="N52" s="8452">
        <v>45773</v>
      </c>
      <c r="O52" s="8940"/>
      <c r="P52" s="8931"/>
      <c r="Q52" s="7992"/>
      <c r="R52" s="8083"/>
    </row>
    <row r="53" spans="2:18" ht="20.100000000000001" customHeight="1">
      <c r="B53" s="8189"/>
      <c r="C53" s="9434" t="s">
        <v>3626</v>
      </c>
      <c r="D53" s="9435"/>
      <c r="E53" s="9436"/>
      <c r="F53" s="7941" t="s">
        <v>33</v>
      </c>
      <c r="G53" s="9153"/>
      <c r="H53" s="8254" t="s">
        <v>100</v>
      </c>
      <c r="I53" s="8254"/>
      <c r="J53" s="8254"/>
      <c r="K53" s="7933" t="s">
        <v>35</v>
      </c>
      <c r="L53" s="8451">
        <v>-71382.437311999995</v>
      </c>
      <c r="M53" s="8451">
        <v>-84869.392659000005</v>
      </c>
      <c r="N53" s="8454">
        <v>-168743.89427399999</v>
      </c>
      <c r="O53" s="8940"/>
      <c r="P53" s="8931"/>
      <c r="Q53" s="7992"/>
      <c r="R53" s="8083"/>
    </row>
    <row r="54" spans="2:18" ht="20.100000000000001" customHeight="1">
      <c r="B54" s="8189"/>
      <c r="C54" s="9428" t="s">
        <v>3630</v>
      </c>
      <c r="D54" s="9429"/>
      <c r="E54" s="9430"/>
      <c r="F54" s="7941" t="s">
        <v>33</v>
      </c>
      <c r="G54" s="9153"/>
      <c r="H54" s="8254" t="s">
        <v>101</v>
      </c>
      <c r="I54" s="8254"/>
      <c r="J54" s="8254"/>
      <c r="K54" s="7933" t="s">
        <v>35</v>
      </c>
      <c r="L54" s="8455">
        <v>-273570</v>
      </c>
      <c r="M54" s="8455">
        <v>-136013</v>
      </c>
      <c r="N54" s="8454">
        <v>-147947</v>
      </c>
      <c r="O54" s="8940"/>
      <c r="P54" s="8931"/>
      <c r="Q54" s="7992"/>
      <c r="R54" s="8083"/>
    </row>
    <row r="55" spans="2:18" ht="20.100000000000001" customHeight="1">
      <c r="B55" s="8189"/>
      <c r="C55" s="9428" t="s">
        <v>3628</v>
      </c>
      <c r="D55" s="9429"/>
      <c r="E55" s="9430"/>
      <c r="F55" s="7941" t="s">
        <v>33</v>
      </c>
      <c r="G55" s="9153"/>
      <c r="H55" s="8254" t="s">
        <v>103</v>
      </c>
      <c r="I55" s="8254"/>
      <c r="J55" s="8254"/>
      <c r="K55" s="8203" t="s">
        <v>35</v>
      </c>
      <c r="L55" s="8455">
        <v>-12516.351461</v>
      </c>
      <c r="M55" s="8451">
        <v>-15206.550479</v>
      </c>
      <c r="N55" s="8454">
        <v>1235</v>
      </c>
      <c r="O55" s="8940"/>
      <c r="P55" s="8931"/>
      <c r="Q55" s="7992" t="s">
        <v>42</v>
      </c>
      <c r="R55" s="8083"/>
    </row>
    <row r="56" spans="2:18" ht="20.100000000000001" customHeight="1">
      <c r="B56" s="8189"/>
      <c r="C56" s="9428" t="s">
        <v>3629</v>
      </c>
      <c r="D56" s="9429"/>
      <c r="E56" s="9430"/>
      <c r="F56" s="7941" t="s">
        <v>33</v>
      </c>
      <c r="G56" s="9153"/>
      <c r="H56" s="8254" t="s">
        <v>105</v>
      </c>
      <c r="I56" s="8254"/>
      <c r="J56" s="8254"/>
      <c r="K56" s="8203" t="s">
        <v>35</v>
      </c>
      <c r="L56" s="8455">
        <v>-261054</v>
      </c>
      <c r="M56" s="8455">
        <v>-120806</v>
      </c>
      <c r="N56" s="8454">
        <v>-149182</v>
      </c>
      <c r="O56" s="8940"/>
      <c r="P56" s="8931"/>
      <c r="Q56" s="7992" t="s">
        <v>42</v>
      </c>
      <c r="R56" s="8083"/>
    </row>
    <row r="57" spans="2:18" ht="20.100000000000001" customHeight="1">
      <c r="B57" s="8189"/>
      <c r="C57" s="9428" t="s">
        <v>77</v>
      </c>
      <c r="D57" s="9429"/>
      <c r="E57" s="9430"/>
      <c r="F57" s="7941" t="s">
        <v>33</v>
      </c>
      <c r="G57" s="9153"/>
      <c r="H57" s="8254" t="s">
        <v>106</v>
      </c>
      <c r="I57" s="8254"/>
      <c r="J57" s="8254"/>
      <c r="K57" s="8456" t="s">
        <v>35</v>
      </c>
      <c r="L57" s="8455">
        <v>-1271</v>
      </c>
      <c r="M57" s="8451">
        <v>1690</v>
      </c>
      <c r="N57" s="8454">
        <v>-5010</v>
      </c>
      <c r="O57" s="8940"/>
      <c r="P57" s="8931"/>
      <c r="Q57" s="7992"/>
      <c r="R57" s="8083"/>
    </row>
    <row r="58" spans="2:18" ht="20.100000000000001" customHeight="1" thickBot="1">
      <c r="B58" s="8457"/>
      <c r="C58" s="9431" t="s">
        <v>3627</v>
      </c>
      <c r="D58" s="9432"/>
      <c r="E58" s="9433"/>
      <c r="F58" s="8045" t="s">
        <v>33</v>
      </c>
      <c r="G58" s="9154"/>
      <c r="H58" s="8458" t="s">
        <v>107</v>
      </c>
      <c r="I58" s="8458"/>
      <c r="J58" s="8458"/>
      <c r="K58" s="8459" t="s">
        <v>35</v>
      </c>
      <c r="L58" s="8460" t="s">
        <v>3671</v>
      </c>
      <c r="M58" s="8460" t="s">
        <v>3672</v>
      </c>
      <c r="N58" s="8461">
        <v>-154192</v>
      </c>
      <c r="O58" s="8942"/>
      <c r="P58" s="8932"/>
      <c r="Q58" s="8462"/>
      <c r="R58" s="8463"/>
    </row>
    <row r="59" spans="2:18" ht="15.75" thickTop="1"/>
  </sheetData>
  <sheetProtection algorithmName="SHA-512" hashValue="FXVJswq7jXI/eBrHZTyg3AEo7hzN7WGWlOPhAoyemIDJHf53vxtynoIx1mAH25AyDa523ir4ICJdF3ot4hU5ZQ==" saltValue="YxpUpI5pHyhojjo6A1xN4w==" spinCount="100000" sheet="1" objects="1" scenarios="1"/>
  <autoFilter ref="B13:R58" xr:uid="{84B1DD60-0C92-4670-BF3F-2EF620B35AC7}"/>
  <mergeCells count="51">
    <mergeCell ref="H18:J18"/>
    <mergeCell ref="B12:F12"/>
    <mergeCell ref="G12:J12"/>
    <mergeCell ref="L12:N12"/>
    <mergeCell ref="P12:R12"/>
    <mergeCell ref="H16:J16"/>
    <mergeCell ref="H17:J17"/>
    <mergeCell ref="O12:O13"/>
    <mergeCell ref="C30:E30"/>
    <mergeCell ref="H30:J30"/>
    <mergeCell ref="H19:J19"/>
    <mergeCell ref="H20:J20"/>
    <mergeCell ref="H21:J21"/>
    <mergeCell ref="H22:J22"/>
    <mergeCell ref="H23:J23"/>
    <mergeCell ref="H24:J24"/>
    <mergeCell ref="C26:E26"/>
    <mergeCell ref="H26:J26"/>
    <mergeCell ref="H27:J27"/>
    <mergeCell ref="H28:J28"/>
    <mergeCell ref="H29:J29"/>
    <mergeCell ref="H41:J41"/>
    <mergeCell ref="H31:J31"/>
    <mergeCell ref="C32:E32"/>
    <mergeCell ref="H32:J32"/>
    <mergeCell ref="C33:E33"/>
    <mergeCell ref="H33:J33"/>
    <mergeCell ref="H34:J34"/>
    <mergeCell ref="H35:J35"/>
    <mergeCell ref="H36:J36"/>
    <mergeCell ref="H37:J37"/>
    <mergeCell ref="H39:J39"/>
    <mergeCell ref="H40:J40"/>
    <mergeCell ref="C53:E53"/>
    <mergeCell ref="H42:J42"/>
    <mergeCell ref="H43:J43"/>
    <mergeCell ref="H44:J44"/>
    <mergeCell ref="H45:J45"/>
    <mergeCell ref="H46:J46"/>
    <mergeCell ref="D48:E48"/>
    <mergeCell ref="H48:J48"/>
    <mergeCell ref="D49:E49"/>
    <mergeCell ref="H49:J49"/>
    <mergeCell ref="D50:E50"/>
    <mergeCell ref="C51:E51"/>
    <mergeCell ref="C52:E52"/>
    <mergeCell ref="C54:E54"/>
    <mergeCell ref="C55:E55"/>
    <mergeCell ref="C56:E56"/>
    <mergeCell ref="C57:E57"/>
    <mergeCell ref="C58:E58"/>
  </mergeCells>
  <phoneticPr fontId="3" type="noConversion"/>
  <pageMargins left="0.25" right="0.25" top="0.75" bottom="0.75" header="0" footer="0"/>
  <pageSetup paperSize="8" scale="73"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4CF99-709A-478A-9957-EB2E867289A6}">
  <sheetPr>
    <tabColor theme="2" tint="-0.249977111117893"/>
    <pageSetUpPr fitToPage="1"/>
  </sheetPr>
  <dimension ref="A1:BK71"/>
  <sheetViews>
    <sheetView showGridLines="0" view="pageBreakPreview" zoomScale="85" zoomScaleNormal="80" zoomScaleSheetLayoutView="85" workbookViewId="0">
      <pane xSplit="11" ySplit="14" topLeftCell="L15" activePane="bottomRight" state="frozen"/>
      <selection pane="topRight" activeCell="L1" sqref="L1"/>
      <selection pane="bottomLeft" activeCell="A15" sqref="A15"/>
      <selection pane="bottomRight" activeCell="E2" sqref="E2"/>
    </sheetView>
  </sheetViews>
  <sheetFormatPr defaultColWidth="0" defaultRowHeight="15"/>
  <cols>
    <col min="1" max="1" width="1.125" style="7887" customWidth="1"/>
    <col min="2" max="2" width="4.125" style="7887" customWidth="1"/>
    <col min="3" max="3" width="9.75" style="7887" customWidth="1"/>
    <col min="4" max="4" width="11.75" style="7887" customWidth="1"/>
    <col min="5" max="5" width="44.125" style="7887" customWidth="1"/>
    <col min="6" max="6" width="16.5" style="7887" customWidth="1"/>
    <col min="7" max="7" width="6.125" style="8056" hidden="1" customWidth="1"/>
    <col min="8" max="8" width="9.75" style="8056" hidden="1" customWidth="1"/>
    <col min="9" max="9" width="25.5" style="8056" hidden="1" customWidth="1"/>
    <col min="10" max="10" width="20.875" style="8056" hidden="1" customWidth="1"/>
    <col min="11" max="11" width="16.5" style="7887" hidden="1" customWidth="1"/>
    <col min="12" max="14" width="15.625" style="8058" customWidth="1"/>
    <col min="15" max="15" width="60.125" style="8054" customWidth="1"/>
    <col min="16" max="16" width="12.25" style="8055" hidden="1" customWidth="1"/>
    <col min="17" max="17" width="11.75" style="8055" hidden="1" customWidth="1"/>
    <col min="18" max="18" width="13.875" style="8055" hidden="1" customWidth="1"/>
    <col min="19" max="63" width="0" style="7872" hidden="1" customWidth="1"/>
    <col min="64" max="16384" width="13" style="7872" hidden="1"/>
  </cols>
  <sheetData>
    <row r="1" spans="1:18" ht="10.9" customHeight="1">
      <c r="A1" s="7881"/>
      <c r="B1" s="8302"/>
      <c r="C1" s="8302"/>
      <c r="D1" s="8302"/>
      <c r="E1" s="8302"/>
      <c r="F1" s="8303"/>
      <c r="G1" s="8728"/>
      <c r="H1" s="8729"/>
      <c r="I1" s="8729"/>
      <c r="J1" s="8729"/>
      <c r="K1" s="8303"/>
      <c r="L1" s="8306"/>
      <c r="M1" s="8306"/>
      <c r="N1" s="8306"/>
      <c r="O1" s="8307"/>
      <c r="P1" s="8308"/>
      <c r="Q1" s="8308"/>
      <c r="R1" s="8308"/>
    </row>
    <row r="2" spans="1:18" s="7894" customFormat="1" ht="33" customHeight="1">
      <c r="A2" s="7888"/>
      <c r="B2" s="8309" t="s">
        <v>3640</v>
      </c>
      <c r="C2" s="8310"/>
      <c r="D2" s="8302"/>
      <c r="E2" s="8302"/>
      <c r="F2" s="8303"/>
      <c r="G2" s="8728"/>
      <c r="H2" s="8311"/>
      <c r="I2" s="8729"/>
      <c r="J2" s="8303"/>
      <c r="K2" s="8303"/>
      <c r="L2" s="8306"/>
      <c r="M2" s="8730"/>
      <c r="N2" s="8306"/>
      <c r="O2" s="8307"/>
      <c r="P2" s="8312"/>
      <c r="Q2" s="8312"/>
      <c r="R2" s="8312"/>
    </row>
    <row r="3" spans="1:18" ht="11.45" customHeight="1">
      <c r="A3" s="7872"/>
      <c r="B3" s="8313"/>
      <c r="C3" s="8313"/>
      <c r="D3" s="8313"/>
      <c r="E3" s="8313"/>
      <c r="F3" s="8303"/>
      <c r="G3" s="8728"/>
      <c r="H3" s="8729"/>
      <c r="I3" s="8729"/>
      <c r="J3" s="8729"/>
      <c r="K3" s="8303"/>
      <c r="L3" s="8306"/>
      <c r="M3" s="8306"/>
      <c r="N3" s="8306"/>
      <c r="O3" s="8307"/>
      <c r="P3" s="8314"/>
      <c r="Q3" s="8314"/>
      <c r="R3" s="8314"/>
    </row>
    <row r="4" spans="1:18" ht="10.15" customHeight="1">
      <c r="A4" s="7872"/>
      <c r="B4" s="7872"/>
      <c r="C4" s="7872"/>
      <c r="D4" s="7872"/>
      <c r="E4" s="7872"/>
      <c r="F4" s="7896"/>
      <c r="G4" s="7872"/>
      <c r="H4" s="7872"/>
      <c r="I4" s="7872"/>
      <c r="J4" s="7872"/>
      <c r="K4" s="7896"/>
      <c r="L4" s="8471"/>
      <c r="M4" s="8471"/>
      <c r="N4" s="8471"/>
      <c r="P4" s="7896"/>
      <c r="Q4" s="7896"/>
      <c r="R4" s="7896"/>
    </row>
    <row r="5" spans="1:18" ht="20.65" hidden="1" customHeight="1">
      <c r="A5" s="7872"/>
      <c r="B5" s="8472" t="s">
        <v>111</v>
      </c>
      <c r="C5" s="8473"/>
      <c r="D5" s="8473"/>
      <c r="E5" s="8473"/>
      <c r="F5" s="8474"/>
      <c r="G5" s="8474"/>
      <c r="H5" s="7872"/>
      <c r="I5" s="8475"/>
      <c r="J5" s="8475"/>
      <c r="K5" s="7897"/>
      <c r="L5" s="8476"/>
      <c r="M5" s="8476"/>
      <c r="N5" s="8476"/>
      <c r="O5" s="7898"/>
      <c r="P5" s="7899"/>
      <c r="Q5" s="7899"/>
      <c r="R5" s="7899"/>
    </row>
    <row r="6" spans="1:18" ht="20.65" hidden="1" customHeight="1" thickBot="1">
      <c r="A6" s="7872"/>
      <c r="B6" s="8477" t="s">
        <v>112</v>
      </c>
      <c r="C6" s="7872"/>
      <c r="D6" s="7872"/>
      <c r="E6" s="8475"/>
      <c r="F6" s="8478"/>
      <c r="G6" s="8478"/>
      <c r="H6" s="8475"/>
      <c r="I6" s="8475"/>
      <c r="J6" s="8475"/>
      <c r="K6" s="7897"/>
      <c r="L6" s="8476"/>
      <c r="M6" s="8479"/>
      <c r="N6" s="8476"/>
      <c r="O6" s="7898"/>
      <c r="P6" s="7899"/>
      <c r="Q6" s="7899"/>
      <c r="R6" s="7899"/>
    </row>
    <row r="7" spans="1:18" ht="20.65" hidden="1" customHeight="1" thickBot="1">
      <c r="A7" s="7872"/>
      <c r="B7" s="8477" t="s">
        <v>3534</v>
      </c>
      <c r="C7" s="7872"/>
      <c r="D7" s="7872"/>
      <c r="E7" s="8475"/>
      <c r="F7" s="8478"/>
      <c r="G7" s="8478"/>
      <c r="H7" s="8475"/>
      <c r="I7" s="8475"/>
      <c r="J7" s="8475"/>
      <c r="K7" s="7900"/>
      <c r="L7" s="8476"/>
      <c r="M7" s="8480"/>
      <c r="N7" s="8476"/>
      <c r="O7" s="7898"/>
      <c r="P7" s="7899"/>
      <c r="Q7" s="7899"/>
      <c r="R7" s="7899"/>
    </row>
    <row r="8" spans="1:18" ht="20.65" hidden="1" customHeight="1" thickBot="1">
      <c r="A8" s="7872"/>
      <c r="B8" s="8477" t="s">
        <v>3535</v>
      </c>
      <c r="C8" s="7872"/>
      <c r="D8" s="7872"/>
      <c r="E8" s="8475"/>
      <c r="F8" s="8478"/>
      <c r="G8" s="8478"/>
      <c r="H8" s="7901"/>
      <c r="I8" s="7902"/>
      <c r="J8" s="8481"/>
      <c r="K8" s="7904"/>
      <c r="L8" s="7905"/>
      <c r="M8" s="7905"/>
      <c r="N8" s="8476"/>
      <c r="O8" s="7898"/>
      <c r="P8" s="7899"/>
      <c r="Q8" s="7899"/>
      <c r="R8" s="7899"/>
    </row>
    <row r="9" spans="1:18" ht="20.65" hidden="1" customHeight="1" thickBot="1">
      <c r="A9" s="7872"/>
      <c r="B9" s="8477" t="s">
        <v>115</v>
      </c>
      <c r="C9" s="7872"/>
      <c r="D9" s="7872"/>
      <c r="E9" s="8475"/>
      <c r="F9" s="8478"/>
      <c r="G9" s="8478"/>
      <c r="H9" s="8482"/>
      <c r="I9" s="7902" t="s">
        <v>116</v>
      </c>
      <c r="J9" s="8481"/>
      <c r="K9" s="7904"/>
      <c r="L9" s="7905"/>
      <c r="M9" s="7905"/>
      <c r="N9" s="8476"/>
      <c r="O9" s="7898"/>
      <c r="P9" s="7899"/>
      <c r="Q9" s="7899"/>
      <c r="R9" s="7899"/>
    </row>
    <row r="10" spans="1:18" ht="20.65" hidden="1" customHeight="1" thickBot="1">
      <c r="A10" s="7872"/>
      <c r="B10" s="8483" t="s">
        <v>117</v>
      </c>
      <c r="C10" s="8484"/>
      <c r="D10" s="8484"/>
      <c r="E10" s="8485"/>
      <c r="F10" s="8486"/>
      <c r="G10" s="8486"/>
      <c r="H10" s="8487"/>
      <c r="I10" s="7902" t="s">
        <v>118</v>
      </c>
      <c r="J10" s="8481"/>
      <c r="K10" s="7904"/>
      <c r="L10" s="7905"/>
      <c r="M10" s="7905"/>
      <c r="N10" s="8476"/>
      <c r="O10" s="7898"/>
      <c r="P10" s="7899"/>
      <c r="Q10" s="7899"/>
      <c r="R10" s="7899"/>
    </row>
    <row r="11" spans="1:18" ht="17.25" customHeight="1" thickBot="1">
      <c r="A11" s="7872"/>
      <c r="B11" s="8747" t="s">
        <v>119</v>
      </c>
      <c r="C11" s="7906"/>
      <c r="D11" s="8067"/>
      <c r="E11" s="8067"/>
      <c r="F11" s="7907"/>
      <c r="G11" s="7906"/>
      <c r="H11" s="8067"/>
      <c r="I11" s="8067"/>
      <c r="J11" s="8067"/>
      <c r="K11" s="7907"/>
      <c r="L11" s="7908"/>
      <c r="M11" s="8471"/>
      <c r="N11" s="8488"/>
      <c r="O11" s="7909"/>
      <c r="P11" s="7907"/>
      <c r="Q11" s="7907"/>
      <c r="R11" s="7907"/>
    </row>
    <row r="12" spans="1:18" ht="26.65" customHeight="1" thickTop="1">
      <c r="A12" s="7910"/>
      <c r="B12" s="9480" t="s">
        <v>1</v>
      </c>
      <c r="C12" s="9481"/>
      <c r="D12" s="9481"/>
      <c r="E12" s="9481"/>
      <c r="F12" s="9482"/>
      <c r="G12" s="9483" t="s">
        <v>2</v>
      </c>
      <c r="H12" s="9483"/>
      <c r="I12" s="9483"/>
      <c r="J12" s="9483"/>
      <c r="K12" s="9077"/>
      <c r="L12" s="9481" t="s">
        <v>3</v>
      </c>
      <c r="M12" s="9481"/>
      <c r="N12" s="9484"/>
      <c r="O12" s="9485" t="s">
        <v>3588</v>
      </c>
      <c r="P12" s="9466" t="s">
        <v>11</v>
      </c>
      <c r="Q12" s="9467"/>
      <c r="R12" s="9468"/>
    </row>
    <row r="13" spans="1:18" ht="21.6" customHeight="1" thickBot="1">
      <c r="A13" s="7910"/>
      <c r="B13" s="9078"/>
      <c r="C13" s="7912" t="s">
        <v>12</v>
      </c>
      <c r="D13" s="7912" t="s">
        <v>13</v>
      </c>
      <c r="E13" s="7912" t="s">
        <v>14</v>
      </c>
      <c r="F13" s="7912" t="s">
        <v>15</v>
      </c>
      <c r="G13" s="7913" t="s">
        <v>16</v>
      </c>
      <c r="H13" s="7913" t="s">
        <v>12</v>
      </c>
      <c r="I13" s="7913" t="s">
        <v>13</v>
      </c>
      <c r="J13" s="7913" t="s">
        <v>14</v>
      </c>
      <c r="K13" s="7914" t="s">
        <v>17</v>
      </c>
      <c r="L13" s="8315" t="s">
        <v>18</v>
      </c>
      <c r="M13" s="7916" t="s">
        <v>20</v>
      </c>
      <c r="N13" s="7917" t="s">
        <v>21</v>
      </c>
      <c r="O13" s="9486"/>
      <c r="P13" s="8929" t="s">
        <v>23</v>
      </c>
      <c r="Q13" s="8068" t="s">
        <v>24</v>
      </c>
      <c r="R13" s="8069" t="s">
        <v>25</v>
      </c>
    </row>
    <row r="14" spans="1:18" ht="21.75" thickBot="1">
      <c r="A14" s="7910"/>
      <c r="B14" s="8316" t="s">
        <v>123</v>
      </c>
      <c r="C14" s="8317"/>
      <c r="D14" s="8317"/>
      <c r="E14" s="8317"/>
      <c r="F14" s="8318"/>
      <c r="G14" s="8319" t="s">
        <v>27</v>
      </c>
      <c r="H14" s="8317"/>
      <c r="I14" s="8317"/>
      <c r="J14" s="8317"/>
      <c r="K14" s="8318"/>
      <c r="L14" s="8320"/>
      <c r="M14" s="8321"/>
      <c r="N14" s="8322"/>
      <c r="O14" s="9079"/>
      <c r="P14" s="8323"/>
      <c r="Q14" s="8323"/>
      <c r="R14" s="8324"/>
    </row>
    <row r="15" spans="1:18" ht="20.100000000000001" customHeight="1">
      <c r="A15" s="7872"/>
      <c r="B15" s="9361"/>
      <c r="C15" s="8732" t="s">
        <v>124</v>
      </c>
      <c r="D15" s="8733"/>
      <c r="E15" s="8733"/>
      <c r="F15" s="8733"/>
      <c r="G15" s="8733"/>
      <c r="H15" s="9225" t="s">
        <v>3696</v>
      </c>
      <c r="I15" s="8733"/>
      <c r="J15" s="8733"/>
      <c r="K15" s="8734"/>
      <c r="L15" s="8735"/>
      <c r="M15" s="8736"/>
      <c r="N15" s="8737"/>
      <c r="O15" s="9080"/>
      <c r="P15" s="8015"/>
      <c r="Q15" s="7992"/>
      <c r="R15" s="8500"/>
    </row>
    <row r="16" spans="1:18" ht="40.5" customHeight="1">
      <c r="A16" s="7872"/>
      <c r="B16" s="9081"/>
      <c r="C16" s="8590"/>
      <c r="D16" s="9474" t="s">
        <v>126</v>
      </c>
      <c r="E16" s="9474"/>
      <c r="F16" s="7957" t="s">
        <v>33</v>
      </c>
      <c r="G16" s="8738"/>
      <c r="H16" s="8739"/>
      <c r="I16" s="9475" t="s">
        <v>127</v>
      </c>
      <c r="J16" s="9475"/>
      <c r="K16" s="8326" t="s">
        <v>128</v>
      </c>
      <c r="L16" s="8327">
        <f>SUM(L17:L22)</f>
        <v>65051.350381082601</v>
      </c>
      <c r="M16" s="8117">
        <f>SUM(M17:M22)</f>
        <v>60990.445865471404</v>
      </c>
      <c r="N16" s="8205">
        <f>SUM(N17:N22)</f>
        <v>70112.006477722898</v>
      </c>
      <c r="O16" s="9082" t="s">
        <v>3722</v>
      </c>
      <c r="P16" s="8015"/>
      <c r="Q16" s="7992" t="s">
        <v>132</v>
      </c>
      <c r="R16" s="8500"/>
    </row>
    <row r="17" spans="2:18" s="7872" customFormat="1" ht="60">
      <c r="B17" s="9081"/>
      <c r="C17" s="8583"/>
      <c r="D17" s="9476" t="s">
        <v>134</v>
      </c>
      <c r="E17" s="9477"/>
      <c r="F17" s="7953" t="s">
        <v>33</v>
      </c>
      <c r="G17" s="8583"/>
      <c r="H17" s="8545"/>
      <c r="I17" s="9478" t="s">
        <v>135</v>
      </c>
      <c r="J17" s="9479"/>
      <c r="K17" s="7933" t="s">
        <v>35</v>
      </c>
      <c r="L17" s="8328">
        <v>60161.8</v>
      </c>
      <c r="M17" s="8265">
        <v>56327.5</v>
      </c>
      <c r="N17" s="8266">
        <v>63961.5</v>
      </c>
      <c r="O17" s="9083" t="s">
        <v>3592</v>
      </c>
      <c r="P17" s="7932"/>
      <c r="Q17" s="7992"/>
      <c r="R17" s="8509"/>
    </row>
    <row r="18" spans="2:18" s="7872" customFormat="1" ht="45">
      <c r="B18" s="9081"/>
      <c r="C18" s="8583"/>
      <c r="D18" s="9437" t="s">
        <v>137</v>
      </c>
      <c r="E18" s="9439"/>
      <c r="F18" s="7953" t="s">
        <v>33</v>
      </c>
      <c r="G18" s="8583"/>
      <c r="H18" s="8545"/>
      <c r="I18" s="9478" t="s">
        <v>138</v>
      </c>
      <c r="J18" s="9479"/>
      <c r="K18" s="7933" t="s">
        <v>35</v>
      </c>
      <c r="L18" s="8329">
        <v>4678.8</v>
      </c>
      <c r="M18" s="8238">
        <v>4514.1000000000004</v>
      </c>
      <c r="N18" s="8330">
        <v>5517.4</v>
      </c>
      <c r="O18" s="9083" t="s">
        <v>3593</v>
      </c>
      <c r="P18" s="7932"/>
      <c r="Q18" s="7992"/>
      <c r="R18" s="8509"/>
    </row>
    <row r="19" spans="2:18" s="7872" customFormat="1" ht="20.100000000000001" customHeight="1">
      <c r="B19" s="9081"/>
      <c r="C19" s="8687"/>
      <c r="D19" s="9437" t="s">
        <v>140</v>
      </c>
      <c r="E19" s="9439"/>
      <c r="F19" s="7953" t="s">
        <v>33</v>
      </c>
      <c r="G19" s="8505"/>
      <c r="H19" s="8545"/>
      <c r="I19" s="9478" t="s">
        <v>141</v>
      </c>
      <c r="J19" s="9479"/>
      <c r="K19" s="7933" t="s">
        <v>35</v>
      </c>
      <c r="L19" s="8331">
        <v>0</v>
      </c>
      <c r="M19" s="8249">
        <v>0</v>
      </c>
      <c r="N19" s="8280">
        <v>0</v>
      </c>
      <c r="O19" s="9084"/>
      <c r="P19" s="8088"/>
      <c r="Q19" s="7932"/>
      <c r="R19" s="8509"/>
    </row>
    <row r="20" spans="2:18" s="7872" customFormat="1" ht="30">
      <c r="B20" s="9081"/>
      <c r="C20" s="8687"/>
      <c r="D20" s="9437" t="s">
        <v>143</v>
      </c>
      <c r="E20" s="9439"/>
      <c r="F20" s="7953" t="s">
        <v>33</v>
      </c>
      <c r="G20" s="8505"/>
      <c r="H20" s="8545"/>
      <c r="I20" s="9478" t="s">
        <v>144</v>
      </c>
      <c r="J20" s="9479"/>
      <c r="K20" s="7933" t="s">
        <v>35</v>
      </c>
      <c r="L20" s="8332">
        <f>801874*10*'(참고) 연도별 기말환율'!D27/10^6</f>
        <v>41.777635400000001</v>
      </c>
      <c r="M20" s="7943">
        <f>405001*10*'(참고) 연도별 기말환율'!C27/10^6</f>
        <v>21.748553699999999</v>
      </c>
      <c r="N20" s="8019">
        <f>228244*10*'(참고) 연도별 기말환율'!B27/10^6</f>
        <v>12.142580800000001</v>
      </c>
      <c r="O20" s="9084" t="s">
        <v>3589</v>
      </c>
      <c r="P20" s="8088"/>
      <c r="Q20" s="7932"/>
      <c r="R20" s="8509"/>
    </row>
    <row r="21" spans="2:18" s="7872" customFormat="1" ht="31.5">
      <c r="B21" s="9081"/>
      <c r="C21" s="8657"/>
      <c r="D21" s="9493" t="s">
        <v>146</v>
      </c>
      <c r="E21" s="9494"/>
      <c r="F21" s="8835" t="s">
        <v>33</v>
      </c>
      <c r="G21" s="8505"/>
      <c r="H21" s="8545"/>
      <c r="I21" s="9478" t="s">
        <v>147</v>
      </c>
      <c r="J21" s="9479"/>
      <c r="K21" s="7933" t="s">
        <v>35</v>
      </c>
      <c r="L21" s="8333">
        <f>1845571870/100*'(참고) 연도별 기말환율'!D24/10^6</f>
        <v>153.36702239700003</v>
      </c>
      <c r="M21" s="8144">
        <f>1525147726/100*'(참고) 연도별 기말환율'!C24/10^6</f>
        <v>123.3844510334</v>
      </c>
      <c r="N21" s="8145">
        <f>3471845218/100*'(참고) 연도별 기말환율'!B24/10^6</f>
        <v>290.24626022479998</v>
      </c>
      <c r="O21" s="9084" t="s">
        <v>3721</v>
      </c>
      <c r="P21" s="8088"/>
      <c r="Q21" s="7932"/>
      <c r="R21" s="8509"/>
    </row>
    <row r="22" spans="2:18" s="7872" customFormat="1" ht="20.100000000000001" customHeight="1">
      <c r="B22" s="9081"/>
      <c r="C22" s="8657"/>
      <c r="D22" s="9493" t="s">
        <v>149</v>
      </c>
      <c r="E22" s="9494"/>
      <c r="F22" s="8835" t="s">
        <v>33</v>
      </c>
      <c r="G22" s="8505"/>
      <c r="H22" s="8545"/>
      <c r="I22" s="9478" t="s">
        <v>150</v>
      </c>
      <c r="J22" s="9479"/>
      <c r="K22" s="7933" t="s">
        <v>35</v>
      </c>
      <c r="L22" s="8333">
        <f>173763.76*'(참고) 연도별 기말환율'!D58/10^6</f>
        <v>15.605723285600002</v>
      </c>
      <c r="M22" s="8334">
        <f>54826.65*'(참고) 연도별 기말환율'!C58/10^6</f>
        <v>3.7128607379999998</v>
      </c>
      <c r="N22" s="8335">
        <f>7569641.49*'(참고) 연도별 기말환율'!B58/10^6</f>
        <v>330.71763669809997</v>
      </c>
      <c r="O22" s="9084" t="s">
        <v>3755</v>
      </c>
      <c r="P22" s="8088"/>
      <c r="Q22" s="7932"/>
      <c r="R22" s="8509"/>
    </row>
    <row r="23" spans="2:18" s="7872" customFormat="1" ht="20.100000000000001" customHeight="1">
      <c r="B23" s="9362"/>
      <c r="C23" s="9487" t="s">
        <v>171</v>
      </c>
      <c r="D23" s="9488"/>
      <c r="E23" s="9488"/>
      <c r="F23" s="9489"/>
      <c r="G23" s="9156"/>
      <c r="H23" s="9490" t="s">
        <v>172</v>
      </c>
      <c r="I23" s="9491"/>
      <c r="J23" s="9491"/>
      <c r="K23" s="8740"/>
      <c r="L23" s="8741"/>
      <c r="M23" s="8742"/>
      <c r="N23" s="8743"/>
      <c r="O23" s="9415" t="s">
        <v>3788</v>
      </c>
      <c r="P23" s="7932"/>
      <c r="Q23" s="7992" t="s">
        <v>173</v>
      </c>
      <c r="R23" s="8509"/>
    </row>
    <row r="24" spans="2:18" s="7872" customFormat="1" ht="20.100000000000001" customHeight="1">
      <c r="B24" s="9081"/>
      <c r="C24" s="8832"/>
      <c r="D24" s="9492" t="s">
        <v>174</v>
      </c>
      <c r="E24" s="9492"/>
      <c r="F24" s="8833" t="s">
        <v>175</v>
      </c>
      <c r="G24" s="8700"/>
      <c r="H24" s="8744"/>
      <c r="I24" s="9475" t="s">
        <v>176</v>
      </c>
      <c r="J24" s="9475"/>
      <c r="K24" s="8336" t="s">
        <v>128</v>
      </c>
      <c r="L24" s="8327">
        <f>SUM(L25:L30)</f>
        <v>5.5014759403999998</v>
      </c>
      <c r="M24" s="8117">
        <f>SUM(M25:M30)</f>
        <v>57.297525465599996</v>
      </c>
      <c r="N24" s="8205">
        <f>SUM(N25:N30)</f>
        <v>51.221805175200011</v>
      </c>
      <c r="O24" s="9085" t="s">
        <v>3789</v>
      </c>
      <c r="P24" s="7932"/>
      <c r="Q24" s="7992" t="s">
        <v>173</v>
      </c>
      <c r="R24" s="8509"/>
    </row>
    <row r="25" spans="2:18" s="7872" customFormat="1" ht="20.100000000000001" hidden="1" customHeight="1">
      <c r="B25" s="9081"/>
      <c r="C25" s="8834"/>
      <c r="D25" s="9495" t="s">
        <v>134</v>
      </c>
      <c r="E25" s="9496"/>
      <c r="F25" s="8151" t="s">
        <v>33</v>
      </c>
      <c r="G25" s="8583"/>
      <c r="H25" s="8545"/>
      <c r="I25" s="9478" t="s">
        <v>135</v>
      </c>
      <c r="J25" s="9479"/>
      <c r="K25" s="7933" t="s">
        <v>35</v>
      </c>
      <c r="L25" s="8922" t="s">
        <v>178</v>
      </c>
      <c r="M25" s="8923" t="s">
        <v>178</v>
      </c>
      <c r="N25" s="8924" t="s">
        <v>178</v>
      </c>
      <c r="O25" s="9093" t="s">
        <v>168</v>
      </c>
      <c r="P25" s="7932"/>
      <c r="Q25" s="7992"/>
      <c r="R25" s="8509"/>
    </row>
    <row r="26" spans="2:18" s="7872" customFormat="1" ht="20.100000000000001" hidden="1" customHeight="1">
      <c r="B26" s="9081"/>
      <c r="C26" s="8834"/>
      <c r="D26" s="9493" t="s">
        <v>137</v>
      </c>
      <c r="E26" s="9494"/>
      <c r="F26" s="8151" t="s">
        <v>33</v>
      </c>
      <c r="G26" s="8583"/>
      <c r="H26" s="8545"/>
      <c r="I26" s="9478" t="s">
        <v>138</v>
      </c>
      <c r="J26" s="9479"/>
      <c r="K26" s="8150" t="s">
        <v>142</v>
      </c>
      <c r="L26" s="8343">
        <f>29536.54*'(참고) 연도별 기말환율'!D7/10^6</f>
        <v>5.5014759403999998</v>
      </c>
      <c r="M26" s="8341">
        <f>315793.24*'(참고) 연도별 기말환율'!C7/10^6</f>
        <v>57.297525465599996</v>
      </c>
      <c r="N26" s="8092">
        <f>283243.78*'(참고) 연도별 기말환율'!B7/10^6</f>
        <v>51.221805175200011</v>
      </c>
      <c r="O26" s="9084" t="s">
        <v>3644</v>
      </c>
      <c r="P26" s="7932"/>
      <c r="Q26" s="7992"/>
      <c r="R26" s="8509"/>
    </row>
    <row r="27" spans="2:18" s="7872" customFormat="1" ht="20.100000000000001" hidden="1" customHeight="1">
      <c r="B27" s="9081"/>
      <c r="C27" s="8652"/>
      <c r="D27" s="9493" t="s">
        <v>140</v>
      </c>
      <c r="E27" s="9494"/>
      <c r="F27" s="8151" t="s">
        <v>33</v>
      </c>
      <c r="G27" s="8505"/>
      <c r="H27" s="8545"/>
      <c r="I27" s="9497" t="s">
        <v>141</v>
      </c>
      <c r="J27" s="9498"/>
      <c r="K27" s="8124" t="s">
        <v>142</v>
      </c>
      <c r="L27" s="8340">
        <v>0</v>
      </c>
      <c r="M27" s="8341">
        <v>0</v>
      </c>
      <c r="N27" s="8342">
        <v>0</v>
      </c>
      <c r="O27" s="9084"/>
      <c r="P27" s="8088"/>
      <c r="Q27" s="7932"/>
      <c r="R27" s="8509"/>
    </row>
    <row r="28" spans="2:18" s="7872" customFormat="1" ht="20.100000000000001" hidden="1" customHeight="1">
      <c r="B28" s="9081"/>
      <c r="C28" s="8649"/>
      <c r="D28" s="9437" t="s">
        <v>143</v>
      </c>
      <c r="E28" s="9439"/>
      <c r="F28" s="7941" t="s">
        <v>33</v>
      </c>
      <c r="G28" s="8505"/>
      <c r="H28" s="8545"/>
      <c r="I28" s="9497" t="s">
        <v>144</v>
      </c>
      <c r="J28" s="9498"/>
      <c r="K28" s="8124" t="s">
        <v>145</v>
      </c>
      <c r="L28" s="8343">
        <v>0</v>
      </c>
      <c r="M28" s="8341">
        <v>0</v>
      </c>
      <c r="N28" s="8342">
        <v>0</v>
      </c>
      <c r="O28" s="9086"/>
      <c r="P28" s="8088"/>
      <c r="Q28" s="7932"/>
      <c r="R28" s="8509"/>
    </row>
    <row r="29" spans="2:18" s="7872" customFormat="1" ht="20.100000000000001" hidden="1" customHeight="1">
      <c r="B29" s="9081"/>
      <c r="C29" s="8649"/>
      <c r="D29" s="9437" t="s">
        <v>146</v>
      </c>
      <c r="E29" s="9439"/>
      <c r="F29" s="7941" t="s">
        <v>33</v>
      </c>
      <c r="G29" s="8505"/>
      <c r="H29" s="8545"/>
      <c r="I29" s="9497" t="s">
        <v>147</v>
      </c>
      <c r="J29" s="9498"/>
      <c r="K29" s="8124" t="s">
        <v>148</v>
      </c>
      <c r="L29" s="8340">
        <v>0</v>
      </c>
      <c r="M29" s="8099">
        <v>0</v>
      </c>
      <c r="N29" s="8091">
        <v>0</v>
      </c>
      <c r="O29" s="9087"/>
      <c r="P29" s="8088"/>
      <c r="Q29" s="7932"/>
      <c r="R29" s="8509"/>
    </row>
    <row r="30" spans="2:18" s="7872" customFormat="1" ht="20.100000000000001" hidden="1" customHeight="1">
      <c r="B30" s="9081"/>
      <c r="C30" s="8649"/>
      <c r="D30" s="9437" t="s">
        <v>149</v>
      </c>
      <c r="E30" s="9439"/>
      <c r="F30" s="7941" t="s">
        <v>33</v>
      </c>
      <c r="G30" s="8505"/>
      <c r="H30" s="8545"/>
      <c r="I30" s="9497" t="s">
        <v>150</v>
      </c>
      <c r="J30" s="9498"/>
      <c r="K30" s="8124" t="s">
        <v>151</v>
      </c>
      <c r="L30" s="8340">
        <v>0</v>
      </c>
      <c r="M30" s="8099">
        <v>0</v>
      </c>
      <c r="N30" s="8091">
        <v>0</v>
      </c>
      <c r="O30" s="9088"/>
      <c r="P30" s="8088"/>
      <c r="Q30" s="7932"/>
      <c r="R30" s="8509"/>
    </row>
    <row r="31" spans="2:18" s="7872" customFormat="1" ht="20.100000000000001" customHeight="1">
      <c r="B31" s="9081"/>
      <c r="C31" s="8687"/>
      <c r="D31" s="9474" t="s">
        <v>180</v>
      </c>
      <c r="E31" s="9474"/>
      <c r="F31" s="8268" t="s">
        <v>175</v>
      </c>
      <c r="G31" s="8700"/>
      <c r="H31" s="8744"/>
      <c r="I31" s="9475" t="s">
        <v>181</v>
      </c>
      <c r="J31" s="9475"/>
      <c r="K31" s="8336" t="s">
        <v>128</v>
      </c>
      <c r="L31" s="8327">
        <f>SUM(L32:L37)</f>
        <v>6111.4007012799993</v>
      </c>
      <c r="M31" s="8117">
        <f>SUM(M32:M37)</f>
        <v>18150.200349119998</v>
      </c>
      <c r="N31" s="8205">
        <f>SUM(N32:N37)</f>
        <v>1728.2574988800002</v>
      </c>
      <c r="O31" s="9085" t="s">
        <v>3789</v>
      </c>
      <c r="P31" s="7932"/>
      <c r="Q31" s="7992" t="s">
        <v>173</v>
      </c>
      <c r="R31" s="8509"/>
    </row>
    <row r="32" spans="2:18" s="7872" customFormat="1" ht="20.100000000000001" hidden="1" customHeight="1">
      <c r="B32" s="9081"/>
      <c r="C32" s="8583"/>
      <c r="D32" s="9476" t="s">
        <v>134</v>
      </c>
      <c r="E32" s="9477"/>
      <c r="F32" s="7953" t="s">
        <v>33</v>
      </c>
      <c r="G32" s="8583"/>
      <c r="H32" s="8545"/>
      <c r="I32" s="9478" t="s">
        <v>135</v>
      </c>
      <c r="J32" s="9479"/>
      <c r="K32" s="7933" t="s">
        <v>35</v>
      </c>
      <c r="L32" s="8340">
        <v>0</v>
      </c>
      <c r="M32" s="8341">
        <v>0</v>
      </c>
      <c r="N32" s="8342">
        <v>0</v>
      </c>
      <c r="O32" s="9089"/>
      <c r="P32" s="7932"/>
      <c r="Q32" s="7992"/>
      <c r="R32" s="8509"/>
    </row>
    <row r="33" spans="2:18" s="7872" customFormat="1" ht="20.100000000000001" hidden="1" customHeight="1">
      <c r="B33" s="9081"/>
      <c r="C33" s="8505"/>
      <c r="D33" s="9493" t="s">
        <v>137</v>
      </c>
      <c r="E33" s="9494"/>
      <c r="F33" s="7953" t="s">
        <v>33</v>
      </c>
      <c r="G33" s="8583"/>
      <c r="H33" s="8545"/>
      <c r="I33" s="9478" t="s">
        <v>138</v>
      </c>
      <c r="J33" s="9479"/>
      <c r="K33" s="8150" t="s">
        <v>142</v>
      </c>
      <c r="L33" s="8340">
        <v>0</v>
      </c>
      <c r="M33" s="8341">
        <v>0</v>
      </c>
      <c r="N33" s="8342">
        <v>0</v>
      </c>
      <c r="O33" s="9090"/>
      <c r="P33" s="7932"/>
      <c r="Q33" s="7992"/>
      <c r="R33" s="8509"/>
    </row>
    <row r="34" spans="2:18" s="7872" customFormat="1" ht="30" hidden="1">
      <c r="B34" s="9081"/>
      <c r="C34" s="8649"/>
      <c r="D34" s="9493" t="s">
        <v>140</v>
      </c>
      <c r="E34" s="9494"/>
      <c r="F34" s="7953" t="s">
        <v>33</v>
      </c>
      <c r="G34" s="8505"/>
      <c r="H34" s="8545"/>
      <c r="I34" s="9497" t="s">
        <v>141</v>
      </c>
      <c r="J34" s="9498"/>
      <c r="K34" s="8124" t="s">
        <v>142</v>
      </c>
      <c r="L34" s="8337">
        <f>32811128*'(참고) 연도별 기말환율'!D7/10^6</f>
        <v>6111.4007012799993</v>
      </c>
      <c r="M34" s="8341">
        <f>100034173*'(참고) 연도별 기말환율'!C7/10^6</f>
        <v>18150.200349119998</v>
      </c>
      <c r="N34" s="8339">
        <f>9556832*'(참고) 연도별 기말환율'!B7/10^6</f>
        <v>1728.2574988800002</v>
      </c>
      <c r="O34" s="9091" t="s">
        <v>3595</v>
      </c>
      <c r="P34" s="8088"/>
      <c r="Q34" s="7932"/>
      <c r="R34" s="8509"/>
    </row>
    <row r="35" spans="2:18" s="7872" customFormat="1" ht="20.100000000000001" hidden="1" customHeight="1">
      <c r="B35" s="9081"/>
      <c r="C35" s="8649"/>
      <c r="D35" s="9493" t="s">
        <v>143</v>
      </c>
      <c r="E35" s="9494"/>
      <c r="F35" s="7953" t="s">
        <v>33</v>
      </c>
      <c r="G35" s="8505"/>
      <c r="H35" s="8545"/>
      <c r="I35" s="9497" t="s">
        <v>144</v>
      </c>
      <c r="J35" s="9498"/>
      <c r="K35" s="8124" t="s">
        <v>145</v>
      </c>
      <c r="L35" s="8340">
        <v>0</v>
      </c>
      <c r="M35" s="8001">
        <v>0</v>
      </c>
      <c r="N35" s="8023">
        <v>0</v>
      </c>
      <c r="O35" s="9092"/>
      <c r="P35" s="8088"/>
      <c r="Q35" s="7932"/>
      <c r="R35" s="8509"/>
    </row>
    <row r="36" spans="2:18" s="7872" customFormat="1" ht="20.100000000000001" hidden="1" customHeight="1">
      <c r="B36" s="9081"/>
      <c r="C36" s="8649"/>
      <c r="D36" s="9493" t="s">
        <v>146</v>
      </c>
      <c r="E36" s="9494"/>
      <c r="F36" s="7953" t="s">
        <v>33</v>
      </c>
      <c r="G36" s="8505"/>
      <c r="H36" s="8545"/>
      <c r="I36" s="9497" t="s">
        <v>147</v>
      </c>
      <c r="J36" s="9498"/>
      <c r="K36" s="8124" t="s">
        <v>148</v>
      </c>
      <c r="L36" s="8340">
        <v>0</v>
      </c>
      <c r="M36" s="8341">
        <v>0</v>
      </c>
      <c r="N36" s="8342">
        <v>0</v>
      </c>
      <c r="O36" s="9090"/>
      <c r="P36" s="8088"/>
      <c r="Q36" s="7932"/>
      <c r="R36" s="8509"/>
    </row>
    <row r="37" spans="2:18" s="7872" customFormat="1" ht="20.100000000000001" hidden="1" customHeight="1">
      <c r="B37" s="9081"/>
      <c r="C37" s="8687"/>
      <c r="D37" s="9493" t="s">
        <v>149</v>
      </c>
      <c r="E37" s="9494"/>
      <c r="F37" s="7953" t="s">
        <v>33</v>
      </c>
      <c r="G37" s="8505"/>
      <c r="H37" s="8545"/>
      <c r="I37" s="9497" t="s">
        <v>150</v>
      </c>
      <c r="J37" s="9498"/>
      <c r="K37" s="8124" t="s">
        <v>151</v>
      </c>
      <c r="L37" s="8340">
        <v>0</v>
      </c>
      <c r="M37" s="8341">
        <v>0</v>
      </c>
      <c r="N37" s="8342">
        <v>0</v>
      </c>
      <c r="O37" s="9088"/>
      <c r="P37" s="8088"/>
      <c r="Q37" s="7932"/>
      <c r="R37" s="8509"/>
    </row>
    <row r="38" spans="2:18" s="7872" customFormat="1" ht="20.100000000000001" customHeight="1">
      <c r="B38" s="9081"/>
      <c r="C38" s="8687"/>
      <c r="D38" s="9492" t="s">
        <v>183</v>
      </c>
      <c r="E38" s="9492"/>
      <c r="F38" s="8268" t="s">
        <v>175</v>
      </c>
      <c r="G38" s="8700"/>
      <c r="H38" s="8744"/>
      <c r="I38" s="9475" t="s">
        <v>184</v>
      </c>
      <c r="J38" s="9475"/>
      <c r="K38" s="8336" t="s">
        <v>128</v>
      </c>
      <c r="L38" s="8327">
        <f>SUM(L39:L44)</f>
        <v>40.513620602700001</v>
      </c>
      <c r="M38" s="8117">
        <f>SUM(M39:M44)</f>
        <v>84.26183979519999</v>
      </c>
      <c r="N38" s="8205">
        <f>SUM(N39:N44)</f>
        <v>403.09959257611968</v>
      </c>
      <c r="O38" s="9085" t="s">
        <v>3789</v>
      </c>
      <c r="P38" s="7932"/>
      <c r="Q38" s="7992" t="s">
        <v>173</v>
      </c>
      <c r="R38" s="8509"/>
    </row>
    <row r="39" spans="2:18" s="7872" customFormat="1" ht="20.100000000000001" hidden="1" customHeight="1">
      <c r="B39" s="9081"/>
      <c r="C39" s="8649"/>
      <c r="D39" s="9495" t="s">
        <v>134</v>
      </c>
      <c r="E39" s="9496"/>
      <c r="F39" s="7953" t="s">
        <v>33</v>
      </c>
      <c r="G39" s="8583"/>
      <c r="H39" s="8545"/>
      <c r="I39" s="9478" t="s">
        <v>135</v>
      </c>
      <c r="J39" s="9479"/>
      <c r="K39" s="7933" t="s">
        <v>35</v>
      </c>
      <c r="L39" s="8925" t="s">
        <v>178</v>
      </c>
      <c r="M39" s="8926" t="s">
        <v>178</v>
      </c>
      <c r="N39" s="8927">
        <v>0</v>
      </c>
      <c r="O39" s="9093" t="s">
        <v>168</v>
      </c>
      <c r="P39" s="7932"/>
      <c r="Q39" s="7992"/>
      <c r="R39" s="8509"/>
    </row>
    <row r="40" spans="2:18" s="7872" customFormat="1" ht="20.100000000000001" hidden="1" customHeight="1">
      <c r="B40" s="9081"/>
      <c r="C40" s="8505"/>
      <c r="D40" s="9493" t="s">
        <v>137</v>
      </c>
      <c r="E40" s="9494"/>
      <c r="F40" s="7953" t="s">
        <v>33</v>
      </c>
      <c r="G40" s="8583"/>
      <c r="H40" s="8545"/>
      <c r="I40" s="9478" t="s">
        <v>138</v>
      </c>
      <c r="J40" s="9479"/>
      <c r="K40" s="8150" t="s">
        <v>142</v>
      </c>
      <c r="L40" s="8337">
        <f>'4DPLEX'!W80</f>
        <v>0</v>
      </c>
      <c r="M40" s="8338">
        <f>'4DPLEX'!Y80</f>
        <v>0</v>
      </c>
      <c r="N40" s="8339">
        <f>'4DPLEX'!AA80</f>
        <v>0.47699407281964429</v>
      </c>
      <c r="O40" s="9092"/>
      <c r="P40" s="7932"/>
      <c r="Q40" s="7992"/>
      <c r="R40" s="8509"/>
    </row>
    <row r="41" spans="2:18" s="7872" customFormat="1" ht="20.100000000000001" hidden="1" customHeight="1">
      <c r="B41" s="9081"/>
      <c r="C41" s="8505"/>
      <c r="D41" s="9493" t="s">
        <v>140</v>
      </c>
      <c r="E41" s="9494"/>
      <c r="F41" s="7953" t="s">
        <v>33</v>
      </c>
      <c r="G41" s="8505"/>
      <c r="H41" s="8545"/>
      <c r="I41" s="9497" t="s">
        <v>141</v>
      </c>
      <c r="J41" s="9498"/>
      <c r="K41" s="8124" t="s">
        <v>142</v>
      </c>
      <c r="L41" s="8340">
        <v>0</v>
      </c>
      <c r="M41" s="8001">
        <v>0</v>
      </c>
      <c r="N41" s="8342">
        <v>0</v>
      </c>
      <c r="O41" s="9092"/>
      <c r="P41" s="8088"/>
      <c r="Q41" s="7932"/>
      <c r="R41" s="8509"/>
    </row>
    <row r="42" spans="2:18" s="7872" customFormat="1" ht="20.100000000000001" hidden="1" customHeight="1">
      <c r="B42" s="9081"/>
      <c r="C42" s="8649"/>
      <c r="D42" s="9493" t="s">
        <v>143</v>
      </c>
      <c r="E42" s="9494"/>
      <c r="F42" s="7953" t="s">
        <v>33</v>
      </c>
      <c r="G42" s="8505"/>
      <c r="H42" s="8545"/>
      <c r="I42" s="9497" t="s">
        <v>144</v>
      </c>
      <c r="J42" s="9498"/>
      <c r="K42" s="8124" t="s">
        <v>145</v>
      </c>
      <c r="L42" s="8340">
        <v>0</v>
      </c>
      <c r="M42" s="8341">
        <v>0</v>
      </c>
      <c r="N42" s="8342">
        <v>0</v>
      </c>
      <c r="O42" s="9084"/>
      <c r="P42" s="8088"/>
      <c r="Q42" s="7932"/>
      <c r="R42" s="8509"/>
    </row>
    <row r="43" spans="2:18" s="7872" customFormat="1" ht="20.100000000000001" hidden="1" customHeight="1">
      <c r="B43" s="9081"/>
      <c r="C43" s="8687"/>
      <c r="D43" s="9493" t="s">
        <v>146</v>
      </c>
      <c r="E43" s="9494"/>
      <c r="F43" s="7953" t="s">
        <v>33</v>
      </c>
      <c r="G43" s="8505"/>
      <c r="H43" s="8545"/>
      <c r="I43" s="9497" t="s">
        <v>147</v>
      </c>
      <c r="J43" s="9498"/>
      <c r="K43" s="8124" t="s">
        <v>148</v>
      </c>
      <c r="L43" s="8340">
        <v>0</v>
      </c>
      <c r="M43" s="8341">
        <v>0</v>
      </c>
      <c r="N43" s="8342">
        <v>0</v>
      </c>
      <c r="O43" s="9087"/>
      <c r="P43" s="8088"/>
      <c r="Q43" s="7932"/>
      <c r="R43" s="8509"/>
    </row>
    <row r="44" spans="2:18" s="7872" customFormat="1" ht="20.100000000000001" hidden="1" customHeight="1">
      <c r="B44" s="9081"/>
      <c r="C44" s="8687"/>
      <c r="D44" s="9493" t="s">
        <v>149</v>
      </c>
      <c r="E44" s="9494"/>
      <c r="F44" s="8835" t="s">
        <v>33</v>
      </c>
      <c r="G44" s="8852"/>
      <c r="H44" s="9155"/>
      <c r="I44" s="9499" t="s">
        <v>150</v>
      </c>
      <c r="J44" s="9500"/>
      <c r="K44" s="8853" t="s">
        <v>151</v>
      </c>
      <c r="L44" s="8902">
        <f>451103.67*'(참고) 연도별 기말환율'!D58/10^6</f>
        <v>40.513620602700001</v>
      </c>
      <c r="M44" s="8903">
        <f>1244268.16*'(참고) 연도별 기말환율'!C58/10^6</f>
        <v>84.26183979519999</v>
      </c>
      <c r="N44" s="8344">
        <f>9215440.57*'(참고) 연도별 기말환율'!B58/10^6</f>
        <v>402.62259850330003</v>
      </c>
      <c r="O44" s="9094" t="s">
        <v>3622</v>
      </c>
      <c r="P44" s="8088"/>
      <c r="Q44" s="7932"/>
      <c r="R44" s="8509"/>
    </row>
    <row r="45" spans="2:18" s="7872" customFormat="1" ht="20.100000000000001" customHeight="1">
      <c r="B45" s="9081"/>
      <c r="C45" s="8535" t="s">
        <v>187</v>
      </c>
      <c r="D45" s="8836"/>
      <c r="E45" s="8836"/>
      <c r="F45" s="8836"/>
      <c r="G45" s="9157"/>
      <c r="H45" s="9158" t="s">
        <v>188</v>
      </c>
      <c r="I45" s="9158"/>
      <c r="J45" s="8836"/>
      <c r="K45" s="8837"/>
      <c r="L45" s="8838"/>
      <c r="M45" s="8839"/>
      <c r="N45" s="8840"/>
      <c r="O45" s="9095"/>
      <c r="P45" s="8943"/>
      <c r="Q45" s="7992" t="s">
        <v>190</v>
      </c>
      <c r="R45" s="8610"/>
    </row>
    <row r="46" spans="2:18" s="7872" customFormat="1" ht="20.100000000000001" customHeight="1">
      <c r="B46" s="9081"/>
      <c r="C46" s="8583"/>
      <c r="D46" s="9501" t="s">
        <v>191</v>
      </c>
      <c r="E46" s="9502"/>
      <c r="F46" s="9159"/>
      <c r="G46" s="8842"/>
      <c r="H46" s="8842"/>
      <c r="I46" s="9502" t="s">
        <v>192</v>
      </c>
      <c r="J46" s="9503"/>
      <c r="K46" s="9160" t="s">
        <v>156</v>
      </c>
      <c r="L46" s="8345"/>
      <c r="M46" s="8241"/>
      <c r="N46" s="8218"/>
      <c r="O46" s="9082"/>
      <c r="P46" s="8944"/>
      <c r="Q46" s="7992" t="s">
        <v>190</v>
      </c>
      <c r="R46" s="8610"/>
    </row>
    <row r="47" spans="2:18" s="7872" customFormat="1" ht="20.100000000000001" customHeight="1">
      <c r="B47" s="9096"/>
      <c r="C47" s="7940"/>
      <c r="D47" s="9493" t="s">
        <v>134</v>
      </c>
      <c r="E47" s="9494"/>
      <c r="F47" s="8835" t="s">
        <v>156</v>
      </c>
      <c r="G47" s="8843"/>
      <c r="H47" s="8844"/>
      <c r="I47" s="9511" t="s">
        <v>135</v>
      </c>
      <c r="J47" s="9512"/>
      <c r="K47" s="8835" t="s">
        <v>156</v>
      </c>
      <c r="L47" s="8328">
        <v>32</v>
      </c>
      <c r="M47" s="8847">
        <v>51</v>
      </c>
      <c r="N47" s="8848">
        <v>47</v>
      </c>
      <c r="O47" s="9097"/>
      <c r="P47" s="7932"/>
      <c r="Q47" s="7932"/>
      <c r="R47" s="8509"/>
    </row>
    <row r="48" spans="2:18" s="7872" customFormat="1" ht="20.100000000000001" customHeight="1">
      <c r="B48" s="9096"/>
      <c r="C48" s="7940"/>
      <c r="D48" s="9493" t="s">
        <v>137</v>
      </c>
      <c r="E48" s="9494"/>
      <c r="F48" s="8835" t="s">
        <v>156</v>
      </c>
      <c r="G48" s="8843"/>
      <c r="H48" s="8844"/>
      <c r="I48" s="9511" t="s">
        <v>138</v>
      </c>
      <c r="J48" s="9512"/>
      <c r="K48" s="8835" t="s">
        <v>156</v>
      </c>
      <c r="L48" s="8346" t="s">
        <v>168</v>
      </c>
      <c r="M48" s="8018" t="s">
        <v>168</v>
      </c>
      <c r="N48" s="8019" t="s">
        <v>168</v>
      </c>
      <c r="O48" s="9098" t="s">
        <v>3645</v>
      </c>
      <c r="P48" s="7932"/>
      <c r="Q48" s="7932"/>
      <c r="R48" s="8509"/>
    </row>
    <row r="49" spans="1:18" ht="20.100000000000001" customHeight="1">
      <c r="A49" s="7872"/>
      <c r="B49" s="9096"/>
      <c r="C49" s="7940"/>
      <c r="D49" s="9493" t="s">
        <v>140</v>
      </c>
      <c r="E49" s="9494"/>
      <c r="F49" s="8835" t="s">
        <v>156</v>
      </c>
      <c r="G49" s="8843"/>
      <c r="H49" s="8844"/>
      <c r="I49" s="9513" t="s">
        <v>141</v>
      </c>
      <c r="J49" s="9514"/>
      <c r="K49" s="8835" t="s">
        <v>156</v>
      </c>
      <c r="L49" s="8346">
        <v>40.9</v>
      </c>
      <c r="M49" s="8018">
        <v>41.3</v>
      </c>
      <c r="N49" s="8019">
        <v>42.4</v>
      </c>
      <c r="O49" s="9099"/>
      <c r="P49" s="7932"/>
      <c r="Q49" s="7932"/>
      <c r="R49" s="8509"/>
    </row>
    <row r="50" spans="1:18" ht="20.100000000000001" customHeight="1">
      <c r="A50" s="7872"/>
      <c r="B50" s="9096"/>
      <c r="C50" s="7940"/>
      <c r="D50" s="9493" t="s">
        <v>143</v>
      </c>
      <c r="E50" s="9494"/>
      <c r="F50" s="8835" t="s">
        <v>156</v>
      </c>
      <c r="G50" s="8843"/>
      <c r="H50" s="8844"/>
      <c r="I50" s="9513" t="s">
        <v>144</v>
      </c>
      <c r="J50" s="9514"/>
      <c r="K50" s="8835" t="s">
        <v>156</v>
      </c>
      <c r="L50" s="8347">
        <v>44.7</v>
      </c>
      <c r="M50" s="8018">
        <v>46.6</v>
      </c>
      <c r="N50" s="8019">
        <v>43.2</v>
      </c>
      <c r="O50" s="9099"/>
      <c r="P50" s="7932"/>
      <c r="Q50" s="7932"/>
      <c r="R50" s="8509"/>
    </row>
    <row r="51" spans="1:18" ht="30">
      <c r="A51" s="7872"/>
      <c r="B51" s="9096"/>
      <c r="C51" s="7940"/>
      <c r="D51" s="9493" t="s">
        <v>146</v>
      </c>
      <c r="E51" s="9494"/>
      <c r="F51" s="8835" t="s">
        <v>156</v>
      </c>
      <c r="G51" s="8843"/>
      <c r="H51" s="8844"/>
      <c r="I51" s="9513" t="s">
        <v>147</v>
      </c>
      <c r="J51" s="9514"/>
      <c r="K51" s="8835" t="s">
        <v>156</v>
      </c>
      <c r="L51" s="8352">
        <v>6</v>
      </c>
      <c r="M51" s="8018">
        <v>46.6</v>
      </c>
      <c r="N51" s="8019">
        <v>37.700000000000003</v>
      </c>
      <c r="O51" s="9099" t="s">
        <v>3594</v>
      </c>
      <c r="P51" s="7932"/>
      <c r="Q51" s="7932"/>
      <c r="R51" s="8509"/>
    </row>
    <row r="52" spans="1:18" ht="20.100000000000001" customHeight="1">
      <c r="A52" s="7872"/>
      <c r="B52" s="9096"/>
      <c r="C52" s="7940"/>
      <c r="D52" s="9493" t="s">
        <v>149</v>
      </c>
      <c r="E52" s="9494"/>
      <c r="F52" s="8835" t="s">
        <v>156</v>
      </c>
      <c r="G52" s="8843"/>
      <c r="H52" s="8844"/>
      <c r="I52" s="9513" t="s">
        <v>150</v>
      </c>
      <c r="J52" s="9514"/>
      <c r="K52" s="8835" t="s">
        <v>156</v>
      </c>
      <c r="L52" s="8346">
        <v>50.2</v>
      </c>
      <c r="M52" s="8018">
        <v>50</v>
      </c>
      <c r="N52" s="8019">
        <v>50</v>
      </c>
      <c r="O52" s="9099"/>
      <c r="P52" s="7932"/>
      <c r="Q52" s="7932"/>
      <c r="R52" s="8509"/>
    </row>
    <row r="53" spans="1:18" ht="36.75" customHeight="1">
      <c r="A53" s="7872"/>
      <c r="B53" s="9081"/>
      <c r="C53" s="8687"/>
      <c r="D53" s="9504" t="s">
        <v>194</v>
      </c>
      <c r="E53" s="9504"/>
      <c r="F53" s="8833"/>
      <c r="G53" s="8850"/>
      <c r="H53" s="8850"/>
      <c r="I53" s="9502" t="s">
        <v>195</v>
      </c>
      <c r="J53" s="9503"/>
      <c r="K53" s="8851" t="s">
        <v>156</v>
      </c>
      <c r="L53" s="8348"/>
      <c r="M53" s="8349"/>
      <c r="N53" s="8350"/>
      <c r="O53" s="9085"/>
      <c r="P53" s="8945"/>
      <c r="Q53" s="8351" t="s">
        <v>190</v>
      </c>
      <c r="R53" s="8746"/>
    </row>
    <row r="54" spans="1:18" ht="20.100000000000001" customHeight="1">
      <c r="A54" s="7872"/>
      <c r="B54" s="9096"/>
      <c r="C54" s="7939"/>
      <c r="D54" s="9437" t="s">
        <v>134</v>
      </c>
      <c r="E54" s="9439"/>
      <c r="F54" s="7953" t="s">
        <v>156</v>
      </c>
      <c r="G54" s="8514"/>
      <c r="H54" s="8528"/>
      <c r="I54" s="9505" t="s">
        <v>135</v>
      </c>
      <c r="J54" s="9479"/>
      <c r="K54" s="7953" t="s">
        <v>156</v>
      </c>
      <c r="L54" s="8347">
        <v>100</v>
      </c>
      <c r="M54" s="8107">
        <v>100</v>
      </c>
      <c r="N54" s="8108">
        <v>100</v>
      </c>
      <c r="O54" s="9099"/>
      <c r="P54" s="7932"/>
      <c r="Q54" s="7932"/>
      <c r="R54" s="8509"/>
    </row>
    <row r="55" spans="1:18" ht="20.100000000000001" customHeight="1">
      <c r="A55" s="7872"/>
      <c r="B55" s="9096"/>
      <c r="C55" s="7939"/>
      <c r="D55" s="9437" t="s">
        <v>137</v>
      </c>
      <c r="E55" s="9439"/>
      <c r="F55" s="7953" t="s">
        <v>156</v>
      </c>
      <c r="G55" s="8514"/>
      <c r="H55" s="8528"/>
      <c r="I55" s="9505" t="s">
        <v>138</v>
      </c>
      <c r="J55" s="9479"/>
      <c r="K55" s="7953" t="s">
        <v>156</v>
      </c>
      <c r="L55" s="8352">
        <v>92</v>
      </c>
      <c r="M55" s="8217">
        <v>64</v>
      </c>
      <c r="N55" s="8255">
        <v>87</v>
      </c>
      <c r="O55" s="9083"/>
      <c r="P55" s="7932"/>
      <c r="Q55" s="7932"/>
      <c r="R55" s="8509"/>
    </row>
    <row r="56" spans="1:18" ht="20.100000000000001" customHeight="1">
      <c r="A56" s="7872"/>
      <c r="B56" s="9096"/>
      <c r="C56" s="7939"/>
      <c r="D56" s="9437" t="s">
        <v>140</v>
      </c>
      <c r="E56" s="9439"/>
      <c r="F56" s="7953" t="s">
        <v>156</v>
      </c>
      <c r="G56" s="8514"/>
      <c r="H56" s="8528"/>
      <c r="I56" s="9510" t="s">
        <v>141</v>
      </c>
      <c r="J56" s="9498"/>
      <c r="K56" s="7953" t="s">
        <v>156</v>
      </c>
      <c r="L56" s="8347">
        <v>100</v>
      </c>
      <c r="M56" s="8107">
        <v>100</v>
      </c>
      <c r="N56" s="8297">
        <v>100</v>
      </c>
      <c r="O56" s="9099"/>
      <c r="P56" s="7932"/>
      <c r="Q56" s="7932"/>
      <c r="R56" s="8509"/>
    </row>
    <row r="57" spans="1:18" ht="20.100000000000001" customHeight="1">
      <c r="A57" s="7872"/>
      <c r="B57" s="9096"/>
      <c r="C57" s="7939"/>
      <c r="D57" s="9437" t="s">
        <v>143</v>
      </c>
      <c r="E57" s="9439"/>
      <c r="F57" s="7953" t="s">
        <v>156</v>
      </c>
      <c r="G57" s="8514"/>
      <c r="H57" s="8528"/>
      <c r="I57" s="9510" t="s">
        <v>144</v>
      </c>
      <c r="J57" s="9498"/>
      <c r="K57" s="7953" t="s">
        <v>156</v>
      </c>
      <c r="L57" s="8346" t="s">
        <v>168</v>
      </c>
      <c r="M57" s="8018" t="s">
        <v>168</v>
      </c>
      <c r="N57" s="8019" t="s">
        <v>168</v>
      </c>
      <c r="O57" s="9099" t="s">
        <v>3584</v>
      </c>
      <c r="P57" s="7932"/>
      <c r="Q57" s="7932"/>
      <c r="R57" s="8509"/>
    </row>
    <row r="58" spans="1:18" ht="20.100000000000001" customHeight="1">
      <c r="A58" s="7872"/>
      <c r="B58" s="9096"/>
      <c r="C58" s="7939"/>
      <c r="D58" s="9437" t="s">
        <v>146</v>
      </c>
      <c r="E58" s="9439"/>
      <c r="F58" s="7953" t="s">
        <v>156</v>
      </c>
      <c r="G58" s="8514"/>
      <c r="H58" s="8528"/>
      <c r="I58" s="9510" t="s">
        <v>147</v>
      </c>
      <c r="J58" s="9498"/>
      <c r="K58" s="7953" t="s">
        <v>156</v>
      </c>
      <c r="L58" s="8347">
        <v>100</v>
      </c>
      <c r="M58" s="8107">
        <v>100</v>
      </c>
      <c r="N58" s="8297">
        <v>100</v>
      </c>
      <c r="O58" s="9099"/>
      <c r="P58" s="7932"/>
      <c r="Q58" s="7932"/>
      <c r="R58" s="8509"/>
    </row>
    <row r="59" spans="1:18" ht="20.100000000000001" customHeight="1" thickBot="1">
      <c r="A59" s="7872"/>
      <c r="B59" s="9100"/>
      <c r="C59" s="9101"/>
      <c r="D59" s="9506" t="s">
        <v>149</v>
      </c>
      <c r="E59" s="9507"/>
      <c r="F59" s="9102" t="s">
        <v>156</v>
      </c>
      <c r="G59" s="9103"/>
      <c r="H59" s="9104"/>
      <c r="I59" s="9508" t="s">
        <v>150</v>
      </c>
      <c r="J59" s="9509"/>
      <c r="K59" s="9102" t="s">
        <v>156</v>
      </c>
      <c r="L59" s="9105" t="s">
        <v>168</v>
      </c>
      <c r="M59" s="9106" t="s">
        <v>168</v>
      </c>
      <c r="N59" s="9107" t="s">
        <v>168</v>
      </c>
      <c r="O59" s="9108" t="s">
        <v>3584</v>
      </c>
      <c r="P59" s="8221"/>
      <c r="Q59" s="8221"/>
      <c r="R59" s="8674"/>
    </row>
    <row r="60" spans="1:18">
      <c r="C60" s="8051"/>
      <c r="D60" s="8051"/>
      <c r="E60" s="8051"/>
      <c r="G60" s="8052"/>
      <c r="H60" s="8052"/>
      <c r="I60" s="8052"/>
      <c r="J60" s="8052"/>
      <c r="L60" s="8053"/>
      <c r="M60" s="8053"/>
      <c r="N60" s="8053"/>
    </row>
    <row r="61" spans="1:18">
      <c r="L61" s="8053"/>
      <c r="M61" s="8053"/>
      <c r="N61" s="8053"/>
    </row>
    <row r="62" spans="1:18" s="7906" customFormat="1">
      <c r="A62" s="7887"/>
      <c r="B62" s="7887"/>
      <c r="C62" s="7887"/>
      <c r="D62" s="7887"/>
      <c r="E62" s="7887"/>
      <c r="F62" s="7887"/>
      <c r="G62" s="8056"/>
      <c r="H62" s="8056"/>
      <c r="I62" s="8056"/>
      <c r="J62" s="8056"/>
      <c r="K62" s="7887"/>
      <c r="L62" s="8053"/>
      <c r="M62" s="8053"/>
      <c r="N62" s="8053"/>
      <c r="O62" s="8054"/>
      <c r="P62" s="8055"/>
      <c r="Q62" s="8055"/>
      <c r="R62" s="8055"/>
    </row>
    <row r="63" spans="1:18" s="7906" customFormat="1">
      <c r="A63" s="7887"/>
      <c r="B63" s="7887"/>
      <c r="C63" s="7887"/>
      <c r="D63" s="7887"/>
      <c r="E63" s="7887"/>
      <c r="F63" s="7887"/>
      <c r="G63" s="8056"/>
      <c r="H63" s="8056"/>
      <c r="I63" s="8056"/>
      <c r="J63" s="8056"/>
      <c r="K63" s="7887"/>
      <c r="L63" s="8053"/>
      <c r="M63" s="8053"/>
      <c r="N63" s="8053"/>
      <c r="O63" s="8054"/>
      <c r="P63" s="8055"/>
      <c r="Q63" s="8055"/>
      <c r="R63" s="8055"/>
    </row>
    <row r="64" spans="1:18" s="7906" customFormat="1">
      <c r="A64" s="7887"/>
      <c r="B64" s="7887"/>
      <c r="C64" s="7887"/>
      <c r="D64" s="7887"/>
      <c r="E64" s="7887"/>
      <c r="F64" s="7887"/>
      <c r="G64" s="8056"/>
      <c r="H64" s="8056"/>
      <c r="I64" s="8056"/>
      <c r="J64" s="8056"/>
      <c r="K64" s="7887"/>
      <c r="L64" s="8053"/>
      <c r="M64" s="8053"/>
      <c r="N64" s="8053"/>
      <c r="O64" s="8054"/>
      <c r="P64" s="8055"/>
      <c r="Q64" s="8055"/>
      <c r="R64" s="8055"/>
    </row>
    <row r="71" spans="1:15" s="8055" customFormat="1">
      <c r="A71" s="7887"/>
      <c r="B71" s="7887"/>
      <c r="C71" s="7887"/>
      <c r="D71" s="7887"/>
      <c r="E71" s="7887"/>
      <c r="F71" s="7887"/>
      <c r="G71" s="8056"/>
      <c r="H71" s="8056"/>
      <c r="I71" s="8056"/>
      <c r="J71" s="8056"/>
      <c r="K71" s="7887"/>
      <c r="L71" s="8058"/>
      <c r="M71" s="8058"/>
      <c r="N71" s="8058"/>
      <c r="O71" s="8054"/>
    </row>
  </sheetData>
  <sheetProtection algorithmName="SHA-512" hashValue="IOK6cjTick0gA6eQiApCIxeNr1XQ7zTMFZMPI5AkmS3GUZyr7jMCz+E3j1Dhg63QyAyUcPNcyaKHzVCxasQWQQ==" saltValue="ZvcGBv+euyKlW5cX5v4rlQ==" spinCount="100000" sheet="1" objects="1" scenarios="1"/>
  <autoFilter ref="B13:R59" xr:uid="{84B1DD60-0C92-4670-BF3F-2EF620B35AC7}"/>
  <mergeCells count="91">
    <mergeCell ref="D50:E50"/>
    <mergeCell ref="I50:J50"/>
    <mergeCell ref="D51:E51"/>
    <mergeCell ref="I51:J51"/>
    <mergeCell ref="D52:E52"/>
    <mergeCell ref="I52:J52"/>
    <mergeCell ref="D47:E47"/>
    <mergeCell ref="I47:J47"/>
    <mergeCell ref="D48:E48"/>
    <mergeCell ref="I48:J48"/>
    <mergeCell ref="D49:E49"/>
    <mergeCell ref="I49:J49"/>
    <mergeCell ref="D59:E59"/>
    <mergeCell ref="I59:J59"/>
    <mergeCell ref="D56:E56"/>
    <mergeCell ref="I56:J56"/>
    <mergeCell ref="D57:E57"/>
    <mergeCell ref="I57:J57"/>
    <mergeCell ref="D58:E58"/>
    <mergeCell ref="I58:J58"/>
    <mergeCell ref="D53:E53"/>
    <mergeCell ref="I53:J53"/>
    <mergeCell ref="D54:E54"/>
    <mergeCell ref="I54:J54"/>
    <mergeCell ref="D55:E55"/>
    <mergeCell ref="I55:J55"/>
    <mergeCell ref="D43:E43"/>
    <mergeCell ref="I43:J43"/>
    <mergeCell ref="D44:E44"/>
    <mergeCell ref="I44:J44"/>
    <mergeCell ref="D46:E46"/>
    <mergeCell ref="I46:J46"/>
    <mergeCell ref="D40:E40"/>
    <mergeCell ref="I40:J40"/>
    <mergeCell ref="D41:E41"/>
    <mergeCell ref="I41:J41"/>
    <mergeCell ref="D42:E42"/>
    <mergeCell ref="I42:J42"/>
    <mergeCell ref="D37:E37"/>
    <mergeCell ref="I37:J37"/>
    <mergeCell ref="D38:E38"/>
    <mergeCell ref="I38:J38"/>
    <mergeCell ref="D39:E39"/>
    <mergeCell ref="I39:J39"/>
    <mergeCell ref="D34:E34"/>
    <mergeCell ref="I34:J34"/>
    <mergeCell ref="D35:E35"/>
    <mergeCell ref="I35:J35"/>
    <mergeCell ref="D36:E36"/>
    <mergeCell ref="I36:J36"/>
    <mergeCell ref="D31:E31"/>
    <mergeCell ref="I31:J31"/>
    <mergeCell ref="D32:E32"/>
    <mergeCell ref="I32:J32"/>
    <mergeCell ref="D33:E33"/>
    <mergeCell ref="I33:J33"/>
    <mergeCell ref="D28:E28"/>
    <mergeCell ref="I28:J28"/>
    <mergeCell ref="D29:E29"/>
    <mergeCell ref="I29:J29"/>
    <mergeCell ref="D30:E30"/>
    <mergeCell ref="I30:J30"/>
    <mergeCell ref="D25:E25"/>
    <mergeCell ref="I25:J25"/>
    <mergeCell ref="D26:E26"/>
    <mergeCell ref="I26:J26"/>
    <mergeCell ref="D27:E27"/>
    <mergeCell ref="I27:J27"/>
    <mergeCell ref="C23:F23"/>
    <mergeCell ref="H23:J23"/>
    <mergeCell ref="D24:E24"/>
    <mergeCell ref="I24:J24"/>
    <mergeCell ref="D21:E21"/>
    <mergeCell ref="I21:J21"/>
    <mergeCell ref="D22:E22"/>
    <mergeCell ref="I22:J22"/>
    <mergeCell ref="D18:E18"/>
    <mergeCell ref="I18:J18"/>
    <mergeCell ref="D19:E19"/>
    <mergeCell ref="I19:J19"/>
    <mergeCell ref="D20:E20"/>
    <mergeCell ref="I20:J20"/>
    <mergeCell ref="P12:R12"/>
    <mergeCell ref="D16:E16"/>
    <mergeCell ref="I16:J16"/>
    <mergeCell ref="D17:E17"/>
    <mergeCell ref="I17:J17"/>
    <mergeCell ref="B12:F12"/>
    <mergeCell ref="G12:J12"/>
    <mergeCell ref="L12:N12"/>
    <mergeCell ref="O12:O13"/>
  </mergeCells>
  <phoneticPr fontId="3" type="noConversion"/>
  <conditionalFormatting sqref="L16:N16">
    <cfRule type="cellIs" dxfId="293" priority="13" operator="equal">
      <formula>"미취합법인有"</formula>
    </cfRule>
  </conditionalFormatting>
  <conditionalFormatting sqref="L24:N24">
    <cfRule type="cellIs" dxfId="292" priority="3" operator="equal">
      <formula>"미취합법인有"</formula>
    </cfRule>
  </conditionalFormatting>
  <conditionalFormatting sqref="L31:N31">
    <cfRule type="cellIs" dxfId="291" priority="2" operator="equal">
      <formula>"미취합법인有"</formula>
    </cfRule>
  </conditionalFormatting>
  <conditionalFormatting sqref="L38:N38">
    <cfRule type="cellIs" dxfId="290" priority="1" operator="equal">
      <formula>"미취합법인有"</formula>
    </cfRule>
  </conditionalFormatting>
  <conditionalFormatting sqref="L46:N46">
    <cfRule type="cellIs" dxfId="289" priority="26" operator="equal">
      <formula>"미취합법인有"</formula>
    </cfRule>
  </conditionalFormatting>
  <conditionalFormatting sqref="L53:N53">
    <cfRule type="cellIs" dxfId="288" priority="25" operator="equal">
      <formula>"미취합법인有"</formula>
    </cfRule>
  </conditionalFormatting>
  <pageMargins left="0.25" right="0.25" top="0.75" bottom="0.75" header="0" footer="0"/>
  <pageSetup paperSize="8"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53E82-F2D3-44BE-B7D4-D03DEBE139B0}">
  <sheetPr>
    <tabColor rgb="FFA9EB3D"/>
    <pageSetUpPr fitToPage="1"/>
  </sheetPr>
  <dimension ref="A1:BL382"/>
  <sheetViews>
    <sheetView showGridLines="0" view="pageBreakPreview" zoomScale="85" zoomScaleNormal="85" zoomScaleSheetLayoutView="85" workbookViewId="0">
      <pane xSplit="11" ySplit="14" topLeftCell="L15" activePane="bottomRight" state="frozen"/>
      <selection pane="topRight" activeCell="L1" sqref="L1"/>
      <selection pane="bottomLeft" activeCell="A15" sqref="A15"/>
      <selection pane="bottomRight" activeCell="E2" sqref="E2"/>
    </sheetView>
  </sheetViews>
  <sheetFormatPr defaultColWidth="0" defaultRowHeight="15"/>
  <cols>
    <col min="1" max="1" width="1.125" style="7887" customWidth="1"/>
    <col min="2" max="2" width="4.625" style="7887" customWidth="1"/>
    <col min="3" max="3" width="9.75" style="7887" customWidth="1"/>
    <col min="4" max="4" width="12.125" style="7887" customWidth="1"/>
    <col min="5" max="5" width="54" style="7887" customWidth="1"/>
    <col min="6" max="6" width="16.5" style="7887" customWidth="1"/>
    <col min="7" max="7" width="6.125" style="7887" hidden="1" customWidth="1"/>
    <col min="8" max="8" width="9.75" style="7887" hidden="1" customWidth="1"/>
    <col min="9" max="9" width="25.5" style="7887" hidden="1" customWidth="1"/>
    <col min="10" max="10" width="23.5" style="7887" hidden="1" customWidth="1"/>
    <col min="11" max="11" width="16.5" style="7887" hidden="1" customWidth="1"/>
    <col min="12" max="14" width="15.625" style="8058" customWidth="1"/>
    <col min="15" max="15" width="60.125" style="7909" customWidth="1"/>
    <col min="16" max="16" width="12.25" style="8055" hidden="1" customWidth="1"/>
    <col min="17" max="17" width="11.75" style="8055" hidden="1" customWidth="1"/>
    <col min="18" max="18" width="13.875" style="8055" hidden="1" customWidth="1"/>
    <col min="19" max="49" width="0" style="7887" hidden="1" customWidth="1"/>
    <col min="50" max="64" width="0" style="7872" hidden="1" customWidth="1"/>
    <col min="65" max="16384" width="13" style="7872" hidden="1"/>
  </cols>
  <sheetData>
    <row r="1" spans="1:49" ht="10.9" customHeight="1">
      <c r="A1" s="7881"/>
      <c r="B1" s="8222"/>
      <c r="C1" s="8222"/>
      <c r="D1" s="8222"/>
      <c r="E1" s="8222"/>
      <c r="F1" s="8223"/>
      <c r="G1" s="8675"/>
      <c r="H1" s="8676"/>
      <c r="I1" s="8676"/>
      <c r="J1" s="8676"/>
      <c r="K1" s="8223"/>
      <c r="L1" s="8224"/>
      <c r="M1" s="8224"/>
      <c r="N1" s="8224"/>
      <c r="O1" s="8225"/>
      <c r="P1" s="8226"/>
      <c r="Q1" s="8226"/>
      <c r="R1" s="8226"/>
    </row>
    <row r="2" spans="1:49" s="7894" customFormat="1" ht="33" customHeight="1">
      <c r="A2" s="7888"/>
      <c r="B2" s="8227" t="s">
        <v>3641</v>
      </c>
      <c r="C2" s="8228"/>
      <c r="D2" s="8222"/>
      <c r="E2" s="8222"/>
      <c r="F2" s="8223"/>
      <c r="G2" s="8675"/>
      <c r="H2" s="8229"/>
      <c r="I2" s="8676"/>
      <c r="J2" s="8223"/>
      <c r="K2" s="8223"/>
      <c r="L2" s="8224"/>
      <c r="M2" s="8677"/>
      <c r="N2" s="8224"/>
      <c r="O2" s="8225"/>
      <c r="P2" s="8230"/>
      <c r="Q2" s="8230"/>
      <c r="R2" s="8230"/>
      <c r="S2" s="7893"/>
      <c r="T2" s="7893"/>
      <c r="U2" s="7893"/>
      <c r="V2" s="7893"/>
      <c r="W2" s="7893"/>
      <c r="X2" s="7893"/>
      <c r="Y2" s="7893"/>
      <c r="Z2" s="7893"/>
      <c r="AA2" s="7893"/>
      <c r="AB2" s="7893"/>
      <c r="AC2" s="7893"/>
      <c r="AD2" s="7893"/>
      <c r="AE2" s="7893"/>
      <c r="AF2" s="7893"/>
      <c r="AG2" s="7893"/>
      <c r="AH2" s="7893"/>
      <c r="AI2" s="7893"/>
      <c r="AJ2" s="7893"/>
      <c r="AK2" s="7893"/>
      <c r="AL2" s="7893"/>
      <c r="AM2" s="7893"/>
      <c r="AN2" s="7893"/>
      <c r="AO2" s="7893"/>
      <c r="AP2" s="7893"/>
      <c r="AQ2" s="7893"/>
      <c r="AR2" s="7893"/>
      <c r="AS2" s="7893"/>
      <c r="AT2" s="7893"/>
      <c r="AU2" s="7893"/>
      <c r="AV2" s="7893"/>
      <c r="AW2" s="7893"/>
    </row>
    <row r="3" spans="1:49" ht="11.45" customHeight="1">
      <c r="A3" s="7872"/>
      <c r="B3" s="8678"/>
      <c r="C3" s="8678"/>
      <c r="D3" s="8678"/>
      <c r="E3" s="8678"/>
      <c r="F3" s="8223"/>
      <c r="G3" s="8675"/>
      <c r="H3" s="8676"/>
      <c r="I3" s="8676"/>
      <c r="J3" s="8676"/>
      <c r="K3" s="8223"/>
      <c r="L3" s="8224"/>
      <c r="M3" s="8224"/>
      <c r="N3" s="8224"/>
      <c r="O3" s="8225"/>
      <c r="P3" s="8231"/>
      <c r="Q3" s="8231"/>
      <c r="R3" s="8231"/>
    </row>
    <row r="4" spans="1:49" ht="10.15" customHeight="1">
      <c r="A4" s="7872"/>
      <c r="B4" s="7872"/>
      <c r="C4" s="7872"/>
      <c r="D4" s="7872"/>
      <c r="E4" s="7872"/>
      <c r="F4" s="7896"/>
      <c r="G4" s="7872"/>
      <c r="H4" s="7872"/>
      <c r="I4" s="7872"/>
      <c r="J4" s="7872"/>
      <c r="K4" s="7896"/>
      <c r="L4" s="8471"/>
      <c r="M4" s="8471"/>
      <c r="N4" s="8471"/>
      <c r="P4" s="7896"/>
      <c r="Q4" s="7896"/>
      <c r="R4" s="7896"/>
    </row>
    <row r="5" spans="1:49" ht="20.65" hidden="1" customHeight="1">
      <c r="A5" s="7872"/>
      <c r="B5" s="8472" t="s">
        <v>111</v>
      </c>
      <c r="C5" s="8473"/>
      <c r="D5" s="8473"/>
      <c r="E5" s="8473"/>
      <c r="F5" s="8474"/>
      <c r="G5" s="8474"/>
      <c r="H5" s="7872"/>
      <c r="I5" s="8475"/>
      <c r="J5" s="8475"/>
      <c r="K5" s="7897"/>
      <c r="L5" s="8476"/>
      <c r="M5" s="8476"/>
      <c r="N5" s="8476"/>
      <c r="O5" s="8232"/>
      <c r="P5" s="7899"/>
      <c r="Q5" s="7899"/>
      <c r="R5" s="7899"/>
    </row>
    <row r="6" spans="1:49" ht="20.65" hidden="1" customHeight="1" thickBot="1">
      <c r="A6" s="7872"/>
      <c r="B6" s="8477" t="s">
        <v>112</v>
      </c>
      <c r="C6" s="7872"/>
      <c r="D6" s="7872"/>
      <c r="E6" s="8475"/>
      <c r="F6" s="8478"/>
      <c r="G6" s="8478"/>
      <c r="H6" s="8475"/>
      <c r="I6" s="8475"/>
      <c r="J6" s="8475"/>
      <c r="K6" s="7897"/>
      <c r="L6" s="8476"/>
      <c r="M6" s="8479"/>
      <c r="N6" s="8476"/>
      <c r="O6" s="8232"/>
      <c r="P6" s="7899"/>
      <c r="Q6" s="7899"/>
      <c r="R6" s="7899"/>
    </row>
    <row r="7" spans="1:49" ht="20.65" hidden="1" customHeight="1" thickBot="1">
      <c r="A7" s="7872"/>
      <c r="B7" s="8477" t="s">
        <v>3534</v>
      </c>
      <c r="C7" s="7872"/>
      <c r="D7" s="7872"/>
      <c r="E7" s="8475"/>
      <c r="F7" s="8478"/>
      <c r="G7" s="8478"/>
      <c r="H7" s="8475"/>
      <c r="I7" s="8475"/>
      <c r="J7" s="8475"/>
      <c r="K7" s="7900"/>
      <c r="L7" s="8476"/>
      <c r="M7" s="8480"/>
      <c r="N7" s="8476"/>
      <c r="O7" s="8232"/>
      <c r="P7" s="7899"/>
      <c r="Q7" s="7899"/>
      <c r="R7" s="7899"/>
    </row>
    <row r="8" spans="1:49" ht="20.65" hidden="1" customHeight="1" thickBot="1">
      <c r="A8" s="7872"/>
      <c r="B8" s="8477" t="s">
        <v>3535</v>
      </c>
      <c r="C8" s="7872"/>
      <c r="D8" s="7872"/>
      <c r="E8" s="8475"/>
      <c r="F8" s="8478"/>
      <c r="G8" s="8478"/>
      <c r="H8" s="7901"/>
      <c r="I8" s="7902"/>
      <c r="J8" s="8481"/>
      <c r="K8" s="7904"/>
      <c r="L8" s="7905"/>
      <c r="M8" s="7905"/>
      <c r="N8" s="8476"/>
      <c r="O8" s="8232"/>
      <c r="P8" s="7899"/>
      <c r="Q8" s="7899"/>
      <c r="R8" s="7899"/>
    </row>
    <row r="9" spans="1:49" ht="20.65" hidden="1" customHeight="1" thickBot="1">
      <c r="A9" s="7872"/>
      <c r="B9" s="8477" t="s">
        <v>115</v>
      </c>
      <c r="C9" s="7872"/>
      <c r="D9" s="7872"/>
      <c r="E9" s="8475"/>
      <c r="F9" s="8478"/>
      <c r="G9" s="8478"/>
      <c r="H9" s="8482"/>
      <c r="I9" s="7902" t="s">
        <v>116</v>
      </c>
      <c r="J9" s="8481"/>
      <c r="K9" s="7904"/>
      <c r="L9" s="7905"/>
      <c r="M9" s="7905"/>
      <c r="N9" s="8476"/>
      <c r="O9" s="8232"/>
      <c r="P9" s="7899"/>
      <c r="Q9" s="7899"/>
      <c r="R9" s="7899"/>
    </row>
    <row r="10" spans="1:49" ht="20.65" hidden="1" customHeight="1" thickBot="1">
      <c r="A10" s="7872"/>
      <c r="B10" s="8483" t="s">
        <v>117</v>
      </c>
      <c r="C10" s="8484"/>
      <c r="D10" s="8484"/>
      <c r="E10" s="8485"/>
      <c r="F10" s="8486"/>
      <c r="G10" s="8486"/>
      <c r="H10" s="8487"/>
      <c r="I10" s="7902" t="s">
        <v>118</v>
      </c>
      <c r="J10" s="8481"/>
      <c r="K10" s="7904"/>
      <c r="L10" s="7905"/>
      <c r="M10" s="7905"/>
      <c r="N10" s="8476"/>
      <c r="O10" s="8232"/>
      <c r="P10" s="7899"/>
      <c r="Q10" s="7899"/>
      <c r="R10" s="7899"/>
    </row>
    <row r="11" spans="1:49" ht="17.25" customHeight="1" thickBot="1">
      <c r="A11" s="7872"/>
      <c r="B11" s="8747" t="s">
        <v>3638</v>
      </c>
      <c r="C11" s="7906"/>
      <c r="D11" s="8067"/>
      <c r="E11" s="8067"/>
      <c r="F11" s="7907"/>
      <c r="G11" s="7906"/>
      <c r="H11" s="8067"/>
      <c r="I11" s="8067"/>
      <c r="J11" s="8067"/>
      <c r="K11" s="7907"/>
      <c r="L11" s="7908"/>
      <c r="M11" s="8471"/>
      <c r="N11" s="8488"/>
      <c r="P11" s="7907"/>
      <c r="Q11" s="7907"/>
      <c r="R11" s="7907"/>
    </row>
    <row r="12" spans="1:49" ht="26.65" customHeight="1" thickTop="1" thickBot="1">
      <c r="A12" s="7910"/>
      <c r="B12" s="9464" t="s">
        <v>1</v>
      </c>
      <c r="C12" s="9464"/>
      <c r="D12" s="9464"/>
      <c r="E12" s="9464"/>
      <c r="F12" s="9464"/>
      <c r="G12" s="9515" t="s">
        <v>2</v>
      </c>
      <c r="H12" s="9515"/>
      <c r="I12" s="9515"/>
      <c r="J12" s="9515"/>
      <c r="K12" s="8489"/>
      <c r="L12" s="9464" t="s">
        <v>3</v>
      </c>
      <c r="M12" s="9464"/>
      <c r="N12" s="9516"/>
      <c r="O12" s="9518" t="s">
        <v>3588</v>
      </c>
      <c r="P12" s="9466" t="s">
        <v>11</v>
      </c>
      <c r="Q12" s="9467"/>
      <c r="R12" s="9468"/>
    </row>
    <row r="13" spans="1:49" ht="21.6" customHeight="1" thickTop="1" thickBot="1">
      <c r="A13" s="7910"/>
      <c r="B13" s="7911"/>
      <c r="C13" s="7912" t="s">
        <v>12</v>
      </c>
      <c r="D13" s="7912" t="s">
        <v>13</v>
      </c>
      <c r="E13" s="7912" t="s">
        <v>14</v>
      </c>
      <c r="F13" s="7912" t="s">
        <v>15</v>
      </c>
      <c r="G13" s="7913" t="s">
        <v>16</v>
      </c>
      <c r="H13" s="7913" t="s">
        <v>12</v>
      </c>
      <c r="I13" s="7913" t="s">
        <v>13</v>
      </c>
      <c r="J13" s="7913" t="s">
        <v>14</v>
      </c>
      <c r="K13" s="7914" t="s">
        <v>17</v>
      </c>
      <c r="L13" s="7915" t="s">
        <v>18</v>
      </c>
      <c r="M13" s="7916" t="s">
        <v>20</v>
      </c>
      <c r="N13" s="7917" t="s">
        <v>21</v>
      </c>
      <c r="O13" s="9518"/>
      <c r="P13" s="8929" t="s">
        <v>23</v>
      </c>
      <c r="Q13" s="8068" t="s">
        <v>24</v>
      </c>
      <c r="R13" s="8069" t="s">
        <v>25</v>
      </c>
    </row>
    <row r="14" spans="1:49" ht="21.75" thickBot="1">
      <c r="A14" s="7910"/>
      <c r="B14" s="7920" t="s">
        <v>197</v>
      </c>
      <c r="C14" s="7921"/>
      <c r="D14" s="7921"/>
      <c r="E14" s="7921"/>
      <c r="F14" s="7922"/>
      <c r="G14" s="9161" t="s">
        <v>198</v>
      </c>
      <c r="H14" s="7921"/>
      <c r="I14" s="7921"/>
      <c r="J14" s="7921"/>
      <c r="K14" s="9162"/>
      <c r="L14" s="8680"/>
      <c r="M14" s="8681"/>
      <c r="N14" s="8682"/>
      <c r="O14" s="8951"/>
      <c r="P14" s="8683"/>
      <c r="Q14" s="8683"/>
      <c r="R14" s="8684"/>
    </row>
    <row r="15" spans="1:49" ht="21.75" thickBot="1">
      <c r="A15" s="7872"/>
      <c r="B15" s="8073" t="s">
        <v>199</v>
      </c>
      <c r="C15" s="8074"/>
      <c r="D15" s="8074"/>
      <c r="E15" s="8074"/>
      <c r="F15" s="8075"/>
      <c r="G15" s="9163" t="s">
        <v>200</v>
      </c>
      <c r="H15" s="8074"/>
      <c r="I15" s="8074"/>
      <c r="J15" s="8074"/>
      <c r="K15" s="9164"/>
      <c r="L15" s="8233"/>
      <c r="M15" s="8234"/>
      <c r="N15" s="8235"/>
      <c r="O15" s="8952"/>
      <c r="P15" s="8080"/>
      <c r="Q15" s="8080"/>
      <c r="R15" s="8496"/>
    </row>
    <row r="16" spans="1:49" ht="20.100000000000001" customHeight="1">
      <c r="A16" s="7872"/>
      <c r="B16" s="8497"/>
      <c r="C16" s="9519" t="s">
        <v>3760</v>
      </c>
      <c r="D16" s="9519"/>
      <c r="E16" s="9519"/>
      <c r="F16" s="8120" t="s">
        <v>3536</v>
      </c>
      <c r="G16" s="8513"/>
      <c r="H16" s="9519" t="s">
        <v>202</v>
      </c>
      <c r="I16" s="9519"/>
      <c r="J16" s="9519"/>
      <c r="K16" s="8120" t="s">
        <v>203</v>
      </c>
      <c r="L16" s="8042">
        <f>SUM(L17:L22)</f>
        <v>133451.85</v>
      </c>
      <c r="M16" s="8036">
        <f>SUM(M17:M22)</f>
        <v>150268.91</v>
      </c>
      <c r="N16" s="8037">
        <f>SUM(N17:N22)</f>
        <v>149421.35400000002</v>
      </c>
      <c r="O16" s="8953"/>
      <c r="P16" s="8088" t="s">
        <v>207</v>
      </c>
      <c r="Q16" s="7955"/>
      <c r="R16" s="8509"/>
    </row>
    <row r="17" spans="1:18" ht="45">
      <c r="A17" s="7872"/>
      <c r="B17" s="8501"/>
      <c r="C17" s="9520" t="s">
        <v>134</v>
      </c>
      <c r="D17" s="9520"/>
      <c r="E17" s="9520"/>
      <c r="F17" s="8084" t="s">
        <v>3536</v>
      </c>
      <c r="G17" s="8505"/>
      <c r="H17" s="9478" t="s">
        <v>135</v>
      </c>
      <c r="I17" s="9478"/>
      <c r="J17" s="9478"/>
      <c r="K17" s="8084" t="s">
        <v>203</v>
      </c>
      <c r="L17" s="8178">
        <v>60684</v>
      </c>
      <c r="M17" s="8132">
        <v>71356</v>
      </c>
      <c r="N17" s="8113">
        <v>69731</v>
      </c>
      <c r="O17" s="8954" t="s">
        <v>3751</v>
      </c>
      <c r="P17" s="8088"/>
      <c r="Q17" s="7932"/>
      <c r="R17" s="8509"/>
    </row>
    <row r="18" spans="1:18" ht="20.100000000000001" customHeight="1">
      <c r="A18" s="7872"/>
      <c r="B18" s="8501"/>
      <c r="C18" s="9520" t="s">
        <v>137</v>
      </c>
      <c r="D18" s="9520"/>
      <c r="E18" s="9520"/>
      <c r="F18" s="8084" t="s">
        <v>3536</v>
      </c>
      <c r="G18" s="8505"/>
      <c r="H18" s="9478" t="s">
        <v>138</v>
      </c>
      <c r="I18" s="9478"/>
      <c r="J18" s="9478"/>
      <c r="K18" s="8084" t="s">
        <v>203</v>
      </c>
      <c r="L18" s="8237" t="s">
        <v>168</v>
      </c>
      <c r="M18" s="8238" t="s">
        <v>169</v>
      </c>
      <c r="N18" s="8113">
        <f t="shared" ref="N18:N19" si="0">N25+N32</f>
        <v>556.83400000000006</v>
      </c>
      <c r="O18" s="8954" t="s">
        <v>3591</v>
      </c>
      <c r="P18" s="8088"/>
      <c r="Q18" s="7932"/>
      <c r="R18" s="8509"/>
    </row>
    <row r="19" spans="1:18" ht="20.100000000000001" customHeight="1">
      <c r="A19" s="7872"/>
      <c r="B19" s="8501"/>
      <c r="C19" s="9520" t="s">
        <v>140</v>
      </c>
      <c r="D19" s="9520"/>
      <c r="E19" s="9520"/>
      <c r="F19" s="8084" t="s">
        <v>3536</v>
      </c>
      <c r="G19" s="8505"/>
      <c r="H19" s="9478" t="s">
        <v>141</v>
      </c>
      <c r="I19" s="9478"/>
      <c r="J19" s="9478"/>
      <c r="K19" s="8084" t="s">
        <v>203</v>
      </c>
      <c r="L19" s="8178">
        <f>L26+L33</f>
        <v>47258.76</v>
      </c>
      <c r="M19" s="8132">
        <f>M26+M33</f>
        <v>40802.720000000001</v>
      </c>
      <c r="N19" s="8113">
        <f t="shared" si="0"/>
        <v>42084.51</v>
      </c>
      <c r="O19" s="8954"/>
      <c r="P19" s="8088"/>
      <c r="Q19" s="7932"/>
      <c r="R19" s="8509"/>
    </row>
    <row r="20" spans="1:18" ht="20.100000000000001" customHeight="1">
      <c r="A20" s="7872"/>
      <c r="B20" s="8501"/>
      <c r="C20" s="9520" t="s">
        <v>143</v>
      </c>
      <c r="D20" s="9520"/>
      <c r="E20" s="9520"/>
      <c r="F20" s="8084" t="s">
        <v>3536</v>
      </c>
      <c r="G20" s="8505"/>
      <c r="H20" s="9478" t="s">
        <v>144</v>
      </c>
      <c r="I20" s="9478"/>
      <c r="J20" s="9478"/>
      <c r="K20" s="8084" t="s">
        <v>203</v>
      </c>
      <c r="L20" s="8237">
        <f>L34</f>
        <v>8477.86</v>
      </c>
      <c r="M20" s="8238">
        <f>M34</f>
        <v>18502.04</v>
      </c>
      <c r="N20" s="8239">
        <f>N34</f>
        <v>20697.919999999998</v>
      </c>
      <c r="O20" s="8954" t="s">
        <v>3620</v>
      </c>
      <c r="P20" s="8088"/>
      <c r="Q20" s="7932"/>
      <c r="R20" s="8509"/>
    </row>
    <row r="21" spans="1:18" ht="20.100000000000001" customHeight="1">
      <c r="A21" s="7872"/>
      <c r="B21" s="8501"/>
      <c r="C21" s="9523" t="s">
        <v>146</v>
      </c>
      <c r="D21" s="9523"/>
      <c r="E21" s="9523"/>
      <c r="F21" s="9138" t="s">
        <v>3536</v>
      </c>
      <c r="G21" s="8583"/>
      <c r="H21" s="9524" t="s">
        <v>147</v>
      </c>
      <c r="I21" s="9524"/>
      <c r="J21" s="9524"/>
      <c r="K21" s="9138" t="s">
        <v>203</v>
      </c>
      <c r="L21" s="8178" t="s">
        <v>168</v>
      </c>
      <c r="M21" s="8132" t="s">
        <v>169</v>
      </c>
      <c r="N21" s="8113" t="s">
        <v>169</v>
      </c>
      <c r="O21" s="8954" t="s">
        <v>3584</v>
      </c>
      <c r="P21" s="8088"/>
      <c r="Q21" s="7932"/>
      <c r="R21" s="8509"/>
    </row>
    <row r="22" spans="1:18" ht="20.100000000000001" customHeight="1">
      <c r="A22" s="7872"/>
      <c r="B22" s="8501"/>
      <c r="C22" s="9520" t="s">
        <v>149</v>
      </c>
      <c r="D22" s="9520"/>
      <c r="E22" s="9520"/>
      <c r="F22" s="8084" t="s">
        <v>3536</v>
      </c>
      <c r="G22" s="8505"/>
      <c r="H22" s="9478" t="s">
        <v>150</v>
      </c>
      <c r="I22" s="9478"/>
      <c r="J22" s="9478"/>
      <c r="K22" s="8084" t="s">
        <v>203</v>
      </c>
      <c r="L22" s="8178">
        <f>L29+L36</f>
        <v>17031.23</v>
      </c>
      <c r="M22" s="8132">
        <f>M29+M36</f>
        <v>19608.150000000001</v>
      </c>
      <c r="N22" s="8113">
        <f>N29+N36</f>
        <v>16351.09</v>
      </c>
      <c r="O22" s="8954"/>
      <c r="P22" s="8088"/>
      <c r="Q22" s="7932"/>
      <c r="R22" s="8509"/>
    </row>
    <row r="23" spans="1:18" ht="20.100000000000001" customHeight="1">
      <c r="A23" s="7872"/>
      <c r="B23" s="8501"/>
      <c r="C23" s="8590"/>
      <c r="D23" s="9517" t="s">
        <v>210</v>
      </c>
      <c r="E23" s="9517"/>
      <c r="F23" s="8184" t="s">
        <v>3536</v>
      </c>
      <c r="G23" s="8513"/>
      <c r="H23" s="8686"/>
      <c r="I23" s="9522" t="s">
        <v>211</v>
      </c>
      <c r="J23" s="9522"/>
      <c r="K23" s="8240" t="s">
        <v>212</v>
      </c>
      <c r="L23" s="8042">
        <f>SUM(L24:L29)</f>
        <v>8752.24</v>
      </c>
      <c r="M23" s="8241">
        <f>SUM(M24:M29)</f>
        <v>10697.82</v>
      </c>
      <c r="N23" s="8037">
        <f>SUM(N24:N29)</f>
        <v>9643.4279999999999</v>
      </c>
      <c r="O23" s="8946" t="s">
        <v>3649</v>
      </c>
      <c r="P23" s="8088" t="s">
        <v>215</v>
      </c>
      <c r="Q23" s="7932" t="s">
        <v>216</v>
      </c>
      <c r="R23" s="8509"/>
    </row>
    <row r="24" spans="1:18" ht="30">
      <c r="A24" s="7872"/>
      <c r="B24" s="8501"/>
      <c r="C24" s="8687"/>
      <c r="D24" s="9437" t="s">
        <v>134</v>
      </c>
      <c r="E24" s="9437"/>
      <c r="F24" s="8084" t="s">
        <v>3536</v>
      </c>
      <c r="G24" s="8505"/>
      <c r="H24" s="8583"/>
      <c r="I24" s="9478" t="s">
        <v>135</v>
      </c>
      <c r="J24" s="9478"/>
      <c r="K24" s="8124" t="s">
        <v>212</v>
      </c>
      <c r="L24" s="8242">
        <v>7184.4</v>
      </c>
      <c r="M24" s="8243">
        <v>7712.3</v>
      </c>
      <c r="N24" s="8113">
        <v>7590.4170000000004</v>
      </c>
      <c r="O24" s="8955" t="s">
        <v>3650</v>
      </c>
      <c r="P24" s="8088"/>
      <c r="Q24" s="7932"/>
      <c r="R24" s="8509"/>
    </row>
    <row r="25" spans="1:18" ht="20.100000000000001" customHeight="1">
      <c r="A25" s="7872"/>
      <c r="B25" s="8501"/>
      <c r="C25" s="8687"/>
      <c r="D25" s="9437" t="s">
        <v>137</v>
      </c>
      <c r="E25" s="9437"/>
      <c r="F25" s="8084" t="s">
        <v>3536</v>
      </c>
      <c r="G25" s="8505"/>
      <c r="H25" s="8583"/>
      <c r="I25" s="9478" t="s">
        <v>138</v>
      </c>
      <c r="J25" s="9478"/>
      <c r="K25" s="8124" t="s">
        <v>212</v>
      </c>
      <c r="L25" s="8178" t="s">
        <v>168</v>
      </c>
      <c r="M25" s="8132" t="s">
        <v>169</v>
      </c>
      <c r="N25" s="8113">
        <v>71.001000000000005</v>
      </c>
      <c r="O25" s="8947" t="s">
        <v>3647</v>
      </c>
      <c r="P25" s="8088"/>
      <c r="Q25" s="7932"/>
      <c r="R25" s="8509"/>
    </row>
    <row r="26" spans="1:18" ht="18">
      <c r="A26" s="7872"/>
      <c r="B26" s="8501"/>
      <c r="C26" s="8687"/>
      <c r="D26" s="9437" t="s">
        <v>140</v>
      </c>
      <c r="E26" s="9437"/>
      <c r="F26" s="8084" t="s">
        <v>3536</v>
      </c>
      <c r="G26" s="8505"/>
      <c r="H26" s="8583"/>
      <c r="I26" s="9497" t="s">
        <v>141</v>
      </c>
      <c r="J26" s="9497"/>
      <c r="K26" s="8124" t="s">
        <v>212</v>
      </c>
      <c r="L26" s="8242">
        <v>52.85</v>
      </c>
      <c r="M26" s="8243">
        <v>43.53</v>
      </c>
      <c r="N26" s="8239">
        <v>43.61</v>
      </c>
      <c r="O26" s="8947" t="s">
        <v>3747</v>
      </c>
      <c r="P26" s="8088"/>
      <c r="Q26" s="7932"/>
      <c r="R26" s="8509"/>
    </row>
    <row r="27" spans="1:18" ht="20.100000000000001" customHeight="1">
      <c r="A27" s="7872"/>
      <c r="B27" s="8501"/>
      <c r="C27" s="8687"/>
      <c r="D27" s="9437" t="s">
        <v>143</v>
      </c>
      <c r="E27" s="9437"/>
      <c r="F27" s="9138" t="s">
        <v>3536</v>
      </c>
      <c r="G27" s="8505"/>
      <c r="H27" s="8505"/>
      <c r="I27" s="9497" t="s">
        <v>144</v>
      </c>
      <c r="J27" s="9497"/>
      <c r="K27" s="8124" t="s">
        <v>212</v>
      </c>
      <c r="L27" s="8178" t="s">
        <v>168</v>
      </c>
      <c r="M27" s="8132" t="s">
        <v>169</v>
      </c>
      <c r="N27" s="8113" t="s">
        <v>169</v>
      </c>
      <c r="O27" s="8954" t="s">
        <v>3584</v>
      </c>
      <c r="P27" s="8088"/>
      <c r="Q27" s="7932"/>
      <c r="R27" s="8509"/>
    </row>
    <row r="28" spans="1:18" ht="20.100000000000001" customHeight="1">
      <c r="A28" s="7872"/>
      <c r="B28" s="8501"/>
      <c r="C28" s="8687"/>
      <c r="D28" s="9437" t="s">
        <v>146</v>
      </c>
      <c r="E28" s="9437"/>
      <c r="F28" s="9138" t="s">
        <v>3536</v>
      </c>
      <c r="G28" s="8505"/>
      <c r="H28" s="8505"/>
      <c r="I28" s="9497" t="s">
        <v>147</v>
      </c>
      <c r="J28" s="9497"/>
      <c r="K28" s="8124" t="s">
        <v>212</v>
      </c>
      <c r="L28" s="8178" t="s">
        <v>168</v>
      </c>
      <c r="M28" s="8132" t="s">
        <v>169</v>
      </c>
      <c r="N28" s="8113" t="s">
        <v>169</v>
      </c>
      <c r="O28" s="8954" t="s">
        <v>3584</v>
      </c>
      <c r="P28" s="8088"/>
      <c r="Q28" s="7932"/>
      <c r="R28" s="8509"/>
    </row>
    <row r="29" spans="1:18" ht="31.5">
      <c r="A29" s="7872"/>
      <c r="B29" s="8501"/>
      <c r="C29" s="8583"/>
      <c r="D29" s="9437" t="s">
        <v>149</v>
      </c>
      <c r="E29" s="9437"/>
      <c r="F29" s="8084" t="s">
        <v>3536</v>
      </c>
      <c r="G29" s="8505"/>
      <c r="H29" s="8583"/>
      <c r="I29" s="9497" t="s">
        <v>150</v>
      </c>
      <c r="J29" s="9497"/>
      <c r="K29" s="8124" t="s">
        <v>212</v>
      </c>
      <c r="L29" s="8178">
        <v>1514.99</v>
      </c>
      <c r="M29" s="8132">
        <v>2941.99</v>
      </c>
      <c r="N29" s="8113">
        <v>1938.4</v>
      </c>
      <c r="O29" s="8948" t="s">
        <v>3790</v>
      </c>
      <c r="P29" s="8088"/>
      <c r="Q29" s="7932"/>
      <c r="R29" s="8509"/>
    </row>
    <row r="30" spans="1:18" ht="20.100000000000001" customHeight="1">
      <c r="A30" s="7872"/>
      <c r="B30" s="8510"/>
      <c r="C30" s="8688"/>
      <c r="D30" s="9522" t="s">
        <v>217</v>
      </c>
      <c r="E30" s="9522"/>
      <c r="F30" s="8184" t="s">
        <v>3536</v>
      </c>
      <c r="G30" s="8513"/>
      <c r="H30" s="8686"/>
      <c r="I30" s="8511" t="s">
        <v>218</v>
      </c>
      <c r="J30" s="8512"/>
      <c r="K30" s="8240" t="s">
        <v>203</v>
      </c>
      <c r="L30" s="8042">
        <f>SUM(L31:L36)</f>
        <v>124761.91</v>
      </c>
      <c r="M30" s="8241">
        <f>SUM(M31:M36)</f>
        <v>139636.31</v>
      </c>
      <c r="N30" s="8037">
        <f>SUM(N31:N36)</f>
        <v>139845.065</v>
      </c>
      <c r="O30" s="8946" t="s">
        <v>3648</v>
      </c>
      <c r="P30" s="7932" t="s">
        <v>221</v>
      </c>
      <c r="Q30" s="8088" t="s">
        <v>222</v>
      </c>
      <c r="R30" s="8509"/>
    </row>
    <row r="31" spans="1:18" ht="30">
      <c r="A31" s="7872"/>
      <c r="B31" s="8501"/>
      <c r="C31" s="8583"/>
      <c r="D31" s="9437" t="s">
        <v>134</v>
      </c>
      <c r="E31" s="9437"/>
      <c r="F31" s="8084" t="s">
        <v>3536</v>
      </c>
      <c r="G31" s="8505"/>
      <c r="H31" s="8583"/>
      <c r="I31" s="9478" t="s">
        <v>135</v>
      </c>
      <c r="J31" s="9478"/>
      <c r="K31" s="8124" t="s">
        <v>203</v>
      </c>
      <c r="L31" s="8242">
        <v>53561.9</v>
      </c>
      <c r="M31" s="8243">
        <v>63708.92</v>
      </c>
      <c r="N31" s="8113">
        <v>62207.722000000002</v>
      </c>
      <c r="O31" s="8955" t="s">
        <v>3650</v>
      </c>
      <c r="P31" s="8088"/>
      <c r="Q31" s="7932"/>
      <c r="R31" s="8509"/>
    </row>
    <row r="32" spans="1:18" ht="20.100000000000001" customHeight="1">
      <c r="A32" s="7872"/>
      <c r="B32" s="8501"/>
      <c r="C32" s="8583"/>
      <c r="D32" s="9437" t="s">
        <v>137</v>
      </c>
      <c r="E32" s="9437"/>
      <c r="F32" s="8084" t="s">
        <v>3536</v>
      </c>
      <c r="G32" s="8505"/>
      <c r="H32" s="8583"/>
      <c r="I32" s="9478" t="s">
        <v>138</v>
      </c>
      <c r="J32" s="9478"/>
      <c r="K32" s="8124" t="s">
        <v>203</v>
      </c>
      <c r="L32" s="8178" t="s">
        <v>168</v>
      </c>
      <c r="M32" s="8132" t="s">
        <v>169</v>
      </c>
      <c r="N32" s="8113">
        <v>485.83300000000003</v>
      </c>
      <c r="O32" s="8947" t="s">
        <v>3647</v>
      </c>
      <c r="P32" s="8088"/>
      <c r="Q32" s="7932"/>
      <c r="R32" s="8509"/>
    </row>
    <row r="33" spans="1:18" ht="18">
      <c r="A33" s="7872"/>
      <c r="B33" s="8501"/>
      <c r="C33" s="8583"/>
      <c r="D33" s="9437" t="s">
        <v>140</v>
      </c>
      <c r="E33" s="9437"/>
      <c r="F33" s="8084" t="s">
        <v>3536</v>
      </c>
      <c r="G33" s="8505"/>
      <c r="H33" s="8583"/>
      <c r="I33" s="9497" t="s">
        <v>141</v>
      </c>
      <c r="J33" s="9497"/>
      <c r="K33" s="8124" t="s">
        <v>203</v>
      </c>
      <c r="L33" s="8242">
        <v>47205.91</v>
      </c>
      <c r="M33" s="8243">
        <v>40759.19</v>
      </c>
      <c r="N33" s="8239">
        <v>42040.9</v>
      </c>
      <c r="O33" s="9137" t="s">
        <v>3748</v>
      </c>
      <c r="P33" s="8088"/>
      <c r="Q33" s="7932"/>
      <c r="R33" s="8509"/>
    </row>
    <row r="34" spans="1:18" ht="18">
      <c r="A34" s="7872"/>
      <c r="B34" s="8501"/>
      <c r="C34" s="8583"/>
      <c r="D34" s="9437" t="s">
        <v>143</v>
      </c>
      <c r="E34" s="9437"/>
      <c r="F34" s="8084" t="s">
        <v>3536</v>
      </c>
      <c r="G34" s="8505"/>
      <c r="H34" s="8583"/>
      <c r="I34" s="9497" t="s">
        <v>144</v>
      </c>
      <c r="J34" s="9497"/>
      <c r="K34" s="8124" t="s">
        <v>203</v>
      </c>
      <c r="L34" s="8178">
        <v>8477.86</v>
      </c>
      <c r="M34" s="8132">
        <v>18502.04</v>
      </c>
      <c r="N34" s="8113">
        <v>20697.919999999998</v>
      </c>
      <c r="O34" s="8947" t="s">
        <v>3774</v>
      </c>
      <c r="P34" s="8088"/>
      <c r="Q34" s="7932"/>
      <c r="R34" s="8509"/>
    </row>
    <row r="35" spans="1:18" ht="20.100000000000001" customHeight="1">
      <c r="A35" s="7872"/>
      <c r="B35" s="8501"/>
      <c r="C35" s="8583"/>
      <c r="D35" s="9437" t="s">
        <v>146</v>
      </c>
      <c r="E35" s="9437"/>
      <c r="F35" s="9138" t="s">
        <v>3536</v>
      </c>
      <c r="G35" s="8505"/>
      <c r="H35" s="8505"/>
      <c r="I35" s="9497" t="s">
        <v>147</v>
      </c>
      <c r="J35" s="9497"/>
      <c r="K35" s="8124" t="s">
        <v>203</v>
      </c>
      <c r="L35" s="8178" t="s">
        <v>168</v>
      </c>
      <c r="M35" s="8132" t="s">
        <v>169</v>
      </c>
      <c r="N35" s="8113" t="s">
        <v>169</v>
      </c>
      <c r="O35" s="8954" t="s">
        <v>3584</v>
      </c>
      <c r="P35" s="8088"/>
      <c r="Q35" s="7932"/>
      <c r="R35" s="8509"/>
    </row>
    <row r="36" spans="1:18" ht="18">
      <c r="A36" s="7872"/>
      <c r="B36" s="8501"/>
      <c r="C36" s="8583"/>
      <c r="D36" s="9437" t="s">
        <v>149</v>
      </c>
      <c r="E36" s="9437"/>
      <c r="F36" s="8084" t="s">
        <v>3536</v>
      </c>
      <c r="G36" s="8505"/>
      <c r="H36" s="8583"/>
      <c r="I36" s="9497" t="s">
        <v>150</v>
      </c>
      <c r="J36" s="9497"/>
      <c r="K36" s="8124" t="s">
        <v>203</v>
      </c>
      <c r="L36" s="8178">
        <v>15516.24</v>
      </c>
      <c r="M36" s="8132">
        <v>16666.16</v>
      </c>
      <c r="N36" s="8113">
        <v>14412.69</v>
      </c>
      <c r="O36" s="8947" t="s">
        <v>3774</v>
      </c>
      <c r="P36" s="8088"/>
      <c r="Q36" s="7932"/>
      <c r="R36" s="8509"/>
    </row>
    <row r="37" spans="1:18" ht="20.100000000000001" customHeight="1">
      <c r="A37" s="7872"/>
      <c r="B37" s="8510"/>
      <c r="C37" s="9521" t="s">
        <v>3636</v>
      </c>
      <c r="D37" s="9521"/>
      <c r="E37" s="9521"/>
      <c r="F37" s="8184" t="s">
        <v>3537</v>
      </c>
      <c r="G37" s="8513"/>
      <c r="H37" s="9517" t="s">
        <v>224</v>
      </c>
      <c r="I37" s="9517"/>
      <c r="J37" s="9517"/>
      <c r="K37" s="8093" t="s">
        <v>225</v>
      </c>
      <c r="L37" s="8186">
        <f>SUM(L17,L19,L20,L22)/SUM(L45,L47,L48,L50)</f>
        <v>19.295740536976606</v>
      </c>
      <c r="M37" s="8244">
        <f>SUM(M17,M19,M20,M22)/SUM(M45,M47,M48,M50)</f>
        <v>13.457564079945334</v>
      </c>
      <c r="N37" s="8245">
        <f>SUM(N17,N19,N20,N22)/SUM(N45,N47,N48,N50)</f>
        <v>10.753573941398196</v>
      </c>
      <c r="O37" s="8946" t="s">
        <v>3679</v>
      </c>
      <c r="P37" s="8088" t="s">
        <v>228</v>
      </c>
      <c r="Q37" s="7955" t="s">
        <v>229</v>
      </c>
      <c r="R37" s="8509"/>
    </row>
    <row r="38" spans="1:18" ht="20.100000000000001" customHeight="1">
      <c r="A38" s="7872"/>
      <c r="B38" s="8501"/>
      <c r="C38" s="9520" t="s">
        <v>134</v>
      </c>
      <c r="D38" s="9520"/>
      <c r="E38" s="9520"/>
      <c r="F38" s="8084" t="s">
        <v>3537</v>
      </c>
      <c r="G38" s="8505"/>
      <c r="H38" s="9478" t="s">
        <v>135</v>
      </c>
      <c r="I38" s="9478"/>
      <c r="J38" s="9478"/>
      <c r="K38" s="8136" t="s">
        <v>225</v>
      </c>
      <c r="L38" s="8242">
        <f>L17/L45</f>
        <v>18.466707038370362</v>
      </c>
      <c r="M38" s="8243">
        <f>M17/M45</f>
        <v>10.098314070077963</v>
      </c>
      <c r="N38" s="8246">
        <f>N17/N45</f>
        <v>9.0170251614454955</v>
      </c>
      <c r="O38" s="8954"/>
      <c r="P38" s="8088"/>
      <c r="Q38" s="7932"/>
      <c r="R38" s="8509"/>
    </row>
    <row r="39" spans="1:18" ht="20.100000000000001" customHeight="1">
      <c r="A39" s="7872"/>
      <c r="B39" s="8501"/>
      <c r="C39" s="9520" t="s">
        <v>137</v>
      </c>
      <c r="D39" s="9520"/>
      <c r="E39" s="9520"/>
      <c r="F39" s="8084" t="s">
        <v>3537</v>
      </c>
      <c r="G39" s="8505"/>
      <c r="H39" s="9478" t="s">
        <v>138</v>
      </c>
      <c r="I39" s="9478"/>
      <c r="J39" s="9478"/>
      <c r="K39" s="8136" t="s">
        <v>225</v>
      </c>
      <c r="L39" s="8178" t="s">
        <v>169</v>
      </c>
      <c r="M39" s="8132" t="s">
        <v>169</v>
      </c>
      <c r="N39" s="8246">
        <f>N18/N46</f>
        <v>0.44653889334402569</v>
      </c>
      <c r="O39" s="8954"/>
      <c r="P39" s="8088"/>
      <c r="Q39" s="7932"/>
      <c r="R39" s="8509"/>
    </row>
    <row r="40" spans="1:18" ht="20.100000000000001" customHeight="1">
      <c r="A40" s="7872"/>
      <c r="B40" s="8501"/>
      <c r="C40" s="9520" t="s">
        <v>140</v>
      </c>
      <c r="D40" s="9520"/>
      <c r="E40" s="9520"/>
      <c r="F40" s="8084" t="s">
        <v>3537</v>
      </c>
      <c r="G40" s="8505"/>
      <c r="H40" s="9478" t="s">
        <v>141</v>
      </c>
      <c r="I40" s="9478"/>
      <c r="J40" s="9478"/>
      <c r="K40" s="8136" t="s">
        <v>225</v>
      </c>
      <c r="L40" s="8242">
        <f>L19/L47</f>
        <v>16.987332854061826</v>
      </c>
      <c r="M40" s="8243">
        <f>M19/M47</f>
        <v>23.355878649112764</v>
      </c>
      <c r="N40" s="8246">
        <f>N19/N47</f>
        <v>13.619582524271845</v>
      </c>
      <c r="O40" s="8954"/>
      <c r="P40" s="8088"/>
      <c r="Q40" s="7932"/>
      <c r="R40" s="8509"/>
    </row>
    <row r="41" spans="1:18" ht="20.100000000000001" customHeight="1">
      <c r="A41" s="7872"/>
      <c r="B41" s="8501"/>
      <c r="C41" s="9520" t="s">
        <v>143</v>
      </c>
      <c r="D41" s="9520"/>
      <c r="E41" s="9520"/>
      <c r="F41" s="8084" t="s">
        <v>3537</v>
      </c>
      <c r="G41" s="8505"/>
      <c r="H41" s="9478" t="s">
        <v>144</v>
      </c>
      <c r="I41" s="9478"/>
      <c r="J41" s="9478"/>
      <c r="K41" s="8136" t="s">
        <v>225</v>
      </c>
      <c r="L41" s="8178">
        <f>L20/L50</f>
        <v>24.084829545454546</v>
      </c>
      <c r="M41" s="8132">
        <f>M20/M50</f>
        <v>21.665152224824357</v>
      </c>
      <c r="N41" s="8247">
        <f>N20/N50</f>
        <v>17.675422715627668</v>
      </c>
      <c r="O41" s="8954"/>
      <c r="P41" s="8088"/>
      <c r="Q41" s="7932"/>
      <c r="R41" s="8509"/>
    </row>
    <row r="42" spans="1:18" ht="20.100000000000001" customHeight="1">
      <c r="A42" s="7872"/>
      <c r="B42" s="8501"/>
      <c r="C42" s="9520" t="s">
        <v>146</v>
      </c>
      <c r="D42" s="9520"/>
      <c r="E42" s="9520"/>
      <c r="F42" s="8084" t="s">
        <v>3537</v>
      </c>
      <c r="G42" s="8505"/>
      <c r="H42" s="9478" t="s">
        <v>147</v>
      </c>
      <c r="I42" s="9478"/>
      <c r="J42" s="9478"/>
      <c r="K42" s="8136" t="s">
        <v>225</v>
      </c>
      <c r="L42" s="8178" t="s">
        <v>169</v>
      </c>
      <c r="M42" s="8132" t="s">
        <v>169</v>
      </c>
      <c r="N42" s="8113" t="s">
        <v>169</v>
      </c>
      <c r="O42" s="8954"/>
      <c r="P42" s="8088"/>
      <c r="Q42" s="7932"/>
      <c r="R42" s="8509"/>
    </row>
    <row r="43" spans="1:18" ht="20.100000000000001" customHeight="1">
      <c r="A43" s="7872"/>
      <c r="B43" s="8501"/>
      <c r="C43" s="9520" t="s">
        <v>149</v>
      </c>
      <c r="D43" s="9520"/>
      <c r="E43" s="9520"/>
      <c r="F43" s="8084" t="s">
        <v>3537</v>
      </c>
      <c r="G43" s="8505"/>
      <c r="H43" s="9478" t="s">
        <v>150</v>
      </c>
      <c r="I43" s="9478"/>
      <c r="J43" s="9478"/>
      <c r="K43" s="8136" t="s">
        <v>225</v>
      </c>
      <c r="L43" s="8178">
        <f>L22/L50</f>
        <v>48.384176136363635</v>
      </c>
      <c r="M43" s="8132">
        <f>M22/M50</f>
        <v>22.960362997658081</v>
      </c>
      <c r="N43" s="8113">
        <f>N22/N50</f>
        <v>13.9633561058924</v>
      </c>
      <c r="O43" s="8954"/>
      <c r="P43" s="8088"/>
      <c r="Q43" s="7932"/>
      <c r="R43" s="8509"/>
    </row>
    <row r="44" spans="1:18" ht="20.100000000000001" customHeight="1">
      <c r="A44" s="7872"/>
      <c r="B44" s="8510"/>
      <c r="C44" s="8689"/>
      <c r="D44" s="9522" t="s">
        <v>232</v>
      </c>
      <c r="E44" s="9522"/>
      <c r="F44" s="8093" t="s">
        <v>233</v>
      </c>
      <c r="G44" s="8513"/>
      <c r="H44" s="8686"/>
      <c r="I44" s="9522" t="s">
        <v>234</v>
      </c>
      <c r="J44" s="9522"/>
      <c r="K44" s="8093" t="s">
        <v>235</v>
      </c>
      <c r="L44" s="8042">
        <f>IF(COUNTBLANK(L45:L50)&gt;0,"미취합법인有",SUM(L45:L50))</f>
        <v>7644.13</v>
      </c>
      <c r="M44" s="8241">
        <f>IF(COUNTBLANK(M45:M50)&gt;0,"미취합법인有",SUM(M45:M50))</f>
        <v>13181.130000000001</v>
      </c>
      <c r="N44" s="8037">
        <f>IF(COUNTBLANK(N45:N50)&gt;0,"미취합법인有",SUM(N45:N50))</f>
        <v>16017.26</v>
      </c>
      <c r="O44" s="8946" t="s">
        <v>236</v>
      </c>
      <c r="P44" s="8088" t="s">
        <v>228</v>
      </c>
      <c r="Q44" s="7955"/>
      <c r="R44" s="8509"/>
    </row>
    <row r="45" spans="1:18" ht="20.100000000000001" customHeight="1">
      <c r="A45" s="7872"/>
      <c r="B45" s="8501"/>
      <c r="C45" s="7939"/>
      <c r="D45" s="9437" t="s">
        <v>134</v>
      </c>
      <c r="E45" s="9437"/>
      <c r="F45" s="8248" t="s">
        <v>233</v>
      </c>
      <c r="G45" s="8505"/>
      <c r="H45" s="8583"/>
      <c r="I45" s="8506" t="s">
        <v>135</v>
      </c>
      <c r="J45" s="8508"/>
      <c r="K45" s="8136" t="s">
        <v>235</v>
      </c>
      <c r="L45" s="7935">
        <v>3286.13</v>
      </c>
      <c r="M45" s="8341">
        <v>7066.13</v>
      </c>
      <c r="N45" s="8091">
        <v>7733.26</v>
      </c>
      <c r="O45" s="8956" t="s">
        <v>3618</v>
      </c>
      <c r="P45" s="8088"/>
      <c r="Q45" s="7932"/>
      <c r="R45" s="8509"/>
    </row>
    <row r="46" spans="1:18" ht="20.100000000000001" customHeight="1">
      <c r="A46" s="7872"/>
      <c r="B46" s="8501"/>
      <c r="C46" s="7939"/>
      <c r="D46" s="9437" t="s">
        <v>137</v>
      </c>
      <c r="E46" s="9437"/>
      <c r="F46" s="8248" t="s">
        <v>233</v>
      </c>
      <c r="G46" s="8505"/>
      <c r="H46" s="8583"/>
      <c r="I46" s="9478" t="s">
        <v>138</v>
      </c>
      <c r="J46" s="9478"/>
      <c r="K46" s="8136" t="s">
        <v>235</v>
      </c>
      <c r="L46" s="7935">
        <v>498</v>
      </c>
      <c r="M46" s="8341">
        <v>1090</v>
      </c>
      <c r="N46" s="8091">
        <v>1247</v>
      </c>
      <c r="O46" s="8956" t="s">
        <v>3618</v>
      </c>
      <c r="P46" s="8088"/>
      <c r="Q46" s="7932"/>
      <c r="R46" s="8509"/>
    </row>
    <row r="47" spans="1:18" ht="20.100000000000001" customHeight="1">
      <c r="A47" s="7872"/>
      <c r="B47" s="8501"/>
      <c r="C47" s="7939"/>
      <c r="D47" s="9437" t="s">
        <v>140</v>
      </c>
      <c r="E47" s="9437"/>
      <c r="F47" s="8248" t="s">
        <v>233</v>
      </c>
      <c r="G47" s="8505"/>
      <c r="H47" s="8583"/>
      <c r="I47" s="9497" t="s">
        <v>141</v>
      </c>
      <c r="J47" s="9497"/>
      <c r="K47" s="9191" t="s">
        <v>235</v>
      </c>
      <c r="L47" s="8896">
        <v>2782</v>
      </c>
      <c r="M47" s="8338">
        <v>1747</v>
      </c>
      <c r="N47" s="8342">
        <v>3090</v>
      </c>
      <c r="O47" s="8957" t="s">
        <v>3618</v>
      </c>
      <c r="P47" s="8088"/>
      <c r="Q47" s="7932"/>
      <c r="R47" s="8509"/>
    </row>
    <row r="48" spans="1:18" ht="20.100000000000001" customHeight="1">
      <c r="A48" s="7872"/>
      <c r="B48" s="8501"/>
      <c r="C48" s="7939"/>
      <c r="D48" s="9437" t="s">
        <v>143</v>
      </c>
      <c r="E48" s="9437"/>
      <c r="F48" s="8248" t="s">
        <v>233</v>
      </c>
      <c r="G48" s="8505"/>
      <c r="H48" s="8583"/>
      <c r="I48" s="9497" t="s">
        <v>144</v>
      </c>
      <c r="J48" s="9497"/>
      <c r="K48" s="9191" t="s">
        <v>235</v>
      </c>
      <c r="L48" s="8897">
        <v>496</v>
      </c>
      <c r="M48" s="8898">
        <v>1499</v>
      </c>
      <c r="N48" s="8023">
        <v>1849</v>
      </c>
      <c r="O48" s="8957" t="s">
        <v>3618</v>
      </c>
      <c r="P48" s="8088"/>
      <c r="Q48" s="7932"/>
      <c r="R48" s="8509"/>
    </row>
    <row r="49" spans="1:18" ht="20.100000000000001" customHeight="1">
      <c r="A49" s="7872"/>
      <c r="B49" s="8501"/>
      <c r="C49" s="7939"/>
      <c r="D49" s="9437" t="s">
        <v>146</v>
      </c>
      <c r="E49" s="9437"/>
      <c r="F49" s="8248" t="s">
        <v>233</v>
      </c>
      <c r="G49" s="8505"/>
      <c r="H49" s="8583"/>
      <c r="I49" s="9497" t="s">
        <v>147</v>
      </c>
      <c r="J49" s="9497"/>
      <c r="K49" s="9191" t="s">
        <v>235</v>
      </c>
      <c r="L49" s="8158">
        <v>230</v>
      </c>
      <c r="M49" s="8099">
        <v>925</v>
      </c>
      <c r="N49" s="8091">
        <v>927</v>
      </c>
      <c r="O49" s="8949" t="s">
        <v>3618</v>
      </c>
      <c r="P49" s="8088"/>
      <c r="Q49" s="7932"/>
      <c r="R49" s="8509"/>
    </row>
    <row r="50" spans="1:18" ht="20.100000000000001" customHeight="1">
      <c r="A50" s="7872"/>
      <c r="B50" s="8501"/>
      <c r="C50" s="7939"/>
      <c r="D50" s="9437" t="s">
        <v>149</v>
      </c>
      <c r="E50" s="9437"/>
      <c r="F50" s="8248" t="s">
        <v>233</v>
      </c>
      <c r="G50" s="8505"/>
      <c r="H50" s="8583"/>
      <c r="I50" s="9497" t="s">
        <v>150</v>
      </c>
      <c r="J50" s="9497"/>
      <c r="K50" s="9191" t="s">
        <v>235</v>
      </c>
      <c r="L50" s="8085">
        <v>352</v>
      </c>
      <c r="M50" s="8899">
        <v>854</v>
      </c>
      <c r="N50" s="8100">
        <v>1171</v>
      </c>
      <c r="O50" s="8949" t="s">
        <v>3618</v>
      </c>
      <c r="P50" s="8088"/>
      <c r="Q50" s="7932"/>
      <c r="R50" s="8509"/>
    </row>
    <row r="51" spans="1:18" ht="20.100000000000001" customHeight="1">
      <c r="A51" s="7872"/>
      <c r="B51" s="8510"/>
      <c r="C51" s="9525" t="s">
        <v>237</v>
      </c>
      <c r="D51" s="9525"/>
      <c r="E51" s="9525"/>
      <c r="F51" s="8184" t="s">
        <v>3536</v>
      </c>
      <c r="G51" s="8555"/>
      <c r="H51" s="9522" t="s">
        <v>238</v>
      </c>
      <c r="I51" s="9522"/>
      <c r="J51" s="9522"/>
      <c r="K51" s="7957" t="s">
        <v>212</v>
      </c>
      <c r="L51" s="8251" t="s">
        <v>168</v>
      </c>
      <c r="M51" s="8252" t="s">
        <v>168</v>
      </c>
      <c r="N51" s="8037" t="s">
        <v>168</v>
      </c>
      <c r="O51" s="8946" t="s">
        <v>3651</v>
      </c>
      <c r="P51" s="8088" t="s">
        <v>241</v>
      </c>
      <c r="Q51" s="8088" t="s">
        <v>242</v>
      </c>
      <c r="R51" s="8509"/>
    </row>
    <row r="52" spans="1:18" ht="20.100000000000001" hidden="1" customHeight="1">
      <c r="A52" s="7872"/>
      <c r="B52" s="8501"/>
      <c r="C52" s="9520" t="s">
        <v>134</v>
      </c>
      <c r="D52" s="9520"/>
      <c r="E52" s="9520"/>
      <c r="F52" s="8084" t="s">
        <v>3536</v>
      </c>
      <c r="G52" s="8505"/>
      <c r="H52" s="9478" t="s">
        <v>135</v>
      </c>
      <c r="I52" s="9478"/>
      <c r="J52" s="9478"/>
      <c r="K52" s="7941" t="s">
        <v>212</v>
      </c>
      <c r="L52" s="8178" t="s">
        <v>169</v>
      </c>
      <c r="M52" s="8132" t="s">
        <v>169</v>
      </c>
      <c r="N52" s="8113" t="s">
        <v>169</v>
      </c>
      <c r="O52" s="8954"/>
      <c r="P52" s="8088"/>
      <c r="Q52" s="7932"/>
      <c r="R52" s="8509"/>
    </row>
    <row r="53" spans="1:18" ht="20.100000000000001" hidden="1" customHeight="1">
      <c r="A53" s="7872"/>
      <c r="B53" s="8501"/>
      <c r="C53" s="9520" t="s">
        <v>137</v>
      </c>
      <c r="D53" s="9520"/>
      <c r="E53" s="9520"/>
      <c r="F53" s="8084" t="s">
        <v>3536</v>
      </c>
      <c r="G53" s="8505"/>
      <c r="H53" s="9478" t="s">
        <v>138</v>
      </c>
      <c r="I53" s="9478"/>
      <c r="J53" s="9478"/>
      <c r="K53" s="7941" t="s">
        <v>212</v>
      </c>
      <c r="L53" s="8178" t="s">
        <v>169</v>
      </c>
      <c r="M53" s="8132" t="s">
        <v>169</v>
      </c>
      <c r="N53" s="8113" t="s">
        <v>169</v>
      </c>
      <c r="O53" s="8954"/>
      <c r="P53" s="8088"/>
      <c r="Q53" s="7932"/>
      <c r="R53" s="8509"/>
    </row>
    <row r="54" spans="1:18" ht="20.100000000000001" hidden="1" customHeight="1">
      <c r="A54" s="7872"/>
      <c r="B54" s="8501"/>
      <c r="C54" s="9520" t="s">
        <v>140</v>
      </c>
      <c r="D54" s="9520"/>
      <c r="E54" s="9520"/>
      <c r="F54" s="8084" t="s">
        <v>3536</v>
      </c>
      <c r="G54" s="8505"/>
      <c r="H54" s="9478" t="s">
        <v>141</v>
      </c>
      <c r="I54" s="9478"/>
      <c r="J54" s="9478"/>
      <c r="K54" s="7941" t="s">
        <v>212</v>
      </c>
      <c r="L54" s="8178" t="s">
        <v>169</v>
      </c>
      <c r="M54" s="8132" t="s">
        <v>169</v>
      </c>
      <c r="N54" s="8113" t="s">
        <v>169</v>
      </c>
      <c r="O54" s="8954"/>
      <c r="P54" s="8088"/>
      <c r="Q54" s="7932"/>
      <c r="R54" s="8509"/>
    </row>
    <row r="55" spans="1:18" ht="20.100000000000001" hidden="1" customHeight="1">
      <c r="A55" s="7872"/>
      <c r="B55" s="8501"/>
      <c r="C55" s="9520" t="s">
        <v>143</v>
      </c>
      <c r="D55" s="9520"/>
      <c r="E55" s="9520"/>
      <c r="F55" s="8084" t="s">
        <v>3536</v>
      </c>
      <c r="G55" s="8505"/>
      <c r="H55" s="9478" t="s">
        <v>144</v>
      </c>
      <c r="I55" s="9478"/>
      <c r="J55" s="9478"/>
      <c r="K55" s="7941" t="s">
        <v>212</v>
      </c>
      <c r="L55" s="8178" t="s">
        <v>169</v>
      </c>
      <c r="M55" s="8132" t="s">
        <v>169</v>
      </c>
      <c r="N55" s="8113" t="s">
        <v>169</v>
      </c>
      <c r="O55" s="8954"/>
      <c r="P55" s="8088"/>
      <c r="Q55" s="7932"/>
      <c r="R55" s="8509"/>
    </row>
    <row r="56" spans="1:18" ht="20.100000000000001" hidden="1" customHeight="1">
      <c r="A56" s="7872"/>
      <c r="B56" s="8501"/>
      <c r="C56" s="9520" t="s">
        <v>146</v>
      </c>
      <c r="D56" s="9520"/>
      <c r="E56" s="9520"/>
      <c r="F56" s="8084" t="s">
        <v>3536</v>
      </c>
      <c r="G56" s="8505"/>
      <c r="H56" s="9478" t="s">
        <v>147</v>
      </c>
      <c r="I56" s="9478"/>
      <c r="J56" s="9478"/>
      <c r="K56" s="7941" t="s">
        <v>212</v>
      </c>
      <c r="L56" s="8178" t="s">
        <v>169</v>
      </c>
      <c r="M56" s="8132" t="s">
        <v>169</v>
      </c>
      <c r="N56" s="8113" t="s">
        <v>169</v>
      </c>
      <c r="O56" s="8954"/>
      <c r="P56" s="8088"/>
      <c r="Q56" s="7932"/>
      <c r="R56" s="8509"/>
    </row>
    <row r="57" spans="1:18" ht="20.100000000000001" hidden="1" customHeight="1">
      <c r="A57" s="7872"/>
      <c r="B57" s="8501"/>
      <c r="C57" s="9520" t="s">
        <v>149</v>
      </c>
      <c r="D57" s="9520"/>
      <c r="E57" s="9520"/>
      <c r="F57" s="8084" t="s">
        <v>3536</v>
      </c>
      <c r="G57" s="8505"/>
      <c r="H57" s="9478" t="s">
        <v>150</v>
      </c>
      <c r="I57" s="9478"/>
      <c r="J57" s="9478"/>
      <c r="K57" s="7941" t="s">
        <v>212</v>
      </c>
      <c r="L57" s="8178" t="s">
        <v>169</v>
      </c>
      <c r="M57" s="8132" t="s">
        <v>169</v>
      </c>
      <c r="N57" s="8113" t="s">
        <v>169</v>
      </c>
      <c r="O57" s="8954"/>
      <c r="P57" s="8088"/>
      <c r="Q57" s="7932"/>
      <c r="R57" s="8509"/>
    </row>
    <row r="58" spans="1:18" ht="20.100000000000001" customHeight="1">
      <c r="A58" s="7872"/>
      <c r="B58" s="8510"/>
      <c r="C58" s="9526" t="s">
        <v>243</v>
      </c>
      <c r="D58" s="9526"/>
      <c r="E58" s="9526"/>
      <c r="F58" s="8184" t="s">
        <v>3536</v>
      </c>
      <c r="G58" s="8526"/>
      <c r="H58" s="8526"/>
      <c r="I58" s="9522" t="s">
        <v>244</v>
      </c>
      <c r="J58" s="9522"/>
      <c r="K58" s="7957" t="s">
        <v>212</v>
      </c>
      <c r="L58" s="8042">
        <f>IF(COUNTBLANK(L59:L64)&gt;0,"미취합법인有",SUM(L59:L64))</f>
        <v>29766</v>
      </c>
      <c r="M58" s="8036">
        <f>IF(COUNTBLANK(M59:M64)&gt;0,"미취합법인有",SUM(M59:M64))</f>
        <v>9819</v>
      </c>
      <c r="N58" s="8037">
        <f>IF(COUNTBLANK(N59:N64)&gt;0,"미취합법인有",SUM(N59:N64))</f>
        <v>10460</v>
      </c>
      <c r="O58" s="8946" t="s">
        <v>245</v>
      </c>
      <c r="P58" s="7932"/>
      <c r="Q58" s="7955" t="s">
        <v>246</v>
      </c>
      <c r="R58" s="8509"/>
    </row>
    <row r="59" spans="1:18" ht="20.100000000000001" customHeight="1">
      <c r="A59" s="7872"/>
      <c r="B59" s="8501"/>
      <c r="C59" s="8690" t="s">
        <v>134</v>
      </c>
      <c r="D59" s="8253"/>
      <c r="E59" s="8017"/>
      <c r="F59" s="8084" t="s">
        <v>3536</v>
      </c>
      <c r="G59" s="8505"/>
      <c r="H59" s="8583"/>
      <c r="I59" s="9528" t="s">
        <v>135</v>
      </c>
      <c r="J59" s="9528"/>
      <c r="K59" s="7941" t="s">
        <v>212</v>
      </c>
      <c r="L59" s="7942">
        <f>L66-L17</f>
        <v>29766</v>
      </c>
      <c r="M59" s="8179">
        <f>M66-M17</f>
        <v>9819</v>
      </c>
      <c r="N59" s="8180">
        <f>N66-N17</f>
        <v>10460</v>
      </c>
      <c r="O59" s="8958" t="s">
        <v>3635</v>
      </c>
      <c r="P59" s="8088"/>
      <c r="Q59" s="7932"/>
      <c r="R59" s="8509"/>
    </row>
    <row r="60" spans="1:18" ht="20.100000000000001" hidden="1" customHeight="1">
      <c r="A60" s="7872"/>
      <c r="B60" s="8501"/>
      <c r="C60" s="8254" t="s">
        <v>137</v>
      </c>
      <c r="D60" s="8253"/>
      <c r="E60" s="8017"/>
      <c r="F60" s="8084" t="s">
        <v>3536</v>
      </c>
      <c r="G60" s="8691"/>
      <c r="H60" s="8583"/>
      <c r="I60" s="9527" t="s">
        <v>138</v>
      </c>
      <c r="J60" s="9527"/>
      <c r="K60" s="7941" t="s">
        <v>212</v>
      </c>
      <c r="L60" s="8808" t="s">
        <v>168</v>
      </c>
      <c r="M60" s="8809" t="s">
        <v>168</v>
      </c>
      <c r="N60" s="8810" t="s">
        <v>168</v>
      </c>
      <c r="O60" s="8958" t="s">
        <v>3584</v>
      </c>
      <c r="P60" s="8088"/>
      <c r="Q60" s="7932"/>
      <c r="R60" s="8509"/>
    </row>
    <row r="61" spans="1:18" ht="20.100000000000001" hidden="1" customHeight="1">
      <c r="A61" s="7872"/>
      <c r="B61" s="8501"/>
      <c r="C61" s="8254" t="s">
        <v>140</v>
      </c>
      <c r="D61" s="8253"/>
      <c r="E61" s="8017"/>
      <c r="F61" s="8084" t="s">
        <v>3536</v>
      </c>
      <c r="G61" s="8505"/>
      <c r="H61" s="8583"/>
      <c r="I61" s="9497" t="s">
        <v>141</v>
      </c>
      <c r="J61" s="9497"/>
      <c r="K61" s="7941" t="s">
        <v>212</v>
      </c>
      <c r="L61" s="8808" t="s">
        <v>168</v>
      </c>
      <c r="M61" s="8809" t="s">
        <v>168</v>
      </c>
      <c r="N61" s="8810" t="s">
        <v>168</v>
      </c>
      <c r="O61" s="8958" t="s">
        <v>3584</v>
      </c>
      <c r="P61" s="8088"/>
      <c r="Q61" s="7932"/>
      <c r="R61" s="8509"/>
    </row>
    <row r="62" spans="1:18" ht="20.100000000000001" hidden="1" customHeight="1">
      <c r="A62" s="7872"/>
      <c r="B62" s="8501"/>
      <c r="C62" s="8254" t="s">
        <v>143</v>
      </c>
      <c r="D62" s="8253"/>
      <c r="E62" s="8017"/>
      <c r="F62" s="8084" t="s">
        <v>3536</v>
      </c>
      <c r="G62" s="8505"/>
      <c r="H62" s="8583"/>
      <c r="I62" s="9497" t="s">
        <v>144</v>
      </c>
      <c r="J62" s="9497"/>
      <c r="K62" s="7941" t="s">
        <v>212</v>
      </c>
      <c r="L62" s="8808" t="s">
        <v>168</v>
      </c>
      <c r="M62" s="8809" t="s">
        <v>168</v>
      </c>
      <c r="N62" s="8810" t="s">
        <v>168</v>
      </c>
      <c r="O62" s="8958" t="s">
        <v>3584</v>
      </c>
      <c r="P62" s="8088"/>
      <c r="Q62" s="7932"/>
      <c r="R62" s="8509"/>
    </row>
    <row r="63" spans="1:18" ht="20.100000000000001" hidden="1" customHeight="1">
      <c r="A63" s="7872"/>
      <c r="B63" s="8501"/>
      <c r="C63" s="8254" t="s">
        <v>146</v>
      </c>
      <c r="D63" s="8253"/>
      <c r="E63" s="8017"/>
      <c r="F63" s="8084" t="s">
        <v>3536</v>
      </c>
      <c r="G63" s="8505"/>
      <c r="H63" s="8583"/>
      <c r="I63" s="9497" t="s">
        <v>147</v>
      </c>
      <c r="J63" s="9497"/>
      <c r="K63" s="7941" t="s">
        <v>212</v>
      </c>
      <c r="L63" s="8808" t="s">
        <v>168</v>
      </c>
      <c r="M63" s="8809" t="s">
        <v>168</v>
      </c>
      <c r="N63" s="8810" t="s">
        <v>168</v>
      </c>
      <c r="O63" s="8958" t="s">
        <v>3584</v>
      </c>
      <c r="P63" s="8088"/>
      <c r="Q63" s="7932"/>
      <c r="R63" s="8509"/>
    </row>
    <row r="64" spans="1:18" ht="20.100000000000001" hidden="1" customHeight="1">
      <c r="A64" s="7872"/>
      <c r="B64" s="8501"/>
      <c r="C64" s="8254" t="s">
        <v>149</v>
      </c>
      <c r="D64" s="8253"/>
      <c r="E64" s="8017"/>
      <c r="F64" s="8084" t="s">
        <v>3536</v>
      </c>
      <c r="G64" s="8505"/>
      <c r="H64" s="8745"/>
      <c r="I64" s="9497" t="s">
        <v>150</v>
      </c>
      <c r="J64" s="9497"/>
      <c r="K64" s="7941" t="s">
        <v>212</v>
      </c>
      <c r="L64" s="8808" t="s">
        <v>168</v>
      </c>
      <c r="M64" s="8809" t="s">
        <v>168</v>
      </c>
      <c r="N64" s="8810" t="s">
        <v>168</v>
      </c>
      <c r="O64" s="8958" t="s">
        <v>3584</v>
      </c>
      <c r="P64" s="8088"/>
      <c r="Q64" s="7932"/>
      <c r="R64" s="8509"/>
    </row>
    <row r="65" spans="1:18" ht="20.100000000000001" customHeight="1">
      <c r="A65" s="7872"/>
      <c r="B65" s="8510"/>
      <c r="C65" s="8693"/>
      <c r="D65" s="9522" t="s">
        <v>247</v>
      </c>
      <c r="E65" s="9522"/>
      <c r="F65" s="8184" t="s">
        <v>3536</v>
      </c>
      <c r="G65" s="8513"/>
      <c r="H65" s="8526"/>
      <c r="I65" s="9522" t="s">
        <v>248</v>
      </c>
      <c r="J65" s="9522"/>
      <c r="K65" s="7957" t="s">
        <v>212</v>
      </c>
      <c r="L65" s="8042">
        <f>IF(COUNTBLANK(L66:L71)&gt;0,"미취합법인有",SUM(L66:L71))</f>
        <v>90450</v>
      </c>
      <c r="M65" s="8241">
        <f>IF(COUNTBLANK(M66:M71)&gt;0,"미취합법인有",SUM(M66:M71))</f>
        <v>81175</v>
      </c>
      <c r="N65" s="8037">
        <f>IF(COUNTBLANK(N66:N71)&gt;0,"미취합법인有",SUM(N66:N71))</f>
        <v>80191</v>
      </c>
      <c r="O65" s="8946" t="s">
        <v>245</v>
      </c>
      <c r="P65" s="8088" t="s">
        <v>250</v>
      </c>
      <c r="Q65" s="7955" t="s">
        <v>246</v>
      </c>
      <c r="R65" s="8509"/>
    </row>
    <row r="66" spans="1:18" ht="20.100000000000001" customHeight="1" thickBot="1">
      <c r="A66" s="7872"/>
      <c r="B66" s="8501"/>
      <c r="C66" s="8156"/>
      <c r="D66" s="9437" t="s">
        <v>134</v>
      </c>
      <c r="E66" s="9437"/>
      <c r="F66" s="8084" t="s">
        <v>3536</v>
      </c>
      <c r="G66" s="8505"/>
      <c r="H66" s="8583"/>
      <c r="I66" s="9478" t="s">
        <v>135</v>
      </c>
      <c r="J66" s="9478"/>
      <c r="K66" s="7941" t="s">
        <v>212</v>
      </c>
      <c r="L66" s="7942">
        <v>90450</v>
      </c>
      <c r="M66" s="7943">
        <v>81175</v>
      </c>
      <c r="N66" s="7944">
        <v>80191</v>
      </c>
      <c r="O66" s="8958" t="s">
        <v>3752</v>
      </c>
      <c r="P66" s="8088"/>
      <c r="Q66" s="7932"/>
      <c r="R66" s="8509"/>
    </row>
    <row r="67" spans="1:18" ht="20.100000000000001" hidden="1" customHeight="1" thickBot="1">
      <c r="A67" s="7872"/>
      <c r="B67" s="8501"/>
      <c r="C67" s="7939"/>
      <c r="D67" s="9437" t="s">
        <v>137</v>
      </c>
      <c r="E67" s="9437"/>
      <c r="F67" s="8084" t="s">
        <v>3536</v>
      </c>
      <c r="G67" s="8505"/>
      <c r="H67" s="8583"/>
      <c r="I67" s="9478" t="s">
        <v>138</v>
      </c>
      <c r="J67" s="9478"/>
      <c r="K67" s="7941" t="s">
        <v>212</v>
      </c>
      <c r="L67" s="8808" t="s">
        <v>168</v>
      </c>
      <c r="M67" s="8809" t="s">
        <v>168</v>
      </c>
      <c r="N67" s="8810" t="s">
        <v>168</v>
      </c>
      <c r="O67" s="8958" t="s">
        <v>3584</v>
      </c>
      <c r="P67" s="8088"/>
      <c r="Q67" s="7932"/>
      <c r="R67" s="8509"/>
    </row>
    <row r="68" spans="1:18" ht="20.100000000000001" hidden="1" customHeight="1">
      <c r="A68" s="7872"/>
      <c r="B68" s="8501"/>
      <c r="C68" s="7939"/>
      <c r="D68" s="9437" t="s">
        <v>140</v>
      </c>
      <c r="E68" s="9437"/>
      <c r="F68" s="8084" t="s">
        <v>3536</v>
      </c>
      <c r="G68" s="8505"/>
      <c r="H68" s="8583"/>
      <c r="I68" s="9497" t="s">
        <v>141</v>
      </c>
      <c r="J68" s="9497"/>
      <c r="K68" s="7941" t="s">
        <v>212</v>
      </c>
      <c r="L68" s="8808" t="s">
        <v>168</v>
      </c>
      <c r="M68" s="8809" t="s">
        <v>168</v>
      </c>
      <c r="N68" s="8810" t="s">
        <v>168</v>
      </c>
      <c r="O68" s="8958" t="s">
        <v>3584</v>
      </c>
      <c r="P68" s="8088"/>
      <c r="Q68" s="7932"/>
      <c r="R68" s="8509"/>
    </row>
    <row r="69" spans="1:18" ht="20.100000000000001" hidden="1" customHeight="1" thickBot="1">
      <c r="A69" s="7872"/>
      <c r="B69" s="8501"/>
      <c r="C69" s="7939"/>
      <c r="D69" s="9437" t="s">
        <v>143</v>
      </c>
      <c r="E69" s="9437"/>
      <c r="F69" s="8084" t="s">
        <v>3536</v>
      </c>
      <c r="G69" s="8505"/>
      <c r="H69" s="8583"/>
      <c r="I69" s="9497" t="s">
        <v>144</v>
      </c>
      <c r="J69" s="9497"/>
      <c r="K69" s="7941" t="s">
        <v>212</v>
      </c>
      <c r="L69" s="8808" t="s">
        <v>168</v>
      </c>
      <c r="M69" s="8809" t="s">
        <v>168</v>
      </c>
      <c r="N69" s="8810" t="s">
        <v>168</v>
      </c>
      <c r="O69" s="8958" t="s">
        <v>3584</v>
      </c>
      <c r="P69" s="8088"/>
      <c r="Q69" s="7932"/>
      <c r="R69" s="8509"/>
    </row>
    <row r="70" spans="1:18" ht="20.100000000000001" hidden="1" customHeight="1" thickBot="1">
      <c r="A70" s="7872"/>
      <c r="B70" s="8501"/>
      <c r="C70" s="7939"/>
      <c r="D70" s="9437" t="s">
        <v>146</v>
      </c>
      <c r="E70" s="9437"/>
      <c r="F70" s="8084" t="s">
        <v>3536</v>
      </c>
      <c r="G70" s="8505"/>
      <c r="H70" s="8583"/>
      <c r="I70" s="9497" t="s">
        <v>147</v>
      </c>
      <c r="J70" s="9497"/>
      <c r="K70" s="7941" t="s">
        <v>212</v>
      </c>
      <c r="L70" s="8808" t="s">
        <v>168</v>
      </c>
      <c r="M70" s="8809" t="s">
        <v>168</v>
      </c>
      <c r="N70" s="8810" t="s">
        <v>168</v>
      </c>
      <c r="O70" s="8958" t="s">
        <v>3584</v>
      </c>
      <c r="P70" s="8088"/>
      <c r="Q70" s="7932"/>
      <c r="R70" s="8509"/>
    </row>
    <row r="71" spans="1:18" ht="20.100000000000001" hidden="1" customHeight="1" thickBot="1">
      <c r="A71" s="7872"/>
      <c r="B71" s="8501"/>
      <c r="C71" s="7939"/>
      <c r="D71" s="9437" t="s">
        <v>149</v>
      </c>
      <c r="E71" s="9437"/>
      <c r="F71" s="8084" t="s">
        <v>3536</v>
      </c>
      <c r="G71" s="8505"/>
      <c r="H71" s="8583"/>
      <c r="I71" s="9497" t="s">
        <v>150</v>
      </c>
      <c r="J71" s="9497"/>
      <c r="K71" s="7941" t="s">
        <v>212</v>
      </c>
      <c r="L71" s="8808" t="s">
        <v>168</v>
      </c>
      <c r="M71" s="8809" t="s">
        <v>168</v>
      </c>
      <c r="N71" s="8810" t="s">
        <v>168</v>
      </c>
      <c r="O71" s="8958" t="s">
        <v>3584</v>
      </c>
      <c r="P71" s="8088"/>
      <c r="Q71" s="7932"/>
      <c r="R71" s="8509"/>
    </row>
    <row r="72" spans="1:18" ht="21.75" thickBot="1">
      <c r="A72" s="7872"/>
      <c r="B72" s="8073" t="s">
        <v>252</v>
      </c>
      <c r="C72" s="8074"/>
      <c r="D72" s="8074"/>
      <c r="E72" s="8074"/>
      <c r="F72" s="8075"/>
      <c r="G72" s="8495" t="s">
        <v>253</v>
      </c>
      <c r="H72" s="8074"/>
      <c r="I72" s="8074"/>
      <c r="J72" s="8074"/>
      <c r="K72" s="8075"/>
      <c r="L72" s="8078"/>
      <c r="M72" s="8079"/>
      <c r="N72" s="8119"/>
      <c r="O72" s="8959"/>
      <c r="P72" s="8080"/>
      <c r="Q72" s="8080"/>
      <c r="R72" s="8496"/>
    </row>
    <row r="73" spans="1:18" ht="20.100000000000001" customHeight="1">
      <c r="A73" s="7872"/>
      <c r="B73" s="8497"/>
      <c r="C73" s="9529" t="s">
        <v>254</v>
      </c>
      <c r="D73" s="9529"/>
      <c r="E73" s="9529"/>
      <c r="F73" s="8256" t="s">
        <v>255</v>
      </c>
      <c r="G73" s="8499"/>
      <c r="H73" s="9529" t="s">
        <v>256</v>
      </c>
      <c r="I73" s="9529"/>
      <c r="J73" s="9529"/>
      <c r="K73" s="8256" t="s">
        <v>255</v>
      </c>
      <c r="L73" s="8042">
        <f>IF(COUNTBLANK(L74:L79)&gt;0,"미취합법인有",SUM(L74:L79))</f>
        <v>1719.3459487965617</v>
      </c>
      <c r="M73" s="8036">
        <f>IF(COUNTBLANK(M74:M79)&gt;0,"미취합법인有",SUM(M74:M79))</f>
        <v>2004.3864503256275</v>
      </c>
      <c r="N73" s="8037">
        <f>IF(COUNTBLANK(N74:N79)&gt;0,"미취합법인有",SUM(N74:N79))</f>
        <v>1963.0783482729742</v>
      </c>
      <c r="O73" s="8953"/>
      <c r="P73" s="8088" t="s">
        <v>259</v>
      </c>
      <c r="Q73" s="7955" t="s">
        <v>260</v>
      </c>
      <c r="R73" s="8500" t="s">
        <v>261</v>
      </c>
    </row>
    <row r="74" spans="1:18" ht="45">
      <c r="A74" s="7872"/>
      <c r="B74" s="8501"/>
      <c r="C74" s="9520" t="s">
        <v>134</v>
      </c>
      <c r="D74" s="9520"/>
      <c r="E74" s="9520"/>
      <c r="F74" s="8185" t="s">
        <v>255</v>
      </c>
      <c r="G74" s="8505"/>
      <c r="H74" s="9478" t="s">
        <v>135</v>
      </c>
      <c r="I74" s="9478"/>
      <c r="J74" s="9478"/>
      <c r="K74" s="8185" t="s">
        <v>255</v>
      </c>
      <c r="L74" s="8257">
        <f t="shared" ref="L74:N76" si="1">L81+L102</f>
        <v>1210</v>
      </c>
      <c r="M74" s="8258">
        <f t="shared" si="1"/>
        <v>1429</v>
      </c>
      <c r="N74" s="8259">
        <f t="shared" si="1"/>
        <v>1394</v>
      </c>
      <c r="O74" s="8948" t="s">
        <v>3775</v>
      </c>
      <c r="P74" s="8088"/>
      <c r="Q74" s="7932"/>
      <c r="R74" s="8509"/>
    </row>
    <row r="75" spans="1:18" ht="20.100000000000001" customHeight="1">
      <c r="A75" s="7872"/>
      <c r="B75" s="8501"/>
      <c r="C75" s="9520" t="s">
        <v>137</v>
      </c>
      <c r="D75" s="9520"/>
      <c r="E75" s="9520"/>
      <c r="F75" s="8185" t="s">
        <v>255</v>
      </c>
      <c r="G75" s="8505"/>
      <c r="H75" s="9478" t="s">
        <v>138</v>
      </c>
      <c r="I75" s="9478"/>
      <c r="J75" s="9478"/>
      <c r="K75" s="8185" t="s">
        <v>255</v>
      </c>
      <c r="L75" s="8178">
        <f t="shared" si="1"/>
        <v>1.061621052631579</v>
      </c>
      <c r="M75" s="8144">
        <f t="shared" si="1"/>
        <v>1.0894388663967611</v>
      </c>
      <c r="N75" s="8145">
        <f t="shared" si="1"/>
        <v>11.433</v>
      </c>
      <c r="O75" s="8954" t="s">
        <v>3753</v>
      </c>
      <c r="P75" s="8088"/>
      <c r="Q75" s="7932"/>
      <c r="R75" s="8509"/>
    </row>
    <row r="76" spans="1:18" ht="20.100000000000001" customHeight="1">
      <c r="A76" s="7872"/>
      <c r="B76" s="8501"/>
      <c r="C76" s="9520" t="s">
        <v>140</v>
      </c>
      <c r="D76" s="9520"/>
      <c r="E76" s="9520"/>
      <c r="F76" s="8185" t="s">
        <v>255</v>
      </c>
      <c r="G76" s="8505"/>
      <c r="H76" s="9478" t="s">
        <v>141</v>
      </c>
      <c r="I76" s="9478"/>
      <c r="J76" s="9478"/>
      <c r="K76" s="8185" t="s">
        <v>255</v>
      </c>
      <c r="L76" s="8178">
        <f t="shared" si="1"/>
        <v>293.25696436359488</v>
      </c>
      <c r="M76" s="8144">
        <f t="shared" si="1"/>
        <v>257.91617295420275</v>
      </c>
      <c r="N76" s="8145">
        <f t="shared" si="1"/>
        <v>266.00810795785208</v>
      </c>
      <c r="O76" s="9137" t="s">
        <v>3748</v>
      </c>
      <c r="P76" s="8088"/>
      <c r="Q76" s="7932"/>
      <c r="R76" s="8509"/>
    </row>
    <row r="77" spans="1:18" ht="20.100000000000001" customHeight="1">
      <c r="A77" s="7872"/>
      <c r="B77" s="8501"/>
      <c r="C77" s="9520" t="s">
        <v>143</v>
      </c>
      <c r="D77" s="9520"/>
      <c r="E77" s="9520"/>
      <c r="F77" s="8185" t="s">
        <v>255</v>
      </c>
      <c r="G77" s="8505"/>
      <c r="H77" s="9478" t="s">
        <v>144</v>
      </c>
      <c r="I77" s="9478"/>
      <c r="J77" s="9478"/>
      <c r="K77" s="8185" t="s">
        <v>255</v>
      </c>
      <c r="L77" s="8178">
        <f>L84</f>
        <v>54.037363380335201</v>
      </c>
      <c r="M77" s="8144">
        <f t="shared" ref="M77:M79" si="2">M84</f>
        <v>117.93083850502801</v>
      </c>
      <c r="N77" s="8145">
        <f t="shared" ref="N77:N79" si="3">N84</f>
        <v>131.92724031512199</v>
      </c>
      <c r="O77" s="8954"/>
      <c r="P77" s="8088"/>
      <c r="Q77" s="7932"/>
      <c r="R77" s="8509"/>
    </row>
    <row r="78" spans="1:18" ht="20.100000000000001" customHeight="1">
      <c r="A78" s="7872"/>
      <c r="B78" s="8501"/>
      <c r="C78" s="9523" t="s">
        <v>146</v>
      </c>
      <c r="D78" s="9523"/>
      <c r="E78" s="9523"/>
      <c r="F78" s="8185" t="s">
        <v>255</v>
      </c>
      <c r="G78" s="8505"/>
      <c r="H78" s="9524" t="s">
        <v>147</v>
      </c>
      <c r="I78" s="9524"/>
      <c r="J78" s="9524"/>
      <c r="K78" s="8185" t="s">
        <v>255</v>
      </c>
      <c r="L78" s="8260" t="str">
        <f t="shared" ref="L78:L79" si="4">L85</f>
        <v>-</v>
      </c>
      <c r="M78" s="8144" t="str">
        <f t="shared" si="2"/>
        <v>-</v>
      </c>
      <c r="N78" s="8145" t="str">
        <f t="shared" si="3"/>
        <v>-</v>
      </c>
      <c r="O78" s="8954" t="s">
        <v>3584</v>
      </c>
      <c r="P78" s="8088"/>
      <c r="Q78" s="7932"/>
      <c r="R78" s="8509"/>
    </row>
    <row r="79" spans="1:18" ht="20.100000000000001" customHeight="1">
      <c r="A79" s="7872"/>
      <c r="B79" s="8501"/>
      <c r="C79" s="9520" t="s">
        <v>149</v>
      </c>
      <c r="D79" s="9520"/>
      <c r="E79" s="9520"/>
      <c r="F79" s="8185" t="s">
        <v>255</v>
      </c>
      <c r="G79" s="8505"/>
      <c r="H79" s="9478" t="s">
        <v>150</v>
      </c>
      <c r="I79" s="9478"/>
      <c r="J79" s="9478"/>
      <c r="K79" s="8185" t="s">
        <v>255</v>
      </c>
      <c r="L79" s="8178">
        <f t="shared" si="4"/>
        <v>160.99</v>
      </c>
      <c r="M79" s="8144">
        <f t="shared" si="2"/>
        <v>198.45000000000002</v>
      </c>
      <c r="N79" s="8145">
        <f t="shared" si="3"/>
        <v>159.70999999999998</v>
      </c>
      <c r="O79" s="8954"/>
      <c r="P79" s="8088"/>
      <c r="Q79" s="7932"/>
      <c r="R79" s="8509"/>
    </row>
    <row r="80" spans="1:18" ht="20.100000000000001" customHeight="1">
      <c r="A80" s="7872"/>
      <c r="B80" s="8510"/>
      <c r="C80" s="7939"/>
      <c r="D80" s="9530" t="s">
        <v>262</v>
      </c>
      <c r="E80" s="9530"/>
      <c r="F80" s="8184" t="s">
        <v>255</v>
      </c>
      <c r="G80" s="8694"/>
      <c r="H80" s="8526"/>
      <c r="I80" s="9530" t="s">
        <v>263</v>
      </c>
      <c r="J80" s="9530"/>
      <c r="K80" s="8184" t="s">
        <v>255</v>
      </c>
      <c r="L80" s="8042">
        <f>IF(COUNTBLANK(L81:L86)&gt;0,"미취합법인有",SUM(L81:L86))</f>
        <v>1631.889073200955</v>
      </c>
      <c r="M80" s="8036">
        <f>IF(COUNTBLANK(M81:M86)&gt;0,"미취합법인有",SUM(M81:M86))</f>
        <v>1923.0824763162998</v>
      </c>
      <c r="N80" s="8037">
        <f>IF(COUNTBLANK(N81:N86)&gt;0,"미취합법인有",SUM(N81:N86))</f>
        <v>1874.7062186127789</v>
      </c>
      <c r="O80" s="8960"/>
      <c r="P80" s="8088" t="s">
        <v>266</v>
      </c>
      <c r="Q80" s="7992"/>
      <c r="R80" s="8500"/>
    </row>
    <row r="81" spans="1:18" ht="30">
      <c r="A81" s="7872"/>
      <c r="B81" s="8501"/>
      <c r="C81" s="7939"/>
      <c r="D81" s="9437" t="s">
        <v>134</v>
      </c>
      <c r="E81" s="9437"/>
      <c r="F81" s="8185" t="s">
        <v>255</v>
      </c>
      <c r="G81" s="8505"/>
      <c r="H81" s="8583"/>
      <c r="I81" s="9478" t="s">
        <v>135</v>
      </c>
      <c r="J81" s="9478"/>
      <c r="K81" s="8185" t="s">
        <v>255</v>
      </c>
      <c r="L81" s="8154">
        <v>1210</v>
      </c>
      <c r="M81" s="8217">
        <v>1429</v>
      </c>
      <c r="N81" s="8255">
        <v>1394</v>
      </c>
      <c r="O81" s="8948" t="s">
        <v>3650</v>
      </c>
      <c r="P81" s="8088"/>
      <c r="Q81" s="7932"/>
      <c r="R81" s="8509"/>
    </row>
    <row r="82" spans="1:18" ht="20.100000000000001" customHeight="1">
      <c r="A82" s="7872"/>
      <c r="B82" s="8501"/>
      <c r="C82" s="7939"/>
      <c r="D82" s="9437" t="s">
        <v>137</v>
      </c>
      <c r="E82" s="9437"/>
      <c r="F82" s="8185" t="s">
        <v>255</v>
      </c>
      <c r="G82" s="8505"/>
      <c r="H82" s="8583"/>
      <c r="I82" s="9478" t="s">
        <v>138</v>
      </c>
      <c r="J82" s="9478"/>
      <c r="K82" s="8185" t="s">
        <v>255</v>
      </c>
      <c r="L82" s="8154">
        <f t="shared" ref="L82:L84" si="5">L89+L96</f>
        <v>1.061621052631579</v>
      </c>
      <c r="M82" s="8217">
        <f t="shared" ref="M82:M84" si="6">M89+M96</f>
        <v>1.0894388663967611</v>
      </c>
      <c r="N82" s="8255">
        <f t="shared" ref="N82:N84" si="7">N89+N96</f>
        <v>11.433</v>
      </c>
      <c r="O82" s="8954" t="s">
        <v>3749</v>
      </c>
      <c r="P82" s="8088"/>
      <c r="Q82" s="7932"/>
      <c r="R82" s="8509"/>
    </row>
    <row r="83" spans="1:18" ht="20.100000000000001" customHeight="1">
      <c r="A83" s="7872"/>
      <c r="B83" s="8501"/>
      <c r="C83" s="7939"/>
      <c r="D83" s="9437" t="s">
        <v>140</v>
      </c>
      <c r="E83" s="9437"/>
      <c r="F83" s="8185" t="s">
        <v>255</v>
      </c>
      <c r="G83" s="8505"/>
      <c r="H83" s="8583"/>
      <c r="I83" s="9497" t="s">
        <v>141</v>
      </c>
      <c r="J83" s="9497"/>
      <c r="K83" s="8185" t="s">
        <v>255</v>
      </c>
      <c r="L83" s="8154">
        <f t="shared" si="5"/>
        <v>205.80008876798826</v>
      </c>
      <c r="M83" s="8217">
        <f t="shared" si="6"/>
        <v>176.61219894487496</v>
      </c>
      <c r="N83" s="8255">
        <f t="shared" si="7"/>
        <v>177.63597829765689</v>
      </c>
      <c r="O83" s="8954"/>
      <c r="P83" s="8088"/>
      <c r="Q83" s="7932"/>
      <c r="R83" s="8509"/>
    </row>
    <row r="84" spans="1:18" ht="20.100000000000001" customHeight="1">
      <c r="A84" s="7872"/>
      <c r="B84" s="8501"/>
      <c r="C84" s="7939"/>
      <c r="D84" s="9437" t="s">
        <v>143</v>
      </c>
      <c r="E84" s="9437"/>
      <c r="F84" s="8185" t="s">
        <v>255</v>
      </c>
      <c r="G84" s="8505"/>
      <c r="H84" s="8583"/>
      <c r="I84" s="9497" t="s">
        <v>144</v>
      </c>
      <c r="J84" s="9497"/>
      <c r="K84" s="8185" t="s">
        <v>255</v>
      </c>
      <c r="L84" s="8154">
        <f t="shared" si="5"/>
        <v>54.037363380335201</v>
      </c>
      <c r="M84" s="8217">
        <f t="shared" si="6"/>
        <v>117.93083850502801</v>
      </c>
      <c r="N84" s="8255">
        <f t="shared" si="7"/>
        <v>131.92724031512199</v>
      </c>
      <c r="O84" s="8954"/>
      <c r="P84" s="8088"/>
      <c r="Q84" s="7932"/>
      <c r="R84" s="8509"/>
    </row>
    <row r="85" spans="1:18" ht="20.100000000000001" customHeight="1">
      <c r="A85" s="7872"/>
      <c r="B85" s="8501"/>
      <c r="C85" s="7939"/>
      <c r="D85" s="9437" t="s">
        <v>146</v>
      </c>
      <c r="E85" s="9437"/>
      <c r="F85" s="8185" t="s">
        <v>255</v>
      </c>
      <c r="G85" s="8505"/>
      <c r="H85" s="8505"/>
      <c r="I85" s="9497" t="s">
        <v>147</v>
      </c>
      <c r="J85" s="9497"/>
      <c r="K85" s="8185" t="s">
        <v>255</v>
      </c>
      <c r="L85" s="8260" t="s">
        <v>168</v>
      </c>
      <c r="M85" s="8144" t="s">
        <v>168</v>
      </c>
      <c r="N85" s="8145" t="s">
        <v>168</v>
      </c>
      <c r="O85" s="8954" t="s">
        <v>3584</v>
      </c>
      <c r="P85" s="8088"/>
      <c r="Q85" s="7932"/>
      <c r="R85" s="8509"/>
    </row>
    <row r="86" spans="1:18" ht="20.100000000000001" customHeight="1">
      <c r="A86" s="7872"/>
      <c r="B86" s="8501"/>
      <c r="C86" s="7939"/>
      <c r="D86" s="9437" t="s">
        <v>149</v>
      </c>
      <c r="E86" s="9437"/>
      <c r="F86" s="8185" t="s">
        <v>255</v>
      </c>
      <c r="G86" s="8505"/>
      <c r="H86" s="8583"/>
      <c r="I86" s="9497" t="s">
        <v>150</v>
      </c>
      <c r="J86" s="9497"/>
      <c r="K86" s="8185" t="s">
        <v>255</v>
      </c>
      <c r="L86" s="8154">
        <f>L93+L100</f>
        <v>160.99</v>
      </c>
      <c r="M86" s="8217">
        <f>M93+M100</f>
        <v>198.45000000000002</v>
      </c>
      <c r="N86" s="8255">
        <f>N93+N100</f>
        <v>159.70999999999998</v>
      </c>
      <c r="O86" s="8954"/>
      <c r="P86" s="8088"/>
      <c r="Q86" s="7932"/>
      <c r="R86" s="8509"/>
    </row>
    <row r="87" spans="1:18" ht="20.100000000000001" customHeight="1">
      <c r="A87" s="7872"/>
      <c r="B87" s="8510"/>
      <c r="C87" s="7939"/>
      <c r="D87" s="8090"/>
      <c r="E87" s="8695" t="s">
        <v>267</v>
      </c>
      <c r="F87" s="8240" t="s">
        <v>255</v>
      </c>
      <c r="G87" s="8696"/>
      <c r="H87" s="8261"/>
      <c r="I87" s="9517" t="s">
        <v>268</v>
      </c>
      <c r="J87" s="9517"/>
      <c r="K87" s="8240" t="s">
        <v>255</v>
      </c>
      <c r="L87" s="8262">
        <f>IF(COUNTBLANK(L88:L93)&gt;0,"미취합법인有",SUM(L88:L93))</f>
        <v>201.85905267260284</v>
      </c>
      <c r="M87" s="8263">
        <f>IF(COUNTBLANK(M88:M93)&gt;0,"미취합법인有",SUM(M88:M93))</f>
        <v>244.73911596265916</v>
      </c>
      <c r="N87" s="8264">
        <f>IF(COUNTBLANK(N88:N93)&gt;0,"미취합법인有",SUM(N88:N93))</f>
        <v>222.95833720651524</v>
      </c>
      <c r="O87" s="8961"/>
      <c r="P87" s="7932" t="s">
        <v>269</v>
      </c>
      <c r="Q87" s="7955"/>
      <c r="R87" s="8509"/>
    </row>
    <row r="88" spans="1:18" ht="20.100000000000001" customHeight="1">
      <c r="A88" s="7872"/>
      <c r="B88" s="8501"/>
      <c r="C88" s="7939"/>
      <c r="D88" s="8084"/>
      <c r="E88" s="8697" t="s">
        <v>134</v>
      </c>
      <c r="F88" s="8185" t="s">
        <v>255</v>
      </c>
      <c r="G88" s="8505"/>
      <c r="H88" s="7940"/>
      <c r="I88" s="9478" t="s">
        <v>135</v>
      </c>
      <c r="J88" s="9478"/>
      <c r="K88" s="8185" t="s">
        <v>255</v>
      </c>
      <c r="L88" s="8154">
        <v>172.10000000000002</v>
      </c>
      <c r="M88" s="8217">
        <v>187.43400000000003</v>
      </c>
      <c r="N88" s="8255">
        <v>183.94</v>
      </c>
      <c r="O88" s="8962"/>
      <c r="P88" s="8088"/>
      <c r="Q88" s="7932"/>
      <c r="R88" s="8509"/>
    </row>
    <row r="89" spans="1:18" ht="20.100000000000001" customHeight="1">
      <c r="A89" s="7872"/>
      <c r="B89" s="8501"/>
      <c r="C89" s="7939"/>
      <c r="D89" s="8084"/>
      <c r="E89" s="8697" t="s">
        <v>137</v>
      </c>
      <c r="F89" s="8185" t="s">
        <v>255</v>
      </c>
      <c r="G89" s="8505"/>
      <c r="H89" s="7940"/>
      <c r="I89" s="9478" t="s">
        <v>138</v>
      </c>
      <c r="J89" s="9478"/>
      <c r="K89" s="8185" t="s">
        <v>255</v>
      </c>
      <c r="L89" s="8154">
        <v>0</v>
      </c>
      <c r="M89" s="8217">
        <v>0</v>
      </c>
      <c r="N89" s="8019">
        <v>1.282</v>
      </c>
      <c r="O89" s="9329"/>
      <c r="P89" s="8088"/>
      <c r="Q89" s="7932"/>
      <c r="R89" s="8509"/>
    </row>
    <row r="90" spans="1:18" ht="20.100000000000001" customHeight="1">
      <c r="A90" s="7872"/>
      <c r="B90" s="8501"/>
      <c r="C90" s="7939"/>
      <c r="D90" s="8084"/>
      <c r="E90" s="8697" t="s">
        <v>140</v>
      </c>
      <c r="F90" s="8185" t="s">
        <v>255</v>
      </c>
      <c r="G90" s="8505"/>
      <c r="H90" s="7940"/>
      <c r="I90" s="9497" t="s">
        <v>141</v>
      </c>
      <c r="J90" s="9497"/>
      <c r="K90" s="8185" t="s">
        <v>255</v>
      </c>
      <c r="L90" s="8250">
        <v>0.75905267260283249</v>
      </c>
      <c r="M90" s="8238">
        <v>0.6251159626591356</v>
      </c>
      <c r="N90" s="8019">
        <v>0.62633720651525715</v>
      </c>
      <c r="O90" s="8954"/>
      <c r="P90" s="8088"/>
      <c r="Q90" s="7932"/>
      <c r="R90" s="8509"/>
    </row>
    <row r="91" spans="1:18" ht="20.100000000000001" customHeight="1">
      <c r="A91" s="7872"/>
      <c r="B91" s="8501"/>
      <c r="C91" s="7939"/>
      <c r="D91" s="8084"/>
      <c r="E91" s="8697" t="s">
        <v>143</v>
      </c>
      <c r="F91" s="8185" t="s">
        <v>255</v>
      </c>
      <c r="G91" s="8505"/>
      <c r="H91" s="7940"/>
      <c r="I91" s="9497" t="s">
        <v>144</v>
      </c>
      <c r="J91" s="9497"/>
      <c r="K91" s="8185" t="s">
        <v>255</v>
      </c>
      <c r="L91" s="8242">
        <v>0</v>
      </c>
      <c r="M91" s="8265">
        <v>0</v>
      </c>
      <c r="N91" s="8266">
        <v>0</v>
      </c>
      <c r="O91" s="8954"/>
      <c r="P91" s="8088"/>
      <c r="Q91" s="7932"/>
      <c r="R91" s="8509"/>
    </row>
    <row r="92" spans="1:18" ht="20.100000000000001" customHeight="1">
      <c r="A92" s="7872"/>
      <c r="B92" s="8501"/>
      <c r="C92" s="7939"/>
      <c r="D92" s="8084"/>
      <c r="E92" s="8697" t="s">
        <v>146</v>
      </c>
      <c r="F92" s="8185" t="s">
        <v>255</v>
      </c>
      <c r="G92" s="8505"/>
      <c r="H92" s="9165"/>
      <c r="I92" s="9497" t="s">
        <v>147</v>
      </c>
      <c r="J92" s="9497"/>
      <c r="K92" s="8185" t="s">
        <v>255</v>
      </c>
      <c r="L92" s="8260" t="s">
        <v>168</v>
      </c>
      <c r="M92" s="8144" t="s">
        <v>168</v>
      </c>
      <c r="N92" s="8145" t="s">
        <v>168</v>
      </c>
      <c r="O92" s="8954" t="s">
        <v>3584</v>
      </c>
      <c r="P92" s="8088"/>
      <c r="Q92" s="7932"/>
      <c r="R92" s="8509"/>
    </row>
    <row r="93" spans="1:18" ht="20.100000000000001" customHeight="1">
      <c r="A93" s="7872"/>
      <c r="B93" s="8501"/>
      <c r="C93" s="7939"/>
      <c r="D93" s="8084"/>
      <c r="E93" s="8697" t="s">
        <v>149</v>
      </c>
      <c r="F93" s="8185" t="s">
        <v>255</v>
      </c>
      <c r="G93" s="8505"/>
      <c r="H93" s="7940"/>
      <c r="I93" s="9497" t="s">
        <v>150</v>
      </c>
      <c r="J93" s="9497"/>
      <c r="K93" s="8185" t="s">
        <v>255</v>
      </c>
      <c r="L93" s="8178">
        <v>29</v>
      </c>
      <c r="M93" s="8144">
        <v>56.68</v>
      </c>
      <c r="N93" s="8145">
        <v>37.11</v>
      </c>
      <c r="O93" s="8954"/>
      <c r="P93" s="8088"/>
      <c r="Q93" s="7932"/>
      <c r="R93" s="8509"/>
    </row>
    <row r="94" spans="1:18" ht="20.100000000000001" customHeight="1">
      <c r="A94" s="7872"/>
      <c r="B94" s="8510"/>
      <c r="C94" s="7939"/>
      <c r="D94" s="8084"/>
      <c r="E94" s="8695" t="s">
        <v>3754</v>
      </c>
      <c r="F94" s="8267" t="s">
        <v>255</v>
      </c>
      <c r="G94" s="8696"/>
      <c r="H94" s="8261"/>
      <c r="I94" s="9531" t="s">
        <v>3697</v>
      </c>
      <c r="J94" s="9517"/>
      <c r="K94" s="8256" t="s">
        <v>255</v>
      </c>
      <c r="L94" s="8262">
        <f>IF(COUNTBLANK(L95:L100)&gt;0,"미취합법인有",SUM(L95:L100))</f>
        <v>1488.5300205283522</v>
      </c>
      <c r="M94" s="8263">
        <f>IF(COUNTBLANK(M95:M100)&gt;0,"미취합법인有",SUM(M95:M100))</f>
        <v>1741.2373603536407</v>
      </c>
      <c r="N94" s="8264">
        <f>IF(COUNTBLANK(N95:N100)&gt;0,"미취합법인有",SUM(N95:N100))</f>
        <v>1715.8048814062636</v>
      </c>
      <c r="O94" s="8961"/>
      <c r="P94" s="7932" t="s">
        <v>269</v>
      </c>
      <c r="Q94" s="7955"/>
      <c r="R94" s="8509"/>
    </row>
    <row r="95" spans="1:18" ht="20.100000000000001" customHeight="1">
      <c r="A95" s="7872"/>
      <c r="B95" s="8501"/>
      <c r="C95" s="7939"/>
      <c r="D95" s="8084"/>
      <c r="E95" s="8697" t="s">
        <v>134</v>
      </c>
      <c r="F95" s="8185" t="s">
        <v>255</v>
      </c>
      <c r="G95" s="8505"/>
      <c r="H95" s="7940"/>
      <c r="I95" s="9478" t="s">
        <v>135</v>
      </c>
      <c r="J95" s="9478"/>
      <c r="K95" s="8185" t="s">
        <v>255</v>
      </c>
      <c r="L95" s="8154">
        <v>1096.4000000000001</v>
      </c>
      <c r="M95" s="8217">
        <v>1304.46</v>
      </c>
      <c r="N95" s="8255">
        <v>1274.117</v>
      </c>
      <c r="O95" s="8962"/>
      <c r="P95" s="8088"/>
      <c r="Q95" s="7932"/>
      <c r="R95" s="8509"/>
    </row>
    <row r="96" spans="1:18" ht="20.100000000000001" customHeight="1">
      <c r="A96" s="7872"/>
      <c r="B96" s="8501"/>
      <c r="C96" s="7939"/>
      <c r="D96" s="8084"/>
      <c r="E96" s="8697" t="s">
        <v>137</v>
      </c>
      <c r="F96" s="8185" t="s">
        <v>255</v>
      </c>
      <c r="G96" s="8505"/>
      <c r="H96" s="8505"/>
      <c r="I96" s="9478" t="s">
        <v>138</v>
      </c>
      <c r="J96" s="9478"/>
      <c r="K96" s="8185" t="s">
        <v>255</v>
      </c>
      <c r="L96" s="8154">
        <f>((52444.08*100/52)*(0.001/95))</f>
        <v>1.061621052631579</v>
      </c>
      <c r="M96" s="8217">
        <f>(53818.28*100/52)*(0.001/95)</f>
        <v>1.0894388663967611</v>
      </c>
      <c r="N96" s="8255">
        <v>10.151</v>
      </c>
      <c r="O96" s="8954"/>
      <c r="P96" s="8088"/>
      <c r="Q96" s="7932"/>
      <c r="R96" s="8509"/>
    </row>
    <row r="97" spans="1:18" ht="20.100000000000001" customHeight="1">
      <c r="A97" s="7872"/>
      <c r="B97" s="8501"/>
      <c r="C97" s="7939"/>
      <c r="D97" s="8084"/>
      <c r="E97" s="8697" t="s">
        <v>140</v>
      </c>
      <c r="F97" s="8185" t="s">
        <v>255</v>
      </c>
      <c r="G97" s="8505"/>
      <c r="H97" s="7940"/>
      <c r="I97" s="9497" t="s">
        <v>141</v>
      </c>
      <c r="J97" s="9497"/>
      <c r="K97" s="8185" t="s">
        <v>255</v>
      </c>
      <c r="L97" s="8250">
        <v>205.04103609538544</v>
      </c>
      <c r="M97" s="8238">
        <v>175.98708298221584</v>
      </c>
      <c r="N97" s="8019">
        <v>177.00964109114165</v>
      </c>
      <c r="O97" s="8954"/>
      <c r="P97" s="8088"/>
      <c r="Q97" s="7932"/>
      <c r="R97" s="8509"/>
    </row>
    <row r="98" spans="1:18" ht="20.100000000000001" customHeight="1">
      <c r="A98" s="7872"/>
      <c r="B98" s="8501"/>
      <c r="C98" s="7939"/>
      <c r="D98" s="8084"/>
      <c r="E98" s="8697" t="s">
        <v>143</v>
      </c>
      <c r="F98" s="8185" t="s">
        <v>255</v>
      </c>
      <c r="G98" s="8505"/>
      <c r="H98" s="7940"/>
      <c r="I98" s="9497" t="s">
        <v>144</v>
      </c>
      <c r="J98" s="9497"/>
      <c r="K98" s="8185" t="s">
        <v>255</v>
      </c>
      <c r="L98" s="8242">
        <v>54.037363380335201</v>
      </c>
      <c r="M98" s="8265">
        <v>117.93083850502801</v>
      </c>
      <c r="N98" s="8266">
        <v>131.92724031512199</v>
      </c>
      <c r="O98" s="8954"/>
      <c r="P98" s="8088"/>
      <c r="Q98" s="7932"/>
      <c r="R98" s="8509"/>
    </row>
    <row r="99" spans="1:18" ht="20.100000000000001" customHeight="1">
      <c r="A99" s="7872"/>
      <c r="B99" s="8501"/>
      <c r="C99" s="7939"/>
      <c r="D99" s="8084"/>
      <c r="E99" s="8697" t="s">
        <v>146</v>
      </c>
      <c r="F99" s="8185" t="s">
        <v>255</v>
      </c>
      <c r="G99" s="8505"/>
      <c r="H99" s="9165"/>
      <c r="I99" s="9497" t="s">
        <v>147</v>
      </c>
      <c r="J99" s="9497"/>
      <c r="K99" s="8185" t="s">
        <v>255</v>
      </c>
      <c r="L99" s="8260" t="s">
        <v>168</v>
      </c>
      <c r="M99" s="8144" t="s">
        <v>168</v>
      </c>
      <c r="N99" s="8145" t="s">
        <v>168</v>
      </c>
      <c r="O99" s="8954" t="s">
        <v>3584</v>
      </c>
      <c r="P99" s="8088"/>
      <c r="Q99" s="7932"/>
      <c r="R99" s="8509"/>
    </row>
    <row r="100" spans="1:18" ht="20.100000000000001" customHeight="1">
      <c r="A100" s="7872"/>
      <c r="B100" s="8501"/>
      <c r="C100" s="7939"/>
      <c r="D100" s="8084"/>
      <c r="E100" s="8697" t="s">
        <v>149</v>
      </c>
      <c r="F100" s="8185" t="s">
        <v>255</v>
      </c>
      <c r="G100" s="8505"/>
      <c r="H100" s="7940"/>
      <c r="I100" s="9497" t="s">
        <v>150</v>
      </c>
      <c r="J100" s="9497"/>
      <c r="K100" s="8185" t="s">
        <v>255</v>
      </c>
      <c r="L100" s="8178">
        <v>131.99</v>
      </c>
      <c r="M100" s="8144">
        <v>141.77000000000001</v>
      </c>
      <c r="N100" s="8145">
        <v>122.6</v>
      </c>
      <c r="O100" s="8954"/>
      <c r="P100" s="8088"/>
      <c r="Q100" s="7932"/>
      <c r="R100" s="8509"/>
    </row>
    <row r="101" spans="1:18" ht="20.100000000000001" customHeight="1">
      <c r="A101" s="7872"/>
      <c r="B101" s="8510"/>
      <c r="C101" s="7939"/>
      <c r="D101" s="9530" t="s">
        <v>273</v>
      </c>
      <c r="E101" s="9530"/>
      <c r="F101" s="8184" t="s">
        <v>255</v>
      </c>
      <c r="G101" s="8698"/>
      <c r="H101" s="8526"/>
      <c r="I101" s="9530" t="s">
        <v>274</v>
      </c>
      <c r="J101" s="9530"/>
      <c r="K101" s="8184" t="s">
        <v>255</v>
      </c>
      <c r="L101" s="8042">
        <f>IF(COUNTBLANK(L102:L107)&gt;0,"미취합법인有",SUM(L102:L107))</f>
        <v>87.456875595606604</v>
      </c>
      <c r="M101" s="8036">
        <f>IF(COUNTBLANK(M102:M107)&gt;0,"미취합법인有",SUM(M102:M107))</f>
        <v>81.303974009327803</v>
      </c>
      <c r="N101" s="8037">
        <f>IF(COUNTBLANK(N102:N107)&gt;0,"미취합법인有",SUM(N102:N107))</f>
        <v>88.372129660195171</v>
      </c>
      <c r="O101" s="8960"/>
      <c r="P101" s="8088" t="s">
        <v>277</v>
      </c>
      <c r="Q101" s="7992"/>
      <c r="R101" s="8500"/>
    </row>
    <row r="102" spans="1:18" ht="20.100000000000001" customHeight="1">
      <c r="A102" s="7872"/>
      <c r="B102" s="8501"/>
      <c r="C102" s="7939"/>
      <c r="D102" s="9437" t="s">
        <v>134</v>
      </c>
      <c r="E102" s="9437"/>
      <c r="F102" s="8185" t="s">
        <v>255</v>
      </c>
      <c r="G102" s="8505"/>
      <c r="H102" s="8583"/>
      <c r="I102" s="9478" t="s">
        <v>135</v>
      </c>
      <c r="J102" s="9478"/>
      <c r="K102" s="8185" t="s">
        <v>255</v>
      </c>
      <c r="L102" s="8154">
        <v>0</v>
      </c>
      <c r="M102" s="8217">
        <v>0</v>
      </c>
      <c r="N102" s="8255">
        <v>0</v>
      </c>
      <c r="O102" s="8962"/>
      <c r="P102" s="8088"/>
      <c r="Q102" s="7932"/>
      <c r="R102" s="8509"/>
    </row>
    <row r="103" spans="1:18" ht="20.100000000000001" customHeight="1">
      <c r="A103" s="7872"/>
      <c r="B103" s="8501"/>
      <c r="C103" s="7939"/>
      <c r="D103" s="9437" t="s">
        <v>137</v>
      </c>
      <c r="E103" s="9437"/>
      <c r="F103" s="8185" t="s">
        <v>255</v>
      </c>
      <c r="G103" s="8505"/>
      <c r="H103" s="8583"/>
      <c r="I103" s="9478" t="s">
        <v>138</v>
      </c>
      <c r="J103" s="9478"/>
      <c r="K103" s="8185" t="s">
        <v>255</v>
      </c>
      <c r="L103" s="8154">
        <v>0</v>
      </c>
      <c r="M103" s="8217">
        <v>0</v>
      </c>
      <c r="N103" s="8255">
        <v>0</v>
      </c>
      <c r="O103" s="8962"/>
      <c r="P103" s="8088"/>
      <c r="Q103" s="7932"/>
      <c r="R103" s="8509"/>
    </row>
    <row r="104" spans="1:18" ht="20.100000000000001" customHeight="1">
      <c r="A104" s="7872"/>
      <c r="B104" s="8501"/>
      <c r="C104" s="7939"/>
      <c r="D104" s="9437" t="s">
        <v>140</v>
      </c>
      <c r="E104" s="9437"/>
      <c r="F104" s="8185" t="s">
        <v>255</v>
      </c>
      <c r="G104" s="8505"/>
      <c r="H104" s="8583"/>
      <c r="I104" s="9497" t="s">
        <v>141</v>
      </c>
      <c r="J104" s="9497"/>
      <c r="K104" s="8185" t="s">
        <v>255</v>
      </c>
      <c r="L104" s="8162">
        <f>L118</f>
        <v>87.456875595606604</v>
      </c>
      <c r="M104" s="8217">
        <f>M118</f>
        <v>81.303974009327803</v>
      </c>
      <c r="N104" s="8255">
        <f>N118</f>
        <v>88.372129660195171</v>
      </c>
      <c r="O104" s="8963"/>
      <c r="P104" s="8088"/>
      <c r="Q104" s="7932"/>
      <c r="R104" s="8509"/>
    </row>
    <row r="105" spans="1:18" ht="20.100000000000001" customHeight="1">
      <c r="A105" s="7872"/>
      <c r="B105" s="8501"/>
      <c r="C105" s="7939"/>
      <c r="D105" s="9437" t="s">
        <v>143</v>
      </c>
      <c r="E105" s="9437"/>
      <c r="F105" s="8185" t="s">
        <v>255</v>
      </c>
      <c r="G105" s="8505"/>
      <c r="H105" s="8505"/>
      <c r="I105" s="9497" t="s">
        <v>144</v>
      </c>
      <c r="J105" s="9497"/>
      <c r="K105" s="8185" t="s">
        <v>255</v>
      </c>
      <c r="L105" s="8178" t="s">
        <v>168</v>
      </c>
      <c r="M105" s="8144" t="s">
        <v>168</v>
      </c>
      <c r="N105" s="8145" t="s">
        <v>168</v>
      </c>
      <c r="O105" s="8954" t="s">
        <v>3584</v>
      </c>
      <c r="P105" s="8088"/>
      <c r="Q105" s="7932"/>
      <c r="R105" s="8509"/>
    </row>
    <row r="106" spans="1:18" ht="20.100000000000001" customHeight="1">
      <c r="A106" s="7872"/>
      <c r="B106" s="8501"/>
      <c r="C106" s="7939"/>
      <c r="D106" s="9437" t="s">
        <v>146</v>
      </c>
      <c r="E106" s="9437"/>
      <c r="F106" s="8185" t="s">
        <v>255</v>
      </c>
      <c r="G106" s="8505"/>
      <c r="H106" s="8505"/>
      <c r="I106" s="9497" t="s">
        <v>147</v>
      </c>
      <c r="J106" s="9497"/>
      <c r="K106" s="8185" t="s">
        <v>255</v>
      </c>
      <c r="L106" s="8260" t="s">
        <v>168</v>
      </c>
      <c r="M106" s="8144" t="s">
        <v>168</v>
      </c>
      <c r="N106" s="8145" t="s">
        <v>168</v>
      </c>
      <c r="O106" s="8954" t="s">
        <v>3584</v>
      </c>
      <c r="P106" s="8088"/>
      <c r="Q106" s="7932"/>
      <c r="R106" s="8509"/>
    </row>
    <row r="107" spans="1:18" ht="20.100000000000001" customHeight="1">
      <c r="A107" s="7872"/>
      <c r="B107" s="8501"/>
      <c r="C107" s="7939"/>
      <c r="D107" s="9437" t="s">
        <v>149</v>
      </c>
      <c r="E107" s="9437"/>
      <c r="F107" s="8185" t="s">
        <v>255</v>
      </c>
      <c r="G107" s="8505"/>
      <c r="H107" s="8583"/>
      <c r="I107" s="9497" t="s">
        <v>150</v>
      </c>
      <c r="J107" s="9497"/>
      <c r="K107" s="8185" t="s">
        <v>255</v>
      </c>
      <c r="L107" s="8260">
        <v>0</v>
      </c>
      <c r="M107" s="8144">
        <v>0</v>
      </c>
      <c r="N107" s="8145">
        <v>0</v>
      </c>
      <c r="O107" s="8954"/>
      <c r="P107" s="8088"/>
      <c r="Q107" s="7932"/>
      <c r="R107" s="8509"/>
    </row>
    <row r="108" spans="1:18" ht="20.100000000000001" customHeight="1">
      <c r="A108" s="7872"/>
      <c r="B108" s="8510"/>
      <c r="C108" s="7939"/>
      <c r="D108" s="8084"/>
      <c r="E108" s="8695" t="s">
        <v>278</v>
      </c>
      <c r="F108" s="8267" t="s">
        <v>255</v>
      </c>
      <c r="G108" s="8699"/>
      <c r="H108" s="8700"/>
      <c r="I108" s="9517" t="s">
        <v>279</v>
      </c>
      <c r="J108" s="9517"/>
      <c r="K108" s="8267" t="s">
        <v>255</v>
      </c>
      <c r="L108" s="8262">
        <v>0</v>
      </c>
      <c r="M108" s="8263">
        <f>IF(COUNTBLANK(M109:M114)&gt;0,"미취합법인有",SUM(M109:M114))</f>
        <v>0</v>
      </c>
      <c r="N108" s="8264">
        <f>IF(COUNTBLANK(N109:N114)&gt;0,"미취합법인有",SUM(N109:N114))</f>
        <v>0</v>
      </c>
      <c r="O108" s="8961"/>
      <c r="P108" s="8088" t="s">
        <v>280</v>
      </c>
      <c r="Q108" s="7955"/>
      <c r="R108" s="8509"/>
    </row>
    <row r="109" spans="1:18" ht="20.100000000000001" customHeight="1">
      <c r="A109" s="7872"/>
      <c r="B109" s="8501"/>
      <c r="C109" s="7939"/>
      <c r="D109" s="8084"/>
      <c r="E109" s="8697" t="s">
        <v>134</v>
      </c>
      <c r="F109" s="8185" t="s">
        <v>255</v>
      </c>
      <c r="G109" s="8505"/>
      <c r="H109" s="8583"/>
      <c r="I109" s="9478" t="s">
        <v>135</v>
      </c>
      <c r="J109" s="9478"/>
      <c r="K109" s="8136" t="s">
        <v>255</v>
      </c>
      <c r="L109" s="8260">
        <v>0</v>
      </c>
      <c r="M109" s="8144">
        <v>0</v>
      </c>
      <c r="N109" s="8145">
        <v>0</v>
      </c>
      <c r="O109" s="8954"/>
      <c r="P109" s="8088"/>
      <c r="Q109" s="7932"/>
      <c r="R109" s="8509"/>
    </row>
    <row r="110" spans="1:18" ht="20.100000000000001" customHeight="1">
      <c r="A110" s="7872"/>
      <c r="B110" s="8501"/>
      <c r="C110" s="7939"/>
      <c r="D110" s="8084"/>
      <c r="E110" s="8697" t="s">
        <v>137</v>
      </c>
      <c r="F110" s="8185" t="s">
        <v>255</v>
      </c>
      <c r="G110" s="8505"/>
      <c r="H110" s="8583"/>
      <c r="I110" s="9478" t="s">
        <v>138</v>
      </c>
      <c r="J110" s="9478"/>
      <c r="K110" s="8136" t="s">
        <v>255</v>
      </c>
      <c r="L110" s="8178">
        <v>0</v>
      </c>
      <c r="M110" s="8144">
        <v>0</v>
      </c>
      <c r="N110" s="8145">
        <v>0</v>
      </c>
      <c r="O110" s="8962"/>
      <c r="P110" s="8088"/>
      <c r="Q110" s="7932"/>
      <c r="R110" s="8509"/>
    </row>
    <row r="111" spans="1:18" ht="20.100000000000001" customHeight="1">
      <c r="A111" s="7872"/>
      <c r="B111" s="8501"/>
      <c r="C111" s="7939"/>
      <c r="D111" s="8084"/>
      <c r="E111" s="8697" t="s">
        <v>140</v>
      </c>
      <c r="F111" s="8185" t="s">
        <v>255</v>
      </c>
      <c r="G111" s="8505"/>
      <c r="H111" s="8583"/>
      <c r="I111" s="9497" t="s">
        <v>141</v>
      </c>
      <c r="J111" s="9497"/>
      <c r="K111" s="8136" t="s">
        <v>255</v>
      </c>
      <c r="L111" s="8260">
        <v>0</v>
      </c>
      <c r="M111" s="8144">
        <v>0</v>
      </c>
      <c r="N111" s="8145">
        <v>0</v>
      </c>
      <c r="O111" s="8954"/>
      <c r="P111" s="8088"/>
      <c r="Q111" s="7932"/>
      <c r="R111" s="8509"/>
    </row>
    <row r="112" spans="1:18" ht="20.100000000000001" customHeight="1">
      <c r="A112" s="7872"/>
      <c r="B112" s="8501"/>
      <c r="C112" s="7939"/>
      <c r="D112" s="8084"/>
      <c r="E112" s="8697" t="s">
        <v>143</v>
      </c>
      <c r="F112" s="8185" t="s">
        <v>255</v>
      </c>
      <c r="G112" s="8505"/>
      <c r="H112" s="8505"/>
      <c r="I112" s="9497" t="s">
        <v>144</v>
      </c>
      <c r="J112" s="9497"/>
      <c r="K112" s="8136" t="s">
        <v>255</v>
      </c>
      <c r="L112" s="8260" t="s">
        <v>168</v>
      </c>
      <c r="M112" s="8144" t="s">
        <v>168</v>
      </c>
      <c r="N112" s="8145" t="s">
        <v>168</v>
      </c>
      <c r="O112" s="8954" t="s">
        <v>3584</v>
      </c>
      <c r="P112" s="8088"/>
      <c r="Q112" s="7932"/>
      <c r="R112" s="8509"/>
    </row>
    <row r="113" spans="1:18" ht="20.100000000000001" customHeight="1">
      <c r="A113" s="7872"/>
      <c r="B113" s="8501"/>
      <c r="C113" s="7939"/>
      <c r="D113" s="8084"/>
      <c r="E113" s="8697" t="s">
        <v>146</v>
      </c>
      <c r="F113" s="8185" t="s">
        <v>255</v>
      </c>
      <c r="G113" s="8505"/>
      <c r="H113" s="8505"/>
      <c r="I113" s="9497" t="s">
        <v>147</v>
      </c>
      <c r="J113" s="9497"/>
      <c r="K113" s="8136" t="s">
        <v>255</v>
      </c>
      <c r="L113" s="8260" t="s">
        <v>168</v>
      </c>
      <c r="M113" s="8144" t="s">
        <v>168</v>
      </c>
      <c r="N113" s="8145" t="s">
        <v>168</v>
      </c>
      <c r="O113" s="8954" t="s">
        <v>3584</v>
      </c>
      <c r="P113" s="8088"/>
      <c r="Q113" s="7932"/>
      <c r="R113" s="8509"/>
    </row>
    <row r="114" spans="1:18" ht="20.100000000000001" customHeight="1">
      <c r="A114" s="7872"/>
      <c r="B114" s="8501"/>
      <c r="C114" s="7939"/>
      <c r="D114" s="8084"/>
      <c r="E114" s="8697" t="s">
        <v>149</v>
      </c>
      <c r="F114" s="8185" t="s">
        <v>255</v>
      </c>
      <c r="G114" s="8505"/>
      <c r="H114" s="8583"/>
      <c r="I114" s="9497" t="s">
        <v>150</v>
      </c>
      <c r="J114" s="9497"/>
      <c r="K114" s="8136" t="s">
        <v>255</v>
      </c>
      <c r="L114" s="8178">
        <v>0</v>
      </c>
      <c r="M114" s="8144">
        <v>0</v>
      </c>
      <c r="N114" s="8145">
        <v>0</v>
      </c>
      <c r="O114" s="8954"/>
      <c r="P114" s="8088"/>
      <c r="Q114" s="7932"/>
      <c r="R114" s="8509"/>
    </row>
    <row r="115" spans="1:18" ht="20.100000000000001" customHeight="1">
      <c r="A115" s="7872"/>
      <c r="B115" s="8510"/>
      <c r="C115" s="7939"/>
      <c r="D115" s="8084"/>
      <c r="E115" s="8695" t="s">
        <v>281</v>
      </c>
      <c r="F115" s="8267" t="s">
        <v>255</v>
      </c>
      <c r="G115" s="8696"/>
      <c r="H115" s="8700"/>
      <c r="I115" s="9517" t="s">
        <v>282</v>
      </c>
      <c r="J115" s="9517"/>
      <c r="K115" s="8267" t="s">
        <v>255</v>
      </c>
      <c r="L115" s="8262">
        <f>IF(COUNTBLANK(L116:L121)&gt;0,"미취합법인有",SUM(L116:L121))</f>
        <v>87.456875595606604</v>
      </c>
      <c r="M115" s="8263">
        <f>IF(COUNTBLANK(M116:M121)&gt;0,"미취합법인有",SUM(M116:M121))</f>
        <v>81.303974009327803</v>
      </c>
      <c r="N115" s="8264">
        <f>IF(COUNTBLANK(N116:N121)&gt;0,"미취합법인有",SUM(N116:N121))</f>
        <v>88.372129660195171</v>
      </c>
      <c r="O115" s="8961"/>
      <c r="P115" s="8088" t="s">
        <v>280</v>
      </c>
      <c r="Q115" s="7955"/>
      <c r="R115" s="8509"/>
    </row>
    <row r="116" spans="1:18" ht="20.100000000000001" customHeight="1">
      <c r="A116" s="7872"/>
      <c r="B116" s="8501"/>
      <c r="C116" s="7939"/>
      <c r="D116" s="8084"/>
      <c r="E116" s="8697" t="s">
        <v>134</v>
      </c>
      <c r="F116" s="8185" t="s">
        <v>255</v>
      </c>
      <c r="G116" s="8505"/>
      <c r="H116" s="8583"/>
      <c r="I116" s="9478" t="s">
        <v>135</v>
      </c>
      <c r="J116" s="9478"/>
      <c r="K116" s="8136" t="s">
        <v>255</v>
      </c>
      <c r="L116" s="8178">
        <v>0</v>
      </c>
      <c r="M116" s="8144">
        <v>0</v>
      </c>
      <c r="N116" s="8145">
        <v>0</v>
      </c>
      <c r="O116" s="8962"/>
      <c r="P116" s="8088"/>
      <c r="Q116" s="7932"/>
      <c r="R116" s="8509"/>
    </row>
    <row r="117" spans="1:18" ht="20.100000000000001" customHeight="1">
      <c r="A117" s="7872"/>
      <c r="B117" s="8501"/>
      <c r="C117" s="7939"/>
      <c r="D117" s="8084"/>
      <c r="E117" s="8697" t="s">
        <v>137</v>
      </c>
      <c r="F117" s="8185" t="s">
        <v>255</v>
      </c>
      <c r="G117" s="8505"/>
      <c r="H117" s="8583"/>
      <c r="I117" s="9478" t="s">
        <v>138</v>
      </c>
      <c r="J117" s="9478"/>
      <c r="K117" s="8136" t="s">
        <v>255</v>
      </c>
      <c r="L117" s="8178">
        <v>0</v>
      </c>
      <c r="M117" s="8144">
        <v>0</v>
      </c>
      <c r="N117" s="8145">
        <v>0</v>
      </c>
      <c r="O117" s="8962"/>
      <c r="P117" s="8088"/>
      <c r="Q117" s="7932"/>
      <c r="R117" s="8509"/>
    </row>
    <row r="118" spans="1:18" ht="45">
      <c r="A118" s="7872"/>
      <c r="B118" s="8501"/>
      <c r="C118" s="7939"/>
      <c r="D118" s="8084"/>
      <c r="E118" s="8697" t="s">
        <v>140</v>
      </c>
      <c r="F118" s="8185" t="s">
        <v>255</v>
      </c>
      <c r="G118" s="8505"/>
      <c r="H118" s="8583"/>
      <c r="I118" s="9497" t="s">
        <v>141</v>
      </c>
      <c r="J118" s="9497"/>
      <c r="K118" s="8136" t="s">
        <v>255</v>
      </c>
      <c r="L118" s="8162">
        <v>87.456875595606604</v>
      </c>
      <c r="M118" s="8238">
        <v>81.303974009327803</v>
      </c>
      <c r="N118" s="8019">
        <v>88.372129660195171</v>
      </c>
      <c r="O118" s="8954" t="s">
        <v>3727</v>
      </c>
      <c r="P118" s="8088"/>
      <c r="Q118" s="7932"/>
      <c r="R118" s="8509"/>
    </row>
    <row r="119" spans="1:18" ht="19.899999999999999" customHeight="1">
      <c r="A119" s="7872"/>
      <c r="B119" s="8501"/>
      <c r="C119" s="7939"/>
      <c r="D119" s="8084"/>
      <c r="E119" s="8697" t="s">
        <v>143</v>
      </c>
      <c r="F119" s="8185" t="s">
        <v>255</v>
      </c>
      <c r="G119" s="8505"/>
      <c r="H119" s="8505"/>
      <c r="I119" s="9497" t="s">
        <v>144</v>
      </c>
      <c r="J119" s="9497"/>
      <c r="K119" s="8136" t="s">
        <v>255</v>
      </c>
      <c r="L119" s="8260" t="s">
        <v>168</v>
      </c>
      <c r="M119" s="8144" t="s">
        <v>168</v>
      </c>
      <c r="N119" s="8145" t="s">
        <v>168</v>
      </c>
      <c r="O119" s="8954" t="s">
        <v>3584</v>
      </c>
      <c r="P119" s="8088"/>
      <c r="Q119" s="7932"/>
      <c r="R119" s="8509"/>
    </row>
    <row r="120" spans="1:18" ht="19.899999999999999" customHeight="1">
      <c r="A120" s="7872"/>
      <c r="B120" s="8501"/>
      <c r="C120" s="7939"/>
      <c r="D120" s="8084"/>
      <c r="E120" s="8697" t="s">
        <v>146</v>
      </c>
      <c r="F120" s="8185" t="s">
        <v>255</v>
      </c>
      <c r="G120" s="8505"/>
      <c r="H120" s="8505"/>
      <c r="I120" s="9497" t="s">
        <v>147</v>
      </c>
      <c r="J120" s="9497"/>
      <c r="K120" s="8136" t="s">
        <v>255</v>
      </c>
      <c r="L120" s="8260" t="s">
        <v>168</v>
      </c>
      <c r="M120" s="8144" t="s">
        <v>168</v>
      </c>
      <c r="N120" s="8145" t="s">
        <v>168</v>
      </c>
      <c r="O120" s="8954" t="s">
        <v>3584</v>
      </c>
      <c r="P120" s="8088"/>
      <c r="Q120" s="7932"/>
      <c r="R120" s="8509"/>
    </row>
    <row r="121" spans="1:18" ht="19.899999999999999" customHeight="1">
      <c r="A121" s="7872"/>
      <c r="B121" s="8501"/>
      <c r="C121" s="7939"/>
      <c r="D121" s="8084"/>
      <c r="E121" s="8697" t="s">
        <v>149</v>
      </c>
      <c r="F121" s="8185" t="s">
        <v>255</v>
      </c>
      <c r="G121" s="8505"/>
      <c r="H121" s="8583"/>
      <c r="I121" s="9497" t="s">
        <v>150</v>
      </c>
      <c r="J121" s="9497"/>
      <c r="K121" s="8136" t="s">
        <v>255</v>
      </c>
      <c r="L121" s="8260">
        <v>0</v>
      </c>
      <c r="M121" s="8144">
        <v>0</v>
      </c>
      <c r="N121" s="8145">
        <v>0</v>
      </c>
      <c r="O121" s="8954"/>
      <c r="P121" s="8088"/>
      <c r="Q121" s="7932"/>
      <c r="R121" s="8509"/>
    </row>
    <row r="122" spans="1:18" ht="20.100000000000001" customHeight="1">
      <c r="A122" s="7872"/>
      <c r="B122" s="8510"/>
      <c r="C122" s="7939"/>
      <c r="D122" s="8084"/>
      <c r="E122" s="8695" t="s">
        <v>283</v>
      </c>
      <c r="F122" s="8267" t="s">
        <v>255</v>
      </c>
      <c r="G122" s="8701"/>
      <c r="H122" s="8700"/>
      <c r="I122" s="9517" t="s">
        <v>284</v>
      </c>
      <c r="J122" s="9517"/>
      <c r="K122" s="8267" t="s">
        <v>255</v>
      </c>
      <c r="L122" s="8262">
        <f>IF(COUNTBLANK(L123:L128)&gt;0,"미취합법인有",SUM(L123:L128))</f>
        <v>0</v>
      </c>
      <c r="M122" s="8263">
        <f>IF(COUNTBLANK(M123:M128)&gt;0,"미취합법인有",SUM(M123:M128))</f>
        <v>0</v>
      </c>
      <c r="N122" s="8264">
        <f>IF(COUNTBLANK(N123:N128)&gt;0,"미취합법인有",SUM(N123:N128))</f>
        <v>0</v>
      </c>
      <c r="O122" s="8961"/>
      <c r="P122" s="8088" t="s">
        <v>280</v>
      </c>
      <c r="Q122" s="7955"/>
      <c r="R122" s="8509"/>
    </row>
    <row r="123" spans="1:18" ht="19.899999999999999" customHeight="1">
      <c r="A123" s="7872"/>
      <c r="B123" s="8501"/>
      <c r="C123" s="7939"/>
      <c r="D123" s="8084"/>
      <c r="E123" s="8697" t="s">
        <v>134</v>
      </c>
      <c r="F123" s="8185" t="s">
        <v>255</v>
      </c>
      <c r="G123" s="8505"/>
      <c r="H123" s="8583"/>
      <c r="I123" s="9478" t="s">
        <v>135</v>
      </c>
      <c r="J123" s="9478"/>
      <c r="K123" s="8136" t="s">
        <v>255</v>
      </c>
      <c r="L123" s="8112">
        <v>0</v>
      </c>
      <c r="M123" s="8018">
        <v>0</v>
      </c>
      <c r="N123" s="8019">
        <v>0</v>
      </c>
      <c r="O123" s="8954"/>
      <c r="P123" s="8088"/>
      <c r="Q123" s="7932"/>
      <c r="R123" s="8509"/>
    </row>
    <row r="124" spans="1:18" ht="19.899999999999999" customHeight="1">
      <c r="A124" s="7872"/>
      <c r="B124" s="8501"/>
      <c r="C124" s="7939"/>
      <c r="D124" s="8084"/>
      <c r="E124" s="8697" t="s">
        <v>137</v>
      </c>
      <c r="F124" s="8185" t="s">
        <v>255</v>
      </c>
      <c r="G124" s="8505"/>
      <c r="H124" s="8583"/>
      <c r="I124" s="9478" t="s">
        <v>138</v>
      </c>
      <c r="J124" s="9478"/>
      <c r="K124" s="8136" t="s">
        <v>255</v>
      </c>
      <c r="L124" s="8260">
        <v>0</v>
      </c>
      <c r="M124" s="8144">
        <v>0</v>
      </c>
      <c r="N124" s="8145">
        <v>0</v>
      </c>
      <c r="O124" s="8954"/>
      <c r="P124" s="8088"/>
      <c r="Q124" s="7932"/>
      <c r="R124" s="8509"/>
    </row>
    <row r="125" spans="1:18" ht="19.899999999999999" customHeight="1">
      <c r="A125" s="7872"/>
      <c r="B125" s="8501"/>
      <c r="C125" s="7939"/>
      <c r="D125" s="8084"/>
      <c r="E125" s="8697" t="s">
        <v>140</v>
      </c>
      <c r="F125" s="8185" t="s">
        <v>255</v>
      </c>
      <c r="G125" s="8505"/>
      <c r="H125" s="8583"/>
      <c r="I125" s="9497" t="s">
        <v>141</v>
      </c>
      <c r="J125" s="9497"/>
      <c r="K125" s="8136" t="s">
        <v>255</v>
      </c>
      <c r="L125" s="8162">
        <v>0</v>
      </c>
      <c r="M125" s="8238">
        <v>0</v>
      </c>
      <c r="N125" s="8019">
        <v>0</v>
      </c>
      <c r="O125" s="8964"/>
      <c r="P125" s="8088"/>
      <c r="Q125" s="7932"/>
      <c r="R125" s="8509"/>
    </row>
    <row r="126" spans="1:18" ht="19.899999999999999" customHeight="1">
      <c r="A126" s="7872"/>
      <c r="B126" s="8501"/>
      <c r="C126" s="7939"/>
      <c r="D126" s="8084"/>
      <c r="E126" s="8697" t="s">
        <v>143</v>
      </c>
      <c r="F126" s="8185" t="s">
        <v>255</v>
      </c>
      <c r="G126" s="8505"/>
      <c r="H126" s="8505"/>
      <c r="I126" s="9497" t="s">
        <v>144</v>
      </c>
      <c r="J126" s="9497"/>
      <c r="K126" s="8136" t="s">
        <v>255</v>
      </c>
      <c r="L126" s="8260" t="s">
        <v>168</v>
      </c>
      <c r="M126" s="8144" t="s">
        <v>168</v>
      </c>
      <c r="N126" s="8145" t="s">
        <v>168</v>
      </c>
      <c r="O126" s="8954" t="s">
        <v>3584</v>
      </c>
      <c r="P126" s="8088"/>
      <c r="Q126" s="7932"/>
      <c r="R126" s="8509"/>
    </row>
    <row r="127" spans="1:18" ht="19.899999999999999" customHeight="1">
      <c r="A127" s="7872"/>
      <c r="B127" s="8501"/>
      <c r="C127" s="7939"/>
      <c r="D127" s="8084"/>
      <c r="E127" s="8697" t="s">
        <v>146</v>
      </c>
      <c r="F127" s="8185" t="s">
        <v>255</v>
      </c>
      <c r="G127" s="8505"/>
      <c r="H127" s="8505"/>
      <c r="I127" s="9497" t="s">
        <v>147</v>
      </c>
      <c r="J127" s="9497"/>
      <c r="K127" s="8136" t="s">
        <v>255</v>
      </c>
      <c r="L127" s="8260" t="s">
        <v>168</v>
      </c>
      <c r="M127" s="8144" t="s">
        <v>168</v>
      </c>
      <c r="N127" s="8145" t="s">
        <v>168</v>
      </c>
      <c r="O127" s="8954" t="s">
        <v>3584</v>
      </c>
      <c r="P127" s="8088"/>
      <c r="Q127" s="7932"/>
      <c r="R127" s="8509"/>
    </row>
    <row r="128" spans="1:18" ht="19.899999999999999" customHeight="1">
      <c r="A128" s="7872"/>
      <c r="B128" s="8501"/>
      <c r="C128" s="7939"/>
      <c r="D128" s="8084"/>
      <c r="E128" s="8697" t="s">
        <v>149</v>
      </c>
      <c r="F128" s="8185" t="s">
        <v>255</v>
      </c>
      <c r="G128" s="8505"/>
      <c r="H128" s="8583"/>
      <c r="I128" s="9497" t="s">
        <v>150</v>
      </c>
      <c r="J128" s="9497"/>
      <c r="K128" s="8136" t="s">
        <v>255</v>
      </c>
      <c r="L128" s="8178">
        <v>0</v>
      </c>
      <c r="M128" s="8144">
        <v>0</v>
      </c>
      <c r="N128" s="8145">
        <v>0</v>
      </c>
      <c r="O128" s="8965"/>
      <c r="P128" s="8088"/>
      <c r="Q128" s="7932"/>
      <c r="R128" s="8509"/>
    </row>
    <row r="129" spans="1:18" ht="20.100000000000001" customHeight="1">
      <c r="A129" s="7872"/>
      <c r="B129" s="8510"/>
      <c r="C129" s="9535" t="s">
        <v>285</v>
      </c>
      <c r="D129" s="9535"/>
      <c r="E129" s="9535"/>
      <c r="F129" s="8268" t="s">
        <v>286</v>
      </c>
      <c r="G129" s="8702"/>
      <c r="H129" s="9534" t="s">
        <v>287</v>
      </c>
      <c r="I129" s="9534"/>
      <c r="J129" s="9534"/>
      <c r="K129" s="8268" t="s">
        <v>288</v>
      </c>
      <c r="L129" s="8269">
        <f>SUM(L74,L76)/SUM(L137,L139,)</f>
        <v>0.2477298548916379</v>
      </c>
      <c r="M129" s="8270">
        <f>SUM(M74,M76)/SUM(M137,M139,)</f>
        <v>0.19140942808675265</v>
      </c>
      <c r="N129" s="8271">
        <f>SUM(N74:N76)/SUM(N137:N139)</f>
        <v>0.13847598212116824</v>
      </c>
      <c r="O129" s="8961"/>
      <c r="P129" s="8088" t="s">
        <v>3643</v>
      </c>
      <c r="Q129" s="8703" t="s">
        <v>292</v>
      </c>
      <c r="R129" s="8509"/>
    </row>
    <row r="130" spans="1:18" ht="20.100000000000001" customHeight="1">
      <c r="A130" s="7872"/>
      <c r="B130" s="8501"/>
      <c r="C130" s="9520" t="s">
        <v>134</v>
      </c>
      <c r="D130" s="9520"/>
      <c r="E130" s="9520"/>
      <c r="F130" s="7941" t="s">
        <v>286</v>
      </c>
      <c r="G130" s="8505"/>
      <c r="H130" s="9478" t="s">
        <v>135</v>
      </c>
      <c r="I130" s="9478"/>
      <c r="J130" s="9478"/>
      <c r="K130" s="7941" t="s">
        <v>288</v>
      </c>
      <c r="L130" s="8272">
        <f>L74/L137</f>
        <v>0.36821428245382865</v>
      </c>
      <c r="M130" s="8273">
        <f>M74/M137</f>
        <v>0.20223233934275198</v>
      </c>
      <c r="N130" s="8274">
        <f>N74/N137</f>
        <v>0.18026033005485395</v>
      </c>
      <c r="O130" s="8954"/>
      <c r="P130" s="8088"/>
      <c r="Q130" s="7932"/>
      <c r="R130" s="8509"/>
    </row>
    <row r="131" spans="1:18" ht="20.100000000000001" customHeight="1">
      <c r="A131" s="7872"/>
      <c r="B131" s="8501"/>
      <c r="C131" s="9520" t="s">
        <v>137</v>
      </c>
      <c r="D131" s="9520"/>
      <c r="E131" s="9520"/>
      <c r="F131" s="7941" t="s">
        <v>286</v>
      </c>
      <c r="G131" s="8505"/>
      <c r="H131" s="9478" t="s">
        <v>138</v>
      </c>
      <c r="I131" s="9478"/>
      <c r="J131" s="9478"/>
      <c r="K131" s="7941" t="s">
        <v>288</v>
      </c>
      <c r="L131" s="8131" t="str">
        <f>L39</f>
        <v>-</v>
      </c>
      <c r="M131" s="8265" t="str">
        <f>M39</f>
        <v>-</v>
      </c>
      <c r="N131" s="8275">
        <f>N75/N138</f>
        <v>9.1684041700080196E-3</v>
      </c>
      <c r="O131" s="8954"/>
      <c r="P131" s="8088"/>
      <c r="Q131" s="7932"/>
      <c r="R131" s="8509"/>
    </row>
    <row r="132" spans="1:18" ht="20.100000000000001" customHeight="1">
      <c r="A132" s="7872"/>
      <c r="B132" s="8501"/>
      <c r="C132" s="9520" t="s">
        <v>140</v>
      </c>
      <c r="D132" s="9520"/>
      <c r="E132" s="9520"/>
      <c r="F132" s="7941" t="s">
        <v>286</v>
      </c>
      <c r="G132" s="8505"/>
      <c r="H132" s="9478" t="s">
        <v>141</v>
      </c>
      <c r="I132" s="9478"/>
      <c r="J132" s="9478"/>
      <c r="K132" s="7941" t="s">
        <v>288</v>
      </c>
      <c r="L132" s="8272">
        <f>L76/L139</f>
        <v>0.10541228050452728</v>
      </c>
      <c r="M132" s="8273">
        <f>M76/M139</f>
        <v>0.14763375669960088</v>
      </c>
      <c r="N132" s="8275">
        <f>N76/N139</f>
        <v>8.6086766329401973E-2</v>
      </c>
      <c r="O132" s="8954"/>
      <c r="P132" s="8088"/>
      <c r="Q132" s="7932"/>
      <c r="R132" s="8509"/>
    </row>
    <row r="133" spans="1:18" ht="20.100000000000001" customHeight="1">
      <c r="A133" s="7872"/>
      <c r="B133" s="8501"/>
      <c r="C133" s="9523" t="s">
        <v>143</v>
      </c>
      <c r="D133" s="9523"/>
      <c r="E133" s="9523"/>
      <c r="F133" s="7941" t="s">
        <v>286</v>
      </c>
      <c r="G133" s="8505"/>
      <c r="H133" s="9524" t="s">
        <v>144</v>
      </c>
      <c r="I133" s="9524"/>
      <c r="J133" s="9524"/>
      <c r="K133" s="7941" t="s">
        <v>288</v>
      </c>
      <c r="L133" s="9145">
        <f>L77/L140</f>
        <v>0.10894629713777258</v>
      </c>
      <c r="M133" s="8273">
        <f>M77/M140</f>
        <v>7.8673007675135423E-2</v>
      </c>
      <c r="N133" s="8275">
        <f>N77/N140</f>
        <v>7.1350589678270418E-2</v>
      </c>
      <c r="O133" s="8954"/>
      <c r="P133" s="8088"/>
      <c r="Q133" s="7932"/>
      <c r="R133" s="8509"/>
    </row>
    <row r="134" spans="1:18" ht="20.100000000000001" customHeight="1">
      <c r="A134" s="7872"/>
      <c r="B134" s="8501"/>
      <c r="C134" s="9520" t="s">
        <v>146</v>
      </c>
      <c r="D134" s="9520"/>
      <c r="E134" s="9520"/>
      <c r="F134" s="7941" t="s">
        <v>286</v>
      </c>
      <c r="G134" s="8505"/>
      <c r="H134" s="9478" t="s">
        <v>147</v>
      </c>
      <c r="I134" s="9478"/>
      <c r="J134" s="9478"/>
      <c r="K134" s="7941" t="s">
        <v>288</v>
      </c>
      <c r="L134" s="8131" t="str">
        <f t="shared" ref="L134:N134" si="8">L42</f>
        <v>-</v>
      </c>
      <c r="M134" s="8265" t="str">
        <f t="shared" si="8"/>
        <v>-</v>
      </c>
      <c r="N134" s="8266" t="str">
        <f t="shared" si="8"/>
        <v>-</v>
      </c>
      <c r="O134" s="8954" t="s">
        <v>3584</v>
      </c>
      <c r="P134" s="8088"/>
      <c r="Q134" s="7932"/>
      <c r="R134" s="8509"/>
    </row>
    <row r="135" spans="1:18" ht="20.100000000000001" customHeight="1">
      <c r="A135" s="7872"/>
      <c r="B135" s="8501"/>
      <c r="C135" s="9520" t="s">
        <v>149</v>
      </c>
      <c r="D135" s="9520"/>
      <c r="E135" s="9520"/>
      <c r="F135" s="7941" t="s">
        <v>286</v>
      </c>
      <c r="G135" s="8505"/>
      <c r="H135" s="9478" t="s">
        <v>150</v>
      </c>
      <c r="I135" s="9478"/>
      <c r="J135" s="9478"/>
      <c r="K135" s="7941" t="s">
        <v>288</v>
      </c>
      <c r="L135" s="8242">
        <f>L79/L142</f>
        <v>0.45735795454545458</v>
      </c>
      <c r="M135" s="8243">
        <f>M79/M142</f>
        <v>0.23237704918032789</v>
      </c>
      <c r="N135" s="8239">
        <f>N79/N142</f>
        <v>0.13638770281810417</v>
      </c>
      <c r="O135" s="8954"/>
      <c r="P135" s="8088"/>
      <c r="Q135" s="7932"/>
      <c r="R135" s="8509"/>
    </row>
    <row r="136" spans="1:18" ht="20.100000000000001" hidden="1" customHeight="1">
      <c r="A136" s="7872"/>
      <c r="B136" s="8510"/>
      <c r="C136" s="7939"/>
      <c r="D136" s="9534" t="s">
        <v>232</v>
      </c>
      <c r="E136" s="9534"/>
      <c r="F136" s="8268" t="s">
        <v>233</v>
      </c>
      <c r="G136" s="8696"/>
      <c r="H136" s="8700"/>
      <c r="I136" s="9534" t="s">
        <v>234</v>
      </c>
      <c r="J136" s="9534"/>
      <c r="K136" s="8268" t="s">
        <v>295</v>
      </c>
      <c r="L136" s="8262">
        <f>IF(COUNTBLANK(L137:L142)&gt;0,"미취합법인有",SUM(L137:L142))</f>
        <v>7644.13</v>
      </c>
      <c r="M136" s="8263">
        <f>IF(COUNTBLANK(M137:M142)&gt;0,"미취합법인有",SUM(M137:M142))</f>
        <v>13181.130000000001</v>
      </c>
      <c r="N136" s="8264">
        <f>IF(COUNTBLANK(N137:N142)&gt;0,"미취합법인有",SUM(N137:N142))</f>
        <v>16017.26</v>
      </c>
      <c r="O136" s="8966"/>
      <c r="P136" s="8088" t="s">
        <v>3643</v>
      </c>
      <c r="Q136" s="8703" t="s">
        <v>292</v>
      </c>
      <c r="R136" s="8509"/>
    </row>
    <row r="137" spans="1:18" ht="20.100000000000001" hidden="1" customHeight="1">
      <c r="A137" s="7872"/>
      <c r="B137" s="8501"/>
      <c r="C137" s="7939"/>
      <c r="D137" s="9437" t="s">
        <v>134</v>
      </c>
      <c r="E137" s="9437"/>
      <c r="F137" s="7941" t="s">
        <v>233</v>
      </c>
      <c r="G137" s="8505"/>
      <c r="H137" s="8583"/>
      <c r="I137" s="9478" t="s">
        <v>135</v>
      </c>
      <c r="J137" s="9478"/>
      <c r="K137" s="7941" t="s">
        <v>295</v>
      </c>
      <c r="L137" s="7935">
        <f t="shared" ref="L137:N138" si="9">L45</f>
        <v>3286.13</v>
      </c>
      <c r="M137" s="8341">
        <f t="shared" si="9"/>
        <v>7066.13</v>
      </c>
      <c r="N137" s="8116">
        <f t="shared" si="9"/>
        <v>7733.26</v>
      </c>
      <c r="O137" s="8954" t="s">
        <v>139</v>
      </c>
      <c r="P137" s="8088"/>
      <c r="Q137" s="7932"/>
      <c r="R137" s="8509"/>
    </row>
    <row r="138" spans="1:18" ht="20.100000000000001" hidden="1" customHeight="1">
      <c r="A138" s="7872"/>
      <c r="B138" s="8501"/>
      <c r="C138" s="7939"/>
      <c r="D138" s="9437" t="s">
        <v>137</v>
      </c>
      <c r="E138" s="9437"/>
      <c r="F138" s="7941" t="s">
        <v>233</v>
      </c>
      <c r="G138" s="8505"/>
      <c r="H138" s="8583"/>
      <c r="I138" s="9478" t="s">
        <v>138</v>
      </c>
      <c r="J138" s="9478"/>
      <c r="K138" s="7941" t="s">
        <v>295</v>
      </c>
      <c r="L138" s="7935">
        <v>498</v>
      </c>
      <c r="M138" s="8341">
        <f t="shared" si="9"/>
        <v>1090</v>
      </c>
      <c r="N138" s="8092">
        <f t="shared" si="9"/>
        <v>1247</v>
      </c>
      <c r="O138" s="8954" t="s">
        <v>139</v>
      </c>
      <c r="P138" s="8088"/>
      <c r="Q138" s="7932"/>
      <c r="R138" s="8509"/>
    </row>
    <row r="139" spans="1:18" ht="20.100000000000001" hidden="1" customHeight="1">
      <c r="A139" s="7872"/>
      <c r="B139" s="8501"/>
      <c r="C139" s="7939"/>
      <c r="D139" s="9437" t="s">
        <v>140</v>
      </c>
      <c r="E139" s="9437"/>
      <c r="F139" s="7941" t="s">
        <v>233</v>
      </c>
      <c r="G139" s="8505"/>
      <c r="H139" s="8583"/>
      <c r="I139" s="9497" t="s">
        <v>141</v>
      </c>
      <c r="J139" s="9497"/>
      <c r="K139" s="7941" t="s">
        <v>295</v>
      </c>
      <c r="L139" s="8896">
        <v>2782</v>
      </c>
      <c r="M139" s="8338">
        <v>1747</v>
      </c>
      <c r="N139" s="8092">
        <v>3090</v>
      </c>
      <c r="O139" s="8954" t="s">
        <v>139</v>
      </c>
      <c r="P139" s="8088"/>
      <c r="Q139" s="7932"/>
      <c r="R139" s="8509"/>
    </row>
    <row r="140" spans="1:18" ht="20.100000000000001" hidden="1" customHeight="1">
      <c r="A140" s="7872"/>
      <c r="B140" s="8501"/>
      <c r="C140" s="7939"/>
      <c r="D140" s="9437" t="s">
        <v>143</v>
      </c>
      <c r="E140" s="9437"/>
      <c r="F140" s="7941" t="s">
        <v>233</v>
      </c>
      <c r="G140" s="8505"/>
      <c r="H140" s="8583"/>
      <c r="I140" s="9497" t="s">
        <v>144</v>
      </c>
      <c r="J140" s="9497"/>
      <c r="K140" s="7941" t="s">
        <v>295</v>
      </c>
      <c r="L140" s="8900">
        <v>496</v>
      </c>
      <c r="M140" s="8086">
        <v>1499</v>
      </c>
      <c r="N140" s="8087">
        <v>1849</v>
      </c>
      <c r="O140" s="8954" t="s">
        <v>139</v>
      </c>
      <c r="P140" s="8088"/>
      <c r="Q140" s="7932"/>
      <c r="R140" s="8509"/>
    </row>
    <row r="141" spans="1:18" ht="20.100000000000001" hidden="1" customHeight="1">
      <c r="A141" s="7872"/>
      <c r="B141" s="8501"/>
      <c r="C141" s="7939"/>
      <c r="D141" s="9437" t="s">
        <v>146</v>
      </c>
      <c r="E141" s="9437"/>
      <c r="F141" s="7941" t="s">
        <v>233</v>
      </c>
      <c r="G141" s="8505"/>
      <c r="H141" s="8583"/>
      <c r="I141" s="9497" t="s">
        <v>147</v>
      </c>
      <c r="J141" s="9497"/>
      <c r="K141" s="7941" t="s">
        <v>295</v>
      </c>
      <c r="L141" s="8900">
        <v>230</v>
      </c>
      <c r="M141" s="8086">
        <v>925</v>
      </c>
      <c r="N141" s="8087">
        <v>927</v>
      </c>
      <c r="O141" s="8954" t="s">
        <v>139</v>
      </c>
      <c r="P141" s="8088"/>
      <c r="Q141" s="7932"/>
      <c r="R141" s="8509"/>
    </row>
    <row r="142" spans="1:18" ht="20.100000000000001" hidden="1" customHeight="1">
      <c r="A142" s="7872"/>
      <c r="B142" s="8501"/>
      <c r="C142" s="7939"/>
      <c r="D142" s="9437" t="s">
        <v>149</v>
      </c>
      <c r="E142" s="9437"/>
      <c r="F142" s="7941" t="s">
        <v>233</v>
      </c>
      <c r="G142" s="8505"/>
      <c r="H142" s="8583"/>
      <c r="I142" s="9497" t="s">
        <v>150</v>
      </c>
      <c r="J142" s="9497"/>
      <c r="K142" s="7941" t="s">
        <v>295</v>
      </c>
      <c r="L142" s="8085">
        <v>352</v>
      </c>
      <c r="M142" s="8899">
        <v>854</v>
      </c>
      <c r="N142" s="8100">
        <v>1171</v>
      </c>
      <c r="O142" s="8954" t="s">
        <v>139</v>
      </c>
      <c r="P142" s="8088"/>
      <c r="Q142" s="7932"/>
      <c r="R142" s="8509"/>
    </row>
    <row r="143" spans="1:18" ht="20.100000000000001" customHeight="1">
      <c r="A143" s="7872"/>
      <c r="B143" s="8510"/>
      <c r="C143" s="9532" t="s">
        <v>3637</v>
      </c>
      <c r="D143" s="9533"/>
      <c r="E143" s="9533"/>
      <c r="F143" s="8093" t="s">
        <v>255</v>
      </c>
      <c r="G143" s="8526"/>
      <c r="H143" s="9533" t="s">
        <v>297</v>
      </c>
      <c r="I143" s="9533"/>
      <c r="J143" s="9533"/>
      <c r="K143" s="8184" t="s">
        <v>255</v>
      </c>
      <c r="L143" s="8042">
        <f>IF(COUNTBLANK(L144:L149)&gt;0,"미취합법인有",SUM(L144:L149))</f>
        <v>654</v>
      </c>
      <c r="M143" s="8036">
        <f>IF(COUNTBLANK(M144:M149)&gt;0,"미취합법인有",SUM(M144:M149))</f>
        <v>247</v>
      </c>
      <c r="N143" s="8037">
        <f>IF(COUNTBLANK(N144:N149)&gt;0,"미취합법인有",SUM(N144:N149))</f>
        <v>257.93460000000005</v>
      </c>
      <c r="O143" s="8960" t="s">
        <v>3680</v>
      </c>
      <c r="P143" s="8088" t="s">
        <v>300</v>
      </c>
      <c r="Q143" s="7955" t="s">
        <v>301</v>
      </c>
      <c r="R143" s="8509"/>
    </row>
    <row r="144" spans="1:18" ht="19.899999999999999" customHeight="1">
      <c r="A144" s="7872"/>
      <c r="B144" s="8501"/>
      <c r="C144" s="9520" t="s">
        <v>134</v>
      </c>
      <c r="D144" s="9520"/>
      <c r="E144" s="9520"/>
      <c r="F144" s="8185" t="s">
        <v>255</v>
      </c>
      <c r="G144" s="8505"/>
      <c r="H144" s="9478" t="s">
        <v>135</v>
      </c>
      <c r="I144" s="9478"/>
      <c r="J144" s="9478"/>
      <c r="K144" s="8185" t="s">
        <v>255</v>
      </c>
      <c r="L144" s="8242">
        <f>L151-L74</f>
        <v>654</v>
      </c>
      <c r="M144" s="8265">
        <f>M151-M74</f>
        <v>247</v>
      </c>
      <c r="N144" s="7944">
        <f>N151-N74</f>
        <v>257.93460000000005</v>
      </c>
      <c r="O144" s="8954"/>
      <c r="P144" s="8088"/>
      <c r="Q144" s="7932"/>
      <c r="R144" s="8509"/>
    </row>
    <row r="145" spans="1:18" ht="19.899999999999999" hidden="1" customHeight="1">
      <c r="A145" s="7872"/>
      <c r="B145" s="8501"/>
      <c r="C145" s="9520" t="s">
        <v>137</v>
      </c>
      <c r="D145" s="9520"/>
      <c r="E145" s="9520"/>
      <c r="F145" s="8185" t="s">
        <v>255</v>
      </c>
      <c r="G145" s="8505"/>
      <c r="H145" s="9478" t="s">
        <v>138</v>
      </c>
      <c r="I145" s="9478"/>
      <c r="J145" s="9478"/>
      <c r="K145" s="8185" t="s">
        <v>255</v>
      </c>
      <c r="L145" s="8260" t="s">
        <v>168</v>
      </c>
      <c r="M145" s="8144" t="s">
        <v>168</v>
      </c>
      <c r="N145" s="8145" t="s">
        <v>168</v>
      </c>
      <c r="O145" s="8954" t="s">
        <v>3584</v>
      </c>
      <c r="P145" s="8088"/>
      <c r="Q145" s="7932"/>
      <c r="R145" s="8509"/>
    </row>
    <row r="146" spans="1:18" ht="19.899999999999999" hidden="1" customHeight="1">
      <c r="A146" s="7872"/>
      <c r="B146" s="8501"/>
      <c r="C146" s="9520" t="s">
        <v>140</v>
      </c>
      <c r="D146" s="9520"/>
      <c r="E146" s="9520"/>
      <c r="F146" s="8185" t="s">
        <v>255</v>
      </c>
      <c r="G146" s="8505"/>
      <c r="H146" s="9478" t="s">
        <v>141</v>
      </c>
      <c r="I146" s="9478"/>
      <c r="J146" s="9478"/>
      <c r="K146" s="8185" t="s">
        <v>255</v>
      </c>
      <c r="L146" s="8260" t="s">
        <v>168</v>
      </c>
      <c r="M146" s="8144" t="s">
        <v>168</v>
      </c>
      <c r="N146" s="8145" t="s">
        <v>168</v>
      </c>
      <c r="O146" s="8954" t="s">
        <v>3584</v>
      </c>
      <c r="P146" s="8088"/>
      <c r="Q146" s="7932"/>
      <c r="R146" s="8509"/>
    </row>
    <row r="147" spans="1:18" ht="19.899999999999999" hidden="1" customHeight="1">
      <c r="A147" s="7872"/>
      <c r="B147" s="8501"/>
      <c r="C147" s="9520" t="s">
        <v>143</v>
      </c>
      <c r="D147" s="9520"/>
      <c r="E147" s="9520"/>
      <c r="F147" s="8185" t="s">
        <v>255</v>
      </c>
      <c r="G147" s="8505"/>
      <c r="H147" s="9478" t="s">
        <v>144</v>
      </c>
      <c r="I147" s="9478"/>
      <c r="J147" s="9478"/>
      <c r="K147" s="8185" t="s">
        <v>255</v>
      </c>
      <c r="L147" s="8260" t="s">
        <v>168</v>
      </c>
      <c r="M147" s="8144" t="s">
        <v>168</v>
      </c>
      <c r="N147" s="8145" t="s">
        <v>168</v>
      </c>
      <c r="O147" s="8954" t="s">
        <v>3584</v>
      </c>
      <c r="P147" s="8088"/>
      <c r="Q147" s="7932"/>
      <c r="R147" s="8509"/>
    </row>
    <row r="148" spans="1:18" ht="19.899999999999999" hidden="1" customHeight="1">
      <c r="A148" s="7872"/>
      <c r="B148" s="8501"/>
      <c r="C148" s="9520" t="s">
        <v>146</v>
      </c>
      <c r="D148" s="9520"/>
      <c r="E148" s="9520"/>
      <c r="F148" s="8185" t="s">
        <v>255</v>
      </c>
      <c r="G148" s="8505"/>
      <c r="H148" s="9478" t="s">
        <v>147</v>
      </c>
      <c r="I148" s="9478"/>
      <c r="J148" s="9478"/>
      <c r="K148" s="8185" t="s">
        <v>255</v>
      </c>
      <c r="L148" s="8260" t="s">
        <v>168</v>
      </c>
      <c r="M148" s="8144" t="s">
        <v>168</v>
      </c>
      <c r="N148" s="8145" t="s">
        <v>168</v>
      </c>
      <c r="O148" s="8954" t="s">
        <v>3584</v>
      </c>
      <c r="P148" s="8088"/>
      <c r="Q148" s="7932"/>
      <c r="R148" s="8509"/>
    </row>
    <row r="149" spans="1:18" ht="19.899999999999999" hidden="1" customHeight="1">
      <c r="A149" s="7872"/>
      <c r="B149" s="8501"/>
      <c r="C149" s="9520" t="s">
        <v>149</v>
      </c>
      <c r="D149" s="9520"/>
      <c r="E149" s="9520"/>
      <c r="F149" s="8185" t="s">
        <v>255</v>
      </c>
      <c r="G149" s="8505"/>
      <c r="H149" s="9478" t="s">
        <v>150</v>
      </c>
      <c r="I149" s="9478"/>
      <c r="J149" s="9478"/>
      <c r="K149" s="8185" t="s">
        <v>255</v>
      </c>
      <c r="L149" s="8260" t="s">
        <v>168</v>
      </c>
      <c r="M149" s="8144" t="s">
        <v>168</v>
      </c>
      <c r="N149" s="8145" t="s">
        <v>168</v>
      </c>
      <c r="O149" s="8954" t="s">
        <v>3584</v>
      </c>
      <c r="P149" s="8088"/>
      <c r="Q149" s="7932"/>
      <c r="R149" s="8509"/>
    </row>
    <row r="150" spans="1:18" ht="20.100000000000001" customHeight="1">
      <c r="A150" s="7872"/>
      <c r="B150" s="8510"/>
      <c r="C150" s="7939"/>
      <c r="D150" s="9534" t="s">
        <v>303</v>
      </c>
      <c r="E150" s="9534"/>
      <c r="F150" s="8093" t="s">
        <v>255</v>
      </c>
      <c r="G150" s="8704"/>
      <c r="H150" s="8704"/>
      <c r="I150" s="9534" t="s">
        <v>304</v>
      </c>
      <c r="J150" s="9534"/>
      <c r="K150" s="8256" t="s">
        <v>255</v>
      </c>
      <c r="L150" s="8042">
        <f>IF(COUNTBLANK(L151:L156)&gt;0,"미취합법인有",SUM(L151:L156))</f>
        <v>1864</v>
      </c>
      <c r="M150" s="8036">
        <f>IF(COUNTBLANK(M151:M156)&gt;0,"미취합법인有",SUM(M151:M156))</f>
        <v>1676</v>
      </c>
      <c r="N150" s="8037">
        <f>IF(COUNTBLANK(N151:N156)&gt;0,"미취합법인有",SUM(N151:N156))</f>
        <v>1651.9346</v>
      </c>
      <c r="O150" s="8960" t="s">
        <v>3680</v>
      </c>
      <c r="P150" s="8088" t="s">
        <v>300</v>
      </c>
      <c r="Q150" s="7955" t="s">
        <v>301</v>
      </c>
      <c r="R150" s="8509"/>
    </row>
    <row r="151" spans="1:18" ht="33">
      <c r="A151" s="7872"/>
      <c r="B151" s="8501"/>
      <c r="C151" s="7939"/>
      <c r="D151" s="9437" t="s">
        <v>134</v>
      </c>
      <c r="E151" s="9437"/>
      <c r="F151" s="8185" t="s">
        <v>255</v>
      </c>
      <c r="G151" s="8505"/>
      <c r="H151" s="8505"/>
      <c r="I151" s="9478" t="s">
        <v>135</v>
      </c>
      <c r="J151" s="9478"/>
      <c r="K151" s="8185" t="s">
        <v>255</v>
      </c>
      <c r="L151" s="8154">
        <v>1864</v>
      </c>
      <c r="M151" s="8217">
        <v>1676</v>
      </c>
      <c r="N151" s="8255">
        <v>1651.9346</v>
      </c>
      <c r="O151" s="8954" t="s">
        <v>3776</v>
      </c>
      <c r="P151" s="8088"/>
      <c r="Q151" s="7932"/>
      <c r="R151" s="8509"/>
    </row>
    <row r="152" spans="1:18" ht="20.100000000000001" hidden="1" customHeight="1">
      <c r="A152" s="7872"/>
      <c r="B152" s="8501"/>
      <c r="C152" s="7939"/>
      <c r="D152" s="9437" t="s">
        <v>137</v>
      </c>
      <c r="E152" s="9437"/>
      <c r="F152" s="8185" t="s">
        <v>255</v>
      </c>
      <c r="G152" s="8505"/>
      <c r="H152" s="8505"/>
      <c r="I152" s="9478" t="s">
        <v>138</v>
      </c>
      <c r="J152" s="9478"/>
      <c r="K152" s="8185" t="s">
        <v>255</v>
      </c>
      <c r="L152" s="8260" t="s">
        <v>168</v>
      </c>
      <c r="M152" s="8144" t="s">
        <v>168</v>
      </c>
      <c r="N152" s="8145" t="s">
        <v>168</v>
      </c>
      <c r="O152" s="8954" t="s">
        <v>3584</v>
      </c>
      <c r="P152" s="8088"/>
      <c r="Q152" s="7932"/>
      <c r="R152" s="8509"/>
    </row>
    <row r="153" spans="1:18" ht="20.100000000000001" hidden="1" customHeight="1">
      <c r="A153" s="7872"/>
      <c r="B153" s="8501"/>
      <c r="C153" s="7939"/>
      <c r="D153" s="9437" t="s">
        <v>140</v>
      </c>
      <c r="E153" s="9437"/>
      <c r="F153" s="8185" t="s">
        <v>255</v>
      </c>
      <c r="G153" s="8505"/>
      <c r="H153" s="8505"/>
      <c r="I153" s="9497" t="s">
        <v>141</v>
      </c>
      <c r="J153" s="9497"/>
      <c r="K153" s="8185" t="s">
        <v>255</v>
      </c>
      <c r="L153" s="8260" t="s">
        <v>168</v>
      </c>
      <c r="M153" s="8144" t="s">
        <v>168</v>
      </c>
      <c r="N153" s="8145" t="s">
        <v>168</v>
      </c>
      <c r="O153" s="8954" t="s">
        <v>3584</v>
      </c>
      <c r="P153" s="8088"/>
      <c r="Q153" s="7932"/>
      <c r="R153" s="8509"/>
    </row>
    <row r="154" spans="1:18" ht="20.100000000000001" hidden="1" customHeight="1">
      <c r="A154" s="7872"/>
      <c r="B154" s="8501"/>
      <c r="C154" s="7939"/>
      <c r="D154" s="9437" t="s">
        <v>143</v>
      </c>
      <c r="E154" s="9437"/>
      <c r="F154" s="8185" t="s">
        <v>255</v>
      </c>
      <c r="G154" s="8505"/>
      <c r="H154" s="8505"/>
      <c r="I154" s="9497" t="s">
        <v>144</v>
      </c>
      <c r="J154" s="9497"/>
      <c r="K154" s="8185" t="s">
        <v>255</v>
      </c>
      <c r="L154" s="8260" t="s">
        <v>168</v>
      </c>
      <c r="M154" s="8144" t="s">
        <v>168</v>
      </c>
      <c r="N154" s="8145" t="s">
        <v>168</v>
      </c>
      <c r="O154" s="8954" t="s">
        <v>3584</v>
      </c>
      <c r="P154" s="8088"/>
      <c r="Q154" s="7932"/>
      <c r="R154" s="8509"/>
    </row>
    <row r="155" spans="1:18" ht="20.100000000000001" hidden="1" customHeight="1">
      <c r="A155" s="7872"/>
      <c r="B155" s="8501"/>
      <c r="C155" s="7939"/>
      <c r="D155" s="9437" t="s">
        <v>146</v>
      </c>
      <c r="E155" s="9437"/>
      <c r="F155" s="8185" t="s">
        <v>255</v>
      </c>
      <c r="G155" s="8505"/>
      <c r="H155" s="8505"/>
      <c r="I155" s="9497" t="s">
        <v>147</v>
      </c>
      <c r="J155" s="9497"/>
      <c r="K155" s="8185" t="s">
        <v>255</v>
      </c>
      <c r="L155" s="8260" t="s">
        <v>168</v>
      </c>
      <c r="M155" s="8144" t="s">
        <v>168</v>
      </c>
      <c r="N155" s="8145" t="s">
        <v>168</v>
      </c>
      <c r="O155" s="8954" t="s">
        <v>3584</v>
      </c>
      <c r="P155" s="8088"/>
      <c r="Q155" s="7932"/>
      <c r="R155" s="8509"/>
    </row>
    <row r="156" spans="1:18" ht="20.100000000000001" hidden="1" customHeight="1">
      <c r="A156" s="7872"/>
      <c r="B156" s="8501"/>
      <c r="C156" s="7939"/>
      <c r="D156" s="9437" t="s">
        <v>149</v>
      </c>
      <c r="E156" s="9437"/>
      <c r="F156" s="8185" t="s">
        <v>255</v>
      </c>
      <c r="G156" s="8505"/>
      <c r="H156" s="8505"/>
      <c r="I156" s="9497" t="s">
        <v>150</v>
      </c>
      <c r="J156" s="9497"/>
      <c r="K156" s="8185" t="s">
        <v>255</v>
      </c>
      <c r="L156" s="8260" t="s">
        <v>168</v>
      </c>
      <c r="M156" s="8144" t="s">
        <v>168</v>
      </c>
      <c r="N156" s="8145" t="s">
        <v>168</v>
      </c>
      <c r="O156" s="8954" t="s">
        <v>3584</v>
      </c>
      <c r="P156" s="8088"/>
      <c r="Q156" s="7932"/>
      <c r="R156" s="8509"/>
    </row>
    <row r="157" spans="1:18" ht="20.100000000000001" customHeight="1">
      <c r="A157" s="7872"/>
      <c r="B157" s="8510"/>
      <c r="C157" s="9533" t="s">
        <v>324</v>
      </c>
      <c r="D157" s="9533"/>
      <c r="E157" s="9533"/>
      <c r="F157" s="8093" t="s">
        <v>156</v>
      </c>
      <c r="G157" s="8526"/>
      <c r="H157" s="9534" t="s">
        <v>325</v>
      </c>
      <c r="I157" s="9534"/>
      <c r="J157" s="9534"/>
      <c r="K157" s="8093" t="s">
        <v>156</v>
      </c>
      <c r="L157" s="8042">
        <f>L164/L171*100</f>
        <v>86.513618769792004</v>
      </c>
      <c r="M157" s="8036">
        <f>M164/M171*100</f>
        <v>86.81698687419005</v>
      </c>
      <c r="N157" s="8037">
        <f>N164/N171*100</f>
        <v>87.403790221401493</v>
      </c>
      <c r="O157" s="8967"/>
      <c r="P157" s="8088"/>
      <c r="Q157" s="7955"/>
      <c r="R157" s="8509" t="s">
        <v>261</v>
      </c>
    </row>
    <row r="158" spans="1:18" ht="19.899999999999999" customHeight="1">
      <c r="A158" s="7872"/>
      <c r="B158" s="8501"/>
      <c r="C158" s="9520" t="s">
        <v>134</v>
      </c>
      <c r="D158" s="9520"/>
      <c r="E158" s="9520"/>
      <c r="F158" s="8136" t="s">
        <v>156</v>
      </c>
      <c r="G158" s="8505"/>
      <c r="H158" s="9478" t="s">
        <v>135</v>
      </c>
      <c r="I158" s="9478"/>
      <c r="J158" s="9478"/>
      <c r="K158" s="8136" t="s">
        <v>156</v>
      </c>
      <c r="L158" s="8242">
        <f>L165/L172*100</f>
        <v>90.611570247933898</v>
      </c>
      <c r="M158" s="8265">
        <f>M165/M172*100</f>
        <v>91.284814555633304</v>
      </c>
      <c r="N158" s="8266">
        <f>N165/N74*100</f>
        <v>91.400071736011483</v>
      </c>
      <c r="O158" s="8954"/>
      <c r="P158" s="8088"/>
      <c r="Q158" s="7932"/>
      <c r="R158" s="8509"/>
    </row>
    <row r="159" spans="1:18" ht="19.899999999999999" customHeight="1">
      <c r="A159" s="7872"/>
      <c r="B159" s="8501"/>
      <c r="C159" s="9520" t="s">
        <v>137</v>
      </c>
      <c r="D159" s="9520"/>
      <c r="E159" s="9520"/>
      <c r="F159" s="8136" t="s">
        <v>156</v>
      </c>
      <c r="G159" s="8505"/>
      <c r="H159" s="9478" t="s">
        <v>138</v>
      </c>
      <c r="I159" s="9478"/>
      <c r="J159" s="9478"/>
      <c r="K159" s="8136" t="s">
        <v>156</v>
      </c>
      <c r="L159" s="8178" t="s">
        <v>168</v>
      </c>
      <c r="M159" s="8144" t="s">
        <v>168</v>
      </c>
      <c r="N159" s="8266">
        <f>N166/N75*100</f>
        <v>88.786845097524719</v>
      </c>
      <c r="O159" s="8954" t="s">
        <v>3591</v>
      </c>
      <c r="P159" s="8088"/>
      <c r="Q159" s="7932"/>
      <c r="R159" s="8509"/>
    </row>
    <row r="160" spans="1:18" ht="19.899999999999999" customHeight="1">
      <c r="A160" s="7872"/>
      <c r="B160" s="8501"/>
      <c r="C160" s="9520" t="s">
        <v>140</v>
      </c>
      <c r="D160" s="9520"/>
      <c r="E160" s="9520"/>
      <c r="F160" s="8136" t="s">
        <v>156</v>
      </c>
      <c r="G160" s="8505"/>
      <c r="H160" s="9478" t="s">
        <v>141</v>
      </c>
      <c r="I160" s="9478"/>
      <c r="J160" s="9478"/>
      <c r="K160" s="8136" t="s">
        <v>156</v>
      </c>
      <c r="L160" s="8242">
        <f t="shared" ref="L160:L163" si="10">L167/L174*100</f>
        <v>69.918556423834886</v>
      </c>
      <c r="M160" s="8265">
        <f t="shared" ref="M160:M163" si="11">M167/M174*100</f>
        <v>68.234217717500499</v>
      </c>
      <c r="N160" s="8266">
        <f>N167/N76*100</f>
        <v>66.542949555202327</v>
      </c>
      <c r="O160" s="8954"/>
      <c r="P160" s="8088"/>
      <c r="Q160" s="7932"/>
      <c r="R160" s="8509"/>
    </row>
    <row r="161" spans="1:18" ht="19.899999999999999" customHeight="1">
      <c r="A161" s="7872"/>
      <c r="B161" s="8501"/>
      <c r="C161" s="9520" t="s">
        <v>143</v>
      </c>
      <c r="D161" s="9520"/>
      <c r="E161" s="9520"/>
      <c r="F161" s="8136" t="s">
        <v>156</v>
      </c>
      <c r="G161" s="8505"/>
      <c r="H161" s="9478" t="s">
        <v>144</v>
      </c>
      <c r="I161" s="9478"/>
      <c r="J161" s="9478"/>
      <c r="K161" s="8136" t="s">
        <v>156</v>
      </c>
      <c r="L161" s="8242">
        <f t="shared" si="10"/>
        <v>100</v>
      </c>
      <c r="M161" s="8265">
        <f t="shared" si="11"/>
        <v>100</v>
      </c>
      <c r="N161" s="8266">
        <f>N168/N77*100</f>
        <v>100</v>
      </c>
      <c r="O161" s="8954"/>
      <c r="P161" s="8088"/>
      <c r="Q161" s="7932"/>
      <c r="R161" s="8509"/>
    </row>
    <row r="162" spans="1:18" ht="19.899999999999999" customHeight="1">
      <c r="A162" s="7872"/>
      <c r="B162" s="8501"/>
      <c r="C162" s="9520" t="s">
        <v>146</v>
      </c>
      <c r="D162" s="9520"/>
      <c r="E162" s="9520"/>
      <c r="F162" s="8136" t="s">
        <v>156</v>
      </c>
      <c r="G162" s="8505"/>
      <c r="H162" s="9478" t="s">
        <v>147</v>
      </c>
      <c r="I162" s="9478"/>
      <c r="J162" s="9478"/>
      <c r="K162" s="8136" t="s">
        <v>156</v>
      </c>
      <c r="L162" s="8178" t="str">
        <f>L92</f>
        <v>-</v>
      </c>
      <c r="M162" s="8144" t="s">
        <v>168</v>
      </c>
      <c r="N162" s="8145" t="s">
        <v>168</v>
      </c>
      <c r="O162" s="8954" t="s">
        <v>3584</v>
      </c>
      <c r="P162" s="8088"/>
      <c r="Q162" s="7932"/>
      <c r="R162" s="8509"/>
    </row>
    <row r="163" spans="1:18" ht="19.899999999999999" customHeight="1">
      <c r="A163" s="7872"/>
      <c r="B163" s="8501"/>
      <c r="C163" s="9520" t="s">
        <v>149</v>
      </c>
      <c r="D163" s="9520"/>
      <c r="E163" s="9520"/>
      <c r="F163" s="8136" t="s">
        <v>156</v>
      </c>
      <c r="G163" s="8505"/>
      <c r="H163" s="9478" t="s">
        <v>150</v>
      </c>
      <c r="I163" s="9478"/>
      <c r="J163" s="9478"/>
      <c r="K163" s="8136" t="s">
        <v>156</v>
      </c>
      <c r="L163" s="8242">
        <f t="shared" si="10"/>
        <v>81.986458786260016</v>
      </c>
      <c r="M163" s="8265">
        <f t="shared" si="11"/>
        <v>71.438649533887627</v>
      </c>
      <c r="N163" s="8266">
        <f>N170/N79*100</f>
        <v>76.76413499467786</v>
      </c>
      <c r="O163" s="8954"/>
      <c r="P163" s="8088"/>
      <c r="Q163" s="7932"/>
      <c r="R163" s="8509"/>
    </row>
    <row r="164" spans="1:18" ht="20.100000000000001" customHeight="1">
      <c r="A164" s="7872"/>
      <c r="B164" s="8510"/>
      <c r="C164" s="7939"/>
      <c r="D164" s="8685" t="s">
        <v>321</v>
      </c>
      <c r="E164" s="8705"/>
      <c r="F164" s="8267" t="s">
        <v>255</v>
      </c>
      <c r="G164" s="8702"/>
      <c r="H164" s="9534" t="s">
        <v>322</v>
      </c>
      <c r="I164" s="9534"/>
      <c r="J164" s="9534"/>
      <c r="K164" s="8267" t="s">
        <v>255</v>
      </c>
      <c r="L164" s="8262">
        <f>IF(COUNTBLANK(L165:L170)&gt;0,"미취합법인有",SUM(L165:L170))</f>
        <v>1487.4683994757206</v>
      </c>
      <c r="M164" s="8263">
        <f>IF(COUNTBLANK(M165:M170)&gt;0,"미취합법인有",SUM(M165:M170))</f>
        <v>1740.1479214872438</v>
      </c>
      <c r="N164" s="8264">
        <f>IF(COUNTBLANK(N165:N170)&gt;0,"미취합법인有",SUM(N165:N170))</f>
        <v>1715.8048814062636</v>
      </c>
      <c r="O164" s="8966"/>
      <c r="P164" s="8088" t="s">
        <v>323</v>
      </c>
      <c r="Q164" s="7955"/>
      <c r="R164" s="8509"/>
    </row>
    <row r="165" spans="1:18" ht="19.899999999999999" customHeight="1">
      <c r="A165" s="7872"/>
      <c r="B165" s="8501"/>
      <c r="C165" s="7939"/>
      <c r="D165" s="8629" t="s">
        <v>134</v>
      </c>
      <c r="E165" s="8504"/>
      <c r="F165" s="8136" t="s">
        <v>255</v>
      </c>
      <c r="G165" s="8505"/>
      <c r="H165" s="9478" t="s">
        <v>135</v>
      </c>
      <c r="I165" s="9478"/>
      <c r="J165" s="9478"/>
      <c r="K165" s="8084" t="s">
        <v>255</v>
      </c>
      <c r="L165" s="8178">
        <f>L95</f>
        <v>1096.4000000000001</v>
      </c>
      <c r="M165" s="8144">
        <f>M95</f>
        <v>1304.46</v>
      </c>
      <c r="N165" s="8145">
        <f>N95</f>
        <v>1274.117</v>
      </c>
      <c r="O165" s="8954"/>
      <c r="P165" s="8088"/>
      <c r="Q165" s="7932"/>
      <c r="R165" s="8509"/>
    </row>
    <row r="166" spans="1:18" ht="19.899999999999999" customHeight="1">
      <c r="A166" s="7872"/>
      <c r="B166" s="8501"/>
      <c r="C166" s="7939"/>
      <c r="D166" s="8629" t="s">
        <v>137</v>
      </c>
      <c r="E166" s="8504"/>
      <c r="F166" s="8151" t="s">
        <v>307</v>
      </c>
      <c r="G166" s="8505"/>
      <c r="H166" s="9478" t="s">
        <v>138</v>
      </c>
      <c r="I166" s="9478"/>
      <c r="J166" s="9478"/>
      <c r="K166" s="8084" t="s">
        <v>255</v>
      </c>
      <c r="L166" s="8178" t="s">
        <v>168</v>
      </c>
      <c r="M166" s="8144" t="s">
        <v>168</v>
      </c>
      <c r="N166" s="8266">
        <f>N96</f>
        <v>10.151</v>
      </c>
      <c r="O166" s="8954"/>
      <c r="P166" s="8088"/>
      <c r="Q166" s="7932"/>
      <c r="R166" s="8509"/>
    </row>
    <row r="167" spans="1:18" ht="19.899999999999999" customHeight="1">
      <c r="A167" s="7872"/>
      <c r="B167" s="8501"/>
      <c r="C167" s="7939"/>
      <c r="D167" s="8629" t="s">
        <v>140</v>
      </c>
      <c r="E167" s="8706"/>
      <c r="F167" s="8136" t="s">
        <v>255</v>
      </c>
      <c r="G167" s="8505"/>
      <c r="H167" s="9478" t="s">
        <v>141</v>
      </c>
      <c r="I167" s="9478"/>
      <c r="J167" s="9478"/>
      <c r="K167" s="8084" t="s">
        <v>255</v>
      </c>
      <c r="L167" s="8178">
        <f>L97</f>
        <v>205.04103609538544</v>
      </c>
      <c r="M167" s="8144">
        <f>M97</f>
        <v>175.98708298221584</v>
      </c>
      <c r="N167" s="8145">
        <f>N97</f>
        <v>177.00964109114165</v>
      </c>
      <c r="O167" s="8954"/>
      <c r="P167" s="8088"/>
      <c r="Q167" s="7932"/>
      <c r="R167" s="8509"/>
    </row>
    <row r="168" spans="1:18" ht="19.899999999999999" customHeight="1">
      <c r="A168" s="7872"/>
      <c r="B168" s="8501"/>
      <c r="C168" s="7939"/>
      <c r="D168" s="8629" t="s">
        <v>143</v>
      </c>
      <c r="E168" s="8706"/>
      <c r="F168" s="8136" t="s">
        <v>255</v>
      </c>
      <c r="G168" s="8505"/>
      <c r="H168" s="9478" t="s">
        <v>144</v>
      </c>
      <c r="I168" s="9478"/>
      <c r="J168" s="9478"/>
      <c r="K168" s="8084" t="s">
        <v>255</v>
      </c>
      <c r="L168" s="8178">
        <f>L98</f>
        <v>54.037363380335201</v>
      </c>
      <c r="M168" s="8144">
        <f>M98</f>
        <v>117.93083850502801</v>
      </c>
      <c r="N168" s="8145">
        <f>N98</f>
        <v>131.92724031512199</v>
      </c>
      <c r="O168" s="8954"/>
      <c r="P168" s="8088"/>
      <c r="Q168" s="7932"/>
      <c r="R168" s="8509"/>
    </row>
    <row r="169" spans="1:18" ht="19.899999999999999" customHeight="1">
      <c r="A169" s="7872"/>
      <c r="B169" s="8501"/>
      <c r="C169" s="7939"/>
      <c r="D169" s="8629" t="s">
        <v>146</v>
      </c>
      <c r="E169" s="8706"/>
      <c r="F169" s="8136" t="s">
        <v>255</v>
      </c>
      <c r="G169" s="8505"/>
      <c r="H169" s="9478" t="s">
        <v>147</v>
      </c>
      <c r="I169" s="9478"/>
      <c r="J169" s="9478"/>
      <c r="K169" s="8084" t="s">
        <v>255</v>
      </c>
      <c r="L169" s="8178" t="str">
        <f>L99</f>
        <v>-</v>
      </c>
      <c r="M169" s="8144" t="s">
        <v>168</v>
      </c>
      <c r="N169" s="8145" t="s">
        <v>168</v>
      </c>
      <c r="O169" s="8954" t="s">
        <v>3584</v>
      </c>
      <c r="P169" s="8088"/>
      <c r="Q169" s="7932"/>
      <c r="R169" s="8509"/>
    </row>
    <row r="170" spans="1:18" ht="19.899999999999999" customHeight="1">
      <c r="A170" s="7872"/>
      <c r="B170" s="8707"/>
      <c r="C170" s="7939"/>
      <c r="D170" s="8629" t="s">
        <v>149</v>
      </c>
      <c r="E170" s="8706"/>
      <c r="F170" s="8136" t="s">
        <v>255</v>
      </c>
      <c r="G170" s="8505"/>
      <c r="H170" s="9478" t="s">
        <v>150</v>
      </c>
      <c r="I170" s="9478"/>
      <c r="J170" s="9478"/>
      <c r="K170" s="8084" t="s">
        <v>255</v>
      </c>
      <c r="L170" s="8178">
        <f>L100</f>
        <v>131.99</v>
      </c>
      <c r="M170" s="8144">
        <f>M100</f>
        <v>141.77000000000001</v>
      </c>
      <c r="N170" s="8145">
        <f>N100</f>
        <v>122.6</v>
      </c>
      <c r="O170" s="8954"/>
      <c r="P170" s="8088"/>
      <c r="Q170" s="7932"/>
      <c r="R170" s="8509"/>
    </row>
    <row r="171" spans="1:18" ht="20.100000000000001" hidden="1" customHeight="1">
      <c r="A171" s="7872"/>
      <c r="B171" s="8501"/>
      <c r="C171" s="7939"/>
      <c r="D171" s="8708" t="s">
        <v>254</v>
      </c>
      <c r="E171" s="8709"/>
      <c r="F171" s="8276" t="s">
        <v>255</v>
      </c>
      <c r="G171" s="8710"/>
      <c r="H171" s="9536" t="s">
        <v>256</v>
      </c>
      <c r="I171" s="9536"/>
      <c r="J171" s="9536"/>
      <c r="K171" s="8276" t="s">
        <v>255</v>
      </c>
      <c r="L171" s="8277">
        <f>SUM(L172:L177)</f>
        <v>1719.3459487965617</v>
      </c>
      <c r="M171" s="8278">
        <f>SUM(M172:M177)</f>
        <v>2004.3864503256275</v>
      </c>
      <c r="N171" s="8279">
        <f>SUM(N172:N177)</f>
        <v>1963.0783482729742</v>
      </c>
      <c r="O171" s="8968"/>
      <c r="P171" s="8088" t="s">
        <v>259</v>
      </c>
      <c r="Q171" s="7955" t="s">
        <v>260</v>
      </c>
      <c r="R171" s="8500" t="s">
        <v>261</v>
      </c>
    </row>
    <row r="172" spans="1:18" ht="19.899999999999999" hidden="1" customHeight="1">
      <c r="A172" s="7872"/>
      <c r="B172" s="8501"/>
      <c r="C172" s="7939"/>
      <c r="D172" s="8629" t="s">
        <v>134</v>
      </c>
      <c r="E172" s="8504"/>
      <c r="F172" s="8185" t="s">
        <v>255</v>
      </c>
      <c r="G172" s="8505"/>
      <c r="H172" s="9478" t="s">
        <v>135</v>
      </c>
      <c r="I172" s="9478"/>
      <c r="J172" s="9478"/>
      <c r="K172" s="8185" t="s">
        <v>255</v>
      </c>
      <c r="L172" s="8257">
        <f>L74</f>
        <v>1210</v>
      </c>
      <c r="M172" s="8258">
        <f>M74</f>
        <v>1429</v>
      </c>
      <c r="N172" s="8280">
        <f>N74</f>
        <v>1394</v>
      </c>
      <c r="O172" s="8954" t="s">
        <v>3590</v>
      </c>
      <c r="P172" s="8088"/>
      <c r="Q172" s="7932"/>
      <c r="R172" s="8509"/>
    </row>
    <row r="173" spans="1:18" ht="19.899999999999999" hidden="1" customHeight="1">
      <c r="A173" s="7872"/>
      <c r="B173" s="8501"/>
      <c r="C173" s="7939"/>
      <c r="D173" s="8629" t="s">
        <v>137</v>
      </c>
      <c r="E173" s="8504"/>
      <c r="F173" s="8185" t="s">
        <v>255</v>
      </c>
      <c r="G173" s="8505"/>
      <c r="H173" s="9478" t="s">
        <v>138</v>
      </c>
      <c r="I173" s="9478"/>
      <c r="J173" s="9478"/>
      <c r="K173" s="8185" t="s">
        <v>255</v>
      </c>
      <c r="L173" s="8257">
        <f t="shared" ref="L173:L177" si="12">L75</f>
        <v>1.061621052631579</v>
      </c>
      <c r="M173" s="8265">
        <f t="shared" ref="M173" si="13">M75</f>
        <v>1.0894388663967611</v>
      </c>
      <c r="N173" s="7944">
        <f t="shared" ref="N173" si="14">N75</f>
        <v>11.433</v>
      </c>
      <c r="O173" s="8954"/>
      <c r="P173" s="8088"/>
      <c r="Q173" s="7932"/>
      <c r="R173" s="8509"/>
    </row>
    <row r="174" spans="1:18" ht="19.899999999999999" hidden="1" customHeight="1">
      <c r="A174" s="7872"/>
      <c r="B174" s="8501"/>
      <c r="C174" s="7939"/>
      <c r="D174" s="8629" t="s">
        <v>140</v>
      </c>
      <c r="E174" s="8706"/>
      <c r="F174" s="8185" t="s">
        <v>255</v>
      </c>
      <c r="G174" s="8505"/>
      <c r="H174" s="9478" t="s">
        <v>141</v>
      </c>
      <c r="I174" s="9478"/>
      <c r="J174" s="9478"/>
      <c r="K174" s="8185" t="s">
        <v>255</v>
      </c>
      <c r="L174" s="8257">
        <f t="shared" si="12"/>
        <v>293.25696436359488</v>
      </c>
      <c r="M174" s="8144">
        <f t="shared" ref="M174" si="15">M76</f>
        <v>257.91617295420275</v>
      </c>
      <c r="N174" s="8266">
        <f t="shared" ref="N174" si="16">N76</f>
        <v>266.00810795785208</v>
      </c>
      <c r="O174" s="8954"/>
      <c r="P174" s="8088"/>
      <c r="Q174" s="7932"/>
      <c r="R174" s="8509"/>
    </row>
    <row r="175" spans="1:18" ht="19.899999999999999" hidden="1" customHeight="1">
      <c r="A175" s="7872"/>
      <c r="B175" s="8501"/>
      <c r="C175" s="7939"/>
      <c r="D175" s="8629" t="s">
        <v>143</v>
      </c>
      <c r="E175" s="8706"/>
      <c r="F175" s="8185" t="s">
        <v>255</v>
      </c>
      <c r="G175" s="8505"/>
      <c r="H175" s="9478" t="s">
        <v>144</v>
      </c>
      <c r="I175" s="9478"/>
      <c r="J175" s="9478"/>
      <c r="K175" s="8185" t="s">
        <v>255</v>
      </c>
      <c r="L175" s="8257">
        <f t="shared" si="12"/>
        <v>54.037363380335201</v>
      </c>
      <c r="M175" s="8144">
        <f t="shared" ref="M175" si="17">M77</f>
        <v>117.93083850502801</v>
      </c>
      <c r="N175" s="8266">
        <f t="shared" ref="N175" si="18">N77</f>
        <v>131.92724031512199</v>
      </c>
      <c r="O175" s="8954"/>
      <c r="P175" s="8088"/>
      <c r="Q175" s="7932"/>
      <c r="R175" s="8509"/>
    </row>
    <row r="176" spans="1:18" ht="19.899999999999999" hidden="1" customHeight="1">
      <c r="A176" s="7872"/>
      <c r="B176" s="8501"/>
      <c r="C176" s="7939"/>
      <c r="D176" s="8629" t="s">
        <v>146</v>
      </c>
      <c r="E176" s="8706"/>
      <c r="F176" s="8185" t="s">
        <v>255</v>
      </c>
      <c r="G176" s="8505"/>
      <c r="H176" s="9478" t="s">
        <v>147</v>
      </c>
      <c r="I176" s="9478"/>
      <c r="J176" s="9478"/>
      <c r="K176" s="8185" t="s">
        <v>255</v>
      </c>
      <c r="L176" s="8257" t="str">
        <f t="shared" si="12"/>
        <v>-</v>
      </c>
      <c r="M176" s="8144" t="str">
        <f t="shared" ref="M176" si="19">M78</f>
        <v>-</v>
      </c>
      <c r="N176" s="8266" t="str">
        <f t="shared" ref="N176" si="20">N78</f>
        <v>-</v>
      </c>
      <c r="O176" s="8954" t="s">
        <v>3584</v>
      </c>
      <c r="P176" s="8088"/>
      <c r="Q176" s="7932"/>
      <c r="R176" s="8509"/>
    </row>
    <row r="177" spans="1:18" ht="19.899999999999999" hidden="1" customHeight="1">
      <c r="A177" s="7872"/>
      <c r="B177" s="8501"/>
      <c r="C177" s="7939"/>
      <c r="D177" s="8629" t="s">
        <v>149</v>
      </c>
      <c r="E177" s="8706"/>
      <c r="F177" s="8185" t="s">
        <v>255</v>
      </c>
      <c r="G177" s="8505"/>
      <c r="H177" s="9478" t="s">
        <v>150</v>
      </c>
      <c r="I177" s="9478"/>
      <c r="J177" s="9478"/>
      <c r="K177" s="8185" t="s">
        <v>255</v>
      </c>
      <c r="L177" s="8257">
        <f t="shared" si="12"/>
        <v>160.99</v>
      </c>
      <c r="M177" s="8144">
        <f t="shared" ref="M177" si="21">M79</f>
        <v>198.45000000000002</v>
      </c>
      <c r="N177" s="8266">
        <f t="shared" ref="N177" si="22">N79</f>
        <v>159.70999999999998</v>
      </c>
      <c r="O177" s="8954"/>
      <c r="P177" s="8088"/>
      <c r="Q177" s="7932"/>
      <c r="R177" s="8509"/>
    </row>
    <row r="178" spans="1:18" ht="20.100000000000001" customHeight="1">
      <c r="A178" s="7872"/>
      <c r="B178" s="8510"/>
      <c r="C178" s="9537" t="s">
        <v>328</v>
      </c>
      <c r="D178" s="9537"/>
      <c r="E178" s="9537"/>
      <c r="F178" s="8093" t="s">
        <v>307</v>
      </c>
      <c r="G178" s="8526"/>
      <c r="H178" s="9534" t="s">
        <v>329</v>
      </c>
      <c r="I178" s="9534"/>
      <c r="J178" s="9534"/>
      <c r="K178" s="8093" t="s">
        <v>307</v>
      </c>
      <c r="L178" s="8042">
        <f>SUM(L185,L192)</f>
        <v>87.456875595606604</v>
      </c>
      <c r="M178" s="8036">
        <f t="shared" ref="M178:N179" si="23">SUM(M185,M192)</f>
        <v>81.303974009327803</v>
      </c>
      <c r="N178" s="8037">
        <f t="shared" si="23"/>
        <v>88.372129660195171</v>
      </c>
      <c r="O178" s="8967"/>
      <c r="P178" s="8088" t="s">
        <v>332</v>
      </c>
      <c r="Q178" s="7955"/>
      <c r="R178" s="8509"/>
    </row>
    <row r="179" spans="1:18" ht="19.899999999999999" customHeight="1">
      <c r="A179" s="7872"/>
      <c r="B179" s="8501"/>
      <c r="C179" s="9520" t="s">
        <v>134</v>
      </c>
      <c r="D179" s="9520"/>
      <c r="E179" s="9520"/>
      <c r="F179" s="8136" t="s">
        <v>307</v>
      </c>
      <c r="G179" s="8505"/>
      <c r="H179" s="9478" t="s">
        <v>135</v>
      </c>
      <c r="I179" s="9478"/>
      <c r="J179" s="9478"/>
      <c r="K179" s="8136" t="s">
        <v>307</v>
      </c>
      <c r="L179" s="8178">
        <f>SUM(L186,L193)</f>
        <v>0</v>
      </c>
      <c r="M179" s="8144">
        <f t="shared" si="23"/>
        <v>0</v>
      </c>
      <c r="N179" s="8145">
        <f t="shared" si="23"/>
        <v>0</v>
      </c>
      <c r="O179" s="8954"/>
      <c r="P179" s="8088"/>
      <c r="Q179" s="7932"/>
      <c r="R179" s="8509"/>
    </row>
    <row r="180" spans="1:18" ht="19.899999999999999" customHeight="1">
      <c r="A180" s="7872"/>
      <c r="B180" s="8501"/>
      <c r="C180" s="9520" t="s">
        <v>137</v>
      </c>
      <c r="D180" s="9520"/>
      <c r="E180" s="9520"/>
      <c r="F180" s="8136" t="s">
        <v>307</v>
      </c>
      <c r="G180" s="8505"/>
      <c r="H180" s="9478" t="s">
        <v>138</v>
      </c>
      <c r="I180" s="9478"/>
      <c r="J180" s="9478"/>
      <c r="K180" s="8136" t="s">
        <v>307</v>
      </c>
      <c r="L180" s="8178">
        <f t="shared" ref="L180:L181" si="24">SUM(L187,L194)</f>
        <v>0</v>
      </c>
      <c r="M180" s="8144">
        <f t="shared" ref="M180:N180" si="25">SUM(M187,M194)</f>
        <v>0</v>
      </c>
      <c r="N180" s="8266">
        <f t="shared" si="25"/>
        <v>0</v>
      </c>
      <c r="O180" s="8954"/>
      <c r="P180" s="8088"/>
      <c r="Q180" s="7932"/>
      <c r="R180" s="8509"/>
    </row>
    <row r="181" spans="1:18" ht="19.899999999999999" customHeight="1">
      <c r="A181" s="7872"/>
      <c r="B181" s="8501"/>
      <c r="C181" s="9520" t="s">
        <v>140</v>
      </c>
      <c r="D181" s="9520"/>
      <c r="E181" s="9520"/>
      <c r="F181" s="8136" t="s">
        <v>307</v>
      </c>
      <c r="G181" s="8505"/>
      <c r="H181" s="9478" t="s">
        <v>141</v>
      </c>
      <c r="I181" s="9478"/>
      <c r="J181" s="9478"/>
      <c r="K181" s="8136" t="s">
        <v>307</v>
      </c>
      <c r="L181" s="8178">
        <f t="shared" si="24"/>
        <v>87.456875595606604</v>
      </c>
      <c r="M181" s="8144">
        <f t="shared" ref="M181:N181" si="26">SUM(M188,M195)</f>
        <v>81.303974009327803</v>
      </c>
      <c r="N181" s="8145">
        <f t="shared" si="26"/>
        <v>88.372129660195171</v>
      </c>
      <c r="O181" s="8954"/>
      <c r="P181" s="8088"/>
      <c r="Q181" s="7932"/>
      <c r="R181" s="8509"/>
    </row>
    <row r="182" spans="1:18" ht="19.899999999999999" customHeight="1">
      <c r="A182" s="7872"/>
      <c r="B182" s="8501"/>
      <c r="C182" s="9520" t="s">
        <v>143</v>
      </c>
      <c r="D182" s="9520"/>
      <c r="E182" s="9520"/>
      <c r="F182" s="8136" t="s">
        <v>307</v>
      </c>
      <c r="G182" s="8505"/>
      <c r="H182" s="9478" t="s">
        <v>144</v>
      </c>
      <c r="I182" s="9478"/>
      <c r="J182" s="9478"/>
      <c r="K182" s="8136" t="s">
        <v>307</v>
      </c>
      <c r="L182" s="8178" t="s">
        <v>168</v>
      </c>
      <c r="M182" s="8144" t="s">
        <v>168</v>
      </c>
      <c r="N182" s="8145" t="s">
        <v>168</v>
      </c>
      <c r="O182" s="8954" t="s">
        <v>3584</v>
      </c>
      <c r="P182" s="8088"/>
      <c r="Q182" s="7932"/>
      <c r="R182" s="8509"/>
    </row>
    <row r="183" spans="1:18" ht="19.899999999999999" customHeight="1">
      <c r="A183" s="7872"/>
      <c r="B183" s="8501"/>
      <c r="C183" s="9520" t="s">
        <v>146</v>
      </c>
      <c r="D183" s="9520"/>
      <c r="E183" s="9520"/>
      <c r="F183" s="8136" t="s">
        <v>307</v>
      </c>
      <c r="G183" s="8505"/>
      <c r="H183" s="9478" t="s">
        <v>147</v>
      </c>
      <c r="I183" s="9478"/>
      <c r="J183" s="9478"/>
      <c r="K183" s="8136" t="s">
        <v>307</v>
      </c>
      <c r="L183" s="8178" t="s">
        <v>168</v>
      </c>
      <c r="M183" s="8144" t="s">
        <v>168</v>
      </c>
      <c r="N183" s="8145" t="s">
        <v>168</v>
      </c>
      <c r="O183" s="8954" t="s">
        <v>3584</v>
      </c>
      <c r="P183" s="8088"/>
      <c r="Q183" s="7932"/>
      <c r="R183" s="8509"/>
    </row>
    <row r="184" spans="1:18" ht="19.899999999999999" customHeight="1">
      <c r="A184" s="7872"/>
      <c r="B184" s="8501"/>
      <c r="C184" s="9520" t="s">
        <v>149</v>
      </c>
      <c r="D184" s="9520"/>
      <c r="E184" s="9520"/>
      <c r="F184" s="8136" t="s">
        <v>307</v>
      </c>
      <c r="G184" s="8505"/>
      <c r="H184" s="9478" t="s">
        <v>150</v>
      </c>
      <c r="I184" s="9478"/>
      <c r="J184" s="9478"/>
      <c r="K184" s="8136" t="s">
        <v>307</v>
      </c>
      <c r="L184" s="8178">
        <v>0</v>
      </c>
      <c r="M184" s="8144">
        <v>0</v>
      </c>
      <c r="N184" s="8145">
        <v>0</v>
      </c>
      <c r="O184" s="8954"/>
      <c r="P184" s="8088"/>
      <c r="Q184" s="7932"/>
      <c r="R184" s="8509"/>
    </row>
    <row r="185" spans="1:18" ht="20.100000000000001" customHeight="1">
      <c r="A185" s="7872"/>
      <c r="B185" s="8510"/>
      <c r="C185" s="7939"/>
      <c r="D185" s="9534" t="s">
        <v>333</v>
      </c>
      <c r="E185" s="9534"/>
      <c r="F185" s="8267" t="s">
        <v>307</v>
      </c>
      <c r="G185" s="8711"/>
      <c r="H185" s="8700"/>
      <c r="I185" s="9534" t="s">
        <v>334</v>
      </c>
      <c r="J185" s="9534"/>
      <c r="K185" s="8267" t="s">
        <v>307</v>
      </c>
      <c r="L185" s="8281">
        <f>SUM(L186:L191)</f>
        <v>87.456875595606604</v>
      </c>
      <c r="M185" s="8282">
        <f>SUM(M186:M191)</f>
        <v>81.303974009327803</v>
      </c>
      <c r="N185" s="8283">
        <f>SUM(N186:N191)</f>
        <v>88.372129660195171</v>
      </c>
      <c r="O185" s="8966"/>
      <c r="P185" s="8088" t="s">
        <v>332</v>
      </c>
      <c r="Q185" s="7955"/>
      <c r="R185" s="8509"/>
    </row>
    <row r="186" spans="1:18" ht="19.899999999999999" customHeight="1">
      <c r="A186" s="7872"/>
      <c r="B186" s="8501"/>
      <c r="C186" s="7939"/>
      <c r="D186" s="9437" t="s">
        <v>134</v>
      </c>
      <c r="E186" s="9437"/>
      <c r="F186" s="8185" t="s">
        <v>255</v>
      </c>
      <c r="G186" s="8712"/>
      <c r="H186" s="8583"/>
      <c r="I186" s="9478" t="s">
        <v>135</v>
      </c>
      <c r="J186" s="9478"/>
      <c r="K186" s="8136" t="s">
        <v>307</v>
      </c>
      <c r="L186" s="8154">
        <v>0</v>
      </c>
      <c r="M186" s="8217">
        <v>0</v>
      </c>
      <c r="N186" s="8255">
        <v>0</v>
      </c>
      <c r="O186" s="8962"/>
      <c r="P186" s="8088"/>
      <c r="Q186" s="7932"/>
      <c r="R186" s="8509"/>
    </row>
    <row r="187" spans="1:18" ht="19.899999999999999" customHeight="1">
      <c r="A187" s="7872"/>
      <c r="B187" s="8501"/>
      <c r="C187" s="7939"/>
      <c r="D187" s="9437" t="s">
        <v>137</v>
      </c>
      <c r="E187" s="9437"/>
      <c r="F187" s="8185" t="s">
        <v>255</v>
      </c>
      <c r="G187" s="8712"/>
      <c r="H187" s="8583"/>
      <c r="I187" s="9478" t="s">
        <v>138</v>
      </c>
      <c r="J187" s="9478"/>
      <c r="K187" s="8136" t="s">
        <v>307</v>
      </c>
      <c r="L187" s="8178">
        <v>0</v>
      </c>
      <c r="M187" s="8144">
        <v>0</v>
      </c>
      <c r="N187" s="8145">
        <v>0</v>
      </c>
      <c r="O187" s="8969"/>
      <c r="P187" s="8088"/>
      <c r="Q187" s="7932"/>
      <c r="R187" s="8509"/>
    </row>
    <row r="188" spans="1:18" ht="19.899999999999999" customHeight="1">
      <c r="A188" s="7872"/>
      <c r="B188" s="8501"/>
      <c r="C188" s="7939"/>
      <c r="D188" s="9437" t="s">
        <v>140</v>
      </c>
      <c r="E188" s="9437"/>
      <c r="F188" s="8185" t="s">
        <v>255</v>
      </c>
      <c r="G188" s="8712"/>
      <c r="H188" s="8583"/>
      <c r="I188" s="9497" t="s">
        <v>141</v>
      </c>
      <c r="J188" s="9497"/>
      <c r="K188" s="8136" t="s">
        <v>307</v>
      </c>
      <c r="L188" s="8162">
        <v>87.456875595606604</v>
      </c>
      <c r="M188" s="8238">
        <v>81.303974009327803</v>
      </c>
      <c r="N188" s="8019">
        <v>88.372129660195171</v>
      </c>
      <c r="O188" s="8963"/>
      <c r="P188" s="8088"/>
      <c r="Q188" s="7932"/>
      <c r="R188" s="8509"/>
    </row>
    <row r="189" spans="1:18" ht="19.899999999999999" customHeight="1">
      <c r="A189" s="7872"/>
      <c r="B189" s="8501"/>
      <c r="C189" s="7939"/>
      <c r="D189" s="9437" t="s">
        <v>143</v>
      </c>
      <c r="E189" s="9437"/>
      <c r="F189" s="8185" t="s">
        <v>255</v>
      </c>
      <c r="G189" s="8712"/>
      <c r="H189" s="8583"/>
      <c r="I189" s="9497" t="s">
        <v>144</v>
      </c>
      <c r="J189" s="9497"/>
      <c r="K189" s="8136" t="s">
        <v>307</v>
      </c>
      <c r="L189" s="8808" t="s">
        <v>168</v>
      </c>
      <c r="M189" s="8809" t="s">
        <v>168</v>
      </c>
      <c r="N189" s="8810" t="s">
        <v>168</v>
      </c>
      <c r="O189" s="8954" t="s">
        <v>3584</v>
      </c>
      <c r="P189" s="8088"/>
      <c r="Q189" s="7932"/>
      <c r="R189" s="8509"/>
    </row>
    <row r="190" spans="1:18" ht="19.899999999999999" customHeight="1">
      <c r="A190" s="7872"/>
      <c r="B190" s="8501"/>
      <c r="C190" s="7939"/>
      <c r="D190" s="9437" t="s">
        <v>146</v>
      </c>
      <c r="E190" s="9437"/>
      <c r="F190" s="8185" t="s">
        <v>255</v>
      </c>
      <c r="G190" s="8712"/>
      <c r="H190" s="8583"/>
      <c r="I190" s="9497" t="s">
        <v>147</v>
      </c>
      <c r="J190" s="9497"/>
      <c r="K190" s="8136" t="s">
        <v>307</v>
      </c>
      <c r="L190" s="8811" t="s">
        <v>168</v>
      </c>
      <c r="M190" s="8812" t="s">
        <v>168</v>
      </c>
      <c r="N190" s="8813" t="s">
        <v>168</v>
      </c>
      <c r="O190" s="8954" t="s">
        <v>3584</v>
      </c>
      <c r="P190" s="8088"/>
      <c r="Q190" s="7932"/>
      <c r="R190" s="8509"/>
    </row>
    <row r="191" spans="1:18" ht="19.899999999999999" customHeight="1">
      <c r="A191" s="7872"/>
      <c r="B191" s="8501"/>
      <c r="C191" s="7939"/>
      <c r="D191" s="9437" t="s">
        <v>149</v>
      </c>
      <c r="E191" s="9437"/>
      <c r="F191" s="8185" t="s">
        <v>255</v>
      </c>
      <c r="G191" s="8712"/>
      <c r="H191" s="8583"/>
      <c r="I191" s="9497" t="s">
        <v>150</v>
      </c>
      <c r="J191" s="9497"/>
      <c r="K191" s="8136" t="s">
        <v>307</v>
      </c>
      <c r="L191" s="8178">
        <v>0</v>
      </c>
      <c r="M191" s="8144">
        <v>0</v>
      </c>
      <c r="N191" s="8145">
        <v>0</v>
      </c>
      <c r="O191" s="8954"/>
      <c r="P191" s="8088"/>
      <c r="Q191" s="7932"/>
      <c r="R191" s="8509"/>
    </row>
    <row r="192" spans="1:18" ht="20.100000000000001" customHeight="1">
      <c r="A192" s="7872"/>
      <c r="B192" s="8510"/>
      <c r="C192" s="7939"/>
      <c r="D192" s="9534" t="s">
        <v>335</v>
      </c>
      <c r="E192" s="9534"/>
      <c r="F192" s="8267" t="s">
        <v>307</v>
      </c>
      <c r="G192" s="8711"/>
      <c r="H192" s="8700"/>
      <c r="I192" s="9534" t="s">
        <v>336</v>
      </c>
      <c r="J192" s="9534"/>
      <c r="K192" s="8267" t="s">
        <v>307</v>
      </c>
      <c r="L192" s="8281">
        <f>SUM(L193:L198)</f>
        <v>0</v>
      </c>
      <c r="M192" s="8282">
        <f>SUM(M193:M198)</f>
        <v>0</v>
      </c>
      <c r="N192" s="8283">
        <f>SUM(N193:N198)</f>
        <v>0</v>
      </c>
      <c r="O192" s="8966"/>
      <c r="P192" s="8088" t="s">
        <v>332</v>
      </c>
      <c r="Q192" s="7955"/>
      <c r="R192" s="8509"/>
    </row>
    <row r="193" spans="1:18" ht="19.899999999999999" customHeight="1">
      <c r="A193" s="7872"/>
      <c r="B193" s="8501"/>
      <c r="C193" s="7939"/>
      <c r="D193" s="9437" t="s">
        <v>134</v>
      </c>
      <c r="E193" s="9437"/>
      <c r="F193" s="8185" t="s">
        <v>255</v>
      </c>
      <c r="G193" s="8712"/>
      <c r="H193" s="8583"/>
      <c r="I193" s="9478" t="s">
        <v>135</v>
      </c>
      <c r="J193" s="9478"/>
      <c r="K193" s="8136" t="s">
        <v>307</v>
      </c>
      <c r="L193" s="8154">
        <v>0</v>
      </c>
      <c r="M193" s="8217">
        <v>0</v>
      </c>
      <c r="N193" s="8255">
        <v>0</v>
      </c>
      <c r="O193" s="8962"/>
      <c r="P193" s="8088"/>
      <c r="Q193" s="7932"/>
      <c r="R193" s="8509"/>
    </row>
    <row r="194" spans="1:18" ht="19.899999999999999" customHeight="1">
      <c r="A194" s="7872"/>
      <c r="B194" s="8501"/>
      <c r="C194" s="7939"/>
      <c r="D194" s="9437" t="s">
        <v>137</v>
      </c>
      <c r="E194" s="9437"/>
      <c r="F194" s="8185" t="s">
        <v>255</v>
      </c>
      <c r="G194" s="8712"/>
      <c r="H194" s="8583"/>
      <c r="I194" s="9478" t="s">
        <v>138</v>
      </c>
      <c r="J194" s="9478"/>
      <c r="K194" s="8136" t="s">
        <v>307</v>
      </c>
      <c r="L194" s="8178">
        <v>0</v>
      </c>
      <c r="M194" s="8144">
        <v>0</v>
      </c>
      <c r="N194" s="8145">
        <v>0</v>
      </c>
      <c r="O194" s="8969"/>
      <c r="P194" s="8088"/>
      <c r="Q194" s="7932"/>
      <c r="R194" s="8509"/>
    </row>
    <row r="195" spans="1:18" ht="19.899999999999999" customHeight="1">
      <c r="A195" s="7872"/>
      <c r="B195" s="8501"/>
      <c r="C195" s="7939"/>
      <c r="D195" s="9437" t="s">
        <v>140</v>
      </c>
      <c r="E195" s="9437"/>
      <c r="F195" s="8185" t="s">
        <v>255</v>
      </c>
      <c r="G195" s="8712"/>
      <c r="H195" s="8583"/>
      <c r="I195" s="9497" t="s">
        <v>141</v>
      </c>
      <c r="J195" s="9497"/>
      <c r="K195" s="8136" t="s">
        <v>307</v>
      </c>
      <c r="L195" s="8260">
        <v>0</v>
      </c>
      <c r="M195" s="8144">
        <v>0</v>
      </c>
      <c r="N195" s="8145">
        <v>0</v>
      </c>
      <c r="O195" s="8969"/>
      <c r="P195" s="8088"/>
      <c r="Q195" s="7932"/>
      <c r="R195" s="8509"/>
    </row>
    <row r="196" spans="1:18" ht="19.899999999999999" customHeight="1">
      <c r="A196" s="7872"/>
      <c r="B196" s="8501"/>
      <c r="C196" s="7939"/>
      <c r="D196" s="9437" t="s">
        <v>143</v>
      </c>
      <c r="E196" s="9437"/>
      <c r="F196" s="8185" t="s">
        <v>255</v>
      </c>
      <c r="G196" s="8712"/>
      <c r="H196" s="8583"/>
      <c r="I196" s="9497" t="s">
        <v>144</v>
      </c>
      <c r="J196" s="9497"/>
      <c r="K196" s="8136" t="s">
        <v>307</v>
      </c>
      <c r="L196" s="8154" t="s">
        <v>168</v>
      </c>
      <c r="M196" s="8217" t="s">
        <v>168</v>
      </c>
      <c r="N196" s="8810" t="s">
        <v>168</v>
      </c>
      <c r="O196" s="8954" t="s">
        <v>3584</v>
      </c>
      <c r="P196" s="8088"/>
      <c r="Q196" s="7932"/>
      <c r="R196" s="8509"/>
    </row>
    <row r="197" spans="1:18" ht="19.899999999999999" customHeight="1">
      <c r="A197" s="7872"/>
      <c r="B197" s="8501"/>
      <c r="C197" s="7939"/>
      <c r="D197" s="9437" t="s">
        <v>146</v>
      </c>
      <c r="E197" s="9437"/>
      <c r="F197" s="8185" t="s">
        <v>255</v>
      </c>
      <c r="G197" s="8712"/>
      <c r="H197" s="8583"/>
      <c r="I197" s="9497" t="s">
        <v>147</v>
      </c>
      <c r="J197" s="9497"/>
      <c r="K197" s="8136" t="s">
        <v>307</v>
      </c>
      <c r="L197" s="8260" t="s">
        <v>168</v>
      </c>
      <c r="M197" s="8144" t="s">
        <v>168</v>
      </c>
      <c r="N197" s="8145" t="s">
        <v>168</v>
      </c>
      <c r="O197" s="8954" t="s">
        <v>3584</v>
      </c>
      <c r="P197" s="8088"/>
      <c r="Q197" s="7932"/>
      <c r="R197" s="8509"/>
    </row>
    <row r="198" spans="1:18" ht="19.899999999999999" customHeight="1">
      <c r="A198" s="7872"/>
      <c r="B198" s="8501"/>
      <c r="C198" s="7939"/>
      <c r="D198" s="9437" t="s">
        <v>149</v>
      </c>
      <c r="E198" s="9437"/>
      <c r="F198" s="8185" t="s">
        <v>255</v>
      </c>
      <c r="G198" s="8712"/>
      <c r="H198" s="8583"/>
      <c r="I198" s="9497" t="s">
        <v>150</v>
      </c>
      <c r="J198" s="9497"/>
      <c r="K198" s="8136" t="s">
        <v>307</v>
      </c>
      <c r="L198" s="8178">
        <v>0</v>
      </c>
      <c r="M198" s="8144">
        <v>0</v>
      </c>
      <c r="N198" s="8145">
        <v>0</v>
      </c>
      <c r="O198" s="8954"/>
      <c r="P198" s="8088"/>
      <c r="Q198" s="7932"/>
      <c r="R198" s="8509"/>
    </row>
    <row r="199" spans="1:18" ht="20.100000000000001" customHeight="1">
      <c r="A199" s="7872"/>
      <c r="B199" s="8510"/>
      <c r="C199" s="9537" t="s">
        <v>337</v>
      </c>
      <c r="D199" s="9537"/>
      <c r="E199" s="9537"/>
      <c r="F199" s="8267" t="s">
        <v>156</v>
      </c>
      <c r="G199" s="8713"/>
      <c r="H199" s="9537" t="s">
        <v>338</v>
      </c>
      <c r="I199" s="9537"/>
      <c r="J199" s="9537"/>
      <c r="K199" s="8267" t="s">
        <v>156</v>
      </c>
      <c r="L199" s="8284">
        <f t="shared" ref="L199:N200" si="27">L101/L73*100</f>
        <v>5.0866363256807707</v>
      </c>
      <c r="M199" s="8285">
        <f t="shared" si="27"/>
        <v>4.0563023161586118</v>
      </c>
      <c r="N199" s="8286">
        <f t="shared" si="27"/>
        <v>4.5017118006492653</v>
      </c>
      <c r="O199" s="8966" t="s">
        <v>3686</v>
      </c>
      <c r="P199" s="8088"/>
      <c r="Q199" s="7955"/>
      <c r="R199" s="8509" t="s">
        <v>261</v>
      </c>
    </row>
    <row r="200" spans="1:18" ht="19.899999999999999" customHeight="1">
      <c r="A200" s="7872"/>
      <c r="B200" s="8501"/>
      <c r="C200" s="9520" t="s">
        <v>134</v>
      </c>
      <c r="D200" s="9520"/>
      <c r="E200" s="9520"/>
      <c r="F200" s="8136" t="s">
        <v>156</v>
      </c>
      <c r="G200" s="8505"/>
      <c r="H200" s="9478" t="s">
        <v>135</v>
      </c>
      <c r="I200" s="9478"/>
      <c r="J200" s="9478"/>
      <c r="K200" s="8136" t="s">
        <v>156</v>
      </c>
      <c r="L200" s="8242">
        <f t="shared" si="27"/>
        <v>0</v>
      </c>
      <c r="M200" s="8265">
        <f t="shared" si="27"/>
        <v>0</v>
      </c>
      <c r="N200" s="8266">
        <f t="shared" si="27"/>
        <v>0</v>
      </c>
      <c r="O200" s="8954"/>
      <c r="P200" s="8088"/>
      <c r="Q200" s="7932"/>
      <c r="R200" s="8509"/>
    </row>
    <row r="201" spans="1:18" ht="19.899999999999999" customHeight="1">
      <c r="A201" s="7872"/>
      <c r="B201" s="8501"/>
      <c r="C201" s="9520" t="s">
        <v>137</v>
      </c>
      <c r="D201" s="9520"/>
      <c r="E201" s="9520"/>
      <c r="F201" s="8136" t="s">
        <v>156</v>
      </c>
      <c r="G201" s="8505"/>
      <c r="H201" s="9478" t="s">
        <v>138</v>
      </c>
      <c r="I201" s="9478"/>
      <c r="J201" s="9478"/>
      <c r="K201" s="8136" t="s">
        <v>156</v>
      </c>
      <c r="L201" s="8242">
        <v>0</v>
      </c>
      <c r="M201" s="8265">
        <v>0</v>
      </c>
      <c r="N201" s="8266">
        <v>0</v>
      </c>
      <c r="O201" s="8954"/>
      <c r="P201" s="8088"/>
      <c r="Q201" s="7932"/>
      <c r="R201" s="8509"/>
    </row>
    <row r="202" spans="1:18" ht="19.899999999999999" customHeight="1">
      <c r="A202" s="7872"/>
      <c r="B202" s="8501"/>
      <c r="C202" s="9520" t="s">
        <v>140</v>
      </c>
      <c r="D202" s="9520"/>
      <c r="E202" s="9520"/>
      <c r="F202" s="8136" t="s">
        <v>156</v>
      </c>
      <c r="G202" s="8505"/>
      <c r="H202" s="9478" t="s">
        <v>141</v>
      </c>
      <c r="I202" s="9478"/>
      <c r="J202" s="9478"/>
      <c r="K202" s="8136" t="s">
        <v>156</v>
      </c>
      <c r="L202" s="8242">
        <f>L104/L76*100</f>
        <v>29.822608232134982</v>
      </c>
      <c r="M202" s="8265">
        <f>M104/M76*100</f>
        <v>31.523410524459301</v>
      </c>
      <c r="N202" s="8266">
        <f>N104/N76*100</f>
        <v>33.221592506570282</v>
      </c>
      <c r="O202" s="8954"/>
      <c r="P202" s="8088"/>
      <c r="Q202" s="7932"/>
      <c r="R202" s="8509"/>
    </row>
    <row r="203" spans="1:18" ht="19.899999999999999" customHeight="1">
      <c r="A203" s="7872"/>
      <c r="B203" s="8501"/>
      <c r="C203" s="9520" t="s">
        <v>143</v>
      </c>
      <c r="D203" s="9520"/>
      <c r="E203" s="9520"/>
      <c r="F203" s="8136" t="s">
        <v>156</v>
      </c>
      <c r="G203" s="8505"/>
      <c r="H203" s="9478" t="s">
        <v>144</v>
      </c>
      <c r="I203" s="9478"/>
      <c r="J203" s="9478"/>
      <c r="K203" s="8136" t="s">
        <v>156</v>
      </c>
      <c r="L203" s="8816" t="s">
        <v>168</v>
      </c>
      <c r="M203" s="8814" t="s">
        <v>168</v>
      </c>
      <c r="N203" s="8815" t="s">
        <v>168</v>
      </c>
      <c r="O203" s="8954" t="s">
        <v>3584</v>
      </c>
      <c r="P203" s="8088"/>
      <c r="Q203" s="7932"/>
      <c r="R203" s="8509"/>
    </row>
    <row r="204" spans="1:18" ht="19.899999999999999" customHeight="1">
      <c r="A204" s="7872"/>
      <c r="B204" s="8501"/>
      <c r="C204" s="9520" t="s">
        <v>146</v>
      </c>
      <c r="D204" s="9520"/>
      <c r="E204" s="9520"/>
      <c r="F204" s="8136" t="s">
        <v>156</v>
      </c>
      <c r="G204" s="8505"/>
      <c r="H204" s="9478" t="s">
        <v>147</v>
      </c>
      <c r="I204" s="9478"/>
      <c r="J204" s="9478"/>
      <c r="K204" s="8136" t="s">
        <v>156</v>
      </c>
      <c r="L204" s="8242" t="s">
        <v>168</v>
      </c>
      <c r="M204" s="8814" t="s">
        <v>168</v>
      </c>
      <c r="N204" s="8815" t="s">
        <v>168</v>
      </c>
      <c r="O204" s="8954" t="s">
        <v>3584</v>
      </c>
      <c r="P204" s="8088"/>
      <c r="Q204" s="7932"/>
      <c r="R204" s="8509"/>
    </row>
    <row r="205" spans="1:18" ht="19.899999999999999" customHeight="1" thickBot="1">
      <c r="A205" s="7872"/>
      <c r="B205" s="8501"/>
      <c r="C205" s="9520" t="s">
        <v>149</v>
      </c>
      <c r="D205" s="9520"/>
      <c r="E205" s="9520"/>
      <c r="F205" s="8136" t="s">
        <v>156</v>
      </c>
      <c r="G205" s="8505"/>
      <c r="H205" s="9478" t="s">
        <v>150</v>
      </c>
      <c r="I205" s="9478"/>
      <c r="J205" s="9478"/>
      <c r="K205" s="8136" t="s">
        <v>156</v>
      </c>
      <c r="L205" s="8242">
        <v>0</v>
      </c>
      <c r="M205" s="8265">
        <v>0</v>
      </c>
      <c r="N205" s="8266">
        <v>0</v>
      </c>
      <c r="O205" s="8954"/>
      <c r="P205" s="8088"/>
      <c r="Q205" s="8088"/>
      <c r="R205" s="8509"/>
    </row>
    <row r="206" spans="1:18" ht="21.75" thickBot="1">
      <c r="A206" s="7872"/>
      <c r="B206" s="8073" t="s">
        <v>341</v>
      </c>
      <c r="C206" s="8074"/>
      <c r="D206" s="8074"/>
      <c r="E206" s="8074"/>
      <c r="F206" s="8714"/>
      <c r="G206" s="8715" t="s">
        <v>342</v>
      </c>
      <c r="H206" s="8716"/>
      <c r="I206" s="8716"/>
      <c r="J206" s="8716"/>
      <c r="K206" s="8287"/>
      <c r="L206" s="8288"/>
      <c r="M206" s="8289"/>
      <c r="N206" s="8290"/>
      <c r="O206" s="8970"/>
      <c r="P206" s="8080"/>
      <c r="Q206" s="8080"/>
      <c r="R206" s="8496"/>
    </row>
    <row r="207" spans="1:18" ht="20.100000000000001" customHeight="1">
      <c r="A207" s="7872"/>
      <c r="B207" s="8497"/>
      <c r="C207" s="9539" t="s">
        <v>343</v>
      </c>
      <c r="D207" s="9539"/>
      <c r="E207" s="9539"/>
      <c r="F207" s="8089" t="s">
        <v>3538</v>
      </c>
      <c r="G207" s="8717"/>
      <c r="H207" s="9539" t="s">
        <v>345</v>
      </c>
      <c r="I207" s="9539"/>
      <c r="J207" s="9539"/>
      <c r="K207" s="8082" t="s">
        <v>3538</v>
      </c>
      <c r="L207" s="8012">
        <f>SUM(L208:L213)</f>
        <v>373402.41749081237</v>
      </c>
      <c r="M207" s="8291">
        <f>SUM(M208:M213)</f>
        <v>1072013.2480843607</v>
      </c>
      <c r="N207" s="8114">
        <f>SUM(N208:N213)</f>
        <v>1172083.9169900522</v>
      </c>
      <c r="O207" s="8971"/>
      <c r="P207" s="8088" t="s">
        <v>348</v>
      </c>
      <c r="Q207" s="7955" t="s">
        <v>349</v>
      </c>
      <c r="R207" s="8509" t="s">
        <v>350</v>
      </c>
    </row>
    <row r="208" spans="1:18" ht="30">
      <c r="A208" s="7872"/>
      <c r="B208" s="8501"/>
      <c r="C208" s="9538" t="s">
        <v>134</v>
      </c>
      <c r="D208" s="9538"/>
      <c r="E208" s="9538"/>
      <c r="F208" s="8090" t="s">
        <v>3538</v>
      </c>
      <c r="G208" s="8505"/>
      <c r="H208" s="9478" t="s">
        <v>135</v>
      </c>
      <c r="I208" s="9478"/>
      <c r="J208" s="9478"/>
      <c r="K208" s="8090" t="s">
        <v>3538</v>
      </c>
      <c r="L208" s="8242">
        <f>L215+L222+L229+L236</f>
        <v>27681</v>
      </c>
      <c r="M208" s="8265">
        <f>M215+M222+M229+M236</f>
        <v>664460</v>
      </c>
      <c r="N208" s="8266">
        <f t="shared" ref="N208:N209" si="28">N215+N222+N229+N236</f>
        <v>699683</v>
      </c>
      <c r="O208" s="8954" t="s">
        <v>3652</v>
      </c>
      <c r="P208" s="8088"/>
      <c r="Q208" s="7932"/>
      <c r="R208" s="8509"/>
    </row>
    <row r="209" spans="1:18" ht="20.100000000000001" customHeight="1">
      <c r="A209" s="7872"/>
      <c r="B209" s="8501"/>
      <c r="C209" s="9520" t="s">
        <v>137</v>
      </c>
      <c r="D209" s="9520"/>
      <c r="E209" s="9520"/>
      <c r="F209" s="8090" t="s">
        <v>3538</v>
      </c>
      <c r="G209" s="8505"/>
      <c r="H209" s="9478" t="s">
        <v>138</v>
      </c>
      <c r="I209" s="9478"/>
      <c r="J209" s="9478"/>
      <c r="K209" s="8090" t="s">
        <v>3538</v>
      </c>
      <c r="L209" s="8260" t="s">
        <v>168</v>
      </c>
      <c r="M209" s="8144" t="s">
        <v>168</v>
      </c>
      <c r="N209" s="8266">
        <f t="shared" si="28"/>
        <v>866</v>
      </c>
      <c r="O209" s="8954" t="s">
        <v>3634</v>
      </c>
      <c r="P209" s="8088"/>
      <c r="Q209" s="7932"/>
      <c r="R209" s="8509"/>
    </row>
    <row r="210" spans="1:18" ht="20.100000000000001" customHeight="1">
      <c r="A210" s="7872"/>
      <c r="B210" s="8501"/>
      <c r="C210" s="9520" t="s">
        <v>140</v>
      </c>
      <c r="D210" s="9520"/>
      <c r="E210" s="9520"/>
      <c r="F210" s="8090" t="s">
        <v>3538</v>
      </c>
      <c r="G210" s="8505"/>
      <c r="H210" s="9478" t="s">
        <v>141</v>
      </c>
      <c r="I210" s="9478"/>
      <c r="J210" s="9478"/>
      <c r="K210" s="8090" t="s">
        <v>3538</v>
      </c>
      <c r="L210" s="8242">
        <f t="shared" ref="L210:N213" si="29">L217</f>
        <v>213417.32351071289</v>
      </c>
      <c r="M210" s="8265">
        <f t="shared" si="29"/>
        <v>157449.26107966571</v>
      </c>
      <c r="N210" s="8266">
        <f t="shared" si="29"/>
        <v>200377.26086870869</v>
      </c>
      <c r="O210" s="8954"/>
      <c r="P210" s="8088"/>
      <c r="Q210" s="7932"/>
      <c r="R210" s="8509"/>
    </row>
    <row r="211" spans="1:18" ht="20.100000000000001" customHeight="1">
      <c r="A211" s="7872"/>
      <c r="B211" s="8501"/>
      <c r="C211" s="9520" t="s">
        <v>143</v>
      </c>
      <c r="D211" s="9520"/>
      <c r="E211" s="9520"/>
      <c r="F211" s="8090" t="s">
        <v>3538</v>
      </c>
      <c r="G211" s="8505"/>
      <c r="H211" s="9478" t="s">
        <v>144</v>
      </c>
      <c r="I211" s="9478"/>
      <c r="J211" s="9478"/>
      <c r="K211" s="8090" t="s">
        <v>3538</v>
      </c>
      <c r="L211" s="8242">
        <f t="shared" si="29"/>
        <v>36047.093980099504</v>
      </c>
      <c r="M211" s="8265">
        <f t="shared" si="29"/>
        <v>64373.987004694834</v>
      </c>
      <c r="N211" s="8266">
        <f t="shared" si="29"/>
        <v>76494.656121343447</v>
      </c>
      <c r="O211" s="8954"/>
      <c r="P211" s="8088"/>
      <c r="Q211" s="7932"/>
      <c r="R211" s="8509"/>
    </row>
    <row r="212" spans="1:18" ht="20.100000000000001" customHeight="1">
      <c r="A212" s="7872"/>
      <c r="B212" s="8501"/>
      <c r="C212" s="9520" t="s">
        <v>146</v>
      </c>
      <c r="D212" s="9520"/>
      <c r="E212" s="9520"/>
      <c r="F212" s="8090" t="s">
        <v>3538</v>
      </c>
      <c r="G212" s="8505"/>
      <c r="H212" s="9478" t="s">
        <v>147</v>
      </c>
      <c r="I212" s="9478"/>
      <c r="J212" s="9478"/>
      <c r="K212" s="8090" t="s">
        <v>3538</v>
      </c>
      <c r="L212" s="8242">
        <f t="shared" si="29"/>
        <v>55648</v>
      </c>
      <c r="M212" s="8265">
        <f t="shared" si="29"/>
        <v>120457</v>
      </c>
      <c r="N212" s="8266">
        <f t="shared" si="29"/>
        <v>134574</v>
      </c>
      <c r="O212" s="8954"/>
      <c r="P212" s="8088"/>
      <c r="Q212" s="7932"/>
      <c r="R212" s="8509"/>
    </row>
    <row r="213" spans="1:18" ht="20.100000000000001" customHeight="1">
      <c r="A213" s="7872"/>
      <c r="B213" s="8501"/>
      <c r="C213" s="9520" t="s">
        <v>149</v>
      </c>
      <c r="D213" s="9520"/>
      <c r="E213" s="9520"/>
      <c r="F213" s="8090" t="s">
        <v>3538</v>
      </c>
      <c r="G213" s="8505"/>
      <c r="H213" s="9478" t="s">
        <v>150</v>
      </c>
      <c r="I213" s="9478"/>
      <c r="J213" s="9478"/>
      <c r="K213" s="8090" t="s">
        <v>3538</v>
      </c>
      <c r="L213" s="8242">
        <f t="shared" si="29"/>
        <v>40609</v>
      </c>
      <c r="M213" s="8265">
        <f t="shared" si="29"/>
        <v>65273</v>
      </c>
      <c r="N213" s="8266">
        <f t="shared" si="29"/>
        <v>60089</v>
      </c>
      <c r="O213" s="8954"/>
      <c r="P213" s="8088"/>
      <c r="Q213" s="7932"/>
      <c r="R213" s="8509"/>
    </row>
    <row r="214" spans="1:18" ht="20.100000000000001" customHeight="1">
      <c r="A214" s="7872"/>
      <c r="B214" s="8510"/>
      <c r="C214" s="7939"/>
      <c r="D214" s="9540" t="s">
        <v>3608</v>
      </c>
      <c r="E214" s="9540"/>
      <c r="F214" s="8089" t="s">
        <v>3538</v>
      </c>
      <c r="G214" s="8694"/>
      <c r="H214" s="8513"/>
      <c r="I214" s="9540" t="s">
        <v>353</v>
      </c>
      <c r="J214" s="9540"/>
      <c r="K214" s="8089" t="s">
        <v>3538</v>
      </c>
      <c r="L214" s="8012">
        <f>SUM(L215:L220)</f>
        <v>373402.41749081237</v>
      </c>
      <c r="M214" s="8291">
        <f>SUM(M215:M220)</f>
        <v>1072013.2480843607</v>
      </c>
      <c r="N214" s="8114">
        <f>SUM(N215:N220)</f>
        <v>1172083.9169900522</v>
      </c>
      <c r="O214" s="8972"/>
      <c r="P214" s="8088" t="s">
        <v>354</v>
      </c>
      <c r="Q214" s="7955" t="s">
        <v>349</v>
      </c>
      <c r="R214" s="8509"/>
    </row>
    <row r="215" spans="1:18" ht="17.25">
      <c r="A215" s="7872"/>
      <c r="B215" s="8501"/>
      <c r="C215" s="7939"/>
      <c r="D215" s="9437" t="s">
        <v>134</v>
      </c>
      <c r="E215" s="9437"/>
      <c r="F215" s="8090" t="s">
        <v>3538</v>
      </c>
      <c r="G215" s="8505"/>
      <c r="H215" s="8583"/>
      <c r="I215" s="9478" t="s">
        <v>135</v>
      </c>
      <c r="J215" s="9478"/>
      <c r="K215" s="8090" t="s">
        <v>3538</v>
      </c>
      <c r="L215" s="8154">
        <v>27681</v>
      </c>
      <c r="M215" s="8217">
        <v>664460</v>
      </c>
      <c r="N215" s="8255">
        <v>699683</v>
      </c>
      <c r="O215" s="8954" t="s">
        <v>3791</v>
      </c>
      <c r="P215" s="8088"/>
      <c r="Q215" s="7932"/>
      <c r="R215" s="8509"/>
    </row>
    <row r="216" spans="1:18" ht="20.100000000000001" customHeight="1">
      <c r="A216" s="7872"/>
      <c r="B216" s="8501"/>
      <c r="C216" s="7939"/>
      <c r="D216" s="9437" t="s">
        <v>137</v>
      </c>
      <c r="E216" s="9437"/>
      <c r="F216" s="8090" t="s">
        <v>3538</v>
      </c>
      <c r="G216" s="8505"/>
      <c r="H216" s="8583"/>
      <c r="I216" s="9478" t="s">
        <v>138</v>
      </c>
      <c r="J216" s="9478"/>
      <c r="K216" s="8090" t="s">
        <v>3538</v>
      </c>
      <c r="L216" s="8260" t="s">
        <v>168</v>
      </c>
      <c r="M216" s="8144" t="s">
        <v>168</v>
      </c>
      <c r="N216" s="8266">
        <v>866</v>
      </c>
      <c r="O216" s="8954" t="s">
        <v>3634</v>
      </c>
      <c r="P216" s="8088"/>
      <c r="Q216" s="7932"/>
      <c r="R216" s="8509"/>
    </row>
    <row r="217" spans="1:18" ht="20.100000000000001" customHeight="1">
      <c r="A217" s="7872"/>
      <c r="B217" s="8501"/>
      <c r="C217" s="7939"/>
      <c r="D217" s="9437" t="s">
        <v>140</v>
      </c>
      <c r="E217" s="9437"/>
      <c r="F217" s="8090" t="s">
        <v>3538</v>
      </c>
      <c r="G217" s="8505"/>
      <c r="H217" s="8583"/>
      <c r="I217" s="9497" t="s">
        <v>141</v>
      </c>
      <c r="J217" s="9497"/>
      <c r="K217" s="8090" t="s">
        <v>3538</v>
      </c>
      <c r="L217" s="8162">
        <v>213417.32351071289</v>
      </c>
      <c r="M217" s="8238">
        <v>157449.26107966571</v>
      </c>
      <c r="N217" s="8019">
        <v>200377.26086870869</v>
      </c>
      <c r="O217" s="9139"/>
      <c r="P217" s="8088"/>
      <c r="Q217" s="7932"/>
      <c r="R217" s="8509"/>
    </row>
    <row r="218" spans="1:18" ht="20.100000000000001" customHeight="1">
      <c r="A218" s="7872"/>
      <c r="B218" s="8501"/>
      <c r="C218" s="7939"/>
      <c r="D218" s="9437" t="s">
        <v>143</v>
      </c>
      <c r="E218" s="9437"/>
      <c r="F218" s="8090" t="s">
        <v>3538</v>
      </c>
      <c r="G218" s="8505"/>
      <c r="H218" s="8583"/>
      <c r="I218" s="9497" t="s">
        <v>144</v>
      </c>
      <c r="J218" s="9497"/>
      <c r="K218" s="8090" t="s">
        <v>3538</v>
      </c>
      <c r="L218" s="8178">
        <v>36047.093980099504</v>
      </c>
      <c r="M218" s="8144">
        <v>64373.987004694834</v>
      </c>
      <c r="N218" s="8145">
        <v>76494.656121343447</v>
      </c>
      <c r="O218" s="8954"/>
      <c r="P218" s="8088"/>
      <c r="Q218" s="7932"/>
      <c r="R218" s="8509"/>
    </row>
    <row r="219" spans="1:18" ht="20.100000000000001" customHeight="1">
      <c r="A219" s="7872"/>
      <c r="B219" s="8501"/>
      <c r="C219" s="7939"/>
      <c r="D219" s="9437" t="s">
        <v>146</v>
      </c>
      <c r="E219" s="9437"/>
      <c r="F219" s="8090" t="s">
        <v>3538</v>
      </c>
      <c r="G219" s="8505"/>
      <c r="H219" s="8583"/>
      <c r="I219" s="9497" t="s">
        <v>147</v>
      </c>
      <c r="J219" s="9497"/>
      <c r="K219" s="8090" t="s">
        <v>3538</v>
      </c>
      <c r="L219" s="8178">
        <v>55648</v>
      </c>
      <c r="M219" s="8144">
        <v>120457</v>
      </c>
      <c r="N219" s="8145">
        <v>134574</v>
      </c>
      <c r="O219" s="8954"/>
      <c r="P219" s="8088"/>
      <c r="Q219" s="7932"/>
      <c r="R219" s="8509"/>
    </row>
    <row r="220" spans="1:18" ht="20.100000000000001" customHeight="1">
      <c r="A220" s="7872"/>
      <c r="B220" s="8501"/>
      <c r="C220" s="7939"/>
      <c r="D220" s="9437" t="s">
        <v>149</v>
      </c>
      <c r="E220" s="9437"/>
      <c r="F220" s="8090" t="s">
        <v>3538</v>
      </c>
      <c r="G220" s="8505"/>
      <c r="H220" s="8583"/>
      <c r="I220" s="9497" t="s">
        <v>150</v>
      </c>
      <c r="J220" s="9497"/>
      <c r="K220" s="8090" t="s">
        <v>3538</v>
      </c>
      <c r="L220" s="8178">
        <v>40609</v>
      </c>
      <c r="M220" s="8144">
        <v>65273</v>
      </c>
      <c r="N220" s="8145">
        <v>60089</v>
      </c>
      <c r="O220" s="8954"/>
      <c r="P220" s="8088"/>
      <c r="Q220" s="7932"/>
      <c r="R220" s="8509"/>
    </row>
    <row r="221" spans="1:18" ht="20.100000000000001" customHeight="1">
      <c r="A221" s="7872"/>
      <c r="B221" s="8510"/>
      <c r="C221" s="7939"/>
      <c r="D221" s="9541" t="s">
        <v>3609</v>
      </c>
      <c r="E221" s="9541"/>
      <c r="F221" s="8089" t="s">
        <v>3538</v>
      </c>
      <c r="G221" s="8694"/>
      <c r="H221" s="8513"/>
      <c r="I221" s="9540" t="s">
        <v>356</v>
      </c>
      <c r="J221" s="9540"/>
      <c r="K221" s="8089" t="s">
        <v>3538</v>
      </c>
      <c r="L221" s="8012">
        <f>SUM(L222:L227)</f>
        <v>0</v>
      </c>
      <c r="M221" s="8291">
        <f>SUM(M222:M227)</f>
        <v>0</v>
      </c>
      <c r="N221" s="8114">
        <f>SUM(N222:N227)</f>
        <v>0</v>
      </c>
      <c r="O221" s="8973"/>
      <c r="P221" s="8088" t="s">
        <v>354</v>
      </c>
      <c r="Q221" s="7955"/>
      <c r="R221" s="8509"/>
    </row>
    <row r="222" spans="1:18" ht="20.100000000000001" hidden="1" customHeight="1">
      <c r="A222" s="7872"/>
      <c r="B222" s="8501"/>
      <c r="C222" s="7939"/>
      <c r="D222" s="9437" t="s">
        <v>134</v>
      </c>
      <c r="E222" s="9437"/>
      <c r="F222" s="8090" t="s">
        <v>3538</v>
      </c>
      <c r="G222" s="8505"/>
      <c r="H222" s="8583"/>
      <c r="I222" s="9478" t="s">
        <v>135</v>
      </c>
      <c r="J222" s="9478"/>
      <c r="K222" s="8090" t="s">
        <v>3538</v>
      </c>
      <c r="L222" s="8154">
        <v>0</v>
      </c>
      <c r="M222" s="8217">
        <v>0</v>
      </c>
      <c r="N222" s="8255">
        <v>0</v>
      </c>
      <c r="O222" s="8974"/>
      <c r="P222" s="8088"/>
      <c r="Q222" s="7932"/>
      <c r="R222" s="8509"/>
    </row>
    <row r="223" spans="1:18" ht="20.100000000000001" hidden="1" customHeight="1">
      <c r="A223" s="7872"/>
      <c r="B223" s="8501"/>
      <c r="C223" s="7939"/>
      <c r="D223" s="9437" t="s">
        <v>137</v>
      </c>
      <c r="E223" s="9437"/>
      <c r="F223" s="8090" t="s">
        <v>3538</v>
      </c>
      <c r="G223" s="8505"/>
      <c r="H223" s="8583"/>
      <c r="I223" s="9478" t="s">
        <v>138</v>
      </c>
      <c r="J223" s="9478"/>
      <c r="K223" s="8090" t="s">
        <v>3538</v>
      </c>
      <c r="L223" s="8154">
        <v>0</v>
      </c>
      <c r="M223" s="8217">
        <v>0</v>
      </c>
      <c r="N223" s="8255">
        <v>0</v>
      </c>
      <c r="O223" s="8975"/>
      <c r="P223" s="8088"/>
      <c r="Q223" s="7932"/>
      <c r="R223" s="8509"/>
    </row>
    <row r="224" spans="1:18" ht="20.100000000000001" hidden="1" customHeight="1">
      <c r="A224" s="7872"/>
      <c r="B224" s="8501"/>
      <c r="C224" s="7939"/>
      <c r="D224" s="9437" t="s">
        <v>140</v>
      </c>
      <c r="E224" s="9437"/>
      <c r="F224" s="8090" t="s">
        <v>3538</v>
      </c>
      <c r="G224" s="8505"/>
      <c r="H224" s="8583"/>
      <c r="I224" s="9497" t="s">
        <v>141</v>
      </c>
      <c r="J224" s="9497"/>
      <c r="K224" s="8090" t="s">
        <v>3538</v>
      </c>
      <c r="L224" s="8154" t="s">
        <v>168</v>
      </c>
      <c r="M224" s="8217" t="s">
        <v>168</v>
      </c>
      <c r="N224" s="8255" t="s">
        <v>168</v>
      </c>
      <c r="O224" s="8954" t="s">
        <v>3584</v>
      </c>
      <c r="P224" s="8088"/>
      <c r="Q224" s="7932"/>
      <c r="R224" s="8509"/>
    </row>
    <row r="225" spans="1:18" ht="20.100000000000001" hidden="1" customHeight="1">
      <c r="A225" s="7872"/>
      <c r="B225" s="8501"/>
      <c r="C225" s="7939"/>
      <c r="D225" s="9437" t="s">
        <v>143</v>
      </c>
      <c r="E225" s="9437"/>
      <c r="F225" s="8090" t="s">
        <v>3538</v>
      </c>
      <c r="G225" s="8505"/>
      <c r="H225" s="8583"/>
      <c r="I225" s="9497" t="s">
        <v>144</v>
      </c>
      <c r="J225" s="9497"/>
      <c r="K225" s="8090" t="s">
        <v>3538</v>
      </c>
      <c r="L225" s="8154" t="s">
        <v>168</v>
      </c>
      <c r="M225" s="8217" t="s">
        <v>168</v>
      </c>
      <c r="N225" s="8255" t="s">
        <v>168</v>
      </c>
      <c r="O225" s="8954" t="s">
        <v>3584</v>
      </c>
      <c r="P225" s="8088"/>
      <c r="Q225" s="7932"/>
      <c r="R225" s="8509"/>
    </row>
    <row r="226" spans="1:18" ht="20.100000000000001" hidden="1" customHeight="1">
      <c r="A226" s="7872"/>
      <c r="B226" s="8501"/>
      <c r="C226" s="7939"/>
      <c r="D226" s="9437" t="s">
        <v>146</v>
      </c>
      <c r="E226" s="9437"/>
      <c r="F226" s="8090" t="s">
        <v>3538</v>
      </c>
      <c r="G226" s="8505"/>
      <c r="H226" s="8583"/>
      <c r="I226" s="9497" t="s">
        <v>147</v>
      </c>
      <c r="J226" s="9497"/>
      <c r="K226" s="8090" t="s">
        <v>3538</v>
      </c>
      <c r="L226" s="8154" t="s">
        <v>168</v>
      </c>
      <c r="M226" s="8217" t="s">
        <v>168</v>
      </c>
      <c r="N226" s="8255" t="s">
        <v>168</v>
      </c>
      <c r="O226" s="8954" t="s">
        <v>3584</v>
      </c>
      <c r="P226" s="8088"/>
      <c r="Q226" s="7932"/>
      <c r="R226" s="8509"/>
    </row>
    <row r="227" spans="1:18" ht="20.100000000000001" hidden="1" customHeight="1">
      <c r="A227" s="7872"/>
      <c r="B227" s="8501"/>
      <c r="C227" s="7939"/>
      <c r="D227" s="9437" t="s">
        <v>149</v>
      </c>
      <c r="E227" s="9437"/>
      <c r="F227" s="8090" t="s">
        <v>3538</v>
      </c>
      <c r="G227" s="8505"/>
      <c r="H227" s="8583"/>
      <c r="I227" s="9497" t="s">
        <v>150</v>
      </c>
      <c r="J227" s="9497"/>
      <c r="K227" s="8090" t="s">
        <v>3538</v>
      </c>
      <c r="L227" s="8154" t="s">
        <v>168</v>
      </c>
      <c r="M227" s="8217" t="s">
        <v>168</v>
      </c>
      <c r="N227" s="8255" t="s">
        <v>168</v>
      </c>
      <c r="O227" s="8954" t="s">
        <v>3584</v>
      </c>
      <c r="P227" s="8088"/>
      <c r="Q227" s="7932"/>
      <c r="R227" s="8509"/>
    </row>
    <row r="228" spans="1:18" ht="20.100000000000001" customHeight="1">
      <c r="A228" s="7872"/>
      <c r="B228" s="8510"/>
      <c r="C228" s="7939"/>
      <c r="D228" s="9541" t="s">
        <v>3610</v>
      </c>
      <c r="E228" s="9541"/>
      <c r="F228" s="8089" t="s">
        <v>3538</v>
      </c>
      <c r="G228" s="8694"/>
      <c r="H228" s="8513"/>
      <c r="I228" s="9540" t="s">
        <v>358</v>
      </c>
      <c r="J228" s="9540"/>
      <c r="K228" s="8089" t="s">
        <v>3538</v>
      </c>
      <c r="L228" s="8012">
        <f>SUM(L229:L234)</f>
        <v>0</v>
      </c>
      <c r="M228" s="8291">
        <f>SUM(M229:M234)</f>
        <v>0</v>
      </c>
      <c r="N228" s="8114">
        <f>SUM(N229:N234)</f>
        <v>0</v>
      </c>
      <c r="O228" s="8973"/>
      <c r="P228" s="8088" t="s">
        <v>359</v>
      </c>
      <c r="Q228" s="7955" t="s">
        <v>349</v>
      </c>
      <c r="R228" s="8509"/>
    </row>
    <row r="229" spans="1:18" ht="20.100000000000001" hidden="1" customHeight="1">
      <c r="A229" s="7872"/>
      <c r="B229" s="8501"/>
      <c r="C229" s="7939"/>
      <c r="D229" s="9437" t="s">
        <v>134</v>
      </c>
      <c r="E229" s="9437"/>
      <c r="F229" s="8090" t="s">
        <v>3538</v>
      </c>
      <c r="G229" s="8505"/>
      <c r="H229" s="8583"/>
      <c r="I229" s="9478" t="s">
        <v>135</v>
      </c>
      <c r="J229" s="9478"/>
      <c r="K229" s="8090" t="s">
        <v>3538</v>
      </c>
      <c r="L229" s="8154">
        <v>0</v>
      </c>
      <c r="M229" s="8217">
        <v>0</v>
      </c>
      <c r="N229" s="8255">
        <v>0</v>
      </c>
      <c r="O229" s="8962"/>
      <c r="P229" s="8088"/>
      <c r="Q229" s="7932"/>
      <c r="R229" s="8509"/>
    </row>
    <row r="230" spans="1:18" ht="20.100000000000001" hidden="1" customHeight="1" thickBot="1">
      <c r="A230" s="7872"/>
      <c r="B230" s="8501"/>
      <c r="C230" s="7939"/>
      <c r="D230" s="9437" t="s">
        <v>137</v>
      </c>
      <c r="E230" s="9437"/>
      <c r="F230" s="8090" t="s">
        <v>3538</v>
      </c>
      <c r="G230" s="8505"/>
      <c r="H230" s="8583"/>
      <c r="I230" s="9478" t="s">
        <v>138</v>
      </c>
      <c r="J230" s="9478"/>
      <c r="K230" s="8090" t="s">
        <v>3538</v>
      </c>
      <c r="L230" s="8154">
        <v>0</v>
      </c>
      <c r="M230" s="8217">
        <v>0</v>
      </c>
      <c r="N230" s="8255">
        <v>0</v>
      </c>
      <c r="O230" s="8962"/>
      <c r="P230" s="8088"/>
      <c r="Q230" s="7932"/>
      <c r="R230" s="8509"/>
    </row>
    <row r="231" spans="1:18" ht="20.100000000000001" hidden="1" customHeight="1" thickBot="1">
      <c r="A231" s="7872"/>
      <c r="B231" s="8501"/>
      <c r="C231" s="7939"/>
      <c r="D231" s="9437" t="s">
        <v>140</v>
      </c>
      <c r="E231" s="9437"/>
      <c r="F231" s="8090" t="s">
        <v>3538</v>
      </c>
      <c r="G231" s="8505"/>
      <c r="H231" s="8583"/>
      <c r="I231" s="9497" t="s">
        <v>141</v>
      </c>
      <c r="J231" s="9497"/>
      <c r="K231" s="8090" t="s">
        <v>3538</v>
      </c>
      <c r="L231" s="8154" t="s">
        <v>168</v>
      </c>
      <c r="M231" s="8217" t="s">
        <v>168</v>
      </c>
      <c r="N231" s="8255" t="s">
        <v>168</v>
      </c>
      <c r="O231" s="8954" t="s">
        <v>3584</v>
      </c>
      <c r="P231" s="8088"/>
      <c r="Q231" s="7932"/>
      <c r="R231" s="8509"/>
    </row>
    <row r="232" spans="1:18" ht="20.100000000000001" hidden="1" customHeight="1" thickBot="1">
      <c r="A232" s="7872"/>
      <c r="B232" s="8501"/>
      <c r="C232" s="7939"/>
      <c r="D232" s="9437" t="s">
        <v>143</v>
      </c>
      <c r="E232" s="9437"/>
      <c r="F232" s="8090" t="s">
        <v>3538</v>
      </c>
      <c r="G232" s="8505"/>
      <c r="H232" s="8583"/>
      <c r="I232" s="9497" t="s">
        <v>144</v>
      </c>
      <c r="J232" s="9497"/>
      <c r="K232" s="8090" t="s">
        <v>3538</v>
      </c>
      <c r="L232" s="8154" t="s">
        <v>168</v>
      </c>
      <c r="M232" s="8217" t="s">
        <v>168</v>
      </c>
      <c r="N232" s="8255" t="s">
        <v>168</v>
      </c>
      <c r="O232" s="8954" t="s">
        <v>3584</v>
      </c>
      <c r="P232" s="8088"/>
      <c r="Q232" s="7932"/>
      <c r="R232" s="8509"/>
    </row>
    <row r="233" spans="1:18" ht="20.100000000000001" hidden="1" customHeight="1" thickBot="1">
      <c r="A233" s="7872"/>
      <c r="B233" s="8501"/>
      <c r="C233" s="7939"/>
      <c r="D233" s="9437" t="s">
        <v>146</v>
      </c>
      <c r="E233" s="9437"/>
      <c r="F233" s="8090" t="s">
        <v>3538</v>
      </c>
      <c r="G233" s="8505"/>
      <c r="H233" s="8583"/>
      <c r="I233" s="9497" t="s">
        <v>147</v>
      </c>
      <c r="J233" s="9497"/>
      <c r="K233" s="8090" t="s">
        <v>3538</v>
      </c>
      <c r="L233" s="8154" t="s">
        <v>168</v>
      </c>
      <c r="M233" s="8217" t="s">
        <v>168</v>
      </c>
      <c r="N233" s="8255" t="s">
        <v>168</v>
      </c>
      <c r="O233" s="8954" t="s">
        <v>3584</v>
      </c>
      <c r="P233" s="8088"/>
      <c r="Q233" s="7932"/>
      <c r="R233" s="8509"/>
    </row>
    <row r="234" spans="1:18" ht="20.100000000000001" hidden="1" customHeight="1" thickBot="1">
      <c r="A234" s="7872"/>
      <c r="B234" s="8501"/>
      <c r="C234" s="7939"/>
      <c r="D234" s="9437" t="s">
        <v>149</v>
      </c>
      <c r="E234" s="9437"/>
      <c r="F234" s="8090" t="s">
        <v>3538</v>
      </c>
      <c r="G234" s="8505"/>
      <c r="H234" s="8583"/>
      <c r="I234" s="9497" t="s">
        <v>150</v>
      </c>
      <c r="J234" s="9497"/>
      <c r="K234" s="8090" t="s">
        <v>3538</v>
      </c>
      <c r="L234" s="8154" t="s">
        <v>168</v>
      </c>
      <c r="M234" s="8217" t="s">
        <v>168</v>
      </c>
      <c r="N234" s="8255" t="s">
        <v>168</v>
      </c>
      <c r="O234" s="8954" t="s">
        <v>3584</v>
      </c>
      <c r="P234" s="8088"/>
      <c r="Q234" s="7932"/>
      <c r="R234" s="8509"/>
    </row>
    <row r="235" spans="1:18" ht="20.100000000000001" customHeight="1">
      <c r="A235" s="7872"/>
      <c r="B235" s="8510"/>
      <c r="C235" s="7939"/>
      <c r="D235" s="9540" t="s">
        <v>3611</v>
      </c>
      <c r="E235" s="9540"/>
      <c r="F235" s="8089" t="s">
        <v>3538</v>
      </c>
      <c r="G235" s="8694"/>
      <c r="H235" s="8513"/>
      <c r="I235" s="9540" t="s">
        <v>361</v>
      </c>
      <c r="J235" s="9540"/>
      <c r="K235" s="9169" t="s">
        <v>3538</v>
      </c>
      <c r="L235" s="8012">
        <f>SUM(L236:L241)</f>
        <v>0</v>
      </c>
      <c r="M235" s="8291">
        <f>SUM(M236:M241)</f>
        <v>0</v>
      </c>
      <c r="N235" s="8114">
        <f>SUM(N236:N241)</f>
        <v>0</v>
      </c>
      <c r="O235" s="8972"/>
      <c r="P235" s="8088" t="s">
        <v>359</v>
      </c>
      <c r="Q235" s="7955" t="s">
        <v>349</v>
      </c>
      <c r="R235" s="8509"/>
    </row>
    <row r="236" spans="1:18" ht="20.100000000000001" hidden="1" customHeight="1" thickBot="1">
      <c r="A236" s="7872"/>
      <c r="B236" s="8501"/>
      <c r="C236" s="7939"/>
      <c r="D236" s="9437" t="s">
        <v>134</v>
      </c>
      <c r="E236" s="9437"/>
      <c r="F236" s="8090" t="s">
        <v>3538</v>
      </c>
      <c r="G236" s="8505"/>
      <c r="H236" s="8583"/>
      <c r="I236" s="9478" t="s">
        <v>135</v>
      </c>
      <c r="J236" s="9478"/>
      <c r="K236" s="9170" t="s">
        <v>3538</v>
      </c>
      <c r="L236" s="8012">
        <v>0</v>
      </c>
      <c r="M236" s="8217">
        <v>0</v>
      </c>
      <c r="N236" s="8255">
        <v>0</v>
      </c>
      <c r="O236" s="8962"/>
      <c r="P236" s="8088"/>
      <c r="Q236" s="7932"/>
      <c r="R236" s="8509"/>
    </row>
    <row r="237" spans="1:18" ht="20.100000000000001" hidden="1" customHeight="1">
      <c r="A237" s="7872"/>
      <c r="B237" s="8501"/>
      <c r="C237" s="7939"/>
      <c r="D237" s="9437" t="s">
        <v>137</v>
      </c>
      <c r="E237" s="9437"/>
      <c r="F237" s="8090" t="s">
        <v>3538</v>
      </c>
      <c r="G237" s="8505"/>
      <c r="H237" s="8583"/>
      <c r="I237" s="9478" t="s">
        <v>138</v>
      </c>
      <c r="J237" s="9478"/>
      <c r="K237" s="9170" t="s">
        <v>3538</v>
      </c>
      <c r="L237" s="8012">
        <v>0</v>
      </c>
      <c r="M237" s="8217">
        <v>0</v>
      </c>
      <c r="N237" s="8255">
        <v>0</v>
      </c>
      <c r="O237" s="8962"/>
      <c r="P237" s="8088"/>
      <c r="Q237" s="7932"/>
      <c r="R237" s="8509"/>
    </row>
    <row r="238" spans="1:18" ht="20.100000000000001" hidden="1" customHeight="1">
      <c r="A238" s="7872"/>
      <c r="B238" s="8501"/>
      <c r="C238" s="7939"/>
      <c r="D238" s="9437" t="s">
        <v>140</v>
      </c>
      <c r="E238" s="9437"/>
      <c r="F238" s="8090" t="s">
        <v>3538</v>
      </c>
      <c r="G238" s="8505"/>
      <c r="H238" s="8583"/>
      <c r="I238" s="9497" t="s">
        <v>141</v>
      </c>
      <c r="J238" s="9497"/>
      <c r="K238" s="9170" t="s">
        <v>3538</v>
      </c>
      <c r="L238" s="8012" t="s">
        <v>168</v>
      </c>
      <c r="M238" s="8217" t="s">
        <v>168</v>
      </c>
      <c r="N238" s="8255" t="s">
        <v>168</v>
      </c>
      <c r="O238" s="8954" t="s">
        <v>3584</v>
      </c>
      <c r="P238" s="8088"/>
      <c r="Q238" s="7932"/>
      <c r="R238" s="8509"/>
    </row>
    <row r="239" spans="1:18" ht="20.100000000000001" hidden="1" customHeight="1">
      <c r="A239" s="7872"/>
      <c r="B239" s="8501"/>
      <c r="C239" s="7939"/>
      <c r="D239" s="9437" t="s">
        <v>143</v>
      </c>
      <c r="E239" s="9437"/>
      <c r="F239" s="8090" t="s">
        <v>3538</v>
      </c>
      <c r="G239" s="8505"/>
      <c r="H239" s="8583"/>
      <c r="I239" s="9497" t="s">
        <v>144</v>
      </c>
      <c r="J239" s="9497"/>
      <c r="K239" s="9170" t="s">
        <v>3538</v>
      </c>
      <c r="L239" s="8012" t="s">
        <v>168</v>
      </c>
      <c r="M239" s="8217" t="s">
        <v>168</v>
      </c>
      <c r="N239" s="8255" t="s">
        <v>168</v>
      </c>
      <c r="O239" s="8954" t="s">
        <v>3584</v>
      </c>
      <c r="P239" s="8088"/>
      <c r="Q239" s="7932"/>
      <c r="R239" s="8509"/>
    </row>
    <row r="240" spans="1:18" ht="20.100000000000001" hidden="1" customHeight="1">
      <c r="A240" s="7872"/>
      <c r="B240" s="8501"/>
      <c r="C240" s="7939"/>
      <c r="D240" s="9437" t="s">
        <v>146</v>
      </c>
      <c r="E240" s="9437"/>
      <c r="F240" s="8090" t="s">
        <v>3538</v>
      </c>
      <c r="G240" s="8505"/>
      <c r="H240" s="8583"/>
      <c r="I240" s="9497" t="s">
        <v>147</v>
      </c>
      <c r="J240" s="9497"/>
      <c r="K240" s="9170" t="s">
        <v>3538</v>
      </c>
      <c r="L240" s="8012" t="s">
        <v>168</v>
      </c>
      <c r="M240" s="8217" t="s">
        <v>168</v>
      </c>
      <c r="N240" s="8255" t="s">
        <v>168</v>
      </c>
      <c r="O240" s="8954" t="s">
        <v>3584</v>
      </c>
      <c r="P240" s="8088"/>
      <c r="Q240" s="7932"/>
      <c r="R240" s="8509"/>
    </row>
    <row r="241" spans="1:18" ht="20.100000000000001" hidden="1" customHeight="1">
      <c r="A241" s="7872"/>
      <c r="B241" s="8890"/>
      <c r="C241" s="8891"/>
      <c r="D241" s="9549" t="s">
        <v>149</v>
      </c>
      <c r="E241" s="9550"/>
      <c r="F241" s="8090" t="s">
        <v>3538</v>
      </c>
      <c r="G241" s="9166"/>
      <c r="H241" s="8745"/>
      <c r="I241" s="9551" t="s">
        <v>150</v>
      </c>
      <c r="J241" s="9551"/>
      <c r="K241" s="9171" t="s">
        <v>3538</v>
      </c>
      <c r="L241" s="8012" t="s">
        <v>168</v>
      </c>
      <c r="M241" s="8217" t="s">
        <v>168</v>
      </c>
      <c r="N241" s="8255" t="s">
        <v>168</v>
      </c>
      <c r="O241" s="8954" t="s">
        <v>3584</v>
      </c>
      <c r="P241" s="8088"/>
      <c r="Q241" s="7932"/>
      <c r="R241" s="8509"/>
    </row>
    <row r="242" spans="1:18" ht="20.100000000000001" customHeight="1">
      <c r="A242" s="7872"/>
      <c r="B242" s="8501"/>
      <c r="C242" s="9552" t="s">
        <v>362</v>
      </c>
      <c r="D242" s="9552"/>
      <c r="E242" s="9552"/>
      <c r="F242" s="8089" t="s">
        <v>3538</v>
      </c>
      <c r="G242" s="8513"/>
      <c r="H242" s="9553" t="s">
        <v>345</v>
      </c>
      <c r="I242" s="9553"/>
      <c r="J242" s="9553"/>
      <c r="K242" s="9169" t="s">
        <v>3538</v>
      </c>
      <c r="L242" s="8012">
        <v>373402.41749081237</v>
      </c>
      <c r="M242" s="8291">
        <v>1072013.2480843607</v>
      </c>
      <c r="N242" s="8114">
        <v>1172083.9169900522</v>
      </c>
      <c r="O242" s="8960" t="s">
        <v>3613</v>
      </c>
      <c r="P242" s="8088" t="s">
        <v>348</v>
      </c>
      <c r="Q242" s="7955" t="s">
        <v>349</v>
      </c>
      <c r="R242" s="8509" t="s">
        <v>350</v>
      </c>
    </row>
    <row r="243" spans="1:18" ht="30">
      <c r="A243" s="7872"/>
      <c r="B243" s="8501"/>
      <c r="C243" s="9538" t="s">
        <v>134</v>
      </c>
      <c r="D243" s="9538"/>
      <c r="E243" s="9538"/>
      <c r="F243" s="8090" t="s">
        <v>3538</v>
      </c>
      <c r="G243" s="8505"/>
      <c r="H243" s="9478" t="s">
        <v>135</v>
      </c>
      <c r="I243" s="9478"/>
      <c r="J243" s="9478"/>
      <c r="K243" s="9170" t="s">
        <v>3538</v>
      </c>
      <c r="L243" s="8242">
        <v>27681</v>
      </c>
      <c r="M243" s="8265">
        <v>664460</v>
      </c>
      <c r="N243" s="8266">
        <v>699683</v>
      </c>
      <c r="O243" s="8954" t="s">
        <v>3652</v>
      </c>
      <c r="P243" s="8088"/>
      <c r="Q243" s="7932"/>
      <c r="R243" s="8509"/>
    </row>
    <row r="244" spans="1:18" ht="20.100000000000001" customHeight="1">
      <c r="A244" s="7872"/>
      <c r="B244" s="8501"/>
      <c r="C244" s="9520" t="s">
        <v>137</v>
      </c>
      <c r="D244" s="9520"/>
      <c r="E244" s="9520"/>
      <c r="F244" s="8090" t="s">
        <v>3538</v>
      </c>
      <c r="G244" s="8505"/>
      <c r="H244" s="9478" t="s">
        <v>138</v>
      </c>
      <c r="I244" s="9478"/>
      <c r="J244" s="9478"/>
      <c r="K244" s="9170" t="s">
        <v>3538</v>
      </c>
      <c r="L244" s="8242" t="s">
        <v>169</v>
      </c>
      <c r="M244" s="8144" t="s">
        <v>169</v>
      </c>
      <c r="N244" s="8266">
        <v>866</v>
      </c>
      <c r="O244" s="8954" t="s">
        <v>3634</v>
      </c>
      <c r="P244" s="8088"/>
      <c r="Q244" s="7932"/>
      <c r="R244" s="8509"/>
    </row>
    <row r="245" spans="1:18" ht="20.100000000000001" customHeight="1">
      <c r="A245" s="7872"/>
      <c r="B245" s="8501"/>
      <c r="C245" s="9520" t="s">
        <v>140</v>
      </c>
      <c r="D245" s="9520"/>
      <c r="E245" s="9520"/>
      <c r="F245" s="8090" t="s">
        <v>3538</v>
      </c>
      <c r="G245" s="8505"/>
      <c r="H245" s="9478" t="s">
        <v>141</v>
      </c>
      <c r="I245" s="9478"/>
      <c r="J245" s="9478"/>
      <c r="K245" s="9170" t="s">
        <v>3538</v>
      </c>
      <c r="L245" s="8242">
        <v>213417.32351071289</v>
      </c>
      <c r="M245" s="8265">
        <v>157449.26107966571</v>
      </c>
      <c r="N245" s="8266">
        <v>200377.26086870869</v>
      </c>
      <c r="O245" s="8954"/>
      <c r="P245" s="8088"/>
      <c r="Q245" s="7932"/>
      <c r="R245" s="8509"/>
    </row>
    <row r="246" spans="1:18" ht="20.100000000000001" customHeight="1">
      <c r="A246" s="7872"/>
      <c r="B246" s="8501"/>
      <c r="C246" s="9520" t="s">
        <v>143</v>
      </c>
      <c r="D246" s="9520"/>
      <c r="E246" s="9520"/>
      <c r="F246" s="8090" t="s">
        <v>3538</v>
      </c>
      <c r="G246" s="8505"/>
      <c r="H246" s="9478" t="s">
        <v>144</v>
      </c>
      <c r="I246" s="9478"/>
      <c r="J246" s="9478"/>
      <c r="K246" s="8090" t="s">
        <v>3538</v>
      </c>
      <c r="L246" s="8242">
        <v>36047.093980099504</v>
      </c>
      <c r="M246" s="8265">
        <v>64373.987004694834</v>
      </c>
      <c r="N246" s="8266">
        <v>76494.656121343447</v>
      </c>
      <c r="O246" s="8954"/>
      <c r="P246" s="8088"/>
      <c r="Q246" s="7932"/>
      <c r="R246" s="8509"/>
    </row>
    <row r="247" spans="1:18" ht="20.100000000000001" customHeight="1">
      <c r="A247" s="7872"/>
      <c r="B247" s="8501"/>
      <c r="C247" s="9520" t="s">
        <v>146</v>
      </c>
      <c r="D247" s="9520"/>
      <c r="E247" s="9520"/>
      <c r="F247" s="8090" t="s">
        <v>3538</v>
      </c>
      <c r="G247" s="8505"/>
      <c r="H247" s="9478" t="s">
        <v>147</v>
      </c>
      <c r="I247" s="9478"/>
      <c r="J247" s="9478"/>
      <c r="K247" s="8090" t="s">
        <v>3538</v>
      </c>
      <c r="L247" s="8242">
        <v>55648</v>
      </c>
      <c r="M247" s="8265">
        <v>120457</v>
      </c>
      <c r="N247" s="8266">
        <v>134574</v>
      </c>
      <c r="O247" s="8954"/>
      <c r="P247" s="8088"/>
      <c r="Q247" s="7932"/>
      <c r="R247" s="8509"/>
    </row>
    <row r="248" spans="1:18" ht="20.100000000000001" customHeight="1" thickBot="1">
      <c r="A248" s="7872"/>
      <c r="B248" s="9172"/>
      <c r="C248" s="9571" t="s">
        <v>149</v>
      </c>
      <c r="D248" s="9571"/>
      <c r="E248" s="9571"/>
      <c r="F248" s="9168" t="s">
        <v>3538</v>
      </c>
      <c r="G248" s="9166"/>
      <c r="H248" s="9572" t="s">
        <v>150</v>
      </c>
      <c r="I248" s="9572"/>
      <c r="J248" s="9572"/>
      <c r="K248" s="9168" t="s">
        <v>3538</v>
      </c>
      <c r="L248" s="9174">
        <v>40609</v>
      </c>
      <c r="M248" s="9175">
        <v>65273</v>
      </c>
      <c r="N248" s="9176">
        <v>60089</v>
      </c>
      <c r="O248" s="9177"/>
      <c r="P248" s="8088"/>
      <c r="Q248" s="7932"/>
      <c r="R248" s="8509"/>
    </row>
    <row r="249" spans="1:18" ht="22.5" thickTop="1" thickBot="1">
      <c r="A249" s="7872"/>
      <c r="B249" s="9178" t="s">
        <v>410</v>
      </c>
      <c r="C249" s="9179"/>
      <c r="D249" s="9179"/>
      <c r="E249" s="9179"/>
      <c r="F249" s="9179"/>
      <c r="G249" s="9180" t="s">
        <v>411</v>
      </c>
      <c r="H249" s="9181"/>
      <c r="I249" s="9179"/>
      <c r="J249" s="9182"/>
      <c r="K249" s="9182"/>
      <c r="L249" s="9183"/>
      <c r="M249" s="9184"/>
      <c r="N249" s="9185"/>
      <c r="O249" s="9186"/>
      <c r="P249" s="8080"/>
      <c r="Q249" s="8080"/>
      <c r="R249" s="8496"/>
    </row>
    <row r="250" spans="1:18" ht="20.100000000000001" customHeight="1">
      <c r="A250" s="7872"/>
      <c r="B250" s="8497"/>
      <c r="C250" s="9542" t="s">
        <v>412</v>
      </c>
      <c r="D250" s="9543"/>
      <c r="E250" s="9544"/>
      <c r="F250" s="8292" t="s">
        <v>413</v>
      </c>
      <c r="G250" s="8499"/>
      <c r="H250" s="9545" t="s">
        <v>414</v>
      </c>
      <c r="I250" s="9529"/>
      <c r="J250" s="9546"/>
      <c r="K250" s="8292" t="s">
        <v>413</v>
      </c>
      <c r="L250" s="8042">
        <f>IF(COUNTBLANK(L251:L256)&gt;0,"미취합법인有",SUM(L251:L256))</f>
        <v>3848.56</v>
      </c>
      <c r="M250" s="8036">
        <f>IF(COUNTBLANK(M251:M256)&gt;0,"미취합법인有",SUM(M251:M256))</f>
        <v>4621.7300000000005</v>
      </c>
      <c r="N250" s="8037">
        <f>IF(COUNTBLANK(N251:N256)&gt;0,"미취합법인有",SUM(N251:N256))</f>
        <v>24055.424500000001</v>
      </c>
      <c r="O250" s="8972"/>
      <c r="P250" s="7932" t="s">
        <v>418</v>
      </c>
      <c r="Q250" s="7932" t="s">
        <v>419</v>
      </c>
      <c r="R250" s="8509"/>
    </row>
    <row r="251" spans="1:18" ht="20.100000000000001" customHeight="1">
      <c r="A251" s="7872"/>
      <c r="B251" s="8501"/>
      <c r="C251" s="9538" t="s">
        <v>134</v>
      </c>
      <c r="D251" s="9547"/>
      <c r="E251" s="9548"/>
      <c r="F251" s="8090" t="s">
        <v>420</v>
      </c>
      <c r="G251" s="8505"/>
      <c r="H251" s="9478" t="s">
        <v>135</v>
      </c>
      <c r="I251" s="9505"/>
      <c r="J251" s="9479"/>
      <c r="K251" s="8090" t="s">
        <v>420</v>
      </c>
      <c r="L251" s="8178">
        <f>SUM(L258,L279)</f>
        <v>87.35</v>
      </c>
      <c r="M251" s="8144">
        <f>SUM(M258,M279)</f>
        <v>96.2</v>
      </c>
      <c r="N251" s="8145">
        <f>SUM(N258,N279)</f>
        <v>1473.7045000000001</v>
      </c>
      <c r="O251" s="8954" t="s">
        <v>3653</v>
      </c>
      <c r="P251" s="8088"/>
      <c r="Q251" s="7932"/>
      <c r="R251" s="8509"/>
    </row>
    <row r="252" spans="1:18" ht="20.100000000000001" customHeight="1">
      <c r="A252" s="7872"/>
      <c r="B252" s="8501"/>
      <c r="C252" s="9538" t="s">
        <v>137</v>
      </c>
      <c r="D252" s="9547"/>
      <c r="E252" s="9548"/>
      <c r="F252" s="8293" t="s">
        <v>413</v>
      </c>
      <c r="G252" s="8860"/>
      <c r="H252" s="9554" t="s">
        <v>138</v>
      </c>
      <c r="I252" s="9555"/>
      <c r="J252" s="9556"/>
      <c r="K252" s="8090" t="s">
        <v>420</v>
      </c>
      <c r="L252" s="8178">
        <f t="shared" ref="L252:N256" si="30">SUM(L259,L280)</f>
        <v>2.81</v>
      </c>
      <c r="M252" s="8144">
        <f t="shared" si="30"/>
        <v>15.73</v>
      </c>
      <c r="N252" s="8145">
        <f t="shared" si="30"/>
        <v>6.7199999999999989</v>
      </c>
      <c r="O252" s="8976"/>
      <c r="P252" s="8088"/>
      <c r="Q252" s="7932"/>
      <c r="R252" s="8509"/>
    </row>
    <row r="253" spans="1:18" ht="20.100000000000001" customHeight="1">
      <c r="A253" s="7872"/>
      <c r="B253" s="8501"/>
      <c r="C253" s="9538" t="s">
        <v>140</v>
      </c>
      <c r="D253" s="9547"/>
      <c r="E253" s="9548"/>
      <c r="F253" s="8090" t="s">
        <v>420</v>
      </c>
      <c r="G253" s="8505"/>
      <c r="H253" s="9478" t="s">
        <v>141</v>
      </c>
      <c r="I253" s="9505"/>
      <c r="J253" s="9479"/>
      <c r="K253" s="8090" t="s">
        <v>420</v>
      </c>
      <c r="L253" s="8178">
        <f t="shared" si="30"/>
        <v>3516.4</v>
      </c>
      <c r="M253" s="8144">
        <f t="shared" si="30"/>
        <v>4179.8</v>
      </c>
      <c r="N253" s="8145">
        <f t="shared" si="30"/>
        <v>22331</v>
      </c>
      <c r="O253" s="8976"/>
      <c r="P253" s="8088"/>
      <c r="Q253" s="7932"/>
      <c r="R253" s="8509"/>
    </row>
    <row r="254" spans="1:18" ht="20.100000000000001" customHeight="1">
      <c r="A254" s="7872"/>
      <c r="B254" s="8501"/>
      <c r="C254" s="9538" t="s">
        <v>143</v>
      </c>
      <c r="D254" s="9547"/>
      <c r="E254" s="9548"/>
      <c r="F254" s="8090" t="s">
        <v>420</v>
      </c>
      <c r="G254" s="8505"/>
      <c r="H254" s="9478" t="s">
        <v>144</v>
      </c>
      <c r="I254" s="9505"/>
      <c r="J254" s="9479"/>
      <c r="K254" s="8090" t="s">
        <v>420</v>
      </c>
      <c r="L254" s="8178" t="s">
        <v>168</v>
      </c>
      <c r="M254" s="8144" t="s">
        <v>168</v>
      </c>
      <c r="N254" s="8145" t="s">
        <v>168</v>
      </c>
      <c r="O254" s="8954" t="s">
        <v>3584</v>
      </c>
      <c r="P254" s="8088"/>
      <c r="Q254" s="7932"/>
      <c r="R254" s="8509"/>
    </row>
    <row r="255" spans="1:18" ht="20.100000000000001" customHeight="1">
      <c r="A255" s="7872"/>
      <c r="B255" s="8501"/>
      <c r="C255" s="9538" t="s">
        <v>146</v>
      </c>
      <c r="D255" s="9547"/>
      <c r="E255" s="9548"/>
      <c r="F255" s="8090" t="s">
        <v>420</v>
      </c>
      <c r="G255" s="8505"/>
      <c r="H255" s="9478" t="s">
        <v>147</v>
      </c>
      <c r="I255" s="9505"/>
      <c r="J255" s="9479"/>
      <c r="K255" s="8090" t="s">
        <v>420</v>
      </c>
      <c r="L255" s="8178" t="s">
        <v>168</v>
      </c>
      <c r="M255" s="8144" t="s">
        <v>168</v>
      </c>
      <c r="N255" s="8145" t="s">
        <v>168</v>
      </c>
      <c r="O255" s="8954" t="s">
        <v>3584</v>
      </c>
      <c r="P255" s="8088"/>
      <c r="Q255" s="7932"/>
      <c r="R255" s="8509"/>
    </row>
    <row r="256" spans="1:18" ht="20.100000000000001" customHeight="1">
      <c r="A256" s="7872"/>
      <c r="B256" s="8501"/>
      <c r="C256" s="9538" t="s">
        <v>149</v>
      </c>
      <c r="D256" s="9538"/>
      <c r="E256" s="9538"/>
      <c r="F256" s="8090" t="s">
        <v>420</v>
      </c>
      <c r="G256" s="8505"/>
      <c r="H256" s="9478" t="s">
        <v>150</v>
      </c>
      <c r="I256" s="9478"/>
      <c r="J256" s="9478"/>
      <c r="K256" s="8090" t="s">
        <v>420</v>
      </c>
      <c r="L256" s="8178">
        <f t="shared" si="30"/>
        <v>242</v>
      </c>
      <c r="M256" s="8144">
        <f t="shared" si="30"/>
        <v>330</v>
      </c>
      <c r="N256" s="8145">
        <f t="shared" si="30"/>
        <v>244</v>
      </c>
      <c r="O256" s="8954" t="s">
        <v>3723</v>
      </c>
      <c r="P256" s="8088"/>
      <c r="Q256" s="7932"/>
      <c r="R256" s="8509"/>
    </row>
    <row r="257" spans="1:18" ht="20.100000000000001" customHeight="1">
      <c r="A257" s="7872"/>
      <c r="B257" s="8510"/>
      <c r="C257" s="8884"/>
      <c r="D257" s="9501" t="s">
        <v>423</v>
      </c>
      <c r="E257" s="9501"/>
      <c r="F257" s="8292" t="s">
        <v>420</v>
      </c>
      <c r="G257" s="8886"/>
      <c r="H257" s="8889"/>
      <c r="I257" s="9501" t="s">
        <v>424</v>
      </c>
      <c r="J257" s="9501"/>
      <c r="K257" s="8292" t="s">
        <v>420</v>
      </c>
      <c r="L257" s="8012">
        <f>SUM(L258:L263)</f>
        <v>3847.61</v>
      </c>
      <c r="M257" s="8291">
        <f>SUM(M258:M263)</f>
        <v>4621.7300000000005</v>
      </c>
      <c r="N257" s="8114">
        <f>SUM(N258:N263)</f>
        <v>24055.424500000001</v>
      </c>
      <c r="O257" s="8967"/>
      <c r="P257" s="7932" t="s">
        <v>418</v>
      </c>
      <c r="Q257" s="7932" t="s">
        <v>419</v>
      </c>
      <c r="R257" s="8509"/>
    </row>
    <row r="258" spans="1:18" ht="46.5">
      <c r="A258" s="7872"/>
      <c r="B258" s="8510"/>
      <c r="C258" s="8884"/>
      <c r="D258" s="9493" t="s">
        <v>134</v>
      </c>
      <c r="E258" s="9493"/>
      <c r="F258" s="8293" t="s">
        <v>420</v>
      </c>
      <c r="G258" s="7994"/>
      <c r="H258" s="9187"/>
      <c r="I258" s="9554" t="s">
        <v>135</v>
      </c>
      <c r="J258" s="9554"/>
      <c r="K258" s="8293" t="s">
        <v>420</v>
      </c>
      <c r="L258" s="7942">
        <f t="shared" ref="L258:N258" si="31">SUM(L265,L272)</f>
        <v>86.399999999999991</v>
      </c>
      <c r="M258" s="8018">
        <f t="shared" si="31"/>
        <v>96.2</v>
      </c>
      <c r="N258" s="7944">
        <f t="shared" si="31"/>
        <v>1473.7045000000001</v>
      </c>
      <c r="O258" s="8954" t="s">
        <v>3773</v>
      </c>
      <c r="P258" s="7932"/>
      <c r="Q258" s="7932"/>
      <c r="R258" s="8509"/>
    </row>
    <row r="259" spans="1:18" ht="30">
      <c r="A259" s="7872"/>
      <c r="B259" s="8510"/>
      <c r="C259" s="8884"/>
      <c r="D259" s="9493" t="s">
        <v>137</v>
      </c>
      <c r="E259" s="9493"/>
      <c r="F259" s="8293" t="s">
        <v>413</v>
      </c>
      <c r="G259" s="8773"/>
      <c r="H259" s="9165"/>
      <c r="I259" s="9524" t="s">
        <v>138</v>
      </c>
      <c r="J259" s="9524"/>
      <c r="K259" s="8293" t="s">
        <v>413</v>
      </c>
      <c r="L259" s="7942">
        <v>2.81</v>
      </c>
      <c r="M259" s="8018">
        <v>15.73</v>
      </c>
      <c r="N259" s="7944">
        <v>6.7199999999999989</v>
      </c>
      <c r="O259" s="8976" t="s">
        <v>3654</v>
      </c>
      <c r="P259" s="7932"/>
      <c r="Q259" s="7932"/>
      <c r="R259" s="8509"/>
    </row>
    <row r="260" spans="1:18" ht="20.100000000000001" customHeight="1">
      <c r="A260" s="7872"/>
      <c r="B260" s="8510"/>
      <c r="C260" s="8884"/>
      <c r="D260" s="9493" t="s">
        <v>140</v>
      </c>
      <c r="E260" s="9493"/>
      <c r="F260" s="8090" t="s">
        <v>420</v>
      </c>
      <c r="G260" s="8514"/>
      <c r="H260" s="7940"/>
      <c r="I260" s="9497" t="s">
        <v>141</v>
      </c>
      <c r="J260" s="9497"/>
      <c r="K260" s="8090" t="s">
        <v>420</v>
      </c>
      <c r="L260" s="7942">
        <f t="shared" ref="L260:N263" si="32">SUM(L267,L274)</f>
        <v>3516.4</v>
      </c>
      <c r="M260" s="8018">
        <f t="shared" si="32"/>
        <v>4179.8</v>
      </c>
      <c r="N260" s="7944">
        <f t="shared" si="32"/>
        <v>22331</v>
      </c>
      <c r="O260" s="8976"/>
      <c r="P260" s="7932"/>
      <c r="Q260" s="7932"/>
      <c r="R260" s="8509"/>
    </row>
    <row r="261" spans="1:18" ht="20.100000000000001" customHeight="1">
      <c r="A261" s="7872"/>
      <c r="B261" s="8510"/>
      <c r="C261" s="8884"/>
      <c r="D261" s="9493" t="s">
        <v>143</v>
      </c>
      <c r="E261" s="9493"/>
      <c r="F261" s="8090" t="s">
        <v>420</v>
      </c>
      <c r="G261" s="8514"/>
      <c r="H261" s="7940"/>
      <c r="I261" s="9497" t="s">
        <v>144</v>
      </c>
      <c r="J261" s="9497"/>
      <c r="K261" s="8090" t="s">
        <v>420</v>
      </c>
      <c r="L261" s="8154" t="s">
        <v>168</v>
      </c>
      <c r="M261" s="8018" t="s">
        <v>168</v>
      </c>
      <c r="N261" s="8255" t="s">
        <v>168</v>
      </c>
      <c r="O261" s="8954" t="s">
        <v>3584</v>
      </c>
      <c r="P261" s="7932"/>
      <c r="Q261" s="7932"/>
      <c r="R261" s="8509"/>
    </row>
    <row r="262" spans="1:18" ht="20.100000000000001" customHeight="1">
      <c r="A262" s="7872"/>
      <c r="B262" s="8510"/>
      <c r="C262" s="8884"/>
      <c r="D262" s="9493" t="s">
        <v>146</v>
      </c>
      <c r="E262" s="9493"/>
      <c r="F262" s="8090" t="s">
        <v>420</v>
      </c>
      <c r="G262" s="8514"/>
      <c r="H262" s="7940"/>
      <c r="I262" s="9497" t="s">
        <v>147</v>
      </c>
      <c r="J262" s="9497"/>
      <c r="K262" s="8090" t="s">
        <v>420</v>
      </c>
      <c r="L262" s="8154" t="s">
        <v>168</v>
      </c>
      <c r="M262" s="8018" t="s">
        <v>168</v>
      </c>
      <c r="N262" s="8819" t="s">
        <v>168</v>
      </c>
      <c r="O262" s="8954" t="s">
        <v>3584</v>
      </c>
      <c r="P262" s="7932"/>
      <c r="Q262" s="7932"/>
      <c r="R262" s="8509"/>
    </row>
    <row r="263" spans="1:18" ht="20.100000000000001" customHeight="1">
      <c r="A263" s="7872"/>
      <c r="B263" s="8510"/>
      <c r="C263" s="7939"/>
      <c r="D263" s="9437" t="s">
        <v>149</v>
      </c>
      <c r="E263" s="9437"/>
      <c r="F263" s="8090" t="s">
        <v>420</v>
      </c>
      <c r="G263" s="8514"/>
      <c r="H263" s="7940"/>
      <c r="I263" s="9497" t="s">
        <v>150</v>
      </c>
      <c r="J263" s="9497"/>
      <c r="K263" s="8090" t="s">
        <v>420</v>
      </c>
      <c r="L263" s="7942">
        <f t="shared" si="32"/>
        <v>242</v>
      </c>
      <c r="M263" s="8018">
        <f t="shared" si="32"/>
        <v>330</v>
      </c>
      <c r="N263" s="7944">
        <f t="shared" si="32"/>
        <v>244</v>
      </c>
      <c r="O263" s="8958"/>
      <c r="P263" s="7932"/>
      <c r="Q263" s="7932"/>
      <c r="R263" s="8509"/>
    </row>
    <row r="264" spans="1:18" ht="20.100000000000001" customHeight="1">
      <c r="A264" s="7872"/>
      <c r="B264" s="8510"/>
      <c r="C264" s="8687"/>
      <c r="D264" s="8718"/>
      <c r="E264" s="8885" t="s">
        <v>425</v>
      </c>
      <c r="F264" s="8292" t="s">
        <v>420</v>
      </c>
      <c r="G264" s="8886"/>
      <c r="H264" s="8887"/>
      <c r="I264" s="8888"/>
      <c r="J264" s="8885" t="s">
        <v>426</v>
      </c>
      <c r="K264" s="8292" t="s">
        <v>420</v>
      </c>
      <c r="L264" s="8012">
        <f>SUM(L265:L270)</f>
        <v>81.11</v>
      </c>
      <c r="M264" s="8291">
        <f>SUM(M265:M270)</f>
        <v>100.73</v>
      </c>
      <c r="N264" s="8114">
        <f>SUM(N265:N270)</f>
        <v>124.5515</v>
      </c>
      <c r="O264" s="8977"/>
      <c r="P264" s="7932" t="s">
        <v>429</v>
      </c>
      <c r="Q264" s="7955"/>
      <c r="R264" s="8509"/>
    </row>
    <row r="265" spans="1:18" ht="61.5">
      <c r="A265" s="7872"/>
      <c r="B265" s="8510"/>
      <c r="C265" s="8720"/>
      <c r="D265" s="8718"/>
      <c r="E265" s="8821" t="s">
        <v>134</v>
      </c>
      <c r="F265" s="8293" t="s">
        <v>420</v>
      </c>
      <c r="G265" s="7994"/>
      <c r="H265" s="7994"/>
      <c r="I265" s="9188"/>
      <c r="J265" s="9226" t="s">
        <v>431</v>
      </c>
      <c r="K265" s="8293" t="s">
        <v>420</v>
      </c>
      <c r="L265" s="7942">
        <v>78.3</v>
      </c>
      <c r="M265" s="8018">
        <v>85</v>
      </c>
      <c r="N265" s="7944">
        <v>117.83150000000001</v>
      </c>
      <c r="O265" s="8954" t="s">
        <v>3771</v>
      </c>
      <c r="P265" s="7932"/>
      <c r="Q265" s="7932"/>
      <c r="R265" s="8509"/>
    </row>
    <row r="266" spans="1:18" ht="20.100000000000001" customHeight="1">
      <c r="A266" s="7872"/>
      <c r="B266" s="8510"/>
      <c r="C266" s="8720"/>
      <c r="D266" s="8718"/>
      <c r="E266" s="8016" t="s">
        <v>137</v>
      </c>
      <c r="F266" s="8090" t="s">
        <v>420</v>
      </c>
      <c r="G266" s="8773"/>
      <c r="H266" s="8773"/>
      <c r="I266" s="9189"/>
      <c r="J266" s="8575" t="s">
        <v>138</v>
      </c>
      <c r="K266" s="8293" t="s">
        <v>420</v>
      </c>
      <c r="L266" s="7942">
        <v>2.81</v>
      </c>
      <c r="M266" s="8018">
        <v>15.73</v>
      </c>
      <c r="N266" s="7944">
        <v>6.7199999999999989</v>
      </c>
      <c r="O266" s="8978"/>
      <c r="P266" s="7932"/>
      <c r="Q266" s="7932"/>
      <c r="R266" s="8509"/>
    </row>
    <row r="267" spans="1:18" ht="20.100000000000001" customHeight="1">
      <c r="A267" s="7872"/>
      <c r="B267" s="8510"/>
      <c r="C267" s="8720"/>
      <c r="D267" s="8718"/>
      <c r="E267" s="8821" t="s">
        <v>140</v>
      </c>
      <c r="F267" s="8090" t="s">
        <v>420</v>
      </c>
      <c r="G267" s="8514"/>
      <c r="H267" s="8514"/>
      <c r="I267" s="8574"/>
      <c r="J267" s="8575" t="s">
        <v>141</v>
      </c>
      <c r="K267" s="8293" t="s">
        <v>420</v>
      </c>
      <c r="L267" s="7942">
        <v>0</v>
      </c>
      <c r="M267" s="8018">
        <v>0</v>
      </c>
      <c r="N267" s="7944">
        <v>0</v>
      </c>
      <c r="O267" s="8979"/>
      <c r="P267" s="7932"/>
      <c r="Q267" s="7932"/>
      <c r="R267" s="8509"/>
    </row>
    <row r="268" spans="1:18" ht="20.100000000000001" customHeight="1">
      <c r="A268" s="7872"/>
      <c r="B268" s="8510"/>
      <c r="C268" s="8720"/>
      <c r="D268" s="8718"/>
      <c r="E268" s="8016" t="s">
        <v>143</v>
      </c>
      <c r="F268" s="8090" t="s">
        <v>420</v>
      </c>
      <c r="G268" s="8514"/>
      <c r="H268" s="8514"/>
      <c r="I268" s="8574"/>
      <c r="J268" s="8575" t="s">
        <v>144</v>
      </c>
      <c r="K268" s="8293" t="s">
        <v>420</v>
      </c>
      <c r="L268" s="8260" t="s">
        <v>168</v>
      </c>
      <c r="M268" s="8144" t="s">
        <v>168</v>
      </c>
      <c r="N268" s="8113" t="s">
        <v>168</v>
      </c>
      <c r="O268" s="8954" t="s">
        <v>3584</v>
      </c>
      <c r="P268" s="7932"/>
      <c r="Q268" s="7932"/>
      <c r="R268" s="8509"/>
    </row>
    <row r="269" spans="1:18" ht="20.100000000000001" customHeight="1">
      <c r="A269" s="7872"/>
      <c r="B269" s="8510"/>
      <c r="C269" s="8720"/>
      <c r="D269" s="8718"/>
      <c r="E269" s="8016" t="s">
        <v>146</v>
      </c>
      <c r="F269" s="8090" t="s">
        <v>420</v>
      </c>
      <c r="G269" s="8514"/>
      <c r="H269" s="8514"/>
      <c r="I269" s="8574"/>
      <c r="J269" s="8575" t="s">
        <v>147</v>
      </c>
      <c r="K269" s="8293" t="s">
        <v>420</v>
      </c>
      <c r="L269" s="8260" t="s">
        <v>168</v>
      </c>
      <c r="M269" s="8144" t="s">
        <v>168</v>
      </c>
      <c r="N269" s="8113" t="s">
        <v>168</v>
      </c>
      <c r="O269" s="8954" t="s">
        <v>3584</v>
      </c>
      <c r="P269" s="7932"/>
      <c r="Q269" s="7932"/>
      <c r="R269" s="8509"/>
    </row>
    <row r="270" spans="1:18" ht="20.100000000000001" customHeight="1">
      <c r="A270" s="7872"/>
      <c r="B270" s="8510"/>
      <c r="C270" s="8720"/>
      <c r="D270" s="8718"/>
      <c r="E270" s="8016" t="s">
        <v>149</v>
      </c>
      <c r="F270" s="8090" t="s">
        <v>420</v>
      </c>
      <c r="G270" s="8514"/>
      <c r="H270" s="8514"/>
      <c r="I270" s="8574"/>
      <c r="J270" s="8575" t="s">
        <v>150</v>
      </c>
      <c r="K270" s="8293" t="s">
        <v>420</v>
      </c>
      <c r="L270" s="7942">
        <v>0</v>
      </c>
      <c r="M270" s="8018">
        <v>0</v>
      </c>
      <c r="N270" s="7944">
        <v>0</v>
      </c>
      <c r="O270" s="8958"/>
      <c r="P270" s="7932"/>
      <c r="Q270" s="7932"/>
      <c r="R270" s="8509"/>
    </row>
    <row r="271" spans="1:18" ht="46.5">
      <c r="A271" s="7872"/>
      <c r="B271" s="8510"/>
      <c r="C271" s="8687"/>
      <c r="D271" s="8718"/>
      <c r="E271" s="8885" t="s">
        <v>3762</v>
      </c>
      <c r="F271" s="8292" t="s">
        <v>420</v>
      </c>
      <c r="G271" s="8886"/>
      <c r="H271" s="8887"/>
      <c r="I271" s="8888"/>
      <c r="J271" s="9190" t="s">
        <v>438</v>
      </c>
      <c r="K271" s="8292" t="s">
        <v>413</v>
      </c>
      <c r="L271" s="8012">
        <f>SUM(L272:L277)-L273</f>
        <v>3766.5</v>
      </c>
      <c r="M271" s="8291">
        <f>SUM(M272:M277)-M273</f>
        <v>4521</v>
      </c>
      <c r="N271" s="8114">
        <f>SUM(N272:N277)-N273</f>
        <v>23930.873</v>
      </c>
      <c r="O271" s="9227" t="s">
        <v>3728</v>
      </c>
      <c r="P271" s="7932" t="s">
        <v>441</v>
      </c>
      <c r="Q271" s="7932" t="s">
        <v>442</v>
      </c>
      <c r="R271" s="8509"/>
    </row>
    <row r="272" spans="1:18" ht="46.5">
      <c r="A272" s="7872"/>
      <c r="B272" s="8510"/>
      <c r="C272" s="8720"/>
      <c r="D272" s="8718"/>
      <c r="E272" s="8821" t="s">
        <v>134</v>
      </c>
      <c r="F272" s="8293" t="s">
        <v>420</v>
      </c>
      <c r="G272" s="7994"/>
      <c r="H272" s="7994"/>
      <c r="I272" s="9188"/>
      <c r="J272" s="9226" t="s">
        <v>431</v>
      </c>
      <c r="K272" s="8293" t="s">
        <v>420</v>
      </c>
      <c r="L272" s="7942">
        <v>8.1</v>
      </c>
      <c r="M272" s="8018">
        <v>11.2</v>
      </c>
      <c r="N272" s="7944">
        <v>1355.873</v>
      </c>
      <c r="O272" s="8954" t="s">
        <v>3772</v>
      </c>
      <c r="P272" s="7932"/>
      <c r="Q272" s="7932"/>
      <c r="R272" s="8509"/>
    </row>
    <row r="273" spans="1:18" ht="20.100000000000001" customHeight="1">
      <c r="A273" s="7872"/>
      <c r="B273" s="8510"/>
      <c r="C273" s="8720"/>
      <c r="D273" s="8718"/>
      <c r="E273" s="8016" t="s">
        <v>137</v>
      </c>
      <c r="F273" s="8293" t="s">
        <v>3539</v>
      </c>
      <c r="G273" s="8514"/>
      <c r="H273" s="8514"/>
      <c r="I273" s="8574"/>
      <c r="J273" s="8574" t="s">
        <v>138</v>
      </c>
      <c r="K273" s="8293" t="s">
        <v>3539</v>
      </c>
      <c r="L273" s="7942">
        <v>262.5</v>
      </c>
      <c r="M273" s="8018">
        <v>506.5</v>
      </c>
      <c r="N273" s="7944">
        <v>647.5</v>
      </c>
      <c r="O273" s="8978"/>
      <c r="P273" s="7932"/>
      <c r="Q273" s="7932"/>
      <c r="R273" s="8509"/>
    </row>
    <row r="274" spans="1:18" ht="30">
      <c r="A274" s="7872"/>
      <c r="B274" s="8510"/>
      <c r="C274" s="8720"/>
      <c r="D274" s="8718"/>
      <c r="E274" s="8016" t="s">
        <v>140</v>
      </c>
      <c r="F274" s="8090" t="s">
        <v>420</v>
      </c>
      <c r="G274" s="8514"/>
      <c r="H274" s="8514"/>
      <c r="I274" s="8574"/>
      <c r="J274" s="8575" t="s">
        <v>141</v>
      </c>
      <c r="K274" s="8090" t="s">
        <v>420</v>
      </c>
      <c r="L274" s="7942">
        <v>3516.4</v>
      </c>
      <c r="M274" s="8018">
        <v>4179.8</v>
      </c>
      <c r="N274" s="7944">
        <v>22331</v>
      </c>
      <c r="O274" s="8954" t="s">
        <v>3777</v>
      </c>
      <c r="P274" s="7932"/>
      <c r="Q274" s="7932"/>
      <c r="R274" s="8509"/>
    </row>
    <row r="275" spans="1:18" ht="20.100000000000001" customHeight="1">
      <c r="A275" s="7872"/>
      <c r="B275" s="8510"/>
      <c r="C275" s="8720"/>
      <c r="D275" s="8718"/>
      <c r="E275" s="8016" t="s">
        <v>143</v>
      </c>
      <c r="F275" s="8090" t="s">
        <v>420</v>
      </c>
      <c r="G275" s="8514"/>
      <c r="H275" s="8514"/>
      <c r="I275" s="8574"/>
      <c r="J275" s="8575" t="s">
        <v>144</v>
      </c>
      <c r="K275" s="8090" t="s">
        <v>420</v>
      </c>
      <c r="L275" s="8260" t="s">
        <v>168</v>
      </c>
      <c r="M275" s="8144" t="s">
        <v>168</v>
      </c>
      <c r="N275" s="8113" t="s">
        <v>168</v>
      </c>
      <c r="O275" s="8954" t="s">
        <v>3584</v>
      </c>
      <c r="P275" s="7932"/>
      <c r="Q275" s="7932"/>
      <c r="R275" s="8509"/>
    </row>
    <row r="276" spans="1:18" ht="20.100000000000001" customHeight="1">
      <c r="A276" s="7872"/>
      <c r="B276" s="8510"/>
      <c r="C276" s="8720"/>
      <c r="D276" s="8718"/>
      <c r="E276" s="8016" t="s">
        <v>146</v>
      </c>
      <c r="F276" s="8090" t="s">
        <v>420</v>
      </c>
      <c r="G276" s="8514"/>
      <c r="H276" s="8514"/>
      <c r="I276" s="8574"/>
      <c r="J276" s="8575" t="s">
        <v>147</v>
      </c>
      <c r="K276" s="8090" t="s">
        <v>420</v>
      </c>
      <c r="L276" s="8260" t="s">
        <v>168</v>
      </c>
      <c r="M276" s="8144" t="s">
        <v>168</v>
      </c>
      <c r="N276" s="8113" t="s">
        <v>168</v>
      </c>
      <c r="O276" s="8954" t="s">
        <v>3584</v>
      </c>
      <c r="P276" s="7932"/>
      <c r="Q276" s="7932"/>
      <c r="R276" s="8509"/>
    </row>
    <row r="277" spans="1:18" ht="20.100000000000001" customHeight="1">
      <c r="A277" s="7872"/>
      <c r="B277" s="8510"/>
      <c r="C277" s="8720"/>
      <c r="D277" s="8718"/>
      <c r="E277" s="8016" t="s">
        <v>149</v>
      </c>
      <c r="F277" s="8090" t="s">
        <v>420</v>
      </c>
      <c r="G277" s="8514"/>
      <c r="H277" s="8514"/>
      <c r="I277" s="8574"/>
      <c r="J277" s="8575" t="s">
        <v>150</v>
      </c>
      <c r="K277" s="8090" t="s">
        <v>420</v>
      </c>
      <c r="L277" s="7942">
        <v>242</v>
      </c>
      <c r="M277" s="8018">
        <v>330</v>
      </c>
      <c r="N277" s="7944">
        <v>244</v>
      </c>
      <c r="O277" s="8958"/>
      <c r="P277" s="7932"/>
      <c r="Q277" s="7932"/>
      <c r="R277" s="8509"/>
    </row>
    <row r="278" spans="1:18" ht="20.100000000000001" customHeight="1">
      <c r="A278" s="7872"/>
      <c r="B278" s="8510"/>
      <c r="C278" s="7939"/>
      <c r="D278" s="9522" t="s">
        <v>444</v>
      </c>
      <c r="E278" s="9522"/>
      <c r="F278" s="8089" t="s">
        <v>420</v>
      </c>
      <c r="G278" s="8544"/>
      <c r="H278" s="8544"/>
      <c r="I278" s="9522" t="s">
        <v>445</v>
      </c>
      <c r="J278" s="9522"/>
      <c r="K278" s="8089" t="s">
        <v>413</v>
      </c>
      <c r="L278" s="8012">
        <f>SUM(L279:L284)</f>
        <v>0.95</v>
      </c>
      <c r="M278" s="8291">
        <f>SUM(M279:M284)</f>
        <v>0</v>
      </c>
      <c r="N278" s="8114">
        <f>SUM(N279:N284)</f>
        <v>0</v>
      </c>
      <c r="O278" s="8980" t="s">
        <v>3655</v>
      </c>
      <c r="P278" s="7932" t="s">
        <v>418</v>
      </c>
      <c r="Q278" s="7932" t="s">
        <v>419</v>
      </c>
      <c r="R278" s="8509"/>
    </row>
    <row r="279" spans="1:18">
      <c r="A279" s="7872"/>
      <c r="B279" s="8510"/>
      <c r="C279" s="7939"/>
      <c r="D279" s="9437" t="s">
        <v>134</v>
      </c>
      <c r="E279" s="9437"/>
      <c r="F279" s="8090" t="s">
        <v>420</v>
      </c>
      <c r="G279" s="8514"/>
      <c r="H279" s="8514"/>
      <c r="I279" s="9478" t="s">
        <v>135</v>
      </c>
      <c r="J279" s="9478"/>
      <c r="K279" s="8090" t="s">
        <v>413</v>
      </c>
      <c r="L279" s="7942">
        <f>L286+L293</f>
        <v>0.95</v>
      </c>
      <c r="M279" s="8217">
        <f>M286+M293</f>
        <v>0</v>
      </c>
      <c r="N279" s="7944">
        <f>N286+N293</f>
        <v>0</v>
      </c>
      <c r="O279" s="8958" t="s">
        <v>3532</v>
      </c>
      <c r="P279" s="7932"/>
      <c r="Q279" s="7932"/>
      <c r="R279" s="8509"/>
    </row>
    <row r="280" spans="1:18" ht="20.100000000000001" hidden="1" customHeight="1">
      <c r="A280" s="7872"/>
      <c r="B280" s="8510"/>
      <c r="C280" s="7939"/>
      <c r="D280" s="9437" t="s">
        <v>137</v>
      </c>
      <c r="E280" s="9437"/>
      <c r="F280" s="8090" t="s">
        <v>420</v>
      </c>
      <c r="G280" s="8514"/>
      <c r="H280" s="8514"/>
      <c r="I280" s="9478" t="s">
        <v>138</v>
      </c>
      <c r="J280" s="9478"/>
      <c r="K280" s="8090" t="s">
        <v>3538</v>
      </c>
      <c r="L280" s="7942"/>
      <c r="M280" s="8018"/>
      <c r="N280" s="7944"/>
      <c r="O280" s="8958"/>
      <c r="P280" s="7932"/>
      <c r="Q280" s="7932"/>
      <c r="R280" s="8509"/>
    </row>
    <row r="281" spans="1:18" ht="20.100000000000001" hidden="1" customHeight="1">
      <c r="A281" s="7872"/>
      <c r="B281" s="8510"/>
      <c r="C281" s="7939"/>
      <c r="D281" s="9437" t="s">
        <v>140</v>
      </c>
      <c r="E281" s="9437"/>
      <c r="F281" s="8090" t="s">
        <v>420</v>
      </c>
      <c r="G281" s="8514"/>
      <c r="H281" s="8514"/>
      <c r="I281" s="9497" t="s">
        <v>141</v>
      </c>
      <c r="J281" s="9497"/>
      <c r="K281" s="8090" t="s">
        <v>3538</v>
      </c>
      <c r="L281" s="8260" t="s">
        <v>168</v>
      </c>
      <c r="M281" s="8144" t="s">
        <v>168</v>
      </c>
      <c r="N281" s="8113" t="s">
        <v>168</v>
      </c>
      <c r="O281" s="8954" t="s">
        <v>3584</v>
      </c>
      <c r="P281" s="7932"/>
      <c r="Q281" s="7932"/>
      <c r="R281" s="8509"/>
    </row>
    <row r="282" spans="1:18" ht="20.100000000000001" hidden="1" customHeight="1">
      <c r="A282" s="7872"/>
      <c r="B282" s="8510"/>
      <c r="C282" s="7939"/>
      <c r="D282" s="9437" t="s">
        <v>143</v>
      </c>
      <c r="E282" s="9437"/>
      <c r="F282" s="8090" t="s">
        <v>420</v>
      </c>
      <c r="G282" s="8514"/>
      <c r="H282" s="8514"/>
      <c r="I282" s="9497" t="s">
        <v>144</v>
      </c>
      <c r="J282" s="9497"/>
      <c r="K282" s="8090" t="s">
        <v>3538</v>
      </c>
      <c r="L282" s="8260" t="s">
        <v>168</v>
      </c>
      <c r="M282" s="8144" t="s">
        <v>168</v>
      </c>
      <c r="N282" s="8113" t="s">
        <v>168</v>
      </c>
      <c r="O282" s="8954" t="s">
        <v>3584</v>
      </c>
      <c r="P282" s="7932"/>
      <c r="Q282" s="7932"/>
      <c r="R282" s="8509"/>
    </row>
    <row r="283" spans="1:18" ht="20.100000000000001" hidden="1" customHeight="1">
      <c r="A283" s="7872"/>
      <c r="B283" s="8510"/>
      <c r="C283" s="7939"/>
      <c r="D283" s="9437" t="s">
        <v>146</v>
      </c>
      <c r="E283" s="9437"/>
      <c r="F283" s="8090" t="s">
        <v>420</v>
      </c>
      <c r="G283" s="8514"/>
      <c r="H283" s="8514"/>
      <c r="I283" s="9497" t="s">
        <v>147</v>
      </c>
      <c r="J283" s="9497"/>
      <c r="K283" s="8090" t="s">
        <v>3538</v>
      </c>
      <c r="L283" s="8260" t="s">
        <v>168</v>
      </c>
      <c r="M283" s="8144" t="s">
        <v>168</v>
      </c>
      <c r="N283" s="8113" t="s">
        <v>168</v>
      </c>
      <c r="O283" s="8954" t="s">
        <v>3584</v>
      </c>
      <c r="P283" s="7932"/>
      <c r="Q283" s="7932"/>
      <c r="R283" s="8509"/>
    </row>
    <row r="284" spans="1:18" ht="20.100000000000001" hidden="1" customHeight="1">
      <c r="A284" s="7872"/>
      <c r="B284" s="8510"/>
      <c r="C284" s="7939"/>
      <c r="D284" s="9437" t="s">
        <v>149</v>
      </c>
      <c r="E284" s="9437"/>
      <c r="F284" s="8090" t="s">
        <v>420</v>
      </c>
      <c r="G284" s="8514"/>
      <c r="H284" s="8514"/>
      <c r="I284" s="9497" t="s">
        <v>150</v>
      </c>
      <c r="J284" s="9497"/>
      <c r="K284" s="8090" t="s">
        <v>3538</v>
      </c>
      <c r="L284" s="7942">
        <v>0</v>
      </c>
      <c r="M284" s="8018">
        <v>0</v>
      </c>
      <c r="N284" s="7944">
        <v>0</v>
      </c>
      <c r="O284" s="8958"/>
      <c r="P284" s="7932"/>
      <c r="Q284" s="7932"/>
      <c r="R284" s="8509"/>
    </row>
    <row r="285" spans="1:18" ht="20.100000000000001" customHeight="1">
      <c r="A285" s="7872"/>
      <c r="B285" s="8510"/>
      <c r="C285" s="8687"/>
      <c r="D285" s="8718"/>
      <c r="E285" s="8685" t="s">
        <v>446</v>
      </c>
      <c r="F285" s="8089" t="s">
        <v>420</v>
      </c>
      <c r="G285" s="8513"/>
      <c r="H285" s="8513"/>
      <c r="I285" s="8719"/>
      <c r="J285" s="8685" t="s">
        <v>426</v>
      </c>
      <c r="K285" s="8089" t="s">
        <v>413</v>
      </c>
      <c r="L285" s="8042">
        <f>SUM(L286:L291)</f>
        <v>0</v>
      </c>
      <c r="M285" s="8294">
        <f>SUM(M286:M291)</f>
        <v>0</v>
      </c>
      <c r="N285" s="8037">
        <f>SUM(N286:N291)</f>
        <v>0</v>
      </c>
      <c r="O285" s="8980" t="s">
        <v>3655</v>
      </c>
      <c r="P285" s="7932" t="s">
        <v>429</v>
      </c>
      <c r="Q285" s="7955" t="s">
        <v>448</v>
      </c>
      <c r="R285" s="8509"/>
    </row>
    <row r="286" spans="1:18" ht="20.100000000000001" customHeight="1">
      <c r="A286" s="7872"/>
      <c r="B286" s="8510"/>
      <c r="C286" s="8720"/>
      <c r="D286" s="8718"/>
      <c r="E286" s="8016" t="s">
        <v>134</v>
      </c>
      <c r="F286" s="8090" t="s">
        <v>420</v>
      </c>
      <c r="G286" s="8514"/>
      <c r="H286" s="8514"/>
      <c r="I286" s="8574"/>
      <c r="J286" s="8575" t="s">
        <v>431</v>
      </c>
      <c r="K286" s="8090" t="s">
        <v>413</v>
      </c>
      <c r="L286" s="7942">
        <v>0</v>
      </c>
      <c r="M286" s="8018">
        <v>0</v>
      </c>
      <c r="N286" s="7944">
        <v>0</v>
      </c>
      <c r="O286" s="8958"/>
      <c r="P286" s="7932"/>
      <c r="Q286" s="7932"/>
      <c r="R286" s="8509"/>
    </row>
    <row r="287" spans="1:18" ht="20.100000000000001" hidden="1" customHeight="1">
      <c r="A287" s="7872"/>
      <c r="B287" s="8510"/>
      <c r="C287" s="8720"/>
      <c r="D287" s="8718"/>
      <c r="E287" s="8016" t="s">
        <v>137</v>
      </c>
      <c r="F287" s="8090" t="s">
        <v>420</v>
      </c>
      <c r="G287" s="8514"/>
      <c r="H287" s="8514"/>
      <c r="I287" s="8574"/>
      <c r="J287" s="8575" t="s">
        <v>449</v>
      </c>
      <c r="K287" s="8090" t="s">
        <v>3538</v>
      </c>
      <c r="L287" s="7942"/>
      <c r="M287" s="8018"/>
      <c r="N287" s="8216"/>
      <c r="O287" s="8958"/>
      <c r="P287" s="7932"/>
      <c r="Q287" s="7932"/>
      <c r="R287" s="8509"/>
    </row>
    <row r="288" spans="1:18" ht="20.100000000000001" hidden="1" customHeight="1">
      <c r="A288" s="7872"/>
      <c r="B288" s="8510"/>
      <c r="C288" s="8720"/>
      <c r="D288" s="8718"/>
      <c r="E288" s="8016" t="s">
        <v>140</v>
      </c>
      <c r="F288" s="8090" t="s">
        <v>420</v>
      </c>
      <c r="G288" s="8514"/>
      <c r="H288" s="8514"/>
      <c r="I288" s="8574"/>
      <c r="J288" s="8575" t="s">
        <v>450</v>
      </c>
      <c r="K288" s="8090" t="s">
        <v>3538</v>
      </c>
      <c r="L288" s="8260" t="s">
        <v>168</v>
      </c>
      <c r="M288" s="8144" t="s">
        <v>168</v>
      </c>
      <c r="N288" s="8113" t="s">
        <v>168</v>
      </c>
      <c r="O288" s="8954" t="s">
        <v>3584</v>
      </c>
      <c r="P288" s="7932"/>
      <c r="Q288" s="7932"/>
      <c r="R288" s="8509"/>
    </row>
    <row r="289" spans="1:18" ht="20.100000000000001" hidden="1" customHeight="1">
      <c r="A289" s="7872"/>
      <c r="B289" s="8510"/>
      <c r="C289" s="8720"/>
      <c r="D289" s="8718"/>
      <c r="E289" s="8016" t="s">
        <v>143</v>
      </c>
      <c r="F289" s="8090" t="s">
        <v>420</v>
      </c>
      <c r="G289" s="8514"/>
      <c r="H289" s="8514"/>
      <c r="I289" s="8574"/>
      <c r="J289" s="8575" t="s">
        <v>451</v>
      </c>
      <c r="K289" s="8090" t="s">
        <v>3538</v>
      </c>
      <c r="L289" s="8260" t="s">
        <v>168</v>
      </c>
      <c r="M289" s="8144" t="s">
        <v>168</v>
      </c>
      <c r="N289" s="8113" t="s">
        <v>168</v>
      </c>
      <c r="O289" s="8954" t="s">
        <v>3584</v>
      </c>
      <c r="P289" s="7932"/>
      <c r="Q289" s="7932"/>
      <c r="R289" s="8509"/>
    </row>
    <row r="290" spans="1:18" ht="20.100000000000001" hidden="1" customHeight="1">
      <c r="A290" s="7872"/>
      <c r="B290" s="8510"/>
      <c r="C290" s="8720"/>
      <c r="D290" s="8718"/>
      <c r="E290" s="8016" t="s">
        <v>146</v>
      </c>
      <c r="F290" s="8090" t="s">
        <v>420</v>
      </c>
      <c r="G290" s="8514"/>
      <c r="H290" s="8514"/>
      <c r="I290" s="8574"/>
      <c r="J290" s="8575" t="s">
        <v>452</v>
      </c>
      <c r="K290" s="8090" t="s">
        <v>3538</v>
      </c>
      <c r="L290" s="8260" t="s">
        <v>168</v>
      </c>
      <c r="M290" s="8144" t="s">
        <v>168</v>
      </c>
      <c r="N290" s="8113" t="s">
        <v>168</v>
      </c>
      <c r="O290" s="8954" t="s">
        <v>3584</v>
      </c>
      <c r="P290" s="7932"/>
      <c r="Q290" s="7932"/>
      <c r="R290" s="8509"/>
    </row>
    <row r="291" spans="1:18" ht="20.100000000000001" hidden="1" customHeight="1">
      <c r="A291" s="7872"/>
      <c r="B291" s="8510"/>
      <c r="C291" s="8720"/>
      <c r="D291" s="8718"/>
      <c r="E291" s="8016" t="s">
        <v>149</v>
      </c>
      <c r="F291" s="8090" t="s">
        <v>420</v>
      </c>
      <c r="G291" s="8514"/>
      <c r="H291" s="8514"/>
      <c r="I291" s="8574"/>
      <c r="J291" s="8575" t="s">
        <v>453</v>
      </c>
      <c r="K291" s="8090" t="s">
        <v>3538</v>
      </c>
      <c r="L291" s="7942">
        <v>0</v>
      </c>
      <c r="M291" s="8018">
        <v>0</v>
      </c>
      <c r="N291" s="8216">
        <v>0</v>
      </c>
      <c r="O291" s="8981"/>
      <c r="P291" s="7932"/>
      <c r="Q291" s="7932"/>
      <c r="R291" s="8509"/>
    </row>
    <row r="292" spans="1:18" ht="20.100000000000001" customHeight="1">
      <c r="A292" s="7872"/>
      <c r="B292" s="8510"/>
      <c r="C292" s="8687"/>
      <c r="D292" s="8718"/>
      <c r="E292" s="8685" t="s">
        <v>454</v>
      </c>
      <c r="F292" s="8240" t="s">
        <v>420</v>
      </c>
      <c r="G292" s="8700"/>
      <c r="H292" s="8700"/>
      <c r="I292" s="8721"/>
      <c r="J292" s="8685" t="s">
        <v>455</v>
      </c>
      <c r="K292" s="8240" t="s">
        <v>413</v>
      </c>
      <c r="L292" s="8262">
        <f>SUM(L293:L298)</f>
        <v>0.95</v>
      </c>
      <c r="M292" s="8295">
        <f>SUM(M293:M298)</f>
        <v>0</v>
      </c>
      <c r="N292" s="8264">
        <f>SUM(N293:N298)</f>
        <v>0</v>
      </c>
      <c r="O292" s="8982" t="s">
        <v>3655</v>
      </c>
      <c r="P292" s="7932" t="s">
        <v>418</v>
      </c>
      <c r="Q292" s="7932" t="s">
        <v>419</v>
      </c>
      <c r="R292" s="8509"/>
    </row>
    <row r="293" spans="1:18">
      <c r="A293" s="7872"/>
      <c r="B293" s="8510"/>
      <c r="C293" s="8720"/>
      <c r="D293" s="8718"/>
      <c r="E293" s="8016" t="s">
        <v>134</v>
      </c>
      <c r="F293" s="8090" t="s">
        <v>420</v>
      </c>
      <c r="G293" s="8514"/>
      <c r="H293" s="8514"/>
      <c r="I293" s="8574"/>
      <c r="J293" s="8575" t="s">
        <v>431</v>
      </c>
      <c r="K293" s="8090" t="s">
        <v>413</v>
      </c>
      <c r="L293" s="7942">
        <v>0.95</v>
      </c>
      <c r="M293" s="8018">
        <v>0</v>
      </c>
      <c r="N293" s="8216">
        <v>0</v>
      </c>
      <c r="O293" s="8954" t="s">
        <v>3532</v>
      </c>
      <c r="P293" s="7932"/>
      <c r="Q293" s="7932"/>
      <c r="R293" s="8509"/>
    </row>
    <row r="294" spans="1:18" ht="20.100000000000001" hidden="1" customHeight="1">
      <c r="A294" s="7872"/>
      <c r="B294" s="8510"/>
      <c r="C294" s="8720"/>
      <c r="D294" s="8718"/>
      <c r="E294" s="8016" t="s">
        <v>137</v>
      </c>
      <c r="F294" s="8090" t="s">
        <v>420</v>
      </c>
      <c r="G294" s="8514"/>
      <c r="H294" s="8514"/>
      <c r="I294" s="8574"/>
      <c r="J294" s="8575" t="s">
        <v>449</v>
      </c>
      <c r="K294" s="8090" t="s">
        <v>3538</v>
      </c>
      <c r="L294" s="7942"/>
      <c r="M294" s="8018"/>
      <c r="N294" s="8216"/>
      <c r="O294" s="8954"/>
      <c r="P294" s="7932"/>
      <c r="Q294" s="7932"/>
      <c r="R294" s="8509"/>
    </row>
    <row r="295" spans="1:18" ht="20.100000000000001" hidden="1" customHeight="1">
      <c r="A295" s="7872"/>
      <c r="B295" s="8510"/>
      <c r="C295" s="8720"/>
      <c r="D295" s="8718"/>
      <c r="E295" s="8016" t="s">
        <v>140</v>
      </c>
      <c r="F295" s="8090" t="s">
        <v>420</v>
      </c>
      <c r="G295" s="8514"/>
      <c r="H295" s="8514"/>
      <c r="I295" s="8574"/>
      <c r="J295" s="8575" t="s">
        <v>450</v>
      </c>
      <c r="K295" s="8090" t="s">
        <v>3538</v>
      </c>
      <c r="L295" s="8260" t="s">
        <v>168</v>
      </c>
      <c r="M295" s="8144" t="s">
        <v>168</v>
      </c>
      <c r="N295" s="8113" t="s">
        <v>168</v>
      </c>
      <c r="O295" s="8954" t="s">
        <v>3584</v>
      </c>
      <c r="P295" s="7932"/>
      <c r="Q295" s="7932"/>
      <c r="R295" s="8509"/>
    </row>
    <row r="296" spans="1:18" ht="20.100000000000001" hidden="1" customHeight="1">
      <c r="A296" s="7872"/>
      <c r="B296" s="8510"/>
      <c r="C296" s="8720"/>
      <c r="D296" s="8718"/>
      <c r="E296" s="8016" t="s">
        <v>143</v>
      </c>
      <c r="F296" s="8090" t="s">
        <v>420</v>
      </c>
      <c r="G296" s="8514"/>
      <c r="H296" s="8514"/>
      <c r="I296" s="8574"/>
      <c r="J296" s="8575" t="s">
        <v>451</v>
      </c>
      <c r="K296" s="8090" t="s">
        <v>3538</v>
      </c>
      <c r="L296" s="8260" t="s">
        <v>168</v>
      </c>
      <c r="M296" s="8144" t="s">
        <v>168</v>
      </c>
      <c r="N296" s="8113" t="s">
        <v>168</v>
      </c>
      <c r="O296" s="8954" t="s">
        <v>3584</v>
      </c>
      <c r="P296" s="7932"/>
      <c r="Q296" s="7932"/>
      <c r="R296" s="8509"/>
    </row>
    <row r="297" spans="1:18" ht="20.100000000000001" hidden="1" customHeight="1">
      <c r="A297" s="7872"/>
      <c r="B297" s="8510"/>
      <c r="C297" s="8720"/>
      <c r="D297" s="8718"/>
      <c r="E297" s="8016" t="s">
        <v>146</v>
      </c>
      <c r="F297" s="8090" t="s">
        <v>420</v>
      </c>
      <c r="G297" s="8514"/>
      <c r="H297" s="8514"/>
      <c r="I297" s="8574"/>
      <c r="J297" s="8575" t="s">
        <v>452</v>
      </c>
      <c r="K297" s="8090" t="s">
        <v>3538</v>
      </c>
      <c r="L297" s="8260" t="s">
        <v>168</v>
      </c>
      <c r="M297" s="8144" t="s">
        <v>168</v>
      </c>
      <c r="N297" s="8113" t="s">
        <v>168</v>
      </c>
      <c r="O297" s="8954" t="s">
        <v>3584</v>
      </c>
      <c r="P297" s="7932"/>
      <c r="Q297" s="7932"/>
      <c r="R297" s="8509"/>
    </row>
    <row r="298" spans="1:18" ht="20.100000000000001" hidden="1" customHeight="1">
      <c r="A298" s="7872"/>
      <c r="B298" s="8510"/>
      <c r="C298" s="8720"/>
      <c r="D298" s="8718"/>
      <c r="E298" s="8016" t="s">
        <v>149</v>
      </c>
      <c r="F298" s="8090" t="s">
        <v>420</v>
      </c>
      <c r="G298" s="8514"/>
      <c r="H298" s="8514"/>
      <c r="I298" s="8574"/>
      <c r="J298" s="8575" t="s">
        <v>453</v>
      </c>
      <c r="K298" s="8090" t="s">
        <v>3538</v>
      </c>
      <c r="L298" s="7942">
        <v>0</v>
      </c>
      <c r="M298" s="8018">
        <v>0</v>
      </c>
      <c r="N298" s="8216">
        <v>0</v>
      </c>
      <c r="O298" s="8981"/>
      <c r="P298" s="7932"/>
      <c r="Q298" s="7932"/>
      <c r="R298" s="8509"/>
    </row>
    <row r="299" spans="1:18" ht="20.100000000000001" customHeight="1">
      <c r="A299" s="7872"/>
      <c r="B299" s="8510"/>
      <c r="C299" s="9525" t="s">
        <v>456</v>
      </c>
      <c r="D299" s="9525"/>
      <c r="E299" s="9525"/>
      <c r="F299" s="8089" t="s">
        <v>457</v>
      </c>
      <c r="G299" s="8628"/>
      <c r="H299" s="9522" t="s">
        <v>458</v>
      </c>
      <c r="I299" s="9522"/>
      <c r="J299" s="9522"/>
      <c r="K299" s="7957" t="s">
        <v>3725</v>
      </c>
      <c r="L299" s="8042"/>
      <c r="M299" s="8036"/>
      <c r="N299" s="8037"/>
      <c r="O299" s="8967" t="s">
        <v>3682</v>
      </c>
      <c r="P299" s="7932" t="s">
        <v>462</v>
      </c>
      <c r="Q299" s="7955"/>
      <c r="R299" s="8509"/>
    </row>
    <row r="300" spans="1:18" ht="20.100000000000001" customHeight="1">
      <c r="A300" s="7872"/>
      <c r="B300" s="8501"/>
      <c r="C300" s="9520" t="s">
        <v>134</v>
      </c>
      <c r="D300" s="9520"/>
      <c r="E300" s="9520"/>
      <c r="F300" s="8090" t="s">
        <v>457</v>
      </c>
      <c r="G300" s="8505"/>
      <c r="H300" s="9478" t="s">
        <v>135</v>
      </c>
      <c r="I300" s="9478"/>
      <c r="J300" s="9478"/>
      <c r="K300" s="7953" t="s">
        <v>3725</v>
      </c>
      <c r="L300" s="8242">
        <f>L251/L307</f>
        <v>2.6581419481274324E-2</v>
      </c>
      <c r="M300" s="8265">
        <f t="shared" ref="L300:N302" si="33">M251/M307</f>
        <v>1.3614241458903248E-2</v>
      </c>
      <c r="N300" s="8266">
        <f t="shared" si="33"/>
        <v>0.19056704417024645</v>
      </c>
      <c r="O300" s="8954"/>
      <c r="P300" s="8088"/>
      <c r="Q300" s="7932"/>
      <c r="R300" s="8509"/>
    </row>
    <row r="301" spans="1:18" ht="20.100000000000001" customHeight="1">
      <c r="A301" s="7872"/>
      <c r="B301" s="8501"/>
      <c r="C301" s="9520" t="s">
        <v>137</v>
      </c>
      <c r="D301" s="9520"/>
      <c r="E301" s="9520"/>
      <c r="F301" s="8090" t="s">
        <v>457</v>
      </c>
      <c r="G301" s="8505"/>
      <c r="H301" s="9478" t="s">
        <v>138</v>
      </c>
      <c r="I301" s="9478"/>
      <c r="J301" s="9478"/>
      <c r="K301" s="7953" t="s">
        <v>3725</v>
      </c>
      <c r="L301" s="8242">
        <f t="shared" si="33"/>
        <v>5.6425702811244982E-3</v>
      </c>
      <c r="M301" s="8265">
        <f t="shared" si="33"/>
        <v>1.4431192660550459E-2</v>
      </c>
      <c r="N301" s="8266">
        <f t="shared" si="33"/>
        <v>5.3889334402566153E-3</v>
      </c>
      <c r="O301" s="8954"/>
      <c r="P301" s="8088"/>
      <c r="Q301" s="7932"/>
      <c r="R301" s="8509"/>
    </row>
    <row r="302" spans="1:18" ht="20.100000000000001" customHeight="1">
      <c r="A302" s="7872"/>
      <c r="B302" s="8501"/>
      <c r="C302" s="9520" t="s">
        <v>140</v>
      </c>
      <c r="D302" s="9520"/>
      <c r="E302" s="9520"/>
      <c r="F302" s="8090" t="s">
        <v>457</v>
      </c>
      <c r="G302" s="8505"/>
      <c r="H302" s="9478" t="s">
        <v>141</v>
      </c>
      <c r="I302" s="9478"/>
      <c r="J302" s="9478"/>
      <c r="K302" s="7953" t="s">
        <v>3725</v>
      </c>
      <c r="L302" s="8242">
        <f t="shared" si="33"/>
        <v>1.2639827462257369</v>
      </c>
      <c r="M302" s="8265">
        <f t="shared" si="33"/>
        <v>2.3925586720091587</v>
      </c>
      <c r="N302" s="8266">
        <f t="shared" si="33"/>
        <v>7.2268608414239486</v>
      </c>
      <c r="O302" s="8954"/>
      <c r="P302" s="8088"/>
      <c r="Q302" s="7932"/>
      <c r="R302" s="8509"/>
    </row>
    <row r="303" spans="1:18" ht="20.100000000000001" customHeight="1">
      <c r="A303" s="7872"/>
      <c r="B303" s="8501"/>
      <c r="C303" s="9520" t="s">
        <v>143</v>
      </c>
      <c r="D303" s="9520"/>
      <c r="E303" s="9520"/>
      <c r="F303" s="8090" t="s">
        <v>457</v>
      </c>
      <c r="G303" s="8505"/>
      <c r="H303" s="9478" t="s">
        <v>144</v>
      </c>
      <c r="I303" s="9478"/>
      <c r="J303" s="9478"/>
      <c r="K303" s="7953" t="s">
        <v>3725</v>
      </c>
      <c r="L303" s="8260" t="s">
        <v>168</v>
      </c>
      <c r="M303" s="8144" t="s">
        <v>168</v>
      </c>
      <c r="N303" s="8113" t="s">
        <v>168</v>
      </c>
      <c r="O303" s="8954" t="s">
        <v>3584</v>
      </c>
      <c r="P303" s="8088"/>
      <c r="Q303" s="7932"/>
      <c r="R303" s="8509"/>
    </row>
    <row r="304" spans="1:18" ht="20.100000000000001" customHeight="1">
      <c r="A304" s="7872"/>
      <c r="B304" s="8501"/>
      <c r="C304" s="9520" t="s">
        <v>146</v>
      </c>
      <c r="D304" s="9520"/>
      <c r="E304" s="9520"/>
      <c r="F304" s="8090" t="s">
        <v>457</v>
      </c>
      <c r="G304" s="8505"/>
      <c r="H304" s="9478" t="s">
        <v>147</v>
      </c>
      <c r="I304" s="9478"/>
      <c r="J304" s="9478"/>
      <c r="K304" s="7953" t="s">
        <v>3725</v>
      </c>
      <c r="L304" s="8260" t="s">
        <v>168</v>
      </c>
      <c r="M304" s="8144" t="s">
        <v>168</v>
      </c>
      <c r="N304" s="8113" t="s">
        <v>168</v>
      </c>
      <c r="O304" s="8954" t="s">
        <v>3584</v>
      </c>
      <c r="P304" s="8088"/>
      <c r="Q304" s="7932"/>
      <c r="R304" s="8509"/>
    </row>
    <row r="305" spans="1:18" ht="20.100000000000001" customHeight="1" thickBot="1">
      <c r="A305" s="7872"/>
      <c r="B305" s="8501"/>
      <c r="C305" s="9520" t="s">
        <v>149</v>
      </c>
      <c r="D305" s="9520"/>
      <c r="E305" s="9520"/>
      <c r="F305" s="8090" t="s">
        <v>457</v>
      </c>
      <c r="G305" s="8505"/>
      <c r="H305" s="9478" t="s">
        <v>150</v>
      </c>
      <c r="I305" s="9478"/>
      <c r="J305" s="9478"/>
      <c r="K305" s="7953" t="s">
        <v>3725</v>
      </c>
      <c r="L305" s="8260">
        <f>L256/L312</f>
        <v>0.6875</v>
      </c>
      <c r="M305" s="8144">
        <f>M256/M312</f>
        <v>0.38641686182669788</v>
      </c>
      <c r="N305" s="8113">
        <f>N256/N312</f>
        <v>0.20836891545687447</v>
      </c>
      <c r="O305" s="8954"/>
      <c r="P305" s="8088"/>
      <c r="Q305" s="7932"/>
      <c r="R305" s="8509"/>
    </row>
    <row r="306" spans="1:18" ht="20.100000000000001" hidden="1" customHeight="1">
      <c r="A306" s="7872"/>
      <c r="B306" s="8510"/>
      <c r="C306" s="7940"/>
      <c r="D306" s="9530" t="s">
        <v>232</v>
      </c>
      <c r="E306" s="9557"/>
      <c r="F306" s="8089" t="s">
        <v>233</v>
      </c>
      <c r="G306" s="8722"/>
      <c r="H306" s="8723"/>
      <c r="I306" s="9530" t="s">
        <v>234</v>
      </c>
      <c r="J306" s="9557"/>
      <c r="K306" s="7957" t="s">
        <v>235</v>
      </c>
      <c r="L306" s="8190">
        <f>SUM(L307:L312)</f>
        <v>7644.13</v>
      </c>
      <c r="M306" s="8296">
        <f>SUM(M307:M312)</f>
        <v>13181.130000000001</v>
      </c>
      <c r="N306" s="7961">
        <f>SUM(N307:N312)</f>
        <v>16017.26</v>
      </c>
      <c r="O306" s="8967"/>
      <c r="P306" s="7932" t="s">
        <v>462</v>
      </c>
      <c r="Q306" s="7932"/>
      <c r="R306" s="8509"/>
    </row>
    <row r="307" spans="1:18" ht="20.100000000000001" hidden="1" customHeight="1">
      <c r="A307" s="7872"/>
      <c r="B307" s="8510"/>
      <c r="C307" s="7940"/>
      <c r="D307" s="9437" t="s">
        <v>134</v>
      </c>
      <c r="E307" s="9449"/>
      <c r="F307" s="8090" t="s">
        <v>233</v>
      </c>
      <c r="G307" s="8514"/>
      <c r="H307" s="8528"/>
      <c r="I307" s="9478" t="s">
        <v>135</v>
      </c>
      <c r="J307" s="9479"/>
      <c r="K307" s="7953" t="s">
        <v>235</v>
      </c>
      <c r="L307" s="7935">
        <v>3286.13</v>
      </c>
      <c r="M307" s="8341">
        <v>7066.13</v>
      </c>
      <c r="N307" s="8087">
        <v>7733.26</v>
      </c>
      <c r="O307" s="8976" t="s">
        <v>139</v>
      </c>
      <c r="P307" s="7932"/>
      <c r="Q307" s="7932"/>
      <c r="R307" s="8509"/>
    </row>
    <row r="308" spans="1:18" ht="20.100000000000001" hidden="1" customHeight="1">
      <c r="A308" s="7872"/>
      <c r="B308" s="8510"/>
      <c r="C308" s="7940"/>
      <c r="D308" s="9437" t="s">
        <v>137</v>
      </c>
      <c r="E308" s="9449"/>
      <c r="F308" s="8090" t="s">
        <v>233</v>
      </c>
      <c r="G308" s="8514"/>
      <c r="H308" s="8528"/>
      <c r="I308" s="9478" t="s">
        <v>138</v>
      </c>
      <c r="J308" s="9479"/>
      <c r="K308" s="7953" t="s">
        <v>235</v>
      </c>
      <c r="L308" s="7935">
        <v>498</v>
      </c>
      <c r="M308" s="8341">
        <v>1090</v>
      </c>
      <c r="N308" s="8092">
        <v>1247</v>
      </c>
      <c r="O308" s="8976" t="s">
        <v>139</v>
      </c>
      <c r="P308" s="7932"/>
      <c r="Q308" s="7932"/>
      <c r="R308" s="8509"/>
    </row>
    <row r="309" spans="1:18" ht="20.100000000000001" hidden="1" customHeight="1">
      <c r="A309" s="7872"/>
      <c r="B309" s="8510"/>
      <c r="C309" s="7940"/>
      <c r="D309" s="9437" t="s">
        <v>140</v>
      </c>
      <c r="E309" s="9449"/>
      <c r="F309" s="8090" t="s">
        <v>233</v>
      </c>
      <c r="G309" s="8514"/>
      <c r="H309" s="8528"/>
      <c r="I309" s="9497" t="s">
        <v>141</v>
      </c>
      <c r="J309" s="9498"/>
      <c r="K309" s="7953" t="s">
        <v>235</v>
      </c>
      <c r="L309" s="7935">
        <v>2782</v>
      </c>
      <c r="M309" s="8338">
        <v>1747</v>
      </c>
      <c r="N309" s="8092">
        <v>3090</v>
      </c>
      <c r="O309" s="8976" t="s">
        <v>139</v>
      </c>
      <c r="P309" s="7932"/>
      <c r="Q309" s="7932"/>
      <c r="R309" s="8509"/>
    </row>
    <row r="310" spans="1:18" ht="20.100000000000001" hidden="1" customHeight="1">
      <c r="A310" s="7872"/>
      <c r="B310" s="8510"/>
      <c r="C310" s="7940"/>
      <c r="D310" s="9437" t="s">
        <v>143</v>
      </c>
      <c r="E310" s="9449"/>
      <c r="F310" s="8090" t="s">
        <v>233</v>
      </c>
      <c r="G310" s="8514"/>
      <c r="H310" s="8528"/>
      <c r="I310" s="9497" t="s">
        <v>144</v>
      </c>
      <c r="J310" s="9498"/>
      <c r="K310" s="7953" t="s">
        <v>235</v>
      </c>
      <c r="L310" s="8022">
        <v>496</v>
      </c>
      <c r="M310" s="8086">
        <v>1499</v>
      </c>
      <c r="N310" s="8087">
        <v>1849</v>
      </c>
      <c r="O310" s="8976" t="s">
        <v>139</v>
      </c>
      <c r="P310" s="7932"/>
      <c r="Q310" s="7932"/>
      <c r="R310" s="8509"/>
    </row>
    <row r="311" spans="1:18" ht="20.100000000000001" hidden="1" customHeight="1">
      <c r="A311" s="7872"/>
      <c r="B311" s="8510"/>
      <c r="C311" s="7940"/>
      <c r="D311" s="9437" t="s">
        <v>146</v>
      </c>
      <c r="E311" s="9449"/>
      <c r="F311" s="8090" t="s">
        <v>233</v>
      </c>
      <c r="G311" s="8514"/>
      <c r="H311" s="8528"/>
      <c r="I311" s="9497" t="s">
        <v>147</v>
      </c>
      <c r="J311" s="9498"/>
      <c r="K311" s="7953" t="s">
        <v>235</v>
      </c>
      <c r="L311" s="8022">
        <v>230</v>
      </c>
      <c r="M311" s="8086">
        <v>925</v>
      </c>
      <c r="N311" s="8087">
        <v>927</v>
      </c>
      <c r="O311" s="8976" t="s">
        <v>139</v>
      </c>
      <c r="P311" s="7932"/>
      <c r="Q311" s="7932"/>
      <c r="R311" s="8509"/>
    </row>
    <row r="312" spans="1:18" ht="20.100000000000001" hidden="1" customHeight="1">
      <c r="A312" s="7872"/>
      <c r="B312" s="8510"/>
      <c r="C312" s="7940"/>
      <c r="D312" s="9437" t="s">
        <v>149</v>
      </c>
      <c r="E312" s="9449"/>
      <c r="F312" s="8090" t="s">
        <v>233</v>
      </c>
      <c r="G312" s="8514"/>
      <c r="H312" s="8528"/>
      <c r="I312" s="9497" t="s">
        <v>150</v>
      </c>
      <c r="J312" s="9498"/>
      <c r="K312" s="7953" t="s">
        <v>235</v>
      </c>
      <c r="L312" s="8022">
        <v>352</v>
      </c>
      <c r="M312" s="8899">
        <v>854</v>
      </c>
      <c r="N312" s="8100">
        <v>1171</v>
      </c>
      <c r="O312" s="8976" t="s">
        <v>139</v>
      </c>
      <c r="P312" s="7932"/>
      <c r="Q312" s="7932"/>
      <c r="R312" s="8509"/>
    </row>
    <row r="313" spans="1:18" ht="20.100000000000001" hidden="1" customHeight="1">
      <c r="A313" s="7872"/>
      <c r="B313" s="8510"/>
      <c r="C313" s="9521" t="s">
        <v>516</v>
      </c>
      <c r="D313" s="9475"/>
      <c r="E313" s="9560"/>
      <c r="F313" s="8089" t="s">
        <v>420</v>
      </c>
      <c r="G313" s="8702"/>
      <c r="H313" s="9517" t="s">
        <v>517</v>
      </c>
      <c r="I313" s="9475"/>
      <c r="J313" s="9560"/>
      <c r="K313" s="8089" t="s">
        <v>420</v>
      </c>
      <c r="L313" s="8012">
        <f>SUM(L314:L319)</f>
        <v>2984.8058823529414</v>
      </c>
      <c r="M313" s="8291">
        <f>SUM(M314:M319)</f>
        <v>3939.4352941176471</v>
      </c>
      <c r="N313" s="8114">
        <f>SUM(N314:N319)</f>
        <v>22303.942941176472</v>
      </c>
      <c r="O313" s="8967"/>
      <c r="P313" s="7932" t="s">
        <v>518</v>
      </c>
      <c r="Q313" s="7955" t="s">
        <v>519</v>
      </c>
      <c r="R313" s="8509"/>
    </row>
    <row r="314" spans="1:18" ht="30" hidden="1">
      <c r="A314" s="7872"/>
      <c r="B314" s="8501"/>
      <c r="C314" s="9520" t="s">
        <v>134</v>
      </c>
      <c r="D314" s="9558"/>
      <c r="E314" s="9559"/>
      <c r="F314" s="8090" t="s">
        <v>420</v>
      </c>
      <c r="G314" s="8505"/>
      <c r="H314" s="9478" t="s">
        <v>135</v>
      </c>
      <c r="I314" s="9505"/>
      <c r="J314" s="9479"/>
      <c r="K314" s="8090" t="s">
        <v>420</v>
      </c>
      <c r="L314" s="8178">
        <v>8.1</v>
      </c>
      <c r="M314" s="8144">
        <v>11.2</v>
      </c>
      <c r="N314" s="8145">
        <v>493.59</v>
      </c>
      <c r="O314" s="8954" t="s">
        <v>3656</v>
      </c>
      <c r="P314" s="8088"/>
      <c r="Q314" s="7932"/>
      <c r="R314" s="8509"/>
    </row>
    <row r="315" spans="1:18" ht="20.100000000000001" hidden="1" customHeight="1">
      <c r="A315" s="7872"/>
      <c r="B315" s="8501"/>
      <c r="C315" s="9520" t="s">
        <v>137</v>
      </c>
      <c r="D315" s="9558"/>
      <c r="E315" s="9559"/>
      <c r="F315" s="8090" t="s">
        <v>420</v>
      </c>
      <c r="G315" s="8505"/>
      <c r="H315" s="9478" t="s">
        <v>138</v>
      </c>
      <c r="I315" s="9505"/>
      <c r="J315" s="9479"/>
      <c r="K315" s="8090" t="s">
        <v>420</v>
      </c>
      <c r="L315" s="8260" t="s">
        <v>168</v>
      </c>
      <c r="M315" s="8144" t="s">
        <v>168</v>
      </c>
      <c r="N315" s="8145" t="s">
        <v>168</v>
      </c>
      <c r="O315" s="8954" t="s">
        <v>3584</v>
      </c>
      <c r="P315" s="8088"/>
      <c r="Q315" s="7932"/>
      <c r="R315" s="8509"/>
    </row>
    <row r="316" spans="1:18" ht="20.100000000000001" hidden="1" customHeight="1">
      <c r="A316" s="7872"/>
      <c r="B316" s="8501"/>
      <c r="C316" s="9520" t="s">
        <v>140</v>
      </c>
      <c r="D316" s="9558"/>
      <c r="E316" s="9559"/>
      <c r="F316" s="8090" t="s">
        <v>420</v>
      </c>
      <c r="G316" s="8505"/>
      <c r="H316" s="9478" t="s">
        <v>141</v>
      </c>
      <c r="I316" s="9505"/>
      <c r="J316" s="9479"/>
      <c r="K316" s="8090" t="s">
        <v>420</v>
      </c>
      <c r="L316" s="8178">
        <v>2976.7058823529414</v>
      </c>
      <c r="M316" s="8144">
        <v>3928.2352941176473</v>
      </c>
      <c r="N316" s="8145">
        <v>21810.352941176472</v>
      </c>
      <c r="O316" s="8954" t="s">
        <v>3683</v>
      </c>
      <c r="P316" s="8088"/>
      <c r="Q316" s="7932"/>
      <c r="R316" s="8509"/>
    </row>
    <row r="317" spans="1:18" ht="20.100000000000001" hidden="1" customHeight="1">
      <c r="A317" s="7872"/>
      <c r="B317" s="8501"/>
      <c r="C317" s="9520" t="s">
        <v>143</v>
      </c>
      <c r="D317" s="9558"/>
      <c r="E317" s="9559"/>
      <c r="F317" s="8090" t="s">
        <v>420</v>
      </c>
      <c r="G317" s="8505"/>
      <c r="H317" s="9478" t="s">
        <v>144</v>
      </c>
      <c r="I317" s="9505"/>
      <c r="J317" s="9479"/>
      <c r="K317" s="8090" t="s">
        <v>420</v>
      </c>
      <c r="L317" s="8260" t="s">
        <v>168</v>
      </c>
      <c r="M317" s="8144" t="s">
        <v>168</v>
      </c>
      <c r="N317" s="8145" t="s">
        <v>168</v>
      </c>
      <c r="O317" s="8954" t="s">
        <v>3584</v>
      </c>
      <c r="P317" s="8088"/>
      <c r="Q317" s="7932"/>
      <c r="R317" s="8509"/>
    </row>
    <row r="318" spans="1:18" ht="20.100000000000001" hidden="1" customHeight="1">
      <c r="A318" s="7872"/>
      <c r="B318" s="8501"/>
      <c r="C318" s="9520" t="s">
        <v>146</v>
      </c>
      <c r="D318" s="9558"/>
      <c r="E318" s="9559"/>
      <c r="F318" s="8090" t="s">
        <v>420</v>
      </c>
      <c r="G318" s="8505"/>
      <c r="H318" s="9478" t="s">
        <v>147</v>
      </c>
      <c r="I318" s="9505"/>
      <c r="J318" s="9479"/>
      <c r="K318" s="8090" t="s">
        <v>420</v>
      </c>
      <c r="L318" s="8260" t="s">
        <v>168</v>
      </c>
      <c r="M318" s="8144" t="s">
        <v>168</v>
      </c>
      <c r="N318" s="8145" t="s">
        <v>168</v>
      </c>
      <c r="O318" s="8954" t="s">
        <v>3584</v>
      </c>
      <c r="P318" s="8088"/>
      <c r="Q318" s="7932"/>
      <c r="R318" s="8509"/>
    </row>
    <row r="319" spans="1:18" ht="20.100000000000001" hidden="1" customHeight="1" thickBot="1">
      <c r="A319" s="7872"/>
      <c r="B319" s="8501"/>
      <c r="C319" s="9520" t="s">
        <v>149</v>
      </c>
      <c r="D319" s="9558"/>
      <c r="E319" s="9559"/>
      <c r="F319" s="8090" t="s">
        <v>420</v>
      </c>
      <c r="G319" s="8505"/>
      <c r="H319" s="9478" t="s">
        <v>150</v>
      </c>
      <c r="I319" s="9505"/>
      <c r="J319" s="9479"/>
      <c r="K319" s="8090" t="s">
        <v>420</v>
      </c>
      <c r="L319" s="8178">
        <v>0</v>
      </c>
      <c r="M319" s="8144">
        <v>0</v>
      </c>
      <c r="N319" s="8145">
        <v>0</v>
      </c>
      <c r="O319" s="8954" t="s">
        <v>3584</v>
      </c>
      <c r="P319" s="8088"/>
      <c r="Q319" s="7932"/>
      <c r="R319" s="8509"/>
    </row>
    <row r="320" spans="1:18" ht="21.75" thickBot="1">
      <c r="A320" s="7872"/>
      <c r="B320" s="8073" t="s">
        <v>521</v>
      </c>
      <c r="C320" s="8074"/>
      <c r="D320" s="8074"/>
      <c r="E320" s="8074"/>
      <c r="F320" s="8074"/>
      <c r="G320" s="8074"/>
      <c r="H320" s="8074"/>
      <c r="I320" s="8074"/>
      <c r="J320" s="8074"/>
      <c r="K320" s="8074"/>
      <c r="L320" s="8288"/>
      <c r="M320" s="8289"/>
      <c r="N320" s="8290"/>
      <c r="O320" s="8959" t="s">
        <v>3657</v>
      </c>
      <c r="P320" s="8080"/>
      <c r="Q320" s="8080"/>
      <c r="R320" s="8496"/>
    </row>
    <row r="321" spans="1:18" ht="20.100000000000001" hidden="1" customHeight="1">
      <c r="A321" s="7872"/>
      <c r="B321" s="8510"/>
      <c r="C321" s="9525" t="s">
        <v>522</v>
      </c>
      <c r="D321" s="9561"/>
      <c r="E321" s="9562"/>
      <c r="F321" s="8089" t="s">
        <v>420</v>
      </c>
      <c r="G321" s="8626"/>
      <c r="H321" s="9522" t="s">
        <v>523</v>
      </c>
      <c r="I321" s="9561"/>
      <c r="J321" s="9562"/>
      <c r="K321" s="8089" t="s">
        <v>420</v>
      </c>
      <c r="L321" s="8042" t="s">
        <v>168</v>
      </c>
      <c r="M321" s="8036" t="s">
        <v>168</v>
      </c>
      <c r="N321" s="8043" t="s">
        <v>168</v>
      </c>
      <c r="O321" s="8967"/>
      <c r="P321" s="7932" t="s">
        <v>524</v>
      </c>
      <c r="Q321" s="7955"/>
      <c r="R321" s="8509"/>
    </row>
    <row r="322" spans="1:18" ht="19.899999999999999" hidden="1" customHeight="1">
      <c r="A322" s="7872"/>
      <c r="B322" s="8501"/>
      <c r="C322" s="9520" t="s">
        <v>134</v>
      </c>
      <c r="D322" s="9558"/>
      <c r="E322" s="9559"/>
      <c r="F322" s="8090" t="s">
        <v>420</v>
      </c>
      <c r="G322" s="8505"/>
      <c r="H322" s="9478" t="s">
        <v>135</v>
      </c>
      <c r="I322" s="9505"/>
      <c r="J322" s="9479"/>
      <c r="K322" s="8090" t="s">
        <v>420</v>
      </c>
      <c r="L322" s="8260" t="s">
        <v>168</v>
      </c>
      <c r="M322" s="8144" t="s">
        <v>168</v>
      </c>
      <c r="N322" s="8145" t="s">
        <v>168</v>
      </c>
      <c r="O322" s="8954" t="s">
        <v>525</v>
      </c>
      <c r="P322" s="8088"/>
      <c r="Q322" s="7932"/>
      <c r="R322" s="8509"/>
    </row>
    <row r="323" spans="1:18" ht="19.899999999999999" hidden="1" customHeight="1">
      <c r="A323" s="7872"/>
      <c r="B323" s="8501"/>
      <c r="C323" s="9520" t="s">
        <v>137</v>
      </c>
      <c r="D323" s="9558"/>
      <c r="E323" s="9559"/>
      <c r="F323" s="8090" t="s">
        <v>420</v>
      </c>
      <c r="G323" s="8505"/>
      <c r="H323" s="9478" t="s">
        <v>138</v>
      </c>
      <c r="I323" s="9505"/>
      <c r="J323" s="9479"/>
      <c r="K323" s="8090" t="s">
        <v>420</v>
      </c>
      <c r="L323" s="8260" t="s">
        <v>168</v>
      </c>
      <c r="M323" s="8144" t="s">
        <v>168</v>
      </c>
      <c r="N323" s="8145" t="s">
        <v>168</v>
      </c>
      <c r="O323" s="8954" t="s">
        <v>525</v>
      </c>
      <c r="P323" s="8088"/>
      <c r="Q323" s="7932"/>
      <c r="R323" s="8509"/>
    </row>
    <row r="324" spans="1:18" ht="19.899999999999999" hidden="1" customHeight="1">
      <c r="A324" s="7872"/>
      <c r="B324" s="8501"/>
      <c r="C324" s="9520" t="s">
        <v>140</v>
      </c>
      <c r="D324" s="9558"/>
      <c r="E324" s="9559"/>
      <c r="F324" s="8090" t="s">
        <v>420</v>
      </c>
      <c r="G324" s="8505"/>
      <c r="H324" s="9478" t="s">
        <v>141</v>
      </c>
      <c r="I324" s="9505"/>
      <c r="J324" s="9479"/>
      <c r="K324" s="8090" t="s">
        <v>420</v>
      </c>
      <c r="L324" s="8260" t="s">
        <v>168</v>
      </c>
      <c r="M324" s="8144" t="s">
        <v>168</v>
      </c>
      <c r="N324" s="8145" t="s">
        <v>168</v>
      </c>
      <c r="O324" s="8954" t="s">
        <v>525</v>
      </c>
      <c r="P324" s="8088"/>
      <c r="Q324" s="7932"/>
      <c r="R324" s="8509"/>
    </row>
    <row r="325" spans="1:18" ht="19.899999999999999" hidden="1" customHeight="1">
      <c r="A325" s="7872"/>
      <c r="B325" s="8501"/>
      <c r="C325" s="9520" t="s">
        <v>143</v>
      </c>
      <c r="D325" s="9558"/>
      <c r="E325" s="9559"/>
      <c r="F325" s="8090" t="s">
        <v>420</v>
      </c>
      <c r="G325" s="8505"/>
      <c r="H325" s="9478" t="s">
        <v>144</v>
      </c>
      <c r="I325" s="9505"/>
      <c r="J325" s="9479"/>
      <c r="K325" s="8090" t="s">
        <v>420</v>
      </c>
      <c r="L325" s="8260" t="s">
        <v>168</v>
      </c>
      <c r="M325" s="8144" t="s">
        <v>168</v>
      </c>
      <c r="N325" s="8145" t="s">
        <v>168</v>
      </c>
      <c r="O325" s="8954" t="s">
        <v>525</v>
      </c>
      <c r="P325" s="8088"/>
      <c r="Q325" s="7932"/>
      <c r="R325" s="8509"/>
    </row>
    <row r="326" spans="1:18" ht="19.899999999999999" hidden="1" customHeight="1">
      <c r="A326" s="7872"/>
      <c r="B326" s="8501"/>
      <c r="C326" s="9520" t="s">
        <v>146</v>
      </c>
      <c r="D326" s="9558"/>
      <c r="E326" s="9559"/>
      <c r="F326" s="8090" t="s">
        <v>420</v>
      </c>
      <c r="G326" s="8505"/>
      <c r="H326" s="9478" t="s">
        <v>147</v>
      </c>
      <c r="I326" s="9505"/>
      <c r="J326" s="9479"/>
      <c r="K326" s="8090" t="s">
        <v>420</v>
      </c>
      <c r="L326" s="8260" t="s">
        <v>168</v>
      </c>
      <c r="M326" s="8144" t="s">
        <v>168</v>
      </c>
      <c r="N326" s="8145" t="s">
        <v>168</v>
      </c>
      <c r="O326" s="8954" t="s">
        <v>525</v>
      </c>
      <c r="P326" s="8088"/>
      <c r="Q326" s="7932"/>
      <c r="R326" s="8509"/>
    </row>
    <row r="327" spans="1:18" ht="19.899999999999999" hidden="1" customHeight="1">
      <c r="A327" s="7872"/>
      <c r="B327" s="8501"/>
      <c r="C327" s="9520" t="s">
        <v>149</v>
      </c>
      <c r="D327" s="9558"/>
      <c r="E327" s="9559"/>
      <c r="F327" s="8090" t="s">
        <v>420</v>
      </c>
      <c r="G327" s="8505"/>
      <c r="H327" s="9478" t="s">
        <v>150</v>
      </c>
      <c r="I327" s="9505"/>
      <c r="J327" s="9479"/>
      <c r="K327" s="8090" t="s">
        <v>420</v>
      </c>
      <c r="L327" s="8260" t="s">
        <v>168</v>
      </c>
      <c r="M327" s="8144" t="s">
        <v>168</v>
      </c>
      <c r="N327" s="8145" t="s">
        <v>168</v>
      </c>
      <c r="O327" s="8954" t="s">
        <v>525</v>
      </c>
      <c r="P327" s="8088"/>
      <c r="Q327" s="7932"/>
      <c r="R327" s="8509"/>
    </row>
    <row r="328" spans="1:18" ht="20.100000000000001" hidden="1" customHeight="1">
      <c r="A328" s="7872"/>
      <c r="B328" s="8510"/>
      <c r="C328" s="8524" t="s">
        <v>539</v>
      </c>
      <c r="D328" s="8585"/>
      <c r="E328" s="8525"/>
      <c r="F328" s="8089" t="s">
        <v>420</v>
      </c>
      <c r="G328" s="8513"/>
      <c r="H328" s="8533"/>
      <c r="I328" s="9563" t="s">
        <v>540</v>
      </c>
      <c r="J328" s="9564"/>
      <c r="K328" s="8089" t="s">
        <v>420</v>
      </c>
      <c r="L328" s="8042" t="s">
        <v>168</v>
      </c>
      <c r="M328" s="8036" t="s">
        <v>168</v>
      </c>
      <c r="N328" s="8043" t="s">
        <v>168</v>
      </c>
      <c r="O328" s="8967"/>
      <c r="P328" s="7932" t="s">
        <v>524</v>
      </c>
      <c r="Q328" s="7955"/>
      <c r="R328" s="8509"/>
    </row>
    <row r="329" spans="1:18" ht="20.100000000000001" hidden="1" customHeight="1">
      <c r="A329" s="7872"/>
      <c r="B329" s="8510"/>
      <c r="C329" s="8016" t="s">
        <v>134</v>
      </c>
      <c r="D329" s="8254"/>
      <c r="E329" s="8017"/>
      <c r="F329" s="8090" t="s">
        <v>420</v>
      </c>
      <c r="G329" s="8514"/>
      <c r="H329" s="8528"/>
      <c r="I329" s="9478" t="s">
        <v>135</v>
      </c>
      <c r="J329" s="9479"/>
      <c r="K329" s="8090" t="s">
        <v>420</v>
      </c>
      <c r="L329" s="8260" t="s">
        <v>168</v>
      </c>
      <c r="M329" s="8144" t="s">
        <v>168</v>
      </c>
      <c r="N329" s="8145" t="s">
        <v>168</v>
      </c>
      <c r="O329" s="8954" t="s">
        <v>525</v>
      </c>
      <c r="P329" s="7932"/>
      <c r="Q329" s="7932"/>
      <c r="R329" s="8509"/>
    </row>
    <row r="330" spans="1:18" ht="20.100000000000001" hidden="1" customHeight="1">
      <c r="A330" s="7872"/>
      <c r="B330" s="8510"/>
      <c r="C330" s="8016" t="s">
        <v>137</v>
      </c>
      <c r="D330" s="8254"/>
      <c r="E330" s="8017"/>
      <c r="F330" s="8090" t="s">
        <v>420</v>
      </c>
      <c r="G330" s="8514"/>
      <c r="H330" s="8528"/>
      <c r="I330" s="9478" t="s">
        <v>138</v>
      </c>
      <c r="J330" s="9479"/>
      <c r="K330" s="8090" t="s">
        <v>420</v>
      </c>
      <c r="L330" s="8260" t="s">
        <v>168</v>
      </c>
      <c r="M330" s="8144" t="s">
        <v>168</v>
      </c>
      <c r="N330" s="8145" t="s">
        <v>168</v>
      </c>
      <c r="O330" s="8954" t="s">
        <v>525</v>
      </c>
      <c r="P330" s="7932"/>
      <c r="Q330" s="7932"/>
      <c r="R330" s="8509"/>
    </row>
    <row r="331" spans="1:18" ht="20.100000000000001" hidden="1" customHeight="1">
      <c r="A331" s="7872"/>
      <c r="B331" s="8510"/>
      <c r="C331" s="8016" t="s">
        <v>140</v>
      </c>
      <c r="D331" s="8254"/>
      <c r="E331" s="8017"/>
      <c r="F331" s="8090" t="s">
        <v>420</v>
      </c>
      <c r="G331" s="8514"/>
      <c r="H331" s="8528"/>
      <c r="I331" s="9497" t="s">
        <v>141</v>
      </c>
      <c r="J331" s="9498"/>
      <c r="K331" s="8090" t="s">
        <v>420</v>
      </c>
      <c r="L331" s="8260" t="s">
        <v>168</v>
      </c>
      <c r="M331" s="8144" t="s">
        <v>168</v>
      </c>
      <c r="N331" s="8145" t="s">
        <v>168</v>
      </c>
      <c r="O331" s="8954" t="s">
        <v>525</v>
      </c>
      <c r="P331" s="7932"/>
      <c r="Q331" s="7932"/>
      <c r="R331" s="8509"/>
    </row>
    <row r="332" spans="1:18" ht="20.100000000000001" hidden="1" customHeight="1">
      <c r="A332" s="7872"/>
      <c r="B332" s="8510"/>
      <c r="C332" s="8016" t="s">
        <v>143</v>
      </c>
      <c r="D332" s="8254"/>
      <c r="E332" s="8017"/>
      <c r="F332" s="8090" t="s">
        <v>420</v>
      </c>
      <c r="G332" s="8514"/>
      <c r="H332" s="8528"/>
      <c r="I332" s="9497" t="s">
        <v>144</v>
      </c>
      <c r="J332" s="9498"/>
      <c r="K332" s="8090" t="s">
        <v>420</v>
      </c>
      <c r="L332" s="8260" t="s">
        <v>168</v>
      </c>
      <c r="M332" s="8144" t="s">
        <v>168</v>
      </c>
      <c r="N332" s="8145" t="s">
        <v>168</v>
      </c>
      <c r="O332" s="8954" t="s">
        <v>525</v>
      </c>
      <c r="P332" s="7932"/>
      <c r="Q332" s="7932"/>
      <c r="R332" s="8509"/>
    </row>
    <row r="333" spans="1:18" ht="20.100000000000001" hidden="1" customHeight="1">
      <c r="A333" s="7872"/>
      <c r="B333" s="8510"/>
      <c r="C333" s="8016" t="s">
        <v>146</v>
      </c>
      <c r="D333" s="8254"/>
      <c r="E333" s="8017"/>
      <c r="F333" s="8090" t="s">
        <v>420</v>
      </c>
      <c r="G333" s="8514"/>
      <c r="H333" s="8528"/>
      <c r="I333" s="9497" t="s">
        <v>147</v>
      </c>
      <c r="J333" s="9498"/>
      <c r="K333" s="8090" t="s">
        <v>420</v>
      </c>
      <c r="L333" s="8260" t="s">
        <v>168</v>
      </c>
      <c r="M333" s="8144" t="s">
        <v>168</v>
      </c>
      <c r="N333" s="8145" t="s">
        <v>168</v>
      </c>
      <c r="O333" s="8954" t="s">
        <v>525</v>
      </c>
      <c r="P333" s="7932"/>
      <c r="Q333" s="7932"/>
      <c r="R333" s="8509"/>
    </row>
    <row r="334" spans="1:18" ht="20.100000000000001" hidden="1" customHeight="1">
      <c r="A334" s="7872"/>
      <c r="B334" s="8510"/>
      <c r="C334" s="8016" t="s">
        <v>149</v>
      </c>
      <c r="D334" s="8254"/>
      <c r="E334" s="8017"/>
      <c r="F334" s="8090" t="s">
        <v>420</v>
      </c>
      <c r="G334" s="8514"/>
      <c r="H334" s="8528"/>
      <c r="I334" s="9497" t="s">
        <v>150</v>
      </c>
      <c r="J334" s="9498"/>
      <c r="K334" s="8090" t="s">
        <v>420</v>
      </c>
      <c r="L334" s="8260" t="s">
        <v>168</v>
      </c>
      <c r="M334" s="8144" t="s">
        <v>168</v>
      </c>
      <c r="N334" s="8145" t="s">
        <v>168</v>
      </c>
      <c r="O334" s="8954" t="s">
        <v>525</v>
      </c>
      <c r="P334" s="7932"/>
      <c r="Q334" s="7932"/>
      <c r="R334" s="8509"/>
    </row>
    <row r="335" spans="1:18" ht="20.100000000000001" hidden="1" customHeight="1">
      <c r="A335" s="7872"/>
      <c r="B335" s="8510"/>
      <c r="C335" s="8524" t="s">
        <v>541</v>
      </c>
      <c r="D335" s="8585"/>
      <c r="E335" s="8525"/>
      <c r="F335" s="8089" t="s">
        <v>420</v>
      </c>
      <c r="G335" s="8513"/>
      <c r="H335" s="8533"/>
      <c r="I335" s="9563" t="s">
        <v>542</v>
      </c>
      <c r="J335" s="9564"/>
      <c r="K335" s="8089" t="s">
        <v>420</v>
      </c>
      <c r="L335" s="8042" t="s">
        <v>168</v>
      </c>
      <c r="M335" s="8036" t="s">
        <v>168</v>
      </c>
      <c r="N335" s="8043" t="s">
        <v>168</v>
      </c>
      <c r="O335" s="8967"/>
      <c r="P335" s="7932" t="s">
        <v>524</v>
      </c>
      <c r="Q335" s="7955"/>
      <c r="R335" s="8509"/>
    </row>
    <row r="336" spans="1:18" ht="20.100000000000001" hidden="1" customHeight="1">
      <c r="A336" s="7872"/>
      <c r="B336" s="8510"/>
      <c r="C336" s="8016" t="s">
        <v>134</v>
      </c>
      <c r="D336" s="8254"/>
      <c r="E336" s="8017"/>
      <c r="F336" s="8090" t="s">
        <v>420</v>
      </c>
      <c r="G336" s="8514"/>
      <c r="H336" s="8528"/>
      <c r="I336" s="9478" t="s">
        <v>135</v>
      </c>
      <c r="J336" s="9479"/>
      <c r="K336" s="8090" t="s">
        <v>420</v>
      </c>
      <c r="L336" s="8260" t="s">
        <v>168</v>
      </c>
      <c r="M336" s="8144" t="s">
        <v>168</v>
      </c>
      <c r="N336" s="8145" t="s">
        <v>168</v>
      </c>
      <c r="O336" s="8954" t="s">
        <v>525</v>
      </c>
      <c r="P336" s="7932"/>
      <c r="Q336" s="7932"/>
      <c r="R336" s="8509"/>
    </row>
    <row r="337" spans="1:18" ht="20.100000000000001" hidden="1" customHeight="1">
      <c r="A337" s="7872"/>
      <c r="B337" s="8510"/>
      <c r="C337" s="8016" t="s">
        <v>137</v>
      </c>
      <c r="D337" s="8254"/>
      <c r="E337" s="8017"/>
      <c r="F337" s="8090" t="s">
        <v>420</v>
      </c>
      <c r="G337" s="8514"/>
      <c r="H337" s="8528"/>
      <c r="I337" s="9478" t="s">
        <v>138</v>
      </c>
      <c r="J337" s="9479"/>
      <c r="K337" s="8090" t="s">
        <v>420</v>
      </c>
      <c r="L337" s="8260" t="s">
        <v>168</v>
      </c>
      <c r="M337" s="8144" t="s">
        <v>168</v>
      </c>
      <c r="N337" s="8145" t="s">
        <v>168</v>
      </c>
      <c r="O337" s="8954" t="s">
        <v>525</v>
      </c>
      <c r="P337" s="7932"/>
      <c r="Q337" s="7932"/>
      <c r="R337" s="8509"/>
    </row>
    <row r="338" spans="1:18" ht="20.100000000000001" hidden="1" customHeight="1">
      <c r="A338" s="7872"/>
      <c r="B338" s="8510"/>
      <c r="C338" s="8016" t="s">
        <v>140</v>
      </c>
      <c r="D338" s="8254"/>
      <c r="E338" s="8017"/>
      <c r="F338" s="8090" t="s">
        <v>420</v>
      </c>
      <c r="G338" s="8514"/>
      <c r="H338" s="8528"/>
      <c r="I338" s="9497" t="s">
        <v>141</v>
      </c>
      <c r="J338" s="9498"/>
      <c r="K338" s="8090" t="s">
        <v>420</v>
      </c>
      <c r="L338" s="8260" t="s">
        <v>168</v>
      </c>
      <c r="M338" s="8144" t="s">
        <v>168</v>
      </c>
      <c r="N338" s="8145" t="s">
        <v>168</v>
      </c>
      <c r="O338" s="8954" t="s">
        <v>525</v>
      </c>
      <c r="P338" s="7932"/>
      <c r="Q338" s="7932"/>
      <c r="R338" s="8509"/>
    </row>
    <row r="339" spans="1:18" ht="20.100000000000001" hidden="1" customHeight="1">
      <c r="A339" s="7872"/>
      <c r="B339" s="8510"/>
      <c r="C339" s="8016" t="s">
        <v>143</v>
      </c>
      <c r="D339" s="8254"/>
      <c r="E339" s="8017"/>
      <c r="F339" s="8090" t="s">
        <v>420</v>
      </c>
      <c r="G339" s="8514"/>
      <c r="H339" s="8528"/>
      <c r="I339" s="9497" t="s">
        <v>144</v>
      </c>
      <c r="J339" s="9498"/>
      <c r="K339" s="8090" t="s">
        <v>420</v>
      </c>
      <c r="L339" s="8260" t="s">
        <v>168</v>
      </c>
      <c r="M339" s="8144" t="s">
        <v>168</v>
      </c>
      <c r="N339" s="8145" t="s">
        <v>168</v>
      </c>
      <c r="O339" s="8954" t="s">
        <v>525</v>
      </c>
      <c r="P339" s="7932"/>
      <c r="Q339" s="7932"/>
      <c r="R339" s="8509"/>
    </row>
    <row r="340" spans="1:18" ht="20.100000000000001" hidden="1" customHeight="1">
      <c r="A340" s="7872"/>
      <c r="B340" s="8510"/>
      <c r="C340" s="8016" t="s">
        <v>146</v>
      </c>
      <c r="D340" s="8254"/>
      <c r="E340" s="8017"/>
      <c r="F340" s="8090" t="s">
        <v>420</v>
      </c>
      <c r="G340" s="8514"/>
      <c r="H340" s="8528"/>
      <c r="I340" s="9497" t="s">
        <v>147</v>
      </c>
      <c r="J340" s="9498"/>
      <c r="K340" s="8090" t="s">
        <v>420</v>
      </c>
      <c r="L340" s="8260" t="s">
        <v>168</v>
      </c>
      <c r="M340" s="8144" t="s">
        <v>168</v>
      </c>
      <c r="N340" s="8145" t="s">
        <v>168</v>
      </c>
      <c r="O340" s="8954" t="s">
        <v>525</v>
      </c>
      <c r="P340" s="7932"/>
      <c r="Q340" s="7932"/>
      <c r="R340" s="8509"/>
    </row>
    <row r="341" spans="1:18" ht="20.100000000000001" hidden="1" customHeight="1" thickBot="1">
      <c r="A341" s="7872"/>
      <c r="B341" s="8510"/>
      <c r="C341" s="8016" t="s">
        <v>149</v>
      </c>
      <c r="D341" s="8254"/>
      <c r="E341" s="8724"/>
      <c r="F341" s="8090" t="s">
        <v>420</v>
      </c>
      <c r="G341" s="8565"/>
      <c r="H341" s="8566"/>
      <c r="I341" s="9497" t="s">
        <v>150</v>
      </c>
      <c r="J341" s="9498"/>
      <c r="K341" s="8090" t="s">
        <v>420</v>
      </c>
      <c r="L341" s="8112" t="s">
        <v>168</v>
      </c>
      <c r="M341" s="8018" t="s">
        <v>168</v>
      </c>
      <c r="N341" s="8297" t="s">
        <v>168</v>
      </c>
      <c r="O341" s="8954" t="s">
        <v>525</v>
      </c>
      <c r="P341" s="7932"/>
      <c r="Q341" s="7932"/>
      <c r="R341" s="8509"/>
    </row>
    <row r="342" spans="1:18" ht="21.75" thickBot="1">
      <c r="A342" s="7872"/>
      <c r="B342" s="8073" t="s">
        <v>543</v>
      </c>
      <c r="C342" s="8074"/>
      <c r="D342" s="8074"/>
      <c r="E342" s="8074"/>
      <c r="F342" s="8074"/>
      <c r="G342" s="8074"/>
      <c r="H342" s="8074"/>
      <c r="I342" s="8074"/>
      <c r="J342" s="8074"/>
      <c r="K342" s="8074"/>
      <c r="L342" s="8288"/>
      <c r="M342" s="8289"/>
      <c r="N342" s="8290"/>
      <c r="O342" s="8959"/>
      <c r="P342" s="8080"/>
      <c r="Q342" s="8080"/>
      <c r="R342" s="8496"/>
    </row>
    <row r="343" spans="1:18" ht="20.100000000000001" customHeight="1">
      <c r="A343" s="7872"/>
      <c r="B343" s="8497"/>
      <c r="C343" s="9565" t="s">
        <v>544</v>
      </c>
      <c r="D343" s="9519"/>
      <c r="E343" s="9566"/>
      <c r="F343" s="8089" t="s">
        <v>33</v>
      </c>
      <c r="G343" s="8725"/>
      <c r="H343" s="9567" t="s">
        <v>545</v>
      </c>
      <c r="I343" s="9519"/>
      <c r="J343" s="9566"/>
      <c r="K343" s="8089" t="s">
        <v>35</v>
      </c>
      <c r="L343" s="8042">
        <f>SUM(L344:L349)</f>
        <v>0</v>
      </c>
      <c r="M343" s="8036">
        <f>SUM(M344:M349)</f>
        <v>0</v>
      </c>
      <c r="N343" s="8043">
        <f>SUM(N344:N349)</f>
        <v>0</v>
      </c>
      <c r="O343" s="8972"/>
      <c r="P343" s="8015" t="s">
        <v>548</v>
      </c>
      <c r="Q343" s="7992"/>
      <c r="R343" s="8500" t="s">
        <v>549</v>
      </c>
    </row>
    <row r="344" spans="1:18" ht="20.100000000000001" customHeight="1">
      <c r="A344" s="7872"/>
      <c r="B344" s="8501"/>
      <c r="C344" s="9520" t="s">
        <v>134</v>
      </c>
      <c r="D344" s="9558"/>
      <c r="E344" s="9559"/>
      <c r="F344" s="8090" t="s">
        <v>33</v>
      </c>
      <c r="G344" s="8505"/>
      <c r="H344" s="9478" t="s">
        <v>135</v>
      </c>
      <c r="I344" s="9505"/>
      <c r="J344" s="9479"/>
      <c r="K344" s="8084" t="s">
        <v>35</v>
      </c>
      <c r="L344" s="8242">
        <v>0</v>
      </c>
      <c r="M344" s="8265">
        <v>0</v>
      </c>
      <c r="N344" s="8266">
        <v>0</v>
      </c>
      <c r="O344" s="8954"/>
      <c r="P344" s="8088"/>
      <c r="Q344" s="7932"/>
      <c r="R344" s="8509"/>
    </row>
    <row r="345" spans="1:18" ht="20.100000000000001" customHeight="1">
      <c r="A345" s="7872"/>
      <c r="B345" s="8501"/>
      <c r="C345" s="9520" t="s">
        <v>137</v>
      </c>
      <c r="D345" s="9558"/>
      <c r="E345" s="9559"/>
      <c r="F345" s="8090" t="s">
        <v>33</v>
      </c>
      <c r="G345" s="8505"/>
      <c r="H345" s="9478" t="s">
        <v>138</v>
      </c>
      <c r="I345" s="9505"/>
      <c r="J345" s="9479"/>
      <c r="K345" s="8084" t="s">
        <v>35</v>
      </c>
      <c r="L345" s="8242">
        <v>0</v>
      </c>
      <c r="M345" s="8265">
        <v>0</v>
      </c>
      <c r="N345" s="8266">
        <v>0</v>
      </c>
      <c r="O345" s="8954"/>
      <c r="P345" s="8088"/>
      <c r="Q345" s="7932"/>
      <c r="R345" s="8509"/>
    </row>
    <row r="346" spans="1:18" ht="20.100000000000001" hidden="1" customHeight="1">
      <c r="A346" s="7872"/>
      <c r="B346" s="8501"/>
      <c r="C346" s="9520" t="s">
        <v>140</v>
      </c>
      <c r="D346" s="9558"/>
      <c r="E346" s="9559"/>
      <c r="F346" s="8090" t="s">
        <v>33</v>
      </c>
      <c r="G346" s="8505"/>
      <c r="H346" s="9478" t="s">
        <v>141</v>
      </c>
      <c r="I346" s="9505"/>
      <c r="J346" s="9479"/>
      <c r="K346" s="8084" t="s">
        <v>35</v>
      </c>
      <c r="L346" s="8260" t="s">
        <v>168</v>
      </c>
      <c r="M346" s="8144" t="s">
        <v>168</v>
      </c>
      <c r="N346" s="8145" t="s">
        <v>168</v>
      </c>
      <c r="O346" s="8954" t="s">
        <v>3584</v>
      </c>
      <c r="P346" s="8088"/>
      <c r="Q346" s="7932"/>
      <c r="R346" s="8509"/>
    </row>
    <row r="347" spans="1:18" ht="20.100000000000001" hidden="1" customHeight="1">
      <c r="A347" s="7872"/>
      <c r="B347" s="8501"/>
      <c r="C347" s="9520" t="s">
        <v>143</v>
      </c>
      <c r="D347" s="9558"/>
      <c r="E347" s="9559"/>
      <c r="F347" s="8090" t="s">
        <v>33</v>
      </c>
      <c r="G347" s="8505"/>
      <c r="H347" s="9478" t="s">
        <v>144</v>
      </c>
      <c r="I347" s="9505"/>
      <c r="J347" s="9479"/>
      <c r="K347" s="8084" t="s">
        <v>35</v>
      </c>
      <c r="L347" s="8260" t="s">
        <v>168</v>
      </c>
      <c r="M347" s="8144" t="s">
        <v>168</v>
      </c>
      <c r="N347" s="8145" t="s">
        <v>168</v>
      </c>
      <c r="O347" s="8954" t="s">
        <v>3584</v>
      </c>
      <c r="P347" s="8088"/>
      <c r="Q347" s="7932"/>
      <c r="R347" s="8509"/>
    </row>
    <row r="348" spans="1:18" ht="20.100000000000001" hidden="1" customHeight="1">
      <c r="A348" s="7872"/>
      <c r="B348" s="8501"/>
      <c r="C348" s="9520" t="s">
        <v>146</v>
      </c>
      <c r="D348" s="9558"/>
      <c r="E348" s="9559"/>
      <c r="F348" s="8090" t="s">
        <v>33</v>
      </c>
      <c r="G348" s="8505"/>
      <c r="H348" s="9478" t="s">
        <v>147</v>
      </c>
      <c r="I348" s="9505"/>
      <c r="J348" s="9479"/>
      <c r="K348" s="8084" t="s">
        <v>35</v>
      </c>
      <c r="L348" s="8260" t="s">
        <v>168</v>
      </c>
      <c r="M348" s="8144" t="s">
        <v>168</v>
      </c>
      <c r="N348" s="8145" t="s">
        <v>168</v>
      </c>
      <c r="O348" s="8954" t="s">
        <v>3584</v>
      </c>
      <c r="P348" s="8088"/>
      <c r="Q348" s="7932"/>
      <c r="R348" s="8509"/>
    </row>
    <row r="349" spans="1:18" ht="20.100000000000001" hidden="1" customHeight="1">
      <c r="A349" s="7872"/>
      <c r="B349" s="8501"/>
      <c r="C349" s="9520" t="s">
        <v>149</v>
      </c>
      <c r="D349" s="9558"/>
      <c r="E349" s="9559"/>
      <c r="F349" s="8090" t="s">
        <v>33</v>
      </c>
      <c r="G349" s="8505"/>
      <c r="H349" s="9478" t="s">
        <v>150</v>
      </c>
      <c r="I349" s="9505"/>
      <c r="J349" s="9479"/>
      <c r="K349" s="8084" t="s">
        <v>35</v>
      </c>
      <c r="L349" s="8260" t="s">
        <v>168</v>
      </c>
      <c r="M349" s="8144" t="s">
        <v>168</v>
      </c>
      <c r="N349" s="8145" t="s">
        <v>168</v>
      </c>
      <c r="O349" s="8954" t="s">
        <v>3584</v>
      </c>
      <c r="P349" s="8088"/>
      <c r="Q349" s="7932"/>
      <c r="R349" s="8509"/>
    </row>
    <row r="350" spans="1:18" ht="20.100000000000001" customHeight="1">
      <c r="A350" s="7872"/>
      <c r="B350" s="8510"/>
      <c r="C350" s="9525" t="s">
        <v>550</v>
      </c>
      <c r="D350" s="9561"/>
      <c r="E350" s="9562"/>
      <c r="F350" s="8089" t="s">
        <v>33</v>
      </c>
      <c r="G350" s="8626"/>
      <c r="H350" s="9522" t="s">
        <v>551</v>
      </c>
      <c r="I350" s="9561"/>
      <c r="J350" s="9562"/>
      <c r="K350" s="8089" t="s">
        <v>35</v>
      </c>
      <c r="L350" s="8042">
        <f>SUM(L351:L356)</f>
        <v>97.029875194958805</v>
      </c>
      <c r="M350" s="8294">
        <f>SUM(M351:M356)</f>
        <v>297.38362311171784</v>
      </c>
      <c r="N350" s="8037">
        <f>SUM(N351:N356)</f>
        <v>307.59983577152082</v>
      </c>
      <c r="O350" s="8967"/>
      <c r="P350" s="8015" t="s">
        <v>555</v>
      </c>
      <c r="Q350" s="7992"/>
      <c r="R350" s="8500"/>
    </row>
    <row r="351" spans="1:18" ht="20.100000000000001" customHeight="1">
      <c r="A351" s="7872"/>
      <c r="B351" s="8501"/>
      <c r="C351" s="9520" t="s">
        <v>134</v>
      </c>
      <c r="D351" s="9558"/>
      <c r="E351" s="9559"/>
      <c r="F351" s="8090" t="s">
        <v>33</v>
      </c>
      <c r="G351" s="8505"/>
      <c r="H351" s="9478" t="s">
        <v>135</v>
      </c>
      <c r="I351" s="9505"/>
      <c r="J351" s="9479"/>
      <c r="K351" s="8084" t="s">
        <v>35</v>
      </c>
      <c r="L351" s="8178">
        <v>74</v>
      </c>
      <c r="M351" s="8144">
        <v>276</v>
      </c>
      <c r="N351" s="8145">
        <v>272</v>
      </c>
      <c r="O351" s="8954" t="s">
        <v>3687</v>
      </c>
      <c r="P351" s="8088"/>
      <c r="Q351" s="7932"/>
      <c r="R351" s="8509"/>
    </row>
    <row r="352" spans="1:18" ht="20.100000000000001" hidden="1" customHeight="1">
      <c r="A352" s="7872"/>
      <c r="B352" s="8501"/>
      <c r="C352" s="9520" t="s">
        <v>137</v>
      </c>
      <c r="D352" s="9558"/>
      <c r="E352" s="9559"/>
      <c r="F352" s="8090" t="s">
        <v>33</v>
      </c>
      <c r="G352" s="8505"/>
      <c r="H352" s="9478" t="s">
        <v>138</v>
      </c>
      <c r="I352" s="9505"/>
      <c r="J352" s="9479"/>
      <c r="K352" s="8084" t="s">
        <v>35</v>
      </c>
      <c r="L352" s="8260" t="s">
        <v>168</v>
      </c>
      <c r="M352" s="8144" t="s">
        <v>168</v>
      </c>
      <c r="N352" s="8145" t="s">
        <v>168</v>
      </c>
      <c r="O352" s="8954"/>
      <c r="P352" s="8088"/>
      <c r="Q352" s="7932"/>
      <c r="R352" s="8509"/>
    </row>
    <row r="353" spans="1:18" ht="20.100000000000001" customHeight="1">
      <c r="A353" s="7872"/>
      <c r="B353" s="8501"/>
      <c r="C353" s="9520" t="s">
        <v>140</v>
      </c>
      <c r="D353" s="9558"/>
      <c r="E353" s="9559"/>
      <c r="F353" s="8090" t="s">
        <v>33</v>
      </c>
      <c r="G353" s="8505"/>
      <c r="H353" s="9478" t="s">
        <v>141</v>
      </c>
      <c r="I353" s="9505"/>
      <c r="J353" s="9479"/>
      <c r="K353" s="8084" t="s">
        <v>35</v>
      </c>
      <c r="L353" s="8178">
        <v>23.029875194958798</v>
      </c>
      <c r="M353" s="8144">
        <v>21.383623111717842</v>
      </c>
      <c r="N353" s="8145">
        <v>35.59983577152083</v>
      </c>
      <c r="O353" s="8954" t="s">
        <v>3726</v>
      </c>
      <c r="P353" s="8088"/>
      <c r="Q353" s="7932"/>
      <c r="R353" s="8509"/>
    </row>
    <row r="354" spans="1:18" ht="20.100000000000001" hidden="1" customHeight="1">
      <c r="A354" s="7872"/>
      <c r="B354" s="8501"/>
      <c r="C354" s="9520" t="s">
        <v>143</v>
      </c>
      <c r="D354" s="9558"/>
      <c r="E354" s="9559"/>
      <c r="F354" s="8090" t="s">
        <v>33</v>
      </c>
      <c r="G354" s="8505"/>
      <c r="H354" s="9478" t="s">
        <v>144</v>
      </c>
      <c r="I354" s="9505"/>
      <c r="J354" s="9479"/>
      <c r="K354" s="8084" t="s">
        <v>35</v>
      </c>
      <c r="L354" s="8260" t="s">
        <v>168</v>
      </c>
      <c r="M354" s="8144" t="s">
        <v>168</v>
      </c>
      <c r="N354" s="8145" t="s">
        <v>168</v>
      </c>
      <c r="O354" s="8954"/>
      <c r="P354" s="8088"/>
      <c r="Q354" s="7932"/>
      <c r="R354" s="8509"/>
    </row>
    <row r="355" spans="1:18" ht="20.100000000000001" hidden="1" customHeight="1">
      <c r="A355" s="7872"/>
      <c r="B355" s="8501"/>
      <c r="C355" s="9520" t="s">
        <v>146</v>
      </c>
      <c r="D355" s="9558"/>
      <c r="E355" s="9559"/>
      <c r="F355" s="8090" t="s">
        <v>33</v>
      </c>
      <c r="G355" s="8505"/>
      <c r="H355" s="9478" t="s">
        <v>147</v>
      </c>
      <c r="I355" s="9505"/>
      <c r="J355" s="9479"/>
      <c r="K355" s="8084" t="s">
        <v>35</v>
      </c>
      <c r="L355" s="8260" t="s">
        <v>168</v>
      </c>
      <c r="M355" s="8144" t="s">
        <v>168</v>
      </c>
      <c r="N355" s="8145" t="s">
        <v>168</v>
      </c>
      <c r="O355" s="8954"/>
      <c r="P355" s="8088"/>
      <c r="Q355" s="7932"/>
      <c r="R355" s="8509"/>
    </row>
    <row r="356" spans="1:18" ht="20.100000000000001" hidden="1" customHeight="1">
      <c r="A356" s="7872"/>
      <c r="B356" s="8501"/>
      <c r="C356" s="9520" t="s">
        <v>149</v>
      </c>
      <c r="D356" s="9558"/>
      <c r="E356" s="9559"/>
      <c r="F356" s="8090" t="s">
        <v>33</v>
      </c>
      <c r="G356" s="8505"/>
      <c r="H356" s="9478" t="s">
        <v>150</v>
      </c>
      <c r="I356" s="9505"/>
      <c r="J356" s="9479"/>
      <c r="K356" s="8084" t="s">
        <v>35</v>
      </c>
      <c r="L356" s="8260" t="s">
        <v>168</v>
      </c>
      <c r="M356" s="8144" t="s">
        <v>168</v>
      </c>
      <c r="N356" s="8145" t="s">
        <v>168</v>
      </c>
      <c r="O356" s="8954"/>
      <c r="P356" s="8088"/>
      <c r="Q356" s="7932"/>
      <c r="R356" s="8509"/>
    </row>
    <row r="357" spans="1:18" ht="20.100000000000001" customHeight="1">
      <c r="A357" s="7872"/>
      <c r="B357" s="8510"/>
      <c r="C357" s="9525" t="s">
        <v>556</v>
      </c>
      <c r="D357" s="9561"/>
      <c r="E357" s="9562"/>
      <c r="F357" s="8089" t="s">
        <v>1011</v>
      </c>
      <c r="G357" s="8526"/>
      <c r="H357" s="9568" t="s">
        <v>558</v>
      </c>
      <c r="I357" s="9569"/>
      <c r="J357" s="9570"/>
      <c r="K357" s="8089" t="s">
        <v>3724</v>
      </c>
      <c r="L357" s="8012">
        <f>SUM(L358:L363)</f>
        <v>2</v>
      </c>
      <c r="M357" s="8291">
        <f>SUM(M358:M363)</f>
        <v>2</v>
      </c>
      <c r="N357" s="8114">
        <f>SUM(N358:N363)</f>
        <v>126</v>
      </c>
      <c r="O357" s="8967" t="s">
        <v>3540</v>
      </c>
      <c r="P357" s="8015" t="s">
        <v>561</v>
      </c>
      <c r="Q357" s="7992"/>
      <c r="R357" s="8500"/>
    </row>
    <row r="358" spans="1:18" ht="20.100000000000001" customHeight="1">
      <c r="A358" s="7872"/>
      <c r="B358" s="8501"/>
      <c r="C358" s="9520" t="s">
        <v>134</v>
      </c>
      <c r="D358" s="9558"/>
      <c r="E358" s="9559"/>
      <c r="F358" s="8090" t="s">
        <v>1011</v>
      </c>
      <c r="G358" s="8505"/>
      <c r="H358" s="9478" t="s">
        <v>135</v>
      </c>
      <c r="I358" s="9505"/>
      <c r="J358" s="9479"/>
      <c r="K358" s="8090" t="s">
        <v>3724</v>
      </c>
      <c r="L358" s="8158" t="s">
        <v>168</v>
      </c>
      <c r="M358" s="8159" t="s">
        <v>168</v>
      </c>
      <c r="N358" s="8116">
        <v>124</v>
      </c>
      <c r="O358" s="8954" t="s">
        <v>3585</v>
      </c>
      <c r="P358" s="8088"/>
      <c r="Q358" s="7932"/>
      <c r="R358" s="8509"/>
    </row>
    <row r="359" spans="1:18" ht="20.100000000000001" customHeight="1">
      <c r="A359" s="7872"/>
      <c r="B359" s="8501"/>
      <c r="C359" s="9520" t="s">
        <v>137</v>
      </c>
      <c r="D359" s="9558"/>
      <c r="E359" s="9559"/>
      <c r="F359" s="8090" t="s">
        <v>1011</v>
      </c>
      <c r="G359" s="8505"/>
      <c r="H359" s="9478" t="s">
        <v>138</v>
      </c>
      <c r="I359" s="9505"/>
      <c r="J359" s="9479"/>
      <c r="K359" s="8090" t="s">
        <v>3724</v>
      </c>
      <c r="L359" s="8158">
        <v>2</v>
      </c>
      <c r="M359" s="8159">
        <v>2</v>
      </c>
      <c r="N359" s="8116">
        <v>2</v>
      </c>
      <c r="O359" s="8954" t="s">
        <v>3587</v>
      </c>
      <c r="P359" s="8088"/>
      <c r="Q359" s="7932"/>
      <c r="R359" s="8509"/>
    </row>
    <row r="360" spans="1:18" ht="20.100000000000001" hidden="1" customHeight="1">
      <c r="A360" s="7872"/>
      <c r="B360" s="8501"/>
      <c r="C360" s="9520" t="s">
        <v>140</v>
      </c>
      <c r="D360" s="9558"/>
      <c r="E360" s="9559"/>
      <c r="F360" s="8090" t="s">
        <v>1011</v>
      </c>
      <c r="G360" s="8505"/>
      <c r="H360" s="9478" t="s">
        <v>141</v>
      </c>
      <c r="I360" s="9505"/>
      <c r="J360" s="9479"/>
      <c r="K360" s="8090" t="s">
        <v>3724</v>
      </c>
      <c r="L360" s="8298" t="s">
        <v>168</v>
      </c>
      <c r="M360" s="8159" t="s">
        <v>168</v>
      </c>
      <c r="N360" s="8116" t="s">
        <v>168</v>
      </c>
      <c r="O360" s="8954"/>
      <c r="P360" s="8088"/>
      <c r="Q360" s="7932"/>
      <c r="R360" s="8509"/>
    </row>
    <row r="361" spans="1:18" ht="20.100000000000001" hidden="1" customHeight="1">
      <c r="A361" s="7872"/>
      <c r="B361" s="8501"/>
      <c r="C361" s="9520" t="s">
        <v>143</v>
      </c>
      <c r="D361" s="9558"/>
      <c r="E361" s="9559"/>
      <c r="F361" s="8090" t="s">
        <v>1011</v>
      </c>
      <c r="G361" s="8505"/>
      <c r="H361" s="9478" t="s">
        <v>144</v>
      </c>
      <c r="I361" s="9505"/>
      <c r="J361" s="9479"/>
      <c r="K361" s="8090" t="s">
        <v>3724</v>
      </c>
      <c r="L361" s="8298" t="s">
        <v>168</v>
      </c>
      <c r="M361" s="8159" t="s">
        <v>168</v>
      </c>
      <c r="N361" s="8116" t="s">
        <v>168</v>
      </c>
      <c r="O361" s="8954"/>
      <c r="P361" s="8088"/>
      <c r="Q361" s="7932"/>
      <c r="R361" s="8509"/>
    </row>
    <row r="362" spans="1:18" ht="20.100000000000001" hidden="1" customHeight="1">
      <c r="A362" s="7872"/>
      <c r="B362" s="8501"/>
      <c r="C362" s="9520" t="s">
        <v>146</v>
      </c>
      <c r="D362" s="9558"/>
      <c r="E362" s="9559"/>
      <c r="F362" s="8090" t="s">
        <v>1011</v>
      </c>
      <c r="G362" s="8505"/>
      <c r="H362" s="9478" t="s">
        <v>147</v>
      </c>
      <c r="I362" s="9505"/>
      <c r="J362" s="9479"/>
      <c r="K362" s="8090" t="s">
        <v>3724</v>
      </c>
      <c r="L362" s="8298" t="s">
        <v>168</v>
      </c>
      <c r="M362" s="8159" t="s">
        <v>168</v>
      </c>
      <c r="N362" s="8116" t="s">
        <v>168</v>
      </c>
      <c r="O362" s="8954"/>
      <c r="P362" s="8088"/>
      <c r="Q362" s="7932"/>
      <c r="R362" s="8509"/>
    </row>
    <row r="363" spans="1:18" ht="20.100000000000001" hidden="1" customHeight="1">
      <c r="A363" s="7872"/>
      <c r="B363" s="8501"/>
      <c r="C363" s="9520" t="s">
        <v>149</v>
      </c>
      <c r="D363" s="9558"/>
      <c r="E363" s="9559"/>
      <c r="F363" s="8090" t="s">
        <v>1011</v>
      </c>
      <c r="G363" s="8505"/>
      <c r="H363" s="9478" t="s">
        <v>150</v>
      </c>
      <c r="I363" s="9505"/>
      <c r="J363" s="9479"/>
      <c r="K363" s="8090" t="s">
        <v>3724</v>
      </c>
      <c r="L363" s="8298" t="s">
        <v>168</v>
      </c>
      <c r="M363" s="8159" t="s">
        <v>168</v>
      </c>
      <c r="N363" s="8116" t="s">
        <v>168</v>
      </c>
      <c r="P363" s="8088"/>
      <c r="Q363" s="7932"/>
      <c r="R363" s="8509"/>
    </row>
    <row r="364" spans="1:18" ht="20.100000000000001" customHeight="1">
      <c r="A364" s="7872"/>
      <c r="B364" s="8510"/>
      <c r="C364" s="9525" t="s">
        <v>563</v>
      </c>
      <c r="D364" s="9561"/>
      <c r="E364" s="9562"/>
      <c r="F364" s="8089" t="s">
        <v>557</v>
      </c>
      <c r="G364" s="8526"/>
      <c r="H364" s="9522" t="s">
        <v>564</v>
      </c>
      <c r="I364" s="9561"/>
      <c r="J364" s="9562"/>
      <c r="K364" s="8089" t="s">
        <v>559</v>
      </c>
      <c r="L364" s="8012">
        <f>SUM(L365:L370)</f>
        <v>0</v>
      </c>
      <c r="M364" s="8291">
        <f>SUM(M365:M370)</f>
        <v>0</v>
      </c>
      <c r="N364" s="8114">
        <f>SUM(N365:N370)</f>
        <v>0</v>
      </c>
      <c r="O364" s="8967"/>
      <c r="P364" s="8015" t="s">
        <v>568</v>
      </c>
      <c r="Q364" s="7992"/>
      <c r="R364" s="8500" t="s">
        <v>569</v>
      </c>
    </row>
    <row r="365" spans="1:18" ht="20.100000000000001" customHeight="1">
      <c r="A365" s="7872"/>
      <c r="B365" s="8501"/>
      <c r="C365" s="9520" t="s">
        <v>134</v>
      </c>
      <c r="D365" s="9558"/>
      <c r="E365" s="9559"/>
      <c r="F365" s="8090" t="s">
        <v>557</v>
      </c>
      <c r="G365" s="8505"/>
      <c r="H365" s="9478" t="s">
        <v>135</v>
      </c>
      <c r="I365" s="9505"/>
      <c r="J365" s="9479"/>
      <c r="K365" s="8090" t="s">
        <v>559</v>
      </c>
      <c r="L365" s="8158">
        <v>0</v>
      </c>
      <c r="M365" s="8159">
        <v>0</v>
      </c>
      <c r="N365" s="8116">
        <v>0</v>
      </c>
      <c r="O365" s="8954"/>
      <c r="P365" s="8088"/>
      <c r="Q365" s="7932"/>
      <c r="R365" s="8509"/>
    </row>
    <row r="366" spans="1:18" ht="20.100000000000001" customHeight="1">
      <c r="A366" s="7872"/>
      <c r="B366" s="8501"/>
      <c r="C366" s="9520" t="s">
        <v>137</v>
      </c>
      <c r="D366" s="9558"/>
      <c r="E366" s="9559"/>
      <c r="F366" s="8090" t="s">
        <v>557</v>
      </c>
      <c r="G366" s="8505"/>
      <c r="H366" s="9478" t="s">
        <v>138</v>
      </c>
      <c r="I366" s="9505"/>
      <c r="J366" s="9479"/>
      <c r="K366" s="8090" t="s">
        <v>559</v>
      </c>
      <c r="L366" s="8158">
        <v>0</v>
      </c>
      <c r="M366" s="8159">
        <v>0</v>
      </c>
      <c r="N366" s="8116">
        <v>0</v>
      </c>
      <c r="O366" s="8954"/>
      <c r="P366" s="8088"/>
      <c r="Q366" s="7932"/>
      <c r="R366" s="8509"/>
    </row>
    <row r="367" spans="1:18" ht="20.100000000000001" customHeight="1">
      <c r="A367" s="7872"/>
      <c r="B367" s="8501"/>
      <c r="C367" s="9520" t="s">
        <v>140</v>
      </c>
      <c r="D367" s="9558"/>
      <c r="E367" s="9559"/>
      <c r="F367" s="8090" t="s">
        <v>557</v>
      </c>
      <c r="G367" s="8505"/>
      <c r="H367" s="9478" t="s">
        <v>141</v>
      </c>
      <c r="I367" s="9505"/>
      <c r="J367" s="9479"/>
      <c r="K367" s="8090" t="s">
        <v>559</v>
      </c>
      <c r="L367" s="8158">
        <v>0</v>
      </c>
      <c r="M367" s="8159">
        <v>0</v>
      </c>
      <c r="N367" s="8116">
        <v>0</v>
      </c>
      <c r="O367" s="8954"/>
      <c r="P367" s="8088"/>
      <c r="Q367" s="7932"/>
      <c r="R367" s="8509"/>
    </row>
    <row r="368" spans="1:18" ht="20.100000000000001" hidden="1" customHeight="1">
      <c r="A368" s="7872"/>
      <c r="B368" s="8501"/>
      <c r="C368" s="9520" t="s">
        <v>143</v>
      </c>
      <c r="D368" s="9558"/>
      <c r="E368" s="9559"/>
      <c r="F368" s="8090" t="s">
        <v>557</v>
      </c>
      <c r="G368" s="8505"/>
      <c r="H368" s="9478" t="s">
        <v>144</v>
      </c>
      <c r="I368" s="9505"/>
      <c r="J368" s="9479"/>
      <c r="K368" s="8090" t="s">
        <v>559</v>
      </c>
      <c r="L368" s="8298" t="s">
        <v>168</v>
      </c>
      <c r="M368" s="8159" t="s">
        <v>168</v>
      </c>
      <c r="N368" s="8116" t="s">
        <v>168</v>
      </c>
      <c r="O368" s="8954"/>
      <c r="P368" s="8088"/>
      <c r="Q368" s="7932"/>
      <c r="R368" s="8509"/>
    </row>
    <row r="369" spans="1:49" ht="20.100000000000001" hidden="1" customHeight="1">
      <c r="A369" s="7872"/>
      <c r="B369" s="8501"/>
      <c r="C369" s="9520" t="s">
        <v>146</v>
      </c>
      <c r="D369" s="9558"/>
      <c r="E369" s="9559"/>
      <c r="F369" s="8090" t="s">
        <v>557</v>
      </c>
      <c r="G369" s="8505"/>
      <c r="H369" s="9478" t="s">
        <v>147</v>
      </c>
      <c r="I369" s="9505"/>
      <c r="J369" s="9479"/>
      <c r="K369" s="8090" t="s">
        <v>559</v>
      </c>
      <c r="L369" s="8298" t="s">
        <v>168</v>
      </c>
      <c r="M369" s="8159" t="s">
        <v>168</v>
      </c>
      <c r="N369" s="8116" t="s">
        <v>168</v>
      </c>
      <c r="O369" s="8954"/>
      <c r="P369" s="8088"/>
      <c r="Q369" s="7932"/>
      <c r="R369" s="8509"/>
    </row>
    <row r="370" spans="1:49" ht="20.100000000000001" customHeight="1">
      <c r="A370" s="7872"/>
      <c r="B370" s="8501"/>
      <c r="C370" s="9520" t="s">
        <v>149</v>
      </c>
      <c r="D370" s="9558"/>
      <c r="E370" s="9559"/>
      <c r="F370" s="8090" t="s">
        <v>557</v>
      </c>
      <c r="G370" s="8505"/>
      <c r="H370" s="9478" t="s">
        <v>150</v>
      </c>
      <c r="I370" s="9505"/>
      <c r="J370" s="9479"/>
      <c r="K370" s="8090" t="s">
        <v>559</v>
      </c>
      <c r="L370" s="8158">
        <v>0</v>
      </c>
      <c r="M370" s="8159">
        <v>0</v>
      </c>
      <c r="N370" s="8116">
        <v>0</v>
      </c>
      <c r="O370" s="8954"/>
      <c r="P370" s="8088"/>
      <c r="Q370" s="7932"/>
      <c r="R370" s="8509"/>
    </row>
    <row r="371" spans="1:49" ht="20.100000000000001" customHeight="1">
      <c r="A371" s="7872"/>
      <c r="B371" s="8510"/>
      <c r="C371" s="9525" t="s">
        <v>570</v>
      </c>
      <c r="D371" s="9561"/>
      <c r="E371" s="9562"/>
      <c r="F371" s="7957" t="s">
        <v>33</v>
      </c>
      <c r="G371" s="8526"/>
      <c r="H371" s="9522" t="s">
        <v>571</v>
      </c>
      <c r="I371" s="9561"/>
      <c r="J371" s="9562"/>
      <c r="K371" s="7957" t="s">
        <v>35</v>
      </c>
      <c r="L371" s="8042">
        <f>SUM(L372:L377)</f>
        <v>1035</v>
      </c>
      <c r="M371" s="8294">
        <f>SUM(M372:M377)</f>
        <v>121</v>
      </c>
      <c r="N371" s="8037">
        <f>SUM(N372:N377)</f>
        <v>91.5</v>
      </c>
      <c r="O371" s="8967"/>
      <c r="P371" s="8015" t="s">
        <v>575</v>
      </c>
      <c r="Q371" s="7992"/>
      <c r="R371" s="8500"/>
    </row>
    <row r="372" spans="1:49" ht="20.100000000000001" customHeight="1">
      <c r="A372" s="7872"/>
      <c r="B372" s="8501"/>
      <c r="C372" s="9520" t="s">
        <v>134</v>
      </c>
      <c r="D372" s="9558"/>
      <c r="E372" s="9559"/>
      <c r="F372" s="7953" t="s">
        <v>33</v>
      </c>
      <c r="G372" s="8505"/>
      <c r="H372" s="9478" t="s">
        <v>135</v>
      </c>
      <c r="I372" s="9505"/>
      <c r="J372" s="9479"/>
      <c r="K372" s="7953" t="s">
        <v>35</v>
      </c>
      <c r="L372" s="8178">
        <v>1035</v>
      </c>
      <c r="M372" s="8144">
        <v>121</v>
      </c>
      <c r="N372" s="8145">
        <v>91.5</v>
      </c>
      <c r="O372" s="8954" t="s">
        <v>3586</v>
      </c>
      <c r="P372" s="8088"/>
      <c r="Q372" s="7932"/>
      <c r="R372" s="8509"/>
    </row>
    <row r="373" spans="1:49" ht="20.100000000000001" hidden="1" customHeight="1">
      <c r="A373" s="7872"/>
      <c r="B373" s="8501"/>
      <c r="C373" s="9520" t="s">
        <v>137</v>
      </c>
      <c r="D373" s="9558"/>
      <c r="E373" s="9559"/>
      <c r="F373" s="7953" t="s">
        <v>33</v>
      </c>
      <c r="G373" s="8505"/>
      <c r="H373" s="9478" t="s">
        <v>138</v>
      </c>
      <c r="I373" s="9505"/>
      <c r="J373" s="9479"/>
      <c r="K373" s="7953" t="s">
        <v>35</v>
      </c>
      <c r="L373" s="8178"/>
      <c r="M373" s="8144"/>
      <c r="N373" s="8145"/>
      <c r="O373" s="8954"/>
      <c r="P373" s="8088"/>
      <c r="Q373" s="7932"/>
      <c r="R373" s="8509"/>
    </row>
    <row r="374" spans="1:49" ht="20.100000000000001" customHeight="1">
      <c r="A374" s="7872"/>
      <c r="B374" s="8501"/>
      <c r="C374" s="9520" t="s">
        <v>140</v>
      </c>
      <c r="D374" s="9558"/>
      <c r="E374" s="9559"/>
      <c r="F374" s="7953" t="s">
        <v>33</v>
      </c>
      <c r="G374" s="8505"/>
      <c r="H374" s="9478" t="s">
        <v>141</v>
      </c>
      <c r="I374" s="9505"/>
      <c r="J374" s="9479"/>
      <c r="K374" s="7953" t="s">
        <v>35</v>
      </c>
      <c r="L374" s="8178">
        <v>0</v>
      </c>
      <c r="M374" s="8144">
        <v>0</v>
      </c>
      <c r="N374" s="8145">
        <v>0</v>
      </c>
      <c r="O374" s="8954"/>
      <c r="P374" s="8088"/>
      <c r="Q374" s="7932"/>
      <c r="R374" s="8509"/>
    </row>
    <row r="375" spans="1:49" ht="20.100000000000001" hidden="1" customHeight="1">
      <c r="A375" s="7872"/>
      <c r="B375" s="8501"/>
      <c r="C375" s="9520" t="s">
        <v>143</v>
      </c>
      <c r="D375" s="9558"/>
      <c r="E375" s="9559"/>
      <c r="F375" s="7953" t="s">
        <v>33</v>
      </c>
      <c r="G375" s="8505"/>
      <c r="H375" s="9478" t="s">
        <v>144</v>
      </c>
      <c r="I375" s="9505"/>
      <c r="J375" s="9479"/>
      <c r="K375" s="7953" t="s">
        <v>35</v>
      </c>
      <c r="L375" s="8260" t="s">
        <v>168</v>
      </c>
      <c r="M375" s="8144" t="s">
        <v>168</v>
      </c>
      <c r="N375" s="8145" t="s">
        <v>168</v>
      </c>
      <c r="O375" s="8954"/>
      <c r="P375" s="8088"/>
      <c r="Q375" s="7932"/>
      <c r="R375" s="8509"/>
    </row>
    <row r="376" spans="1:49" ht="20.100000000000001" hidden="1" customHeight="1">
      <c r="A376" s="7872"/>
      <c r="B376" s="8501"/>
      <c r="C376" s="9520" t="s">
        <v>146</v>
      </c>
      <c r="D376" s="9558"/>
      <c r="E376" s="9559"/>
      <c r="F376" s="7953" t="s">
        <v>33</v>
      </c>
      <c r="G376" s="8505"/>
      <c r="H376" s="9478" t="s">
        <v>147</v>
      </c>
      <c r="I376" s="9505"/>
      <c r="J376" s="9479"/>
      <c r="K376" s="7953" t="s">
        <v>35</v>
      </c>
      <c r="L376" s="8260" t="s">
        <v>168</v>
      </c>
      <c r="M376" s="8144" t="s">
        <v>168</v>
      </c>
      <c r="N376" s="8145" t="s">
        <v>168</v>
      </c>
      <c r="O376" s="8954"/>
      <c r="P376" s="8088"/>
      <c r="Q376" s="7932"/>
      <c r="R376" s="8509"/>
    </row>
    <row r="377" spans="1:49" ht="20.100000000000001" customHeight="1" thickBot="1">
      <c r="A377" s="7872"/>
      <c r="B377" s="8726"/>
      <c r="C377" s="9573" t="s">
        <v>149</v>
      </c>
      <c r="D377" s="9574"/>
      <c r="E377" s="9575"/>
      <c r="F377" s="8045" t="s">
        <v>33</v>
      </c>
      <c r="G377" s="8727"/>
      <c r="H377" s="9576" t="s">
        <v>150</v>
      </c>
      <c r="I377" s="9577"/>
      <c r="J377" s="9578"/>
      <c r="K377" s="8045" t="s">
        <v>35</v>
      </c>
      <c r="L377" s="8299">
        <v>0</v>
      </c>
      <c r="M377" s="8300">
        <v>0</v>
      </c>
      <c r="N377" s="8301">
        <v>0</v>
      </c>
      <c r="O377" s="8983"/>
      <c r="P377" s="8950"/>
      <c r="Q377" s="8221"/>
      <c r="R377" s="8674"/>
    </row>
    <row r="378" spans="1:49" ht="15.75" thickTop="1">
      <c r="C378" s="8051"/>
      <c r="D378" s="8051"/>
      <c r="E378" s="8051"/>
      <c r="G378" s="8051"/>
      <c r="H378" s="8051"/>
      <c r="I378" s="8051"/>
      <c r="J378" s="8051"/>
      <c r="L378" s="8053"/>
      <c r="M378" s="8053"/>
      <c r="N378" s="8053"/>
    </row>
    <row r="379" spans="1:49">
      <c r="L379" s="8053"/>
      <c r="M379" s="8053"/>
      <c r="N379" s="8053"/>
    </row>
    <row r="380" spans="1:49" s="7906" customFormat="1">
      <c r="A380" s="7887"/>
      <c r="B380" s="7887"/>
      <c r="C380" s="7887"/>
      <c r="D380" s="7887"/>
      <c r="E380" s="7887"/>
      <c r="F380" s="7887"/>
      <c r="G380" s="7887"/>
      <c r="H380" s="7887"/>
      <c r="I380" s="7887"/>
      <c r="J380" s="7887"/>
      <c r="K380" s="7887"/>
      <c r="L380" s="8053"/>
      <c r="M380" s="8053"/>
      <c r="N380" s="8053"/>
      <c r="O380" s="7909"/>
      <c r="P380" s="8055"/>
      <c r="Q380" s="8055"/>
      <c r="R380" s="8055"/>
      <c r="S380" s="8057"/>
      <c r="T380" s="8057"/>
      <c r="U380" s="8057"/>
      <c r="V380" s="8057"/>
      <c r="W380" s="8057"/>
      <c r="X380" s="8057"/>
      <c r="Y380" s="8057"/>
      <c r="Z380" s="8057"/>
      <c r="AA380" s="8057"/>
      <c r="AB380" s="8057"/>
      <c r="AC380" s="8057"/>
      <c r="AD380" s="8057"/>
      <c r="AE380" s="8057"/>
      <c r="AF380" s="8057"/>
      <c r="AG380" s="8057"/>
      <c r="AH380" s="8057"/>
      <c r="AI380" s="8057"/>
      <c r="AJ380" s="8057"/>
      <c r="AK380" s="8057"/>
      <c r="AL380" s="8057"/>
      <c r="AM380" s="8057"/>
      <c r="AN380" s="8057"/>
      <c r="AO380" s="8057"/>
      <c r="AP380" s="8057"/>
      <c r="AQ380" s="8057"/>
      <c r="AR380" s="8057"/>
      <c r="AS380" s="8057"/>
      <c r="AT380" s="8057"/>
      <c r="AU380" s="8057"/>
      <c r="AV380" s="8057"/>
      <c r="AW380" s="8057"/>
    </row>
    <row r="381" spans="1:49" s="7906" customFormat="1">
      <c r="A381" s="7887"/>
      <c r="B381" s="7887"/>
      <c r="C381" s="7887"/>
      <c r="D381" s="7887"/>
      <c r="E381" s="7887"/>
      <c r="F381" s="7887"/>
      <c r="G381" s="7887"/>
      <c r="H381" s="7887"/>
      <c r="I381" s="7887"/>
      <c r="J381" s="7887"/>
      <c r="K381" s="7887"/>
      <c r="L381" s="8053"/>
      <c r="M381" s="8053"/>
      <c r="N381" s="8053"/>
      <c r="O381" s="7909"/>
      <c r="P381" s="8055"/>
      <c r="Q381" s="8055"/>
      <c r="R381" s="8055"/>
      <c r="S381" s="8057"/>
      <c r="T381" s="8057"/>
      <c r="U381" s="8057"/>
      <c r="V381" s="8057"/>
      <c r="W381" s="8057"/>
      <c r="X381" s="8057"/>
      <c r="Y381" s="8057"/>
      <c r="Z381" s="8057"/>
      <c r="AA381" s="8057"/>
      <c r="AB381" s="8057"/>
      <c r="AC381" s="8057"/>
      <c r="AD381" s="8057"/>
      <c r="AE381" s="8057"/>
      <c r="AF381" s="8057"/>
      <c r="AG381" s="8057"/>
      <c r="AH381" s="8057"/>
      <c r="AI381" s="8057"/>
      <c r="AJ381" s="8057"/>
      <c r="AK381" s="8057"/>
      <c r="AL381" s="8057"/>
      <c r="AM381" s="8057"/>
      <c r="AN381" s="8057"/>
      <c r="AO381" s="8057"/>
      <c r="AP381" s="8057"/>
      <c r="AQ381" s="8057"/>
      <c r="AR381" s="8057"/>
      <c r="AS381" s="8057"/>
      <c r="AT381" s="8057"/>
      <c r="AU381" s="8057"/>
      <c r="AV381" s="8057"/>
      <c r="AW381" s="8057"/>
    </row>
    <row r="382" spans="1:49" s="7906" customFormat="1">
      <c r="A382" s="7887"/>
      <c r="B382" s="7887"/>
      <c r="C382" s="7887"/>
      <c r="D382" s="7887"/>
      <c r="E382" s="7887"/>
      <c r="F382" s="7887"/>
      <c r="G382" s="7887"/>
      <c r="H382" s="7887"/>
      <c r="I382" s="7887"/>
      <c r="J382" s="7887"/>
      <c r="K382" s="7887"/>
      <c r="L382" s="8053"/>
      <c r="M382" s="8053"/>
      <c r="N382" s="8053"/>
      <c r="O382" s="7909"/>
      <c r="P382" s="8055"/>
      <c r="Q382" s="8055"/>
      <c r="R382" s="8055"/>
      <c r="S382" s="8057"/>
      <c r="T382" s="8057"/>
      <c r="U382" s="8057"/>
      <c r="V382" s="8057"/>
      <c r="W382" s="8057"/>
      <c r="X382" s="8057"/>
      <c r="Y382" s="8057"/>
      <c r="Z382" s="8057"/>
      <c r="AA382" s="8057"/>
      <c r="AB382" s="8057"/>
      <c r="AC382" s="8057"/>
      <c r="AD382" s="8057"/>
      <c r="AE382" s="8057"/>
      <c r="AF382" s="8057"/>
      <c r="AG382" s="8057"/>
      <c r="AH382" s="8057"/>
      <c r="AI382" s="8057"/>
      <c r="AJ382" s="8057"/>
      <c r="AK382" s="8057"/>
      <c r="AL382" s="8057"/>
      <c r="AM382" s="8057"/>
      <c r="AN382" s="8057"/>
      <c r="AO382" s="8057"/>
      <c r="AP382" s="8057"/>
      <c r="AQ382" s="8057"/>
      <c r="AR382" s="8057"/>
      <c r="AS382" s="8057"/>
      <c r="AT382" s="8057"/>
      <c r="AU382" s="8057"/>
      <c r="AV382" s="8057"/>
      <c r="AW382" s="8057"/>
    </row>
  </sheetData>
  <sheetProtection algorithmName="SHA-512" hashValue="U5AJ+ZdCNqRZJMXGVzfUGchRyTlja2Ify9RDcob8GzR3zd5KzwlSezkKhARbrHdfhFdxkFVSLDulY7JVUQHPpA==" saltValue="OcBcLCOm4jpuB4diGnluxw==" spinCount="100000" sheet="1" objects="1" scenarios="1"/>
  <autoFilter ref="B13:R377" xr:uid="{84B1DD60-0C92-4670-BF3F-2EF620B35AC7}"/>
  <mergeCells count="592">
    <mergeCell ref="C248:E248"/>
    <mergeCell ref="H248:J248"/>
    <mergeCell ref="C377:E377"/>
    <mergeCell ref="H377:J377"/>
    <mergeCell ref="C374:E374"/>
    <mergeCell ref="H374:J374"/>
    <mergeCell ref="C375:E375"/>
    <mergeCell ref="H375:J375"/>
    <mergeCell ref="C376:E376"/>
    <mergeCell ref="H376:J376"/>
    <mergeCell ref="C371:E371"/>
    <mergeCell ref="H371:J371"/>
    <mergeCell ref="C372:E372"/>
    <mergeCell ref="H372:J372"/>
    <mergeCell ref="C373:E373"/>
    <mergeCell ref="H373:J373"/>
    <mergeCell ref="H369:J369"/>
    <mergeCell ref="C370:E370"/>
    <mergeCell ref="H370:J370"/>
    <mergeCell ref="C365:E365"/>
    <mergeCell ref="H365:J365"/>
    <mergeCell ref="C366:E366"/>
    <mergeCell ref="H366:J366"/>
    <mergeCell ref="C367:E367"/>
    <mergeCell ref="H367:J367"/>
    <mergeCell ref="C368:E368"/>
    <mergeCell ref="H368:J368"/>
    <mergeCell ref="C369:E369"/>
    <mergeCell ref="C362:E362"/>
    <mergeCell ref="H362:J362"/>
    <mergeCell ref="C363:E363"/>
    <mergeCell ref="H363:J363"/>
    <mergeCell ref="C364:E364"/>
    <mergeCell ref="H364:J364"/>
    <mergeCell ref="C359:E359"/>
    <mergeCell ref="H359:J359"/>
    <mergeCell ref="C360:E360"/>
    <mergeCell ref="H360:J360"/>
    <mergeCell ref="C361:E361"/>
    <mergeCell ref="H361:J361"/>
    <mergeCell ref="C356:E356"/>
    <mergeCell ref="H356:J356"/>
    <mergeCell ref="C357:E357"/>
    <mergeCell ref="H357:J357"/>
    <mergeCell ref="C358:E358"/>
    <mergeCell ref="H358:J358"/>
    <mergeCell ref="C353:E353"/>
    <mergeCell ref="H353:J353"/>
    <mergeCell ref="C354:E354"/>
    <mergeCell ref="H354:J354"/>
    <mergeCell ref="C355:E355"/>
    <mergeCell ref="H355:J355"/>
    <mergeCell ref="C350:E350"/>
    <mergeCell ref="H350:J350"/>
    <mergeCell ref="C351:E351"/>
    <mergeCell ref="H351:J351"/>
    <mergeCell ref="C352:E352"/>
    <mergeCell ref="H352:J352"/>
    <mergeCell ref="C347:E347"/>
    <mergeCell ref="H347:J347"/>
    <mergeCell ref="C348:E348"/>
    <mergeCell ref="H348:J348"/>
    <mergeCell ref="C349:E349"/>
    <mergeCell ref="H349:J349"/>
    <mergeCell ref="C344:E344"/>
    <mergeCell ref="H344:J344"/>
    <mergeCell ref="C345:E345"/>
    <mergeCell ref="H345:J345"/>
    <mergeCell ref="C346:E346"/>
    <mergeCell ref="H346:J346"/>
    <mergeCell ref="I340:J340"/>
    <mergeCell ref="I341:J341"/>
    <mergeCell ref="C343:E343"/>
    <mergeCell ref="H343:J343"/>
    <mergeCell ref="I337:J337"/>
    <mergeCell ref="I338:J338"/>
    <mergeCell ref="I339:J339"/>
    <mergeCell ref="I334:J334"/>
    <mergeCell ref="I335:J335"/>
    <mergeCell ref="I336:J336"/>
    <mergeCell ref="I331:J331"/>
    <mergeCell ref="I332:J332"/>
    <mergeCell ref="I333:J333"/>
    <mergeCell ref="I328:J328"/>
    <mergeCell ref="I329:J329"/>
    <mergeCell ref="I330:J330"/>
    <mergeCell ref="C325:E325"/>
    <mergeCell ref="H325:J325"/>
    <mergeCell ref="C326:E326"/>
    <mergeCell ref="H326:J326"/>
    <mergeCell ref="C327:E327"/>
    <mergeCell ref="H327:J327"/>
    <mergeCell ref="C322:E322"/>
    <mergeCell ref="H322:J322"/>
    <mergeCell ref="C323:E323"/>
    <mergeCell ref="H323:J323"/>
    <mergeCell ref="C324:E324"/>
    <mergeCell ref="H324:J324"/>
    <mergeCell ref="C318:E318"/>
    <mergeCell ref="H318:J318"/>
    <mergeCell ref="C319:E319"/>
    <mergeCell ref="H319:J319"/>
    <mergeCell ref="C321:E321"/>
    <mergeCell ref="H321:J321"/>
    <mergeCell ref="C315:E315"/>
    <mergeCell ref="H315:J315"/>
    <mergeCell ref="C316:E316"/>
    <mergeCell ref="H316:J316"/>
    <mergeCell ref="C317:E317"/>
    <mergeCell ref="H317:J317"/>
    <mergeCell ref="C313:E313"/>
    <mergeCell ref="H313:J313"/>
    <mergeCell ref="C314:E314"/>
    <mergeCell ref="H314:J314"/>
    <mergeCell ref="C304:E304"/>
    <mergeCell ref="H304:J304"/>
    <mergeCell ref="C305:E305"/>
    <mergeCell ref="H305:J305"/>
    <mergeCell ref="D312:E312"/>
    <mergeCell ref="I312:J312"/>
    <mergeCell ref="D309:E309"/>
    <mergeCell ref="I309:J309"/>
    <mergeCell ref="D310:E310"/>
    <mergeCell ref="I310:J310"/>
    <mergeCell ref="D311:E311"/>
    <mergeCell ref="I311:J311"/>
    <mergeCell ref="D306:E306"/>
    <mergeCell ref="I306:J306"/>
    <mergeCell ref="D307:E307"/>
    <mergeCell ref="I307:J307"/>
    <mergeCell ref="D308:E308"/>
    <mergeCell ref="I308:J308"/>
    <mergeCell ref="C301:E301"/>
    <mergeCell ref="H301:J301"/>
    <mergeCell ref="C302:E302"/>
    <mergeCell ref="H302:J302"/>
    <mergeCell ref="C303:E303"/>
    <mergeCell ref="H303:J303"/>
    <mergeCell ref="D284:E284"/>
    <mergeCell ref="I284:J284"/>
    <mergeCell ref="C299:E299"/>
    <mergeCell ref="H299:J299"/>
    <mergeCell ref="C300:E300"/>
    <mergeCell ref="H300:J300"/>
    <mergeCell ref="D281:E281"/>
    <mergeCell ref="I281:J281"/>
    <mergeCell ref="D282:E282"/>
    <mergeCell ref="I282:J282"/>
    <mergeCell ref="D283:E283"/>
    <mergeCell ref="I283:J283"/>
    <mergeCell ref="D278:E278"/>
    <mergeCell ref="I278:J278"/>
    <mergeCell ref="D279:E279"/>
    <mergeCell ref="I279:J279"/>
    <mergeCell ref="D280:E280"/>
    <mergeCell ref="I280:J280"/>
    <mergeCell ref="D261:E261"/>
    <mergeCell ref="I261:J261"/>
    <mergeCell ref="D262:E262"/>
    <mergeCell ref="I262:J262"/>
    <mergeCell ref="D263:E263"/>
    <mergeCell ref="I263:J263"/>
    <mergeCell ref="D258:E258"/>
    <mergeCell ref="I258:J258"/>
    <mergeCell ref="D259:E259"/>
    <mergeCell ref="I259:J259"/>
    <mergeCell ref="D260:E260"/>
    <mergeCell ref="I260:J260"/>
    <mergeCell ref="C255:E255"/>
    <mergeCell ref="H255:J255"/>
    <mergeCell ref="C256:E256"/>
    <mergeCell ref="H256:J256"/>
    <mergeCell ref="D257:E257"/>
    <mergeCell ref="I257:J257"/>
    <mergeCell ref="C252:E252"/>
    <mergeCell ref="H252:J252"/>
    <mergeCell ref="C253:E253"/>
    <mergeCell ref="H253:J253"/>
    <mergeCell ref="C254:E254"/>
    <mergeCell ref="H254:J254"/>
    <mergeCell ref="C250:E250"/>
    <mergeCell ref="H250:J250"/>
    <mergeCell ref="C251:E251"/>
    <mergeCell ref="H251:J251"/>
    <mergeCell ref="D241:E241"/>
    <mergeCell ref="I241:J241"/>
    <mergeCell ref="D238:E238"/>
    <mergeCell ref="I238:J238"/>
    <mergeCell ref="D239:E239"/>
    <mergeCell ref="I239:J239"/>
    <mergeCell ref="D240:E240"/>
    <mergeCell ref="I240:J240"/>
    <mergeCell ref="C242:E242"/>
    <mergeCell ref="H242:J242"/>
    <mergeCell ref="C243:E243"/>
    <mergeCell ref="H243:J243"/>
    <mergeCell ref="C244:E244"/>
    <mergeCell ref="H244:J244"/>
    <mergeCell ref="C245:E245"/>
    <mergeCell ref="H245:J245"/>
    <mergeCell ref="C246:E246"/>
    <mergeCell ref="H246:J246"/>
    <mergeCell ref="C247:E247"/>
    <mergeCell ref="H247:J247"/>
    <mergeCell ref="D235:E235"/>
    <mergeCell ref="I235:J235"/>
    <mergeCell ref="D236:E236"/>
    <mergeCell ref="I236:J236"/>
    <mergeCell ref="D237:E237"/>
    <mergeCell ref="I237:J237"/>
    <mergeCell ref="D232:E232"/>
    <mergeCell ref="I232:J232"/>
    <mergeCell ref="D233:E233"/>
    <mergeCell ref="I233:J233"/>
    <mergeCell ref="D234:E234"/>
    <mergeCell ref="I234:J234"/>
    <mergeCell ref="D229:E229"/>
    <mergeCell ref="I229:J229"/>
    <mergeCell ref="D230:E230"/>
    <mergeCell ref="I230:J230"/>
    <mergeCell ref="D231:E231"/>
    <mergeCell ref="I231:J231"/>
    <mergeCell ref="D226:E226"/>
    <mergeCell ref="I226:J226"/>
    <mergeCell ref="D227:E227"/>
    <mergeCell ref="I227:J227"/>
    <mergeCell ref="D228:E228"/>
    <mergeCell ref="I228:J228"/>
    <mergeCell ref="D223:E223"/>
    <mergeCell ref="I223:J223"/>
    <mergeCell ref="D224:E224"/>
    <mergeCell ref="I224:J224"/>
    <mergeCell ref="D225:E225"/>
    <mergeCell ref="I225:J225"/>
    <mergeCell ref="D220:E220"/>
    <mergeCell ref="I220:J220"/>
    <mergeCell ref="D221:E221"/>
    <mergeCell ref="I221:J221"/>
    <mergeCell ref="D222:E222"/>
    <mergeCell ref="I222:J222"/>
    <mergeCell ref="D217:E217"/>
    <mergeCell ref="I217:J217"/>
    <mergeCell ref="D218:E218"/>
    <mergeCell ref="I218:J218"/>
    <mergeCell ref="D219:E219"/>
    <mergeCell ref="I219:J219"/>
    <mergeCell ref="D214:E214"/>
    <mergeCell ref="I214:J214"/>
    <mergeCell ref="D215:E215"/>
    <mergeCell ref="I215:J215"/>
    <mergeCell ref="D216:E216"/>
    <mergeCell ref="I216:J216"/>
    <mergeCell ref="D197:E197"/>
    <mergeCell ref="I197:J197"/>
    <mergeCell ref="D192:E192"/>
    <mergeCell ref="I192:J192"/>
    <mergeCell ref="C211:E211"/>
    <mergeCell ref="H211:J211"/>
    <mergeCell ref="C212:E212"/>
    <mergeCell ref="H212:J212"/>
    <mergeCell ref="C213:E213"/>
    <mergeCell ref="H213:J213"/>
    <mergeCell ref="C208:E208"/>
    <mergeCell ref="H208:J208"/>
    <mergeCell ref="C209:E209"/>
    <mergeCell ref="H209:J209"/>
    <mergeCell ref="C210:E210"/>
    <mergeCell ref="H210:J210"/>
    <mergeCell ref="C207:E207"/>
    <mergeCell ref="H207:J207"/>
    <mergeCell ref="C201:E201"/>
    <mergeCell ref="H201:J201"/>
    <mergeCell ref="C202:E202"/>
    <mergeCell ref="H202:J202"/>
    <mergeCell ref="C203:E203"/>
    <mergeCell ref="H203:J203"/>
    <mergeCell ref="D198:E198"/>
    <mergeCell ref="C204:E204"/>
    <mergeCell ref="H204:J204"/>
    <mergeCell ref="C205:E205"/>
    <mergeCell ref="H205:J205"/>
    <mergeCell ref="C200:E200"/>
    <mergeCell ref="H200:J200"/>
    <mergeCell ref="I198:J198"/>
    <mergeCell ref="C199:E199"/>
    <mergeCell ref="H199:J199"/>
    <mergeCell ref="C183:E183"/>
    <mergeCell ref="H183:J183"/>
    <mergeCell ref="D195:E195"/>
    <mergeCell ref="I195:J195"/>
    <mergeCell ref="C184:E184"/>
    <mergeCell ref="H184:J184"/>
    <mergeCell ref="D185:E185"/>
    <mergeCell ref="I185:J185"/>
    <mergeCell ref="C163:E163"/>
    <mergeCell ref="H163:J163"/>
    <mergeCell ref="H170:J170"/>
    <mergeCell ref="H165:J165"/>
    <mergeCell ref="H166:J166"/>
    <mergeCell ref="H167:J167"/>
    <mergeCell ref="C180:E180"/>
    <mergeCell ref="H180:J180"/>
    <mergeCell ref="C181:E181"/>
    <mergeCell ref="C182:E182"/>
    <mergeCell ref="H182:J182"/>
    <mergeCell ref="C178:E178"/>
    <mergeCell ref="H178:J178"/>
    <mergeCell ref="C179:E179"/>
    <mergeCell ref="H179:J179"/>
    <mergeCell ref="D196:E196"/>
    <mergeCell ref="I196:J196"/>
    <mergeCell ref="D190:E190"/>
    <mergeCell ref="I190:J190"/>
    <mergeCell ref="D186:E186"/>
    <mergeCell ref="I186:J186"/>
    <mergeCell ref="D187:E187"/>
    <mergeCell ref="I187:J187"/>
    <mergeCell ref="D188:E188"/>
    <mergeCell ref="I188:J188"/>
    <mergeCell ref="D193:E193"/>
    <mergeCell ref="I193:J193"/>
    <mergeCell ref="D194:E194"/>
    <mergeCell ref="I194:J194"/>
    <mergeCell ref="D191:E191"/>
    <mergeCell ref="I191:J191"/>
    <mergeCell ref="C161:E161"/>
    <mergeCell ref="H161:J161"/>
    <mergeCell ref="C162:E162"/>
    <mergeCell ref="H162:J162"/>
    <mergeCell ref="D189:E189"/>
    <mergeCell ref="I189:J189"/>
    <mergeCell ref="I140:J140"/>
    <mergeCell ref="H168:J168"/>
    <mergeCell ref="H169:J169"/>
    <mergeCell ref="H148:J148"/>
    <mergeCell ref="D141:E141"/>
    <mergeCell ref="C144:E144"/>
    <mergeCell ref="H144:J144"/>
    <mergeCell ref="H164:J164"/>
    <mergeCell ref="H181:J181"/>
    <mergeCell ref="H171:J171"/>
    <mergeCell ref="H172:J172"/>
    <mergeCell ref="H173:J173"/>
    <mergeCell ref="H174:J174"/>
    <mergeCell ref="H175:J175"/>
    <mergeCell ref="H176:J176"/>
    <mergeCell ref="H177:J177"/>
    <mergeCell ref="C145:E145"/>
    <mergeCell ref="D156:E156"/>
    <mergeCell ref="I156:J156"/>
    <mergeCell ref="D154:E154"/>
    <mergeCell ref="D153:E153"/>
    <mergeCell ref="I153:J153"/>
    <mergeCell ref="C148:E148"/>
    <mergeCell ref="C160:E160"/>
    <mergeCell ref="H160:J160"/>
    <mergeCell ref="C157:E157"/>
    <mergeCell ref="H157:J157"/>
    <mergeCell ref="C158:E158"/>
    <mergeCell ref="H158:J158"/>
    <mergeCell ref="I154:J154"/>
    <mergeCell ref="D155:E155"/>
    <mergeCell ref="I155:J155"/>
    <mergeCell ref="D150:E150"/>
    <mergeCell ref="I150:J150"/>
    <mergeCell ref="D151:E151"/>
    <mergeCell ref="I151:J151"/>
    <mergeCell ref="D152:E152"/>
    <mergeCell ref="I152:J152"/>
    <mergeCell ref="C159:E159"/>
    <mergeCell ref="H159:J159"/>
    <mergeCell ref="I115:J115"/>
    <mergeCell ref="I116:J116"/>
    <mergeCell ref="I117:J117"/>
    <mergeCell ref="I118:J118"/>
    <mergeCell ref="I128:J128"/>
    <mergeCell ref="C130:E130"/>
    <mergeCell ref="H130:J130"/>
    <mergeCell ref="C131:E131"/>
    <mergeCell ref="H131:J131"/>
    <mergeCell ref="C129:E129"/>
    <mergeCell ref="H129:J129"/>
    <mergeCell ref="D138:E138"/>
    <mergeCell ref="I138:J138"/>
    <mergeCell ref="D139:E139"/>
    <mergeCell ref="I139:J139"/>
    <mergeCell ref="D140:E140"/>
    <mergeCell ref="C133:E133"/>
    <mergeCell ref="H133:J133"/>
    <mergeCell ref="C134:E134"/>
    <mergeCell ref="H134:J134"/>
    <mergeCell ref="C135:E135"/>
    <mergeCell ref="H135:J135"/>
    <mergeCell ref="D136:E136"/>
    <mergeCell ref="I136:J136"/>
    <mergeCell ref="D137:E137"/>
    <mergeCell ref="I137:J137"/>
    <mergeCell ref="D102:E102"/>
    <mergeCell ref="I102:J102"/>
    <mergeCell ref="C149:E149"/>
    <mergeCell ref="H149:J149"/>
    <mergeCell ref="I105:J105"/>
    <mergeCell ref="I141:J141"/>
    <mergeCell ref="D142:E142"/>
    <mergeCell ref="I142:J142"/>
    <mergeCell ref="I119:J119"/>
    <mergeCell ref="I120:J120"/>
    <mergeCell ref="I121:J121"/>
    <mergeCell ref="I122:J122"/>
    <mergeCell ref="I123:J123"/>
    <mergeCell ref="I124:J124"/>
    <mergeCell ref="I125:J125"/>
    <mergeCell ref="I126:J126"/>
    <mergeCell ref="I127:J127"/>
    <mergeCell ref="I109:J109"/>
    <mergeCell ref="I110:J110"/>
    <mergeCell ref="I111:J111"/>
    <mergeCell ref="C147:E147"/>
    <mergeCell ref="H147:J147"/>
    <mergeCell ref="C132:E132"/>
    <mergeCell ref="H132:J132"/>
    <mergeCell ref="I97:J97"/>
    <mergeCell ref="D103:E103"/>
    <mergeCell ref="I103:J103"/>
    <mergeCell ref="D104:E104"/>
    <mergeCell ref="I104:J104"/>
    <mergeCell ref="D105:E105"/>
    <mergeCell ref="H145:J145"/>
    <mergeCell ref="C146:E146"/>
    <mergeCell ref="H146:J146"/>
    <mergeCell ref="D106:E106"/>
    <mergeCell ref="I106:J106"/>
    <mergeCell ref="D107:E107"/>
    <mergeCell ref="I107:J107"/>
    <mergeCell ref="C143:E143"/>
    <mergeCell ref="H143:J143"/>
    <mergeCell ref="I112:J112"/>
    <mergeCell ref="I113:J113"/>
    <mergeCell ref="I114:J114"/>
    <mergeCell ref="I98:J98"/>
    <mergeCell ref="I99:J99"/>
    <mergeCell ref="I100:J100"/>
    <mergeCell ref="I108:J108"/>
    <mergeCell ref="D101:E101"/>
    <mergeCell ref="I101:J101"/>
    <mergeCell ref="C76:E76"/>
    <mergeCell ref="H76:J76"/>
    <mergeCell ref="I92:J92"/>
    <mergeCell ref="I93:J93"/>
    <mergeCell ref="I94:J94"/>
    <mergeCell ref="I95:J95"/>
    <mergeCell ref="I96:J96"/>
    <mergeCell ref="D83:E83"/>
    <mergeCell ref="I83:J83"/>
    <mergeCell ref="D84:E84"/>
    <mergeCell ref="I84:J84"/>
    <mergeCell ref="D85:E85"/>
    <mergeCell ref="I85:J85"/>
    <mergeCell ref="I89:J89"/>
    <mergeCell ref="I90:J90"/>
    <mergeCell ref="I91:J91"/>
    <mergeCell ref="C56:E56"/>
    <mergeCell ref="H56:J56"/>
    <mergeCell ref="C57:E57"/>
    <mergeCell ref="H57:J57"/>
    <mergeCell ref="C73:E73"/>
    <mergeCell ref="H73:J73"/>
    <mergeCell ref="D86:E86"/>
    <mergeCell ref="I86:J86"/>
    <mergeCell ref="D80:E80"/>
    <mergeCell ref="I80:J80"/>
    <mergeCell ref="D81:E81"/>
    <mergeCell ref="I81:J81"/>
    <mergeCell ref="D82:E82"/>
    <mergeCell ref="I82:J82"/>
    <mergeCell ref="C77:E77"/>
    <mergeCell ref="H77:J77"/>
    <mergeCell ref="C78:E78"/>
    <mergeCell ref="H78:J78"/>
    <mergeCell ref="C79:E79"/>
    <mergeCell ref="H79:J79"/>
    <mergeCell ref="C74:E74"/>
    <mergeCell ref="H74:J74"/>
    <mergeCell ref="C75:E75"/>
    <mergeCell ref="H75:J75"/>
    <mergeCell ref="C52:E52"/>
    <mergeCell ref="H52:J52"/>
    <mergeCell ref="C53:E53"/>
    <mergeCell ref="H53:J53"/>
    <mergeCell ref="C54:E54"/>
    <mergeCell ref="H54:J54"/>
    <mergeCell ref="D70:E70"/>
    <mergeCell ref="I70:J70"/>
    <mergeCell ref="D71:E71"/>
    <mergeCell ref="I71:J71"/>
    <mergeCell ref="D67:E67"/>
    <mergeCell ref="I67:J67"/>
    <mergeCell ref="D68:E68"/>
    <mergeCell ref="I68:J68"/>
    <mergeCell ref="D69:E69"/>
    <mergeCell ref="I69:J69"/>
    <mergeCell ref="C58:E58"/>
    <mergeCell ref="I60:J60"/>
    <mergeCell ref="I61:J61"/>
    <mergeCell ref="I62:J62"/>
    <mergeCell ref="I58:J58"/>
    <mergeCell ref="I59:J59"/>
    <mergeCell ref="C55:E55"/>
    <mergeCell ref="H55:J55"/>
    <mergeCell ref="D44:E44"/>
    <mergeCell ref="I44:J44"/>
    <mergeCell ref="C43:E43"/>
    <mergeCell ref="H43:J43"/>
    <mergeCell ref="I88:J88"/>
    <mergeCell ref="D49:E49"/>
    <mergeCell ref="I49:J49"/>
    <mergeCell ref="D50:E50"/>
    <mergeCell ref="I50:J50"/>
    <mergeCell ref="C51:E51"/>
    <mergeCell ref="H51:J51"/>
    <mergeCell ref="D45:E45"/>
    <mergeCell ref="D46:E46"/>
    <mergeCell ref="I46:J46"/>
    <mergeCell ref="D47:E47"/>
    <mergeCell ref="I47:J47"/>
    <mergeCell ref="D48:E48"/>
    <mergeCell ref="I48:J48"/>
    <mergeCell ref="D65:E65"/>
    <mergeCell ref="I65:J65"/>
    <mergeCell ref="D66:E66"/>
    <mergeCell ref="I66:J66"/>
    <mergeCell ref="I63:J63"/>
    <mergeCell ref="I64:J64"/>
    <mergeCell ref="D34:E34"/>
    <mergeCell ref="H17:J17"/>
    <mergeCell ref="D30:E30"/>
    <mergeCell ref="D31:E31"/>
    <mergeCell ref="D25:E25"/>
    <mergeCell ref="I25:J25"/>
    <mergeCell ref="D26:E26"/>
    <mergeCell ref="I26:J26"/>
    <mergeCell ref="C21:E21"/>
    <mergeCell ref="H21:J21"/>
    <mergeCell ref="C22:E22"/>
    <mergeCell ref="H22:J22"/>
    <mergeCell ref="D23:E23"/>
    <mergeCell ref="I23:J23"/>
    <mergeCell ref="C18:E18"/>
    <mergeCell ref="H18:J18"/>
    <mergeCell ref="C19:E19"/>
    <mergeCell ref="H19:J19"/>
    <mergeCell ref="C20:E20"/>
    <mergeCell ref="H20:J20"/>
    <mergeCell ref="D29:E29"/>
    <mergeCell ref="I29:J29"/>
    <mergeCell ref="D24:E24"/>
    <mergeCell ref="I24:J24"/>
    <mergeCell ref="H40:J40"/>
    <mergeCell ref="C41:E41"/>
    <mergeCell ref="H41:J41"/>
    <mergeCell ref="C42:E42"/>
    <mergeCell ref="H42:J42"/>
    <mergeCell ref="C37:E37"/>
    <mergeCell ref="H37:J37"/>
    <mergeCell ref="C38:E38"/>
    <mergeCell ref="H38:J38"/>
    <mergeCell ref="C39:E39"/>
    <mergeCell ref="H39:J39"/>
    <mergeCell ref="P12:R12"/>
    <mergeCell ref="B12:F12"/>
    <mergeCell ref="G12:J12"/>
    <mergeCell ref="L12:N12"/>
    <mergeCell ref="I87:J87"/>
    <mergeCell ref="O12:O13"/>
    <mergeCell ref="I34:J34"/>
    <mergeCell ref="D35:E35"/>
    <mergeCell ref="I35:J35"/>
    <mergeCell ref="D36:E36"/>
    <mergeCell ref="I36:J36"/>
    <mergeCell ref="I31:J31"/>
    <mergeCell ref="D32:E32"/>
    <mergeCell ref="I32:J32"/>
    <mergeCell ref="D33:E33"/>
    <mergeCell ref="I33:J33"/>
    <mergeCell ref="D27:E27"/>
    <mergeCell ref="I27:J27"/>
    <mergeCell ref="D28:E28"/>
    <mergeCell ref="I28:J28"/>
    <mergeCell ref="C16:E16"/>
    <mergeCell ref="H16:J16"/>
    <mergeCell ref="C17:E17"/>
    <mergeCell ref="C40:E40"/>
  </mergeCells>
  <phoneticPr fontId="3" type="noConversion"/>
  <conditionalFormatting sqref="L235:L242">
    <cfRule type="cellIs" dxfId="287" priority="1" operator="equal">
      <formula>"미취합법인有"</formula>
    </cfRule>
  </conditionalFormatting>
  <conditionalFormatting sqref="L16:N16">
    <cfRule type="cellIs" dxfId="286" priority="158" operator="equal">
      <formula>"미취합법인有"</formula>
    </cfRule>
  </conditionalFormatting>
  <conditionalFormatting sqref="L23:N23">
    <cfRule type="cellIs" dxfId="285" priority="157" operator="equal">
      <formula>"미취합법인有"</formula>
    </cfRule>
  </conditionalFormatting>
  <conditionalFormatting sqref="L30:N30">
    <cfRule type="cellIs" dxfId="284" priority="8" operator="equal">
      <formula>"미취합법인有"</formula>
    </cfRule>
  </conditionalFormatting>
  <conditionalFormatting sqref="L37:N37 L44:N44 L51:N51">
    <cfRule type="cellIs" dxfId="283" priority="156" operator="equal">
      <formula>"미취합법인有"</formula>
    </cfRule>
  </conditionalFormatting>
  <conditionalFormatting sqref="L58:N58 L65:N65 L73:N73 L80:N80 L101:N101 L129:N129 L143:N143 L150:N150">
    <cfRule type="cellIs" dxfId="282" priority="155" operator="equal">
      <formula>"미취합법인有"</formula>
    </cfRule>
  </conditionalFormatting>
  <conditionalFormatting sqref="L87:N87 L94:N94">
    <cfRule type="cellIs" dxfId="281" priority="7" operator="equal">
      <formula>"미취합법인有"</formula>
    </cfRule>
  </conditionalFormatting>
  <conditionalFormatting sqref="L108:N108 L115:N115 L122:N122">
    <cfRule type="cellIs" dxfId="280" priority="6" operator="equal">
      <formula>"미취합법인有"</formula>
    </cfRule>
  </conditionalFormatting>
  <conditionalFormatting sqref="L136:N136">
    <cfRule type="cellIs" dxfId="279" priority="161" operator="equal">
      <formula>"미취합법인有"</formula>
    </cfRule>
  </conditionalFormatting>
  <conditionalFormatting sqref="L157:N157">
    <cfRule type="cellIs" dxfId="278" priority="159" operator="equal">
      <formula>"미취합법인有"</formula>
    </cfRule>
  </conditionalFormatting>
  <conditionalFormatting sqref="L164:N164">
    <cfRule type="cellIs" dxfId="277" priority="160" operator="equal">
      <formula>"미취합법인有"</formula>
    </cfRule>
  </conditionalFormatting>
  <conditionalFormatting sqref="L171:N171">
    <cfRule type="cellIs" dxfId="276" priority="4" operator="equal">
      <formula>"미취합법인有"</formula>
    </cfRule>
  </conditionalFormatting>
  <conditionalFormatting sqref="L178:N178 L199:N199">
    <cfRule type="cellIs" dxfId="275" priority="154" operator="equal">
      <formula>"미취합법인有"</formula>
    </cfRule>
  </conditionalFormatting>
  <conditionalFormatting sqref="L185:N185">
    <cfRule type="cellIs" dxfId="274" priority="23" operator="equal">
      <formula>"미취합법인有"</formula>
    </cfRule>
  </conditionalFormatting>
  <conditionalFormatting sqref="L192:N192">
    <cfRule type="cellIs" dxfId="273" priority="24" operator="equal">
      <formula>"미취합법인有"</formula>
    </cfRule>
  </conditionalFormatting>
  <conditionalFormatting sqref="L207:N207">
    <cfRule type="cellIs" dxfId="272" priority="30" operator="equal">
      <formula>"미취합법인有"</formula>
    </cfRule>
  </conditionalFormatting>
  <conditionalFormatting sqref="L214:N214">
    <cfRule type="cellIs" dxfId="271" priority="31" operator="equal">
      <formula>"미취합법인有"</formula>
    </cfRule>
  </conditionalFormatting>
  <conditionalFormatting sqref="L221:N221">
    <cfRule type="cellIs" dxfId="270" priority="32" operator="equal">
      <formula>"미취합법인有"</formula>
    </cfRule>
  </conditionalFormatting>
  <conditionalFormatting sqref="L228:N228">
    <cfRule type="cellIs" dxfId="269" priority="33" operator="equal">
      <formula>"미취합법인有"</formula>
    </cfRule>
  </conditionalFormatting>
  <conditionalFormatting sqref="L250:N250">
    <cfRule type="cellIs" dxfId="268" priority="152" operator="equal">
      <formula>"미취합법인有"</formula>
    </cfRule>
  </conditionalFormatting>
  <conditionalFormatting sqref="L257:N257">
    <cfRule type="cellIs" dxfId="267" priority="50" operator="equal">
      <formula>"미취합법인有"</formula>
    </cfRule>
  </conditionalFormatting>
  <conditionalFormatting sqref="L264:N264">
    <cfRule type="cellIs" dxfId="266" priority="51" operator="equal">
      <formula>"미취합법인有"</formula>
    </cfRule>
  </conditionalFormatting>
  <conditionalFormatting sqref="L271:N271">
    <cfRule type="cellIs" dxfId="265" priority="52" operator="equal">
      <formula>"미취합법인有"</formula>
    </cfRule>
  </conditionalFormatting>
  <conditionalFormatting sqref="L278:N278">
    <cfRule type="cellIs" dxfId="264" priority="5" operator="equal">
      <formula>"미취합법인有"</formula>
    </cfRule>
  </conditionalFormatting>
  <conditionalFormatting sqref="L285:N285">
    <cfRule type="cellIs" dxfId="263" priority="53" operator="equal">
      <formula>"미취합법인有"</formula>
    </cfRule>
  </conditionalFormatting>
  <conditionalFormatting sqref="L292:N292">
    <cfRule type="cellIs" dxfId="262" priority="54" operator="equal">
      <formula>"미취합법인有"</formula>
    </cfRule>
  </conditionalFormatting>
  <conditionalFormatting sqref="L299:N299">
    <cfRule type="cellIs" dxfId="261" priority="2" operator="equal">
      <formula>"미취합법인有"</formula>
    </cfRule>
  </conditionalFormatting>
  <conditionalFormatting sqref="L306:N306">
    <cfRule type="cellIs" dxfId="260" priority="56" operator="equal">
      <formula>"미취합법인有"</formula>
    </cfRule>
  </conditionalFormatting>
  <conditionalFormatting sqref="L313:N313">
    <cfRule type="cellIs" dxfId="259" priority="66" operator="equal">
      <formula>"미취합법인有"</formula>
    </cfRule>
  </conditionalFormatting>
  <conditionalFormatting sqref="L321:N321">
    <cfRule type="cellIs" dxfId="258" priority="67" operator="equal">
      <formula>"미취합법인有"</formula>
    </cfRule>
  </conditionalFormatting>
  <conditionalFormatting sqref="L328:N328 L335:N335 L343:N343 L350:N350 L357:N357 L364:N364 L371:N371">
    <cfRule type="cellIs" dxfId="257" priority="151" operator="equal">
      <formula>"미취합법인有"</formula>
    </cfRule>
  </conditionalFormatting>
  <conditionalFormatting sqref="M235:N235">
    <cfRule type="cellIs" dxfId="256" priority="34" operator="equal">
      <formula>"미취합법인有"</formula>
    </cfRule>
  </conditionalFormatting>
  <conditionalFormatting sqref="M242:N242">
    <cfRule type="cellIs" dxfId="255" priority="3" operator="equal">
      <formula>"미취합법인有"</formula>
    </cfRule>
  </conditionalFormatting>
  <pageMargins left="0.25" right="0.25" top="0.75" bottom="0.75" header="0" footer="0"/>
  <pageSetup paperSize="8" scale="64" fitToHeight="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1DD60-0C92-4670-BF3F-2EF620B35AC7}">
  <sheetPr>
    <tabColor rgb="FFCA1211"/>
    <pageSetUpPr fitToPage="1"/>
  </sheetPr>
  <dimension ref="A1:BH2188"/>
  <sheetViews>
    <sheetView workbookViewId="0"/>
  </sheetViews>
  <sheetFormatPr defaultColWidth="0" defaultRowHeight="16.5" outlineLevelRow="1"/>
  <cols>
    <col min="1" max="1" width="1.125" style="139" customWidth="1"/>
    <col min="2" max="2" width="2.375" style="139" customWidth="1"/>
    <col min="3" max="3" width="9.75" style="139" customWidth="1"/>
    <col min="4" max="4" width="9.375" style="139" customWidth="1"/>
    <col min="5" max="5" width="27" style="139" customWidth="1"/>
    <col min="6" max="6" width="16.5" style="139" customWidth="1"/>
    <col min="7" max="7" width="6.125" style="6412" hidden="1" customWidth="1"/>
    <col min="8" max="8" width="9.75" style="6412" hidden="1" customWidth="1"/>
    <col min="9" max="9" width="25.5" style="6412" hidden="1" customWidth="1"/>
    <col min="10" max="10" width="20.875" style="6412" hidden="1" customWidth="1"/>
    <col min="11" max="11" width="16.5" style="139" hidden="1" customWidth="1"/>
    <col min="12" max="17" width="15.625" style="6413" customWidth="1"/>
    <col min="18" max="19" width="50.625" style="1287" customWidth="1"/>
    <col min="20" max="20" width="20.625" style="139" customWidth="1"/>
    <col min="21" max="21" width="17.125" style="139" customWidth="1"/>
    <col min="22" max="22" width="20" style="139" customWidth="1"/>
    <col min="23" max="23" width="20.625" style="139" customWidth="1"/>
    <col min="24" max="24" width="12.25" style="10" customWidth="1"/>
    <col min="25" max="25" width="11.75" style="10" customWidth="1"/>
    <col min="26" max="26" width="13.875" style="10" customWidth="1"/>
    <col min="27" max="27" width="20.375" style="6301" customWidth="1"/>
    <col min="28" max="28" width="32.125" style="139" customWidth="1"/>
    <col min="29" max="29" width="20.75" style="139" customWidth="1"/>
    <col min="30" max="60" width="0" style="139" hidden="1" customWidth="1"/>
    <col min="61" max="16384" width="13" style="11" hidden="1"/>
  </cols>
  <sheetData>
    <row r="1" spans="1:60" ht="10.9" customHeight="1">
      <c r="A1" s="1"/>
      <c r="B1" s="2"/>
      <c r="C1" s="2"/>
      <c r="D1" s="2"/>
      <c r="E1" s="2"/>
      <c r="F1" s="3"/>
      <c r="G1" s="4"/>
      <c r="H1" s="5"/>
      <c r="I1" s="5"/>
      <c r="J1" s="5"/>
      <c r="K1" s="3"/>
      <c r="L1" s="6"/>
      <c r="M1" s="6"/>
      <c r="N1" s="6"/>
      <c r="O1" s="6"/>
      <c r="P1" s="6"/>
      <c r="Q1" s="6"/>
      <c r="R1" s="8"/>
      <c r="S1" s="8"/>
      <c r="T1" s="7"/>
      <c r="U1" s="7"/>
      <c r="V1" s="3"/>
      <c r="W1" s="7"/>
      <c r="X1" s="6340"/>
      <c r="Y1" s="6340"/>
      <c r="Z1" s="6340"/>
    </row>
    <row r="2" spans="1:60" s="19" customFormat="1" ht="33" customHeight="1">
      <c r="A2" s="12"/>
      <c r="B2" s="13" t="s">
        <v>626</v>
      </c>
      <c r="C2" s="14"/>
      <c r="D2" s="2"/>
      <c r="E2" s="2"/>
      <c r="F2" s="3"/>
      <c r="G2" s="4"/>
      <c r="H2" s="15"/>
      <c r="I2" s="5"/>
      <c r="J2" s="3"/>
      <c r="K2" s="3"/>
      <c r="L2" s="6"/>
      <c r="M2" s="6"/>
      <c r="N2" s="6"/>
      <c r="O2" s="6"/>
      <c r="P2" s="6"/>
      <c r="Q2" s="6"/>
      <c r="R2" s="8"/>
      <c r="S2" s="8"/>
      <c r="T2" s="16"/>
      <c r="U2" s="16"/>
      <c r="V2" s="15"/>
      <c r="W2" s="16"/>
      <c r="X2" s="6341"/>
      <c r="Y2" s="6341"/>
      <c r="Z2" s="6341"/>
      <c r="AA2" s="6301"/>
      <c r="AB2" s="6401"/>
      <c r="AC2" s="6401"/>
      <c r="AD2" s="6401"/>
      <c r="AE2" s="6401"/>
      <c r="AF2" s="6401"/>
      <c r="AG2" s="6401"/>
      <c r="AH2" s="6401"/>
      <c r="AI2" s="6401"/>
      <c r="AJ2" s="6401"/>
      <c r="AK2" s="6401"/>
      <c r="AL2" s="6401"/>
      <c r="AM2" s="6401"/>
      <c r="AN2" s="6401"/>
      <c r="AO2" s="6401"/>
      <c r="AP2" s="6401"/>
      <c r="AQ2" s="6401"/>
      <c r="AR2" s="6401"/>
      <c r="AS2" s="6401"/>
      <c r="AT2" s="6401"/>
      <c r="AU2" s="6401"/>
      <c r="AV2" s="6401"/>
      <c r="AW2" s="6401"/>
      <c r="AX2" s="6401"/>
      <c r="AY2" s="6401"/>
      <c r="AZ2" s="6401"/>
      <c r="BA2" s="6401"/>
      <c r="BB2" s="6401"/>
      <c r="BC2" s="6401"/>
      <c r="BD2" s="6401"/>
      <c r="BE2" s="6401"/>
      <c r="BF2" s="6401"/>
      <c r="BG2" s="6401"/>
      <c r="BH2" s="6401"/>
    </row>
    <row r="3" spans="1:60" ht="11.45" customHeight="1">
      <c r="A3" s="11"/>
      <c r="B3" s="20"/>
      <c r="C3" s="20"/>
      <c r="D3" s="20"/>
      <c r="E3" s="20"/>
      <c r="F3" s="3"/>
      <c r="G3" s="4"/>
      <c r="H3" s="5"/>
      <c r="I3" s="5"/>
      <c r="J3" s="5"/>
      <c r="K3" s="3"/>
      <c r="L3" s="6"/>
      <c r="M3" s="6"/>
      <c r="N3" s="6"/>
      <c r="O3" s="6"/>
      <c r="P3" s="6"/>
      <c r="Q3" s="6"/>
      <c r="R3" s="8"/>
      <c r="S3" s="8"/>
      <c r="T3" s="7"/>
      <c r="U3" s="7"/>
      <c r="V3" s="3"/>
      <c r="W3" s="7"/>
      <c r="X3" s="6342"/>
      <c r="Y3" s="6342"/>
      <c r="Z3" s="6342"/>
    </row>
    <row r="4" spans="1:60" ht="10.15" customHeight="1">
      <c r="A4" s="11"/>
      <c r="B4" s="11"/>
      <c r="C4" s="11"/>
      <c r="D4" s="11"/>
      <c r="E4" s="11"/>
      <c r="F4" s="21"/>
      <c r="G4" s="22"/>
      <c r="H4" s="22"/>
      <c r="I4" s="22"/>
      <c r="J4" s="22"/>
      <c r="K4" s="21"/>
      <c r="L4" s="23"/>
      <c r="M4" s="23"/>
      <c r="N4" s="23"/>
      <c r="O4" s="23"/>
      <c r="P4" s="23"/>
      <c r="Q4" s="23"/>
      <c r="R4" s="24"/>
      <c r="S4" s="24"/>
      <c r="T4" s="11"/>
      <c r="U4" s="11"/>
      <c r="V4" s="11"/>
      <c r="W4" s="11"/>
      <c r="X4" s="21"/>
      <c r="Y4" s="21"/>
      <c r="Z4" s="21"/>
    </row>
    <row r="5" spans="1:60" ht="20.65" customHeight="1">
      <c r="A5" s="11"/>
      <c r="B5" s="1700" t="s">
        <v>111</v>
      </c>
      <c r="C5" s="25"/>
      <c r="D5" s="25"/>
      <c r="E5" s="25"/>
      <c r="F5" s="26"/>
      <c r="G5" s="26"/>
      <c r="H5" s="22"/>
      <c r="I5" s="27"/>
      <c r="J5" s="27"/>
      <c r="K5" s="28"/>
      <c r="L5" s="29"/>
      <c r="M5" s="29"/>
      <c r="N5" s="29"/>
      <c r="O5" s="29"/>
      <c r="P5" s="29"/>
      <c r="Q5" s="29"/>
      <c r="R5" s="33"/>
      <c r="S5" s="33"/>
      <c r="T5" s="32"/>
      <c r="U5" s="32"/>
      <c r="V5" s="32"/>
      <c r="W5" s="32"/>
      <c r="X5" s="6343"/>
      <c r="Y5" s="6343"/>
      <c r="Z5" s="6343"/>
      <c r="AB5" s="1287"/>
    </row>
    <row r="6" spans="1:60" ht="20.65" customHeight="1">
      <c r="A6" s="11"/>
      <c r="B6" s="1701" t="s">
        <v>112</v>
      </c>
      <c r="C6" s="11"/>
      <c r="D6" s="11"/>
      <c r="E6" s="27"/>
      <c r="F6" s="34"/>
      <c r="G6" s="34"/>
      <c r="H6" s="27"/>
      <c r="I6" s="27"/>
      <c r="J6" s="27"/>
      <c r="K6" s="28"/>
      <c r="L6" s="29"/>
      <c r="M6" s="29"/>
      <c r="N6" s="35"/>
      <c r="O6" s="35"/>
      <c r="P6" s="29"/>
      <c r="Q6" s="29"/>
      <c r="R6" s="33"/>
      <c r="S6" s="33"/>
      <c r="T6" s="32"/>
      <c r="U6" s="32"/>
      <c r="V6" s="32"/>
      <c r="W6" s="32"/>
      <c r="X6" s="6343"/>
      <c r="Y6" s="6343"/>
      <c r="Z6" s="6343"/>
      <c r="AB6" s="1287"/>
    </row>
    <row r="7" spans="1:60" ht="20.65" customHeight="1">
      <c r="A7" s="11"/>
      <c r="B7" s="1701" t="s">
        <v>113</v>
      </c>
      <c r="C7" s="11"/>
      <c r="D7" s="11"/>
      <c r="E7" s="27"/>
      <c r="F7" s="34"/>
      <c r="G7" s="34"/>
      <c r="H7" s="27"/>
      <c r="I7" s="27"/>
      <c r="J7" s="27"/>
      <c r="K7" s="36"/>
      <c r="L7" s="29"/>
      <c r="M7" s="29"/>
      <c r="N7" s="31"/>
      <c r="O7" s="31"/>
      <c r="P7" s="29"/>
      <c r="Q7" s="29"/>
      <c r="R7" s="33"/>
      <c r="S7" s="33"/>
      <c r="T7" s="32"/>
      <c r="U7" s="32"/>
      <c r="V7" s="32"/>
      <c r="W7" s="32"/>
      <c r="X7" s="6343"/>
      <c r="Y7" s="6343"/>
      <c r="Z7" s="6343"/>
      <c r="AB7" s="1287"/>
    </row>
    <row r="8" spans="1:60" ht="20.65" customHeight="1">
      <c r="A8" s="11"/>
      <c r="B8" s="1701" t="s">
        <v>114</v>
      </c>
      <c r="C8" s="11"/>
      <c r="D8" s="11"/>
      <c r="E8" s="27"/>
      <c r="F8" s="34"/>
      <c r="G8" s="34"/>
      <c r="H8" s="29"/>
      <c r="I8" s="35"/>
      <c r="J8" s="31"/>
      <c r="K8" s="30"/>
      <c r="L8" s="37"/>
      <c r="M8" s="37"/>
      <c r="N8" s="37"/>
      <c r="O8" s="37"/>
      <c r="P8" s="29"/>
      <c r="Q8" s="29"/>
      <c r="R8" s="33"/>
      <c r="S8" s="33"/>
      <c r="T8" s="32"/>
      <c r="U8" s="32"/>
      <c r="V8" s="32"/>
      <c r="W8" s="32"/>
      <c r="X8" s="6343"/>
      <c r="Y8" s="6343"/>
      <c r="Z8" s="6343"/>
      <c r="AB8" s="1287"/>
    </row>
    <row r="9" spans="1:60" ht="20.65" customHeight="1">
      <c r="A9" s="11"/>
      <c r="B9" s="1701" t="s">
        <v>115</v>
      </c>
      <c r="C9" s="11"/>
      <c r="D9" s="11"/>
      <c r="E9" s="27"/>
      <c r="F9" s="34"/>
      <c r="G9" s="34"/>
      <c r="H9" s="38"/>
      <c r="I9" s="35" t="s">
        <v>116</v>
      </c>
      <c r="J9" s="31"/>
      <c r="K9" s="30"/>
      <c r="L9" s="37"/>
      <c r="M9" s="37"/>
      <c r="N9" s="37"/>
      <c r="O9" s="37"/>
      <c r="P9" s="29"/>
      <c r="Q9" s="29"/>
      <c r="R9" s="33"/>
      <c r="S9" s="33"/>
      <c r="T9" s="32"/>
      <c r="U9" s="32"/>
      <c r="V9" s="32"/>
      <c r="W9" s="32"/>
      <c r="X9" s="6343"/>
      <c r="Y9" s="6343"/>
      <c r="Z9" s="6343"/>
      <c r="AB9" s="1287"/>
    </row>
    <row r="10" spans="1:60" ht="20.65" customHeight="1">
      <c r="A10" s="11"/>
      <c r="B10" s="1702" t="s">
        <v>117</v>
      </c>
      <c r="C10" s="39"/>
      <c r="D10" s="39"/>
      <c r="E10" s="40"/>
      <c r="F10" s="41"/>
      <c r="G10" s="41"/>
      <c r="H10" s="42"/>
      <c r="I10" s="35" t="s">
        <v>118</v>
      </c>
      <c r="J10" s="31"/>
      <c r="K10" s="30"/>
      <c r="L10" s="37"/>
      <c r="M10" s="37"/>
      <c r="N10" s="37"/>
      <c r="O10" s="37"/>
      <c r="P10" s="29"/>
      <c r="Q10" s="29"/>
      <c r="R10" s="33"/>
      <c r="S10" s="33"/>
      <c r="T10" s="32"/>
      <c r="U10" s="32"/>
      <c r="V10" s="32"/>
      <c r="W10" s="32"/>
      <c r="X10" s="6343"/>
      <c r="Y10" s="6343"/>
      <c r="Z10" s="6343"/>
      <c r="AB10" s="1287"/>
    </row>
    <row r="11" spans="1:60" ht="10.9" customHeight="1" thickBot="1">
      <c r="A11" s="11"/>
      <c r="B11" s="11"/>
      <c r="C11" s="43"/>
      <c r="D11" s="43"/>
      <c r="E11" s="43"/>
      <c r="F11" s="44"/>
      <c r="G11" s="45"/>
      <c r="H11" s="46"/>
      <c r="I11" s="46"/>
      <c r="J11" s="46"/>
      <c r="K11" s="44"/>
      <c r="L11" s="47"/>
      <c r="M11" s="47"/>
      <c r="N11" s="47"/>
      <c r="O11" s="47"/>
      <c r="P11" s="47"/>
      <c r="Q11" s="47"/>
      <c r="R11" s="49"/>
      <c r="S11" s="49"/>
      <c r="T11" s="24"/>
      <c r="U11" s="24"/>
      <c r="V11" s="24"/>
      <c r="W11" s="24"/>
      <c r="X11" s="44"/>
      <c r="Y11" s="44"/>
      <c r="Z11" s="44"/>
      <c r="AB11" s="1287"/>
    </row>
    <row r="12" spans="1:60" ht="26.65" customHeight="1" thickTop="1">
      <c r="A12" s="50"/>
      <c r="B12" s="9668" t="s">
        <v>1</v>
      </c>
      <c r="C12" s="9668"/>
      <c r="D12" s="9668"/>
      <c r="E12" s="9668"/>
      <c r="F12" s="9668"/>
      <c r="G12" s="9669" t="s">
        <v>2</v>
      </c>
      <c r="H12" s="9669"/>
      <c r="I12" s="9669"/>
      <c r="J12" s="9669"/>
      <c r="K12" s="5582"/>
      <c r="L12" s="9668" t="s">
        <v>627</v>
      </c>
      <c r="M12" s="9668"/>
      <c r="N12" s="9668"/>
      <c r="O12" s="9668"/>
      <c r="P12" s="9668"/>
      <c r="Q12" s="5545"/>
      <c r="R12" s="9706" t="s">
        <v>6</v>
      </c>
      <c r="S12" s="9706" t="s">
        <v>7</v>
      </c>
      <c r="T12" s="9708" t="s">
        <v>8</v>
      </c>
      <c r="U12" s="9710" t="s">
        <v>9</v>
      </c>
      <c r="V12" s="9712" t="s">
        <v>10</v>
      </c>
      <c r="W12" s="53"/>
      <c r="X12" s="9667" t="s">
        <v>11</v>
      </c>
      <c r="Y12" s="9667"/>
      <c r="Z12" s="9667"/>
      <c r="AA12" s="6439" t="s">
        <v>120</v>
      </c>
      <c r="AB12" s="6440" t="s">
        <v>121</v>
      </c>
      <c r="AC12" s="6441" t="s">
        <v>122</v>
      </c>
    </row>
    <row r="13" spans="1:60" ht="21.6" customHeight="1" thickBot="1">
      <c r="A13" s="50"/>
      <c r="B13" s="1350"/>
      <c r="C13" s="55" t="s">
        <v>12</v>
      </c>
      <c r="D13" s="55" t="s">
        <v>13</v>
      </c>
      <c r="E13" s="55" t="s">
        <v>14</v>
      </c>
      <c r="F13" s="55" t="s">
        <v>15</v>
      </c>
      <c r="G13" s="55" t="s">
        <v>16</v>
      </c>
      <c r="H13" s="55" t="s">
        <v>12</v>
      </c>
      <c r="I13" s="55" t="s">
        <v>13</v>
      </c>
      <c r="J13" s="55" t="s">
        <v>14</v>
      </c>
      <c r="K13" s="5583" t="s">
        <v>17</v>
      </c>
      <c r="L13" s="5584">
        <v>2021</v>
      </c>
      <c r="M13" s="1408" t="s">
        <v>19</v>
      </c>
      <c r="N13" s="1544" t="s">
        <v>20</v>
      </c>
      <c r="O13" s="1408" t="s">
        <v>19</v>
      </c>
      <c r="P13" s="1544" t="s">
        <v>21</v>
      </c>
      <c r="Q13" s="2051" t="s">
        <v>19</v>
      </c>
      <c r="R13" s="9707"/>
      <c r="S13" s="9707"/>
      <c r="T13" s="9709"/>
      <c r="U13" s="9711"/>
      <c r="V13" s="9711"/>
      <c r="W13" s="61" t="s">
        <v>22</v>
      </c>
      <c r="X13" s="62" t="s">
        <v>23</v>
      </c>
      <c r="Y13" s="63" t="s">
        <v>24</v>
      </c>
      <c r="Z13" s="64" t="s">
        <v>25</v>
      </c>
      <c r="AB13" s="6402"/>
    </row>
    <row r="14" spans="1:60" ht="27" outlineLevel="1" thickBot="1">
      <c r="A14" s="50"/>
      <c r="B14" s="65" t="s">
        <v>26</v>
      </c>
      <c r="C14" s="66"/>
      <c r="D14" s="66"/>
      <c r="E14" s="66"/>
      <c r="F14" s="67"/>
      <c r="G14" s="68" t="s">
        <v>27</v>
      </c>
      <c r="H14" s="69"/>
      <c r="I14" s="69"/>
      <c r="J14" s="69"/>
      <c r="K14" s="67"/>
      <c r="L14" s="5585"/>
      <c r="M14" s="70"/>
      <c r="N14" s="70"/>
      <c r="O14" s="70"/>
      <c r="P14" s="70"/>
      <c r="Q14" s="70"/>
      <c r="R14" s="72"/>
      <c r="S14" s="72"/>
      <c r="T14" s="73"/>
      <c r="U14" s="73"/>
      <c r="V14" s="73"/>
      <c r="W14" s="73" t="s">
        <v>28</v>
      </c>
      <c r="X14" s="74"/>
      <c r="Y14" s="74"/>
      <c r="Z14" s="75"/>
      <c r="AB14" s="6402"/>
    </row>
    <row r="15" spans="1:60" ht="27" outlineLevel="1" thickBot="1">
      <c r="A15" s="11"/>
      <c r="B15" s="76" t="s">
        <v>29</v>
      </c>
      <c r="C15" s="77"/>
      <c r="D15" s="77"/>
      <c r="E15" s="77"/>
      <c r="F15" s="78"/>
      <c r="G15" s="79" t="s">
        <v>30</v>
      </c>
      <c r="H15" s="80"/>
      <c r="I15" s="80"/>
      <c r="J15" s="80"/>
      <c r="K15" s="78"/>
      <c r="L15" s="5586"/>
      <c r="M15" s="81"/>
      <c r="N15" s="81"/>
      <c r="O15" s="81"/>
      <c r="P15" s="81"/>
      <c r="Q15" s="81"/>
      <c r="R15" s="77"/>
      <c r="S15" s="77"/>
      <c r="T15" s="82"/>
      <c r="U15" s="82"/>
      <c r="V15" s="82"/>
      <c r="W15" s="82"/>
      <c r="X15" s="1274"/>
      <c r="Y15" s="1274"/>
      <c r="Z15" s="6344"/>
    </row>
    <row r="16" spans="1:60" ht="20.100000000000001" customHeight="1" outlineLevel="1">
      <c r="A16" s="50"/>
      <c r="B16" s="84" t="b">
        <f>OR(ISBLANK(#REF!),ISBLANK(#REF!),ISBLANK(#REF!))</f>
        <v>0</v>
      </c>
      <c r="C16" s="85" t="s">
        <v>32</v>
      </c>
      <c r="D16" s="86"/>
      <c r="E16" s="86"/>
      <c r="F16" s="87" t="s">
        <v>33</v>
      </c>
      <c r="G16" s="1008"/>
      <c r="H16" s="9604" t="s">
        <v>34</v>
      </c>
      <c r="I16" s="9605"/>
      <c r="J16" s="9606"/>
      <c r="K16" s="87" t="s">
        <v>35</v>
      </c>
      <c r="L16" s="5830">
        <v>620645.63070700003</v>
      </c>
      <c r="M16" s="5829"/>
      <c r="N16" s="562">
        <v>682681.904094</v>
      </c>
      <c r="O16" s="5828"/>
      <c r="P16" s="5836">
        <v>474595</v>
      </c>
      <c r="Q16" s="761"/>
      <c r="R16" s="2465"/>
      <c r="S16" s="98"/>
      <c r="T16" s="99" t="s">
        <v>37</v>
      </c>
      <c r="U16" s="100"/>
      <c r="V16" s="100"/>
      <c r="W16" s="99"/>
      <c r="X16" s="6345"/>
      <c r="Y16" s="6345"/>
      <c r="Z16" s="6346"/>
      <c r="AB16" s="6402"/>
    </row>
    <row r="17" spans="2:60" s="11" customFormat="1" ht="20.100000000000001" customHeight="1" outlineLevel="1">
      <c r="B17" s="84" t="b">
        <f>OR(ISBLANK(#REF!),ISBLANK(#REF!),ISBLANK(#REF!))</f>
        <v>0</v>
      </c>
      <c r="C17" s="103" t="s">
        <v>38</v>
      </c>
      <c r="D17" s="104"/>
      <c r="E17" s="104"/>
      <c r="F17" s="105" t="s">
        <v>33</v>
      </c>
      <c r="G17" s="358"/>
      <c r="H17" s="9607" t="s">
        <v>39</v>
      </c>
      <c r="I17" s="9608"/>
      <c r="J17" s="9609"/>
      <c r="K17" s="105" t="s">
        <v>35</v>
      </c>
      <c r="L17" s="5830">
        <v>3164846.7449019998</v>
      </c>
      <c r="M17" s="5829"/>
      <c r="N17" s="562">
        <v>2918786.482394</v>
      </c>
      <c r="O17" s="5828"/>
      <c r="P17" s="5836">
        <v>2719620</v>
      </c>
      <c r="Q17" s="228"/>
      <c r="R17" s="2465"/>
      <c r="S17" s="98"/>
      <c r="T17" s="99" t="s">
        <v>37</v>
      </c>
      <c r="U17" s="100"/>
      <c r="V17" s="100"/>
      <c r="W17" s="99"/>
      <c r="X17" s="111"/>
      <c r="Y17" s="111"/>
      <c r="Z17" s="159"/>
      <c r="AA17" s="6301"/>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row>
    <row r="18" spans="2:60" s="11" customFormat="1" ht="20.100000000000001" customHeight="1" outlineLevel="1">
      <c r="B18" s="113" t="b">
        <f>OR(ISBLANK(#REF!),ISBLANK(#REF!),ISBLANK(#REF!))</f>
        <v>0</v>
      </c>
      <c r="C18" s="103" t="s">
        <v>40</v>
      </c>
      <c r="D18" s="104"/>
      <c r="E18" s="104"/>
      <c r="F18" s="105" t="s">
        <v>33</v>
      </c>
      <c r="G18" s="358"/>
      <c r="H18" s="9607" t="s">
        <v>41</v>
      </c>
      <c r="I18" s="9608"/>
      <c r="J18" s="9609"/>
      <c r="K18" s="105" t="s">
        <v>35</v>
      </c>
      <c r="L18" s="5830">
        <v>3785492.3756090002</v>
      </c>
      <c r="M18" s="5829"/>
      <c r="N18" s="562">
        <v>3601468.3864879999</v>
      </c>
      <c r="O18" s="5828"/>
      <c r="P18" s="5836">
        <v>3194215</v>
      </c>
      <c r="Q18" s="228"/>
      <c r="R18" s="2465"/>
      <c r="S18" s="98"/>
      <c r="T18" s="99" t="s">
        <v>37</v>
      </c>
      <c r="U18" s="100"/>
      <c r="V18" s="100"/>
      <c r="W18" s="99"/>
      <c r="X18" s="111"/>
      <c r="Y18" s="114" t="s">
        <v>42</v>
      </c>
      <c r="Z18" s="159"/>
      <c r="AA18" s="6301"/>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row>
    <row r="19" spans="2:60" s="11" customFormat="1" ht="20.100000000000001" customHeight="1" outlineLevel="1">
      <c r="B19" s="84" t="b">
        <f>OR(ISBLANK(#REF!),ISBLANK(#REF!),ISBLANK(#REF!))</f>
        <v>0</v>
      </c>
      <c r="C19" s="103" t="s">
        <v>43</v>
      </c>
      <c r="D19" s="104"/>
      <c r="E19" s="104"/>
      <c r="F19" s="105" t="s">
        <v>33</v>
      </c>
      <c r="G19" s="358"/>
      <c r="H19" s="9607" t="s">
        <v>44</v>
      </c>
      <c r="I19" s="9608"/>
      <c r="J19" s="9609"/>
      <c r="K19" s="105" t="s">
        <v>35</v>
      </c>
      <c r="L19" s="5830">
        <v>975423.22236100002</v>
      </c>
      <c r="M19" s="5829"/>
      <c r="N19" s="562">
        <v>1238638.1151690001</v>
      </c>
      <c r="O19" s="5828"/>
      <c r="P19" s="5836">
        <v>1032489</v>
      </c>
      <c r="Q19" s="228"/>
      <c r="R19" s="2465"/>
      <c r="S19" s="98"/>
      <c r="T19" s="99" t="s">
        <v>37</v>
      </c>
      <c r="U19" s="100"/>
      <c r="V19" s="100"/>
      <c r="W19" s="99"/>
      <c r="X19" s="111"/>
      <c r="Y19" s="111"/>
      <c r="Z19" s="159"/>
      <c r="AA19" s="6301"/>
      <c r="AB19" s="139"/>
      <c r="AC19" s="139"/>
      <c r="AD19" s="139"/>
      <c r="AE19" s="139"/>
      <c r="AF19" s="139"/>
      <c r="AG19" s="139"/>
      <c r="AH19" s="139"/>
      <c r="AI19" s="139"/>
      <c r="AJ19" s="139"/>
      <c r="AK19" s="139"/>
      <c r="AL19" s="139"/>
      <c r="AM19" s="139"/>
      <c r="AN19" s="139"/>
      <c r="AO19" s="139"/>
      <c r="AP19" s="139"/>
      <c r="AQ19" s="139"/>
      <c r="AR19" s="139"/>
      <c r="AS19" s="139"/>
      <c r="AT19" s="139"/>
      <c r="AU19" s="139"/>
      <c r="AV19" s="139"/>
      <c r="AW19" s="139"/>
      <c r="AX19" s="139"/>
      <c r="AY19" s="139"/>
      <c r="AZ19" s="139"/>
      <c r="BA19" s="139"/>
      <c r="BB19" s="139"/>
      <c r="BC19" s="139"/>
      <c r="BD19" s="139"/>
      <c r="BE19" s="139"/>
      <c r="BF19" s="139"/>
      <c r="BG19" s="139"/>
      <c r="BH19" s="139"/>
    </row>
    <row r="20" spans="2:60" s="11" customFormat="1" ht="20.100000000000001" customHeight="1" outlineLevel="1">
      <c r="B20" s="84" t="b">
        <f>OR(ISBLANK(#REF!),ISBLANK(#REF!),ISBLANK(#REF!))</f>
        <v>0</v>
      </c>
      <c r="C20" s="103" t="s">
        <v>45</v>
      </c>
      <c r="D20" s="104"/>
      <c r="E20" s="104"/>
      <c r="F20" s="105" t="s">
        <v>33</v>
      </c>
      <c r="G20" s="358"/>
      <c r="H20" s="9607" t="s">
        <v>46</v>
      </c>
      <c r="I20" s="9608"/>
      <c r="J20" s="9609"/>
      <c r="K20" s="105" t="s">
        <v>35</v>
      </c>
      <c r="L20" s="5830">
        <v>2508783.7857059999</v>
      </c>
      <c r="M20" s="5829"/>
      <c r="N20" s="562">
        <v>1969740.930624</v>
      </c>
      <c r="O20" s="5828"/>
      <c r="P20" s="5836">
        <v>1900485</v>
      </c>
      <c r="Q20" s="228"/>
      <c r="R20" s="2465"/>
      <c r="S20" s="98"/>
      <c r="T20" s="99" t="s">
        <v>37</v>
      </c>
      <c r="U20" s="100"/>
      <c r="V20" s="100"/>
      <c r="W20" s="99"/>
      <c r="X20" s="111"/>
      <c r="Y20" s="111"/>
      <c r="Z20" s="159"/>
      <c r="AA20" s="6301"/>
      <c r="AB20" s="139"/>
      <c r="AC20" s="139"/>
      <c r="AD20" s="139"/>
      <c r="AE20" s="139"/>
      <c r="AF20" s="139"/>
      <c r="AG20" s="139"/>
      <c r="AH20" s="139"/>
      <c r="AI20" s="139"/>
      <c r="AJ20" s="139"/>
      <c r="AK20" s="139"/>
      <c r="AL20" s="139"/>
      <c r="AM20" s="139"/>
      <c r="AN20" s="139"/>
      <c r="AO20" s="139"/>
      <c r="AP20" s="139"/>
      <c r="AQ20" s="139"/>
      <c r="AR20" s="139"/>
      <c r="AS20" s="139"/>
      <c r="AT20" s="139"/>
      <c r="AU20" s="139"/>
      <c r="AV20" s="139"/>
      <c r="AW20" s="139"/>
      <c r="AX20" s="139"/>
      <c r="AY20" s="139"/>
      <c r="AZ20" s="139"/>
      <c r="BA20" s="139"/>
      <c r="BB20" s="139"/>
      <c r="BC20" s="139"/>
      <c r="BD20" s="139"/>
      <c r="BE20" s="139"/>
      <c r="BF20" s="139"/>
      <c r="BG20" s="139"/>
      <c r="BH20" s="139"/>
    </row>
    <row r="21" spans="2:60" s="11" customFormat="1" ht="20.100000000000001" customHeight="1" outlineLevel="1">
      <c r="B21" s="113" t="b">
        <f>OR(ISBLANK(#REF!),ISBLANK(#REF!),ISBLANK(#REF!))</f>
        <v>0</v>
      </c>
      <c r="C21" s="103" t="s">
        <v>47</v>
      </c>
      <c r="D21" s="104"/>
      <c r="E21" s="104"/>
      <c r="F21" s="105" t="s">
        <v>33</v>
      </c>
      <c r="G21" s="358"/>
      <c r="H21" s="9607" t="s">
        <v>48</v>
      </c>
      <c r="I21" s="9608"/>
      <c r="J21" s="9609"/>
      <c r="K21" s="105" t="s">
        <v>35</v>
      </c>
      <c r="L21" s="5830">
        <v>3484207.0080670002</v>
      </c>
      <c r="M21" s="5829"/>
      <c r="N21" s="562">
        <v>3208379.0457930001</v>
      </c>
      <c r="O21" s="5828"/>
      <c r="P21" s="5836">
        <v>2932974</v>
      </c>
      <c r="Q21" s="228"/>
      <c r="R21" s="2465"/>
      <c r="S21" s="98"/>
      <c r="T21" s="99" t="s">
        <v>37</v>
      </c>
      <c r="U21" s="100"/>
      <c r="V21" s="100"/>
      <c r="W21" s="99"/>
      <c r="X21" s="111"/>
      <c r="Y21" s="114" t="s">
        <v>42</v>
      </c>
      <c r="Z21" s="159"/>
      <c r="AA21" s="6301"/>
      <c r="AB21" s="139"/>
      <c r="AC21" s="139"/>
      <c r="AD21" s="139"/>
      <c r="AE21" s="139"/>
      <c r="AF21" s="139"/>
      <c r="AG21" s="139"/>
      <c r="AH21" s="139"/>
      <c r="AI21" s="139"/>
      <c r="AJ21" s="139"/>
      <c r="AK21" s="139"/>
      <c r="AL21" s="139"/>
      <c r="AM21" s="139"/>
      <c r="AN21" s="139"/>
      <c r="AO21" s="139"/>
      <c r="AP21" s="139"/>
      <c r="AQ21" s="139"/>
      <c r="AR21" s="139"/>
      <c r="AS21" s="139"/>
      <c r="AT21" s="139"/>
      <c r="AU21" s="139"/>
      <c r="AV21" s="139"/>
      <c r="AW21" s="139"/>
      <c r="AX21" s="139"/>
      <c r="AY21" s="139"/>
      <c r="AZ21" s="139"/>
      <c r="BA21" s="139"/>
      <c r="BB21" s="139"/>
      <c r="BC21" s="139"/>
      <c r="BD21" s="139"/>
      <c r="BE21" s="139"/>
      <c r="BF21" s="139"/>
      <c r="BG21" s="139"/>
      <c r="BH21" s="139"/>
    </row>
    <row r="22" spans="2:60" s="11" customFormat="1" ht="20.100000000000001" customHeight="1" outlineLevel="1">
      <c r="B22" s="84" t="b">
        <f>OR(ISBLANK(#REF!),ISBLANK(#REF!),ISBLANK(#REF!))</f>
        <v>0</v>
      </c>
      <c r="C22" s="103" t="s">
        <v>49</v>
      </c>
      <c r="D22" s="104"/>
      <c r="E22" s="104"/>
      <c r="F22" s="105" t="s">
        <v>33</v>
      </c>
      <c r="G22" s="358"/>
      <c r="H22" s="9607" t="s">
        <v>50</v>
      </c>
      <c r="I22" s="9608"/>
      <c r="J22" s="9609"/>
      <c r="K22" s="105" t="s">
        <v>35</v>
      </c>
      <c r="L22" s="5830">
        <v>225247.92629500001</v>
      </c>
      <c r="M22" s="5829"/>
      <c r="N22" s="562">
        <v>376320.42445200001</v>
      </c>
      <c r="O22" s="5828"/>
      <c r="P22" s="5836">
        <v>421276</v>
      </c>
      <c r="Q22" s="228"/>
      <c r="R22" s="2465"/>
      <c r="S22" s="98"/>
      <c r="T22" s="99" t="s">
        <v>37</v>
      </c>
      <c r="U22" s="100"/>
      <c r="V22" s="100"/>
      <c r="W22" s="99"/>
      <c r="X22" s="111"/>
      <c r="Y22" s="111"/>
      <c r="Z22" s="159"/>
      <c r="AA22" s="6301"/>
      <c r="AB22" s="139"/>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39"/>
      <c r="BA22" s="139"/>
      <c r="BB22" s="139"/>
      <c r="BC22" s="139"/>
      <c r="BD22" s="139"/>
      <c r="BE22" s="139"/>
      <c r="BF22" s="139"/>
      <c r="BG22" s="139"/>
      <c r="BH22" s="139"/>
    </row>
    <row r="23" spans="2:60" s="11" customFormat="1" ht="20.100000000000001" customHeight="1" outlineLevel="1">
      <c r="B23" s="113" t="b">
        <f>OR(ISBLANK(#REF!),ISBLANK(#REF!),ISBLANK(#REF!))</f>
        <v>0</v>
      </c>
      <c r="C23" s="103" t="s">
        <v>51</v>
      </c>
      <c r="D23" s="104"/>
      <c r="E23" s="104"/>
      <c r="F23" s="105" t="s">
        <v>33</v>
      </c>
      <c r="G23" s="358"/>
      <c r="H23" s="9607" t="s">
        <v>52</v>
      </c>
      <c r="I23" s="9608"/>
      <c r="J23" s="9609"/>
      <c r="K23" s="105" t="s">
        <v>35</v>
      </c>
      <c r="L23" s="5830">
        <v>301285.36754200002</v>
      </c>
      <c r="M23" s="5829"/>
      <c r="N23" s="562">
        <v>393089.34069500002</v>
      </c>
      <c r="O23" s="5828"/>
      <c r="P23" s="5836">
        <v>261241</v>
      </c>
      <c r="Q23" s="228"/>
      <c r="R23" s="2465"/>
      <c r="S23" s="98"/>
      <c r="T23" s="99" t="s">
        <v>37</v>
      </c>
      <c r="U23" s="100"/>
      <c r="V23" s="100"/>
      <c r="W23" s="99"/>
      <c r="X23" s="111"/>
      <c r="Y23" s="114" t="s">
        <v>42</v>
      </c>
      <c r="Z23" s="159"/>
      <c r="AA23" s="6301"/>
      <c r="AB23" s="139"/>
      <c r="AC23" s="139"/>
      <c r="AD23" s="139"/>
      <c r="AE23" s="139"/>
      <c r="AF23" s="139"/>
      <c r="AG23" s="139"/>
      <c r="AH23" s="139"/>
      <c r="AI23" s="139"/>
      <c r="AJ23" s="139"/>
      <c r="AK23" s="139"/>
      <c r="AL23" s="139"/>
      <c r="AM23" s="139"/>
      <c r="AN23" s="139"/>
      <c r="AO23" s="139"/>
      <c r="AP23" s="139"/>
      <c r="AQ23" s="139"/>
      <c r="AR23" s="139"/>
      <c r="AS23" s="139"/>
      <c r="AT23" s="139"/>
      <c r="AU23" s="139"/>
      <c r="AV23" s="139"/>
      <c r="AW23" s="139"/>
      <c r="AX23" s="139"/>
      <c r="AY23" s="139"/>
      <c r="AZ23" s="139"/>
      <c r="BA23" s="139"/>
      <c r="BB23" s="139"/>
      <c r="BC23" s="139"/>
      <c r="BD23" s="139"/>
      <c r="BE23" s="139"/>
      <c r="BF23" s="139"/>
      <c r="BG23" s="139"/>
      <c r="BH23" s="139"/>
    </row>
    <row r="24" spans="2:60" s="11" customFormat="1" ht="20.100000000000001" customHeight="1" outlineLevel="1" thickBot="1">
      <c r="B24" s="84" t="b">
        <f>OR(ISBLANK(#REF!),ISBLANK(#REF!),ISBLANK(#REF!))</f>
        <v>0</v>
      </c>
      <c r="C24" s="117" t="s">
        <v>53</v>
      </c>
      <c r="D24" s="118"/>
      <c r="E24" s="118"/>
      <c r="F24" s="119" t="s">
        <v>33</v>
      </c>
      <c r="G24" s="347"/>
      <c r="H24" s="9607" t="s">
        <v>54</v>
      </c>
      <c r="I24" s="9608"/>
      <c r="J24" s="9609"/>
      <c r="K24" s="119" t="s">
        <v>35</v>
      </c>
      <c r="L24" s="5830">
        <v>3785492.3756090002</v>
      </c>
      <c r="M24" s="5829"/>
      <c r="N24" s="562">
        <v>3601468.3864879999</v>
      </c>
      <c r="O24" s="5828"/>
      <c r="P24" s="5836">
        <v>3194215</v>
      </c>
      <c r="Q24" s="592"/>
      <c r="R24" s="2465"/>
      <c r="S24" s="98"/>
      <c r="T24" s="99" t="s">
        <v>37</v>
      </c>
      <c r="U24" s="100"/>
      <c r="V24" s="100"/>
      <c r="W24" s="99"/>
      <c r="X24" s="111"/>
      <c r="Y24" s="111"/>
      <c r="Z24" s="159"/>
      <c r="AA24" s="6301"/>
      <c r="AB24" s="139"/>
      <c r="AC24" s="139"/>
      <c r="AD24" s="139"/>
      <c r="AE24" s="139"/>
      <c r="AF24" s="139"/>
      <c r="AG24" s="139"/>
      <c r="AH24" s="139"/>
      <c r="AI24" s="139"/>
      <c r="AJ24" s="139"/>
      <c r="AK24" s="139"/>
      <c r="AL24" s="139"/>
      <c r="AM24" s="139"/>
      <c r="AN24" s="139"/>
      <c r="AO24" s="139"/>
      <c r="AP24" s="139"/>
      <c r="AQ24" s="139"/>
      <c r="AR24" s="139"/>
      <c r="AS24" s="139"/>
      <c r="AT24" s="139"/>
      <c r="AU24" s="139"/>
      <c r="AV24" s="139"/>
      <c r="AW24" s="139"/>
      <c r="AX24" s="139"/>
      <c r="AY24" s="139"/>
      <c r="AZ24" s="139"/>
      <c r="BA24" s="139"/>
      <c r="BB24" s="139"/>
      <c r="BC24" s="139"/>
      <c r="BD24" s="139"/>
      <c r="BE24" s="139"/>
      <c r="BF24" s="139"/>
      <c r="BG24" s="139"/>
      <c r="BH24" s="139"/>
    </row>
    <row r="25" spans="2:60" s="11" customFormat="1" ht="27" outlineLevel="1" thickBot="1">
      <c r="B25" s="123" t="s">
        <v>55</v>
      </c>
      <c r="C25" s="124"/>
      <c r="D25" s="124"/>
      <c r="E25" s="124"/>
      <c r="F25" s="78"/>
      <c r="G25" s="125" t="s">
        <v>56</v>
      </c>
      <c r="H25" s="126"/>
      <c r="I25" s="126"/>
      <c r="J25" s="126"/>
      <c r="K25" s="78"/>
      <c r="L25" s="5587"/>
      <c r="M25" s="127"/>
      <c r="N25" s="127"/>
      <c r="O25" s="127"/>
      <c r="P25" s="127"/>
      <c r="Q25" s="127"/>
      <c r="R25" s="80"/>
      <c r="S25" s="80"/>
      <c r="T25" s="129"/>
      <c r="U25" s="129"/>
      <c r="V25" s="129"/>
      <c r="W25" s="129"/>
      <c r="X25" s="6347"/>
      <c r="Y25" s="6347"/>
      <c r="Z25" s="329"/>
      <c r="AA25" s="6301"/>
      <c r="AB25" s="139"/>
      <c r="AC25" s="139"/>
      <c r="AD25" s="139"/>
      <c r="AE25" s="139"/>
      <c r="AF25" s="139"/>
      <c r="AG25" s="139"/>
      <c r="AH25" s="139"/>
      <c r="AI25" s="139"/>
      <c r="AJ25" s="139"/>
      <c r="AK25" s="139"/>
      <c r="AL25" s="139"/>
      <c r="AM25" s="139"/>
      <c r="AN25" s="139"/>
      <c r="AO25" s="139"/>
      <c r="AP25" s="139"/>
      <c r="AQ25" s="139"/>
      <c r="AR25" s="139"/>
      <c r="AS25" s="139"/>
      <c r="AT25" s="139"/>
      <c r="AU25" s="139"/>
      <c r="AV25" s="139"/>
      <c r="AW25" s="139"/>
      <c r="AX25" s="139"/>
      <c r="AY25" s="139"/>
      <c r="AZ25" s="139"/>
      <c r="BA25" s="139"/>
      <c r="BB25" s="139"/>
      <c r="BC25" s="139"/>
      <c r="BD25" s="139"/>
      <c r="BE25" s="139"/>
      <c r="BF25" s="139"/>
      <c r="BG25" s="139"/>
      <c r="BH25" s="139"/>
    </row>
    <row r="26" spans="2:60" s="139" customFormat="1" ht="20.100000000000001" customHeight="1" outlineLevel="1">
      <c r="B26" s="113" t="b">
        <f>OR(ISBLANK(#REF!),ISBLANK(#REF!),ISBLANK(#REF!))</f>
        <v>0</v>
      </c>
      <c r="C26" s="9677" t="s">
        <v>57</v>
      </c>
      <c r="D26" s="9677"/>
      <c r="E26" s="9677"/>
      <c r="F26" s="132" t="s">
        <v>33</v>
      </c>
      <c r="G26" s="6289"/>
      <c r="H26" s="9610" t="s">
        <v>58</v>
      </c>
      <c r="I26" s="9611"/>
      <c r="J26" s="9612"/>
      <c r="K26" s="132" t="s">
        <v>35</v>
      </c>
      <c r="L26" s="6475">
        <v>733257.447682</v>
      </c>
      <c r="M26" s="6447"/>
      <c r="N26" s="6476">
        <v>1273191.852459</v>
      </c>
      <c r="O26" s="6449"/>
      <c r="P26" s="6444">
        <v>1545839</v>
      </c>
      <c r="Q26" s="6451"/>
      <c r="R26" s="1066"/>
      <c r="S26" s="735"/>
      <c r="T26" s="109" t="s">
        <v>37</v>
      </c>
      <c r="U26" s="547"/>
      <c r="V26" s="547"/>
      <c r="W26" s="109"/>
      <c r="X26" s="111"/>
      <c r="Y26" s="114" t="s">
        <v>42</v>
      </c>
      <c r="Z26" s="159"/>
      <c r="AA26" s="6301"/>
    </row>
    <row r="27" spans="2:60" s="11" customFormat="1" ht="20.100000000000001" customHeight="1" outlineLevel="1">
      <c r="B27" s="84" t="b">
        <f>OR(ISBLANK(#REF!),ISBLANK(#REF!),ISBLANK(#REF!))</f>
        <v>0</v>
      </c>
      <c r="C27" s="103" t="s">
        <v>59</v>
      </c>
      <c r="D27" s="104"/>
      <c r="E27" s="104"/>
      <c r="F27" s="105" t="s">
        <v>33</v>
      </c>
      <c r="G27" s="6288"/>
      <c r="H27" s="9613" t="s">
        <v>60</v>
      </c>
      <c r="I27" s="9614"/>
      <c r="J27" s="9615"/>
      <c r="K27" s="105" t="s">
        <v>35</v>
      </c>
      <c r="L27" s="6475">
        <v>-969055.14523200004</v>
      </c>
      <c r="M27" s="6447"/>
      <c r="N27" s="6476">
        <v>-1343427.9848750001</v>
      </c>
      <c r="O27" s="6449"/>
      <c r="P27" s="6445">
        <v>-1496773</v>
      </c>
      <c r="Q27" s="6452"/>
      <c r="R27" s="1066"/>
      <c r="S27" s="735"/>
      <c r="T27" s="109" t="s">
        <v>37</v>
      </c>
      <c r="U27" s="547"/>
      <c r="V27" s="547"/>
      <c r="W27" s="109"/>
      <c r="X27" s="111"/>
      <c r="Y27" s="111"/>
      <c r="Z27" s="159"/>
      <c r="AA27" s="6301"/>
      <c r="AB27" s="139"/>
      <c r="AC27" s="139"/>
      <c r="AD27" s="139"/>
      <c r="AE27" s="139"/>
      <c r="AF27" s="139"/>
      <c r="AG27" s="139"/>
      <c r="AH27" s="139"/>
      <c r="AI27" s="139"/>
      <c r="AJ27" s="139"/>
      <c r="AK27" s="139"/>
      <c r="AL27" s="139"/>
      <c r="AM27" s="139"/>
      <c r="AN27" s="139"/>
      <c r="AO27" s="139"/>
      <c r="AP27" s="139"/>
      <c r="AQ27" s="139"/>
      <c r="AR27" s="139"/>
      <c r="AS27" s="139"/>
      <c r="AT27" s="139"/>
      <c r="AU27" s="139"/>
      <c r="AV27" s="139"/>
      <c r="AW27" s="139"/>
      <c r="AX27" s="139"/>
      <c r="AY27" s="139"/>
      <c r="AZ27" s="139"/>
      <c r="BA27" s="139"/>
      <c r="BB27" s="139"/>
      <c r="BC27" s="139"/>
      <c r="BD27" s="139"/>
      <c r="BE27" s="139"/>
      <c r="BF27" s="139"/>
      <c r="BG27" s="139"/>
      <c r="BH27" s="139"/>
    </row>
    <row r="28" spans="2:60" s="139" customFormat="1" ht="20.100000000000001" customHeight="1" outlineLevel="1">
      <c r="B28" s="113" t="b">
        <f>OR(ISBLANK(#REF!),ISBLANK(#REF!),ISBLANK(#REF!))</f>
        <v>0</v>
      </c>
      <c r="C28" s="103" t="s">
        <v>61</v>
      </c>
      <c r="D28" s="104"/>
      <c r="E28" s="104"/>
      <c r="F28" s="105" t="s">
        <v>33</v>
      </c>
      <c r="G28" s="6290"/>
      <c r="H28" s="9613" t="s">
        <v>62</v>
      </c>
      <c r="I28" s="9614"/>
      <c r="J28" s="9615"/>
      <c r="K28" s="105" t="s">
        <v>35</v>
      </c>
      <c r="L28" s="6475">
        <v>-235797.69755000001</v>
      </c>
      <c r="M28" s="6447"/>
      <c r="N28" s="6476">
        <v>-70236.132415999993</v>
      </c>
      <c r="O28" s="6449"/>
      <c r="P28" s="6444">
        <v>49066</v>
      </c>
      <c r="Q28" s="6452"/>
      <c r="R28" s="1066"/>
      <c r="S28" s="735"/>
      <c r="T28" s="109" t="s">
        <v>37</v>
      </c>
      <c r="U28" s="547"/>
      <c r="V28" s="547"/>
      <c r="W28" s="109"/>
      <c r="X28" s="111"/>
      <c r="Y28" s="114" t="s">
        <v>42</v>
      </c>
      <c r="Z28" s="159"/>
      <c r="AA28" s="6301"/>
    </row>
    <row r="29" spans="2:60" s="11" customFormat="1" ht="20.100000000000001" customHeight="1" outlineLevel="1">
      <c r="B29" s="113" t="b">
        <f>OR(ISBLANK(#REF!),ISBLANK(#REF!),ISBLANK(#REF!))</f>
        <v>0</v>
      </c>
      <c r="C29" s="103" t="s">
        <v>63</v>
      </c>
      <c r="D29" s="104"/>
      <c r="E29" s="104"/>
      <c r="F29" s="105" t="s">
        <v>33</v>
      </c>
      <c r="G29" s="6288"/>
      <c r="H29" s="9613" t="s">
        <v>64</v>
      </c>
      <c r="I29" s="9614"/>
      <c r="J29" s="9615"/>
      <c r="K29" s="105" t="s">
        <v>35</v>
      </c>
      <c r="L29" s="6450">
        <v>67643</v>
      </c>
      <c r="M29" s="6447"/>
      <c r="N29" s="6448">
        <v>99955</v>
      </c>
      <c r="O29" s="6449"/>
      <c r="P29" s="6444">
        <v>54024</v>
      </c>
      <c r="Q29" s="6452"/>
      <c r="R29" s="1066"/>
      <c r="S29" s="735"/>
      <c r="T29" s="109" t="s">
        <v>37</v>
      </c>
      <c r="U29" s="547"/>
      <c r="V29" s="547"/>
      <c r="W29" s="109"/>
      <c r="X29" s="111"/>
      <c r="Y29" s="111"/>
      <c r="Z29" s="159"/>
      <c r="AA29" s="6301"/>
      <c r="AB29" s="139"/>
      <c r="AC29" s="139"/>
      <c r="AD29" s="139"/>
      <c r="AE29" s="139"/>
      <c r="AF29" s="139"/>
      <c r="AG29" s="139"/>
      <c r="AH29" s="139"/>
      <c r="AI29" s="139"/>
      <c r="AJ29" s="139"/>
      <c r="AK29" s="139"/>
      <c r="AL29" s="139"/>
      <c r="AM29" s="139"/>
      <c r="AN29" s="139"/>
      <c r="AO29" s="139"/>
      <c r="AP29" s="139"/>
      <c r="AQ29" s="139"/>
      <c r="AR29" s="139"/>
      <c r="AS29" s="139"/>
      <c r="AT29" s="139"/>
      <c r="AU29" s="139"/>
      <c r="AV29" s="139"/>
      <c r="AW29" s="139"/>
      <c r="AX29" s="139"/>
      <c r="AY29" s="139"/>
      <c r="AZ29" s="139"/>
      <c r="BA29" s="139"/>
      <c r="BB29" s="139"/>
      <c r="BC29" s="139"/>
      <c r="BD29" s="139"/>
      <c r="BE29" s="139"/>
      <c r="BF29" s="139"/>
      <c r="BG29" s="139"/>
      <c r="BH29" s="139"/>
    </row>
    <row r="30" spans="2:60" s="11" customFormat="1" ht="20.100000000000001" customHeight="1" outlineLevel="1">
      <c r="B30" s="84" t="b">
        <f>OR(ISBLANK(#REF!),ISBLANK(#REF!),ISBLANK(#REF!))</f>
        <v>0</v>
      </c>
      <c r="C30" s="9671" t="s">
        <v>65</v>
      </c>
      <c r="D30" s="9671"/>
      <c r="E30" s="9671"/>
      <c r="F30" s="105" t="s">
        <v>33</v>
      </c>
      <c r="G30" s="6288"/>
      <c r="H30" s="9613" t="s">
        <v>66</v>
      </c>
      <c r="I30" s="9614"/>
      <c r="J30" s="9615"/>
      <c r="K30" s="105" t="s">
        <v>35</v>
      </c>
      <c r="L30" s="6475">
        <v>-191348.45773600001</v>
      </c>
      <c r="M30" s="6447"/>
      <c r="N30" s="6477">
        <v>-229456.54026000001</v>
      </c>
      <c r="O30" s="6449"/>
      <c r="P30" s="6446">
        <v>-228193</v>
      </c>
      <c r="Q30" s="6452"/>
      <c r="R30" s="1066"/>
      <c r="S30" s="735"/>
      <c r="T30" s="109" t="s">
        <v>37</v>
      </c>
      <c r="U30" s="547"/>
      <c r="V30" s="547"/>
      <c r="W30" s="109"/>
      <c r="X30" s="111"/>
      <c r="Y30" s="111"/>
      <c r="Z30" s="159"/>
      <c r="AA30" s="6302"/>
      <c r="AB30" s="139"/>
      <c r="AC30" s="139"/>
      <c r="AD30" s="139"/>
      <c r="AE30" s="139"/>
      <c r="AF30" s="139"/>
      <c r="AG30" s="139"/>
      <c r="AH30" s="139"/>
      <c r="AI30" s="139"/>
      <c r="AJ30" s="139"/>
      <c r="AK30" s="139"/>
      <c r="AL30" s="139"/>
      <c r="AM30" s="139"/>
      <c r="AN30" s="139"/>
      <c r="AO30" s="139"/>
      <c r="AP30" s="139"/>
      <c r="AQ30" s="139"/>
      <c r="AR30" s="139"/>
      <c r="AS30" s="139"/>
      <c r="AT30" s="139"/>
      <c r="AU30" s="139"/>
      <c r="AV30" s="139"/>
      <c r="AW30" s="139"/>
      <c r="AX30" s="139"/>
      <c r="AY30" s="139"/>
      <c r="AZ30" s="139"/>
      <c r="BA30" s="139"/>
      <c r="BB30" s="139"/>
      <c r="BC30" s="139"/>
      <c r="BD30" s="139"/>
      <c r="BE30" s="139"/>
      <c r="BF30" s="139"/>
      <c r="BG30" s="139"/>
      <c r="BH30" s="139"/>
    </row>
    <row r="31" spans="2:60" s="11" customFormat="1" ht="20.100000000000001" customHeight="1" outlineLevel="1">
      <c r="B31" s="5826" t="b">
        <f>OR(ISBLANK(#REF!),ISBLANK(#REF!),ISBLANK(#REF!))</f>
        <v>0</v>
      </c>
      <c r="C31" s="5825" t="s">
        <v>67</v>
      </c>
      <c r="D31" s="5827"/>
      <c r="E31" s="5827"/>
      <c r="F31" s="105" t="s">
        <v>33</v>
      </c>
      <c r="G31" s="6288"/>
      <c r="H31" s="9613" t="s">
        <v>68</v>
      </c>
      <c r="I31" s="9614"/>
      <c r="J31" s="9615"/>
      <c r="K31" s="105" t="s">
        <v>35</v>
      </c>
      <c r="L31" s="6475">
        <v>3214.111668</v>
      </c>
      <c r="M31" s="6447"/>
      <c r="N31" s="6476">
        <v>25316.281386999999</v>
      </c>
      <c r="O31" s="6449"/>
      <c r="P31" s="6446">
        <v>-17567</v>
      </c>
      <c r="Q31" s="6452"/>
      <c r="R31" s="1066"/>
      <c r="S31" s="735"/>
      <c r="T31" s="109" t="s">
        <v>37</v>
      </c>
      <c r="U31" s="547"/>
      <c r="V31" s="547"/>
      <c r="W31" s="109"/>
      <c r="X31" s="111"/>
      <c r="Y31" s="111"/>
      <c r="Z31" s="159"/>
      <c r="AA31" s="6301"/>
      <c r="AB31" s="139"/>
      <c r="AC31" s="139"/>
      <c r="AD31" s="139"/>
      <c r="AE31" s="139"/>
      <c r="AF31" s="139"/>
      <c r="AG31" s="139"/>
      <c r="AH31" s="139"/>
      <c r="AI31" s="139"/>
      <c r="AJ31" s="139"/>
      <c r="AK31" s="139"/>
      <c r="AL31" s="139"/>
      <c r="AM31" s="139"/>
      <c r="AN31" s="139"/>
      <c r="AO31" s="139"/>
      <c r="AP31" s="139"/>
      <c r="AQ31" s="139"/>
      <c r="AR31" s="139"/>
      <c r="AS31" s="139"/>
      <c r="AT31" s="139"/>
      <c r="AU31" s="139"/>
      <c r="AV31" s="139"/>
      <c r="AW31" s="139"/>
      <c r="AX31" s="139"/>
      <c r="AY31" s="139"/>
      <c r="AZ31" s="139"/>
      <c r="BA31" s="139"/>
      <c r="BB31" s="139"/>
      <c r="BC31" s="139"/>
      <c r="BD31" s="139"/>
      <c r="BE31" s="139"/>
      <c r="BF31" s="139"/>
      <c r="BG31" s="139"/>
      <c r="BH31" s="139"/>
    </row>
    <row r="32" spans="2:60" s="11" customFormat="1" ht="20.100000000000001" customHeight="1" outlineLevel="1">
      <c r="B32" s="84" t="b">
        <f>OR(ISBLANK(#REF!),ISBLANK(#REF!),ISBLANK(#REF!))</f>
        <v>0</v>
      </c>
      <c r="C32" s="9671" t="s">
        <v>69</v>
      </c>
      <c r="D32" s="9672"/>
      <c r="E32" s="9617"/>
      <c r="F32" s="105" t="s">
        <v>33</v>
      </c>
      <c r="G32" s="6288"/>
      <c r="H32" s="9613" t="s">
        <v>70</v>
      </c>
      <c r="I32" s="9614"/>
      <c r="J32" s="9615"/>
      <c r="K32" s="105" t="s">
        <v>35</v>
      </c>
      <c r="L32" s="6450">
        <v>-2865</v>
      </c>
      <c r="M32" s="6447"/>
      <c r="N32" s="6448">
        <v>-11841</v>
      </c>
      <c r="O32" s="6449"/>
      <c r="P32" s="6444">
        <v>25169</v>
      </c>
      <c r="Q32" s="6452"/>
      <c r="R32" s="1066"/>
      <c r="S32" s="735"/>
      <c r="T32" s="109" t="s">
        <v>37</v>
      </c>
      <c r="U32" s="547"/>
      <c r="V32" s="547"/>
      <c r="W32" s="109"/>
      <c r="X32" s="111"/>
      <c r="Y32" s="111"/>
      <c r="Z32" s="159"/>
      <c r="AA32" s="6302"/>
      <c r="AB32" s="139"/>
      <c r="AC32" s="139"/>
      <c r="AD32" s="139"/>
      <c r="AE32" s="139"/>
      <c r="AF32" s="139"/>
      <c r="AG32" s="139"/>
      <c r="AH32" s="139"/>
      <c r="AI32" s="139"/>
      <c r="AJ32" s="139"/>
      <c r="AK32" s="139"/>
      <c r="AL32" s="139"/>
      <c r="AM32" s="139"/>
      <c r="AN32" s="139"/>
      <c r="AO32" s="139"/>
      <c r="AP32" s="139"/>
      <c r="AQ32" s="139"/>
      <c r="AR32" s="139"/>
      <c r="AS32" s="139"/>
      <c r="AT32" s="139"/>
      <c r="AU32" s="139"/>
      <c r="AV32" s="139"/>
      <c r="AW32" s="139"/>
      <c r="AX32" s="139"/>
      <c r="AY32" s="139"/>
      <c r="AZ32" s="139"/>
      <c r="BA32" s="139"/>
      <c r="BB32" s="139"/>
      <c r="BC32" s="139"/>
      <c r="BD32" s="139"/>
      <c r="BE32" s="139"/>
      <c r="BF32" s="139"/>
      <c r="BG32" s="139"/>
      <c r="BH32" s="139"/>
    </row>
    <row r="33" spans="2:60" s="11" customFormat="1" ht="20.100000000000001" customHeight="1" outlineLevel="1">
      <c r="B33" s="84" t="b">
        <f>OR(ISBLANK(#REF!),ISBLANK(#REF!),ISBLANK(#REF!))</f>
        <v>0</v>
      </c>
      <c r="C33" s="9671" t="s">
        <v>71</v>
      </c>
      <c r="D33" s="9671"/>
      <c r="E33" s="9671"/>
      <c r="F33" s="132" t="s">
        <v>33</v>
      </c>
      <c r="G33" s="6288"/>
      <c r="H33" s="9613" t="s">
        <v>72</v>
      </c>
      <c r="I33" s="9614"/>
      <c r="J33" s="9615"/>
      <c r="K33" s="132" t="s">
        <v>35</v>
      </c>
      <c r="L33" s="6475">
        <v>-359154.417166</v>
      </c>
      <c r="M33" s="6447"/>
      <c r="N33" s="6476">
        <v>-186262.118231</v>
      </c>
      <c r="O33" s="6449"/>
      <c r="P33" s="6446">
        <v>-117502</v>
      </c>
      <c r="Q33" s="6452"/>
      <c r="R33" s="1066"/>
      <c r="S33" s="735"/>
      <c r="T33" s="109" t="s">
        <v>37</v>
      </c>
      <c r="U33" s="547"/>
      <c r="V33" s="547"/>
      <c r="W33" s="109"/>
      <c r="X33" s="111"/>
      <c r="Y33" s="111"/>
      <c r="Z33" s="159"/>
      <c r="AA33" s="6301"/>
      <c r="AB33" s="139"/>
      <c r="AC33" s="139"/>
      <c r="AD33" s="139"/>
      <c r="AE33" s="139"/>
      <c r="AF33" s="139"/>
      <c r="AG33" s="139"/>
      <c r="AH33" s="139"/>
      <c r="AI33" s="139"/>
      <c r="AJ33" s="139"/>
      <c r="AK33" s="139"/>
      <c r="AL33" s="139"/>
      <c r="AM33" s="139"/>
      <c r="AN33" s="139"/>
      <c r="AO33" s="139"/>
      <c r="AP33" s="139"/>
      <c r="AQ33" s="139"/>
      <c r="AR33" s="139"/>
      <c r="AS33" s="139"/>
      <c r="AT33" s="139"/>
      <c r="AU33" s="139"/>
      <c r="AV33" s="139"/>
      <c r="AW33" s="139"/>
      <c r="AX33" s="139"/>
      <c r="AY33" s="139"/>
      <c r="AZ33" s="139"/>
      <c r="BA33" s="139"/>
      <c r="BB33" s="139"/>
      <c r="BC33" s="139"/>
      <c r="BD33" s="139"/>
      <c r="BE33" s="139"/>
      <c r="BF33" s="139"/>
      <c r="BG33" s="139"/>
      <c r="BH33" s="139"/>
    </row>
    <row r="34" spans="2:60" s="11" customFormat="1" ht="20.100000000000001" customHeight="1" outlineLevel="1">
      <c r="B34" s="113" t="b">
        <f>OR(ISBLANK(#REF!),ISBLANK(#REF!),ISBLANK(#REF!))</f>
        <v>0</v>
      </c>
      <c r="C34" s="103" t="s">
        <v>73</v>
      </c>
      <c r="D34" s="104"/>
      <c r="E34" s="104"/>
      <c r="F34" s="105" t="s">
        <v>33</v>
      </c>
      <c r="G34" s="6288"/>
      <c r="H34" s="9613" t="s">
        <v>74</v>
      </c>
      <c r="I34" s="9614"/>
      <c r="J34" s="9615"/>
      <c r="K34" s="105" t="s">
        <v>35</v>
      </c>
      <c r="L34" s="6475">
        <v>34520.820068000001</v>
      </c>
      <c r="M34" s="6447"/>
      <c r="N34" s="6476">
        <v>23136.550266999999</v>
      </c>
      <c r="O34" s="6449"/>
      <c r="P34" s="6478">
        <v>2190</v>
      </c>
      <c r="Q34" s="6452"/>
      <c r="R34" s="1066"/>
      <c r="S34" s="735"/>
      <c r="T34" s="109" t="s">
        <v>37</v>
      </c>
      <c r="U34" s="547"/>
      <c r="V34" s="547"/>
      <c r="W34" s="109"/>
      <c r="X34" s="111"/>
      <c r="Y34" s="114" t="s">
        <v>42</v>
      </c>
      <c r="Z34" s="159"/>
      <c r="AA34" s="6301"/>
      <c r="AB34" s="139"/>
      <c r="AC34" s="139"/>
      <c r="AD34" s="139"/>
      <c r="AE34" s="139"/>
      <c r="AF34" s="139"/>
      <c r="AG34" s="139"/>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row>
    <row r="35" spans="2:60" s="139" customFormat="1" ht="20.100000000000001" customHeight="1" outlineLevel="1">
      <c r="B35" s="113" t="b">
        <f>OR(ISBLANK(#REF!),ISBLANK(#REF!),ISBLANK(#REF!))</f>
        <v>0</v>
      </c>
      <c r="C35" s="103" t="s">
        <v>75</v>
      </c>
      <c r="D35" s="104"/>
      <c r="E35" s="104"/>
      <c r="F35" s="105" t="s">
        <v>33</v>
      </c>
      <c r="G35" s="6290"/>
      <c r="H35" s="9613" t="s">
        <v>76</v>
      </c>
      <c r="I35" s="9614"/>
      <c r="J35" s="9615"/>
      <c r="K35" s="105" t="s">
        <v>35</v>
      </c>
      <c r="L35" s="6450">
        <v>-338788</v>
      </c>
      <c r="M35" s="6447"/>
      <c r="N35" s="6448">
        <v>-214508</v>
      </c>
      <c r="O35" s="6449"/>
      <c r="P35" s="6446">
        <v>-123353</v>
      </c>
      <c r="Q35" s="6452"/>
      <c r="R35" s="1066"/>
      <c r="S35" s="735"/>
      <c r="T35" s="109" t="s">
        <v>37</v>
      </c>
      <c r="U35" s="547"/>
      <c r="V35" s="547"/>
      <c r="W35" s="109"/>
      <c r="X35" s="111"/>
      <c r="Y35" s="114" t="s">
        <v>42</v>
      </c>
      <c r="Z35" s="159"/>
      <c r="AA35" s="6301"/>
    </row>
    <row r="36" spans="2:60" s="11" customFormat="1" ht="20.100000000000001" customHeight="1" outlineLevel="1">
      <c r="B36" s="84" t="b">
        <f>OR(ISBLANK(#REF!),ISBLANK(#REF!),ISBLANK(#REF!))</f>
        <v>0</v>
      </c>
      <c r="C36" s="103" t="s">
        <v>77</v>
      </c>
      <c r="D36" s="104"/>
      <c r="E36" s="104"/>
      <c r="F36" s="105" t="s">
        <v>33</v>
      </c>
      <c r="G36" s="6288"/>
      <c r="H36" s="9613" t="s">
        <v>78</v>
      </c>
      <c r="I36" s="9614"/>
      <c r="J36" s="9615"/>
      <c r="K36" s="105" t="s">
        <v>35</v>
      </c>
      <c r="L36" s="6453">
        <v>35285</v>
      </c>
      <c r="M36" s="6447"/>
      <c r="N36" s="6448">
        <v>-22562</v>
      </c>
      <c r="O36" s="6449"/>
      <c r="P36" s="6444">
        <v>29411</v>
      </c>
      <c r="Q36" s="6452"/>
      <c r="R36" s="1066"/>
      <c r="S36" s="735"/>
      <c r="T36" s="109" t="s">
        <v>37</v>
      </c>
      <c r="U36" s="547"/>
      <c r="V36" s="547"/>
      <c r="W36" s="109"/>
      <c r="X36" s="111"/>
      <c r="Y36" s="111"/>
      <c r="Z36" s="159"/>
      <c r="AA36" s="6301"/>
      <c r="AB36" s="139"/>
      <c r="AC36" s="139"/>
      <c r="AD36" s="139"/>
      <c r="AE36" s="139"/>
      <c r="AF36" s="139"/>
      <c r="AG36" s="139"/>
      <c r="AH36" s="139"/>
      <c r="AI36" s="139"/>
      <c r="AJ36" s="139"/>
      <c r="AK36" s="139"/>
      <c r="AL36" s="139"/>
      <c r="AM36" s="139"/>
      <c r="AN36" s="139"/>
      <c r="AO36" s="139"/>
      <c r="AP36" s="139"/>
      <c r="AQ36" s="139"/>
      <c r="AR36" s="139"/>
      <c r="AS36" s="139"/>
      <c r="AT36" s="139"/>
      <c r="AU36" s="139"/>
      <c r="AV36" s="139"/>
      <c r="AW36" s="139"/>
      <c r="AX36" s="139"/>
      <c r="AY36" s="139"/>
      <c r="AZ36" s="139"/>
      <c r="BA36" s="139"/>
      <c r="BB36" s="139"/>
      <c r="BC36" s="139"/>
      <c r="BD36" s="139"/>
      <c r="BE36" s="139"/>
      <c r="BF36" s="139"/>
      <c r="BG36" s="139"/>
      <c r="BH36" s="139"/>
    </row>
    <row r="37" spans="2:60" s="11" customFormat="1" ht="20.100000000000001" customHeight="1" outlineLevel="1" thickBot="1">
      <c r="B37" s="84" t="b">
        <f>OR(ISBLANK(#REF!),ISBLANK(#REF!),ISBLANK(#REF!))</f>
        <v>0</v>
      </c>
      <c r="C37" s="117" t="s">
        <v>79</v>
      </c>
      <c r="D37" s="118"/>
      <c r="E37" s="118"/>
      <c r="F37" s="105" t="s">
        <v>33</v>
      </c>
      <c r="G37" s="6291"/>
      <c r="H37" s="9613" t="s">
        <v>80</v>
      </c>
      <c r="I37" s="9614"/>
      <c r="J37" s="9615"/>
      <c r="K37" s="105" t="s">
        <v>35</v>
      </c>
      <c r="L37" s="6450">
        <v>-303503</v>
      </c>
      <c r="M37" s="6447"/>
      <c r="N37" s="6448">
        <v>-237069</v>
      </c>
      <c r="O37" s="6449"/>
      <c r="P37" s="6446">
        <v>-93943</v>
      </c>
      <c r="Q37" s="6454"/>
      <c r="R37" s="1066"/>
      <c r="S37" s="735"/>
      <c r="T37" s="109" t="s">
        <v>37</v>
      </c>
      <c r="U37" s="547"/>
      <c r="V37" s="547"/>
      <c r="W37" s="109"/>
      <c r="X37" s="111"/>
      <c r="Y37" s="111"/>
      <c r="Z37" s="159"/>
      <c r="AA37" s="6301"/>
      <c r="AB37" s="139"/>
      <c r="AC37" s="139"/>
      <c r="AD37" s="139"/>
      <c r="AE37" s="139"/>
      <c r="AF37" s="139"/>
      <c r="AG37" s="139"/>
      <c r="AH37" s="139"/>
      <c r="AI37" s="139"/>
      <c r="AJ37" s="139"/>
      <c r="AK37" s="139"/>
      <c r="AL37" s="139"/>
      <c r="AM37" s="139"/>
      <c r="AN37" s="139"/>
      <c r="AO37" s="139"/>
      <c r="AP37" s="139"/>
      <c r="AQ37" s="139"/>
      <c r="AR37" s="139"/>
      <c r="AS37" s="139"/>
      <c r="AT37" s="139"/>
      <c r="AU37" s="139"/>
      <c r="AV37" s="139"/>
      <c r="AW37" s="139"/>
      <c r="AX37" s="139"/>
      <c r="AY37" s="139"/>
      <c r="AZ37" s="139"/>
      <c r="BA37" s="139"/>
      <c r="BB37" s="139"/>
      <c r="BC37" s="139"/>
      <c r="BD37" s="139"/>
      <c r="BE37" s="139"/>
      <c r="BF37" s="139"/>
      <c r="BG37" s="139"/>
      <c r="BH37" s="139"/>
    </row>
    <row r="38" spans="2:60" s="11" customFormat="1" ht="27" outlineLevel="1" thickBot="1">
      <c r="B38" s="123" t="s">
        <v>81</v>
      </c>
      <c r="C38" s="124"/>
      <c r="D38" s="124"/>
      <c r="E38" s="124"/>
      <c r="F38" s="430"/>
      <c r="G38" s="125" t="s">
        <v>82</v>
      </c>
      <c r="H38" s="126"/>
      <c r="I38" s="126"/>
      <c r="J38" s="126"/>
      <c r="K38" s="78"/>
      <c r="L38" s="5831"/>
      <c r="M38" s="147"/>
      <c r="N38" s="147"/>
      <c r="O38" s="147"/>
      <c r="P38" s="147"/>
      <c r="Q38" s="147"/>
      <c r="R38" s="80"/>
      <c r="S38" s="80"/>
      <c r="T38" s="129"/>
      <c r="U38" s="129"/>
      <c r="V38" s="129"/>
      <c r="W38" s="129"/>
      <c r="X38" s="6347"/>
      <c r="Y38" s="6347"/>
      <c r="Z38" s="329"/>
      <c r="AA38" s="6301"/>
      <c r="AB38" s="139"/>
      <c r="AC38" s="139"/>
      <c r="AD38" s="139"/>
      <c r="AE38" s="139"/>
      <c r="AF38" s="139"/>
      <c r="AG38" s="139"/>
      <c r="AH38" s="139"/>
      <c r="AI38" s="139"/>
      <c r="AJ38" s="139"/>
      <c r="AK38" s="139"/>
      <c r="AL38" s="139"/>
      <c r="AM38" s="139"/>
      <c r="AN38" s="139"/>
      <c r="AO38" s="139"/>
      <c r="AP38" s="139"/>
      <c r="AQ38" s="139"/>
      <c r="AR38" s="139"/>
      <c r="AS38" s="139"/>
      <c r="AT38" s="139"/>
      <c r="AU38" s="139"/>
      <c r="AV38" s="139"/>
      <c r="AW38" s="139"/>
      <c r="AX38" s="139"/>
      <c r="AY38" s="139"/>
      <c r="AZ38" s="139"/>
      <c r="BA38" s="139"/>
      <c r="BB38" s="139"/>
      <c r="BC38" s="139"/>
      <c r="BD38" s="139"/>
      <c r="BE38" s="139"/>
      <c r="BF38" s="139"/>
      <c r="BG38" s="139"/>
      <c r="BH38" s="139"/>
    </row>
    <row r="39" spans="2:60" s="11" customFormat="1" ht="20.100000000000001" customHeight="1" outlineLevel="1">
      <c r="B39" s="1351" t="b">
        <f>OR(ISBLANK(#REF!),ISBLANK(#REF!),ISBLANK(#REF!))</f>
        <v>0</v>
      </c>
      <c r="C39" s="85" t="s">
        <v>32</v>
      </c>
      <c r="D39" s="86"/>
      <c r="E39" s="86"/>
      <c r="F39" s="1928" t="s">
        <v>33</v>
      </c>
      <c r="G39" s="6287"/>
      <c r="H39" s="9601" t="s">
        <v>83</v>
      </c>
      <c r="I39" s="9602"/>
      <c r="J39" s="9603"/>
      <c r="K39" s="105" t="s">
        <v>35</v>
      </c>
      <c r="L39" s="6455">
        <v>447740</v>
      </c>
      <c r="M39" s="6456"/>
      <c r="N39" s="6456">
        <v>563407</v>
      </c>
      <c r="O39" s="6456"/>
      <c r="P39" s="6456">
        <v>403970</v>
      </c>
      <c r="Q39" s="5829"/>
      <c r="R39" s="2465"/>
      <c r="S39" s="98"/>
      <c r="T39" s="99" t="s">
        <v>37</v>
      </c>
      <c r="U39" s="138"/>
      <c r="V39" s="138"/>
      <c r="W39" s="99"/>
      <c r="X39" s="111"/>
      <c r="Y39" s="154"/>
      <c r="Z39" s="159"/>
      <c r="AA39" s="6301"/>
      <c r="AB39" s="139"/>
      <c r="AC39" s="139"/>
      <c r="AD39" s="139"/>
      <c r="AE39" s="139"/>
      <c r="AF39" s="139"/>
      <c r="AG39" s="139"/>
      <c r="AH39" s="139"/>
      <c r="AI39" s="139"/>
      <c r="AJ39" s="139"/>
      <c r="AK39" s="139"/>
      <c r="AL39" s="139"/>
      <c r="AM39" s="139"/>
      <c r="AN39" s="139"/>
      <c r="AO39" s="139"/>
      <c r="AP39" s="139"/>
      <c r="AQ39" s="139"/>
      <c r="AR39" s="139"/>
      <c r="AS39" s="139"/>
      <c r="AT39" s="139"/>
      <c r="AU39" s="139"/>
      <c r="AV39" s="139"/>
      <c r="AW39" s="139"/>
      <c r="AX39" s="139"/>
      <c r="AY39" s="139"/>
      <c r="AZ39" s="139"/>
      <c r="BA39" s="139"/>
      <c r="BB39" s="139"/>
      <c r="BC39" s="139"/>
      <c r="BD39" s="139"/>
      <c r="BE39" s="139"/>
      <c r="BF39" s="139"/>
      <c r="BG39" s="139"/>
      <c r="BH39" s="139"/>
    </row>
    <row r="40" spans="2:60" s="11" customFormat="1" ht="20.100000000000001" customHeight="1" outlineLevel="1">
      <c r="B40" s="1351" t="b">
        <f>OR(ISBLANK(#REF!),ISBLANK(#REF!),ISBLANK(#REF!))</f>
        <v>0</v>
      </c>
      <c r="C40" s="103" t="s">
        <v>38</v>
      </c>
      <c r="D40" s="104"/>
      <c r="E40" s="104"/>
      <c r="F40" s="109" t="s">
        <v>33</v>
      </c>
      <c r="G40" s="6288"/>
      <c r="H40" s="9598" t="s">
        <v>84</v>
      </c>
      <c r="I40" s="9599"/>
      <c r="J40" s="9600"/>
      <c r="K40" s="105" t="s">
        <v>35</v>
      </c>
      <c r="L40" s="6457">
        <v>1571781</v>
      </c>
      <c r="M40" s="6456"/>
      <c r="N40" s="6456">
        <v>1429245</v>
      </c>
      <c r="O40" s="6456"/>
      <c r="P40" s="6456">
        <v>1557735</v>
      </c>
      <c r="Q40" s="5829"/>
      <c r="R40" s="2465"/>
      <c r="S40" s="98"/>
      <c r="T40" s="99" t="s">
        <v>37</v>
      </c>
      <c r="U40" s="138"/>
      <c r="V40" s="138"/>
      <c r="W40" s="99"/>
      <c r="X40" s="111"/>
      <c r="Y40" s="154"/>
      <c r="Z40" s="159"/>
      <c r="AA40" s="6301"/>
      <c r="AB40" s="139"/>
      <c r="AC40" s="139"/>
      <c r="AD40" s="139"/>
      <c r="AE40" s="139"/>
      <c r="AF40" s="139"/>
      <c r="AG40" s="139"/>
      <c r="AH40" s="139"/>
      <c r="AI40" s="139"/>
      <c r="AJ40" s="139"/>
      <c r="AK40" s="139"/>
      <c r="AL40" s="139"/>
      <c r="AM40" s="139"/>
      <c r="AN40" s="139"/>
      <c r="AO40" s="139"/>
      <c r="AP40" s="139"/>
      <c r="AQ40" s="139"/>
      <c r="AR40" s="139"/>
      <c r="AS40" s="139"/>
      <c r="AT40" s="139"/>
      <c r="AU40" s="139"/>
      <c r="AV40" s="139"/>
      <c r="AW40" s="139"/>
      <c r="AX40" s="139"/>
      <c r="AY40" s="139"/>
      <c r="AZ40" s="139"/>
      <c r="BA40" s="139"/>
      <c r="BB40" s="139"/>
      <c r="BC40" s="139"/>
      <c r="BD40" s="139"/>
      <c r="BE40" s="139"/>
      <c r="BF40" s="139"/>
      <c r="BG40" s="139"/>
      <c r="BH40" s="139"/>
    </row>
    <row r="41" spans="2:60" s="11" customFormat="1" ht="20.100000000000001" customHeight="1" outlineLevel="1">
      <c r="B41" s="1351" t="b">
        <f>OR(ISBLANK(#REF!),ISBLANK(#REF!),ISBLANK(#REF!))</f>
        <v>0</v>
      </c>
      <c r="C41" s="103" t="s">
        <v>40</v>
      </c>
      <c r="D41" s="104"/>
      <c r="E41" s="104"/>
      <c r="F41" s="109" t="s">
        <v>33</v>
      </c>
      <c r="G41" s="6288"/>
      <c r="H41" s="9598" t="s">
        <v>85</v>
      </c>
      <c r="I41" s="9599"/>
      <c r="J41" s="9600"/>
      <c r="K41" s="105" t="s">
        <v>35</v>
      </c>
      <c r="L41" s="6457">
        <v>2019522</v>
      </c>
      <c r="M41" s="6456"/>
      <c r="N41" s="6456">
        <v>1992652</v>
      </c>
      <c r="O41" s="6456"/>
      <c r="P41" s="6456">
        <v>1961705</v>
      </c>
      <c r="Q41" s="5829"/>
      <c r="R41" s="2465"/>
      <c r="S41" s="98"/>
      <c r="T41" s="99" t="s">
        <v>37</v>
      </c>
      <c r="U41" s="138"/>
      <c r="V41" s="138"/>
      <c r="W41" s="99"/>
      <c r="X41" s="111"/>
      <c r="Y41" s="154" t="s">
        <v>42</v>
      </c>
      <c r="Z41" s="159"/>
      <c r="AA41" s="6301"/>
      <c r="AB41" s="139"/>
      <c r="AC41" s="139"/>
      <c r="AD41" s="139"/>
      <c r="AE41" s="139"/>
      <c r="AF41" s="139"/>
      <c r="AG41" s="139"/>
      <c r="AH41" s="139"/>
      <c r="AI41" s="139"/>
      <c r="AJ41" s="139"/>
      <c r="AK41" s="139"/>
      <c r="AL41" s="139"/>
      <c r="AM41" s="139"/>
      <c r="AN41" s="139"/>
      <c r="AO41" s="139"/>
      <c r="AP41" s="139"/>
      <c r="AQ41" s="139"/>
      <c r="AR41" s="139"/>
      <c r="AS41" s="139"/>
      <c r="AT41" s="139"/>
      <c r="AU41" s="139"/>
      <c r="AV41" s="139"/>
      <c r="AW41" s="139"/>
      <c r="AX41" s="139"/>
      <c r="AY41" s="139"/>
      <c r="AZ41" s="139"/>
      <c r="BA41" s="139"/>
      <c r="BB41" s="139"/>
      <c r="BC41" s="139"/>
      <c r="BD41" s="139"/>
      <c r="BE41" s="139"/>
      <c r="BF41" s="139"/>
      <c r="BG41" s="139"/>
      <c r="BH41" s="139"/>
    </row>
    <row r="42" spans="2:60" s="11" customFormat="1" ht="20.100000000000001" customHeight="1" outlineLevel="1">
      <c r="B42" s="1351" t="b">
        <f>OR(ISBLANK(#REF!),ISBLANK(#REF!),ISBLANK(#REF!))</f>
        <v>0</v>
      </c>
      <c r="C42" s="103" t="s">
        <v>43</v>
      </c>
      <c r="D42" s="104"/>
      <c r="E42" s="104"/>
      <c r="F42" s="109" t="s">
        <v>33</v>
      </c>
      <c r="G42" s="6288"/>
      <c r="H42" s="9598" t="s">
        <v>86</v>
      </c>
      <c r="I42" s="9599"/>
      <c r="J42" s="9600"/>
      <c r="K42" s="105" t="s">
        <v>35</v>
      </c>
      <c r="L42" s="6457">
        <v>326149</v>
      </c>
      <c r="M42" s="6458"/>
      <c r="N42" s="6456">
        <v>618778</v>
      </c>
      <c r="O42" s="6456"/>
      <c r="P42" s="6456">
        <v>420289</v>
      </c>
      <c r="Q42" s="5829"/>
      <c r="R42" s="2465"/>
      <c r="S42" s="98"/>
      <c r="T42" s="99" t="s">
        <v>37</v>
      </c>
      <c r="U42" s="138"/>
      <c r="V42" s="138"/>
      <c r="W42" s="99"/>
      <c r="X42" s="111"/>
      <c r="Y42" s="154"/>
      <c r="Z42" s="159"/>
      <c r="AA42" s="6301"/>
      <c r="AB42" s="139"/>
      <c r="AC42" s="139"/>
      <c r="AD42" s="139"/>
      <c r="AE42" s="139"/>
      <c r="AF42" s="139"/>
      <c r="AG42" s="139"/>
      <c r="AH42" s="139"/>
      <c r="AI42" s="139"/>
      <c r="AJ42" s="139"/>
      <c r="AK42" s="139"/>
      <c r="AL42" s="139"/>
      <c r="AM42" s="139"/>
      <c r="AN42" s="139"/>
      <c r="AO42" s="139"/>
      <c r="AP42" s="139"/>
      <c r="AQ42" s="139"/>
      <c r="AR42" s="139"/>
      <c r="AS42" s="139"/>
      <c r="AT42" s="139"/>
      <c r="AU42" s="139"/>
      <c r="AV42" s="139"/>
      <c r="AW42" s="139"/>
      <c r="AX42" s="139"/>
      <c r="AY42" s="139"/>
      <c r="AZ42" s="139"/>
      <c r="BA42" s="139"/>
      <c r="BB42" s="139"/>
      <c r="BC42" s="139"/>
      <c r="BD42" s="139"/>
      <c r="BE42" s="139"/>
      <c r="BF42" s="139"/>
      <c r="BG42" s="139"/>
      <c r="BH42" s="139"/>
    </row>
    <row r="43" spans="2:60" s="11" customFormat="1" ht="20.100000000000001" customHeight="1" outlineLevel="1">
      <c r="B43" s="1351" t="b">
        <f>OR(ISBLANK(#REF!),ISBLANK(#REF!),ISBLANK(#REF!))</f>
        <v>0</v>
      </c>
      <c r="C43" s="103" t="s">
        <v>45</v>
      </c>
      <c r="D43" s="104"/>
      <c r="E43" s="104"/>
      <c r="F43" s="109" t="s">
        <v>33</v>
      </c>
      <c r="G43" s="6288"/>
      <c r="H43" s="9598" t="s">
        <v>87</v>
      </c>
      <c r="I43" s="9599"/>
      <c r="J43" s="9600"/>
      <c r="K43" s="105" t="s">
        <v>35</v>
      </c>
      <c r="L43" s="6457">
        <v>1296392</v>
      </c>
      <c r="M43" s="6456"/>
      <c r="N43" s="6456">
        <v>804577</v>
      </c>
      <c r="O43" s="6456"/>
      <c r="P43" s="6456">
        <v>912958</v>
      </c>
      <c r="Q43" s="5829"/>
      <c r="R43" s="2465"/>
      <c r="S43" s="98"/>
      <c r="T43" s="99" t="s">
        <v>37</v>
      </c>
      <c r="U43" s="138"/>
      <c r="V43" s="138"/>
      <c r="W43" s="99"/>
      <c r="X43" s="111"/>
      <c r="Y43" s="154"/>
      <c r="Z43" s="159"/>
      <c r="AA43" s="6301"/>
      <c r="AB43" s="139"/>
      <c r="AC43" s="139"/>
      <c r="AD43" s="139"/>
      <c r="AE43" s="139"/>
      <c r="AF43" s="139"/>
      <c r="AG43" s="139"/>
      <c r="AH43" s="139"/>
      <c r="AI43" s="139"/>
      <c r="AJ43" s="139"/>
      <c r="AK43" s="139"/>
      <c r="AL43" s="139"/>
      <c r="AM43" s="139"/>
      <c r="AN43" s="139"/>
      <c r="AO43" s="139"/>
      <c r="AP43" s="139"/>
      <c r="AQ43" s="139"/>
      <c r="AR43" s="139"/>
      <c r="AS43" s="139"/>
      <c r="AT43" s="139"/>
      <c r="AU43" s="139"/>
      <c r="AV43" s="139"/>
      <c r="AW43" s="139"/>
      <c r="AX43" s="139"/>
      <c r="AY43" s="139"/>
      <c r="AZ43" s="139"/>
      <c r="BA43" s="139"/>
      <c r="BB43" s="139"/>
      <c r="BC43" s="139"/>
      <c r="BD43" s="139"/>
      <c r="BE43" s="139"/>
      <c r="BF43" s="139"/>
      <c r="BG43" s="139"/>
      <c r="BH43" s="139"/>
    </row>
    <row r="44" spans="2:60" s="11" customFormat="1" ht="20.100000000000001" customHeight="1" outlineLevel="1">
      <c r="B44" s="1351" t="b">
        <f>OR(ISBLANK(#REF!),ISBLANK(#REF!),ISBLANK(#REF!))</f>
        <v>0</v>
      </c>
      <c r="C44" s="103" t="s">
        <v>47</v>
      </c>
      <c r="D44" s="104"/>
      <c r="E44" s="104"/>
      <c r="F44" s="136" t="s">
        <v>33</v>
      </c>
      <c r="G44" s="358"/>
      <c r="H44" s="9598" t="s">
        <v>88</v>
      </c>
      <c r="I44" s="9599"/>
      <c r="J44" s="9600"/>
      <c r="K44" s="132" t="s">
        <v>35</v>
      </c>
      <c r="L44" s="6479">
        <v>1622541</v>
      </c>
      <c r="M44" s="6456"/>
      <c r="N44" s="6456">
        <v>1423355</v>
      </c>
      <c r="O44" s="6456"/>
      <c r="P44" s="6456">
        <v>1333247</v>
      </c>
      <c r="Q44" s="5829"/>
      <c r="R44" s="2465"/>
      <c r="S44" s="98"/>
      <c r="T44" s="99" t="s">
        <v>37</v>
      </c>
      <c r="U44" s="138"/>
      <c r="V44" s="138"/>
      <c r="W44" s="99"/>
      <c r="X44" s="111"/>
      <c r="Y44" s="154" t="s">
        <v>42</v>
      </c>
      <c r="Z44" s="159"/>
      <c r="AA44" s="6301"/>
      <c r="AB44" s="139"/>
      <c r="AC44" s="139"/>
      <c r="AD44" s="139"/>
      <c r="AE44" s="139"/>
      <c r="AF44" s="139"/>
      <c r="AG44" s="139"/>
      <c r="AH44" s="139"/>
      <c r="AI44" s="139"/>
      <c r="AJ44" s="139"/>
      <c r="AK44" s="139"/>
      <c r="AL44" s="139"/>
      <c r="AM44" s="139"/>
      <c r="AN44" s="139"/>
      <c r="AO44" s="139"/>
      <c r="AP44" s="139"/>
      <c r="AQ44" s="139"/>
      <c r="AR44" s="139"/>
      <c r="AS44" s="139"/>
      <c r="AT44" s="139"/>
      <c r="AU44" s="139"/>
      <c r="AV44" s="139"/>
      <c r="AW44" s="139"/>
      <c r="AX44" s="139"/>
      <c r="AY44" s="139"/>
      <c r="AZ44" s="139"/>
      <c r="BA44" s="139"/>
      <c r="BB44" s="139"/>
      <c r="BC44" s="139"/>
      <c r="BD44" s="139"/>
      <c r="BE44" s="139"/>
      <c r="BF44" s="139"/>
      <c r="BG44" s="139"/>
      <c r="BH44" s="139"/>
    </row>
    <row r="45" spans="2:60" s="11" customFormat="1" ht="20.100000000000001" customHeight="1" outlineLevel="1">
      <c r="B45" s="1351" t="b">
        <f>OR(ISBLANK(#REF!),ISBLANK(#REF!),ISBLANK(#REF!))</f>
        <v>0</v>
      </c>
      <c r="C45" s="103" t="s">
        <v>51</v>
      </c>
      <c r="D45" s="104"/>
      <c r="E45" s="104"/>
      <c r="F45" s="109" t="s">
        <v>33</v>
      </c>
      <c r="G45" s="358"/>
      <c r="H45" s="9598" t="s">
        <v>89</v>
      </c>
      <c r="I45" s="9599"/>
      <c r="J45" s="9600"/>
      <c r="K45" s="105" t="s">
        <v>35</v>
      </c>
      <c r="L45" s="6457">
        <v>396981</v>
      </c>
      <c r="M45" s="6456"/>
      <c r="N45" s="6456">
        <v>569297</v>
      </c>
      <c r="O45" s="6456"/>
      <c r="P45" s="6456">
        <v>628458</v>
      </c>
      <c r="Q45" s="5829"/>
      <c r="R45" s="2465"/>
      <c r="S45" s="98"/>
      <c r="T45" s="99" t="s">
        <v>37</v>
      </c>
      <c r="U45" s="138"/>
      <c r="V45" s="138"/>
      <c r="W45" s="99"/>
      <c r="X45" s="111"/>
      <c r="Y45" s="154" t="s">
        <v>42</v>
      </c>
      <c r="Z45" s="159"/>
      <c r="AA45" s="6301"/>
      <c r="AB45" s="139"/>
      <c r="AC45" s="139"/>
      <c r="AD45" s="139"/>
      <c r="AE45" s="139"/>
      <c r="AF45" s="139"/>
      <c r="AG45" s="139"/>
      <c r="AH45" s="139"/>
      <c r="AI45" s="139"/>
      <c r="AJ45" s="139"/>
      <c r="AK45" s="139"/>
      <c r="AL45" s="139"/>
      <c r="AM45" s="139"/>
      <c r="AN45" s="139"/>
      <c r="AO45" s="139"/>
      <c r="AP45" s="139"/>
      <c r="AQ45" s="139"/>
      <c r="AR45" s="139"/>
      <c r="AS45" s="139"/>
      <c r="AT45" s="139"/>
      <c r="AU45" s="139"/>
      <c r="AV45" s="139"/>
      <c r="AW45" s="139"/>
      <c r="AX45" s="139"/>
      <c r="AY45" s="139"/>
      <c r="AZ45" s="139"/>
      <c r="BA45" s="139"/>
      <c r="BB45" s="139"/>
      <c r="BC45" s="139"/>
      <c r="BD45" s="139"/>
      <c r="BE45" s="139"/>
      <c r="BF45" s="139"/>
      <c r="BG45" s="139"/>
      <c r="BH45" s="139"/>
    </row>
    <row r="46" spans="2:60" s="11" customFormat="1" ht="20.100000000000001" customHeight="1" outlineLevel="1" thickBot="1">
      <c r="B46" s="1351" t="b">
        <f>OR(ISBLANK(#REF!),ISBLANK(#REF!),ISBLANK(#REF!))</f>
        <v>0</v>
      </c>
      <c r="C46" s="117" t="s">
        <v>53</v>
      </c>
      <c r="D46" s="118"/>
      <c r="E46" s="118"/>
      <c r="F46" s="711" t="s">
        <v>33</v>
      </c>
      <c r="G46" s="347"/>
      <c r="H46" s="9598" t="s">
        <v>90</v>
      </c>
      <c r="I46" s="9599"/>
      <c r="J46" s="9600"/>
      <c r="K46" s="105" t="s">
        <v>35</v>
      </c>
      <c r="L46" s="6459">
        <v>2019522</v>
      </c>
      <c r="M46" s="6456"/>
      <c r="N46" s="6456">
        <v>1992652</v>
      </c>
      <c r="O46" s="6456"/>
      <c r="P46" s="6456">
        <v>1961705</v>
      </c>
      <c r="Q46" s="5829"/>
      <c r="R46" s="2465"/>
      <c r="S46" s="98"/>
      <c r="T46" s="99" t="s">
        <v>37</v>
      </c>
      <c r="U46" s="138"/>
      <c r="V46" s="138"/>
      <c r="W46" s="99"/>
      <c r="X46" s="111"/>
      <c r="Y46" s="154"/>
      <c r="Z46" s="159"/>
      <c r="AA46" s="6301"/>
      <c r="AB46" s="139"/>
      <c r="AC46" s="139"/>
      <c r="AD46" s="139"/>
      <c r="AE46" s="139"/>
      <c r="AF46" s="139"/>
      <c r="AG46" s="139"/>
      <c r="AH46" s="139"/>
      <c r="AI46" s="139"/>
      <c r="AJ46" s="139"/>
      <c r="AK46" s="139"/>
      <c r="AL46" s="139"/>
      <c r="AM46" s="139"/>
      <c r="AN46" s="139"/>
      <c r="AO46" s="139"/>
      <c r="AP46" s="139"/>
      <c r="AQ46" s="139"/>
      <c r="AR46" s="139"/>
      <c r="AS46" s="139"/>
      <c r="AT46" s="139"/>
      <c r="AU46" s="139"/>
      <c r="AV46" s="139"/>
      <c r="AW46" s="139"/>
      <c r="AX46" s="139"/>
      <c r="AY46" s="139"/>
      <c r="AZ46" s="139"/>
      <c r="BA46" s="139"/>
      <c r="BB46" s="139"/>
      <c r="BC46" s="139"/>
      <c r="BD46" s="139"/>
      <c r="BE46" s="139"/>
      <c r="BF46" s="139"/>
      <c r="BG46" s="139"/>
      <c r="BH46" s="139"/>
    </row>
    <row r="47" spans="2:60" s="11" customFormat="1" ht="27" outlineLevel="1" thickBot="1">
      <c r="B47" s="9675" t="s">
        <v>91</v>
      </c>
      <c r="C47" s="9675"/>
      <c r="D47" s="9675"/>
      <c r="E47" s="9675"/>
      <c r="F47" s="9675"/>
      <c r="G47" s="9675"/>
      <c r="H47" s="9675"/>
      <c r="I47" s="9675"/>
      <c r="J47" s="9675"/>
      <c r="K47" s="9675"/>
      <c r="L47" s="9675"/>
      <c r="M47" s="9675"/>
      <c r="N47" s="9675"/>
      <c r="O47" s="9675"/>
      <c r="P47" s="9675"/>
      <c r="Q47" s="9675"/>
      <c r="R47" s="9675"/>
      <c r="S47" s="9675"/>
      <c r="T47" s="9675"/>
      <c r="U47" s="9675"/>
      <c r="V47" s="9675"/>
      <c r="W47" s="9675"/>
      <c r="X47" s="9675"/>
      <c r="Y47" s="9675"/>
      <c r="Z47" s="9676"/>
      <c r="AA47" s="6301"/>
      <c r="AB47" s="139"/>
      <c r="AC47" s="139"/>
      <c r="AD47" s="139"/>
      <c r="AE47" s="139"/>
      <c r="AF47" s="139"/>
      <c r="AG47" s="139"/>
      <c r="AH47" s="139"/>
      <c r="AI47" s="139"/>
      <c r="AJ47" s="139"/>
      <c r="AK47" s="139"/>
      <c r="AL47" s="139"/>
      <c r="AM47" s="139"/>
      <c r="AN47" s="139"/>
      <c r="AO47" s="139"/>
      <c r="AP47" s="139"/>
      <c r="AQ47" s="139"/>
      <c r="AR47" s="139"/>
      <c r="AS47" s="139"/>
      <c r="AT47" s="139"/>
      <c r="AU47" s="139"/>
      <c r="AV47" s="139"/>
      <c r="AW47" s="139"/>
      <c r="AX47" s="139"/>
      <c r="AY47" s="139"/>
      <c r="AZ47" s="139"/>
      <c r="BA47" s="139"/>
      <c r="BB47" s="139"/>
      <c r="BC47" s="139"/>
      <c r="BD47" s="139"/>
      <c r="BE47" s="139"/>
      <c r="BF47" s="139"/>
      <c r="BG47" s="139"/>
      <c r="BH47" s="139"/>
    </row>
    <row r="48" spans="2:60" s="11" customFormat="1" ht="20.100000000000001" customHeight="1" outlineLevel="1">
      <c r="B48" s="5851" t="b">
        <f>OR(ISBLANK(#REF!),ISBLANK(#REF!),ISBLANK(#REF!))</f>
        <v>0</v>
      </c>
      <c r="C48" s="6240" t="s">
        <v>92</v>
      </c>
      <c r="D48" s="9728"/>
      <c r="E48" s="9729"/>
      <c r="F48" s="6238" t="s">
        <v>33</v>
      </c>
      <c r="G48" s="1008"/>
      <c r="H48" s="9601" t="s">
        <v>93</v>
      </c>
      <c r="I48" s="9602"/>
      <c r="J48" s="9603"/>
      <c r="K48" s="5832" t="s">
        <v>35</v>
      </c>
      <c r="L48" s="6447">
        <v>328613</v>
      </c>
      <c r="M48" s="6460"/>
      <c r="N48" s="6447">
        <v>706613</v>
      </c>
      <c r="O48" s="6447"/>
      <c r="P48" s="6447">
        <v>773326</v>
      </c>
      <c r="Q48" s="6447"/>
      <c r="R48" s="2465"/>
      <c r="S48" s="98"/>
      <c r="T48" s="99" t="s">
        <v>37</v>
      </c>
      <c r="U48" s="138"/>
      <c r="V48" s="138"/>
      <c r="W48" s="99"/>
      <c r="X48" s="111"/>
      <c r="Y48" s="154" t="s">
        <v>42</v>
      </c>
      <c r="Z48" s="159"/>
      <c r="AA48" s="6301"/>
      <c r="AB48" s="139"/>
      <c r="AC48" s="139"/>
      <c r="AD48" s="139"/>
      <c r="AE48" s="139"/>
      <c r="AF48" s="139"/>
      <c r="AG48" s="139"/>
      <c r="AH48" s="139"/>
      <c r="AI48" s="139"/>
      <c r="AJ48" s="139"/>
      <c r="AK48" s="139"/>
      <c r="AL48" s="139"/>
      <c r="AM48" s="139"/>
      <c r="AN48" s="139"/>
      <c r="AO48" s="139"/>
      <c r="AP48" s="139"/>
      <c r="AQ48" s="139"/>
      <c r="AR48" s="139"/>
      <c r="AS48" s="139"/>
      <c r="AT48" s="139"/>
      <c r="AU48" s="139"/>
      <c r="AV48" s="139"/>
      <c r="AW48" s="139"/>
      <c r="AX48" s="139"/>
      <c r="AY48" s="139"/>
      <c r="AZ48" s="139"/>
      <c r="BA48" s="139"/>
      <c r="BB48" s="139"/>
      <c r="BC48" s="139"/>
      <c r="BD48" s="139"/>
      <c r="BE48" s="139"/>
      <c r="BF48" s="139"/>
      <c r="BG48" s="139"/>
      <c r="BH48" s="139"/>
    </row>
    <row r="49" spans="2:60" s="11" customFormat="1" ht="20.100000000000001" customHeight="1" outlineLevel="1">
      <c r="B49" s="5851" t="b">
        <f>OR(ISBLANK(#REF!),ISBLANK(#REF!),ISBLANK(#REF!))</f>
        <v>0</v>
      </c>
      <c r="C49" s="6241" t="s">
        <v>94</v>
      </c>
      <c r="D49" s="9672"/>
      <c r="E49" s="9617"/>
      <c r="F49" s="6239" t="s">
        <v>33</v>
      </c>
      <c r="G49" s="358"/>
      <c r="H49" s="9598" t="s">
        <v>95</v>
      </c>
      <c r="I49" s="9599"/>
      <c r="J49" s="9600"/>
      <c r="K49" s="5833" t="s">
        <v>35</v>
      </c>
      <c r="L49" s="6447">
        <v>492180.98977300001</v>
      </c>
      <c r="M49" s="6447"/>
      <c r="N49" s="6447">
        <v>718980.16267999995</v>
      </c>
      <c r="O49" s="6447"/>
      <c r="P49" s="6480">
        <v>764759</v>
      </c>
      <c r="Q49" s="6447"/>
      <c r="R49" s="2465"/>
      <c r="S49" s="98"/>
      <c r="T49" s="99" t="s">
        <v>37</v>
      </c>
      <c r="U49" s="138"/>
      <c r="V49" s="138"/>
      <c r="W49" s="99"/>
      <c r="X49" s="111"/>
      <c r="Y49" s="154"/>
      <c r="Z49" s="159"/>
      <c r="AA49" s="6301"/>
      <c r="AB49" s="139"/>
      <c r="AC49" s="139"/>
      <c r="AD49" s="139"/>
      <c r="AE49" s="139"/>
      <c r="AF49" s="139"/>
      <c r="AG49" s="139"/>
      <c r="AH49" s="139"/>
      <c r="AI49" s="139"/>
      <c r="AJ49" s="139"/>
      <c r="AK49" s="139"/>
      <c r="AL49" s="139"/>
      <c r="AM49" s="139"/>
      <c r="AN49" s="139"/>
      <c r="AO49" s="139"/>
      <c r="AP49" s="139"/>
      <c r="AQ49" s="139"/>
      <c r="AR49" s="139"/>
      <c r="AS49" s="139"/>
      <c r="AT49" s="139"/>
      <c r="AU49" s="139"/>
      <c r="AV49" s="139"/>
      <c r="AW49" s="139"/>
      <c r="AX49" s="139"/>
      <c r="AY49" s="139"/>
      <c r="AZ49" s="139"/>
      <c r="BA49" s="139"/>
      <c r="BB49" s="139"/>
      <c r="BC49" s="139"/>
      <c r="BD49" s="139"/>
      <c r="BE49" s="139"/>
      <c r="BF49" s="139"/>
      <c r="BG49" s="139"/>
      <c r="BH49" s="139"/>
    </row>
    <row r="50" spans="2:60" s="11" customFormat="1" ht="20.100000000000001" customHeight="1" outlineLevel="1">
      <c r="B50" s="5851" t="b">
        <f>OR(ISBLANK(#REF!),ISBLANK(#REF!),ISBLANK(#REF!))</f>
        <v>0</v>
      </c>
      <c r="C50" s="6241" t="s">
        <v>96</v>
      </c>
      <c r="D50" s="9672"/>
      <c r="E50" s="9617"/>
      <c r="F50" s="665" t="s">
        <v>33</v>
      </c>
      <c r="G50" s="358"/>
      <c r="H50" s="104" t="s">
        <v>97</v>
      </c>
      <c r="I50" s="104"/>
      <c r="J50" s="104"/>
      <c r="K50" s="5833" t="s">
        <v>35</v>
      </c>
      <c r="L50" s="6460">
        <v>-163568</v>
      </c>
      <c r="M50" s="6447"/>
      <c r="N50" s="6460">
        <v>-12368</v>
      </c>
      <c r="O50" s="6447"/>
      <c r="P50" s="6480">
        <v>8566.9008740000008</v>
      </c>
      <c r="Q50" s="6447"/>
      <c r="R50" s="2465"/>
      <c r="S50" s="98"/>
      <c r="T50" s="99" t="s">
        <v>37</v>
      </c>
      <c r="U50" s="138"/>
      <c r="V50" s="138"/>
      <c r="W50" s="99"/>
      <c r="X50" s="111"/>
      <c r="Y50" s="154" t="s">
        <v>42</v>
      </c>
      <c r="Z50" s="159"/>
      <c r="AA50" s="6301"/>
      <c r="AB50" s="139"/>
      <c r="AC50" s="139"/>
      <c r="AD50" s="139"/>
      <c r="AE50" s="139"/>
      <c r="AF50" s="139"/>
      <c r="AG50" s="139"/>
      <c r="AH50" s="139"/>
      <c r="AI50" s="139"/>
      <c r="AJ50" s="139"/>
      <c r="AK50" s="139"/>
      <c r="AL50" s="139"/>
      <c r="AM50" s="139"/>
      <c r="AN50" s="139"/>
      <c r="AO50" s="139"/>
      <c r="AP50" s="139"/>
      <c r="AQ50" s="139"/>
      <c r="AR50" s="139"/>
      <c r="AS50" s="139"/>
      <c r="AT50" s="139"/>
      <c r="AU50" s="139"/>
      <c r="AV50" s="139"/>
      <c r="AW50" s="139"/>
      <c r="AX50" s="139"/>
      <c r="AY50" s="139"/>
      <c r="AZ50" s="139"/>
      <c r="BA50" s="139"/>
      <c r="BB50" s="139"/>
      <c r="BC50" s="139"/>
      <c r="BD50" s="139"/>
      <c r="BE50" s="139"/>
      <c r="BF50" s="139"/>
      <c r="BG50" s="139"/>
      <c r="BH50" s="139"/>
    </row>
    <row r="51" spans="2:60" s="11" customFormat="1" ht="20.100000000000001" customHeight="1" outlineLevel="1">
      <c r="B51" s="5851" t="b">
        <f>OR(ISBLANK(#REF!),ISBLANK(#REF!),ISBLANK(#REF!))</f>
        <v>0</v>
      </c>
      <c r="C51" s="9730" t="s">
        <v>67</v>
      </c>
      <c r="D51" s="9731"/>
      <c r="E51" s="9732"/>
      <c r="F51" s="665" t="s">
        <v>33</v>
      </c>
      <c r="G51" s="358"/>
      <c r="H51" s="104" t="s">
        <v>98</v>
      </c>
      <c r="I51" s="104"/>
      <c r="J51" s="104"/>
      <c r="K51" s="5833" t="s">
        <v>35</v>
      </c>
      <c r="L51" s="6460">
        <v>-86679</v>
      </c>
      <c r="M51" s="6460"/>
      <c r="N51" s="6460">
        <v>-117859</v>
      </c>
      <c r="O51" s="6447"/>
      <c r="P51" s="6460">
        <v>-33543</v>
      </c>
      <c r="Q51" s="6447"/>
      <c r="R51" s="2465"/>
      <c r="S51" s="98"/>
      <c r="T51" s="99" t="s">
        <v>37</v>
      </c>
      <c r="U51" s="138"/>
      <c r="V51" s="138"/>
      <c r="W51" s="99"/>
      <c r="X51" s="111"/>
      <c r="Y51" s="154"/>
      <c r="Z51" s="159"/>
      <c r="AA51" s="6301"/>
      <c r="AB51" s="139"/>
      <c r="AC51" s="139"/>
      <c r="AD51" s="139"/>
      <c r="AE51" s="139"/>
      <c r="AF51" s="139"/>
      <c r="AG51" s="139"/>
      <c r="AH51" s="139"/>
      <c r="AI51" s="139"/>
      <c r="AJ51" s="139"/>
      <c r="AK51" s="139"/>
      <c r="AL51" s="139"/>
      <c r="AM51" s="139"/>
      <c r="AN51" s="139"/>
      <c r="AO51" s="139"/>
      <c r="AP51" s="139"/>
      <c r="AQ51" s="139"/>
      <c r="AR51" s="139"/>
      <c r="AS51" s="139"/>
      <c r="AT51" s="139"/>
      <c r="AU51" s="139"/>
      <c r="AV51" s="139"/>
      <c r="AW51" s="139"/>
      <c r="AX51" s="139"/>
      <c r="AY51" s="139"/>
      <c r="AZ51" s="139"/>
      <c r="BA51" s="139"/>
      <c r="BB51" s="139"/>
      <c r="BC51" s="139"/>
      <c r="BD51" s="139"/>
      <c r="BE51" s="139"/>
      <c r="BF51" s="139"/>
      <c r="BG51" s="139"/>
      <c r="BH51" s="139"/>
    </row>
    <row r="52" spans="2:60" s="11" customFormat="1" ht="20.100000000000001" customHeight="1" outlineLevel="1">
      <c r="B52" s="5851" t="b">
        <f>OR(ISBLANK(#REF!),ISBLANK(#REF!),ISBLANK(#REF!))</f>
        <v>0</v>
      </c>
      <c r="C52" s="9730" t="s">
        <v>63</v>
      </c>
      <c r="D52" s="9731"/>
      <c r="E52" s="9732"/>
      <c r="F52" s="665" t="s">
        <v>33</v>
      </c>
      <c r="G52" s="358"/>
      <c r="H52" s="104" t="s">
        <v>99</v>
      </c>
      <c r="I52" s="104"/>
      <c r="J52" s="104"/>
      <c r="K52" s="5833" t="s">
        <v>35</v>
      </c>
      <c r="L52" s="6481">
        <v>48059.635273</v>
      </c>
      <c r="M52" s="6447"/>
      <c r="N52" s="6447">
        <v>79083</v>
      </c>
      <c r="O52" s="6447"/>
      <c r="P52" s="6447">
        <v>45773</v>
      </c>
      <c r="Q52" s="6447"/>
      <c r="R52" s="2465"/>
      <c r="S52" s="98"/>
      <c r="T52" s="99" t="s">
        <v>37</v>
      </c>
      <c r="U52" s="138"/>
      <c r="V52" s="138"/>
      <c r="W52" s="99"/>
      <c r="X52" s="111"/>
      <c r="Y52" s="154"/>
      <c r="Z52" s="159"/>
      <c r="AA52" s="6301"/>
      <c r="AB52" s="139"/>
      <c r="AC52" s="139"/>
      <c r="AD52" s="139"/>
      <c r="AE52" s="139"/>
      <c r="AF52" s="139"/>
      <c r="AG52" s="139"/>
      <c r="AH52" s="139"/>
      <c r="AI52" s="139"/>
      <c r="AJ52" s="139"/>
      <c r="AK52" s="139"/>
      <c r="AL52" s="139"/>
      <c r="AM52" s="139"/>
      <c r="AN52" s="139"/>
      <c r="AO52" s="139"/>
      <c r="AP52" s="139"/>
      <c r="AQ52" s="139"/>
      <c r="AR52" s="139"/>
      <c r="AS52" s="139"/>
      <c r="AT52" s="139"/>
      <c r="AU52" s="139"/>
      <c r="AV52" s="139"/>
      <c r="AW52" s="139"/>
      <c r="AX52" s="139"/>
      <c r="AY52" s="139"/>
      <c r="AZ52" s="139"/>
      <c r="BA52" s="139"/>
      <c r="BB52" s="139"/>
      <c r="BC52" s="139"/>
      <c r="BD52" s="139"/>
      <c r="BE52" s="139"/>
      <c r="BF52" s="139"/>
      <c r="BG52" s="139"/>
      <c r="BH52" s="139"/>
    </row>
    <row r="53" spans="2:60" s="11" customFormat="1" ht="20.100000000000001" customHeight="1" outlineLevel="1">
      <c r="B53" s="5851" t="b">
        <f>OR(ISBLANK(#REF!),ISBLANK(#REF!),ISBLANK(#REF!))</f>
        <v>0</v>
      </c>
      <c r="C53" s="9730" t="s">
        <v>65</v>
      </c>
      <c r="D53" s="9731"/>
      <c r="E53" s="9732"/>
      <c r="F53" s="665" t="s">
        <v>33</v>
      </c>
      <c r="G53" s="358"/>
      <c r="H53" s="104" t="s">
        <v>100</v>
      </c>
      <c r="I53" s="104"/>
      <c r="J53" s="104"/>
      <c r="K53" s="5833" t="s">
        <v>35</v>
      </c>
      <c r="L53" s="6447">
        <v>71382.437311999995</v>
      </c>
      <c r="M53" s="6447"/>
      <c r="N53" s="6447">
        <v>84869.392659000005</v>
      </c>
      <c r="O53" s="6447"/>
      <c r="P53" s="6460">
        <v>168743.89427399999</v>
      </c>
      <c r="Q53" s="6447"/>
      <c r="R53" s="2465"/>
      <c r="S53" s="98"/>
      <c r="T53" s="99" t="s">
        <v>37</v>
      </c>
      <c r="U53" s="138"/>
      <c r="V53" s="138"/>
      <c r="W53" s="99"/>
      <c r="X53" s="111"/>
      <c r="Y53" s="154"/>
      <c r="Z53" s="159"/>
      <c r="AA53" s="6301"/>
      <c r="AB53" s="139"/>
      <c r="AC53" s="139"/>
      <c r="AD53" s="139"/>
      <c r="AE53" s="139"/>
      <c r="AF53" s="139"/>
      <c r="AG53" s="139"/>
      <c r="AH53" s="139"/>
      <c r="AI53" s="139"/>
      <c r="AJ53" s="139"/>
      <c r="AK53" s="139"/>
      <c r="AL53" s="139"/>
      <c r="AM53" s="139"/>
      <c r="AN53" s="139"/>
      <c r="AO53" s="139"/>
      <c r="AP53" s="139"/>
      <c r="AQ53" s="139"/>
      <c r="AR53" s="139"/>
      <c r="AS53" s="139"/>
      <c r="AT53" s="139"/>
      <c r="AU53" s="139"/>
      <c r="AV53" s="139"/>
      <c r="AW53" s="139"/>
      <c r="AX53" s="139"/>
      <c r="AY53" s="139"/>
      <c r="AZ53" s="139"/>
      <c r="BA53" s="139"/>
      <c r="BB53" s="139"/>
      <c r="BC53" s="139"/>
      <c r="BD53" s="139"/>
      <c r="BE53" s="139"/>
      <c r="BF53" s="139"/>
      <c r="BG53" s="139"/>
      <c r="BH53" s="139"/>
    </row>
    <row r="54" spans="2:60" s="11" customFormat="1" ht="20.100000000000001" customHeight="1" outlineLevel="1">
      <c r="B54" s="5851" t="b">
        <f>OR(ISBLANK(#REF!),ISBLANK(#REF!),ISBLANK(#REF!))</f>
        <v>0</v>
      </c>
      <c r="C54" s="9730" t="s">
        <v>71</v>
      </c>
      <c r="D54" s="9731"/>
      <c r="E54" s="9732"/>
      <c r="F54" s="665" t="s">
        <v>33</v>
      </c>
      <c r="G54" s="358"/>
      <c r="H54" s="104" t="s">
        <v>101</v>
      </c>
      <c r="I54" s="104"/>
      <c r="J54" s="104"/>
      <c r="K54" s="5833" t="s">
        <v>35</v>
      </c>
      <c r="L54" s="6460">
        <v>-273570</v>
      </c>
      <c r="M54" s="6460"/>
      <c r="N54" s="6460">
        <v>-136013</v>
      </c>
      <c r="O54" s="6447"/>
      <c r="P54" s="6460">
        <v>-147947</v>
      </c>
      <c r="Q54" s="6447"/>
      <c r="R54" s="2465"/>
      <c r="S54" s="98"/>
      <c r="T54" s="99" t="s">
        <v>37</v>
      </c>
      <c r="U54" s="138"/>
      <c r="V54" s="138"/>
      <c r="W54" s="99"/>
      <c r="X54" s="111"/>
      <c r="Y54" s="154"/>
      <c r="Z54" s="159"/>
      <c r="AA54" s="6301"/>
      <c r="AB54" s="139"/>
      <c r="AC54" s="139"/>
      <c r="AD54" s="139"/>
      <c r="AE54" s="139"/>
      <c r="AF54" s="139"/>
      <c r="AG54" s="139"/>
      <c r="AH54" s="139"/>
      <c r="AI54" s="139"/>
      <c r="AJ54" s="139"/>
      <c r="AK54" s="139"/>
      <c r="AL54" s="139"/>
      <c r="AM54" s="139"/>
      <c r="AN54" s="139"/>
      <c r="AO54" s="139"/>
      <c r="AP54" s="139"/>
      <c r="AQ54" s="139"/>
      <c r="AR54" s="139"/>
      <c r="AS54" s="139"/>
      <c r="AT54" s="139"/>
      <c r="AU54" s="139"/>
      <c r="AV54" s="139"/>
      <c r="AW54" s="139"/>
      <c r="AX54" s="139"/>
      <c r="AY54" s="139"/>
      <c r="AZ54" s="139"/>
      <c r="BA54" s="139"/>
      <c r="BB54" s="139"/>
      <c r="BC54" s="139"/>
      <c r="BD54" s="139"/>
      <c r="BE54" s="139"/>
      <c r="BF54" s="139"/>
      <c r="BG54" s="139"/>
      <c r="BH54" s="139"/>
    </row>
    <row r="55" spans="2:60" s="11" customFormat="1" ht="20.100000000000001" customHeight="1" outlineLevel="1">
      <c r="B55" s="5851" t="b">
        <f>OR(ISBLANK(#REF!),ISBLANK(#REF!),ISBLANK(#REF!))</f>
        <v>0</v>
      </c>
      <c r="C55" s="9730" t="s">
        <v>102</v>
      </c>
      <c r="D55" s="9731"/>
      <c r="E55" s="9732"/>
      <c r="F55" s="665" t="s">
        <v>33</v>
      </c>
      <c r="G55" s="358"/>
      <c r="H55" s="104" t="s">
        <v>103</v>
      </c>
      <c r="I55" s="104"/>
      <c r="J55" s="104"/>
      <c r="K55" s="6130" t="s">
        <v>35</v>
      </c>
      <c r="L55" s="6460">
        <v>-12516.351461</v>
      </c>
      <c r="M55" s="6447"/>
      <c r="N55" s="6447">
        <v>-15206.550479</v>
      </c>
      <c r="O55" s="6447"/>
      <c r="P55" s="6480">
        <v>1235</v>
      </c>
      <c r="Q55" s="6447"/>
      <c r="R55" s="2465"/>
      <c r="S55" s="163"/>
      <c r="T55" s="99" t="s">
        <v>37</v>
      </c>
      <c r="U55" s="138"/>
      <c r="V55" s="138"/>
      <c r="W55" s="99"/>
      <c r="X55" s="111"/>
      <c r="Y55" s="154" t="s">
        <v>42</v>
      </c>
      <c r="Z55" s="159"/>
      <c r="AA55" s="6301"/>
      <c r="AB55" s="139"/>
      <c r="AC55" s="139"/>
      <c r="AD55" s="139"/>
      <c r="AE55" s="139"/>
      <c r="AF55" s="139"/>
      <c r="AG55" s="139"/>
      <c r="AH55" s="139"/>
      <c r="AI55" s="139"/>
      <c r="AJ55" s="139"/>
      <c r="AK55" s="139"/>
      <c r="AL55" s="139"/>
      <c r="AM55" s="139"/>
      <c r="AN55" s="139"/>
      <c r="AO55" s="139"/>
      <c r="AP55" s="139"/>
      <c r="AQ55" s="139"/>
      <c r="AR55" s="139"/>
      <c r="AS55" s="139"/>
      <c r="AT55" s="139"/>
      <c r="AU55" s="139"/>
      <c r="AV55" s="139"/>
      <c r="AW55" s="139"/>
      <c r="AX55" s="139"/>
      <c r="AY55" s="139"/>
      <c r="AZ55" s="139"/>
      <c r="BA55" s="139"/>
      <c r="BB55" s="139"/>
      <c r="BC55" s="139"/>
      <c r="BD55" s="139"/>
      <c r="BE55" s="139"/>
      <c r="BF55" s="139"/>
      <c r="BG55" s="139"/>
      <c r="BH55" s="139"/>
    </row>
    <row r="56" spans="2:60" s="11" customFormat="1" ht="20.100000000000001" customHeight="1" outlineLevel="1">
      <c r="B56" s="5851" t="b">
        <f>OR(ISBLANK(#REF!),ISBLANK(#REF!),ISBLANK(#REF!))</f>
        <v>0</v>
      </c>
      <c r="C56" s="9730" t="s">
        <v>104</v>
      </c>
      <c r="D56" s="9731"/>
      <c r="E56" s="9732"/>
      <c r="F56" s="665" t="s">
        <v>33</v>
      </c>
      <c r="G56" s="358"/>
      <c r="H56" s="104" t="s">
        <v>105</v>
      </c>
      <c r="I56" s="104"/>
      <c r="J56" s="104"/>
      <c r="K56" s="6130" t="s">
        <v>35</v>
      </c>
      <c r="L56" s="6460">
        <v>-261054</v>
      </c>
      <c r="M56" s="6447"/>
      <c r="N56" s="6460">
        <v>-120806</v>
      </c>
      <c r="O56" s="6447"/>
      <c r="P56" s="6460">
        <v>-149182</v>
      </c>
      <c r="Q56" s="6447"/>
      <c r="R56" s="2465"/>
      <c r="S56" s="163"/>
      <c r="T56" s="99" t="s">
        <v>37</v>
      </c>
      <c r="U56" s="138"/>
      <c r="V56" s="138"/>
      <c r="W56" s="99"/>
      <c r="X56" s="111"/>
      <c r="Y56" s="154" t="s">
        <v>42</v>
      </c>
      <c r="Z56" s="159"/>
      <c r="AA56" s="6301"/>
      <c r="AB56" s="139"/>
      <c r="AC56" s="139"/>
      <c r="AD56" s="139"/>
      <c r="AE56" s="139"/>
      <c r="AF56" s="139"/>
      <c r="AG56" s="139"/>
      <c r="AH56" s="139"/>
      <c r="AI56" s="139"/>
      <c r="AJ56" s="139"/>
      <c r="AK56" s="139"/>
      <c r="AL56" s="139"/>
      <c r="AM56" s="139"/>
      <c r="AN56" s="139"/>
      <c r="AO56" s="139"/>
      <c r="AP56" s="139"/>
      <c r="AQ56" s="139"/>
      <c r="AR56" s="139"/>
      <c r="AS56" s="139"/>
      <c r="AT56" s="139"/>
      <c r="AU56" s="139"/>
      <c r="AV56" s="139"/>
      <c r="AW56" s="139"/>
      <c r="AX56" s="139"/>
      <c r="AY56" s="139"/>
      <c r="AZ56" s="139"/>
      <c r="BA56" s="139"/>
      <c r="BB56" s="139"/>
      <c r="BC56" s="139"/>
      <c r="BD56" s="139"/>
      <c r="BE56" s="139"/>
      <c r="BF56" s="139"/>
      <c r="BG56" s="139"/>
      <c r="BH56" s="139"/>
    </row>
    <row r="57" spans="2:60" s="11" customFormat="1" ht="20.100000000000001" customHeight="1" outlineLevel="1">
      <c r="B57" s="5851" t="b">
        <f>OR(ISBLANK(#REF!),ISBLANK(#REF!),ISBLANK(#REF!))</f>
        <v>0</v>
      </c>
      <c r="C57" s="9730" t="s">
        <v>77</v>
      </c>
      <c r="D57" s="9731"/>
      <c r="E57" s="9732"/>
      <c r="F57" s="665" t="s">
        <v>33</v>
      </c>
      <c r="G57" s="358"/>
      <c r="H57" s="104" t="s">
        <v>106</v>
      </c>
      <c r="I57" s="104"/>
      <c r="J57" s="104"/>
      <c r="K57" s="6131" t="s">
        <v>35</v>
      </c>
      <c r="L57" s="6460">
        <v>-1271</v>
      </c>
      <c r="M57" s="6447"/>
      <c r="N57" s="6447">
        <v>1690</v>
      </c>
      <c r="O57" s="6447"/>
      <c r="P57" s="6460">
        <v>-5010</v>
      </c>
      <c r="Q57" s="6447"/>
      <c r="R57" s="2465"/>
      <c r="S57" s="163"/>
      <c r="T57" s="99" t="s">
        <v>37</v>
      </c>
      <c r="U57" s="138"/>
      <c r="V57" s="138"/>
      <c r="W57" s="99"/>
      <c r="X57" s="111"/>
      <c r="Y57" s="154"/>
      <c r="Z57" s="159"/>
      <c r="AA57" s="6301"/>
      <c r="AB57" s="139"/>
      <c r="AC57" s="139"/>
      <c r="AD57" s="139"/>
      <c r="AE57" s="139"/>
      <c r="AF57" s="139"/>
      <c r="AG57" s="139"/>
      <c r="AH57" s="139"/>
      <c r="AI57" s="139"/>
      <c r="AJ57" s="139"/>
      <c r="AK57" s="139"/>
      <c r="AL57" s="139"/>
      <c r="AM57" s="139"/>
      <c r="AN57" s="139"/>
      <c r="AO57" s="139"/>
      <c r="AP57" s="139"/>
      <c r="AQ57" s="139"/>
      <c r="AR57" s="139"/>
      <c r="AS57" s="139"/>
      <c r="AT57" s="139"/>
      <c r="AU57" s="139"/>
      <c r="AV57" s="139"/>
      <c r="AW57" s="139"/>
      <c r="AX57" s="139"/>
      <c r="AY57" s="139"/>
      <c r="AZ57" s="139"/>
      <c r="BA57" s="139"/>
      <c r="BB57" s="139"/>
      <c r="BC57" s="139"/>
      <c r="BD57" s="139"/>
      <c r="BE57" s="139"/>
      <c r="BF57" s="139"/>
      <c r="BG57" s="139"/>
      <c r="BH57" s="139"/>
    </row>
    <row r="58" spans="2:60" s="11" customFormat="1" ht="20.100000000000001" customHeight="1" outlineLevel="1">
      <c r="B58" s="5851" t="b">
        <f>OR(ISBLANK(#REF!),ISBLANK(#REF!),ISBLANK(#REF!))</f>
        <v>0</v>
      </c>
      <c r="C58" s="9730" t="s">
        <v>79</v>
      </c>
      <c r="D58" s="9731"/>
      <c r="E58" s="9732"/>
      <c r="F58" s="162" t="s">
        <v>33</v>
      </c>
      <c r="G58" s="358"/>
      <c r="H58" s="104" t="s">
        <v>107</v>
      </c>
      <c r="I58" s="104"/>
      <c r="J58" s="104"/>
      <c r="K58" s="6130" t="s">
        <v>35</v>
      </c>
      <c r="L58" s="5837" t="s">
        <v>108</v>
      </c>
      <c r="M58" s="5838"/>
      <c r="N58" s="5837" t="s">
        <v>109</v>
      </c>
      <c r="O58" s="5838"/>
      <c r="P58" s="5837" t="s">
        <v>110</v>
      </c>
      <c r="Q58" s="5838"/>
      <c r="R58" s="2465"/>
      <c r="S58" s="163"/>
      <c r="T58" s="99" t="s">
        <v>37</v>
      </c>
      <c r="U58" s="138"/>
      <c r="V58" s="138"/>
      <c r="W58" s="99"/>
      <c r="X58" s="111"/>
      <c r="Y58" s="154"/>
      <c r="Z58" s="159"/>
      <c r="AA58" s="6301"/>
      <c r="AB58" s="139"/>
      <c r="AC58" s="139"/>
      <c r="AD58" s="139"/>
      <c r="AE58" s="139"/>
      <c r="AF58" s="139"/>
      <c r="AG58" s="139"/>
      <c r="AH58" s="139"/>
      <c r="AI58" s="139"/>
      <c r="AJ58" s="139"/>
      <c r="AK58" s="139"/>
      <c r="AL58" s="139"/>
      <c r="AM58" s="139"/>
      <c r="AN58" s="139"/>
      <c r="AO58" s="139"/>
      <c r="AP58" s="139"/>
      <c r="AQ58" s="139"/>
      <c r="AR58" s="139"/>
      <c r="AS58" s="139"/>
      <c r="AT58" s="139"/>
      <c r="AU58" s="139"/>
      <c r="AV58" s="139"/>
      <c r="AW58" s="139"/>
      <c r="AX58" s="139"/>
      <c r="AY58" s="139"/>
      <c r="AZ58" s="139"/>
      <c r="BA58" s="139"/>
      <c r="BB58" s="139"/>
      <c r="BC58" s="139"/>
      <c r="BD58" s="139"/>
      <c r="BE58" s="139"/>
      <c r="BF58" s="139"/>
      <c r="BG58" s="139"/>
      <c r="BH58" s="139"/>
    </row>
    <row r="59" spans="2:60" s="11" customFormat="1" ht="20.100000000000001" customHeight="1">
      <c r="B59" s="1353" t="str">
        <f>C59</f>
        <v>확정급여연금제도 의무 및 기타 은퇴지원제도</v>
      </c>
      <c r="C59" s="9673" t="s">
        <v>124</v>
      </c>
      <c r="D59" s="9673"/>
      <c r="E59" s="9673"/>
      <c r="F59" s="9673"/>
      <c r="G59" s="9673"/>
      <c r="H59" s="9673"/>
      <c r="I59" s="9673"/>
      <c r="J59" s="9673"/>
      <c r="K59" s="9673"/>
      <c r="L59" s="9673"/>
      <c r="M59" s="9673"/>
      <c r="N59" s="9673"/>
      <c r="O59" s="9673"/>
      <c r="P59" s="9673"/>
      <c r="Q59" s="9674"/>
      <c r="R59" s="2465"/>
      <c r="S59" s="163"/>
      <c r="T59" s="99" t="s">
        <v>125</v>
      </c>
      <c r="U59" s="138"/>
      <c r="V59" s="138"/>
      <c r="W59" s="99"/>
      <c r="X59" s="111"/>
      <c r="Y59" s="154"/>
      <c r="Z59" s="159"/>
      <c r="AA59" s="6301"/>
      <c r="AB59" s="139"/>
      <c r="AC59" s="139"/>
      <c r="AD59" s="139"/>
      <c r="AE59" s="139"/>
      <c r="AF59" s="139"/>
      <c r="AG59" s="139"/>
      <c r="AH59" s="139"/>
      <c r="AI59" s="139"/>
      <c r="AJ59" s="139"/>
      <c r="AK59" s="139"/>
      <c r="AL59" s="139"/>
      <c r="AM59" s="139"/>
      <c r="AN59" s="139"/>
      <c r="AO59" s="139"/>
      <c r="AP59" s="139"/>
      <c r="AQ59" s="139"/>
      <c r="AR59" s="139"/>
      <c r="AS59" s="139"/>
      <c r="AT59" s="139"/>
      <c r="AU59" s="139"/>
      <c r="AV59" s="139"/>
      <c r="AW59" s="139"/>
      <c r="AX59" s="139"/>
      <c r="AY59" s="139"/>
      <c r="AZ59" s="139"/>
      <c r="BA59" s="139"/>
      <c r="BB59" s="139"/>
      <c r="BC59" s="139"/>
      <c r="BD59" s="139"/>
      <c r="BE59" s="139"/>
      <c r="BF59" s="139"/>
      <c r="BG59" s="139"/>
      <c r="BH59" s="139"/>
    </row>
    <row r="60" spans="2:60" s="11" customFormat="1" ht="20.100000000000001" customHeight="1">
      <c r="B60" s="1351" t="b">
        <f>OR(ISBLANK(#REF!),ISBLANK(#REF!),ISBLANK(#REF!))</f>
        <v>0</v>
      </c>
      <c r="C60" s="6180"/>
      <c r="D60" s="9591" t="s">
        <v>126</v>
      </c>
      <c r="E60" s="9591"/>
      <c r="F60" s="285" t="s">
        <v>628</v>
      </c>
      <c r="G60" s="358"/>
      <c r="H60" s="6154"/>
      <c r="I60" s="9591" t="s">
        <v>127</v>
      </c>
      <c r="J60" s="9591"/>
      <c r="K60" s="5589" t="s">
        <v>128</v>
      </c>
      <c r="L60" s="6434"/>
      <c r="M60" s="6435"/>
      <c r="N60" s="6435"/>
      <c r="O60" s="6435"/>
      <c r="P60" s="6436"/>
      <c r="Q60" s="6351"/>
      <c r="R60" s="2465" t="s">
        <v>130</v>
      </c>
      <c r="S60" s="181" t="s">
        <v>131</v>
      </c>
      <c r="T60" s="99" t="s">
        <v>125</v>
      </c>
      <c r="U60" s="138"/>
      <c r="V60" s="138"/>
      <c r="W60" s="99"/>
      <c r="X60" s="111"/>
      <c r="Y60" s="154" t="s">
        <v>132</v>
      </c>
      <c r="Z60" s="159"/>
      <c r="AA60" s="6301"/>
      <c r="AB60" s="139" t="s">
        <v>133</v>
      </c>
      <c r="AC60" s="139"/>
      <c r="AD60" s="139"/>
      <c r="AE60" s="139"/>
      <c r="AF60" s="139"/>
      <c r="AG60" s="139"/>
      <c r="AH60" s="139"/>
      <c r="AI60" s="139"/>
      <c r="AJ60" s="139"/>
      <c r="AK60" s="139"/>
      <c r="AL60" s="139"/>
      <c r="AM60" s="139"/>
      <c r="AN60" s="139"/>
      <c r="AO60" s="139"/>
      <c r="AP60" s="139"/>
      <c r="AQ60" s="139"/>
      <c r="AR60" s="139"/>
      <c r="AS60" s="139"/>
      <c r="AT60" s="139"/>
      <c r="AU60" s="139"/>
      <c r="AV60" s="139"/>
      <c r="AW60" s="139"/>
      <c r="AX60" s="139"/>
      <c r="AY60" s="139"/>
      <c r="AZ60" s="139"/>
      <c r="BA60" s="139"/>
      <c r="BB60" s="139"/>
      <c r="BC60" s="139"/>
      <c r="BD60" s="139"/>
      <c r="BE60" s="139"/>
      <c r="BF60" s="139"/>
      <c r="BG60" s="139"/>
      <c r="BH60" s="139"/>
    </row>
    <row r="61" spans="2:60" customFormat="1" ht="20.100000000000001" customHeight="1">
      <c r="B61" s="5851"/>
      <c r="C61" s="6132"/>
      <c r="D61" s="9678" t="s">
        <v>134</v>
      </c>
      <c r="E61" s="9679"/>
      <c r="F61" s="285" t="s">
        <v>33</v>
      </c>
      <c r="G61" s="6132"/>
      <c r="H61" s="6132"/>
      <c r="I61" s="9579" t="s">
        <v>135</v>
      </c>
      <c r="J61" s="9581"/>
      <c r="K61" s="5833" t="s">
        <v>35</v>
      </c>
      <c r="L61" s="5650">
        <v>6363</v>
      </c>
      <c r="M61" s="5918" t="s">
        <v>629</v>
      </c>
      <c r="N61" s="1475">
        <v>5944</v>
      </c>
      <c r="O61" s="1475" t="s">
        <v>629</v>
      </c>
      <c r="P61" s="1475">
        <v>4427</v>
      </c>
      <c r="Q61" s="1486" t="s">
        <v>629</v>
      </c>
      <c r="R61" s="5848"/>
      <c r="S61" s="5847"/>
      <c r="T61" s="5846"/>
      <c r="U61" s="5845"/>
      <c r="V61" s="5845"/>
      <c r="W61" s="5846"/>
      <c r="X61" s="5844"/>
      <c r="Y61" s="5843"/>
      <c r="Z61" s="4532"/>
      <c r="AA61" s="6301"/>
      <c r="AB61" s="6403"/>
      <c r="AC61" s="6403"/>
      <c r="AD61" s="6403"/>
      <c r="AE61" s="6403"/>
      <c r="AF61" s="6403"/>
      <c r="AG61" s="6403"/>
      <c r="AH61" s="6403"/>
      <c r="AI61" s="6403"/>
      <c r="AJ61" s="6403"/>
      <c r="AK61" s="6403"/>
      <c r="AL61" s="6403"/>
      <c r="AM61" s="6403"/>
      <c r="AN61" s="6403"/>
      <c r="AO61" s="6403"/>
      <c r="AP61" s="6403"/>
      <c r="AQ61" s="6403"/>
      <c r="AR61" s="6403"/>
      <c r="AS61" s="6403"/>
      <c r="AT61" s="6403"/>
      <c r="AU61" s="6403"/>
      <c r="AV61" s="6403"/>
      <c r="AW61" s="6403"/>
      <c r="AX61" s="6403"/>
      <c r="AY61" s="6403"/>
      <c r="AZ61" s="6403"/>
      <c r="BA61" s="6403"/>
      <c r="BB61" s="6403"/>
      <c r="BC61" s="6403"/>
      <c r="BD61" s="6403"/>
      <c r="BE61" s="6403"/>
      <c r="BF61" s="6403"/>
      <c r="BG61" s="6403"/>
      <c r="BH61" s="6403"/>
    </row>
    <row r="62" spans="2:60" s="11" customFormat="1" ht="20.100000000000001" customHeight="1">
      <c r="B62" s="5851"/>
      <c r="C62" s="6132"/>
      <c r="D62" s="9598" t="s">
        <v>137</v>
      </c>
      <c r="E62" s="9600"/>
      <c r="F62" s="285" t="s">
        <v>33</v>
      </c>
      <c r="G62" s="358"/>
      <c r="H62" s="6132"/>
      <c r="I62" s="9579" t="s">
        <v>138</v>
      </c>
      <c r="J62" s="9581"/>
      <c r="K62" s="5833" t="s">
        <v>35</v>
      </c>
      <c r="L62" s="5747"/>
      <c r="M62" s="5748"/>
      <c r="N62" s="705"/>
      <c r="O62" s="5468"/>
      <c r="P62" s="705"/>
      <c r="Q62" s="5948"/>
      <c r="R62" s="2465"/>
      <c r="S62" s="163"/>
      <c r="T62" s="99"/>
      <c r="U62" s="138"/>
      <c r="V62" s="138"/>
      <c r="W62" s="99"/>
      <c r="X62" s="186"/>
      <c r="Y62" s="154"/>
      <c r="Z62" s="187"/>
      <c r="AA62" s="6301"/>
      <c r="AB62" s="139"/>
      <c r="AC62" s="139"/>
      <c r="AD62" s="139"/>
      <c r="AE62" s="139"/>
      <c r="AF62" s="139"/>
      <c r="AG62" s="139"/>
      <c r="AH62" s="139"/>
      <c r="AI62" s="139"/>
      <c r="AJ62" s="139"/>
      <c r="AK62" s="139"/>
      <c r="AL62" s="139"/>
      <c r="AM62" s="139"/>
      <c r="AN62" s="139"/>
      <c r="AO62" s="139"/>
      <c r="AP62" s="139"/>
      <c r="AQ62" s="139"/>
      <c r="AR62" s="139"/>
      <c r="AS62" s="139"/>
      <c r="AT62" s="139"/>
      <c r="AU62" s="139"/>
      <c r="AV62" s="139"/>
      <c r="AW62" s="139"/>
      <c r="AX62" s="139"/>
      <c r="AY62" s="139"/>
      <c r="AZ62" s="139"/>
      <c r="BA62" s="139"/>
      <c r="BB62" s="139"/>
      <c r="BC62" s="139"/>
      <c r="BD62" s="139"/>
      <c r="BE62" s="139"/>
      <c r="BF62" s="139"/>
      <c r="BG62" s="139"/>
      <c r="BH62" s="139"/>
    </row>
    <row r="63" spans="2:60" s="11" customFormat="1" ht="19.899999999999999" customHeight="1">
      <c r="B63" s="5851"/>
      <c r="C63" s="6182"/>
      <c r="D63" s="9598" t="s">
        <v>140</v>
      </c>
      <c r="E63" s="9600"/>
      <c r="F63" s="285" t="s">
        <v>272</v>
      </c>
      <c r="G63" s="253"/>
      <c r="H63" s="6132"/>
      <c r="I63" s="9579" t="s">
        <v>141</v>
      </c>
      <c r="J63" s="9581"/>
      <c r="K63" s="132" t="s">
        <v>142</v>
      </c>
      <c r="L63" s="2186">
        <v>0</v>
      </c>
      <c r="M63" s="2111"/>
      <c r="N63" s="100">
        <v>0</v>
      </c>
      <c r="O63" s="2349"/>
      <c r="P63" s="100">
        <v>0</v>
      </c>
      <c r="Q63" s="705"/>
      <c r="R63" s="2468"/>
      <c r="S63" s="276"/>
      <c r="T63" s="99"/>
      <c r="U63" s="138"/>
      <c r="V63" s="138"/>
      <c r="W63" s="99"/>
      <c r="X63" s="264"/>
      <c r="Y63" s="277"/>
      <c r="Z63" s="187"/>
      <c r="AA63" s="6301"/>
      <c r="AB63" s="139"/>
      <c r="AC63" s="139"/>
      <c r="AD63" s="139"/>
      <c r="AE63" s="139"/>
      <c r="AF63" s="139"/>
      <c r="AG63" s="139"/>
      <c r="AH63" s="139"/>
      <c r="AI63" s="139"/>
      <c r="AJ63" s="139"/>
      <c r="AK63" s="139"/>
      <c r="AL63" s="139"/>
      <c r="AM63" s="139"/>
      <c r="AN63" s="139"/>
      <c r="AO63" s="139"/>
      <c r="AP63" s="139"/>
      <c r="AQ63" s="139"/>
      <c r="AR63" s="139"/>
      <c r="AS63" s="139"/>
      <c r="AT63" s="139"/>
      <c r="AU63" s="139"/>
      <c r="AV63" s="139"/>
      <c r="AW63" s="139"/>
      <c r="AX63" s="139"/>
      <c r="AY63" s="139"/>
      <c r="AZ63" s="139"/>
      <c r="BA63" s="139"/>
      <c r="BB63" s="139"/>
      <c r="BC63" s="139"/>
      <c r="BD63" s="139"/>
      <c r="BE63" s="139"/>
      <c r="BF63" s="139"/>
      <c r="BG63" s="139"/>
      <c r="BH63" s="139"/>
    </row>
    <row r="64" spans="2:60" s="11" customFormat="1" ht="19.899999999999999" customHeight="1">
      <c r="B64" s="5851"/>
      <c r="C64" s="6182"/>
      <c r="D64" s="9598" t="s">
        <v>143</v>
      </c>
      <c r="E64" s="9600"/>
      <c r="F64" s="285" t="s">
        <v>630</v>
      </c>
      <c r="G64" s="253"/>
      <c r="H64" s="6132"/>
      <c r="I64" s="9579" t="s">
        <v>144</v>
      </c>
      <c r="J64" s="9581"/>
      <c r="K64" s="132" t="s">
        <v>145</v>
      </c>
      <c r="L64" s="5594">
        <v>801874</v>
      </c>
      <c r="M64" s="5658"/>
      <c r="N64" s="1814">
        <v>405001</v>
      </c>
      <c r="O64" s="5302"/>
      <c r="P64" s="5666">
        <v>228244</v>
      </c>
      <c r="Q64" s="5746"/>
      <c r="R64" s="2468"/>
      <c r="S64" s="276"/>
      <c r="T64" s="99"/>
      <c r="U64" s="138"/>
      <c r="V64" s="138"/>
      <c r="W64" s="99"/>
      <c r="X64" s="264"/>
      <c r="Y64" s="277"/>
      <c r="Z64" s="187"/>
      <c r="AA64" s="6301"/>
      <c r="AB64" s="139"/>
      <c r="AC64" s="139"/>
      <c r="AD64" s="139"/>
      <c r="AE64" s="139"/>
      <c r="AF64" s="139"/>
      <c r="AG64" s="139"/>
      <c r="AH64" s="139"/>
      <c r="AI64" s="139"/>
      <c r="AJ64" s="139"/>
      <c r="AK64" s="139"/>
      <c r="AL64" s="139"/>
      <c r="AM64" s="139"/>
      <c r="AN64" s="139"/>
      <c r="AO64" s="139"/>
      <c r="AP64" s="139"/>
      <c r="AQ64" s="139"/>
      <c r="AR64" s="139"/>
      <c r="AS64" s="139"/>
      <c r="AT64" s="139"/>
      <c r="AU64" s="139"/>
      <c r="AV64" s="139"/>
      <c r="AW64" s="139"/>
      <c r="AX64" s="139"/>
      <c r="AY64" s="139"/>
      <c r="AZ64" s="139"/>
      <c r="BA64" s="139"/>
      <c r="BB64" s="139"/>
      <c r="BC64" s="139"/>
      <c r="BD64" s="139"/>
      <c r="BE64" s="139"/>
      <c r="BF64" s="139"/>
      <c r="BG64" s="139"/>
      <c r="BH64" s="139"/>
    </row>
    <row r="65" spans="2:60" s="11" customFormat="1" ht="19.899999999999999" customHeight="1">
      <c r="B65" s="5851"/>
      <c r="C65" s="6182"/>
      <c r="D65" s="9598" t="s">
        <v>631</v>
      </c>
      <c r="E65" s="9600"/>
      <c r="F65" s="285" t="s">
        <v>632</v>
      </c>
      <c r="G65" s="253"/>
      <c r="H65" s="6132"/>
      <c r="I65" s="9579" t="s">
        <v>147</v>
      </c>
      <c r="J65" s="9581"/>
      <c r="K65" s="132" t="s">
        <v>148</v>
      </c>
      <c r="L65" s="6082">
        <v>1845571870</v>
      </c>
      <c r="M65" s="6093"/>
      <c r="N65" s="6094">
        <v>1525147726</v>
      </c>
      <c r="O65" s="6094"/>
      <c r="P65" s="6094">
        <v>3471845218</v>
      </c>
      <c r="Q65" s="5973"/>
      <c r="R65" s="2468"/>
      <c r="S65" s="276"/>
      <c r="T65" s="99"/>
      <c r="U65" s="138"/>
      <c r="V65" s="138"/>
      <c r="W65" s="99"/>
      <c r="X65" s="264"/>
      <c r="Y65" s="277"/>
      <c r="Z65" s="187"/>
      <c r="AA65" s="6301"/>
      <c r="AB65" s="139"/>
      <c r="AC65" s="139"/>
      <c r="AD65" s="139"/>
      <c r="AE65" s="139"/>
      <c r="AF65" s="139"/>
      <c r="AG65" s="139"/>
      <c r="AH65" s="139"/>
      <c r="AI65" s="139"/>
      <c r="AJ65" s="139"/>
      <c r="AK65" s="139"/>
      <c r="AL65" s="139"/>
      <c r="AM65" s="139"/>
      <c r="AN65" s="139"/>
      <c r="AO65" s="139"/>
      <c r="AP65" s="139"/>
      <c r="AQ65" s="139"/>
      <c r="AR65" s="139"/>
      <c r="AS65" s="139"/>
      <c r="AT65" s="139"/>
      <c r="AU65" s="139"/>
      <c r="AV65" s="139"/>
      <c r="AW65" s="139"/>
      <c r="AX65" s="139"/>
      <c r="AY65" s="139"/>
      <c r="AZ65" s="139"/>
      <c r="BA65" s="139"/>
      <c r="BB65" s="139"/>
      <c r="BC65" s="139"/>
      <c r="BD65" s="139"/>
      <c r="BE65" s="139"/>
      <c r="BF65" s="139"/>
      <c r="BG65" s="139"/>
      <c r="BH65" s="139"/>
    </row>
    <row r="66" spans="2:60" s="11" customFormat="1" ht="19.899999999999999" customHeight="1">
      <c r="B66" s="5851"/>
      <c r="C66" s="6182"/>
      <c r="D66" s="9598" t="s">
        <v>633</v>
      </c>
      <c r="E66" s="9600"/>
      <c r="F66" s="285" t="s">
        <v>634</v>
      </c>
      <c r="G66" s="253"/>
      <c r="H66" s="6132"/>
      <c r="I66" s="9579" t="s">
        <v>150</v>
      </c>
      <c r="J66" s="9581"/>
      <c r="K66" s="132" t="s">
        <v>151</v>
      </c>
      <c r="L66" s="6051" t="s">
        <v>635</v>
      </c>
      <c r="M66" s="6052"/>
      <c r="N66" s="6092" t="s">
        <v>636</v>
      </c>
      <c r="O66" s="6092"/>
      <c r="P66" s="6092" t="s">
        <v>637</v>
      </c>
      <c r="Q66" s="5973"/>
      <c r="R66" s="2468"/>
      <c r="S66" s="276"/>
      <c r="T66" s="99"/>
      <c r="U66" s="138"/>
      <c r="V66" s="138"/>
      <c r="W66" s="99"/>
      <c r="X66" s="264"/>
      <c r="Y66" s="277"/>
      <c r="Z66" s="187"/>
      <c r="AA66" s="6301"/>
      <c r="AB66" s="139"/>
      <c r="AC66" s="139"/>
      <c r="AD66" s="139"/>
      <c r="AE66" s="139"/>
      <c r="AF66" s="139"/>
      <c r="AG66" s="139"/>
      <c r="AH66" s="139"/>
      <c r="AI66" s="139"/>
      <c r="AJ66" s="139"/>
      <c r="AK66" s="139"/>
      <c r="AL66" s="139"/>
      <c r="AM66" s="139"/>
      <c r="AN66" s="139"/>
      <c r="AO66" s="139"/>
      <c r="AP66" s="139"/>
      <c r="AQ66" s="139"/>
      <c r="AR66" s="139"/>
      <c r="AS66" s="139"/>
      <c r="AT66" s="139"/>
      <c r="AU66" s="139"/>
      <c r="AV66" s="139"/>
      <c r="AW66" s="139"/>
      <c r="AX66" s="139"/>
      <c r="AY66" s="139"/>
      <c r="AZ66" s="139"/>
      <c r="BA66" s="139"/>
      <c r="BB66" s="139"/>
      <c r="BC66" s="139"/>
      <c r="BD66" s="139"/>
      <c r="BE66" s="139"/>
      <c r="BF66" s="139"/>
      <c r="BG66" s="139"/>
      <c r="BH66" s="139"/>
    </row>
    <row r="67" spans="2:60" s="11" customFormat="1" ht="23.45" customHeight="1">
      <c r="B67" s="5851" t="b">
        <f>OR(ISBLANK(#REF!),ISBLANK(#REF!),ISBLANK(#REF!))</f>
        <v>0</v>
      </c>
      <c r="C67" s="6182"/>
      <c r="D67" s="9591" t="s">
        <v>152</v>
      </c>
      <c r="E67" s="9591"/>
      <c r="F67" s="285" t="s">
        <v>156</v>
      </c>
      <c r="G67" s="358"/>
      <c r="H67" s="6132"/>
      <c r="I67" s="9591" t="s">
        <v>153</v>
      </c>
      <c r="J67" s="9591"/>
      <c r="K67" s="5589" t="s">
        <v>154</v>
      </c>
      <c r="L67" s="5653" t="str">
        <f>IF(COUNTBLANK(L68:L73)&gt;0,"미취합법인有",AVERAGE(L68:L73))</f>
        <v>미취합법인有</v>
      </c>
      <c r="M67" s="6091"/>
      <c r="N67" s="5945" t="str">
        <f>IF(COUNTBLANK(N68:N73)&gt;0,"미취합법인有",AVERAGE(N68:N73))</f>
        <v>미취합법인有</v>
      </c>
      <c r="O67" s="5945"/>
      <c r="P67" s="5945" t="str">
        <f>IF(COUNTBLANK(P68:P73)&gt;0,"미취합법인有",AVERAGE(P68:P73))</f>
        <v>미취합법인有</v>
      </c>
      <c r="Q67" s="5945"/>
      <c r="R67" s="2465" t="s">
        <v>130</v>
      </c>
      <c r="S67" s="181" t="s">
        <v>131</v>
      </c>
      <c r="T67" s="99" t="s">
        <v>125</v>
      </c>
      <c r="U67" s="138"/>
      <c r="V67" s="138"/>
      <c r="W67" s="99"/>
      <c r="X67" s="186"/>
      <c r="Y67" s="154" t="s">
        <v>132</v>
      </c>
      <c r="Z67" s="187"/>
      <c r="AA67" s="6301"/>
      <c r="AB67" s="139"/>
      <c r="AC67" s="139"/>
      <c r="AD67" s="139"/>
      <c r="AE67" s="139"/>
      <c r="AF67" s="139"/>
      <c r="AG67" s="139"/>
      <c r="AH67" s="139"/>
      <c r="AI67" s="139"/>
      <c r="AJ67" s="139"/>
      <c r="AK67" s="139"/>
      <c r="AL67" s="139"/>
      <c r="AM67" s="139"/>
      <c r="AN67" s="139"/>
      <c r="AO67" s="139"/>
      <c r="AP67" s="139"/>
      <c r="AQ67" s="139"/>
      <c r="AR67" s="139"/>
      <c r="AS67" s="139"/>
      <c r="AT67" s="139"/>
      <c r="AU67" s="139"/>
      <c r="AV67" s="139"/>
      <c r="AW67" s="139"/>
      <c r="AX67" s="139"/>
      <c r="AY67" s="139"/>
      <c r="AZ67" s="139"/>
      <c r="BA67" s="139"/>
      <c r="BB67" s="139"/>
      <c r="BC67" s="139"/>
      <c r="BD67" s="139"/>
      <c r="BE67" s="139"/>
      <c r="BF67" s="139"/>
      <c r="BG67" s="139"/>
      <c r="BH67" s="139"/>
    </row>
    <row r="68" spans="2:60" customFormat="1" ht="20.100000000000001" customHeight="1">
      <c r="B68" s="5851"/>
      <c r="C68" s="6132"/>
      <c r="D68" s="9678" t="s">
        <v>134</v>
      </c>
      <c r="E68" s="9679"/>
      <c r="F68" s="285" t="s">
        <v>156</v>
      </c>
      <c r="G68" s="6132"/>
      <c r="H68" s="6132"/>
      <c r="I68" s="9579" t="s">
        <v>135</v>
      </c>
      <c r="J68" s="9581"/>
      <c r="K68" s="5849" t="s">
        <v>154</v>
      </c>
      <c r="L68" s="5924"/>
      <c r="M68" s="5904"/>
      <c r="N68" s="5905" t="s">
        <v>157</v>
      </c>
      <c r="O68" s="5905"/>
      <c r="P68" s="5905" t="s">
        <v>157</v>
      </c>
      <c r="Q68" s="6098"/>
      <c r="R68" s="5848"/>
      <c r="S68" s="5847"/>
      <c r="T68" s="5846"/>
      <c r="U68" s="5845"/>
      <c r="V68" s="5845"/>
      <c r="W68" s="5846"/>
      <c r="X68" s="5844"/>
      <c r="Y68" s="5843"/>
      <c r="Z68" s="4532"/>
      <c r="AA68" s="6301"/>
      <c r="AB68" s="6403" t="s">
        <v>159</v>
      </c>
      <c r="AC68" s="6403"/>
      <c r="AD68" s="6403"/>
      <c r="AE68" s="6403"/>
      <c r="AF68" s="6403"/>
      <c r="AG68" s="6403"/>
      <c r="AH68" s="6403"/>
      <c r="AI68" s="6403"/>
      <c r="AJ68" s="6403"/>
      <c r="AK68" s="6403"/>
      <c r="AL68" s="6403"/>
      <c r="AM68" s="6403"/>
      <c r="AN68" s="6403"/>
      <c r="AO68" s="6403"/>
      <c r="AP68" s="6403"/>
      <c r="AQ68" s="6403"/>
      <c r="AR68" s="6403"/>
      <c r="AS68" s="6403"/>
      <c r="AT68" s="6403"/>
      <c r="AU68" s="6403"/>
      <c r="AV68" s="6403"/>
      <c r="AW68" s="6403"/>
      <c r="AX68" s="6403"/>
      <c r="AY68" s="6403"/>
      <c r="AZ68" s="6403"/>
      <c r="BA68" s="6403"/>
      <c r="BB68" s="6403"/>
      <c r="BC68" s="6403"/>
      <c r="BD68" s="6403"/>
      <c r="BE68" s="6403"/>
      <c r="BF68" s="6403"/>
      <c r="BG68" s="6403"/>
      <c r="BH68" s="6403"/>
    </row>
    <row r="69" spans="2:60" s="11" customFormat="1" ht="20.100000000000001" customHeight="1">
      <c r="B69" s="5851"/>
      <c r="C69" s="6132"/>
      <c r="D69" s="9598" t="s">
        <v>137</v>
      </c>
      <c r="E69" s="9600"/>
      <c r="F69" s="285" t="s">
        <v>156</v>
      </c>
      <c r="G69" s="358"/>
      <c r="H69" s="6132"/>
      <c r="I69" s="9579" t="s">
        <v>138</v>
      </c>
      <c r="J69" s="9581"/>
      <c r="K69" s="5589" t="s">
        <v>154</v>
      </c>
      <c r="L69" s="5906"/>
      <c r="M69" s="5907"/>
      <c r="N69" s="5908"/>
      <c r="O69" s="5909"/>
      <c r="P69" s="5908"/>
      <c r="Q69" s="6099"/>
      <c r="R69" s="2465"/>
      <c r="S69" s="163"/>
      <c r="T69" s="99"/>
      <c r="U69" s="138"/>
      <c r="V69" s="138"/>
      <c r="W69" s="99"/>
      <c r="X69" s="186"/>
      <c r="Y69" s="154"/>
      <c r="Z69" s="187"/>
      <c r="AA69" s="6301"/>
      <c r="AB69" s="139"/>
      <c r="AC69" s="139"/>
      <c r="AD69" s="139"/>
      <c r="AE69" s="139"/>
      <c r="AF69" s="139"/>
      <c r="AG69" s="139"/>
      <c r="AH69" s="139"/>
      <c r="AI69" s="139"/>
      <c r="AJ69" s="139"/>
      <c r="AK69" s="139"/>
      <c r="AL69" s="139"/>
      <c r="AM69" s="139"/>
      <c r="AN69" s="139"/>
      <c r="AO69" s="139"/>
      <c r="AP69" s="139"/>
      <c r="AQ69" s="139"/>
      <c r="AR69" s="139"/>
      <c r="AS69" s="139"/>
      <c r="AT69" s="139"/>
      <c r="AU69" s="139"/>
      <c r="AV69" s="139"/>
      <c r="AW69" s="139"/>
      <c r="AX69" s="139"/>
      <c r="AY69" s="139"/>
      <c r="AZ69" s="139"/>
      <c r="BA69" s="139"/>
      <c r="BB69" s="139"/>
      <c r="BC69" s="139"/>
      <c r="BD69" s="139"/>
      <c r="BE69" s="139"/>
      <c r="BF69" s="139"/>
      <c r="BG69" s="139"/>
      <c r="BH69" s="139"/>
    </row>
    <row r="70" spans="2:60" s="11" customFormat="1" ht="19.899999999999999" customHeight="1">
      <c r="B70" s="5851"/>
      <c r="C70" s="6182"/>
      <c r="D70" s="9598" t="s">
        <v>140</v>
      </c>
      <c r="E70" s="9600"/>
      <c r="F70" s="285" t="s">
        <v>156</v>
      </c>
      <c r="G70" s="253"/>
      <c r="H70" s="6132"/>
      <c r="I70" s="9582" t="s">
        <v>141</v>
      </c>
      <c r="J70" s="9583"/>
      <c r="K70" s="132" t="s">
        <v>154</v>
      </c>
      <c r="L70" s="6087">
        <v>0</v>
      </c>
      <c r="M70" s="6088"/>
      <c r="N70" s="6089">
        <v>0</v>
      </c>
      <c r="O70" s="6090"/>
      <c r="P70" s="6089">
        <v>0</v>
      </c>
      <c r="Q70" s="6100"/>
      <c r="R70" s="2468"/>
      <c r="S70" s="276"/>
      <c r="T70" s="99"/>
      <c r="U70" s="138"/>
      <c r="V70" s="138"/>
      <c r="W70" s="99"/>
      <c r="X70" s="264"/>
      <c r="Y70" s="277"/>
      <c r="Z70" s="187"/>
      <c r="AA70" s="6301"/>
      <c r="AB70" s="139"/>
      <c r="AC70" s="139"/>
      <c r="AD70" s="139"/>
      <c r="AE70" s="139"/>
      <c r="AF70" s="139"/>
      <c r="AG70" s="139"/>
      <c r="AH70" s="139"/>
      <c r="AI70" s="139"/>
      <c r="AJ70" s="139"/>
      <c r="AK70" s="139"/>
      <c r="AL70" s="139"/>
      <c r="AM70" s="139"/>
      <c r="AN70" s="139"/>
      <c r="AO70" s="139"/>
      <c r="AP70" s="139"/>
      <c r="AQ70" s="139"/>
      <c r="AR70" s="139"/>
      <c r="AS70" s="139"/>
      <c r="AT70" s="139"/>
      <c r="AU70" s="139"/>
      <c r="AV70" s="139"/>
      <c r="AW70" s="139"/>
      <c r="AX70" s="139"/>
      <c r="AY70" s="139"/>
      <c r="AZ70" s="139"/>
      <c r="BA70" s="139"/>
      <c r="BB70" s="139"/>
      <c r="BC70" s="139"/>
      <c r="BD70" s="139"/>
      <c r="BE70" s="139"/>
      <c r="BF70" s="139"/>
      <c r="BG70" s="139"/>
      <c r="BH70" s="139"/>
    </row>
    <row r="71" spans="2:60" s="11" customFormat="1" ht="19.899999999999999" customHeight="1">
      <c r="B71" s="5851"/>
      <c r="C71" s="6182"/>
      <c r="D71" s="9598" t="s">
        <v>143</v>
      </c>
      <c r="E71" s="9600"/>
      <c r="F71" s="285" t="s">
        <v>156</v>
      </c>
      <c r="G71" s="253"/>
      <c r="H71" s="6132"/>
      <c r="I71" s="9582" t="s">
        <v>144</v>
      </c>
      <c r="J71" s="9583"/>
      <c r="K71" s="132" t="s">
        <v>154</v>
      </c>
      <c r="L71" s="5911" t="s">
        <v>160</v>
      </c>
      <c r="M71" s="5912"/>
      <c r="N71" s="5913" t="s">
        <v>160</v>
      </c>
      <c r="O71" s="5912"/>
      <c r="P71" s="5913" t="s">
        <v>160</v>
      </c>
      <c r="Q71" s="6101"/>
      <c r="R71" s="2468"/>
      <c r="S71" s="276"/>
      <c r="T71" s="99"/>
      <c r="U71" s="138"/>
      <c r="V71" s="138"/>
      <c r="W71" s="99"/>
      <c r="X71" s="264"/>
      <c r="Y71" s="277"/>
      <c r="Z71" s="187"/>
      <c r="AA71" s="6301"/>
      <c r="AB71" s="139"/>
      <c r="AC71" s="139"/>
      <c r="AD71" s="139"/>
      <c r="AE71" s="139"/>
      <c r="AF71" s="139"/>
      <c r="AG71" s="139"/>
      <c r="AH71" s="139"/>
      <c r="AI71" s="139"/>
      <c r="AJ71" s="139"/>
      <c r="AK71" s="139"/>
      <c r="AL71" s="139"/>
      <c r="AM71" s="139"/>
      <c r="AN71" s="139"/>
      <c r="AO71" s="139"/>
      <c r="AP71" s="139"/>
      <c r="AQ71" s="139"/>
      <c r="AR71" s="139"/>
      <c r="AS71" s="139"/>
      <c r="AT71" s="139"/>
      <c r="AU71" s="139"/>
      <c r="AV71" s="139"/>
      <c r="AW71" s="139"/>
      <c r="AX71" s="139"/>
      <c r="AY71" s="139"/>
      <c r="AZ71" s="139"/>
      <c r="BA71" s="139"/>
      <c r="BB71" s="139"/>
      <c r="BC71" s="139"/>
      <c r="BD71" s="139"/>
      <c r="BE71" s="139"/>
      <c r="BF71" s="139"/>
      <c r="BG71" s="139"/>
      <c r="BH71" s="139"/>
    </row>
    <row r="72" spans="2:60" s="11" customFormat="1" ht="19.899999999999999" customHeight="1">
      <c r="B72" s="5851"/>
      <c r="C72" s="6182"/>
      <c r="D72" s="9598" t="s">
        <v>631</v>
      </c>
      <c r="E72" s="9600"/>
      <c r="F72" s="285" t="s">
        <v>156</v>
      </c>
      <c r="G72" s="253"/>
      <c r="H72" s="6132"/>
      <c r="I72" s="9582" t="s">
        <v>147</v>
      </c>
      <c r="J72" s="9583"/>
      <c r="K72" s="132" t="s">
        <v>154</v>
      </c>
      <c r="L72" s="5911" t="s">
        <v>160</v>
      </c>
      <c r="M72" s="5912"/>
      <c r="N72" s="5913" t="s">
        <v>160</v>
      </c>
      <c r="O72" s="5912"/>
      <c r="P72" s="5913" t="s">
        <v>160</v>
      </c>
      <c r="Q72" s="6102"/>
      <c r="R72" s="2468"/>
      <c r="S72" s="276"/>
      <c r="T72" s="99"/>
      <c r="U72" s="138"/>
      <c r="V72" s="138"/>
      <c r="W72" s="99"/>
      <c r="X72" s="264"/>
      <c r="Y72" s="277"/>
      <c r="Z72" s="187"/>
      <c r="AA72" s="6301"/>
      <c r="AB72" s="139"/>
      <c r="AC72" s="139"/>
      <c r="AD72" s="139"/>
      <c r="AE72" s="139"/>
      <c r="AF72" s="139"/>
      <c r="AG72" s="139"/>
      <c r="AH72" s="139"/>
      <c r="AI72" s="139"/>
      <c r="AJ72" s="139"/>
      <c r="AK72" s="139"/>
      <c r="AL72" s="139"/>
      <c r="AM72" s="139"/>
      <c r="AN72" s="139"/>
      <c r="AO72" s="139"/>
      <c r="AP72" s="139"/>
      <c r="AQ72" s="139"/>
      <c r="AR72" s="139"/>
      <c r="AS72" s="139"/>
      <c r="AT72" s="139"/>
      <c r="AU72" s="139"/>
      <c r="AV72" s="139"/>
      <c r="AW72" s="139"/>
      <c r="AX72" s="139"/>
      <c r="AY72" s="139"/>
      <c r="AZ72" s="139"/>
      <c r="BA72" s="139"/>
      <c r="BB72" s="139"/>
      <c r="BC72" s="139"/>
      <c r="BD72" s="139"/>
      <c r="BE72" s="139"/>
      <c r="BF72" s="139"/>
      <c r="BG72" s="139"/>
      <c r="BH72" s="139"/>
    </row>
    <row r="73" spans="2:60" s="11" customFormat="1" ht="19.899999999999999" customHeight="1">
      <c r="B73" s="5851"/>
      <c r="C73" s="6132"/>
      <c r="D73" s="9598" t="s">
        <v>633</v>
      </c>
      <c r="E73" s="9600"/>
      <c r="F73" s="285" t="s">
        <v>156</v>
      </c>
      <c r="G73" s="253"/>
      <c r="H73" s="6132"/>
      <c r="I73" s="9582" t="s">
        <v>150</v>
      </c>
      <c r="J73" s="9583"/>
      <c r="K73" s="132" t="s">
        <v>154</v>
      </c>
      <c r="L73" s="5911" t="s">
        <v>160</v>
      </c>
      <c r="M73" s="5914"/>
      <c r="N73" s="5910" t="s">
        <v>160</v>
      </c>
      <c r="O73" s="5910"/>
      <c r="P73" s="5910" t="s">
        <v>160</v>
      </c>
      <c r="Q73" s="6099"/>
      <c r="R73" s="2468"/>
      <c r="S73" s="276"/>
      <c r="T73" s="99"/>
      <c r="U73" s="138"/>
      <c r="V73" s="138"/>
      <c r="W73" s="99"/>
      <c r="X73" s="264"/>
      <c r="Y73" s="277"/>
      <c r="Z73" s="187"/>
      <c r="AA73" s="6301"/>
      <c r="AB73" s="139"/>
      <c r="AC73" s="139"/>
      <c r="AD73" s="139"/>
      <c r="AE73" s="139"/>
      <c r="AF73" s="139"/>
      <c r="AG73" s="139"/>
      <c r="AH73" s="139"/>
      <c r="AI73" s="139"/>
      <c r="AJ73" s="139"/>
      <c r="AK73" s="139"/>
      <c r="AL73" s="139"/>
      <c r="AM73" s="139"/>
      <c r="AN73" s="139"/>
      <c r="AO73" s="139"/>
      <c r="AP73" s="139"/>
      <c r="AQ73" s="139"/>
      <c r="AR73" s="139"/>
      <c r="AS73" s="139"/>
      <c r="AT73" s="139"/>
      <c r="AU73" s="139"/>
      <c r="AV73" s="139"/>
      <c r="AW73" s="139"/>
      <c r="AX73" s="139"/>
      <c r="AY73" s="139"/>
      <c r="AZ73" s="139"/>
      <c r="BA73" s="139"/>
      <c r="BB73" s="139"/>
      <c r="BC73" s="139"/>
      <c r="BD73" s="139"/>
      <c r="BE73" s="139"/>
      <c r="BF73" s="139"/>
      <c r="BG73" s="139"/>
      <c r="BH73" s="139"/>
    </row>
    <row r="74" spans="2:60" s="11" customFormat="1" ht="20.100000000000001" customHeight="1">
      <c r="B74" s="5851" t="b">
        <f>OR(ISBLANK(#REF!),ISBLANK(#REF!),ISBLANK(#REF!))</f>
        <v>0</v>
      </c>
      <c r="C74" s="6182"/>
      <c r="D74" s="9591" t="s">
        <v>162</v>
      </c>
      <c r="E74" s="9591"/>
      <c r="F74" s="285" t="s">
        <v>638</v>
      </c>
      <c r="G74" s="358"/>
      <c r="H74" s="6132"/>
      <c r="I74" s="9591" t="s">
        <v>163</v>
      </c>
      <c r="J74" s="9591"/>
      <c r="K74" s="5589" t="s">
        <v>164</v>
      </c>
      <c r="L74" s="5653">
        <f>IF(COUNTBLANK(L75:L80)&gt;0,"미취합법인有",AVERAGE(L75:L80))</f>
        <v>21.446280991735538</v>
      </c>
      <c r="M74" s="5657"/>
      <c r="N74" s="5654">
        <f>IF(COUNTBLANK(N75:N80)&gt;0,"미취합법인有",AVERAGE(N75:N80))</f>
        <v>42.269807280513916</v>
      </c>
      <c r="O74" s="5663"/>
      <c r="P74" s="6077">
        <f>IF(COUNTBLANK(P75:P80)&gt;0,"미취합법인有",AVERAGE(P75:P80))</f>
        <v>42.135523613963038</v>
      </c>
      <c r="Q74" s="5945"/>
      <c r="R74" s="2465" t="s">
        <v>165</v>
      </c>
      <c r="S74" s="181" t="s">
        <v>131</v>
      </c>
      <c r="T74" s="99" t="s">
        <v>125</v>
      </c>
      <c r="U74" s="138"/>
      <c r="V74" s="138"/>
      <c r="W74" s="99"/>
      <c r="X74" s="186"/>
      <c r="Y74" s="154" t="s">
        <v>132</v>
      </c>
      <c r="Z74" s="187"/>
      <c r="AA74" s="6301"/>
      <c r="AB74" s="139"/>
      <c r="AC74" s="139"/>
      <c r="AD74" s="139"/>
      <c r="AE74" s="139"/>
      <c r="AF74" s="139"/>
      <c r="AG74" s="139"/>
      <c r="AH74" s="139"/>
      <c r="AI74" s="139"/>
      <c r="AJ74" s="139"/>
      <c r="AK74" s="139"/>
      <c r="AL74" s="139"/>
      <c r="AM74" s="139"/>
      <c r="AN74" s="139"/>
      <c r="AO74" s="139"/>
      <c r="AP74" s="139"/>
      <c r="AQ74" s="139"/>
      <c r="AR74" s="139"/>
      <c r="AS74" s="139"/>
      <c r="AT74" s="139"/>
      <c r="AU74" s="139"/>
      <c r="AV74" s="139"/>
      <c r="AW74" s="139"/>
      <c r="AX74" s="139"/>
      <c r="AY74" s="139"/>
      <c r="AZ74" s="139"/>
      <c r="BA74" s="139"/>
      <c r="BB74" s="139"/>
      <c r="BC74" s="139"/>
      <c r="BD74" s="139"/>
      <c r="BE74" s="139"/>
      <c r="BF74" s="139"/>
      <c r="BG74" s="139"/>
      <c r="BH74" s="139"/>
    </row>
    <row r="75" spans="2:60" customFormat="1" ht="20.100000000000001" customHeight="1">
      <c r="B75" s="5851"/>
      <c r="C75" s="6132"/>
      <c r="D75" s="9678" t="s">
        <v>134</v>
      </c>
      <c r="E75" s="9679"/>
      <c r="F75" s="285" t="s">
        <v>156</v>
      </c>
      <c r="G75" s="6132"/>
      <c r="H75" s="6132"/>
      <c r="I75" s="9579" t="s">
        <v>135</v>
      </c>
      <c r="J75" s="9581"/>
      <c r="K75" s="5849" t="s">
        <v>154</v>
      </c>
      <c r="L75" s="6085">
        <v>0</v>
      </c>
      <c r="M75" s="5898"/>
      <c r="N75" s="6043">
        <v>100</v>
      </c>
      <c r="O75" s="5899" t="s">
        <v>167</v>
      </c>
      <c r="P75" s="6043">
        <v>100</v>
      </c>
      <c r="Q75" s="5852" t="s">
        <v>167</v>
      </c>
      <c r="R75" s="5848"/>
      <c r="S75" s="5847"/>
      <c r="T75" s="5846"/>
      <c r="U75" s="5845"/>
      <c r="V75" s="5845"/>
      <c r="W75" s="5846"/>
      <c r="X75" s="5844"/>
      <c r="Y75" s="5843"/>
      <c r="Z75" s="4532"/>
      <c r="AA75" s="6301"/>
      <c r="AB75" s="6403"/>
      <c r="AC75" s="6403"/>
      <c r="AD75" s="6403"/>
      <c r="AE75" s="6403"/>
      <c r="AF75" s="6403"/>
      <c r="AG75" s="6403"/>
      <c r="AH75" s="6403"/>
      <c r="AI75" s="6403"/>
      <c r="AJ75" s="6403"/>
      <c r="AK75" s="6403"/>
      <c r="AL75" s="6403"/>
      <c r="AM75" s="6403"/>
      <c r="AN75" s="6403"/>
      <c r="AO75" s="6403"/>
      <c r="AP75" s="6403"/>
      <c r="AQ75" s="6403"/>
      <c r="AR75" s="6403"/>
      <c r="AS75" s="6403"/>
      <c r="AT75" s="6403"/>
      <c r="AU75" s="6403"/>
      <c r="AV75" s="6403"/>
      <c r="AW75" s="6403"/>
      <c r="AX75" s="6403"/>
      <c r="AY75" s="6403"/>
      <c r="AZ75" s="6403"/>
      <c r="BA75" s="6403"/>
      <c r="BB75" s="6403"/>
      <c r="BC75" s="6403"/>
      <c r="BD75" s="6403"/>
      <c r="BE75" s="6403"/>
      <c r="BF75" s="6403"/>
      <c r="BG75" s="6403"/>
      <c r="BH75" s="6403"/>
    </row>
    <row r="76" spans="2:60" s="11" customFormat="1" ht="20.100000000000001" customHeight="1">
      <c r="B76" s="5851"/>
      <c r="C76" s="6132"/>
      <c r="D76" s="9598" t="s">
        <v>137</v>
      </c>
      <c r="E76" s="9600"/>
      <c r="F76" s="285" t="s">
        <v>156</v>
      </c>
      <c r="G76" s="358"/>
      <c r="H76" s="6132"/>
      <c r="I76" s="9579" t="s">
        <v>138</v>
      </c>
      <c r="J76" s="9581"/>
      <c r="K76" s="5589" t="s">
        <v>154</v>
      </c>
      <c r="L76" s="2312">
        <v>0</v>
      </c>
      <c r="M76" s="5900"/>
      <c r="N76" s="1095">
        <v>0</v>
      </c>
      <c r="O76" s="5902"/>
      <c r="P76" s="1095">
        <v>0</v>
      </c>
      <c r="Q76" s="5971"/>
      <c r="R76" s="2465"/>
      <c r="S76" s="163"/>
      <c r="T76" s="99"/>
      <c r="U76" s="138"/>
      <c r="V76" s="138"/>
      <c r="W76" s="99"/>
      <c r="X76" s="186"/>
      <c r="Y76" s="154"/>
      <c r="Z76" s="187"/>
      <c r="AA76" s="6301"/>
      <c r="AB76" s="139"/>
      <c r="AC76" s="139"/>
      <c r="AD76" s="139"/>
      <c r="AE76" s="139"/>
      <c r="AF76" s="139"/>
      <c r="AG76" s="139"/>
      <c r="AH76" s="139"/>
      <c r="AI76" s="139"/>
      <c r="AJ76" s="139"/>
      <c r="AK76" s="139"/>
      <c r="AL76" s="139"/>
      <c r="AM76" s="139"/>
      <c r="AN76" s="139"/>
      <c r="AO76" s="139"/>
      <c r="AP76" s="139"/>
      <c r="AQ76" s="139"/>
      <c r="AR76" s="139"/>
      <c r="AS76" s="139"/>
      <c r="AT76" s="139"/>
      <c r="AU76" s="139"/>
      <c r="AV76" s="139"/>
      <c r="AW76" s="139"/>
      <c r="AX76" s="139"/>
      <c r="AY76" s="139"/>
      <c r="AZ76" s="139"/>
      <c r="BA76" s="139"/>
      <c r="BB76" s="139"/>
      <c r="BC76" s="139"/>
      <c r="BD76" s="139"/>
      <c r="BE76" s="139"/>
      <c r="BF76" s="139"/>
      <c r="BG76" s="139"/>
      <c r="BH76" s="139"/>
    </row>
    <row r="77" spans="2:60" s="11" customFormat="1" ht="19.899999999999999" customHeight="1">
      <c r="B77" s="5851"/>
      <c r="C77" s="6182"/>
      <c r="D77" s="9598" t="s">
        <v>140</v>
      </c>
      <c r="E77" s="9600"/>
      <c r="F77" s="285" t="s">
        <v>156</v>
      </c>
      <c r="G77" s="253"/>
      <c r="H77" s="6132"/>
      <c r="I77" s="9582" t="s">
        <v>141</v>
      </c>
      <c r="J77" s="9583"/>
      <c r="K77" s="132" t="s">
        <v>154</v>
      </c>
      <c r="L77" s="2435">
        <v>0</v>
      </c>
      <c r="M77" s="1238"/>
      <c r="N77" s="1039">
        <v>0</v>
      </c>
      <c r="O77" s="1241"/>
      <c r="P77" s="1039">
        <v>0</v>
      </c>
      <c r="Q77" s="5901"/>
      <c r="R77" s="2468"/>
      <c r="S77" s="276"/>
      <c r="T77" s="99"/>
      <c r="U77" s="138"/>
      <c r="V77" s="138"/>
      <c r="W77" s="99"/>
      <c r="X77" s="264"/>
      <c r="Y77" s="277"/>
      <c r="Z77" s="187"/>
      <c r="AA77" s="6301"/>
      <c r="AB77" s="139"/>
      <c r="AC77" s="139"/>
      <c r="AD77" s="139"/>
      <c r="AE77" s="139"/>
      <c r="AF77" s="139"/>
      <c r="AG77" s="139"/>
      <c r="AH77" s="139"/>
      <c r="AI77" s="139"/>
      <c r="AJ77" s="139"/>
      <c r="AK77" s="139"/>
      <c r="AL77" s="139"/>
      <c r="AM77" s="139"/>
      <c r="AN77" s="139"/>
      <c r="AO77" s="139"/>
      <c r="AP77" s="139"/>
      <c r="AQ77" s="139"/>
      <c r="AR77" s="139"/>
      <c r="AS77" s="139"/>
      <c r="AT77" s="139"/>
      <c r="AU77" s="139"/>
      <c r="AV77" s="139"/>
      <c r="AW77" s="139"/>
      <c r="AX77" s="139"/>
      <c r="AY77" s="139"/>
      <c r="AZ77" s="139"/>
      <c r="BA77" s="139"/>
      <c r="BB77" s="139"/>
      <c r="BC77" s="139"/>
      <c r="BD77" s="139"/>
      <c r="BE77" s="139"/>
      <c r="BF77" s="139"/>
      <c r="BG77" s="139"/>
      <c r="BH77" s="139"/>
    </row>
    <row r="78" spans="2:60" s="11" customFormat="1" ht="19.899999999999999" customHeight="1">
      <c r="B78" s="5851"/>
      <c r="C78" s="6182"/>
      <c r="D78" s="9598" t="s">
        <v>143</v>
      </c>
      <c r="E78" s="9600"/>
      <c r="F78" s="285" t="s">
        <v>156</v>
      </c>
      <c r="G78" s="253"/>
      <c r="H78" s="6132"/>
      <c r="I78" s="9582" t="s">
        <v>144</v>
      </c>
      <c r="J78" s="9583"/>
      <c r="K78" s="132" t="s">
        <v>154</v>
      </c>
      <c r="L78" s="5714">
        <v>100</v>
      </c>
      <c r="M78" s="5903" t="s">
        <v>639</v>
      </c>
      <c r="N78" s="6043">
        <v>100</v>
      </c>
      <c r="O78" s="5899" t="s">
        <v>167</v>
      </c>
      <c r="P78" s="6043">
        <v>100</v>
      </c>
      <c r="Q78" s="5852" t="s">
        <v>167</v>
      </c>
      <c r="R78" s="2468"/>
      <c r="S78" s="276"/>
      <c r="T78" s="99"/>
      <c r="U78" s="138"/>
      <c r="V78" s="138"/>
      <c r="W78" s="99"/>
      <c r="X78" s="264"/>
      <c r="Y78" s="277"/>
      <c r="Z78" s="187"/>
      <c r="AA78" s="6301"/>
      <c r="AB78" s="139"/>
      <c r="AC78" s="139"/>
      <c r="AD78" s="139"/>
      <c r="AE78" s="139"/>
      <c r="AF78" s="139"/>
      <c r="AG78" s="139"/>
      <c r="AH78" s="139"/>
      <c r="AI78" s="139"/>
      <c r="AJ78" s="139"/>
      <c r="AK78" s="139"/>
      <c r="AL78" s="139"/>
      <c r="AM78" s="139"/>
      <c r="AN78" s="139"/>
      <c r="AO78" s="139"/>
      <c r="AP78" s="139"/>
      <c r="AQ78" s="139"/>
      <c r="AR78" s="139"/>
      <c r="AS78" s="139"/>
      <c r="AT78" s="139"/>
      <c r="AU78" s="139"/>
      <c r="AV78" s="139"/>
      <c r="AW78" s="139"/>
      <c r="AX78" s="139"/>
      <c r="AY78" s="139"/>
      <c r="AZ78" s="139"/>
      <c r="BA78" s="139"/>
      <c r="BB78" s="139"/>
      <c r="BC78" s="139"/>
      <c r="BD78" s="139"/>
      <c r="BE78" s="139"/>
      <c r="BF78" s="139"/>
      <c r="BG78" s="139"/>
      <c r="BH78" s="139"/>
    </row>
    <row r="79" spans="2:60" s="11" customFormat="1" ht="19.899999999999999" customHeight="1">
      <c r="B79" s="5851"/>
      <c r="C79" s="6182"/>
      <c r="D79" s="9598" t="s">
        <v>631</v>
      </c>
      <c r="E79" s="9600"/>
      <c r="F79" s="285" t="s">
        <v>156</v>
      </c>
      <c r="G79" s="253"/>
      <c r="H79" s="6132"/>
      <c r="I79" s="9582" t="s">
        <v>147</v>
      </c>
      <c r="J79" s="9583"/>
      <c r="K79" s="132" t="s">
        <v>154</v>
      </c>
      <c r="L79" s="6086">
        <v>7.2314049586776852</v>
      </c>
      <c r="M79" s="5916"/>
      <c r="N79" s="5710">
        <v>11.349036402569594</v>
      </c>
      <c r="O79" s="5917"/>
      <c r="P79" s="5710">
        <v>10.677618069815194</v>
      </c>
      <c r="Q79" s="5971"/>
      <c r="R79" s="2468"/>
      <c r="S79" s="276"/>
      <c r="T79" s="99"/>
      <c r="U79" s="138"/>
      <c r="V79" s="138"/>
      <c r="W79" s="99"/>
      <c r="X79" s="264"/>
      <c r="Y79" s="277"/>
      <c r="Z79" s="187"/>
      <c r="AA79" s="6301"/>
      <c r="AB79" s="139"/>
      <c r="AC79" s="139"/>
      <c r="AD79" s="139"/>
      <c r="AE79" s="139"/>
      <c r="AF79" s="139"/>
      <c r="AG79" s="139"/>
      <c r="AH79" s="139"/>
      <c r="AI79" s="139"/>
      <c r="AJ79" s="139"/>
      <c r="AK79" s="139"/>
      <c r="AL79" s="139"/>
      <c r="AM79" s="139"/>
      <c r="AN79" s="139"/>
      <c r="AO79" s="139"/>
      <c r="AP79" s="139"/>
      <c r="AQ79" s="139"/>
      <c r="AR79" s="139"/>
      <c r="AS79" s="139"/>
      <c r="AT79" s="139"/>
      <c r="AU79" s="139"/>
      <c r="AV79" s="139"/>
      <c r="AW79" s="139"/>
      <c r="AX79" s="139"/>
      <c r="AY79" s="139"/>
      <c r="AZ79" s="139"/>
      <c r="BA79" s="139"/>
      <c r="BB79" s="139"/>
      <c r="BC79" s="139"/>
      <c r="BD79" s="139"/>
      <c r="BE79" s="139"/>
      <c r="BF79" s="139"/>
      <c r="BG79" s="139"/>
      <c r="BH79" s="139"/>
    </row>
    <row r="80" spans="2:60" s="11" customFormat="1" ht="19.899999999999999" customHeight="1">
      <c r="B80" s="5851"/>
      <c r="C80" s="6182"/>
      <c r="D80" s="9598" t="s">
        <v>633</v>
      </c>
      <c r="E80" s="9600"/>
      <c r="F80" s="285" t="s">
        <v>156</v>
      </c>
      <c r="G80" s="253"/>
      <c r="H80" s="6132"/>
      <c r="I80" s="9582" t="s">
        <v>150</v>
      </c>
      <c r="J80" s="9583"/>
      <c r="K80" s="132" t="s">
        <v>154</v>
      </c>
      <c r="L80" s="5923" t="s">
        <v>168</v>
      </c>
      <c r="M80" s="6083" t="s">
        <v>640</v>
      </c>
      <c r="N80" s="6083" t="s">
        <v>169</v>
      </c>
      <c r="O80" s="6083" t="s">
        <v>641</v>
      </c>
      <c r="P80" s="6083" t="s">
        <v>169</v>
      </c>
      <c r="Q80" s="6084" t="s">
        <v>641</v>
      </c>
      <c r="R80" s="2468"/>
      <c r="S80" s="276"/>
      <c r="T80" s="99"/>
      <c r="U80" s="138"/>
      <c r="V80" s="138"/>
      <c r="W80" s="99"/>
      <c r="X80" s="264"/>
      <c r="Y80" s="277"/>
      <c r="Z80" s="187"/>
      <c r="AA80" s="6159" t="s">
        <v>642</v>
      </c>
      <c r="AB80" s="139"/>
      <c r="AC80" s="139"/>
      <c r="AD80" s="139"/>
      <c r="AE80" s="139"/>
      <c r="AF80" s="139"/>
      <c r="AG80" s="139"/>
      <c r="AH80" s="139"/>
      <c r="AI80" s="139"/>
      <c r="AJ80" s="139"/>
      <c r="AK80" s="139"/>
      <c r="AL80" s="139"/>
      <c r="AM80" s="139"/>
      <c r="AN80" s="139"/>
      <c r="AO80" s="139"/>
      <c r="AP80" s="139"/>
      <c r="AQ80" s="139"/>
      <c r="AR80" s="139"/>
      <c r="AS80" s="139"/>
      <c r="AT80" s="139"/>
      <c r="AU80" s="139"/>
      <c r="AV80" s="139"/>
      <c r="AW80" s="139"/>
      <c r="AX80" s="139"/>
      <c r="AY80" s="139"/>
      <c r="AZ80" s="139"/>
      <c r="BA80" s="139"/>
      <c r="BB80" s="139"/>
      <c r="BC80" s="139"/>
      <c r="BD80" s="139"/>
      <c r="BE80" s="139"/>
      <c r="BF80" s="139"/>
      <c r="BG80" s="139"/>
      <c r="BH80" s="139"/>
    </row>
    <row r="81" spans="2:60" s="11" customFormat="1" ht="20.100000000000001" customHeight="1">
      <c r="B81" s="1353"/>
      <c r="C81" s="9713" t="s">
        <v>171</v>
      </c>
      <c r="D81" s="9714"/>
      <c r="E81" s="9714"/>
      <c r="F81" s="9715"/>
      <c r="G81" s="6326"/>
      <c r="H81" s="9713" t="s">
        <v>172</v>
      </c>
      <c r="I81" s="9714"/>
      <c r="J81" s="9715"/>
      <c r="K81" s="6327"/>
      <c r="L81" s="6187"/>
      <c r="M81" s="6187"/>
      <c r="N81" s="6187"/>
      <c r="O81" s="6187"/>
      <c r="P81" s="6187"/>
      <c r="Q81" s="6230"/>
      <c r="R81" s="2468"/>
      <c r="S81" s="163"/>
      <c r="T81" s="99" t="s">
        <v>125</v>
      </c>
      <c r="U81" s="138"/>
      <c r="V81" s="138"/>
      <c r="W81" s="99"/>
      <c r="X81" s="186"/>
      <c r="Y81" s="154" t="s">
        <v>173</v>
      </c>
      <c r="Z81" s="187"/>
      <c r="AA81" s="6301"/>
      <c r="AB81" s="139"/>
      <c r="AC81" s="139"/>
      <c r="AD81" s="139"/>
      <c r="AE81" s="139"/>
      <c r="AF81" s="139"/>
      <c r="AG81" s="139"/>
      <c r="AH81" s="139"/>
      <c r="AI81" s="139"/>
      <c r="AJ81" s="139"/>
      <c r="AK81" s="139"/>
      <c r="AL81" s="139"/>
      <c r="AM81" s="139"/>
      <c r="AN81" s="139"/>
      <c r="AO81" s="139"/>
      <c r="AP81" s="139"/>
      <c r="AQ81" s="139"/>
      <c r="AR81" s="139"/>
      <c r="AS81" s="139"/>
      <c r="AT81" s="139"/>
      <c r="AU81" s="139"/>
      <c r="AV81" s="139"/>
      <c r="AW81" s="139"/>
      <c r="AX81" s="139"/>
      <c r="AY81" s="139"/>
      <c r="AZ81" s="139"/>
      <c r="BA81" s="139"/>
      <c r="BB81" s="139"/>
      <c r="BC81" s="139"/>
      <c r="BD81" s="139"/>
      <c r="BE81" s="139"/>
      <c r="BF81" s="139"/>
      <c r="BG81" s="139"/>
      <c r="BH81" s="139"/>
    </row>
    <row r="82" spans="2:60" s="11" customFormat="1" ht="20.100000000000001" customHeight="1">
      <c r="B82" s="1351" t="b">
        <f>OR(ISBLANK(#REF!),ISBLANK(#REF!),ISBLANK(#REF!))</f>
        <v>0</v>
      </c>
      <c r="C82" s="6154"/>
      <c r="D82" s="9591" t="s">
        <v>174</v>
      </c>
      <c r="E82" s="9591"/>
      <c r="F82" s="285" t="s">
        <v>628</v>
      </c>
      <c r="G82" s="347"/>
      <c r="H82" s="6154"/>
      <c r="I82" s="9591" t="s">
        <v>176</v>
      </c>
      <c r="J82" s="9591"/>
      <c r="K82" s="5589" t="s">
        <v>128</v>
      </c>
      <c r="L82" s="6434"/>
      <c r="M82" s="6435"/>
      <c r="N82" s="6435"/>
      <c r="O82" s="6435"/>
      <c r="P82" s="6436"/>
      <c r="Q82" s="6351"/>
      <c r="R82" s="2465"/>
      <c r="S82" s="163"/>
      <c r="T82" s="99" t="s">
        <v>125</v>
      </c>
      <c r="U82" s="138"/>
      <c r="V82" s="138"/>
      <c r="W82" s="99"/>
      <c r="X82" s="186"/>
      <c r="Y82" s="154" t="s">
        <v>173</v>
      </c>
      <c r="Z82" s="187"/>
      <c r="AA82" s="6301"/>
      <c r="AB82" s="139" t="s">
        <v>177</v>
      </c>
      <c r="AC82" s="139"/>
      <c r="AD82" s="139"/>
      <c r="AE82" s="139"/>
      <c r="AF82" s="139"/>
      <c r="AG82" s="139"/>
      <c r="AH82" s="139"/>
      <c r="AI82" s="139"/>
      <c r="AJ82" s="139"/>
      <c r="AK82" s="139"/>
      <c r="AL82" s="139"/>
      <c r="AM82" s="139"/>
      <c r="AN82" s="139"/>
      <c r="AO82" s="139"/>
      <c r="AP82" s="139"/>
      <c r="AQ82" s="139"/>
      <c r="AR82" s="139"/>
      <c r="AS82" s="139"/>
      <c r="AT82" s="139"/>
      <c r="AU82" s="139"/>
      <c r="AV82" s="139"/>
      <c r="AW82" s="139"/>
      <c r="AX82" s="139"/>
      <c r="AY82" s="139"/>
      <c r="AZ82" s="139"/>
      <c r="BA82" s="139"/>
      <c r="BB82" s="139"/>
      <c r="BC82" s="139"/>
      <c r="BD82" s="139"/>
      <c r="BE82" s="139"/>
      <c r="BF82" s="139"/>
      <c r="BG82" s="139"/>
      <c r="BH82" s="139"/>
    </row>
    <row r="83" spans="2:60" customFormat="1" ht="20.100000000000001" customHeight="1">
      <c r="B83" s="5851"/>
      <c r="C83" s="6132"/>
      <c r="D83" s="9678" t="s">
        <v>134</v>
      </c>
      <c r="E83" s="9679"/>
      <c r="F83" s="5835" t="s">
        <v>33</v>
      </c>
      <c r="G83" s="6132"/>
      <c r="H83" s="6179"/>
      <c r="I83" s="9579" t="s">
        <v>135</v>
      </c>
      <c r="J83" s="9581"/>
      <c r="K83" s="6152" t="s">
        <v>35</v>
      </c>
      <c r="L83" s="5649"/>
      <c r="M83" s="1486"/>
      <c r="N83" s="1486"/>
      <c r="O83" s="1486"/>
      <c r="P83" s="5969" t="s">
        <v>643</v>
      </c>
      <c r="Q83" s="1486"/>
      <c r="R83" s="5848"/>
      <c r="S83" s="5847"/>
      <c r="T83" s="5846"/>
      <c r="U83" s="5845"/>
      <c r="V83" s="5845"/>
      <c r="W83" s="5846"/>
      <c r="X83" s="5844"/>
      <c r="Y83" s="5843"/>
      <c r="Z83" s="4532"/>
      <c r="AA83" s="6301"/>
      <c r="AB83" s="6403"/>
      <c r="AC83" s="6403"/>
      <c r="AD83" s="6403"/>
      <c r="AE83" s="6403"/>
      <c r="AF83" s="6403"/>
      <c r="AG83" s="6403"/>
      <c r="AH83" s="6403"/>
      <c r="AI83" s="6403"/>
      <c r="AJ83" s="6403"/>
      <c r="AK83" s="6403"/>
      <c r="AL83" s="6403"/>
      <c r="AM83" s="6403"/>
      <c r="AN83" s="6403"/>
      <c r="AO83" s="6403"/>
      <c r="AP83" s="6403"/>
      <c r="AQ83" s="6403"/>
      <c r="AR83" s="6403"/>
      <c r="AS83" s="6403"/>
      <c r="AT83" s="6403"/>
      <c r="AU83" s="6403"/>
      <c r="AV83" s="6403"/>
      <c r="AW83" s="6403"/>
      <c r="AX83" s="6403"/>
      <c r="AY83" s="6403"/>
      <c r="AZ83" s="6403"/>
      <c r="BA83" s="6403"/>
      <c r="BB83" s="6403"/>
      <c r="BC83" s="6403"/>
      <c r="BD83" s="6403"/>
      <c r="BE83" s="6403"/>
      <c r="BF83" s="6403"/>
      <c r="BG83" s="6403"/>
      <c r="BH83" s="6403"/>
    </row>
    <row r="84" spans="2:60" s="11" customFormat="1" ht="20.100000000000001" customHeight="1">
      <c r="B84" s="5851"/>
      <c r="C84" s="6132"/>
      <c r="D84" s="9598" t="s">
        <v>137</v>
      </c>
      <c r="E84" s="9600"/>
      <c r="F84" s="285" t="s">
        <v>272</v>
      </c>
      <c r="G84" s="358"/>
      <c r="H84" s="6179"/>
      <c r="I84" s="9579" t="s">
        <v>138</v>
      </c>
      <c r="J84" s="9581"/>
      <c r="K84" s="5589" t="s">
        <v>142</v>
      </c>
      <c r="L84" s="5747">
        <f>'4DPLEX'!W66</f>
        <v>29536.54</v>
      </c>
      <c r="M84" s="705"/>
      <c r="N84" s="705">
        <f>'4DPLEX'!Y66</f>
        <v>315793.24</v>
      </c>
      <c r="O84" s="705"/>
      <c r="P84" s="705">
        <f>'4DPLEX'!AA66</f>
        <v>283243.78000000003</v>
      </c>
      <c r="Q84" s="705"/>
      <c r="R84" s="2465"/>
      <c r="S84" s="163"/>
      <c r="T84" s="99"/>
      <c r="U84" s="138"/>
      <c r="V84" s="138"/>
      <c r="W84" s="99"/>
      <c r="X84" s="186"/>
      <c r="Y84" s="154"/>
      <c r="Z84" s="187"/>
      <c r="AA84" s="6301"/>
      <c r="AB84" s="139"/>
      <c r="AC84" s="139"/>
      <c r="AD84" s="139"/>
      <c r="AE84" s="139"/>
      <c r="AF84" s="139"/>
      <c r="AG84" s="139"/>
      <c r="AH84" s="139"/>
      <c r="AI84" s="139"/>
      <c r="AJ84" s="139"/>
      <c r="AK84" s="139"/>
      <c r="AL84" s="139"/>
      <c r="AM84" s="139"/>
      <c r="AN84" s="139"/>
      <c r="AO84" s="139"/>
      <c r="AP84" s="139"/>
      <c r="AQ84" s="139"/>
      <c r="AR84" s="139"/>
      <c r="AS84" s="139"/>
      <c r="AT84" s="139"/>
      <c r="AU84" s="139"/>
      <c r="AV84" s="139"/>
      <c r="AW84" s="139"/>
      <c r="AX84" s="139"/>
      <c r="AY84" s="139"/>
      <c r="AZ84" s="139"/>
      <c r="BA84" s="139"/>
      <c r="BB84" s="139"/>
      <c r="BC84" s="139"/>
      <c r="BD84" s="139"/>
      <c r="BE84" s="139"/>
      <c r="BF84" s="139"/>
      <c r="BG84" s="139"/>
      <c r="BH84" s="139"/>
    </row>
    <row r="85" spans="2:60" s="11" customFormat="1" ht="19.899999999999999" customHeight="1">
      <c r="B85" s="5851"/>
      <c r="C85" s="6183"/>
      <c r="D85" s="9598" t="s">
        <v>140</v>
      </c>
      <c r="E85" s="9600"/>
      <c r="F85" s="285" t="s">
        <v>272</v>
      </c>
      <c r="G85" s="253"/>
      <c r="H85" s="6179"/>
      <c r="I85" s="9582" t="s">
        <v>141</v>
      </c>
      <c r="J85" s="9583"/>
      <c r="K85" s="132" t="s">
        <v>142</v>
      </c>
      <c r="L85" s="5915" t="s">
        <v>168</v>
      </c>
      <c r="M85" s="5970" t="s">
        <v>640</v>
      </c>
      <c r="N85" s="5970" t="s">
        <v>169</v>
      </c>
      <c r="O85" s="5970" t="s">
        <v>641</v>
      </c>
      <c r="P85" s="5970" t="s">
        <v>169</v>
      </c>
      <c r="Q85" s="5971" t="s">
        <v>641</v>
      </c>
      <c r="R85" s="2468"/>
      <c r="S85" s="276"/>
      <c r="T85" s="99"/>
      <c r="U85" s="138"/>
      <c r="V85" s="138"/>
      <c r="W85" s="99"/>
      <c r="X85" s="264"/>
      <c r="Y85" s="277"/>
      <c r="Z85" s="187"/>
      <c r="AA85" s="6303" t="s">
        <v>179</v>
      </c>
      <c r="AB85" s="139"/>
      <c r="AC85" s="139"/>
      <c r="AD85" s="139"/>
      <c r="AE85" s="139"/>
      <c r="AF85" s="139"/>
      <c r="AG85" s="139"/>
      <c r="AH85" s="139"/>
      <c r="AI85" s="139"/>
      <c r="AJ85" s="139"/>
      <c r="AK85" s="139"/>
      <c r="AL85" s="139"/>
      <c r="AM85" s="139"/>
      <c r="AN85" s="139"/>
      <c r="AO85" s="139"/>
      <c r="AP85" s="139"/>
      <c r="AQ85" s="139"/>
      <c r="AR85" s="139"/>
      <c r="AS85" s="139"/>
      <c r="AT85" s="139"/>
      <c r="AU85" s="139"/>
      <c r="AV85" s="139"/>
      <c r="AW85" s="139"/>
      <c r="AX85" s="139"/>
      <c r="AY85" s="139"/>
      <c r="AZ85" s="139"/>
      <c r="BA85" s="139"/>
      <c r="BB85" s="139"/>
      <c r="BC85" s="139"/>
      <c r="BD85" s="139"/>
      <c r="BE85" s="139"/>
      <c r="BF85" s="139"/>
      <c r="BG85" s="139"/>
      <c r="BH85" s="139"/>
    </row>
    <row r="86" spans="2:60" s="11" customFormat="1" ht="19.899999999999999" customHeight="1">
      <c r="B86" s="5851"/>
      <c r="C86" s="6183"/>
      <c r="D86" s="9598" t="s">
        <v>143</v>
      </c>
      <c r="E86" s="9600"/>
      <c r="F86" s="285" t="s">
        <v>630</v>
      </c>
      <c r="G86" s="253"/>
      <c r="H86" s="6179"/>
      <c r="I86" s="9582" t="s">
        <v>144</v>
      </c>
      <c r="J86" s="9583"/>
      <c r="K86" s="132" t="s">
        <v>145</v>
      </c>
      <c r="L86" s="5745">
        <v>0</v>
      </c>
      <c r="M86" s="5746"/>
      <c r="N86" s="5746">
        <v>0</v>
      </c>
      <c r="O86" s="5746"/>
      <c r="P86" s="5972">
        <v>0</v>
      </c>
      <c r="Q86" s="5746"/>
      <c r="R86" s="2468"/>
      <c r="S86" s="276"/>
      <c r="T86" s="99"/>
      <c r="U86" s="138"/>
      <c r="V86" s="138"/>
      <c r="W86" s="99"/>
      <c r="X86" s="264"/>
      <c r="Y86" s="277"/>
      <c r="Z86" s="187"/>
      <c r="AA86" s="6301"/>
      <c r="AB86" s="139"/>
      <c r="AC86" s="139"/>
      <c r="AD86" s="139"/>
      <c r="AE86" s="139"/>
      <c r="AF86" s="139"/>
      <c r="AG86" s="139"/>
      <c r="AH86" s="139"/>
      <c r="AI86" s="139"/>
      <c r="AJ86" s="139"/>
      <c r="AK86" s="139"/>
      <c r="AL86" s="139"/>
      <c r="AM86" s="139"/>
      <c r="AN86" s="139"/>
      <c r="AO86" s="139"/>
      <c r="AP86" s="139"/>
      <c r="AQ86" s="139"/>
      <c r="AR86" s="139"/>
      <c r="AS86" s="139"/>
      <c r="AT86" s="139"/>
      <c r="AU86" s="139"/>
      <c r="AV86" s="139"/>
      <c r="AW86" s="139"/>
      <c r="AX86" s="139"/>
      <c r="AY86" s="139"/>
      <c r="AZ86" s="139"/>
      <c r="BA86" s="139"/>
      <c r="BB86" s="139"/>
      <c r="BC86" s="139"/>
      <c r="BD86" s="139"/>
      <c r="BE86" s="139"/>
      <c r="BF86" s="139"/>
      <c r="BG86" s="139"/>
      <c r="BH86" s="139"/>
    </row>
    <row r="87" spans="2:60" s="11" customFormat="1" ht="19.899999999999999" customHeight="1">
      <c r="B87" s="5851"/>
      <c r="C87" s="6183"/>
      <c r="D87" s="9598" t="s">
        <v>631</v>
      </c>
      <c r="E87" s="9600"/>
      <c r="F87" s="285" t="s">
        <v>632</v>
      </c>
      <c r="G87" s="253"/>
      <c r="H87" s="6179"/>
      <c r="I87" s="9582" t="s">
        <v>147</v>
      </c>
      <c r="J87" s="9583"/>
      <c r="K87" s="132" t="s">
        <v>148</v>
      </c>
      <c r="L87" s="5749">
        <v>0</v>
      </c>
      <c r="M87" s="5973"/>
      <c r="N87" s="5973">
        <v>0</v>
      </c>
      <c r="O87" s="5973"/>
      <c r="P87" s="5973">
        <v>0</v>
      </c>
      <c r="Q87" s="5973"/>
      <c r="R87" s="2468"/>
      <c r="S87" s="276"/>
      <c r="T87" s="99"/>
      <c r="U87" s="138"/>
      <c r="V87" s="138"/>
      <c r="W87" s="99"/>
      <c r="X87" s="264"/>
      <c r="Y87" s="277"/>
      <c r="Z87" s="187"/>
      <c r="AA87" s="6301"/>
      <c r="AB87" s="139"/>
      <c r="AC87" s="139"/>
      <c r="AD87" s="139"/>
      <c r="AE87" s="139"/>
      <c r="AF87" s="139"/>
      <c r="AG87" s="139"/>
      <c r="AH87" s="139"/>
      <c r="AI87" s="139"/>
      <c r="AJ87" s="139"/>
      <c r="AK87" s="139"/>
      <c r="AL87" s="139"/>
      <c r="AM87" s="139"/>
      <c r="AN87" s="139"/>
      <c r="AO87" s="139"/>
      <c r="AP87" s="139"/>
      <c r="AQ87" s="139"/>
      <c r="AR87" s="139"/>
      <c r="AS87" s="139"/>
      <c r="AT87" s="139"/>
      <c r="AU87" s="139"/>
      <c r="AV87" s="139"/>
      <c r="AW87" s="139"/>
      <c r="AX87" s="139"/>
      <c r="AY87" s="139"/>
      <c r="AZ87" s="139"/>
      <c r="BA87" s="139"/>
      <c r="BB87" s="139"/>
      <c r="BC87" s="139"/>
      <c r="BD87" s="139"/>
      <c r="BE87" s="139"/>
      <c r="BF87" s="139"/>
      <c r="BG87" s="139"/>
      <c r="BH87" s="139"/>
    </row>
    <row r="88" spans="2:60" s="11" customFormat="1" ht="19.899999999999999" customHeight="1">
      <c r="B88" s="5851"/>
      <c r="C88" s="6183"/>
      <c r="D88" s="9598" t="s">
        <v>633</v>
      </c>
      <c r="E88" s="9600"/>
      <c r="F88" s="285" t="s">
        <v>634</v>
      </c>
      <c r="G88" s="253"/>
      <c r="H88" s="6179"/>
      <c r="I88" s="9582" t="s">
        <v>150</v>
      </c>
      <c r="J88" s="9583"/>
      <c r="K88" s="132" t="s">
        <v>151</v>
      </c>
      <c r="L88" s="5915" t="s">
        <v>168</v>
      </c>
      <c r="M88" s="5970" t="s">
        <v>640</v>
      </c>
      <c r="N88" s="5970" t="s">
        <v>169</v>
      </c>
      <c r="O88" s="5970" t="s">
        <v>641</v>
      </c>
      <c r="P88" s="5970" t="s">
        <v>169</v>
      </c>
      <c r="Q88" s="5971" t="s">
        <v>641</v>
      </c>
      <c r="R88" s="2468"/>
      <c r="S88" s="276"/>
      <c r="T88" s="99"/>
      <c r="U88" s="138"/>
      <c r="V88" s="138"/>
      <c r="W88" s="99"/>
      <c r="X88" s="264"/>
      <c r="Y88" s="277"/>
      <c r="Z88" s="187"/>
      <c r="AA88" s="6301"/>
      <c r="AB88" s="139"/>
      <c r="AC88" s="139"/>
      <c r="AD88" s="139"/>
      <c r="AE88" s="139"/>
      <c r="AF88" s="139"/>
      <c r="AG88" s="139"/>
      <c r="AH88" s="139"/>
      <c r="AI88" s="139"/>
      <c r="AJ88" s="139"/>
      <c r="AK88" s="139"/>
      <c r="AL88" s="139"/>
      <c r="AM88" s="139"/>
      <c r="AN88" s="139"/>
      <c r="AO88" s="139"/>
      <c r="AP88" s="139"/>
      <c r="AQ88" s="139"/>
      <c r="AR88" s="139"/>
      <c r="AS88" s="139"/>
      <c r="AT88" s="139"/>
      <c r="AU88" s="139"/>
      <c r="AV88" s="139"/>
      <c r="AW88" s="139"/>
      <c r="AX88" s="139"/>
      <c r="AY88" s="139"/>
      <c r="AZ88" s="139"/>
      <c r="BA88" s="139"/>
      <c r="BB88" s="139"/>
      <c r="BC88" s="139"/>
      <c r="BD88" s="139"/>
      <c r="BE88" s="139"/>
      <c r="BF88" s="139"/>
      <c r="BG88" s="139"/>
      <c r="BH88" s="139"/>
    </row>
    <row r="89" spans="2:60" s="11" customFormat="1" ht="20.100000000000001" customHeight="1">
      <c r="B89" s="5851" t="b">
        <f>OR(ISBLANK(#REF!),ISBLANK(#REF!),ISBLANK(#REF!))</f>
        <v>0</v>
      </c>
      <c r="C89" s="6182"/>
      <c r="D89" s="9591" t="s">
        <v>180</v>
      </c>
      <c r="E89" s="9591"/>
      <c r="F89" s="285" t="s">
        <v>628</v>
      </c>
      <c r="G89" s="358"/>
      <c r="H89" s="6154"/>
      <c r="I89" s="9591" t="s">
        <v>181</v>
      </c>
      <c r="J89" s="9591"/>
      <c r="K89" s="5589" t="s">
        <v>128</v>
      </c>
      <c r="L89" s="6434"/>
      <c r="M89" s="6435"/>
      <c r="N89" s="6435"/>
      <c r="O89" s="6435"/>
      <c r="P89" s="6436"/>
      <c r="Q89" s="6351"/>
      <c r="R89" s="2465"/>
      <c r="S89" s="163"/>
      <c r="T89" s="99" t="s">
        <v>125</v>
      </c>
      <c r="U89" s="138"/>
      <c r="V89" s="138"/>
      <c r="W89" s="99"/>
      <c r="X89" s="186"/>
      <c r="Y89" s="154" t="s">
        <v>173</v>
      </c>
      <c r="Z89" s="187"/>
      <c r="AA89" s="6301"/>
      <c r="AB89" s="139" t="s">
        <v>182</v>
      </c>
      <c r="AC89" s="139"/>
      <c r="AD89" s="139"/>
      <c r="AE89" s="139"/>
      <c r="AF89" s="139"/>
      <c r="AG89" s="139"/>
      <c r="AH89" s="139"/>
      <c r="AI89" s="139"/>
      <c r="AJ89" s="139"/>
      <c r="AK89" s="139"/>
      <c r="AL89" s="139"/>
      <c r="AM89" s="139"/>
      <c r="AN89" s="139"/>
      <c r="AO89" s="139"/>
      <c r="AP89" s="139"/>
      <c r="AQ89" s="139"/>
      <c r="AR89" s="139"/>
      <c r="AS89" s="139"/>
      <c r="AT89" s="139"/>
      <c r="AU89" s="139"/>
      <c r="AV89" s="139"/>
      <c r="AW89" s="139"/>
      <c r="AX89" s="139"/>
      <c r="AY89" s="139"/>
      <c r="AZ89" s="139"/>
      <c r="BA89" s="139"/>
      <c r="BB89" s="139"/>
      <c r="BC89" s="139"/>
      <c r="BD89" s="139"/>
      <c r="BE89" s="139"/>
      <c r="BF89" s="139"/>
      <c r="BG89" s="139"/>
      <c r="BH89" s="139"/>
    </row>
    <row r="90" spans="2:60" customFormat="1" ht="20.100000000000001" customHeight="1">
      <c r="B90" s="5851"/>
      <c r="C90" s="6132"/>
      <c r="D90" s="9678" t="s">
        <v>134</v>
      </c>
      <c r="E90" s="9679"/>
      <c r="F90" s="285" t="s">
        <v>33</v>
      </c>
      <c r="G90" s="6132"/>
      <c r="H90" s="6179"/>
      <c r="I90" s="9579" t="s">
        <v>135</v>
      </c>
      <c r="J90" s="9581"/>
      <c r="K90" s="6152" t="s">
        <v>35</v>
      </c>
      <c r="L90" s="5650"/>
      <c r="M90" s="1461"/>
      <c r="N90" s="1461"/>
      <c r="O90" s="1461"/>
      <c r="P90" s="5974" t="s">
        <v>643</v>
      </c>
      <c r="Q90" s="1461"/>
      <c r="R90" s="5848"/>
      <c r="S90" s="5847"/>
      <c r="T90" s="5846"/>
      <c r="U90" s="5845"/>
      <c r="V90" s="5845"/>
      <c r="W90" s="5846"/>
      <c r="X90" s="5844"/>
      <c r="Y90" s="5843"/>
      <c r="Z90" s="4532"/>
      <c r="AA90" s="6301"/>
      <c r="AB90" s="6403"/>
      <c r="AC90" s="6403"/>
      <c r="AD90" s="6403"/>
      <c r="AE90" s="6403"/>
      <c r="AF90" s="6403"/>
      <c r="AG90" s="6403"/>
      <c r="AH90" s="6403"/>
      <c r="AI90" s="6403"/>
      <c r="AJ90" s="6403"/>
      <c r="AK90" s="6403"/>
      <c r="AL90" s="6403"/>
      <c r="AM90" s="6403"/>
      <c r="AN90" s="6403"/>
      <c r="AO90" s="6403"/>
      <c r="AP90" s="6403"/>
      <c r="AQ90" s="6403"/>
      <c r="AR90" s="6403"/>
      <c r="AS90" s="6403"/>
      <c r="AT90" s="6403"/>
      <c r="AU90" s="6403"/>
      <c r="AV90" s="6403"/>
      <c r="AW90" s="6403"/>
      <c r="AX90" s="6403"/>
      <c r="AY90" s="6403"/>
      <c r="AZ90" s="6403"/>
      <c r="BA90" s="6403"/>
      <c r="BB90" s="6403"/>
      <c r="BC90" s="6403"/>
      <c r="BD90" s="6403"/>
      <c r="BE90" s="6403"/>
      <c r="BF90" s="6403"/>
      <c r="BG90" s="6403"/>
      <c r="BH90" s="6403"/>
    </row>
    <row r="91" spans="2:60" s="11" customFormat="1" ht="20.100000000000001" customHeight="1">
      <c r="B91" s="5851"/>
      <c r="C91" s="1197"/>
      <c r="D91" s="9598" t="s">
        <v>137</v>
      </c>
      <c r="E91" s="9600"/>
      <c r="F91" s="285" t="s">
        <v>33</v>
      </c>
      <c r="G91" s="358"/>
      <c r="H91" s="6179"/>
      <c r="I91" s="9579" t="s">
        <v>138</v>
      </c>
      <c r="J91" s="9581"/>
      <c r="K91" s="5589" t="s">
        <v>142</v>
      </c>
      <c r="L91" s="5919">
        <f>'4DPLEX'!W73</f>
        <v>0</v>
      </c>
      <c r="M91" s="5920"/>
      <c r="N91" s="5920">
        <f>'4DPLEX'!Y73</f>
        <v>0</v>
      </c>
      <c r="O91" s="5920"/>
      <c r="P91" s="5920">
        <f>'4DPLEX'!AA73</f>
        <v>0</v>
      </c>
      <c r="Q91" s="5947"/>
      <c r="R91" s="2465"/>
      <c r="S91" s="163"/>
      <c r="T91" s="99"/>
      <c r="U91" s="138"/>
      <c r="V91" s="138"/>
      <c r="W91" s="99"/>
      <c r="X91" s="186"/>
      <c r="Y91" s="154"/>
      <c r="Z91" s="187"/>
      <c r="AA91" s="6301"/>
      <c r="AB91" s="139"/>
      <c r="AC91" s="139"/>
      <c r="AD91" s="139"/>
      <c r="AE91" s="139"/>
      <c r="AF91" s="139"/>
      <c r="AG91" s="139"/>
      <c r="AH91" s="139"/>
      <c r="AI91" s="139"/>
      <c r="AJ91" s="139"/>
      <c r="AK91" s="139"/>
      <c r="AL91" s="139"/>
      <c r="AM91" s="139"/>
      <c r="AN91" s="139"/>
      <c r="AO91" s="139"/>
      <c r="AP91" s="139"/>
      <c r="AQ91" s="139"/>
      <c r="AR91" s="139"/>
      <c r="AS91" s="139"/>
      <c r="AT91" s="139"/>
      <c r="AU91" s="139"/>
      <c r="AV91" s="139"/>
      <c r="AW91" s="139"/>
      <c r="AX91" s="139"/>
      <c r="AY91" s="139"/>
      <c r="AZ91" s="139"/>
      <c r="BA91" s="139"/>
      <c r="BB91" s="139"/>
      <c r="BC91" s="139"/>
      <c r="BD91" s="139"/>
      <c r="BE91" s="139"/>
      <c r="BF91" s="139"/>
      <c r="BG91" s="139"/>
      <c r="BH91" s="139"/>
    </row>
    <row r="92" spans="2:60" s="11" customFormat="1" ht="19.899999999999999" customHeight="1">
      <c r="B92" s="5851"/>
      <c r="C92" s="6183"/>
      <c r="D92" s="9598" t="s">
        <v>140</v>
      </c>
      <c r="E92" s="9600"/>
      <c r="F92" s="285" t="s">
        <v>272</v>
      </c>
      <c r="G92" s="253"/>
      <c r="H92" s="6179"/>
      <c r="I92" s="9582" t="s">
        <v>141</v>
      </c>
      <c r="J92" s="9583"/>
      <c r="K92" s="132" t="s">
        <v>142</v>
      </c>
      <c r="L92" s="5919">
        <v>32811128</v>
      </c>
      <c r="M92" s="5920"/>
      <c r="N92" s="5920">
        <v>100034173</v>
      </c>
      <c r="O92" s="5920"/>
      <c r="P92" s="5920">
        <v>9556832</v>
      </c>
      <c r="Q92" s="5920"/>
      <c r="R92" s="2468"/>
      <c r="S92" s="276"/>
      <c r="T92" s="99"/>
      <c r="U92" s="138"/>
      <c r="V92" s="138"/>
      <c r="W92" s="99"/>
      <c r="X92" s="264"/>
      <c r="Y92" s="277"/>
      <c r="Z92" s="187"/>
      <c r="AA92" s="6301"/>
      <c r="AB92" s="139"/>
      <c r="AC92" s="139"/>
      <c r="AD92" s="139"/>
      <c r="AE92" s="139"/>
      <c r="AF92" s="139"/>
      <c r="AG92" s="139"/>
      <c r="AH92" s="139"/>
      <c r="AI92" s="139"/>
      <c r="AJ92" s="139"/>
      <c r="AK92" s="139"/>
      <c r="AL92" s="139"/>
      <c r="AM92" s="139"/>
      <c r="AN92" s="139"/>
      <c r="AO92" s="139"/>
      <c r="AP92" s="139"/>
      <c r="AQ92" s="139"/>
      <c r="AR92" s="139"/>
      <c r="AS92" s="139"/>
      <c r="AT92" s="139"/>
      <c r="AU92" s="139"/>
      <c r="AV92" s="139"/>
      <c r="AW92" s="139"/>
      <c r="AX92" s="139"/>
      <c r="AY92" s="139"/>
      <c r="AZ92" s="139"/>
      <c r="BA92" s="139"/>
      <c r="BB92" s="139"/>
      <c r="BC92" s="139"/>
      <c r="BD92" s="139"/>
      <c r="BE92" s="139"/>
      <c r="BF92" s="139"/>
      <c r="BG92" s="139"/>
      <c r="BH92" s="139"/>
    </row>
    <row r="93" spans="2:60" s="11" customFormat="1" ht="19.899999999999999" customHeight="1">
      <c r="B93" s="5851"/>
      <c r="C93" s="6183"/>
      <c r="D93" s="9598" t="s">
        <v>143</v>
      </c>
      <c r="E93" s="9600"/>
      <c r="F93" s="285" t="s">
        <v>630</v>
      </c>
      <c r="G93" s="253"/>
      <c r="H93" s="6179"/>
      <c r="I93" s="9582" t="s">
        <v>144</v>
      </c>
      <c r="J93" s="9583"/>
      <c r="K93" s="132" t="s">
        <v>145</v>
      </c>
      <c r="L93" s="5921">
        <v>0</v>
      </c>
      <c r="M93" s="5922"/>
      <c r="N93" s="5922">
        <v>0</v>
      </c>
      <c r="O93" s="5922"/>
      <c r="P93" s="5975">
        <v>0</v>
      </c>
      <c r="Q93" s="5922"/>
      <c r="R93" s="2468"/>
      <c r="S93" s="276"/>
      <c r="T93" s="99"/>
      <c r="U93" s="138"/>
      <c r="V93" s="138"/>
      <c r="W93" s="99"/>
      <c r="X93" s="264"/>
      <c r="Y93" s="277"/>
      <c r="Z93" s="187"/>
      <c r="AA93" s="6301"/>
      <c r="AB93" s="139"/>
      <c r="AC93" s="139"/>
      <c r="AD93" s="139"/>
      <c r="AE93" s="139"/>
      <c r="AF93" s="139"/>
      <c r="AG93" s="139"/>
      <c r="AH93" s="139"/>
      <c r="AI93" s="139"/>
      <c r="AJ93" s="139"/>
      <c r="AK93" s="139"/>
      <c r="AL93" s="139"/>
      <c r="AM93" s="139"/>
      <c r="AN93" s="139"/>
      <c r="AO93" s="139"/>
      <c r="AP93" s="139"/>
      <c r="AQ93" s="139"/>
      <c r="AR93" s="139"/>
      <c r="AS93" s="139"/>
      <c r="AT93" s="139"/>
      <c r="AU93" s="139"/>
      <c r="AV93" s="139"/>
      <c r="AW93" s="139"/>
      <c r="AX93" s="139"/>
      <c r="AY93" s="139"/>
      <c r="AZ93" s="139"/>
      <c r="BA93" s="139"/>
      <c r="BB93" s="139"/>
      <c r="BC93" s="139"/>
      <c r="BD93" s="139"/>
      <c r="BE93" s="139"/>
      <c r="BF93" s="139"/>
      <c r="BG93" s="139"/>
      <c r="BH93" s="139"/>
    </row>
    <row r="94" spans="2:60" s="11" customFormat="1" ht="19.899999999999999" customHeight="1">
      <c r="B94" s="5851"/>
      <c r="C94" s="6183"/>
      <c r="D94" s="9598" t="s">
        <v>631</v>
      </c>
      <c r="E94" s="9600"/>
      <c r="F94" s="285" t="s">
        <v>632</v>
      </c>
      <c r="G94" s="253"/>
      <c r="H94" s="6179"/>
      <c r="I94" s="9582" t="s">
        <v>147</v>
      </c>
      <c r="J94" s="9583"/>
      <c r="K94" s="132" t="s">
        <v>148</v>
      </c>
      <c r="L94" s="5691">
        <v>0</v>
      </c>
      <c r="M94" s="5947"/>
      <c r="N94" s="5947">
        <v>0</v>
      </c>
      <c r="O94" s="5947"/>
      <c r="P94" s="5947">
        <v>0</v>
      </c>
      <c r="Q94" s="5947"/>
      <c r="R94" s="2468"/>
      <c r="S94" s="276"/>
      <c r="T94" s="99"/>
      <c r="U94" s="138"/>
      <c r="V94" s="138"/>
      <c r="W94" s="99"/>
      <c r="X94" s="264"/>
      <c r="Y94" s="277"/>
      <c r="Z94" s="187"/>
      <c r="AA94" s="6301"/>
      <c r="AB94" s="139"/>
      <c r="AC94" s="139"/>
      <c r="AD94" s="139"/>
      <c r="AE94" s="139"/>
      <c r="AF94" s="139"/>
      <c r="AG94" s="139"/>
      <c r="AH94" s="139"/>
      <c r="AI94" s="139"/>
      <c r="AJ94" s="139"/>
      <c r="AK94" s="139"/>
      <c r="AL94" s="139"/>
      <c r="AM94" s="139"/>
      <c r="AN94" s="139"/>
      <c r="AO94" s="139"/>
      <c r="AP94" s="139"/>
      <c r="AQ94" s="139"/>
      <c r="AR94" s="139"/>
      <c r="AS94" s="139"/>
      <c r="AT94" s="139"/>
      <c r="AU94" s="139"/>
      <c r="AV94" s="139"/>
      <c r="AW94" s="139"/>
      <c r="AX94" s="139"/>
      <c r="AY94" s="139"/>
      <c r="AZ94" s="139"/>
      <c r="BA94" s="139"/>
      <c r="BB94" s="139"/>
      <c r="BC94" s="139"/>
      <c r="BD94" s="139"/>
      <c r="BE94" s="139"/>
      <c r="BF94" s="139"/>
      <c r="BG94" s="139"/>
      <c r="BH94" s="139"/>
    </row>
    <row r="95" spans="2:60" s="11" customFormat="1" ht="19.899999999999999" customHeight="1">
      <c r="B95" s="5851"/>
      <c r="C95" s="6182"/>
      <c r="D95" s="9598" t="s">
        <v>633</v>
      </c>
      <c r="E95" s="9600"/>
      <c r="F95" s="285" t="s">
        <v>634</v>
      </c>
      <c r="G95" s="253"/>
      <c r="H95" s="6179"/>
      <c r="I95" s="9582" t="s">
        <v>150</v>
      </c>
      <c r="J95" s="9583"/>
      <c r="K95" s="132" t="s">
        <v>151</v>
      </c>
      <c r="L95" s="5915" t="s">
        <v>168</v>
      </c>
      <c r="M95" s="5970" t="s">
        <v>640</v>
      </c>
      <c r="N95" s="5970" t="s">
        <v>169</v>
      </c>
      <c r="O95" s="5970" t="s">
        <v>641</v>
      </c>
      <c r="P95" s="5970" t="s">
        <v>169</v>
      </c>
      <c r="Q95" s="5971" t="s">
        <v>641</v>
      </c>
      <c r="R95" s="2468"/>
      <c r="S95" s="276"/>
      <c r="T95" s="99"/>
      <c r="U95" s="138"/>
      <c r="V95" s="138"/>
      <c r="W95" s="99"/>
      <c r="X95" s="264"/>
      <c r="Y95" s="277"/>
      <c r="Z95" s="187"/>
      <c r="AA95" s="6301"/>
      <c r="AB95" s="139"/>
      <c r="AC95" s="139"/>
      <c r="AD95" s="139"/>
      <c r="AE95" s="139"/>
      <c r="AF95" s="139"/>
      <c r="AG95" s="139"/>
      <c r="AH95" s="139"/>
      <c r="AI95" s="139"/>
      <c r="AJ95" s="139"/>
      <c r="AK95" s="139"/>
      <c r="AL95" s="139"/>
      <c r="AM95" s="139"/>
      <c r="AN95" s="139"/>
      <c r="AO95" s="139"/>
      <c r="AP95" s="139"/>
      <c r="AQ95" s="139"/>
      <c r="AR95" s="139"/>
      <c r="AS95" s="139"/>
      <c r="AT95" s="139"/>
      <c r="AU95" s="139"/>
      <c r="AV95" s="139"/>
      <c r="AW95" s="139"/>
      <c r="AX95" s="139"/>
      <c r="AY95" s="139"/>
      <c r="AZ95" s="139"/>
      <c r="BA95" s="139"/>
      <c r="BB95" s="139"/>
      <c r="BC95" s="139"/>
      <c r="BD95" s="139"/>
      <c r="BE95" s="139"/>
      <c r="BF95" s="139"/>
      <c r="BG95" s="139"/>
      <c r="BH95" s="139"/>
    </row>
    <row r="96" spans="2:60" s="11" customFormat="1" ht="20.100000000000001" customHeight="1">
      <c r="B96" s="5851" t="b">
        <f>OR(ISBLANK(#REF!),ISBLANK(#REF!),ISBLANK(#REF!))</f>
        <v>0</v>
      </c>
      <c r="C96" s="6182"/>
      <c r="D96" s="9591" t="s">
        <v>183</v>
      </c>
      <c r="E96" s="9591"/>
      <c r="F96" s="285" t="s">
        <v>628</v>
      </c>
      <c r="G96" s="358"/>
      <c r="H96" s="6154"/>
      <c r="I96" s="9591" t="s">
        <v>184</v>
      </c>
      <c r="J96" s="9591"/>
      <c r="K96" s="5589" t="s">
        <v>128</v>
      </c>
      <c r="L96" s="6434"/>
      <c r="M96" s="6435"/>
      <c r="N96" s="6435"/>
      <c r="O96" s="6435"/>
      <c r="P96" s="6436"/>
      <c r="Q96" s="6351"/>
      <c r="R96" s="2465"/>
      <c r="S96" s="98"/>
      <c r="T96" s="99" t="s">
        <v>125</v>
      </c>
      <c r="U96" s="138"/>
      <c r="V96" s="138"/>
      <c r="W96" s="99"/>
      <c r="X96" s="186"/>
      <c r="Y96" s="154" t="s">
        <v>173</v>
      </c>
      <c r="Z96" s="187"/>
      <c r="AA96" s="6301"/>
      <c r="AB96" s="139" t="s">
        <v>185</v>
      </c>
      <c r="AC96" s="139"/>
      <c r="AD96" s="139"/>
      <c r="AE96" s="139"/>
      <c r="AF96" s="139"/>
      <c r="AG96" s="139"/>
      <c r="AH96" s="139"/>
      <c r="AI96" s="139"/>
      <c r="AJ96" s="139"/>
      <c r="AK96" s="139"/>
      <c r="AL96" s="139"/>
      <c r="AM96" s="139"/>
      <c r="AN96" s="139"/>
      <c r="AO96" s="139"/>
      <c r="AP96" s="139"/>
      <c r="AQ96" s="139"/>
      <c r="AR96" s="139"/>
      <c r="AS96" s="139"/>
      <c r="AT96" s="139"/>
      <c r="AU96" s="139"/>
      <c r="AV96" s="139"/>
      <c r="AW96" s="139"/>
      <c r="AX96" s="139"/>
      <c r="AY96" s="139"/>
      <c r="AZ96" s="139"/>
      <c r="BA96" s="139"/>
      <c r="BB96" s="139"/>
      <c r="BC96" s="139"/>
      <c r="BD96" s="139"/>
      <c r="BE96" s="139"/>
      <c r="BF96" s="139"/>
      <c r="BG96" s="139"/>
      <c r="BH96" s="139"/>
    </row>
    <row r="97" spans="1:60" customFormat="1" ht="20.100000000000001" customHeight="1">
      <c r="B97" s="5851"/>
      <c r="C97" s="6183"/>
      <c r="D97" s="9678" t="s">
        <v>134</v>
      </c>
      <c r="E97" s="9679"/>
      <c r="F97" s="285" t="s">
        <v>33</v>
      </c>
      <c r="G97" s="6132"/>
      <c r="H97" s="6179"/>
      <c r="I97" s="9579" t="s">
        <v>135</v>
      </c>
      <c r="J97" s="9581"/>
      <c r="K97" s="6152" t="s">
        <v>35</v>
      </c>
      <c r="L97" s="5649"/>
      <c r="M97" s="1486"/>
      <c r="N97" s="1486"/>
      <c r="O97" s="1486"/>
      <c r="P97" s="5969" t="s">
        <v>643</v>
      </c>
      <c r="Q97" s="1486"/>
      <c r="R97" s="5848"/>
      <c r="S97" s="5847"/>
      <c r="T97" s="5846"/>
      <c r="U97" s="5845"/>
      <c r="V97" s="5845"/>
      <c r="W97" s="5846"/>
      <c r="X97" s="5844"/>
      <c r="Y97" s="5843"/>
      <c r="Z97" s="4532"/>
      <c r="AA97" s="6301"/>
      <c r="AB97" s="6403"/>
      <c r="AC97" s="6403"/>
      <c r="AD97" s="6403"/>
      <c r="AE97" s="6403"/>
      <c r="AF97" s="6403"/>
      <c r="AG97" s="6403"/>
      <c r="AH97" s="6403"/>
      <c r="AI97" s="6403"/>
      <c r="AJ97" s="6403"/>
      <c r="AK97" s="6403"/>
      <c r="AL97" s="6403"/>
      <c r="AM97" s="6403"/>
      <c r="AN97" s="6403"/>
      <c r="AO97" s="6403"/>
      <c r="AP97" s="6403"/>
      <c r="AQ97" s="6403"/>
      <c r="AR97" s="6403"/>
      <c r="AS97" s="6403"/>
      <c r="AT97" s="6403"/>
      <c r="AU97" s="6403"/>
      <c r="AV97" s="6403"/>
      <c r="AW97" s="6403"/>
      <c r="AX97" s="6403"/>
      <c r="AY97" s="6403"/>
      <c r="AZ97" s="6403"/>
      <c r="BA97" s="6403"/>
      <c r="BB97" s="6403"/>
      <c r="BC97" s="6403"/>
      <c r="BD97" s="6403"/>
      <c r="BE97" s="6403"/>
      <c r="BF97" s="6403"/>
      <c r="BG97" s="6403"/>
      <c r="BH97" s="6403"/>
    </row>
    <row r="98" spans="1:60" ht="20.100000000000001" customHeight="1">
      <c r="A98" s="11"/>
      <c r="B98" s="5851"/>
      <c r="C98" s="1197"/>
      <c r="D98" s="9598" t="s">
        <v>137</v>
      </c>
      <c r="E98" s="9600"/>
      <c r="F98" s="285" t="s">
        <v>33</v>
      </c>
      <c r="G98" s="358"/>
      <c r="H98" s="6179"/>
      <c r="I98" s="9579" t="s">
        <v>138</v>
      </c>
      <c r="J98" s="9581"/>
      <c r="K98" s="5589" t="s">
        <v>142</v>
      </c>
      <c r="L98" s="5747">
        <f>'4DPLEX'!W80</f>
        <v>0</v>
      </c>
      <c r="M98" s="5973"/>
      <c r="N98" s="705">
        <f>'4DPLEX'!Y80</f>
        <v>0</v>
      </c>
      <c r="O98" s="705"/>
      <c r="P98" s="705">
        <f>'4DPLEX'!AA80</f>
        <v>0.47699407281964429</v>
      </c>
      <c r="Q98" s="5948"/>
      <c r="R98" s="2465"/>
      <c r="S98" s="163"/>
      <c r="T98" s="99"/>
      <c r="U98" s="138"/>
      <c r="V98" s="138"/>
      <c r="W98" s="99"/>
      <c r="X98" s="186"/>
      <c r="Y98" s="154"/>
      <c r="Z98" s="187"/>
    </row>
    <row r="99" spans="1:60" ht="19.899999999999999" customHeight="1">
      <c r="A99" s="11"/>
      <c r="B99" s="5851"/>
      <c r="C99" s="1197"/>
      <c r="D99" s="9598" t="s">
        <v>140</v>
      </c>
      <c r="E99" s="9600"/>
      <c r="F99" s="285" t="s">
        <v>272</v>
      </c>
      <c r="G99" s="253"/>
      <c r="H99" s="6179"/>
      <c r="I99" s="9582" t="s">
        <v>141</v>
      </c>
      <c r="J99" s="9583"/>
      <c r="K99" s="132" t="s">
        <v>142</v>
      </c>
      <c r="L99" s="5915" t="s">
        <v>168</v>
      </c>
      <c r="M99" s="5970" t="s">
        <v>640</v>
      </c>
      <c r="N99" s="5970" t="s">
        <v>169</v>
      </c>
      <c r="O99" s="5970" t="s">
        <v>641</v>
      </c>
      <c r="P99" s="5970" t="s">
        <v>169</v>
      </c>
      <c r="Q99" s="5971" t="s">
        <v>641</v>
      </c>
      <c r="R99" s="2468"/>
      <c r="S99" s="276"/>
      <c r="T99" s="99"/>
      <c r="U99" s="138"/>
      <c r="V99" s="138"/>
      <c r="W99" s="99"/>
      <c r="X99" s="264"/>
      <c r="Y99" s="277"/>
      <c r="Z99" s="187"/>
      <c r="AA99" s="6303" t="s">
        <v>186</v>
      </c>
    </row>
    <row r="100" spans="1:60" ht="19.899999999999999" customHeight="1">
      <c r="A100" s="11"/>
      <c r="B100" s="5851"/>
      <c r="C100" s="6183"/>
      <c r="D100" s="9598" t="s">
        <v>143</v>
      </c>
      <c r="E100" s="9600"/>
      <c r="F100" s="285" t="s">
        <v>630</v>
      </c>
      <c r="G100" s="253"/>
      <c r="H100" s="6179"/>
      <c r="I100" s="9582" t="s">
        <v>144</v>
      </c>
      <c r="J100" s="9583"/>
      <c r="K100" s="132" t="s">
        <v>145</v>
      </c>
      <c r="L100" s="5745">
        <v>0</v>
      </c>
      <c r="M100" s="5746"/>
      <c r="N100" s="5746">
        <v>0</v>
      </c>
      <c r="O100" s="5746"/>
      <c r="P100" s="5972">
        <v>0</v>
      </c>
      <c r="Q100" s="5746"/>
      <c r="R100" s="2468"/>
      <c r="S100" s="276"/>
      <c r="T100" s="99"/>
      <c r="U100" s="138"/>
      <c r="V100" s="138"/>
      <c r="W100" s="99"/>
      <c r="X100" s="264"/>
      <c r="Y100" s="277"/>
      <c r="Z100" s="187"/>
    </row>
    <row r="101" spans="1:60" ht="19.899999999999999" customHeight="1">
      <c r="A101" s="11"/>
      <c r="B101" s="5851"/>
      <c r="C101" s="6182"/>
      <c r="D101" s="9598" t="s">
        <v>631</v>
      </c>
      <c r="E101" s="9600"/>
      <c r="F101" s="285" t="s">
        <v>632</v>
      </c>
      <c r="G101" s="253"/>
      <c r="H101" s="6179"/>
      <c r="I101" s="9582" t="s">
        <v>147</v>
      </c>
      <c r="J101" s="9583"/>
      <c r="K101" s="132" t="s">
        <v>148</v>
      </c>
      <c r="L101" s="5749">
        <v>0</v>
      </c>
      <c r="M101" s="5973"/>
      <c r="N101" s="5973">
        <v>0</v>
      </c>
      <c r="O101" s="5973"/>
      <c r="P101" s="5973">
        <v>0</v>
      </c>
      <c r="Q101" s="5973"/>
      <c r="R101" s="2468"/>
      <c r="S101" s="276"/>
      <c r="T101" s="99"/>
      <c r="U101" s="138"/>
      <c r="V101" s="138"/>
      <c r="W101" s="99"/>
      <c r="X101" s="264"/>
      <c r="Y101" s="277"/>
      <c r="Z101" s="187"/>
    </row>
    <row r="102" spans="1:60" ht="19.899999999999999" customHeight="1">
      <c r="A102" s="11"/>
      <c r="B102" s="5851"/>
      <c r="C102" s="6182"/>
      <c r="D102" s="9598" t="s">
        <v>633</v>
      </c>
      <c r="E102" s="9600"/>
      <c r="F102" s="997" t="s">
        <v>634</v>
      </c>
      <c r="G102" s="1903"/>
      <c r="H102" s="6200"/>
      <c r="I102" s="9643" t="s">
        <v>150</v>
      </c>
      <c r="J102" s="9644"/>
      <c r="K102" s="6201" t="s">
        <v>151</v>
      </c>
      <c r="L102" s="6202" t="s">
        <v>644</v>
      </c>
      <c r="M102" s="6203"/>
      <c r="N102" s="6203" t="s">
        <v>645</v>
      </c>
      <c r="O102" s="6203"/>
      <c r="P102" s="6203" t="s">
        <v>646</v>
      </c>
      <c r="Q102" s="6203"/>
      <c r="R102" s="2468"/>
      <c r="S102" s="6050"/>
      <c r="T102" s="99"/>
      <c r="U102" s="138"/>
      <c r="V102" s="138"/>
      <c r="W102" s="99"/>
      <c r="X102" s="264"/>
      <c r="Y102" s="277"/>
      <c r="Z102" s="187"/>
    </row>
    <row r="103" spans="1:60" ht="20.100000000000001" customHeight="1">
      <c r="A103" s="11"/>
      <c r="B103" s="5851"/>
      <c r="C103" s="6190" t="s">
        <v>187</v>
      </c>
      <c r="D103" s="6187"/>
      <c r="E103" s="6187"/>
      <c r="F103" s="6230"/>
      <c r="G103" s="6438"/>
      <c r="H103" s="6437" t="s">
        <v>188</v>
      </c>
      <c r="I103" s="6205"/>
      <c r="J103" s="6187"/>
      <c r="K103" s="6187"/>
      <c r="L103" s="6187"/>
      <c r="M103" s="6187"/>
      <c r="N103" s="6187"/>
      <c r="O103" s="6187"/>
      <c r="P103" s="6187"/>
      <c r="Q103" s="6230"/>
      <c r="R103" s="4849"/>
      <c r="S103" s="6050"/>
      <c r="T103" s="6199" t="s">
        <v>189</v>
      </c>
      <c r="U103" s="218"/>
      <c r="V103" s="218"/>
      <c r="W103" s="219"/>
      <c r="X103" s="220"/>
      <c r="Y103" s="154" t="s">
        <v>190</v>
      </c>
      <c r="Z103" s="221"/>
    </row>
    <row r="104" spans="1:60" ht="20.100000000000001" customHeight="1">
      <c r="A104" s="11"/>
      <c r="B104" s="1351" t="s">
        <v>647</v>
      </c>
      <c r="C104" s="6132"/>
      <c r="D104" s="9591" t="s">
        <v>191</v>
      </c>
      <c r="E104" s="9591"/>
      <c r="F104" s="1143" t="s">
        <v>156</v>
      </c>
      <c r="G104" s="5850"/>
      <c r="H104" s="682"/>
      <c r="I104" s="9650" t="s">
        <v>192</v>
      </c>
      <c r="J104" s="9651"/>
      <c r="K104" s="6204" t="s">
        <v>156</v>
      </c>
      <c r="L104" s="5653">
        <f>IF(COUNTBLANK(L105:L110)&gt;0,"미취합법인有",AVERAGE(L105:L110))</f>
        <v>42.333333333333336</v>
      </c>
      <c r="M104" s="6224"/>
      <c r="N104" s="5945" t="str">
        <f>IF(COUNTBLANK(N105:N110)&gt;0,"미취합법인有",AVERAGE(N105:N110))</f>
        <v>미취합법인有</v>
      </c>
      <c r="O104" s="6224"/>
      <c r="P104" s="5945" t="str">
        <f>IF(COUNTBLANK(P105:P110)&gt;0,"미취합법인有",AVERAGE(P105:P110))</f>
        <v>미취합법인有</v>
      </c>
      <c r="Q104" s="5945"/>
      <c r="R104" s="4849"/>
      <c r="S104" s="6050"/>
      <c r="T104" s="6199" t="s">
        <v>189</v>
      </c>
      <c r="U104" s="218"/>
      <c r="V104" s="218"/>
      <c r="W104" s="99"/>
      <c r="X104" s="231"/>
      <c r="Y104" s="154" t="s">
        <v>190</v>
      </c>
      <c r="Z104" s="221"/>
    </row>
    <row r="105" spans="1:60" ht="20.100000000000001" customHeight="1">
      <c r="A105"/>
      <c r="B105" s="6191"/>
      <c r="C105" s="6192"/>
      <c r="D105" s="9718" t="s">
        <v>134</v>
      </c>
      <c r="E105" s="9719"/>
      <c r="F105" s="674" t="s">
        <v>156</v>
      </c>
      <c r="G105" s="6173"/>
      <c r="H105" s="6193"/>
      <c r="I105" s="9580" t="s">
        <v>135</v>
      </c>
      <c r="J105" s="9581"/>
      <c r="K105" s="674" t="s">
        <v>156</v>
      </c>
      <c r="L105" s="6085">
        <v>32</v>
      </c>
      <c r="M105" s="6206"/>
      <c r="N105" s="6206">
        <v>51</v>
      </c>
      <c r="O105" s="6206"/>
      <c r="P105" s="6206">
        <v>47</v>
      </c>
      <c r="Q105" s="6206"/>
      <c r="R105" s="4849"/>
      <c r="S105" s="6050"/>
      <c r="T105" s="6195"/>
      <c r="U105" s="6196"/>
      <c r="V105" s="681"/>
      <c r="W105" s="299" t="s">
        <v>193</v>
      </c>
      <c r="X105" s="1243"/>
      <c r="Y105" s="1243"/>
      <c r="Z105" s="4532"/>
      <c r="AB105" s="6403"/>
      <c r="AC105" s="6403"/>
      <c r="AD105" s="6403"/>
      <c r="AE105" s="6403"/>
      <c r="AF105" s="6403"/>
    </row>
    <row r="106" spans="1:60" ht="20.100000000000001" customHeight="1">
      <c r="A106"/>
      <c r="B106" s="6191"/>
      <c r="C106" s="6192"/>
      <c r="D106" s="9718" t="s">
        <v>137</v>
      </c>
      <c r="E106" s="9719"/>
      <c r="F106" s="674" t="s">
        <v>156</v>
      </c>
      <c r="G106" s="6173"/>
      <c r="H106" s="6193"/>
      <c r="I106" s="9580" t="s">
        <v>138</v>
      </c>
      <c r="J106" s="9581"/>
      <c r="K106" s="674" t="s">
        <v>156</v>
      </c>
      <c r="L106" s="6526" t="s">
        <v>168</v>
      </c>
      <c r="M106" s="6207"/>
      <c r="N106" s="6208"/>
      <c r="O106" s="6207"/>
      <c r="P106" s="6208"/>
      <c r="Q106" s="6207"/>
      <c r="R106" s="4849"/>
      <c r="S106" s="6050"/>
      <c r="T106" s="6195"/>
      <c r="U106" s="6196"/>
      <c r="V106" s="681"/>
      <c r="W106" s="299" t="s">
        <v>193</v>
      </c>
      <c r="X106" s="1243"/>
      <c r="Y106" s="1243"/>
      <c r="Z106" s="4532"/>
      <c r="AB106" s="6403"/>
      <c r="AC106" s="6403"/>
      <c r="AD106" s="6403"/>
      <c r="AE106" s="6403"/>
      <c r="AF106" s="6403"/>
    </row>
    <row r="107" spans="1:60" ht="20.100000000000001" customHeight="1">
      <c r="A107"/>
      <c r="B107" s="6191"/>
      <c r="C107" s="6192"/>
      <c r="D107" s="9718" t="s">
        <v>140</v>
      </c>
      <c r="E107" s="9719"/>
      <c r="F107" s="674" t="s">
        <v>156</v>
      </c>
      <c r="G107" s="6173"/>
      <c r="H107" s="6193"/>
      <c r="I107" s="9717" t="s">
        <v>141</v>
      </c>
      <c r="J107" s="9621"/>
      <c r="K107" s="674" t="s">
        <v>156</v>
      </c>
      <c r="L107" s="6526" t="s">
        <v>168</v>
      </c>
      <c r="M107" s="5993"/>
      <c r="N107" s="5993"/>
      <c r="O107" s="6226"/>
      <c r="P107" s="5993"/>
      <c r="Q107" s="6225"/>
      <c r="R107" s="4849"/>
      <c r="S107" s="6050"/>
      <c r="T107" s="6195"/>
      <c r="U107" s="6196"/>
      <c r="V107" s="681"/>
      <c r="W107" s="299" t="s">
        <v>193</v>
      </c>
      <c r="X107" s="1243"/>
      <c r="Y107" s="1243"/>
      <c r="Z107" s="4532"/>
      <c r="AB107" s="6403"/>
      <c r="AC107" s="6403"/>
      <c r="AD107" s="6403"/>
      <c r="AE107" s="6403"/>
      <c r="AF107" s="6403"/>
    </row>
    <row r="108" spans="1:60" ht="20.100000000000001" customHeight="1">
      <c r="A108"/>
      <c r="B108" s="6191"/>
      <c r="C108" s="6192"/>
      <c r="D108" s="9718" t="s">
        <v>143</v>
      </c>
      <c r="E108" s="9719"/>
      <c r="F108" s="674" t="s">
        <v>156</v>
      </c>
      <c r="G108" s="6173"/>
      <c r="H108" s="6193"/>
      <c r="I108" s="9717" t="s">
        <v>144</v>
      </c>
      <c r="J108" s="9621"/>
      <c r="K108" s="674" t="s">
        <v>156</v>
      </c>
      <c r="L108" s="5723">
        <v>45</v>
      </c>
      <c r="M108" s="5993"/>
      <c r="N108" s="5993"/>
      <c r="O108" s="6226"/>
      <c r="P108" s="5993"/>
      <c r="Q108" s="6225"/>
      <c r="R108" s="4849"/>
      <c r="S108" s="6050"/>
      <c r="T108" s="6195"/>
      <c r="U108" s="6196"/>
      <c r="V108" s="681"/>
      <c r="W108" s="299" t="s">
        <v>193</v>
      </c>
      <c r="X108" s="1243"/>
      <c r="Y108" s="1243"/>
      <c r="Z108" s="4532"/>
      <c r="AB108" s="6403"/>
      <c r="AC108" s="6403"/>
      <c r="AD108" s="6403"/>
      <c r="AE108" s="6403"/>
      <c r="AF108" s="6403"/>
    </row>
    <row r="109" spans="1:60" ht="20.100000000000001" customHeight="1">
      <c r="A109"/>
      <c r="B109" s="6191"/>
      <c r="C109" s="6192"/>
      <c r="D109" s="9718" t="s">
        <v>631</v>
      </c>
      <c r="E109" s="9719"/>
      <c r="F109" s="674" t="s">
        <v>156</v>
      </c>
      <c r="G109" s="6173"/>
      <c r="H109" s="6193"/>
      <c r="I109" s="9717" t="s">
        <v>147</v>
      </c>
      <c r="J109" s="9621"/>
      <c r="K109" s="674" t="s">
        <v>156</v>
      </c>
      <c r="L109" s="5713">
        <v>50</v>
      </c>
      <c r="M109" s="6208"/>
      <c r="N109" s="6208"/>
      <c r="O109" s="6208"/>
      <c r="P109" s="6208"/>
      <c r="Q109" s="6225"/>
      <c r="R109" s="4849"/>
      <c r="S109" s="6050"/>
      <c r="T109" s="6195"/>
      <c r="U109" s="6196"/>
      <c r="V109" s="681"/>
      <c r="W109" s="299" t="s">
        <v>193</v>
      </c>
      <c r="X109" s="1243"/>
      <c r="Y109" s="1243"/>
      <c r="Z109" s="4532"/>
      <c r="AB109" s="6403"/>
      <c r="AC109" s="6403"/>
      <c r="AD109" s="6403"/>
      <c r="AE109" s="6403"/>
      <c r="AF109" s="6403"/>
    </row>
    <row r="110" spans="1:60" ht="20.100000000000001" customHeight="1">
      <c r="A110"/>
      <c r="B110" s="6191"/>
      <c r="C110" s="6192"/>
      <c r="D110" s="9718" t="s">
        <v>633</v>
      </c>
      <c r="E110" s="9719"/>
      <c r="F110" s="674" t="s">
        <v>156</v>
      </c>
      <c r="G110" s="6173"/>
      <c r="H110" s="6193"/>
      <c r="I110" s="9717" t="s">
        <v>150</v>
      </c>
      <c r="J110" s="9621"/>
      <c r="K110" s="674" t="s">
        <v>156</v>
      </c>
      <c r="L110" s="6526" t="s">
        <v>168</v>
      </c>
      <c r="M110" s="6208"/>
      <c r="N110" s="6208"/>
      <c r="O110" s="6208"/>
      <c r="P110" s="6208"/>
      <c r="Q110" s="6225"/>
      <c r="R110" s="4849"/>
      <c r="S110" s="6050"/>
      <c r="T110" s="6195"/>
      <c r="U110" s="6196"/>
      <c r="V110" s="681"/>
      <c r="W110" s="299" t="s">
        <v>193</v>
      </c>
      <c r="X110" s="1243"/>
      <c r="Y110" s="1243"/>
      <c r="Z110" s="4532"/>
      <c r="AB110" s="6403"/>
      <c r="AC110" s="6403"/>
      <c r="AD110" s="6403"/>
      <c r="AE110" s="6403"/>
      <c r="AF110" s="6403"/>
    </row>
    <row r="111" spans="1:60" ht="21.6" customHeight="1">
      <c r="A111" s="11"/>
      <c r="B111" s="5851" t="s">
        <v>647</v>
      </c>
      <c r="C111" s="6182"/>
      <c r="D111" s="9591" t="s">
        <v>194</v>
      </c>
      <c r="E111" s="9591"/>
      <c r="F111" s="285" t="s">
        <v>156</v>
      </c>
      <c r="G111" s="5850"/>
      <c r="H111" s="6132"/>
      <c r="I111" s="9650" t="s">
        <v>195</v>
      </c>
      <c r="J111" s="9651"/>
      <c r="K111" s="6149" t="s">
        <v>156</v>
      </c>
      <c r="L111" s="5653">
        <f>IF(COUNTBLANK(L112:L117)&gt;0,"미취합법인有",AVERAGE(L112:L117))</f>
        <v>98</v>
      </c>
      <c r="M111" s="6224"/>
      <c r="N111" s="5945" t="str">
        <f>IF(COUNTBLANK(N112:N117)&gt;0,"미취합법인有",AVERAGE(N112:N117))</f>
        <v>미취합법인有</v>
      </c>
      <c r="O111" s="6224"/>
      <c r="P111" s="5945" t="str">
        <f>IF(COUNTBLANK(P112:P117)&gt;0,"미취합법인有",AVERAGE(P112:P117))</f>
        <v>미취합법인有</v>
      </c>
      <c r="Q111" s="5945"/>
      <c r="R111" s="4849"/>
      <c r="S111" s="6050"/>
      <c r="T111" s="6195" t="s">
        <v>189</v>
      </c>
      <c r="U111" s="6196"/>
      <c r="V111" s="681"/>
      <c r="W111" s="5976"/>
      <c r="X111" s="1649"/>
      <c r="Y111" s="1650" t="s">
        <v>190</v>
      </c>
      <c r="Z111" s="1651"/>
    </row>
    <row r="112" spans="1:60" ht="21.6" customHeight="1">
      <c r="A112"/>
      <c r="B112" s="6191"/>
      <c r="C112" s="6209"/>
      <c r="D112" s="9718" t="s">
        <v>134</v>
      </c>
      <c r="E112" s="9719"/>
      <c r="F112" s="674" t="s">
        <v>156</v>
      </c>
      <c r="G112" s="6173"/>
      <c r="H112" s="6193"/>
      <c r="I112" s="9580" t="s">
        <v>135</v>
      </c>
      <c r="J112" s="9581"/>
      <c r="K112" s="674" t="s">
        <v>156</v>
      </c>
      <c r="L112" s="5723">
        <v>100</v>
      </c>
      <c r="M112" s="5993"/>
      <c r="N112" s="5993">
        <v>100</v>
      </c>
      <c r="O112" s="5993"/>
      <c r="P112" s="5993">
        <v>100</v>
      </c>
      <c r="Q112" s="6225"/>
      <c r="R112" s="4849"/>
      <c r="S112" s="6050"/>
      <c r="T112" s="6195"/>
      <c r="U112" s="6196"/>
      <c r="V112" s="681"/>
      <c r="W112" s="6229"/>
      <c r="X112" s="1243"/>
      <c r="Y112" s="1243"/>
      <c r="Z112" s="4532"/>
      <c r="AB112" s="6403"/>
      <c r="AC112" s="6403"/>
      <c r="AD112" s="6403"/>
      <c r="AE112" s="6403"/>
      <c r="AF112" s="6403"/>
    </row>
    <row r="113" spans="1:32" ht="21.6" customHeight="1">
      <c r="A113"/>
      <c r="B113" s="6191"/>
      <c r="C113" s="6209"/>
      <c r="D113" s="9718" t="s">
        <v>137</v>
      </c>
      <c r="E113" s="9719"/>
      <c r="F113" s="674" t="s">
        <v>156</v>
      </c>
      <c r="G113" s="6173"/>
      <c r="H113" s="6193"/>
      <c r="I113" s="9580" t="s">
        <v>138</v>
      </c>
      <c r="J113" s="9581"/>
      <c r="K113" s="674" t="s">
        <v>156</v>
      </c>
      <c r="L113" s="5713">
        <v>92</v>
      </c>
      <c r="M113" s="6210"/>
      <c r="N113" s="6208">
        <v>64</v>
      </c>
      <c r="O113" s="6210"/>
      <c r="P113" s="6208">
        <v>87</v>
      </c>
      <c r="Q113" s="6194"/>
      <c r="R113" s="4849"/>
      <c r="S113" s="6050"/>
      <c r="T113" s="6195"/>
      <c r="U113" s="6196"/>
      <c r="V113" s="681"/>
      <c r="W113" s="6229"/>
      <c r="X113" s="1243"/>
      <c r="Y113" s="1243"/>
      <c r="Z113" s="4532"/>
      <c r="AB113" s="6403"/>
      <c r="AC113" s="6403"/>
      <c r="AD113" s="6403"/>
      <c r="AE113" s="6403"/>
      <c r="AF113" s="6403"/>
    </row>
    <row r="114" spans="1:32" ht="21.6" customHeight="1">
      <c r="A114"/>
      <c r="B114" s="6191"/>
      <c r="C114" s="6209"/>
      <c r="D114" s="9718" t="s">
        <v>140</v>
      </c>
      <c r="E114" s="9719"/>
      <c r="F114" s="674" t="s">
        <v>156</v>
      </c>
      <c r="G114" s="6173"/>
      <c r="H114" s="6193"/>
      <c r="I114" s="9717" t="s">
        <v>141</v>
      </c>
      <c r="J114" s="9621"/>
      <c r="K114" s="674" t="s">
        <v>156</v>
      </c>
      <c r="L114" s="5723">
        <v>100</v>
      </c>
      <c r="M114" s="5993"/>
      <c r="N114" s="5993">
        <v>100</v>
      </c>
      <c r="O114" s="6226"/>
      <c r="P114" s="5993"/>
      <c r="Q114" s="6225"/>
      <c r="R114" s="4849"/>
      <c r="S114" s="6050"/>
      <c r="T114" s="6195"/>
      <c r="U114" s="6196"/>
      <c r="V114" s="681"/>
      <c r="W114" s="6229"/>
      <c r="X114" s="1243"/>
      <c r="Y114" s="1243"/>
      <c r="Z114" s="4532"/>
      <c r="AB114" s="6403"/>
      <c r="AC114" s="6403"/>
      <c r="AD114" s="6403"/>
      <c r="AE114" s="6403"/>
      <c r="AF114" s="6403"/>
    </row>
    <row r="115" spans="1:32" ht="21.6" customHeight="1">
      <c r="A115"/>
      <c r="B115" s="6191"/>
      <c r="C115" s="6209"/>
      <c r="D115" s="9718" t="s">
        <v>143</v>
      </c>
      <c r="E115" s="9719"/>
      <c r="F115" s="674" t="s">
        <v>156</v>
      </c>
      <c r="G115" s="6173"/>
      <c r="H115" s="6193"/>
      <c r="I115" s="9717" t="s">
        <v>144</v>
      </c>
      <c r="J115" s="9621"/>
      <c r="K115" s="674" t="s">
        <v>156</v>
      </c>
      <c r="L115" s="6526" t="s">
        <v>168</v>
      </c>
      <c r="M115" s="5993"/>
      <c r="N115" s="5993"/>
      <c r="O115" s="6226"/>
      <c r="P115" s="5993"/>
      <c r="Q115" s="6225"/>
      <c r="R115" s="4849"/>
      <c r="S115" s="6050"/>
      <c r="T115" s="6195"/>
      <c r="U115" s="6196"/>
      <c r="V115" s="681"/>
      <c r="W115" s="6229"/>
      <c r="X115" s="1243"/>
      <c r="Y115" s="1243"/>
      <c r="Z115" s="4532"/>
      <c r="AB115" s="6403"/>
      <c r="AC115" s="6403"/>
      <c r="AD115" s="6403"/>
      <c r="AE115" s="6403"/>
      <c r="AF115" s="6403"/>
    </row>
    <row r="116" spans="1:32" ht="21.6" customHeight="1">
      <c r="A116"/>
      <c r="B116" s="6191"/>
      <c r="C116" s="6209"/>
      <c r="D116" s="9718" t="s">
        <v>631</v>
      </c>
      <c r="E116" s="9719"/>
      <c r="F116" s="674" t="s">
        <v>156</v>
      </c>
      <c r="G116" s="6173"/>
      <c r="H116" s="6193"/>
      <c r="I116" s="9717" t="s">
        <v>147</v>
      </c>
      <c r="J116" s="9621"/>
      <c r="K116" s="674" t="s">
        <v>156</v>
      </c>
      <c r="L116" s="5723">
        <v>100</v>
      </c>
      <c r="M116" s="5993"/>
      <c r="N116" s="5993">
        <v>100</v>
      </c>
      <c r="O116" s="6226"/>
      <c r="P116" s="5993"/>
      <c r="Q116" s="6225"/>
      <c r="R116" s="4849"/>
      <c r="S116" s="6050"/>
      <c r="T116" s="6195"/>
      <c r="U116" s="6196"/>
      <c r="V116" s="681"/>
      <c r="W116" s="6229"/>
      <c r="X116" s="1243"/>
      <c r="Y116" s="1243"/>
      <c r="Z116" s="4532"/>
      <c r="AB116" s="6403"/>
      <c r="AC116" s="6403"/>
      <c r="AD116" s="6403"/>
      <c r="AE116" s="6403"/>
      <c r="AF116" s="6403"/>
    </row>
    <row r="117" spans="1:32" ht="21.6" customHeight="1" thickBot="1">
      <c r="A117"/>
      <c r="B117" s="6191"/>
      <c r="C117" s="6209"/>
      <c r="D117" s="9718" t="s">
        <v>633</v>
      </c>
      <c r="E117" s="9719"/>
      <c r="F117" s="674" t="s">
        <v>156</v>
      </c>
      <c r="G117" s="6173"/>
      <c r="H117" s="6193"/>
      <c r="I117" s="9717" t="s">
        <v>150</v>
      </c>
      <c r="J117" s="9621"/>
      <c r="K117" s="674" t="s">
        <v>156</v>
      </c>
      <c r="L117" s="6527" t="s">
        <v>168</v>
      </c>
      <c r="M117" s="6227"/>
      <c r="N117" s="6227"/>
      <c r="O117" s="6227"/>
      <c r="P117" s="6227"/>
      <c r="Q117" s="6228"/>
      <c r="R117" s="6211"/>
      <c r="S117" s="6212"/>
      <c r="T117" s="6213"/>
      <c r="U117" s="6214"/>
      <c r="V117" s="6215"/>
      <c r="W117" s="6229"/>
      <c r="X117" s="6216"/>
      <c r="Y117" s="6216"/>
      <c r="Z117" s="6217"/>
      <c r="AB117" s="6403"/>
      <c r="AC117" s="6403"/>
      <c r="AD117" s="6403"/>
      <c r="AE117" s="6403"/>
      <c r="AF117" s="6403"/>
    </row>
    <row r="118" spans="1:32" ht="27" thickBot="1">
      <c r="A118" s="50"/>
      <c r="B118" s="1652" t="s">
        <v>197</v>
      </c>
      <c r="C118" s="1653"/>
      <c r="D118" s="1653"/>
      <c r="E118" s="1653"/>
      <c r="F118" s="1654"/>
      <c r="G118" s="6150" t="s">
        <v>198</v>
      </c>
      <c r="H118" s="1657"/>
      <c r="I118" s="1657"/>
      <c r="J118" s="1657"/>
      <c r="K118" s="6151"/>
      <c r="L118" s="6218"/>
      <c r="M118" s="6219"/>
      <c r="N118" s="6219"/>
      <c r="O118" s="6219"/>
      <c r="P118" s="6219"/>
      <c r="Q118" s="6219"/>
      <c r="R118" s="6220"/>
      <c r="S118" s="6220"/>
      <c r="T118" s="6221"/>
      <c r="U118" s="6221"/>
      <c r="V118" s="6221"/>
      <c r="W118" s="6221"/>
      <c r="X118" s="6222"/>
      <c r="Y118" s="6222"/>
      <c r="Z118" s="6223"/>
      <c r="AB118" s="6402"/>
    </row>
    <row r="119" spans="1:32" ht="27" thickBot="1">
      <c r="A119" s="11"/>
      <c r="B119" s="123" t="s">
        <v>199</v>
      </c>
      <c r="C119" s="124"/>
      <c r="D119" s="124"/>
      <c r="E119" s="124"/>
      <c r="F119" s="78"/>
      <c r="G119" s="125" t="s">
        <v>200</v>
      </c>
      <c r="H119" s="126"/>
      <c r="I119" s="126"/>
      <c r="J119" s="126"/>
      <c r="K119" s="78"/>
      <c r="L119" s="5588"/>
      <c r="M119" s="77"/>
      <c r="N119" s="77"/>
      <c r="O119" s="77"/>
      <c r="P119" s="77"/>
      <c r="Q119" s="77"/>
      <c r="R119" s="80"/>
      <c r="S119" s="80"/>
      <c r="T119" s="129"/>
      <c r="U119" s="129"/>
      <c r="V119" s="129"/>
      <c r="W119" s="129"/>
      <c r="X119" s="6347"/>
      <c r="Y119" s="6347"/>
      <c r="Z119" s="329"/>
    </row>
    <row r="120" spans="1:32" ht="19.899999999999999" customHeight="1">
      <c r="A120" s="11"/>
      <c r="B120" s="1359"/>
      <c r="C120" s="9670" t="s">
        <v>648</v>
      </c>
      <c r="D120" s="9670"/>
      <c r="E120" s="9670"/>
      <c r="F120" s="252" t="s">
        <v>212</v>
      </c>
      <c r="G120" s="253"/>
      <c r="H120" s="9670" t="s">
        <v>202</v>
      </c>
      <c r="I120" s="9670"/>
      <c r="J120" s="9670"/>
      <c r="K120" s="252" t="s">
        <v>203</v>
      </c>
      <c r="L120" s="5653" t="str">
        <f>IF(COUNTBLANK(L121:L126)&gt;0,"미취합법인有",SUM(L121:L126))</f>
        <v>미취합법인有</v>
      </c>
      <c r="M120" s="5657"/>
      <c r="N120" s="5654" t="str">
        <f>IF(COUNTBLANK(N121:N126)&gt;0,"미취합법인有",SUM(N121:N126))</f>
        <v>미취합법인有</v>
      </c>
      <c r="O120" s="5663"/>
      <c r="P120" s="5781" t="str">
        <f>IF(COUNTBLANK(P121:P126)&gt;0,"미취합법인有",SUM(P121:P126))</f>
        <v>미취합법인有</v>
      </c>
      <c r="Q120" s="6097"/>
      <c r="R120" s="1021" t="s">
        <v>649</v>
      </c>
      <c r="S120" s="263" t="s">
        <v>205</v>
      </c>
      <c r="T120" s="99" t="s">
        <v>206</v>
      </c>
      <c r="U120" s="138"/>
      <c r="V120" s="138"/>
      <c r="W120" s="99"/>
      <c r="X120" s="264" t="s">
        <v>207</v>
      </c>
      <c r="Y120" s="265"/>
      <c r="Z120" s="187"/>
    </row>
    <row r="121" spans="1:32" ht="19.899999999999999" customHeight="1">
      <c r="A121" s="11"/>
      <c r="B121" s="5590"/>
      <c r="C121" s="9647" t="s">
        <v>134</v>
      </c>
      <c r="D121" s="9648"/>
      <c r="E121" s="9649"/>
      <c r="F121" s="5591" t="s">
        <v>212</v>
      </c>
      <c r="G121" s="253"/>
      <c r="H121" s="9579" t="s">
        <v>135</v>
      </c>
      <c r="I121" s="9580"/>
      <c r="J121" s="9581"/>
      <c r="K121" s="5591" t="s">
        <v>203</v>
      </c>
      <c r="L121" s="5592">
        <v>60746.3</v>
      </c>
      <c r="M121" s="5948"/>
      <c r="N121" s="5948">
        <v>71421.22</v>
      </c>
      <c r="O121" s="5948" t="s">
        <v>650</v>
      </c>
      <c r="P121" s="5948">
        <v>69798.138999999996</v>
      </c>
      <c r="Q121" s="5948" t="s">
        <v>651</v>
      </c>
      <c r="R121" s="1033"/>
      <c r="S121" s="263"/>
      <c r="T121" s="99"/>
      <c r="U121" s="138"/>
      <c r="V121" s="138"/>
      <c r="W121" s="99"/>
      <c r="X121" s="264"/>
      <c r="Y121" s="277"/>
      <c r="Z121" s="187"/>
    </row>
    <row r="122" spans="1:32" ht="19.899999999999999" customHeight="1">
      <c r="A122" s="11"/>
      <c r="B122" s="5590"/>
      <c r="C122" s="9647" t="s">
        <v>137</v>
      </c>
      <c r="D122" s="9648"/>
      <c r="E122" s="9649"/>
      <c r="F122" s="5591" t="s">
        <v>212</v>
      </c>
      <c r="G122" s="253"/>
      <c r="H122" s="9579" t="s">
        <v>138</v>
      </c>
      <c r="I122" s="9580"/>
      <c r="J122" s="9581"/>
      <c r="K122" s="5591" t="s">
        <v>203</v>
      </c>
      <c r="L122" s="5963" t="s">
        <v>168</v>
      </c>
      <c r="M122" s="5965" t="s">
        <v>652</v>
      </c>
      <c r="N122" s="5965" t="s">
        <v>169</v>
      </c>
      <c r="O122" s="5965" t="s">
        <v>652</v>
      </c>
      <c r="P122" s="5948">
        <v>556.83400000000006</v>
      </c>
      <c r="Q122" s="5948"/>
      <c r="R122" s="1033"/>
      <c r="S122" s="263"/>
      <c r="T122" s="99"/>
      <c r="U122" s="138"/>
      <c r="V122" s="138"/>
      <c r="W122" s="99"/>
      <c r="X122" s="264"/>
      <c r="Y122" s="277"/>
      <c r="Z122" s="187"/>
    </row>
    <row r="123" spans="1:32" ht="19.899999999999999" customHeight="1">
      <c r="A123" s="11"/>
      <c r="B123" s="5590"/>
      <c r="C123" s="9647" t="s">
        <v>140</v>
      </c>
      <c r="D123" s="9648"/>
      <c r="E123" s="9649"/>
      <c r="F123" s="5591" t="s">
        <v>212</v>
      </c>
      <c r="G123" s="253"/>
      <c r="H123" s="9579" t="s">
        <v>141</v>
      </c>
      <c r="I123" s="9580"/>
      <c r="J123" s="9581"/>
      <c r="K123" s="5591" t="s">
        <v>203</v>
      </c>
      <c r="L123" s="5592">
        <v>108986.20006197746</v>
      </c>
      <c r="M123" s="5948"/>
      <c r="N123" s="5948">
        <v>92402.921378387007</v>
      </c>
      <c r="O123" s="5948"/>
      <c r="P123" s="5948">
        <v>93808.071312774584</v>
      </c>
      <c r="Q123" s="5948"/>
      <c r="R123" s="1033"/>
      <c r="S123" s="263"/>
      <c r="T123" s="99"/>
      <c r="U123" s="138"/>
      <c r="V123" s="138"/>
      <c r="W123" s="99"/>
      <c r="X123" s="264"/>
      <c r="Y123" s="277"/>
      <c r="Z123" s="187"/>
    </row>
    <row r="124" spans="1:32" ht="19.899999999999999" customHeight="1">
      <c r="A124" s="11"/>
      <c r="B124" s="5590"/>
      <c r="C124" s="9647" t="s">
        <v>143</v>
      </c>
      <c r="D124" s="9648"/>
      <c r="E124" s="9649"/>
      <c r="F124" s="5591" t="s">
        <v>212</v>
      </c>
      <c r="G124" s="253"/>
      <c r="H124" s="9579" t="s">
        <v>144</v>
      </c>
      <c r="I124" s="9580"/>
      <c r="J124" s="9581"/>
      <c r="K124" s="5591" t="s">
        <v>203</v>
      </c>
      <c r="L124" s="5592"/>
      <c r="M124" s="5948"/>
      <c r="N124" s="5948"/>
      <c r="O124" s="5948"/>
      <c r="P124" s="5948"/>
      <c r="Q124" s="5948"/>
      <c r="R124" s="1033"/>
      <c r="S124" s="263"/>
      <c r="T124" s="99"/>
      <c r="U124" s="138"/>
      <c r="V124" s="138"/>
      <c r="W124" s="99"/>
      <c r="X124" s="264"/>
      <c r="Y124" s="277"/>
      <c r="Z124" s="187"/>
    </row>
    <row r="125" spans="1:32" ht="19.899999999999999" customHeight="1">
      <c r="A125" s="11"/>
      <c r="B125" s="5590"/>
      <c r="C125" s="9647" t="s">
        <v>631</v>
      </c>
      <c r="D125" s="9648"/>
      <c r="E125" s="9649"/>
      <c r="F125" s="5591" t="s">
        <v>212</v>
      </c>
      <c r="G125" s="253"/>
      <c r="H125" s="9579" t="s">
        <v>147</v>
      </c>
      <c r="I125" s="9580"/>
      <c r="J125" s="9581"/>
      <c r="K125" s="5591" t="s">
        <v>203</v>
      </c>
      <c r="L125" s="6029" t="s">
        <v>168</v>
      </c>
      <c r="M125" s="6080" t="s">
        <v>641</v>
      </c>
      <c r="N125" s="6080" t="s">
        <v>169</v>
      </c>
      <c r="O125" s="6080" t="s">
        <v>641</v>
      </c>
      <c r="P125" s="6080" t="s">
        <v>169</v>
      </c>
      <c r="Q125" s="6080" t="s">
        <v>641</v>
      </c>
      <c r="R125" s="1033"/>
      <c r="S125" s="263"/>
      <c r="T125" s="99"/>
      <c r="U125" s="138"/>
      <c r="V125" s="138"/>
      <c r="W125" s="99"/>
      <c r="X125" s="264"/>
      <c r="Y125" s="277"/>
      <c r="Z125" s="187"/>
    </row>
    <row r="126" spans="1:32" ht="19.899999999999999" customHeight="1">
      <c r="A126" s="11"/>
      <c r="B126" s="5590"/>
      <c r="C126" s="9647" t="s">
        <v>633</v>
      </c>
      <c r="D126" s="9648"/>
      <c r="E126" s="9649"/>
      <c r="F126" s="5591" t="s">
        <v>212</v>
      </c>
      <c r="G126" s="253"/>
      <c r="H126" s="9579" t="s">
        <v>150</v>
      </c>
      <c r="I126" s="9580"/>
      <c r="J126" s="9581"/>
      <c r="K126" s="5591" t="s">
        <v>203</v>
      </c>
      <c r="L126" s="6029" t="s">
        <v>168</v>
      </c>
      <c r="M126" s="6080" t="s">
        <v>641</v>
      </c>
      <c r="N126" s="6080" t="s">
        <v>169</v>
      </c>
      <c r="O126" s="6080" t="s">
        <v>641</v>
      </c>
      <c r="P126" s="6080" t="s">
        <v>169</v>
      </c>
      <c r="Q126" s="6080" t="s">
        <v>641</v>
      </c>
      <c r="R126" s="1033"/>
      <c r="S126" s="263"/>
      <c r="T126" s="99"/>
      <c r="U126" s="138"/>
      <c r="V126" s="138"/>
      <c r="W126" s="99"/>
      <c r="X126" s="264"/>
      <c r="Y126" s="277"/>
      <c r="Z126" s="187"/>
    </row>
    <row r="127" spans="1:32" ht="19.899999999999999" customHeight="1">
      <c r="A127" s="11"/>
      <c r="B127" s="5590"/>
      <c r="C127" s="6180"/>
      <c r="D127" s="9591" t="s">
        <v>210</v>
      </c>
      <c r="E127" s="9592"/>
      <c r="F127" s="5731" t="s">
        <v>212</v>
      </c>
      <c r="G127" s="253"/>
      <c r="H127" s="6154"/>
      <c r="I127" s="9586" t="s">
        <v>211</v>
      </c>
      <c r="J127" s="9588"/>
      <c r="K127" s="132" t="s">
        <v>212</v>
      </c>
      <c r="L127" s="5653" t="str">
        <f>IF(COUNTBLANK(L128:L133)&gt;0,"미취합법인有",SUM(L128:L133))</f>
        <v>미취합법인有</v>
      </c>
      <c r="M127" s="5945"/>
      <c r="N127" s="5945" t="str">
        <f>IF(COUNTBLANK(N128:N133)&gt;0,"미취합법인有",SUM(N128:N133))</f>
        <v>미취합법인有</v>
      </c>
      <c r="O127" s="5945"/>
      <c r="P127" s="5946" t="str">
        <f>IF(COUNTBLANK(P128:P133)&gt;0,"미취합법인有",SUM(P128:P133))</f>
        <v>미취합법인有</v>
      </c>
      <c r="Q127" s="5945"/>
      <c r="R127" s="2468" t="s">
        <v>213</v>
      </c>
      <c r="S127" s="276" t="s">
        <v>214</v>
      </c>
      <c r="T127" s="99" t="s">
        <v>206</v>
      </c>
      <c r="U127" s="138"/>
      <c r="V127" s="138"/>
      <c r="W127" s="99"/>
      <c r="X127" s="264" t="s">
        <v>215</v>
      </c>
      <c r="Y127" s="277" t="s">
        <v>216</v>
      </c>
      <c r="Z127" s="187"/>
    </row>
    <row r="128" spans="1:32" ht="19.899999999999999" customHeight="1">
      <c r="A128" s="11"/>
      <c r="B128" s="5590"/>
      <c r="C128" s="6181"/>
      <c r="D128" s="9598" t="s">
        <v>134</v>
      </c>
      <c r="E128" s="9600"/>
      <c r="F128" s="5591" t="s">
        <v>212</v>
      </c>
      <c r="G128" s="253"/>
      <c r="H128" s="6179"/>
      <c r="I128" s="9579" t="s">
        <v>135</v>
      </c>
      <c r="J128" s="9581"/>
      <c r="K128" s="132" t="s">
        <v>212</v>
      </c>
      <c r="L128" s="5839">
        <v>7184.4</v>
      </c>
      <c r="M128" s="5746"/>
      <c r="N128" s="6056">
        <v>7712.3</v>
      </c>
      <c r="O128" s="5973" t="s">
        <v>650</v>
      </c>
      <c r="P128" s="5978">
        <v>7590.4170000000004</v>
      </c>
      <c r="Q128" s="5973" t="s">
        <v>651</v>
      </c>
      <c r="R128" s="2468"/>
      <c r="S128" s="276"/>
      <c r="T128" s="99"/>
      <c r="U128" s="138"/>
      <c r="V128" s="138"/>
      <c r="W128" s="99"/>
      <c r="X128" s="264"/>
      <c r="Y128" s="277"/>
      <c r="Z128" s="187"/>
    </row>
    <row r="129" spans="2:60" s="11" customFormat="1" ht="19.899999999999999" customHeight="1">
      <c r="B129" s="5590"/>
      <c r="C129" s="6181"/>
      <c r="D129" s="9598" t="s">
        <v>137</v>
      </c>
      <c r="E129" s="9600"/>
      <c r="F129" s="5591" t="s">
        <v>212</v>
      </c>
      <c r="G129" s="253"/>
      <c r="H129" s="6179"/>
      <c r="I129" s="9579" t="s">
        <v>138</v>
      </c>
      <c r="J129" s="9581"/>
      <c r="K129" s="132" t="s">
        <v>212</v>
      </c>
      <c r="L129" s="5962" t="s">
        <v>168</v>
      </c>
      <c r="M129" s="5965" t="s">
        <v>652</v>
      </c>
      <c r="N129" s="2612" t="s">
        <v>169</v>
      </c>
      <c r="O129" s="2612" t="s">
        <v>652</v>
      </c>
      <c r="P129" s="5972">
        <v>71.001000000000005</v>
      </c>
      <c r="Q129" s="5746"/>
      <c r="R129" s="2468"/>
      <c r="S129" s="276"/>
      <c r="T129" s="99"/>
      <c r="U129" s="138"/>
      <c r="V129" s="138"/>
      <c r="W129" s="99"/>
      <c r="X129" s="264"/>
      <c r="Y129" s="277"/>
      <c r="Z129" s="187"/>
      <c r="AA129" s="6301"/>
      <c r="AB129" s="139"/>
      <c r="AC129" s="139"/>
      <c r="AD129" s="139"/>
      <c r="AE129" s="139"/>
      <c r="AF129" s="139"/>
      <c r="AG129" s="139"/>
      <c r="AH129" s="139"/>
      <c r="AI129" s="139"/>
      <c r="AJ129" s="139"/>
      <c r="AK129" s="139"/>
      <c r="AL129" s="139"/>
      <c r="AM129" s="139"/>
      <c r="AN129" s="139"/>
      <c r="AO129" s="139"/>
      <c r="AP129" s="139"/>
      <c r="AQ129" s="139"/>
      <c r="AR129" s="139"/>
      <c r="AS129" s="139"/>
      <c r="AT129" s="139"/>
      <c r="AU129" s="139"/>
      <c r="AV129" s="139"/>
      <c r="AW129" s="139"/>
      <c r="AX129" s="139"/>
      <c r="AY129" s="139"/>
      <c r="AZ129" s="139"/>
      <c r="BA129" s="139"/>
      <c r="BB129" s="139"/>
      <c r="BC129" s="139"/>
      <c r="BD129" s="139"/>
      <c r="BE129" s="139"/>
      <c r="BF129" s="139"/>
      <c r="BG129" s="139"/>
      <c r="BH129" s="139"/>
    </row>
    <row r="130" spans="2:60" s="11" customFormat="1" ht="19.899999999999999" customHeight="1">
      <c r="B130" s="5590"/>
      <c r="C130" s="6181"/>
      <c r="D130" s="9598" t="s">
        <v>140</v>
      </c>
      <c r="E130" s="9600"/>
      <c r="F130" s="5591" t="s">
        <v>212</v>
      </c>
      <c r="G130" s="253"/>
      <c r="H130" s="6179"/>
      <c r="I130" s="9582" t="s">
        <v>141</v>
      </c>
      <c r="J130" s="9583"/>
      <c r="K130" s="132" t="s">
        <v>212</v>
      </c>
      <c r="L130" s="5747">
        <v>61780.287091847931</v>
      </c>
      <c r="M130" s="705"/>
      <c r="N130" s="705">
        <v>50879.003569474</v>
      </c>
      <c r="O130" s="705"/>
      <c r="P130" s="705">
        <v>50978.402199850505</v>
      </c>
      <c r="Q130" s="705"/>
      <c r="R130" s="2468"/>
      <c r="S130" s="276"/>
      <c r="T130" s="99"/>
      <c r="U130" s="138"/>
      <c r="V130" s="138"/>
      <c r="W130" s="99"/>
      <c r="X130" s="264"/>
      <c r="Y130" s="277"/>
      <c r="Z130" s="187"/>
      <c r="AA130" s="6301"/>
      <c r="AB130" s="139"/>
      <c r="AC130" s="139"/>
      <c r="AD130" s="139"/>
      <c r="AE130" s="139"/>
      <c r="AF130" s="139"/>
      <c r="AG130" s="139"/>
      <c r="AH130" s="139"/>
      <c r="AI130" s="139"/>
      <c r="AJ130" s="139"/>
      <c r="AK130" s="139"/>
      <c r="AL130" s="139"/>
      <c r="AM130" s="139"/>
      <c r="AN130" s="139"/>
      <c r="AO130" s="139"/>
      <c r="AP130" s="139"/>
      <c r="AQ130" s="139"/>
      <c r="AR130" s="139"/>
      <c r="AS130" s="139"/>
      <c r="AT130" s="139"/>
      <c r="AU130" s="139"/>
      <c r="AV130" s="139"/>
      <c r="AW130" s="139"/>
      <c r="AX130" s="139"/>
      <c r="AY130" s="139"/>
      <c r="AZ130" s="139"/>
      <c r="BA130" s="139"/>
      <c r="BB130" s="139"/>
      <c r="BC130" s="139"/>
      <c r="BD130" s="139"/>
      <c r="BE130" s="139"/>
      <c r="BF130" s="139"/>
      <c r="BG130" s="139"/>
      <c r="BH130" s="139"/>
    </row>
    <row r="131" spans="2:60" s="11" customFormat="1" ht="19.899999999999999" customHeight="1">
      <c r="B131" s="5590"/>
      <c r="C131" s="6181"/>
      <c r="D131" s="9598" t="s">
        <v>143</v>
      </c>
      <c r="E131" s="9600"/>
      <c r="F131" s="5591" t="s">
        <v>212</v>
      </c>
      <c r="G131" s="253"/>
      <c r="H131" s="6179"/>
      <c r="I131" s="9582" t="s">
        <v>144</v>
      </c>
      <c r="J131" s="9583"/>
      <c r="K131" s="132" t="s">
        <v>212</v>
      </c>
      <c r="L131" s="5745"/>
      <c r="M131" s="5746"/>
      <c r="N131" s="5746"/>
      <c r="O131" s="5746"/>
      <c r="P131" s="5972"/>
      <c r="Q131" s="5746"/>
      <c r="R131" s="2468"/>
      <c r="S131" s="276"/>
      <c r="T131" s="99"/>
      <c r="U131" s="138"/>
      <c r="V131" s="138"/>
      <c r="W131" s="99"/>
      <c r="X131" s="264"/>
      <c r="Y131" s="277"/>
      <c r="Z131" s="187"/>
      <c r="AA131" s="6301"/>
      <c r="AB131" s="139"/>
      <c r="AC131" s="139"/>
      <c r="AD131" s="139"/>
      <c r="AE131" s="139"/>
      <c r="AF131" s="139"/>
      <c r="AG131" s="139"/>
      <c r="AH131" s="139"/>
      <c r="AI131" s="139"/>
      <c r="AJ131" s="139"/>
      <c r="AK131" s="139"/>
      <c r="AL131" s="139"/>
      <c r="AM131" s="139"/>
      <c r="AN131" s="139"/>
      <c r="AO131" s="139"/>
      <c r="AP131" s="139"/>
      <c r="AQ131" s="139"/>
      <c r="AR131" s="139"/>
      <c r="AS131" s="139"/>
      <c r="AT131" s="139"/>
      <c r="AU131" s="139"/>
      <c r="AV131" s="139"/>
      <c r="AW131" s="139"/>
      <c r="AX131" s="139"/>
      <c r="AY131" s="139"/>
      <c r="AZ131" s="139"/>
      <c r="BA131" s="139"/>
      <c r="BB131" s="139"/>
      <c r="BC131" s="139"/>
      <c r="BD131" s="139"/>
      <c r="BE131" s="139"/>
      <c r="BF131" s="139"/>
      <c r="BG131" s="139"/>
      <c r="BH131" s="139"/>
    </row>
    <row r="132" spans="2:60" s="11" customFormat="1" ht="19.899999999999999" customHeight="1">
      <c r="B132" s="5590"/>
      <c r="C132" s="6181"/>
      <c r="D132" s="9598" t="s">
        <v>631</v>
      </c>
      <c r="E132" s="9600"/>
      <c r="F132" s="5731" t="s">
        <v>212</v>
      </c>
      <c r="G132" s="253"/>
      <c r="H132" s="6179"/>
      <c r="I132" s="9582" t="s">
        <v>147</v>
      </c>
      <c r="J132" s="9583"/>
      <c r="K132" s="132" t="s">
        <v>212</v>
      </c>
      <c r="L132" s="6029" t="s">
        <v>168</v>
      </c>
      <c r="M132" s="6080" t="s">
        <v>641</v>
      </c>
      <c r="N132" s="6080" t="s">
        <v>169</v>
      </c>
      <c r="O132" s="6080" t="s">
        <v>641</v>
      </c>
      <c r="P132" s="6080" t="s">
        <v>169</v>
      </c>
      <c r="Q132" s="6080" t="s">
        <v>641</v>
      </c>
      <c r="R132" s="2468"/>
      <c r="S132" s="276"/>
      <c r="T132" s="99"/>
      <c r="U132" s="138"/>
      <c r="V132" s="138"/>
      <c r="W132" s="99"/>
      <c r="X132" s="264"/>
      <c r="Y132" s="277"/>
      <c r="Z132" s="187"/>
      <c r="AA132" s="6301"/>
      <c r="AB132" s="139"/>
      <c r="AC132" s="139"/>
      <c r="AD132" s="139"/>
      <c r="AE132" s="139"/>
      <c r="AF132" s="139"/>
      <c r="AG132" s="139"/>
      <c r="AH132" s="139"/>
      <c r="AI132" s="139"/>
      <c r="AJ132" s="139"/>
      <c r="AK132" s="139"/>
      <c r="AL132" s="139"/>
      <c r="AM132" s="139"/>
      <c r="AN132" s="139"/>
      <c r="AO132" s="139"/>
      <c r="AP132" s="139"/>
      <c r="AQ132" s="139"/>
      <c r="AR132" s="139"/>
      <c r="AS132" s="139"/>
      <c r="AT132" s="139"/>
      <c r="AU132" s="139"/>
      <c r="AV132" s="139"/>
      <c r="AW132" s="139"/>
      <c r="AX132" s="139"/>
      <c r="AY132" s="139"/>
      <c r="AZ132" s="139"/>
      <c r="BA132" s="139"/>
      <c r="BB132" s="139"/>
      <c r="BC132" s="139"/>
      <c r="BD132" s="139"/>
      <c r="BE132" s="139"/>
      <c r="BF132" s="139"/>
      <c r="BG132" s="139"/>
      <c r="BH132" s="139"/>
    </row>
    <row r="133" spans="2:60" s="11" customFormat="1" ht="19.899999999999999" customHeight="1">
      <c r="B133" s="5590"/>
      <c r="C133" s="6179"/>
      <c r="D133" s="9598" t="s">
        <v>633</v>
      </c>
      <c r="E133" s="9600"/>
      <c r="F133" s="5591" t="s">
        <v>212</v>
      </c>
      <c r="G133" s="253"/>
      <c r="H133" s="6179"/>
      <c r="I133" s="9582" t="s">
        <v>150</v>
      </c>
      <c r="J133" s="9583"/>
      <c r="K133" s="132" t="s">
        <v>212</v>
      </c>
      <c r="L133" s="6029" t="s">
        <v>168</v>
      </c>
      <c r="M133" s="6080" t="s">
        <v>641</v>
      </c>
      <c r="N133" s="6080" t="s">
        <v>169</v>
      </c>
      <c r="O133" s="6080" t="s">
        <v>641</v>
      </c>
      <c r="P133" s="6080" t="s">
        <v>169</v>
      </c>
      <c r="Q133" s="6080" t="s">
        <v>641</v>
      </c>
      <c r="R133" s="2468"/>
      <c r="S133" s="276"/>
      <c r="T133" s="99"/>
      <c r="U133" s="138"/>
      <c r="V133" s="138"/>
      <c r="W133" s="99"/>
      <c r="X133" s="264"/>
      <c r="Y133" s="277"/>
      <c r="Z133" s="187"/>
      <c r="AA133" s="6301"/>
      <c r="AB133" s="139"/>
      <c r="AC133" s="139"/>
      <c r="AD133" s="139"/>
      <c r="AE133" s="139"/>
      <c r="AF133" s="139"/>
      <c r="AG133" s="139"/>
      <c r="AH133" s="139"/>
      <c r="AI133" s="139"/>
      <c r="AJ133" s="139"/>
      <c r="AK133" s="139"/>
      <c r="AL133" s="139"/>
      <c r="AM133" s="139"/>
      <c r="AN133" s="139"/>
      <c r="AO133" s="139"/>
      <c r="AP133" s="139"/>
      <c r="AQ133" s="139"/>
      <c r="AR133" s="139"/>
      <c r="AS133" s="139"/>
      <c r="AT133" s="139"/>
      <c r="AU133" s="139"/>
      <c r="AV133" s="139"/>
      <c r="AW133" s="139"/>
      <c r="AX133" s="139"/>
      <c r="AY133" s="139"/>
      <c r="AZ133" s="139"/>
      <c r="BA133" s="139"/>
      <c r="BB133" s="139"/>
      <c r="BC133" s="139"/>
      <c r="BD133" s="139"/>
      <c r="BE133" s="139"/>
      <c r="BF133" s="139"/>
      <c r="BG133" s="139"/>
      <c r="BH133" s="139"/>
    </row>
    <row r="134" spans="2:60" s="11" customFormat="1" ht="19.899999999999999" customHeight="1">
      <c r="B134" s="1360"/>
      <c r="C134" s="6154"/>
      <c r="D134" s="9586" t="s">
        <v>217</v>
      </c>
      <c r="E134" s="9588"/>
      <c r="F134" s="5731" t="s">
        <v>212</v>
      </c>
      <c r="G134" s="253"/>
      <c r="H134" s="6154"/>
      <c r="I134" s="5606" t="s">
        <v>218</v>
      </c>
      <c r="J134" s="5943"/>
      <c r="K134" s="132" t="s">
        <v>203</v>
      </c>
      <c r="L134" s="5653" t="str">
        <f>IF(COUNTBLANK(L135:L140)&gt;0,"미취합법인有",SUM(L135:L140))</f>
        <v>미취합법인有</v>
      </c>
      <c r="M134" s="5945"/>
      <c r="N134" s="5945" t="str">
        <f>IF(COUNTBLANK(N135:N140)&gt;0,"미취합법인有",SUM(N135:N140))</f>
        <v>미취합법인有</v>
      </c>
      <c r="O134" s="5945"/>
      <c r="P134" s="5946" t="str">
        <f>IF(COUNTBLANK(P135:P140)&gt;0,"미취합법인有",SUM(P135:P140))</f>
        <v>미취합법인有</v>
      </c>
      <c r="Q134" s="5945"/>
      <c r="R134" s="2468" t="s">
        <v>219</v>
      </c>
      <c r="S134" s="276" t="s">
        <v>220</v>
      </c>
      <c r="T134" s="99" t="s">
        <v>206</v>
      </c>
      <c r="U134" s="138"/>
      <c r="V134" s="138"/>
      <c r="W134" s="99"/>
      <c r="X134" s="277" t="s">
        <v>221</v>
      </c>
      <c r="Y134" s="264" t="s">
        <v>222</v>
      </c>
      <c r="Z134" s="187"/>
      <c r="AA134" s="6301"/>
      <c r="AB134" s="139"/>
      <c r="AC134" s="139"/>
      <c r="AD134" s="139"/>
      <c r="AE134" s="139"/>
      <c r="AF134" s="139"/>
      <c r="AG134" s="139"/>
      <c r="AH134" s="139"/>
      <c r="AI134" s="139"/>
      <c r="AJ134" s="139"/>
      <c r="AK134" s="139"/>
      <c r="AL134" s="139"/>
      <c r="AM134" s="139"/>
      <c r="AN134" s="139"/>
      <c r="AO134" s="139"/>
      <c r="AP134" s="139"/>
      <c r="AQ134" s="139"/>
      <c r="AR134" s="139"/>
      <c r="AS134" s="139"/>
      <c r="AT134" s="139"/>
      <c r="AU134" s="139"/>
      <c r="AV134" s="139"/>
      <c r="AW134" s="139"/>
      <c r="AX134" s="139"/>
      <c r="AY134" s="139"/>
      <c r="AZ134" s="139"/>
      <c r="BA134" s="139"/>
      <c r="BB134" s="139"/>
      <c r="BC134" s="139"/>
      <c r="BD134" s="139"/>
      <c r="BE134" s="139"/>
      <c r="BF134" s="139"/>
      <c r="BG134" s="139"/>
      <c r="BH134" s="139"/>
    </row>
    <row r="135" spans="2:60" s="11" customFormat="1" ht="19.899999999999999" customHeight="1">
      <c r="B135" s="5590"/>
      <c r="C135" s="6179"/>
      <c r="D135" s="9598" t="s">
        <v>134</v>
      </c>
      <c r="E135" s="9600"/>
      <c r="F135" s="5731" t="s">
        <v>212</v>
      </c>
      <c r="G135" s="253"/>
      <c r="H135" s="6179"/>
      <c r="I135" s="9579" t="s">
        <v>135</v>
      </c>
      <c r="J135" s="9581"/>
      <c r="K135" s="132" t="s">
        <v>203</v>
      </c>
      <c r="L135" s="5596">
        <v>53561.9</v>
      </c>
      <c r="M135" s="1488"/>
      <c r="N135" s="1488">
        <v>63708.92</v>
      </c>
      <c r="O135" s="1488"/>
      <c r="P135" s="5977">
        <v>62207.722000000002</v>
      </c>
      <c r="Q135" s="1488"/>
      <c r="R135" s="2468"/>
      <c r="S135" s="276"/>
      <c r="T135" s="99"/>
      <c r="U135" s="138"/>
      <c r="V135" s="138"/>
      <c r="W135" s="99"/>
      <c r="X135" s="264"/>
      <c r="Y135" s="277"/>
      <c r="Z135" s="187"/>
      <c r="AA135" s="6301"/>
      <c r="AB135" s="139"/>
      <c r="AC135" s="139"/>
      <c r="AD135" s="139"/>
      <c r="AE135" s="139"/>
      <c r="AF135" s="139"/>
      <c r="AG135" s="139"/>
      <c r="AH135" s="139"/>
      <c r="AI135" s="139"/>
      <c r="AJ135" s="139"/>
      <c r="AK135" s="139"/>
      <c r="AL135" s="139"/>
      <c r="AM135" s="139"/>
      <c r="AN135" s="139"/>
      <c r="AO135" s="139"/>
      <c r="AP135" s="139"/>
      <c r="AQ135" s="139"/>
      <c r="AR135" s="139"/>
      <c r="AS135" s="139"/>
      <c r="AT135" s="139"/>
      <c r="AU135" s="139"/>
      <c r="AV135" s="139"/>
      <c r="AW135" s="139"/>
      <c r="AX135" s="139"/>
      <c r="AY135" s="139"/>
      <c r="AZ135" s="139"/>
      <c r="BA135" s="139"/>
      <c r="BB135" s="139"/>
      <c r="BC135" s="139"/>
      <c r="BD135" s="139"/>
      <c r="BE135" s="139"/>
      <c r="BF135" s="139"/>
      <c r="BG135" s="139"/>
      <c r="BH135" s="139"/>
    </row>
    <row r="136" spans="2:60" s="11" customFormat="1" ht="19.899999999999999" customHeight="1">
      <c r="B136" s="5590"/>
      <c r="C136" s="6179"/>
      <c r="D136" s="9598" t="s">
        <v>137</v>
      </c>
      <c r="E136" s="9600"/>
      <c r="F136" s="5731" t="s">
        <v>212</v>
      </c>
      <c r="G136" s="253"/>
      <c r="H136" s="6179"/>
      <c r="I136" s="9579" t="s">
        <v>138</v>
      </c>
      <c r="J136" s="9581"/>
      <c r="K136" s="132" t="s">
        <v>203</v>
      </c>
      <c r="L136" s="5964" t="s">
        <v>168</v>
      </c>
      <c r="M136" s="5965" t="s">
        <v>652</v>
      </c>
      <c r="N136" s="5965" t="s">
        <v>169</v>
      </c>
      <c r="O136" s="5965" t="s">
        <v>652</v>
      </c>
      <c r="P136" s="5978">
        <v>485.83300000000003</v>
      </c>
      <c r="Q136" s="1814"/>
      <c r="R136" s="2468"/>
      <c r="S136" s="276"/>
      <c r="T136" s="99"/>
      <c r="U136" s="138"/>
      <c r="V136" s="138"/>
      <c r="W136" s="99"/>
      <c r="X136" s="264"/>
      <c r="Y136" s="277"/>
      <c r="Z136" s="187"/>
      <c r="AA136" s="6301"/>
      <c r="AB136" s="139"/>
      <c r="AC136" s="139"/>
      <c r="AD136" s="139"/>
      <c r="AE136" s="139"/>
      <c r="AF136" s="139"/>
      <c r="AG136" s="139"/>
      <c r="AH136" s="139"/>
      <c r="AI136" s="139"/>
      <c r="AJ136" s="139"/>
      <c r="AK136" s="139"/>
      <c r="AL136" s="139"/>
      <c r="AM136" s="139"/>
      <c r="AN136" s="139"/>
      <c r="AO136" s="139"/>
      <c r="AP136" s="139"/>
      <c r="AQ136" s="139"/>
      <c r="AR136" s="139"/>
      <c r="AS136" s="139"/>
      <c r="AT136" s="139"/>
      <c r="AU136" s="139"/>
      <c r="AV136" s="139"/>
      <c r="AW136" s="139"/>
      <c r="AX136" s="139"/>
      <c r="AY136" s="139"/>
      <c r="AZ136" s="139"/>
      <c r="BA136" s="139"/>
      <c r="BB136" s="139"/>
      <c r="BC136" s="139"/>
      <c r="BD136" s="139"/>
      <c r="BE136" s="139"/>
      <c r="BF136" s="139"/>
      <c r="BG136" s="139"/>
      <c r="BH136" s="139"/>
    </row>
    <row r="137" spans="2:60" s="11" customFormat="1" ht="19.899999999999999" customHeight="1">
      <c r="B137" s="5590"/>
      <c r="C137" s="6179"/>
      <c r="D137" s="9598" t="s">
        <v>140</v>
      </c>
      <c r="E137" s="9600"/>
      <c r="F137" s="5731" t="s">
        <v>212</v>
      </c>
      <c r="G137" s="253"/>
      <c r="H137" s="6179"/>
      <c r="I137" s="9582" t="s">
        <v>141</v>
      </c>
      <c r="J137" s="9583"/>
      <c r="K137" s="132" t="s">
        <v>203</v>
      </c>
      <c r="L137" s="5925">
        <v>47205.912970129539</v>
      </c>
      <c r="M137" s="5926"/>
      <c r="N137" s="5926">
        <v>41523.917808913007</v>
      </c>
      <c r="O137" s="5926"/>
      <c r="P137" s="5926">
        <v>42829.669112924086</v>
      </c>
      <c r="Q137" s="2558"/>
      <c r="R137" s="2468"/>
      <c r="S137" s="276"/>
      <c r="T137" s="99"/>
      <c r="U137" s="138"/>
      <c r="V137" s="138"/>
      <c r="W137" s="99"/>
      <c r="X137" s="264"/>
      <c r="Y137" s="277"/>
      <c r="Z137" s="187"/>
      <c r="AA137" s="6301"/>
      <c r="AB137" s="139"/>
      <c r="AC137" s="139"/>
      <c r="AD137" s="139"/>
      <c r="AE137" s="139"/>
      <c r="AF137" s="139"/>
      <c r="AG137" s="139"/>
      <c r="AH137" s="139"/>
      <c r="AI137" s="139"/>
      <c r="AJ137" s="139"/>
      <c r="AK137" s="139"/>
      <c r="AL137" s="139"/>
      <c r="AM137" s="139"/>
      <c r="AN137" s="139"/>
      <c r="AO137" s="139"/>
      <c r="AP137" s="139"/>
      <c r="AQ137" s="139"/>
      <c r="AR137" s="139"/>
      <c r="AS137" s="139"/>
      <c r="AT137" s="139"/>
      <c r="AU137" s="139"/>
      <c r="AV137" s="139"/>
      <c r="AW137" s="139"/>
      <c r="AX137" s="139"/>
      <c r="AY137" s="139"/>
      <c r="AZ137" s="139"/>
      <c r="BA137" s="139"/>
      <c r="BB137" s="139"/>
      <c r="BC137" s="139"/>
      <c r="BD137" s="139"/>
      <c r="BE137" s="139"/>
      <c r="BF137" s="139"/>
      <c r="BG137" s="139"/>
      <c r="BH137" s="139"/>
    </row>
    <row r="138" spans="2:60" s="11" customFormat="1" ht="19.899999999999999" customHeight="1">
      <c r="B138" s="5590"/>
      <c r="C138" s="6179"/>
      <c r="D138" s="9598" t="s">
        <v>143</v>
      </c>
      <c r="E138" s="9600"/>
      <c r="F138" s="5731" t="s">
        <v>212</v>
      </c>
      <c r="G138" s="253"/>
      <c r="H138" s="6179"/>
      <c r="I138" s="9582" t="s">
        <v>144</v>
      </c>
      <c r="J138" s="9583"/>
      <c r="K138" s="132" t="s">
        <v>203</v>
      </c>
      <c r="L138" s="5592"/>
      <c r="M138" s="5948"/>
      <c r="N138" s="5948"/>
      <c r="O138" s="5948"/>
      <c r="P138" s="5948"/>
      <c r="Q138" s="5948"/>
      <c r="R138" s="2468"/>
      <c r="S138" s="276"/>
      <c r="T138" s="99"/>
      <c r="U138" s="138"/>
      <c r="V138" s="138"/>
      <c r="W138" s="99"/>
      <c r="X138" s="264"/>
      <c r="Y138" s="277"/>
      <c r="Z138" s="187"/>
      <c r="AA138" s="6301"/>
      <c r="AB138" s="139"/>
      <c r="AC138" s="139"/>
      <c r="AD138" s="139"/>
      <c r="AE138" s="139"/>
      <c r="AF138" s="139"/>
      <c r="AG138" s="139"/>
      <c r="AH138" s="139"/>
      <c r="AI138" s="139"/>
      <c r="AJ138" s="139"/>
      <c r="AK138" s="139"/>
      <c r="AL138" s="139"/>
      <c r="AM138" s="139"/>
      <c r="AN138" s="139"/>
      <c r="AO138" s="139"/>
      <c r="AP138" s="139"/>
      <c r="AQ138" s="139"/>
      <c r="AR138" s="139"/>
      <c r="AS138" s="139"/>
      <c r="AT138" s="139"/>
      <c r="AU138" s="139"/>
      <c r="AV138" s="139"/>
      <c r="AW138" s="139"/>
      <c r="AX138" s="139"/>
      <c r="AY138" s="139"/>
      <c r="AZ138" s="139"/>
      <c r="BA138" s="139"/>
      <c r="BB138" s="139"/>
      <c r="BC138" s="139"/>
      <c r="BD138" s="139"/>
      <c r="BE138" s="139"/>
      <c r="BF138" s="139"/>
      <c r="BG138" s="139"/>
      <c r="BH138" s="139"/>
    </row>
    <row r="139" spans="2:60" s="11" customFormat="1" ht="19.899999999999999" customHeight="1">
      <c r="B139" s="5590"/>
      <c r="C139" s="6179"/>
      <c r="D139" s="9598" t="s">
        <v>631</v>
      </c>
      <c r="E139" s="9600"/>
      <c r="F139" s="5731" t="s">
        <v>212</v>
      </c>
      <c r="G139" s="253"/>
      <c r="H139" s="6179"/>
      <c r="I139" s="9582" t="s">
        <v>147</v>
      </c>
      <c r="J139" s="9583"/>
      <c r="K139" s="132" t="s">
        <v>203</v>
      </c>
      <c r="L139" s="6029" t="s">
        <v>168</v>
      </c>
      <c r="M139" s="6080" t="s">
        <v>641</v>
      </c>
      <c r="N139" s="6080" t="s">
        <v>169</v>
      </c>
      <c r="O139" s="6080" t="s">
        <v>641</v>
      </c>
      <c r="P139" s="6080" t="s">
        <v>169</v>
      </c>
      <c r="Q139" s="6080" t="s">
        <v>641</v>
      </c>
      <c r="R139" s="2468"/>
      <c r="S139" s="276"/>
      <c r="T139" s="99"/>
      <c r="U139" s="138"/>
      <c r="V139" s="138"/>
      <c r="W139" s="99"/>
      <c r="X139" s="264"/>
      <c r="Y139" s="277"/>
      <c r="Z139" s="187"/>
      <c r="AA139" s="6301"/>
      <c r="AB139" s="139"/>
      <c r="AC139" s="139"/>
      <c r="AD139" s="139"/>
      <c r="AE139" s="139"/>
      <c r="AF139" s="139"/>
      <c r="AG139" s="139"/>
      <c r="AH139" s="139"/>
      <c r="AI139" s="139"/>
      <c r="AJ139" s="139"/>
      <c r="AK139" s="139"/>
      <c r="AL139" s="139"/>
      <c r="AM139" s="139"/>
      <c r="AN139" s="139"/>
      <c r="AO139" s="139"/>
      <c r="AP139" s="139"/>
      <c r="AQ139" s="139"/>
      <c r="AR139" s="139"/>
      <c r="AS139" s="139"/>
      <c r="AT139" s="139"/>
      <c r="AU139" s="139"/>
      <c r="AV139" s="139"/>
      <c r="AW139" s="139"/>
      <c r="AX139" s="139"/>
      <c r="AY139" s="139"/>
      <c r="AZ139" s="139"/>
      <c r="BA139" s="139"/>
      <c r="BB139" s="139"/>
      <c r="BC139" s="139"/>
      <c r="BD139" s="139"/>
      <c r="BE139" s="139"/>
      <c r="BF139" s="139"/>
      <c r="BG139" s="139"/>
      <c r="BH139" s="139"/>
    </row>
    <row r="140" spans="2:60" s="11" customFormat="1" ht="19.899999999999999" customHeight="1">
      <c r="B140" s="5590"/>
      <c r="C140" s="6179"/>
      <c r="D140" s="9598" t="s">
        <v>633</v>
      </c>
      <c r="E140" s="9600"/>
      <c r="F140" s="5731" t="s">
        <v>212</v>
      </c>
      <c r="G140" s="253"/>
      <c r="H140" s="6179"/>
      <c r="I140" s="9582" t="s">
        <v>150</v>
      </c>
      <c r="J140" s="9583"/>
      <c r="K140" s="132" t="s">
        <v>203</v>
      </c>
      <c r="L140" s="6029" t="s">
        <v>168</v>
      </c>
      <c r="M140" s="6080" t="s">
        <v>641</v>
      </c>
      <c r="N140" s="6080" t="s">
        <v>169</v>
      </c>
      <c r="O140" s="6080" t="s">
        <v>641</v>
      </c>
      <c r="P140" s="6080" t="s">
        <v>169</v>
      </c>
      <c r="Q140" s="6080" t="s">
        <v>641</v>
      </c>
      <c r="R140" s="2468"/>
      <c r="S140" s="276"/>
      <c r="T140" s="99"/>
      <c r="U140" s="138"/>
      <c r="V140" s="138"/>
      <c r="W140" s="99"/>
      <c r="X140" s="264"/>
      <c r="Y140" s="277"/>
      <c r="Z140" s="187"/>
      <c r="AA140" s="6301"/>
      <c r="AB140" s="139"/>
      <c r="AC140" s="139"/>
      <c r="AD140" s="139"/>
      <c r="AE140" s="139"/>
      <c r="AF140" s="139"/>
      <c r="AG140" s="139"/>
      <c r="AH140" s="139"/>
      <c r="AI140" s="139"/>
      <c r="AJ140" s="139"/>
      <c r="AK140" s="139"/>
      <c r="AL140" s="139"/>
      <c r="AM140" s="139"/>
      <c r="AN140" s="139"/>
      <c r="AO140" s="139"/>
      <c r="AP140" s="139"/>
      <c r="AQ140" s="139"/>
      <c r="AR140" s="139"/>
      <c r="AS140" s="139"/>
      <c r="AT140" s="139"/>
      <c r="AU140" s="139"/>
      <c r="AV140" s="139"/>
      <c r="AW140" s="139"/>
      <c r="AX140" s="139"/>
      <c r="AY140" s="139"/>
      <c r="AZ140" s="139"/>
      <c r="BA140" s="139"/>
      <c r="BB140" s="139"/>
      <c r="BC140" s="139"/>
      <c r="BD140" s="139"/>
      <c r="BE140" s="139"/>
      <c r="BF140" s="139"/>
      <c r="BG140" s="139"/>
      <c r="BH140" s="139"/>
    </row>
    <row r="141" spans="2:60" s="11" customFormat="1" ht="20.100000000000001" customHeight="1">
      <c r="B141" s="1360"/>
      <c r="C141" s="9596" t="s">
        <v>223</v>
      </c>
      <c r="D141" s="9597"/>
      <c r="E141" s="9592"/>
      <c r="F141" s="280" t="s">
        <v>653</v>
      </c>
      <c r="G141" s="253"/>
      <c r="H141" s="9591" t="s">
        <v>224</v>
      </c>
      <c r="I141" s="9630"/>
      <c r="J141" s="9592"/>
      <c r="K141" s="6153" t="s">
        <v>225</v>
      </c>
      <c r="L141" s="5653" t="str">
        <f>IF(COUNTBLANK(L142:L147)&gt;0,"미취합법인有",SUM(L142:L147))</f>
        <v>미취합법인有</v>
      </c>
      <c r="M141" s="5945"/>
      <c r="N141" s="5945" t="str">
        <f>IF(COUNTBLANK(N142:N147)&gt;0,"미취합법인有",SUM(N142:N147))</f>
        <v>미취합법인有</v>
      </c>
      <c r="O141" s="5945"/>
      <c r="P141" s="5946" t="str">
        <f>IF(COUNTBLANK(P142:P147)&gt;0,"미취합법인有",SUM(P142:P147))</f>
        <v>미취합법인有</v>
      </c>
      <c r="Q141" s="5945"/>
      <c r="R141" s="2468" t="s">
        <v>226</v>
      </c>
      <c r="S141" s="276" t="s">
        <v>227</v>
      </c>
      <c r="T141" s="99" t="s">
        <v>206</v>
      </c>
      <c r="U141" s="138"/>
      <c r="V141" s="138"/>
      <c r="W141" s="99"/>
      <c r="X141" s="264" t="s">
        <v>228</v>
      </c>
      <c r="Y141" s="265"/>
      <c r="Z141" s="187"/>
      <c r="AA141" s="6301"/>
      <c r="AB141" s="139"/>
      <c r="AC141" s="139"/>
      <c r="AD141" s="139"/>
      <c r="AE141" s="139"/>
      <c r="AF141" s="139"/>
      <c r="AG141" s="139"/>
      <c r="AH141" s="139"/>
      <c r="AI141" s="139"/>
      <c r="AJ141" s="139"/>
      <c r="AK141" s="139"/>
      <c r="AL141" s="139"/>
      <c r="AM141" s="139"/>
      <c r="AN141" s="139"/>
      <c r="AO141" s="139"/>
      <c r="AP141" s="139"/>
      <c r="AQ141" s="139"/>
      <c r="AR141" s="139"/>
      <c r="AS141" s="139"/>
      <c r="AT141" s="139"/>
      <c r="AU141" s="139"/>
      <c r="AV141" s="139"/>
      <c r="AW141" s="139"/>
      <c r="AX141" s="139"/>
      <c r="AY141" s="139"/>
      <c r="AZ141" s="139"/>
      <c r="BA141" s="139"/>
      <c r="BB141" s="139"/>
      <c r="BC141" s="139"/>
      <c r="BD141" s="139"/>
      <c r="BE141" s="139"/>
      <c r="BF141" s="139"/>
      <c r="BG141" s="139"/>
      <c r="BH141" s="139"/>
    </row>
    <row r="142" spans="2:60" s="11" customFormat="1" ht="19.899999999999999" customHeight="1">
      <c r="B142" s="5590"/>
      <c r="C142" s="9647" t="s">
        <v>134</v>
      </c>
      <c r="D142" s="9648"/>
      <c r="E142" s="9649"/>
      <c r="F142" s="280" t="s">
        <v>653</v>
      </c>
      <c r="G142" s="253"/>
      <c r="H142" s="9579" t="s">
        <v>135</v>
      </c>
      <c r="I142" s="9580"/>
      <c r="J142" s="9581"/>
      <c r="K142" s="6153" t="s">
        <v>225</v>
      </c>
      <c r="L142" s="5592">
        <v>18.48566550927687</v>
      </c>
      <c r="M142" s="5948"/>
      <c r="N142" s="5948">
        <v>10.107544016314446</v>
      </c>
      <c r="O142" s="5948"/>
      <c r="P142" s="5978">
        <v>9.0257071403263307</v>
      </c>
      <c r="Q142" s="5948"/>
      <c r="R142" s="1033"/>
      <c r="S142" s="263"/>
      <c r="T142" s="99"/>
      <c r="U142" s="138"/>
      <c r="V142" s="138"/>
      <c r="W142" s="99"/>
      <c r="X142" s="264"/>
      <c r="Y142" s="277"/>
      <c r="Z142" s="187"/>
      <c r="AA142" s="6301"/>
      <c r="AB142" s="139"/>
      <c r="AC142" s="139"/>
      <c r="AD142" s="139"/>
      <c r="AE142" s="139"/>
      <c r="AF142" s="139"/>
      <c r="AG142" s="139"/>
      <c r="AH142" s="139"/>
      <c r="AI142" s="139"/>
      <c r="AJ142" s="139"/>
      <c r="AK142" s="139"/>
      <c r="AL142" s="139"/>
      <c r="AM142" s="139"/>
      <c r="AN142" s="139"/>
      <c r="AO142" s="139"/>
      <c r="AP142" s="139"/>
      <c r="AQ142" s="139"/>
      <c r="AR142" s="139"/>
      <c r="AS142" s="139"/>
      <c r="AT142" s="139"/>
      <c r="AU142" s="139"/>
      <c r="AV142" s="139"/>
      <c r="AW142" s="139"/>
      <c r="AX142" s="139"/>
      <c r="AY142" s="139"/>
      <c r="AZ142" s="139"/>
      <c r="BA142" s="139"/>
      <c r="BB142" s="139"/>
      <c r="BC142" s="139"/>
      <c r="BD142" s="139"/>
      <c r="BE142" s="139"/>
      <c r="BF142" s="139"/>
      <c r="BG142" s="139"/>
      <c r="BH142" s="139"/>
    </row>
    <row r="143" spans="2:60" s="11" customFormat="1" ht="19.899999999999999" customHeight="1">
      <c r="B143" s="5590"/>
      <c r="C143" s="9647" t="s">
        <v>137</v>
      </c>
      <c r="D143" s="9648"/>
      <c r="E143" s="9649"/>
      <c r="F143" s="280" t="s">
        <v>653</v>
      </c>
      <c r="G143" s="253"/>
      <c r="H143" s="9579" t="s">
        <v>138</v>
      </c>
      <c r="I143" s="9580"/>
      <c r="J143" s="9581"/>
      <c r="K143" s="6153" t="s">
        <v>225</v>
      </c>
      <c r="L143" s="5592"/>
      <c r="M143" s="5948"/>
      <c r="N143" s="5948"/>
      <c r="O143" s="5948"/>
      <c r="P143" s="5948">
        <v>0.42750211685012707</v>
      </c>
      <c r="Q143" s="5948"/>
      <c r="R143" s="1033"/>
      <c r="S143" s="263"/>
      <c r="T143" s="99"/>
      <c r="U143" s="138"/>
      <c r="V143" s="138"/>
      <c r="W143" s="99"/>
      <c r="X143" s="264"/>
      <c r="Y143" s="277"/>
      <c r="Z143" s="187"/>
      <c r="AA143" s="6301"/>
      <c r="AB143" s="139"/>
      <c r="AC143" s="139"/>
      <c r="AD143" s="139"/>
      <c r="AE143" s="139"/>
      <c r="AF143" s="139"/>
      <c r="AG143" s="139"/>
      <c r="AH143" s="139"/>
      <c r="AI143" s="139"/>
      <c r="AJ143" s="139"/>
      <c r="AK143" s="139"/>
      <c r="AL143" s="139"/>
      <c r="AM143" s="139"/>
      <c r="AN143" s="139"/>
      <c r="AO143" s="139"/>
      <c r="AP143" s="139"/>
      <c r="AQ143" s="139"/>
      <c r="AR143" s="139"/>
      <c r="AS143" s="139"/>
      <c r="AT143" s="139"/>
      <c r="AU143" s="139"/>
      <c r="AV143" s="139"/>
      <c r="AW143" s="139"/>
      <c r="AX143" s="139"/>
      <c r="AY143" s="139"/>
      <c r="AZ143" s="139"/>
      <c r="BA143" s="139"/>
      <c r="BB143" s="139"/>
      <c r="BC143" s="139"/>
      <c r="BD143" s="139"/>
      <c r="BE143" s="139"/>
      <c r="BF143" s="139"/>
      <c r="BG143" s="139"/>
      <c r="BH143" s="139"/>
    </row>
    <row r="144" spans="2:60" s="11" customFormat="1" ht="19.899999999999999" customHeight="1">
      <c r="B144" s="5590"/>
      <c r="C144" s="9647" t="s">
        <v>140</v>
      </c>
      <c r="D144" s="9648"/>
      <c r="E144" s="9649"/>
      <c r="F144" s="280" t="s">
        <v>653</v>
      </c>
      <c r="G144" s="253"/>
      <c r="H144" s="9579" t="s">
        <v>141</v>
      </c>
      <c r="I144" s="9580"/>
      <c r="J144" s="9581"/>
      <c r="K144" s="6153" t="s">
        <v>225</v>
      </c>
      <c r="L144" s="5592">
        <v>41.740381297781852</v>
      </c>
      <c r="M144" s="5948"/>
      <c r="N144" s="5948">
        <v>55.378520092735627</v>
      </c>
      <c r="O144" s="5948"/>
      <c r="P144" s="5948">
        <v>31.43343024150273</v>
      </c>
      <c r="Q144" s="5948"/>
      <c r="R144" s="1033"/>
      <c r="S144" s="263"/>
      <c r="T144" s="99"/>
      <c r="U144" s="138"/>
      <c r="V144" s="138"/>
      <c r="W144" s="99"/>
      <c r="X144" s="264"/>
      <c r="Y144" s="277"/>
      <c r="Z144" s="187"/>
      <c r="AA144" s="6301"/>
      <c r="AB144" s="139"/>
      <c r="AC144" s="139"/>
      <c r="AD144" s="139"/>
      <c r="AE144" s="139"/>
      <c r="AF144" s="139"/>
      <c r="AG144" s="139"/>
      <c r="AH144" s="139"/>
      <c r="AI144" s="139"/>
      <c r="AJ144" s="139"/>
      <c r="AK144" s="139"/>
      <c r="AL144" s="139"/>
      <c r="AM144" s="139"/>
      <c r="AN144" s="139"/>
      <c r="AO144" s="139"/>
      <c r="AP144" s="139"/>
      <c r="AQ144" s="139"/>
      <c r="AR144" s="139"/>
      <c r="AS144" s="139"/>
      <c r="AT144" s="139"/>
      <c r="AU144" s="139"/>
      <c r="AV144" s="139"/>
      <c r="AW144" s="139"/>
      <c r="AX144" s="139"/>
      <c r="AY144" s="139"/>
      <c r="AZ144" s="139"/>
      <c r="BA144" s="139"/>
      <c r="BB144" s="139"/>
      <c r="BC144" s="139"/>
      <c r="BD144" s="139"/>
      <c r="BE144" s="139"/>
      <c r="BF144" s="139"/>
      <c r="BG144" s="139"/>
      <c r="BH144" s="139"/>
    </row>
    <row r="145" spans="2:60" s="11" customFormat="1" ht="19.899999999999999" customHeight="1">
      <c r="B145" s="5590"/>
      <c r="C145" s="9647" t="s">
        <v>143</v>
      </c>
      <c r="D145" s="9648"/>
      <c r="E145" s="9649"/>
      <c r="F145" s="280" t="s">
        <v>653</v>
      </c>
      <c r="G145" s="253"/>
      <c r="H145" s="9579" t="s">
        <v>144</v>
      </c>
      <c r="I145" s="9580"/>
      <c r="J145" s="9581"/>
      <c r="K145" s="6153" t="s">
        <v>225</v>
      </c>
      <c r="L145" s="5592"/>
      <c r="M145" s="5948"/>
      <c r="N145" s="5948"/>
      <c r="O145" s="5948"/>
      <c r="P145" s="5948"/>
      <c r="Q145" s="5948"/>
      <c r="R145" s="1033"/>
      <c r="S145" s="263"/>
      <c r="T145" s="99"/>
      <c r="U145" s="138"/>
      <c r="V145" s="138"/>
      <c r="W145" s="99"/>
      <c r="X145" s="264"/>
      <c r="Y145" s="277"/>
      <c r="Z145" s="187"/>
      <c r="AA145" s="6301"/>
      <c r="AB145" s="139"/>
      <c r="AC145" s="139"/>
      <c r="AD145" s="139"/>
      <c r="AE145" s="139"/>
      <c r="AF145" s="139"/>
      <c r="AG145" s="139"/>
      <c r="AH145" s="139"/>
      <c r="AI145" s="139"/>
      <c r="AJ145" s="139"/>
      <c r="AK145" s="139"/>
      <c r="AL145" s="139"/>
      <c r="AM145" s="139"/>
      <c r="AN145" s="139"/>
      <c r="AO145" s="139"/>
      <c r="AP145" s="139"/>
      <c r="AQ145" s="139"/>
      <c r="AR145" s="139"/>
      <c r="AS145" s="139"/>
      <c r="AT145" s="139"/>
      <c r="AU145" s="139"/>
      <c r="AV145" s="139"/>
      <c r="AW145" s="139"/>
      <c r="AX145" s="139"/>
      <c r="AY145" s="139"/>
      <c r="AZ145" s="139"/>
      <c r="BA145" s="139"/>
      <c r="BB145" s="139"/>
      <c r="BC145" s="139"/>
      <c r="BD145" s="139"/>
      <c r="BE145" s="139"/>
      <c r="BF145" s="139"/>
      <c r="BG145" s="139"/>
      <c r="BH145" s="139"/>
    </row>
    <row r="146" spans="2:60" s="11" customFormat="1" ht="19.899999999999999" customHeight="1">
      <c r="B146" s="5590"/>
      <c r="C146" s="9647" t="s">
        <v>631</v>
      </c>
      <c r="D146" s="9648"/>
      <c r="E146" s="9649"/>
      <c r="F146" s="280" t="s">
        <v>653</v>
      </c>
      <c r="G146" s="253"/>
      <c r="H146" s="9579" t="s">
        <v>147</v>
      </c>
      <c r="I146" s="9580"/>
      <c r="J146" s="9581"/>
      <c r="K146" s="6153" t="s">
        <v>225</v>
      </c>
      <c r="L146" s="5592" t="s">
        <v>169</v>
      </c>
      <c r="M146" s="5948"/>
      <c r="N146" s="5948" t="s">
        <v>169</v>
      </c>
      <c r="O146" s="5948"/>
      <c r="P146" s="5948" t="s">
        <v>169</v>
      </c>
      <c r="Q146" s="5948"/>
      <c r="R146" s="1033"/>
      <c r="S146" s="263"/>
      <c r="T146" s="99"/>
      <c r="U146" s="138"/>
      <c r="V146" s="138"/>
      <c r="W146" s="99"/>
      <c r="X146" s="264"/>
      <c r="Y146" s="277"/>
      <c r="Z146" s="187"/>
      <c r="AA146" s="6301"/>
      <c r="AB146" s="139"/>
      <c r="AC146" s="139"/>
      <c r="AD146" s="139"/>
      <c r="AE146" s="139"/>
      <c r="AF146" s="139"/>
      <c r="AG146" s="139"/>
      <c r="AH146" s="139"/>
      <c r="AI146" s="139"/>
      <c r="AJ146" s="139"/>
      <c r="AK146" s="139"/>
      <c r="AL146" s="139"/>
      <c r="AM146" s="139"/>
      <c r="AN146" s="139"/>
      <c r="AO146" s="139"/>
      <c r="AP146" s="139"/>
      <c r="AQ146" s="139"/>
      <c r="AR146" s="139"/>
      <c r="AS146" s="139"/>
      <c r="AT146" s="139"/>
      <c r="AU146" s="139"/>
      <c r="AV146" s="139"/>
      <c r="AW146" s="139"/>
      <c r="AX146" s="139"/>
      <c r="AY146" s="139"/>
      <c r="AZ146" s="139"/>
      <c r="BA146" s="139"/>
      <c r="BB146" s="139"/>
      <c r="BC146" s="139"/>
      <c r="BD146" s="139"/>
      <c r="BE146" s="139"/>
      <c r="BF146" s="139"/>
      <c r="BG146" s="139"/>
      <c r="BH146" s="139"/>
    </row>
    <row r="147" spans="2:60" s="11" customFormat="1" ht="19.899999999999999" customHeight="1">
      <c r="B147" s="5590"/>
      <c r="C147" s="9647" t="s">
        <v>633</v>
      </c>
      <c r="D147" s="9648"/>
      <c r="E147" s="9649"/>
      <c r="F147" s="280" t="s">
        <v>653</v>
      </c>
      <c r="G147" s="253"/>
      <c r="H147" s="9579" t="s">
        <v>150</v>
      </c>
      <c r="I147" s="9580"/>
      <c r="J147" s="9581"/>
      <c r="K147" s="6153" t="s">
        <v>225</v>
      </c>
      <c r="L147" s="5592" t="s">
        <v>169</v>
      </c>
      <c r="M147" s="5948"/>
      <c r="N147" s="5948" t="s">
        <v>169</v>
      </c>
      <c r="O147" s="5948"/>
      <c r="P147" s="5948" t="s">
        <v>169</v>
      </c>
      <c r="Q147" s="5948"/>
      <c r="R147" s="1033"/>
      <c r="S147" s="263"/>
      <c r="T147" s="99"/>
      <c r="U147" s="138"/>
      <c r="V147" s="138"/>
      <c r="W147" s="99"/>
      <c r="X147" s="264"/>
      <c r="Y147" s="277"/>
      <c r="Z147" s="187"/>
      <c r="AA147" s="6301"/>
      <c r="AB147" s="139"/>
      <c r="AC147" s="139"/>
      <c r="AD147" s="139"/>
      <c r="AE147" s="139"/>
      <c r="AF147" s="139"/>
      <c r="AG147" s="139"/>
      <c r="AH147" s="139"/>
      <c r="AI147" s="139"/>
      <c r="AJ147" s="139"/>
      <c r="AK147" s="139"/>
      <c r="AL147" s="139"/>
      <c r="AM147" s="139"/>
      <c r="AN147" s="139"/>
      <c r="AO147" s="139"/>
      <c r="AP147" s="139"/>
      <c r="AQ147" s="139"/>
      <c r="AR147" s="139"/>
      <c r="AS147" s="139"/>
      <c r="AT147" s="139"/>
      <c r="AU147" s="139"/>
      <c r="AV147" s="139"/>
      <c r="AW147" s="139"/>
      <c r="AX147" s="139"/>
      <c r="AY147" s="139"/>
      <c r="AZ147" s="139"/>
      <c r="BA147" s="139"/>
      <c r="BB147" s="139"/>
      <c r="BC147" s="139"/>
      <c r="BD147" s="139"/>
      <c r="BE147" s="139"/>
      <c r="BF147" s="139"/>
      <c r="BG147" s="139"/>
      <c r="BH147" s="139"/>
    </row>
    <row r="148" spans="2:60" s="11" customFormat="1" ht="20.100000000000001" customHeight="1">
      <c r="B148" s="1360"/>
      <c r="C148" s="6180"/>
      <c r="D148" s="9586" t="s">
        <v>230</v>
      </c>
      <c r="E148" s="9588"/>
      <c r="F148" s="285" t="s">
        <v>212</v>
      </c>
      <c r="G148" s="286"/>
      <c r="H148" s="6154"/>
      <c r="I148" s="9586" t="s">
        <v>231</v>
      </c>
      <c r="J148" s="9588"/>
      <c r="K148" s="105" t="s">
        <v>212</v>
      </c>
      <c r="L148" s="5653" t="str">
        <f>IF(COUNTBLANK(L149:L154)&gt;0,"미취합법인有",SUM(L149:L154))</f>
        <v>미취합법인有</v>
      </c>
      <c r="M148" s="5945"/>
      <c r="N148" s="5945" t="str">
        <f>IF(COUNTBLANK(N149:N154)&gt;0,"미취합법인有",SUM(N149:N154))</f>
        <v>미취합법인有</v>
      </c>
      <c r="O148" s="5945"/>
      <c r="P148" s="5946" t="str">
        <f>IF(COUNTBLANK(P149:P154)&gt;0,"미취합법인有",SUM(P149:P154))</f>
        <v>미취합법인有</v>
      </c>
      <c r="Q148" s="5945"/>
      <c r="R148" s="2468"/>
      <c r="S148" s="276"/>
      <c r="T148" s="99" t="s">
        <v>206</v>
      </c>
      <c r="U148" s="138"/>
      <c r="V148" s="138"/>
      <c r="W148" s="99"/>
      <c r="X148" s="264" t="s">
        <v>228</v>
      </c>
      <c r="Y148" s="265"/>
      <c r="Z148" s="187"/>
      <c r="AA148" s="6301"/>
      <c r="AB148" s="139"/>
      <c r="AC148" s="139"/>
      <c r="AD148" s="139"/>
      <c r="AE148" s="139"/>
      <c r="AF148" s="139"/>
      <c r="AG148" s="139"/>
      <c r="AH148" s="139"/>
      <c r="AI148" s="139"/>
      <c r="AJ148" s="139"/>
      <c r="AK148" s="139"/>
      <c r="AL148" s="139"/>
      <c r="AM148" s="139"/>
      <c r="AN148" s="139"/>
      <c r="AO148" s="139"/>
      <c r="AP148" s="139"/>
      <c r="AQ148" s="139"/>
      <c r="AR148" s="139"/>
      <c r="AS148" s="139"/>
      <c r="AT148" s="139"/>
      <c r="AU148" s="139"/>
      <c r="AV148" s="139"/>
      <c r="AW148" s="139"/>
      <c r="AX148" s="139"/>
      <c r="AY148" s="139"/>
      <c r="AZ148" s="139"/>
      <c r="BA148" s="139"/>
      <c r="BB148" s="139"/>
      <c r="BC148" s="139"/>
      <c r="BD148" s="139"/>
      <c r="BE148" s="139"/>
      <c r="BF148" s="139"/>
      <c r="BG148" s="139"/>
      <c r="BH148" s="139"/>
    </row>
    <row r="149" spans="2:60" s="11" customFormat="1" ht="19.899999999999999" customHeight="1">
      <c r="B149" s="5590"/>
      <c r="C149" s="6181"/>
      <c r="D149" s="9598" t="s">
        <v>134</v>
      </c>
      <c r="E149" s="9600"/>
      <c r="F149" s="674" t="s">
        <v>212</v>
      </c>
      <c r="G149" s="253"/>
      <c r="H149" s="6179"/>
      <c r="I149" s="9627" t="s">
        <v>135</v>
      </c>
      <c r="J149" s="9629"/>
      <c r="K149" s="105" t="s">
        <v>212</v>
      </c>
      <c r="L149" s="5839">
        <v>60746.3</v>
      </c>
      <c r="M149" s="6056">
        <v>18.485668552370111</v>
      </c>
      <c r="N149" s="6056">
        <v>71421.22</v>
      </c>
      <c r="O149" s="6079" t="s">
        <v>650</v>
      </c>
      <c r="P149" s="5978">
        <v>69798.14</v>
      </c>
      <c r="Q149" s="6079" t="s">
        <v>651</v>
      </c>
      <c r="R149" s="2468"/>
      <c r="S149" s="276"/>
      <c r="T149" s="99"/>
      <c r="U149" s="138"/>
      <c r="V149" s="138"/>
      <c r="W149" s="99"/>
      <c r="X149" s="264"/>
      <c r="Y149" s="277"/>
      <c r="Z149" s="187"/>
      <c r="AA149" s="6301"/>
      <c r="AB149" s="139"/>
      <c r="AC149" s="139"/>
      <c r="AD149" s="139"/>
      <c r="AE149" s="139"/>
      <c r="AF149" s="139"/>
      <c r="AG149" s="139"/>
      <c r="AH149" s="139"/>
      <c r="AI149" s="139"/>
      <c r="AJ149" s="139"/>
      <c r="AK149" s="139"/>
      <c r="AL149" s="139"/>
      <c r="AM149" s="139"/>
      <c r="AN149" s="139"/>
      <c r="AO149" s="139"/>
      <c r="AP149" s="139"/>
      <c r="AQ149" s="139"/>
      <c r="AR149" s="139"/>
      <c r="AS149" s="139"/>
      <c r="AT149" s="139"/>
      <c r="AU149" s="139"/>
      <c r="AV149" s="139"/>
      <c r="AW149" s="139"/>
      <c r="AX149" s="139"/>
      <c r="AY149" s="139"/>
      <c r="AZ149" s="139"/>
      <c r="BA149" s="139"/>
      <c r="BB149" s="139"/>
      <c r="BC149" s="139"/>
      <c r="BD149" s="139"/>
      <c r="BE149" s="139"/>
      <c r="BF149" s="139"/>
      <c r="BG149" s="139"/>
      <c r="BH149" s="139"/>
    </row>
    <row r="150" spans="2:60" s="11" customFormat="1" ht="19.899999999999999" customHeight="1">
      <c r="B150" s="5590"/>
      <c r="C150" s="6181"/>
      <c r="D150" s="9598" t="s">
        <v>137</v>
      </c>
      <c r="E150" s="9600"/>
      <c r="F150" s="674" t="s">
        <v>212</v>
      </c>
      <c r="G150" s="253"/>
      <c r="H150" s="6179"/>
      <c r="I150" s="9579" t="s">
        <v>138</v>
      </c>
      <c r="J150" s="9581"/>
      <c r="K150" s="105" t="s">
        <v>212</v>
      </c>
      <c r="L150" s="6029" t="s">
        <v>168</v>
      </c>
      <c r="M150" s="6080" t="s">
        <v>654</v>
      </c>
      <c r="N150" s="6080">
        <v>70</v>
      </c>
      <c r="O150" s="6080"/>
      <c r="P150" s="6080">
        <v>556.83400000000006</v>
      </c>
      <c r="Q150" s="6080"/>
      <c r="R150" s="2468"/>
      <c r="S150" s="276"/>
      <c r="T150" s="99"/>
      <c r="U150" s="138"/>
      <c r="V150" s="138"/>
      <c r="W150" s="99"/>
      <c r="X150" s="264"/>
      <c r="Y150" s="277"/>
      <c r="Z150" s="187"/>
      <c r="AA150" s="6301"/>
      <c r="AB150" s="139"/>
      <c r="AC150" s="139"/>
      <c r="AD150" s="139"/>
      <c r="AE150" s="139"/>
      <c r="AF150" s="139"/>
      <c r="AG150" s="139"/>
      <c r="AH150" s="139"/>
      <c r="AI150" s="139"/>
      <c r="AJ150" s="139"/>
      <c r="AK150" s="139"/>
      <c r="AL150" s="139"/>
      <c r="AM150" s="139"/>
      <c r="AN150" s="139"/>
      <c r="AO150" s="139"/>
      <c r="AP150" s="139"/>
      <c r="AQ150" s="139"/>
      <c r="AR150" s="139"/>
      <c r="AS150" s="139"/>
      <c r="AT150" s="139"/>
      <c r="AU150" s="139"/>
      <c r="AV150" s="139"/>
      <c r="AW150" s="139"/>
      <c r="AX150" s="139"/>
      <c r="AY150" s="139"/>
      <c r="AZ150" s="139"/>
      <c r="BA150" s="139"/>
      <c r="BB150" s="139"/>
      <c r="BC150" s="139"/>
      <c r="BD150" s="139"/>
      <c r="BE150" s="139"/>
      <c r="BF150" s="139"/>
      <c r="BG150" s="139"/>
      <c r="BH150" s="139"/>
    </row>
    <row r="151" spans="2:60" s="11" customFormat="1" ht="19.899999999999999" customHeight="1">
      <c r="B151" s="5590"/>
      <c r="C151" s="6181"/>
      <c r="D151" s="9598" t="s">
        <v>140</v>
      </c>
      <c r="E151" s="9600"/>
      <c r="F151" s="674" t="s">
        <v>212</v>
      </c>
      <c r="G151" s="253"/>
      <c r="H151" s="6179"/>
      <c r="I151" s="9582" t="s">
        <v>141</v>
      </c>
      <c r="J151" s="9583"/>
      <c r="K151" s="105" t="s">
        <v>212</v>
      </c>
      <c r="L151" s="5324">
        <v>108986.20006197746</v>
      </c>
      <c r="M151" s="1932"/>
      <c r="N151" s="1932">
        <v>92402.921378387007</v>
      </c>
      <c r="O151" s="1932"/>
      <c r="P151" s="5978">
        <v>93808.071312774584</v>
      </c>
      <c r="Q151" s="6080"/>
      <c r="R151" s="2468"/>
      <c r="S151" s="276"/>
      <c r="T151" s="99"/>
      <c r="U151" s="138"/>
      <c r="V151" s="138"/>
      <c r="W151" s="99"/>
      <c r="X151" s="264"/>
      <c r="Y151" s="277"/>
      <c r="Z151" s="187"/>
      <c r="AA151" s="6301"/>
      <c r="AB151" s="139"/>
      <c r="AC151" s="139"/>
      <c r="AD151" s="139"/>
      <c r="AE151" s="139"/>
      <c r="AF151" s="139"/>
      <c r="AG151" s="139"/>
      <c r="AH151" s="139"/>
      <c r="AI151" s="139"/>
      <c r="AJ151" s="139"/>
      <c r="AK151" s="139"/>
      <c r="AL151" s="139"/>
      <c r="AM151" s="139"/>
      <c r="AN151" s="139"/>
      <c r="AO151" s="139"/>
      <c r="AP151" s="139"/>
      <c r="AQ151" s="139"/>
      <c r="AR151" s="139"/>
      <c r="AS151" s="139"/>
      <c r="AT151" s="139"/>
      <c r="AU151" s="139"/>
      <c r="AV151" s="139"/>
      <c r="AW151" s="139"/>
      <c r="AX151" s="139"/>
      <c r="AY151" s="139"/>
      <c r="AZ151" s="139"/>
      <c r="BA151" s="139"/>
      <c r="BB151" s="139"/>
      <c r="BC151" s="139"/>
      <c r="BD151" s="139"/>
      <c r="BE151" s="139"/>
      <c r="BF151" s="139"/>
      <c r="BG151" s="139"/>
      <c r="BH151" s="139"/>
    </row>
    <row r="152" spans="2:60" s="11" customFormat="1" ht="19.899999999999999" customHeight="1">
      <c r="B152" s="5590"/>
      <c r="C152" s="6181"/>
      <c r="D152" s="9598" t="s">
        <v>143</v>
      </c>
      <c r="E152" s="9600"/>
      <c r="F152" s="674" t="s">
        <v>212</v>
      </c>
      <c r="G152" s="253"/>
      <c r="H152" s="6179"/>
      <c r="I152" s="9582" t="s">
        <v>144</v>
      </c>
      <c r="J152" s="9583"/>
      <c r="K152" s="105" t="s">
        <v>212</v>
      </c>
      <c r="L152" s="6029"/>
      <c r="M152" s="6080"/>
      <c r="N152" s="6080"/>
      <c r="O152" s="6080"/>
      <c r="P152" s="6080"/>
      <c r="Q152" s="6080"/>
      <c r="R152" s="2468"/>
      <c r="S152" s="276"/>
      <c r="T152" s="99"/>
      <c r="U152" s="138"/>
      <c r="V152" s="138"/>
      <c r="W152" s="99"/>
      <c r="X152" s="264"/>
      <c r="Y152" s="277"/>
      <c r="Z152" s="187"/>
      <c r="AA152" s="6301"/>
      <c r="AB152" s="139"/>
      <c r="AC152" s="139"/>
      <c r="AD152" s="139"/>
      <c r="AE152" s="139"/>
      <c r="AF152" s="139"/>
      <c r="AG152" s="139"/>
      <c r="AH152" s="139"/>
      <c r="AI152" s="139"/>
      <c r="AJ152" s="139"/>
      <c r="AK152" s="139"/>
      <c r="AL152" s="139"/>
      <c r="AM152" s="139"/>
      <c r="AN152" s="139"/>
      <c r="AO152" s="139"/>
      <c r="AP152" s="139"/>
      <c r="AQ152" s="139"/>
      <c r="AR152" s="139"/>
      <c r="AS152" s="139"/>
      <c r="AT152" s="139"/>
      <c r="AU152" s="139"/>
      <c r="AV152" s="139"/>
      <c r="AW152" s="139"/>
      <c r="AX152" s="139"/>
      <c r="AY152" s="139"/>
      <c r="AZ152" s="139"/>
      <c r="BA152" s="139"/>
      <c r="BB152" s="139"/>
      <c r="BC152" s="139"/>
      <c r="BD152" s="139"/>
      <c r="BE152" s="139"/>
      <c r="BF152" s="139"/>
      <c r="BG152" s="139"/>
      <c r="BH152" s="139"/>
    </row>
    <row r="153" spans="2:60" s="11" customFormat="1" ht="19.899999999999999" customHeight="1">
      <c r="B153" s="5590"/>
      <c r="C153" s="6181"/>
      <c r="D153" s="9598" t="s">
        <v>631</v>
      </c>
      <c r="E153" s="9600"/>
      <c r="F153" s="674" t="s">
        <v>212</v>
      </c>
      <c r="G153" s="253"/>
      <c r="H153" s="6179"/>
      <c r="I153" s="9582" t="s">
        <v>147</v>
      </c>
      <c r="J153" s="9583"/>
      <c r="K153" s="105" t="s">
        <v>212</v>
      </c>
      <c r="L153" s="6029" t="s">
        <v>168</v>
      </c>
      <c r="M153" s="6080" t="s">
        <v>641</v>
      </c>
      <c r="N153" s="6080" t="s">
        <v>169</v>
      </c>
      <c r="O153" s="6080" t="s">
        <v>641</v>
      </c>
      <c r="P153" s="6080" t="s">
        <v>169</v>
      </c>
      <c r="Q153" s="6080" t="s">
        <v>641</v>
      </c>
      <c r="R153" s="2468"/>
      <c r="S153" s="276"/>
      <c r="T153" s="99"/>
      <c r="U153" s="138"/>
      <c r="V153" s="138"/>
      <c r="W153" s="99"/>
      <c r="X153" s="264"/>
      <c r="Y153" s="277"/>
      <c r="Z153" s="187"/>
      <c r="AA153" s="6301"/>
      <c r="AB153" s="139"/>
      <c r="AC153" s="139"/>
      <c r="AD153" s="139"/>
      <c r="AE153" s="139"/>
      <c r="AF153" s="139"/>
      <c r="AG153" s="139"/>
      <c r="AH153" s="139"/>
      <c r="AI153" s="139"/>
      <c r="AJ153" s="139"/>
      <c r="AK153" s="139"/>
      <c r="AL153" s="139"/>
      <c r="AM153" s="139"/>
      <c r="AN153" s="139"/>
      <c r="AO153" s="139"/>
      <c r="AP153" s="139"/>
      <c r="AQ153" s="139"/>
      <c r="AR153" s="139"/>
      <c r="AS153" s="139"/>
      <c r="AT153" s="139"/>
      <c r="AU153" s="139"/>
      <c r="AV153" s="139"/>
      <c r="AW153" s="139"/>
      <c r="AX153" s="139"/>
      <c r="AY153" s="139"/>
      <c r="AZ153" s="139"/>
      <c r="BA153" s="139"/>
      <c r="BB153" s="139"/>
      <c r="BC153" s="139"/>
      <c r="BD153" s="139"/>
      <c r="BE153" s="139"/>
      <c r="BF153" s="139"/>
      <c r="BG153" s="139"/>
      <c r="BH153" s="139"/>
    </row>
    <row r="154" spans="2:60" s="11" customFormat="1" ht="19.899999999999999" customHeight="1">
      <c r="B154" s="5590"/>
      <c r="C154" s="6181"/>
      <c r="D154" s="9598" t="s">
        <v>633</v>
      </c>
      <c r="E154" s="9600"/>
      <c r="F154" s="674" t="s">
        <v>212</v>
      </c>
      <c r="G154" s="253"/>
      <c r="H154" s="6179"/>
      <c r="I154" s="9582" t="s">
        <v>150</v>
      </c>
      <c r="J154" s="9583"/>
      <c r="K154" s="105" t="s">
        <v>212</v>
      </c>
      <c r="L154" s="6029" t="s">
        <v>168</v>
      </c>
      <c r="M154" s="6080" t="s">
        <v>641</v>
      </c>
      <c r="N154" s="6080" t="s">
        <v>169</v>
      </c>
      <c r="O154" s="6080" t="s">
        <v>641</v>
      </c>
      <c r="P154" s="6080" t="s">
        <v>169</v>
      </c>
      <c r="Q154" s="6080" t="s">
        <v>641</v>
      </c>
      <c r="R154" s="2468"/>
      <c r="S154" s="276"/>
      <c r="T154" s="99"/>
      <c r="U154" s="138"/>
      <c r="V154" s="138"/>
      <c r="W154" s="99"/>
      <c r="X154" s="264"/>
      <c r="Y154" s="277"/>
      <c r="Z154" s="187"/>
      <c r="AA154" s="6301"/>
      <c r="AB154" s="139"/>
      <c r="AC154" s="139"/>
      <c r="AD154" s="139"/>
      <c r="AE154" s="139"/>
      <c r="AF154" s="139"/>
      <c r="AG154" s="139"/>
      <c r="AH154" s="139"/>
      <c r="AI154" s="139"/>
      <c r="AJ154" s="139"/>
      <c r="AK154" s="139"/>
      <c r="AL154" s="139"/>
      <c r="AM154" s="139"/>
      <c r="AN154" s="139"/>
      <c r="AO154" s="139"/>
      <c r="AP154" s="139"/>
      <c r="AQ154" s="139"/>
      <c r="AR154" s="139"/>
      <c r="AS154" s="139"/>
      <c r="AT154" s="139"/>
      <c r="AU154" s="139"/>
      <c r="AV154" s="139"/>
      <c r="AW154" s="139"/>
      <c r="AX154" s="139"/>
      <c r="AY154" s="139"/>
      <c r="AZ154" s="139"/>
      <c r="BA154" s="139"/>
      <c r="BB154" s="139"/>
      <c r="BC154" s="139"/>
      <c r="BD154" s="139"/>
      <c r="BE154" s="139"/>
      <c r="BF154" s="139"/>
      <c r="BG154" s="139"/>
      <c r="BH154" s="139"/>
    </row>
    <row r="155" spans="2:60" s="11" customFormat="1" ht="20.100000000000001" customHeight="1">
      <c r="B155" s="1360"/>
      <c r="C155" s="1355"/>
      <c r="D155" s="9586" t="s">
        <v>232</v>
      </c>
      <c r="E155" s="9588"/>
      <c r="F155" s="295" t="s">
        <v>233</v>
      </c>
      <c r="G155" s="286"/>
      <c r="H155" s="6154"/>
      <c r="I155" s="9586" t="s">
        <v>234</v>
      </c>
      <c r="J155" s="9588"/>
      <c r="K155" s="280" t="s">
        <v>235</v>
      </c>
      <c r="L155" s="5653">
        <f>IF(COUNTBLANK(L156:L161)&gt;0,"미취합법인有",SUM(L156:L161))</f>
        <v>36879.518095269785</v>
      </c>
      <c r="M155" s="5945"/>
      <c r="N155" s="5945">
        <f>IF(COUNTBLANK(N156:N161)&gt;0,"미취합법인有",SUM(N156:N161))</f>
        <v>95395.743995601602</v>
      </c>
      <c r="O155" s="5945"/>
      <c r="P155" s="5946">
        <f>IF(COUNTBLANK(P156:P161)&gt;0,"미취합법인有",SUM(P156:P161))</f>
        <v>130478.57995664953</v>
      </c>
      <c r="Q155" s="5945"/>
      <c r="R155" s="2468"/>
      <c r="S155" s="276"/>
      <c r="T155" s="99" t="s">
        <v>37</v>
      </c>
      <c r="U155" s="138"/>
      <c r="V155" s="138"/>
      <c r="W155" s="99"/>
      <c r="X155" s="264" t="s">
        <v>228</v>
      </c>
      <c r="Y155" s="265"/>
      <c r="Z155" s="187"/>
      <c r="AA155" s="6301"/>
      <c r="AB155" s="139"/>
      <c r="AC155" s="139"/>
      <c r="AD155" s="139"/>
      <c r="AE155" s="139"/>
      <c r="AF155" s="139"/>
      <c r="AG155" s="139"/>
      <c r="AH155" s="139"/>
      <c r="AI155" s="139"/>
      <c r="AJ155" s="139"/>
      <c r="AK155" s="139"/>
      <c r="AL155" s="139"/>
      <c r="AM155" s="139"/>
      <c r="AN155" s="139"/>
      <c r="AO155" s="139"/>
      <c r="AP155" s="139"/>
      <c r="AQ155" s="139"/>
      <c r="AR155" s="139"/>
      <c r="AS155" s="139"/>
      <c r="AT155" s="139"/>
      <c r="AU155" s="139"/>
      <c r="AV155" s="139"/>
      <c r="AW155" s="139"/>
      <c r="AX155" s="139"/>
      <c r="AY155" s="139"/>
      <c r="AZ155" s="139"/>
      <c r="BA155" s="139"/>
      <c r="BB155" s="139"/>
      <c r="BC155" s="139"/>
      <c r="BD155" s="139"/>
      <c r="BE155" s="139"/>
      <c r="BF155" s="139"/>
      <c r="BG155" s="139"/>
      <c r="BH155" s="139"/>
    </row>
    <row r="156" spans="2:60" s="11" customFormat="1" ht="19.899999999999999" customHeight="1">
      <c r="B156" s="5590"/>
      <c r="C156" s="5598"/>
      <c r="D156" s="9598" t="s">
        <v>134</v>
      </c>
      <c r="E156" s="9600"/>
      <c r="F156" s="295" t="s">
        <v>233</v>
      </c>
      <c r="G156" s="253"/>
      <c r="H156" s="6179"/>
      <c r="I156" s="6133" t="s">
        <v>135</v>
      </c>
      <c r="J156" s="6134"/>
      <c r="K156" s="280" t="s">
        <v>235</v>
      </c>
      <c r="L156" s="5594">
        <v>3286.13</v>
      </c>
      <c r="M156" s="1814"/>
      <c r="N156" s="1814">
        <v>7066.13</v>
      </c>
      <c r="O156" s="1814"/>
      <c r="P156" s="6081">
        <v>7733.26</v>
      </c>
      <c r="Q156" s="1814"/>
      <c r="R156" s="2468"/>
      <c r="S156" s="276"/>
      <c r="T156" s="99"/>
      <c r="U156" s="138"/>
      <c r="V156" s="138"/>
      <c r="W156" s="99"/>
      <c r="X156" s="264"/>
      <c r="Y156" s="277"/>
      <c r="Z156" s="187"/>
      <c r="AA156" s="6301"/>
      <c r="AB156" s="139"/>
      <c r="AC156" s="139"/>
      <c r="AD156" s="139"/>
      <c r="AE156" s="139"/>
      <c r="AF156" s="139"/>
      <c r="AG156" s="139"/>
      <c r="AH156" s="139"/>
      <c r="AI156" s="139"/>
      <c r="AJ156" s="139"/>
      <c r="AK156" s="139"/>
      <c r="AL156" s="139"/>
      <c r="AM156" s="139"/>
      <c r="AN156" s="139"/>
      <c r="AO156" s="139"/>
      <c r="AP156" s="139"/>
      <c r="AQ156" s="139"/>
      <c r="AR156" s="139"/>
      <c r="AS156" s="139"/>
      <c r="AT156" s="139"/>
      <c r="AU156" s="139"/>
      <c r="AV156" s="139"/>
      <c r="AW156" s="139"/>
      <c r="AX156" s="139"/>
      <c r="AY156" s="139"/>
      <c r="AZ156" s="139"/>
      <c r="BA156" s="139"/>
      <c r="BB156" s="139"/>
      <c r="BC156" s="139"/>
      <c r="BD156" s="139"/>
      <c r="BE156" s="139"/>
      <c r="BF156" s="139"/>
      <c r="BG156" s="139"/>
      <c r="BH156" s="139"/>
    </row>
    <row r="157" spans="2:60" s="11" customFormat="1" ht="19.899999999999999" customHeight="1">
      <c r="B157" s="5590"/>
      <c r="C157" s="5598"/>
      <c r="D157" s="9598" t="s">
        <v>137</v>
      </c>
      <c r="E157" s="9600"/>
      <c r="F157" s="295" t="s">
        <v>233</v>
      </c>
      <c r="G157" s="253"/>
      <c r="H157" s="6179"/>
      <c r="I157" s="9579" t="s">
        <v>138</v>
      </c>
      <c r="J157" s="9581"/>
      <c r="K157" s="280" t="s">
        <v>235</v>
      </c>
      <c r="L157" s="6490">
        <v>303</v>
      </c>
      <c r="M157" s="516"/>
      <c r="N157" s="6474">
        <v>1090</v>
      </c>
      <c r="O157" s="516"/>
      <c r="P157" s="6493">
        <v>1247</v>
      </c>
      <c r="Q157" s="6474" t="s">
        <v>655</v>
      </c>
      <c r="R157" s="2468"/>
      <c r="S157" s="276"/>
      <c r="T157" s="99"/>
      <c r="U157" s="138"/>
      <c r="V157" s="138"/>
      <c r="W157" s="99"/>
      <c r="X157" s="264"/>
      <c r="Y157" s="277"/>
      <c r="Z157" s="187"/>
      <c r="AA157" s="6301"/>
      <c r="AB157" s="139"/>
      <c r="AC157" s="139"/>
      <c r="AD157" s="139"/>
      <c r="AE157" s="139"/>
      <c r="AF157" s="139"/>
      <c r="AG157" s="139"/>
      <c r="AH157" s="139"/>
      <c r="AI157" s="139"/>
      <c r="AJ157" s="139"/>
      <c r="AK157" s="139"/>
      <c r="AL157" s="139"/>
      <c r="AM157" s="139"/>
      <c r="AN157" s="139"/>
      <c r="AO157" s="139"/>
      <c r="AP157" s="139"/>
      <c r="AQ157" s="139"/>
      <c r="AR157" s="139"/>
      <c r="AS157" s="139"/>
      <c r="AT157" s="139"/>
      <c r="AU157" s="139"/>
      <c r="AV157" s="139"/>
      <c r="AW157" s="139"/>
      <c r="AX157" s="139"/>
      <c r="AY157" s="139"/>
      <c r="AZ157" s="139"/>
      <c r="BA157" s="139"/>
      <c r="BB157" s="139"/>
      <c r="BC157" s="139"/>
      <c r="BD157" s="139"/>
      <c r="BE157" s="139"/>
      <c r="BF157" s="139"/>
      <c r="BG157" s="139"/>
      <c r="BH157" s="139"/>
    </row>
    <row r="158" spans="2:60" s="11" customFormat="1" ht="19.899999999999999" customHeight="1">
      <c r="B158" s="5590"/>
      <c r="C158" s="5598"/>
      <c r="D158" s="9598" t="s">
        <v>140</v>
      </c>
      <c r="E158" s="9600"/>
      <c r="F158" s="295" t="s">
        <v>233</v>
      </c>
      <c r="G158" s="253"/>
      <c r="H158" s="6179"/>
      <c r="I158" s="9582" t="s">
        <v>141</v>
      </c>
      <c r="J158" s="9583"/>
      <c r="K158" s="280" t="s">
        <v>235</v>
      </c>
      <c r="L158" s="2198">
        <v>2611.0494603404391</v>
      </c>
      <c r="M158" s="228"/>
      <c r="N158" s="228">
        <v>1668.5697130160061</v>
      </c>
      <c r="O158" s="100"/>
      <c r="P158" s="5977">
        <v>2984.3408941387597</v>
      </c>
      <c r="Q158" s="100"/>
      <c r="R158" s="2468"/>
      <c r="S158" s="276"/>
      <c r="T158" s="99"/>
      <c r="U158" s="138"/>
      <c r="V158" s="138"/>
      <c r="W158" s="99"/>
      <c r="X158" s="264"/>
      <c r="Y158" s="277"/>
      <c r="Z158" s="187"/>
      <c r="AA158" s="6301"/>
      <c r="AB158" s="139"/>
      <c r="AC158" s="139"/>
      <c r="AD158" s="139"/>
      <c r="AE158" s="139"/>
      <c r="AF158" s="139"/>
      <c r="AG158" s="139"/>
      <c r="AH158" s="139"/>
      <c r="AI158" s="139"/>
      <c r="AJ158" s="139"/>
      <c r="AK158" s="139"/>
      <c r="AL158" s="139"/>
      <c r="AM158" s="139"/>
      <c r="AN158" s="139"/>
      <c r="AO158" s="139"/>
      <c r="AP158" s="139"/>
      <c r="AQ158" s="139"/>
      <c r="AR158" s="139"/>
      <c r="AS158" s="139"/>
      <c r="AT158" s="139"/>
      <c r="AU158" s="139"/>
      <c r="AV158" s="139"/>
      <c r="AW158" s="139"/>
      <c r="AX158" s="139"/>
      <c r="AY158" s="139"/>
      <c r="AZ158" s="139"/>
      <c r="BA158" s="139"/>
      <c r="BB158" s="139"/>
      <c r="BC158" s="139"/>
      <c r="BD158" s="139"/>
      <c r="BE158" s="139"/>
      <c r="BF158" s="139"/>
      <c r="BG158" s="139"/>
      <c r="BH158" s="139"/>
    </row>
    <row r="159" spans="2:60" s="11" customFormat="1" ht="19.899999999999999" customHeight="1">
      <c r="B159" s="5590"/>
      <c r="C159" s="5598"/>
      <c r="D159" s="9598" t="s">
        <v>143</v>
      </c>
      <c r="E159" s="9600"/>
      <c r="F159" s="295" t="s">
        <v>233</v>
      </c>
      <c r="G159" s="253"/>
      <c r="H159" s="6179"/>
      <c r="I159" s="9582" t="s">
        <v>144</v>
      </c>
      <c r="J159" s="9583"/>
      <c r="K159" s="280" t="s">
        <v>235</v>
      </c>
      <c r="L159" s="2198">
        <v>399.33863492934103</v>
      </c>
      <c r="M159" s="228"/>
      <c r="N159" s="228">
        <v>1190.0442825855901</v>
      </c>
      <c r="O159" s="100"/>
      <c r="P159" s="5977">
        <v>1322.9790625107701</v>
      </c>
      <c r="Q159" s="100"/>
      <c r="R159" s="2468"/>
      <c r="S159" s="276"/>
      <c r="T159" s="99"/>
      <c r="U159" s="138"/>
      <c r="V159" s="138"/>
      <c r="W159" s="99"/>
      <c r="X159" s="264"/>
      <c r="Y159" s="277"/>
      <c r="Z159" s="187"/>
      <c r="AA159" s="6301"/>
      <c r="AB159" s="139"/>
      <c r="AC159" s="139"/>
      <c r="AD159" s="139"/>
      <c r="AE159" s="139"/>
      <c r="AF159" s="139"/>
      <c r="AG159" s="139"/>
      <c r="AH159" s="139"/>
      <c r="AI159" s="139"/>
      <c r="AJ159" s="139"/>
      <c r="AK159" s="139"/>
      <c r="AL159" s="139"/>
      <c r="AM159" s="139"/>
      <c r="AN159" s="139"/>
      <c r="AO159" s="139"/>
      <c r="AP159" s="139"/>
      <c r="AQ159" s="139"/>
      <c r="AR159" s="139"/>
      <c r="AS159" s="139"/>
      <c r="AT159" s="139"/>
      <c r="AU159" s="139"/>
      <c r="AV159" s="139"/>
      <c r="AW159" s="139"/>
      <c r="AX159" s="139"/>
      <c r="AY159" s="139"/>
      <c r="AZ159" s="139"/>
      <c r="BA159" s="139"/>
      <c r="BB159" s="139"/>
      <c r="BC159" s="139"/>
      <c r="BD159" s="139"/>
      <c r="BE159" s="139"/>
      <c r="BF159" s="139"/>
      <c r="BG159" s="139"/>
      <c r="BH159" s="139"/>
    </row>
    <row r="160" spans="2:60" s="11" customFormat="1" ht="19.899999999999999" customHeight="1">
      <c r="B160" s="5590"/>
      <c r="C160" s="5598"/>
      <c r="D160" s="9598" t="s">
        <v>631</v>
      </c>
      <c r="E160" s="9600"/>
      <c r="F160" s="295" t="s">
        <v>233</v>
      </c>
      <c r="G160" s="253"/>
      <c r="H160" s="6179"/>
      <c r="I160" s="9582" t="s">
        <v>147</v>
      </c>
      <c r="J160" s="9583"/>
      <c r="K160" s="280" t="s">
        <v>235</v>
      </c>
      <c r="L160" s="6082" t="s">
        <v>168</v>
      </c>
      <c r="M160" s="6081" t="s">
        <v>641</v>
      </c>
      <c r="N160" s="6081" t="s">
        <v>169</v>
      </c>
      <c r="O160" s="6081" t="s">
        <v>641</v>
      </c>
      <c r="P160" s="6081" t="s">
        <v>169</v>
      </c>
      <c r="Q160" s="6081" t="s">
        <v>641</v>
      </c>
      <c r="R160" s="2468"/>
      <c r="S160" s="276"/>
      <c r="T160" s="99"/>
      <c r="U160" s="138"/>
      <c r="V160" s="138"/>
      <c r="W160" s="99"/>
      <c r="X160" s="264"/>
      <c r="Y160" s="277"/>
      <c r="Z160" s="187"/>
      <c r="AA160" s="6301"/>
      <c r="AB160" s="139"/>
      <c r="AC160" s="139"/>
      <c r="AD160" s="139"/>
      <c r="AE160" s="139"/>
      <c r="AF160" s="139"/>
      <c r="AG160" s="139"/>
      <c r="AH160" s="139"/>
      <c r="AI160" s="139"/>
      <c r="AJ160" s="139"/>
      <c r="AK160" s="139"/>
      <c r="AL160" s="139"/>
      <c r="AM160" s="139"/>
      <c r="AN160" s="139"/>
      <c r="AO160" s="139"/>
      <c r="AP160" s="139"/>
      <c r="AQ160" s="139"/>
      <c r="AR160" s="139"/>
      <c r="AS160" s="139"/>
      <c r="AT160" s="139"/>
      <c r="AU160" s="139"/>
      <c r="AV160" s="139"/>
      <c r="AW160" s="139"/>
      <c r="AX160" s="139"/>
      <c r="AY160" s="139"/>
      <c r="AZ160" s="139"/>
      <c r="BA160" s="139"/>
      <c r="BB160" s="139"/>
      <c r="BC160" s="139"/>
      <c r="BD160" s="139"/>
      <c r="BE160" s="139"/>
      <c r="BF160" s="139"/>
      <c r="BG160" s="139"/>
      <c r="BH160" s="139"/>
    </row>
    <row r="161" spans="2:60" s="11" customFormat="1" ht="19.899999999999999" customHeight="1">
      <c r="B161" s="5590"/>
      <c r="C161" s="5598"/>
      <c r="D161" s="9598" t="s">
        <v>633</v>
      </c>
      <c r="E161" s="9600"/>
      <c r="F161" s="295" t="s">
        <v>233</v>
      </c>
      <c r="G161" s="253"/>
      <c r="H161" s="6179"/>
      <c r="I161" s="9582" t="s">
        <v>150</v>
      </c>
      <c r="J161" s="9583"/>
      <c r="K161" s="280" t="s">
        <v>235</v>
      </c>
      <c r="L161" s="6498">
        <v>30280</v>
      </c>
      <c r="M161" s="6081"/>
      <c r="N161" s="6493">
        <v>84381</v>
      </c>
      <c r="O161" s="6081"/>
      <c r="P161" s="6493">
        <v>117191</v>
      </c>
      <c r="Q161" s="6081"/>
      <c r="R161" s="2468"/>
      <c r="S161" s="276"/>
      <c r="T161" s="99"/>
      <c r="U161" s="138"/>
      <c r="V161" s="138"/>
      <c r="W161" s="99"/>
      <c r="X161" s="264"/>
      <c r="Y161" s="277"/>
      <c r="Z161" s="187"/>
      <c r="AA161" s="6301"/>
      <c r="AB161" s="139"/>
      <c r="AC161" s="139"/>
      <c r="AD161" s="139"/>
      <c r="AE161" s="139"/>
      <c r="AF161" s="139"/>
      <c r="AG161" s="139"/>
      <c r="AH161" s="139"/>
      <c r="AI161" s="139"/>
      <c r="AJ161" s="139"/>
      <c r="AK161" s="139"/>
      <c r="AL161" s="139"/>
      <c r="AM161" s="139"/>
      <c r="AN161" s="139"/>
      <c r="AO161" s="139"/>
      <c r="AP161" s="139"/>
      <c r="AQ161" s="139"/>
      <c r="AR161" s="139"/>
      <c r="AS161" s="139"/>
      <c r="AT161" s="139"/>
      <c r="AU161" s="139"/>
      <c r="AV161" s="139"/>
      <c r="AW161" s="139"/>
      <c r="AX161" s="139"/>
      <c r="AY161" s="139"/>
      <c r="AZ161" s="139"/>
      <c r="BA161" s="139"/>
      <c r="BB161" s="139"/>
      <c r="BC161" s="139"/>
      <c r="BD161" s="139"/>
      <c r="BE161" s="139"/>
      <c r="BF161" s="139"/>
      <c r="BG161" s="139"/>
      <c r="BH161" s="139"/>
    </row>
    <row r="162" spans="2:60" s="11" customFormat="1" ht="19.5" customHeight="1">
      <c r="B162" s="1360"/>
      <c r="C162" s="9656" t="s">
        <v>237</v>
      </c>
      <c r="D162" s="9587"/>
      <c r="E162" s="9588"/>
      <c r="F162" s="285" t="s">
        <v>212</v>
      </c>
      <c r="G162" s="490"/>
      <c r="H162" s="9586" t="s">
        <v>238</v>
      </c>
      <c r="I162" s="9587"/>
      <c r="J162" s="9588"/>
      <c r="K162" s="105" t="s">
        <v>212</v>
      </c>
      <c r="L162" s="5653" t="str">
        <f>IF(COUNTBLANK(L163:L168)&gt;0,"미취합법인有",SUM(L163:L168))</f>
        <v>미취합법인有</v>
      </c>
      <c r="M162" s="5945"/>
      <c r="N162" s="5945" t="str">
        <f>IF(COUNTBLANK(N163:N168)&gt;0,"미취합법인有",SUM(N163:N168))</f>
        <v>미취합법인有</v>
      </c>
      <c r="O162" s="5945"/>
      <c r="P162" s="5946" t="str">
        <f>IF(COUNTBLANK(P163:P168)&gt;0,"미취합법인有",SUM(P163:P168))</f>
        <v>미취합법인有</v>
      </c>
      <c r="Q162" s="5945"/>
      <c r="R162" s="2468" t="s">
        <v>239</v>
      </c>
      <c r="S162" s="276" t="s">
        <v>240</v>
      </c>
      <c r="T162" s="99" t="s">
        <v>206</v>
      </c>
      <c r="U162" s="138"/>
      <c r="V162" s="138"/>
      <c r="W162" s="299" t="s">
        <v>193</v>
      </c>
      <c r="X162" s="264" t="s">
        <v>241</v>
      </c>
      <c r="Y162" s="264" t="s">
        <v>242</v>
      </c>
      <c r="Z162" s="187"/>
      <c r="AA162" s="6301"/>
      <c r="AB162" s="139"/>
      <c r="AC162" s="139"/>
      <c r="AD162" s="139"/>
      <c r="AE162" s="139"/>
      <c r="AF162" s="139"/>
      <c r="AG162" s="139"/>
      <c r="AH162" s="139"/>
      <c r="AI162" s="139"/>
      <c r="AJ162" s="139"/>
      <c r="AK162" s="139"/>
      <c r="AL162" s="139"/>
      <c r="AM162" s="139"/>
      <c r="AN162" s="139"/>
      <c r="AO162" s="139"/>
      <c r="AP162" s="139"/>
      <c r="AQ162" s="139"/>
      <c r="AR162" s="139"/>
      <c r="AS162" s="139"/>
      <c r="AT162" s="139"/>
      <c r="AU162" s="139"/>
      <c r="AV162" s="139"/>
      <c r="AW162" s="139"/>
      <c r="AX162" s="139"/>
      <c r="AY162" s="139"/>
      <c r="AZ162" s="139"/>
      <c r="BA162" s="139"/>
      <c r="BB162" s="139"/>
      <c r="BC162" s="139"/>
      <c r="BD162" s="139"/>
      <c r="BE162" s="139"/>
      <c r="BF162" s="139"/>
      <c r="BG162" s="139"/>
      <c r="BH162" s="139"/>
    </row>
    <row r="163" spans="2:60" s="11" customFormat="1" ht="19.899999999999999" customHeight="1">
      <c r="B163" s="5590"/>
      <c r="C163" s="9647" t="s">
        <v>134</v>
      </c>
      <c r="D163" s="9648"/>
      <c r="E163" s="9649"/>
      <c r="F163" s="674" t="s">
        <v>212</v>
      </c>
      <c r="G163" s="253"/>
      <c r="H163" s="9579" t="s">
        <v>135</v>
      </c>
      <c r="I163" s="9580"/>
      <c r="J163" s="9581"/>
      <c r="K163" s="105" t="s">
        <v>212</v>
      </c>
      <c r="L163" s="5592" t="s">
        <v>169</v>
      </c>
      <c r="M163" s="5948" t="s">
        <v>369</v>
      </c>
      <c r="N163" s="5948" t="s">
        <v>169</v>
      </c>
      <c r="O163" s="5948" t="s">
        <v>369</v>
      </c>
      <c r="P163" s="5841" t="s">
        <v>169</v>
      </c>
      <c r="Q163" s="5948" t="s">
        <v>369</v>
      </c>
      <c r="R163" s="1033"/>
      <c r="S163" s="263"/>
      <c r="T163" s="99"/>
      <c r="U163" s="138"/>
      <c r="V163" s="138"/>
      <c r="W163" s="299" t="s">
        <v>193</v>
      </c>
      <c r="X163" s="264"/>
      <c r="Y163" s="277"/>
      <c r="Z163" s="187"/>
      <c r="AA163" s="6301"/>
      <c r="AB163" s="139"/>
      <c r="AC163" s="139"/>
      <c r="AD163" s="139"/>
      <c r="AE163" s="139"/>
      <c r="AF163" s="139"/>
      <c r="AG163" s="139"/>
      <c r="AH163" s="139"/>
      <c r="AI163" s="139"/>
      <c r="AJ163" s="139"/>
      <c r="AK163" s="139"/>
      <c r="AL163" s="139"/>
      <c r="AM163" s="139"/>
      <c r="AN163" s="139"/>
      <c r="AO163" s="139"/>
      <c r="AP163" s="139"/>
      <c r="AQ163" s="139"/>
      <c r="AR163" s="139"/>
      <c r="AS163" s="139"/>
      <c r="AT163" s="139"/>
      <c r="AU163" s="139"/>
      <c r="AV163" s="139"/>
      <c r="AW163" s="139"/>
      <c r="AX163" s="139"/>
      <c r="AY163" s="139"/>
      <c r="AZ163" s="139"/>
      <c r="BA163" s="139"/>
      <c r="BB163" s="139"/>
      <c r="BC163" s="139"/>
      <c r="BD163" s="139"/>
      <c r="BE163" s="139"/>
      <c r="BF163" s="139"/>
      <c r="BG163" s="139"/>
      <c r="BH163" s="139"/>
    </row>
    <row r="164" spans="2:60" s="11" customFormat="1" ht="19.899999999999999" customHeight="1">
      <c r="B164" s="5590"/>
      <c r="C164" s="9647" t="s">
        <v>137</v>
      </c>
      <c r="D164" s="9648"/>
      <c r="E164" s="9649"/>
      <c r="F164" s="674" t="s">
        <v>212</v>
      </c>
      <c r="G164" s="253"/>
      <c r="H164" s="9579" t="s">
        <v>138</v>
      </c>
      <c r="I164" s="9580"/>
      <c r="J164" s="9581"/>
      <c r="K164" s="105" t="s">
        <v>212</v>
      </c>
      <c r="L164" s="5592"/>
      <c r="M164" s="5948"/>
      <c r="N164" s="5948"/>
      <c r="O164" s="5948"/>
      <c r="P164" s="5948"/>
      <c r="Q164" s="5948"/>
      <c r="R164" s="1033"/>
      <c r="S164" s="263"/>
      <c r="T164" s="99"/>
      <c r="U164" s="138"/>
      <c r="V164" s="138"/>
      <c r="W164" s="299" t="s">
        <v>193</v>
      </c>
      <c r="X164" s="264"/>
      <c r="Y164" s="277"/>
      <c r="Z164" s="187"/>
      <c r="AA164" s="6301"/>
      <c r="AB164" s="139"/>
      <c r="AC164" s="139"/>
      <c r="AD164" s="139"/>
      <c r="AE164" s="139"/>
      <c r="AF164" s="139"/>
      <c r="AG164" s="139"/>
      <c r="AH164" s="139"/>
      <c r="AI164" s="139"/>
      <c r="AJ164" s="139"/>
      <c r="AK164" s="139"/>
      <c r="AL164" s="139"/>
      <c r="AM164" s="139"/>
      <c r="AN164" s="139"/>
      <c r="AO164" s="139"/>
      <c r="AP164" s="139"/>
      <c r="AQ164" s="139"/>
      <c r="AR164" s="139"/>
      <c r="AS164" s="139"/>
      <c r="AT164" s="139"/>
      <c r="AU164" s="139"/>
      <c r="AV164" s="139"/>
      <c r="AW164" s="139"/>
      <c r="AX164" s="139"/>
      <c r="AY164" s="139"/>
      <c r="AZ164" s="139"/>
      <c r="BA164" s="139"/>
      <c r="BB164" s="139"/>
      <c r="BC164" s="139"/>
      <c r="BD164" s="139"/>
      <c r="BE164" s="139"/>
      <c r="BF164" s="139"/>
      <c r="BG164" s="139"/>
      <c r="BH164" s="139"/>
    </row>
    <row r="165" spans="2:60" s="11" customFormat="1" ht="19.899999999999999" customHeight="1">
      <c r="B165" s="5590"/>
      <c r="C165" s="9647" t="s">
        <v>140</v>
      </c>
      <c r="D165" s="9648"/>
      <c r="E165" s="9649"/>
      <c r="F165" s="674" t="s">
        <v>212</v>
      </c>
      <c r="G165" s="253"/>
      <c r="H165" s="9579" t="s">
        <v>141</v>
      </c>
      <c r="I165" s="9580"/>
      <c r="J165" s="9581"/>
      <c r="K165" s="105" t="s">
        <v>212</v>
      </c>
      <c r="L165" s="5592"/>
      <c r="M165" s="5948"/>
      <c r="N165" s="5948"/>
      <c r="O165" s="5948"/>
      <c r="P165" s="5948"/>
      <c r="Q165" s="5948"/>
      <c r="R165" s="1033"/>
      <c r="S165" s="263"/>
      <c r="T165" s="99"/>
      <c r="U165" s="138"/>
      <c r="V165" s="138"/>
      <c r="W165" s="299" t="s">
        <v>193</v>
      </c>
      <c r="X165" s="264"/>
      <c r="Y165" s="277"/>
      <c r="Z165" s="187"/>
      <c r="AA165" s="6301"/>
      <c r="AB165" s="139"/>
      <c r="AC165" s="139"/>
      <c r="AD165" s="139"/>
      <c r="AE165" s="139"/>
      <c r="AF165" s="139"/>
      <c r="AG165" s="139"/>
      <c r="AH165" s="139"/>
      <c r="AI165" s="139"/>
      <c r="AJ165" s="139"/>
      <c r="AK165" s="139"/>
      <c r="AL165" s="139"/>
      <c r="AM165" s="139"/>
      <c r="AN165" s="139"/>
      <c r="AO165" s="139"/>
      <c r="AP165" s="139"/>
      <c r="AQ165" s="139"/>
      <c r="AR165" s="139"/>
      <c r="AS165" s="139"/>
      <c r="AT165" s="139"/>
      <c r="AU165" s="139"/>
      <c r="AV165" s="139"/>
      <c r="AW165" s="139"/>
      <c r="AX165" s="139"/>
      <c r="AY165" s="139"/>
      <c r="AZ165" s="139"/>
      <c r="BA165" s="139"/>
      <c r="BB165" s="139"/>
      <c r="BC165" s="139"/>
      <c r="BD165" s="139"/>
      <c r="BE165" s="139"/>
      <c r="BF165" s="139"/>
      <c r="BG165" s="139"/>
      <c r="BH165" s="139"/>
    </row>
    <row r="166" spans="2:60" s="11" customFormat="1" ht="19.899999999999999" customHeight="1">
      <c r="B166" s="5590"/>
      <c r="C166" s="9647" t="s">
        <v>143</v>
      </c>
      <c r="D166" s="9648"/>
      <c r="E166" s="9649"/>
      <c r="F166" s="674" t="s">
        <v>212</v>
      </c>
      <c r="G166" s="253"/>
      <c r="H166" s="9579" t="s">
        <v>144</v>
      </c>
      <c r="I166" s="9580"/>
      <c r="J166" s="9581"/>
      <c r="K166" s="105" t="s">
        <v>212</v>
      </c>
      <c r="L166" s="5592"/>
      <c r="M166" s="5948"/>
      <c r="N166" s="5948"/>
      <c r="O166" s="5948"/>
      <c r="P166" s="5948"/>
      <c r="Q166" s="5948"/>
      <c r="R166" s="1033"/>
      <c r="S166" s="6339"/>
      <c r="T166" s="99"/>
      <c r="U166" s="138"/>
      <c r="V166" s="138"/>
      <c r="W166" s="299" t="s">
        <v>193</v>
      </c>
      <c r="X166" s="264"/>
      <c r="Y166" s="277"/>
      <c r="Z166" s="187"/>
      <c r="AA166" s="6301"/>
      <c r="AB166" s="139"/>
      <c r="AC166" s="139"/>
      <c r="AD166" s="139"/>
      <c r="AE166" s="139"/>
      <c r="AF166" s="139"/>
      <c r="AG166" s="139"/>
      <c r="AH166" s="139"/>
      <c r="AI166" s="139"/>
      <c r="AJ166" s="139"/>
      <c r="AK166" s="139"/>
      <c r="AL166" s="139"/>
      <c r="AM166" s="139"/>
      <c r="AN166" s="139"/>
      <c r="AO166" s="139"/>
      <c r="AP166" s="139"/>
      <c r="AQ166" s="139"/>
      <c r="AR166" s="139"/>
      <c r="AS166" s="139"/>
      <c r="AT166" s="139"/>
      <c r="AU166" s="139"/>
      <c r="AV166" s="139"/>
      <c r="AW166" s="139"/>
      <c r="AX166" s="139"/>
      <c r="AY166" s="139"/>
      <c r="AZ166" s="139"/>
      <c r="BA166" s="139"/>
      <c r="BB166" s="139"/>
      <c r="BC166" s="139"/>
      <c r="BD166" s="139"/>
      <c r="BE166" s="139"/>
      <c r="BF166" s="139"/>
      <c r="BG166" s="139"/>
      <c r="BH166" s="139"/>
    </row>
    <row r="167" spans="2:60" s="11" customFormat="1" ht="19.899999999999999" customHeight="1">
      <c r="B167" s="5590"/>
      <c r="C167" s="9647" t="s">
        <v>631</v>
      </c>
      <c r="D167" s="9648"/>
      <c r="E167" s="9649"/>
      <c r="F167" s="674" t="s">
        <v>212</v>
      </c>
      <c r="G167" s="253"/>
      <c r="H167" s="9579" t="s">
        <v>147</v>
      </c>
      <c r="I167" s="9580"/>
      <c r="J167" s="9581"/>
      <c r="K167" s="105" t="s">
        <v>212</v>
      </c>
      <c r="L167" s="5592" t="s">
        <v>169</v>
      </c>
      <c r="M167" s="5948" t="s">
        <v>641</v>
      </c>
      <c r="N167" s="5948" t="s">
        <v>169</v>
      </c>
      <c r="O167" s="5948" t="s">
        <v>641</v>
      </c>
      <c r="P167" s="5841" t="s">
        <v>169</v>
      </c>
      <c r="Q167" s="5948" t="s">
        <v>641</v>
      </c>
      <c r="R167" s="1033"/>
      <c r="S167" s="6339"/>
      <c r="T167" s="99"/>
      <c r="U167" s="138"/>
      <c r="V167" s="138"/>
      <c r="W167" s="299" t="s">
        <v>193</v>
      </c>
      <c r="X167" s="264"/>
      <c r="Y167" s="277"/>
      <c r="Z167" s="187"/>
      <c r="AA167" s="6301"/>
      <c r="AB167" s="139"/>
      <c r="AC167" s="139"/>
      <c r="AD167" s="139"/>
      <c r="AE167" s="139"/>
      <c r="AF167" s="139"/>
      <c r="AG167" s="139"/>
      <c r="AH167" s="139"/>
      <c r="AI167" s="139"/>
      <c r="AJ167" s="139"/>
      <c r="AK167" s="139"/>
      <c r="AL167" s="139"/>
      <c r="AM167" s="139"/>
      <c r="AN167" s="139"/>
      <c r="AO167" s="139"/>
      <c r="AP167" s="139"/>
      <c r="AQ167" s="139"/>
      <c r="AR167" s="139"/>
      <c r="AS167" s="139"/>
      <c r="AT167" s="139"/>
      <c r="AU167" s="139"/>
      <c r="AV167" s="139"/>
      <c r="AW167" s="139"/>
      <c r="AX167" s="139"/>
      <c r="AY167" s="139"/>
      <c r="AZ167" s="139"/>
      <c r="BA167" s="139"/>
      <c r="BB167" s="139"/>
      <c r="BC167" s="139"/>
      <c r="BD167" s="139"/>
      <c r="BE167" s="139"/>
      <c r="BF167" s="139"/>
      <c r="BG167" s="139"/>
      <c r="BH167" s="139"/>
    </row>
    <row r="168" spans="2:60" s="11" customFormat="1" ht="19.899999999999999" customHeight="1">
      <c r="B168" s="5590"/>
      <c r="C168" s="9647" t="s">
        <v>633</v>
      </c>
      <c r="D168" s="9648"/>
      <c r="E168" s="9649"/>
      <c r="F168" s="674" t="s">
        <v>212</v>
      </c>
      <c r="G168" s="253"/>
      <c r="H168" s="9579" t="s">
        <v>150</v>
      </c>
      <c r="I168" s="9580"/>
      <c r="J168" s="9581"/>
      <c r="K168" s="105" t="s">
        <v>212</v>
      </c>
      <c r="L168" s="5592"/>
      <c r="M168" s="5948"/>
      <c r="N168" s="5948"/>
      <c r="O168" s="5948"/>
      <c r="P168" s="5948"/>
      <c r="Q168" s="5948"/>
      <c r="R168" s="1033"/>
      <c r="S168" s="6339"/>
      <c r="T168" s="99"/>
      <c r="U168" s="138"/>
      <c r="V168" s="138"/>
      <c r="W168" s="299" t="s">
        <v>193</v>
      </c>
      <c r="X168" s="264"/>
      <c r="Y168" s="277"/>
      <c r="Z168" s="187"/>
      <c r="AA168" s="6301"/>
      <c r="AB168" s="139"/>
      <c r="AC168" s="139"/>
      <c r="AD168" s="139"/>
      <c r="AE168" s="139"/>
      <c r="AF168" s="139"/>
      <c r="AG168" s="139"/>
      <c r="AH168" s="139"/>
      <c r="AI168" s="139"/>
      <c r="AJ168" s="139"/>
      <c r="AK168" s="139"/>
      <c r="AL168" s="139"/>
      <c r="AM168" s="139"/>
      <c r="AN168" s="139"/>
      <c r="AO168" s="139"/>
      <c r="AP168" s="139"/>
      <c r="AQ168" s="139"/>
      <c r="AR168" s="139"/>
      <c r="AS168" s="139"/>
      <c r="AT168" s="139"/>
      <c r="AU168" s="139"/>
      <c r="AV168" s="139"/>
      <c r="AW168" s="139"/>
      <c r="AX168" s="139"/>
      <c r="AY168" s="139"/>
      <c r="AZ168" s="139"/>
      <c r="BA168" s="139"/>
      <c r="BB168" s="139"/>
      <c r="BC168" s="139"/>
      <c r="BD168" s="139"/>
      <c r="BE168" s="139"/>
      <c r="BF168" s="139"/>
      <c r="BG168" s="139"/>
      <c r="BH168" s="139"/>
    </row>
    <row r="169" spans="2:60" s="11" customFormat="1" ht="19.899999999999999" customHeight="1">
      <c r="B169" s="1360"/>
      <c r="C169" s="9656" t="s">
        <v>656</v>
      </c>
      <c r="D169" s="9587"/>
      <c r="E169" s="9588"/>
      <c r="F169" s="674" t="s">
        <v>212</v>
      </c>
      <c r="G169" s="490"/>
      <c r="H169" s="9586" t="s">
        <v>657</v>
      </c>
      <c r="I169" s="9587"/>
      <c r="J169" s="9588"/>
      <c r="K169" s="105" t="s">
        <v>212</v>
      </c>
      <c r="L169" s="5653" t="str">
        <f>IF(COUNTBLANK(L170:L175)&gt;0,"미취합법인有",SUM(L170:L175))</f>
        <v>미취합법인有</v>
      </c>
      <c r="M169" s="5945"/>
      <c r="N169" s="5945" t="str">
        <f>IF(COUNTBLANK(N170:N175)&gt;0,"미취합법인有",SUM(N170:N175))</f>
        <v>미취합법인有</v>
      </c>
      <c r="O169" s="5945"/>
      <c r="P169" s="5946" t="str">
        <f>IF(COUNTBLANK(P170:P175)&gt;0,"미취합법인有",SUM(P170:P175))</f>
        <v>미취합법인有</v>
      </c>
      <c r="Q169" s="5945"/>
      <c r="R169" s="498" t="s">
        <v>658</v>
      </c>
      <c r="S169" s="2470" t="s">
        <v>659</v>
      </c>
      <c r="T169" s="99" t="s">
        <v>206</v>
      </c>
      <c r="U169" s="138"/>
      <c r="V169" s="138"/>
      <c r="W169" s="299" t="s">
        <v>193</v>
      </c>
      <c r="X169" s="264" t="s">
        <v>250</v>
      </c>
      <c r="Y169" s="264" t="s">
        <v>242</v>
      </c>
      <c r="Z169" s="187"/>
      <c r="AA169" s="6301"/>
      <c r="AB169" s="139"/>
      <c r="AC169" s="139"/>
      <c r="AD169" s="139"/>
      <c r="AE169" s="139"/>
      <c r="AF169" s="139"/>
      <c r="AG169" s="139"/>
      <c r="AH169" s="139"/>
      <c r="AI169" s="139"/>
      <c r="AJ169" s="139"/>
      <c r="AK169" s="139"/>
      <c r="AL169" s="139"/>
      <c r="AM169" s="139"/>
      <c r="AN169" s="139"/>
      <c r="AO169" s="139"/>
      <c r="AP169" s="139"/>
      <c r="AQ169" s="139"/>
      <c r="AR169" s="139"/>
      <c r="AS169" s="139"/>
      <c r="AT169" s="139"/>
      <c r="AU169" s="139"/>
      <c r="AV169" s="139"/>
      <c r="AW169" s="139"/>
      <c r="AX169" s="139"/>
      <c r="AY169" s="139"/>
      <c r="AZ169" s="139"/>
      <c r="BA169" s="139"/>
      <c r="BB169" s="139"/>
      <c r="BC169" s="139"/>
      <c r="BD169" s="139"/>
      <c r="BE169" s="139"/>
      <c r="BF169" s="139"/>
      <c r="BG169" s="139"/>
      <c r="BH169" s="139"/>
    </row>
    <row r="170" spans="2:60" s="11" customFormat="1" ht="19.899999999999999" customHeight="1">
      <c r="B170" s="5590"/>
      <c r="C170" s="9647" t="s">
        <v>134</v>
      </c>
      <c r="D170" s="9648"/>
      <c r="E170" s="9649"/>
      <c r="F170" s="674" t="s">
        <v>212</v>
      </c>
      <c r="G170" s="253"/>
      <c r="H170" s="9579" t="s">
        <v>135</v>
      </c>
      <c r="I170" s="9580"/>
      <c r="J170" s="9581"/>
      <c r="K170" s="105" t="s">
        <v>212</v>
      </c>
      <c r="L170" s="5592"/>
      <c r="M170" s="5948"/>
      <c r="N170" s="5948"/>
      <c r="O170" s="5948"/>
      <c r="P170" s="5978"/>
      <c r="Q170" s="5948"/>
      <c r="R170" s="1033"/>
      <c r="S170" s="6339"/>
      <c r="T170" s="99"/>
      <c r="U170" s="138"/>
      <c r="V170" s="138"/>
      <c r="W170" s="299" t="s">
        <v>193</v>
      </c>
      <c r="X170" s="264"/>
      <c r="Y170" s="277"/>
      <c r="Z170" s="187"/>
      <c r="AA170" s="6301"/>
      <c r="AB170" s="139"/>
      <c r="AC170" s="139"/>
      <c r="AD170" s="139"/>
      <c r="AE170" s="139"/>
      <c r="AF170" s="139"/>
      <c r="AG170" s="139"/>
      <c r="AH170" s="139"/>
      <c r="AI170" s="139"/>
      <c r="AJ170" s="139"/>
      <c r="AK170" s="139"/>
      <c r="AL170" s="139"/>
      <c r="AM170" s="139"/>
      <c r="AN170" s="139"/>
      <c r="AO170" s="139"/>
      <c r="AP170" s="139"/>
      <c r="AQ170" s="139"/>
      <c r="AR170" s="139"/>
      <c r="AS170" s="139"/>
      <c r="AT170" s="139"/>
      <c r="AU170" s="139"/>
      <c r="AV170" s="139"/>
      <c r="AW170" s="139"/>
      <c r="AX170" s="139"/>
      <c r="AY170" s="139"/>
      <c r="AZ170" s="139"/>
      <c r="BA170" s="139"/>
      <c r="BB170" s="139"/>
      <c r="BC170" s="139"/>
      <c r="BD170" s="139"/>
      <c r="BE170" s="139"/>
      <c r="BF170" s="139"/>
      <c r="BG170" s="139"/>
      <c r="BH170" s="139"/>
    </row>
    <row r="171" spans="2:60" s="11" customFormat="1" ht="19.899999999999999" customHeight="1">
      <c r="B171" s="5590"/>
      <c r="C171" s="9647" t="s">
        <v>137</v>
      </c>
      <c r="D171" s="9648"/>
      <c r="E171" s="9649"/>
      <c r="F171" s="674" t="s">
        <v>212</v>
      </c>
      <c r="G171" s="253"/>
      <c r="H171" s="9579" t="s">
        <v>138</v>
      </c>
      <c r="I171" s="9580"/>
      <c r="J171" s="9581"/>
      <c r="K171" s="105" t="s">
        <v>212</v>
      </c>
      <c r="L171" s="5592"/>
      <c r="M171" s="5948"/>
      <c r="N171" s="5948"/>
      <c r="O171" s="5948"/>
      <c r="P171" s="5948"/>
      <c r="Q171" s="5948"/>
      <c r="R171" s="1033"/>
      <c r="S171" s="6339"/>
      <c r="T171" s="99"/>
      <c r="U171" s="138"/>
      <c r="V171" s="138"/>
      <c r="W171" s="299" t="s">
        <v>193</v>
      </c>
      <c r="X171" s="264"/>
      <c r="Y171" s="277"/>
      <c r="Z171" s="187"/>
      <c r="AA171" s="6301"/>
      <c r="AB171" s="139"/>
      <c r="AC171" s="139"/>
      <c r="AD171" s="139"/>
      <c r="AE171" s="139"/>
      <c r="AF171" s="139"/>
      <c r="AG171" s="139"/>
      <c r="AH171" s="139"/>
      <c r="AI171" s="139"/>
      <c r="AJ171" s="139"/>
      <c r="AK171" s="139"/>
      <c r="AL171" s="139"/>
      <c r="AM171" s="139"/>
      <c r="AN171" s="139"/>
      <c r="AO171" s="139"/>
      <c r="AP171" s="139"/>
      <c r="AQ171" s="139"/>
      <c r="AR171" s="139"/>
      <c r="AS171" s="139"/>
      <c r="AT171" s="139"/>
      <c r="AU171" s="139"/>
      <c r="AV171" s="139"/>
      <c r="AW171" s="139"/>
      <c r="AX171" s="139"/>
      <c r="AY171" s="139"/>
      <c r="AZ171" s="139"/>
      <c r="BA171" s="139"/>
      <c r="BB171" s="139"/>
      <c r="BC171" s="139"/>
      <c r="BD171" s="139"/>
      <c r="BE171" s="139"/>
      <c r="BF171" s="139"/>
      <c r="BG171" s="139"/>
      <c r="BH171" s="139"/>
    </row>
    <row r="172" spans="2:60" s="11" customFormat="1" ht="19.899999999999999" customHeight="1">
      <c r="B172" s="5590"/>
      <c r="C172" s="9647" t="s">
        <v>140</v>
      </c>
      <c r="D172" s="9648"/>
      <c r="E172" s="9649"/>
      <c r="F172" s="674" t="s">
        <v>212</v>
      </c>
      <c r="G172" s="253"/>
      <c r="H172" s="9579" t="s">
        <v>141</v>
      </c>
      <c r="I172" s="9580"/>
      <c r="J172" s="9581"/>
      <c r="K172" s="105" t="s">
        <v>212</v>
      </c>
      <c r="L172" s="5592"/>
      <c r="M172" s="5948"/>
      <c r="N172" s="5948"/>
      <c r="O172" s="5948"/>
      <c r="P172" s="5948"/>
      <c r="Q172" s="5948"/>
      <c r="R172" s="1033"/>
      <c r="S172" s="6339"/>
      <c r="T172" s="99"/>
      <c r="U172" s="138"/>
      <c r="V172" s="138"/>
      <c r="W172" s="299" t="s">
        <v>193</v>
      </c>
      <c r="X172" s="264"/>
      <c r="Y172" s="277"/>
      <c r="Z172" s="187"/>
      <c r="AA172" s="6301"/>
      <c r="AB172" s="139"/>
      <c r="AC172" s="139"/>
      <c r="AD172" s="139"/>
      <c r="AE172" s="139"/>
      <c r="AF172" s="139"/>
      <c r="AG172" s="139"/>
      <c r="AH172" s="139"/>
      <c r="AI172" s="139"/>
      <c r="AJ172" s="139"/>
      <c r="AK172" s="139"/>
      <c r="AL172" s="139"/>
      <c r="AM172" s="139"/>
      <c r="AN172" s="139"/>
      <c r="AO172" s="139"/>
      <c r="AP172" s="139"/>
      <c r="AQ172" s="139"/>
      <c r="AR172" s="139"/>
      <c r="AS172" s="139"/>
      <c r="AT172" s="139"/>
      <c r="AU172" s="139"/>
      <c r="AV172" s="139"/>
      <c r="AW172" s="139"/>
      <c r="AX172" s="139"/>
      <c r="AY172" s="139"/>
      <c r="AZ172" s="139"/>
      <c r="BA172" s="139"/>
      <c r="BB172" s="139"/>
      <c r="BC172" s="139"/>
      <c r="BD172" s="139"/>
      <c r="BE172" s="139"/>
      <c r="BF172" s="139"/>
      <c r="BG172" s="139"/>
      <c r="BH172" s="139"/>
    </row>
    <row r="173" spans="2:60" s="11" customFormat="1" ht="19.899999999999999" customHeight="1">
      <c r="B173" s="5590"/>
      <c r="C173" s="9647" t="s">
        <v>143</v>
      </c>
      <c r="D173" s="9648"/>
      <c r="E173" s="9649"/>
      <c r="F173" s="674" t="s">
        <v>212</v>
      </c>
      <c r="G173" s="253"/>
      <c r="H173" s="9579" t="s">
        <v>144</v>
      </c>
      <c r="I173" s="9580"/>
      <c r="J173" s="9581"/>
      <c r="K173" s="105" t="s">
        <v>212</v>
      </c>
      <c r="L173" s="5592"/>
      <c r="M173" s="5948"/>
      <c r="N173" s="5948"/>
      <c r="O173" s="5948"/>
      <c r="P173" s="5948"/>
      <c r="Q173" s="5948"/>
      <c r="R173" s="1033"/>
      <c r="S173" s="6339"/>
      <c r="T173" s="99"/>
      <c r="U173" s="138"/>
      <c r="V173" s="138"/>
      <c r="W173" s="299" t="s">
        <v>193</v>
      </c>
      <c r="X173" s="264"/>
      <c r="Y173" s="277"/>
      <c r="Z173" s="187"/>
      <c r="AA173" s="6301"/>
      <c r="AB173" s="139"/>
      <c r="AC173" s="139"/>
      <c r="AD173" s="139"/>
      <c r="AE173" s="139"/>
      <c r="AF173" s="139"/>
      <c r="AG173" s="139"/>
      <c r="AH173" s="139"/>
      <c r="AI173" s="139"/>
      <c r="AJ173" s="139"/>
      <c r="AK173" s="139"/>
      <c r="AL173" s="139"/>
      <c r="AM173" s="139"/>
      <c r="AN173" s="139"/>
      <c r="AO173" s="139"/>
      <c r="AP173" s="139"/>
      <c r="AQ173" s="139"/>
      <c r="AR173" s="139"/>
      <c r="AS173" s="139"/>
      <c r="AT173" s="139"/>
      <c r="AU173" s="139"/>
      <c r="AV173" s="139"/>
      <c r="AW173" s="139"/>
      <c r="AX173" s="139"/>
      <c r="AY173" s="139"/>
      <c r="AZ173" s="139"/>
      <c r="BA173" s="139"/>
      <c r="BB173" s="139"/>
      <c r="BC173" s="139"/>
      <c r="BD173" s="139"/>
      <c r="BE173" s="139"/>
      <c r="BF173" s="139"/>
      <c r="BG173" s="139"/>
      <c r="BH173" s="139"/>
    </row>
    <row r="174" spans="2:60" s="11" customFormat="1" ht="19.899999999999999" customHeight="1">
      <c r="B174" s="5590"/>
      <c r="C174" s="9647" t="s">
        <v>631</v>
      </c>
      <c r="D174" s="9648"/>
      <c r="E174" s="9649"/>
      <c r="F174" s="674" t="s">
        <v>212</v>
      </c>
      <c r="G174" s="253"/>
      <c r="H174" s="9579" t="s">
        <v>147</v>
      </c>
      <c r="I174" s="9580"/>
      <c r="J174" s="9581"/>
      <c r="K174" s="105" t="s">
        <v>212</v>
      </c>
      <c r="L174" s="5592" t="s">
        <v>169</v>
      </c>
      <c r="M174" s="5948" t="s">
        <v>641</v>
      </c>
      <c r="N174" s="5948" t="s">
        <v>169</v>
      </c>
      <c r="O174" s="5948" t="s">
        <v>641</v>
      </c>
      <c r="P174" s="5841" t="s">
        <v>169</v>
      </c>
      <c r="Q174" s="5948" t="s">
        <v>641</v>
      </c>
      <c r="R174" s="1033"/>
      <c r="S174" s="6339"/>
      <c r="T174" s="99"/>
      <c r="U174" s="138"/>
      <c r="V174" s="138"/>
      <c r="W174" s="299" t="s">
        <v>193</v>
      </c>
      <c r="X174" s="264"/>
      <c r="Y174" s="277"/>
      <c r="Z174" s="187"/>
      <c r="AA174" s="6301"/>
      <c r="AB174" s="139"/>
      <c r="AC174" s="139"/>
      <c r="AD174" s="139"/>
      <c r="AE174" s="139"/>
      <c r="AF174" s="139"/>
      <c r="AG174" s="139"/>
      <c r="AH174" s="139"/>
      <c r="AI174" s="139"/>
      <c r="AJ174" s="139"/>
      <c r="AK174" s="139"/>
      <c r="AL174" s="139"/>
      <c r="AM174" s="139"/>
      <c r="AN174" s="139"/>
      <c r="AO174" s="139"/>
      <c r="AP174" s="139"/>
      <c r="AQ174" s="139"/>
      <c r="AR174" s="139"/>
      <c r="AS174" s="139"/>
      <c r="AT174" s="139"/>
      <c r="AU174" s="139"/>
      <c r="AV174" s="139"/>
      <c r="AW174" s="139"/>
      <c r="AX174" s="139"/>
      <c r="AY174" s="139"/>
      <c r="AZ174" s="139"/>
      <c r="BA174" s="139"/>
      <c r="BB174" s="139"/>
      <c r="BC174" s="139"/>
      <c r="BD174" s="139"/>
      <c r="BE174" s="139"/>
      <c r="BF174" s="139"/>
      <c r="BG174" s="139"/>
      <c r="BH174" s="139"/>
    </row>
    <row r="175" spans="2:60" s="11" customFormat="1" ht="19.899999999999999" customHeight="1">
      <c r="B175" s="5590"/>
      <c r="C175" s="9647" t="s">
        <v>633</v>
      </c>
      <c r="D175" s="9648"/>
      <c r="E175" s="9649"/>
      <c r="F175" s="674" t="s">
        <v>212</v>
      </c>
      <c r="G175" s="253"/>
      <c r="H175" s="9579" t="s">
        <v>150</v>
      </c>
      <c r="I175" s="9580"/>
      <c r="J175" s="9581"/>
      <c r="K175" s="105" t="s">
        <v>212</v>
      </c>
      <c r="L175" s="5592"/>
      <c r="M175" s="5948"/>
      <c r="N175" s="5948"/>
      <c r="O175" s="5948"/>
      <c r="P175" s="5948"/>
      <c r="Q175" s="5948"/>
      <c r="R175" s="1033"/>
      <c r="S175" s="6339"/>
      <c r="T175" s="99"/>
      <c r="U175" s="138"/>
      <c r="V175" s="138"/>
      <c r="W175" s="299" t="s">
        <v>193</v>
      </c>
      <c r="X175" s="264"/>
      <c r="Y175" s="277"/>
      <c r="Z175" s="187"/>
      <c r="AA175" s="6301"/>
      <c r="AB175" s="139"/>
      <c r="AC175" s="139"/>
      <c r="AD175" s="139"/>
      <c r="AE175" s="139"/>
      <c r="AF175" s="139"/>
      <c r="AG175" s="139"/>
      <c r="AH175" s="139"/>
      <c r="AI175" s="139"/>
      <c r="AJ175" s="139"/>
      <c r="AK175" s="139"/>
      <c r="AL175" s="139"/>
      <c r="AM175" s="139"/>
      <c r="AN175" s="139"/>
      <c r="AO175" s="139"/>
      <c r="AP175" s="139"/>
      <c r="AQ175" s="139"/>
      <c r="AR175" s="139"/>
      <c r="AS175" s="139"/>
      <c r="AT175" s="139"/>
      <c r="AU175" s="139"/>
      <c r="AV175" s="139"/>
      <c r="AW175" s="139"/>
      <c r="AX175" s="139"/>
      <c r="AY175" s="139"/>
      <c r="AZ175" s="139"/>
      <c r="BA175" s="139"/>
      <c r="BB175" s="139"/>
      <c r="BC175" s="139"/>
      <c r="BD175" s="139"/>
      <c r="BE175" s="139"/>
      <c r="BF175" s="139"/>
      <c r="BG175" s="139"/>
      <c r="BH175" s="139"/>
    </row>
    <row r="176" spans="2:60" s="11" customFormat="1" ht="19.5" customHeight="1">
      <c r="B176" s="1360"/>
      <c r="C176" s="1354"/>
      <c r="D176" s="9586" t="s">
        <v>660</v>
      </c>
      <c r="E176" s="9588"/>
      <c r="F176" s="285" t="s">
        <v>212</v>
      </c>
      <c r="G176" s="286"/>
      <c r="H176" s="386"/>
      <c r="I176" s="9586" t="s">
        <v>248</v>
      </c>
      <c r="J176" s="9588"/>
      <c r="K176" s="105" t="s">
        <v>212</v>
      </c>
      <c r="L176" s="5653" t="str">
        <f>IF(COUNTBLANK(L177:L182)&gt;0,"미취합법인有",SUM(L177:L182))</f>
        <v>미취합법인有</v>
      </c>
      <c r="M176" s="5945"/>
      <c r="N176" s="5945" t="str">
        <f>IF(COUNTBLANK(N177:N182)&gt;0,"미취합법인有",SUM(N177:N182))</f>
        <v>미취합법인有</v>
      </c>
      <c r="O176" s="5945"/>
      <c r="P176" s="5946" t="str">
        <f>IF(COUNTBLANK(P177:P182)&gt;0,"미취합법인有",SUM(P177:P182))</f>
        <v>미취합법인有</v>
      </c>
      <c r="Q176" s="5945"/>
      <c r="R176" s="498"/>
      <c r="S176" s="2470"/>
      <c r="T176" s="309" t="s">
        <v>249</v>
      </c>
      <c r="U176" s="138"/>
      <c r="V176" s="138"/>
      <c r="W176" s="299" t="s">
        <v>193</v>
      </c>
      <c r="X176" s="264" t="s">
        <v>250</v>
      </c>
      <c r="Y176" s="264" t="s">
        <v>242</v>
      </c>
      <c r="Z176" s="187"/>
      <c r="AA176" s="6301"/>
      <c r="AB176" s="139"/>
      <c r="AC176" s="139"/>
      <c r="AD176" s="139"/>
      <c r="AE176" s="139"/>
      <c r="AF176" s="139"/>
      <c r="AG176" s="139"/>
      <c r="AH176" s="139"/>
      <c r="AI176" s="139"/>
      <c r="AJ176" s="139"/>
      <c r="AK176" s="139"/>
      <c r="AL176" s="139"/>
      <c r="AM176" s="139"/>
      <c r="AN176" s="139"/>
      <c r="AO176" s="139"/>
      <c r="AP176" s="139"/>
      <c r="AQ176" s="139"/>
      <c r="AR176" s="139"/>
      <c r="AS176" s="139"/>
      <c r="AT176" s="139"/>
      <c r="AU176" s="139"/>
      <c r="AV176" s="139"/>
      <c r="AW176" s="139"/>
      <c r="AX176" s="139"/>
      <c r="AY176" s="139"/>
      <c r="AZ176" s="139"/>
      <c r="BA176" s="139"/>
      <c r="BB176" s="139"/>
      <c r="BC176" s="139"/>
      <c r="BD176" s="139"/>
      <c r="BE176" s="139"/>
      <c r="BF176" s="139"/>
      <c r="BG176" s="139"/>
      <c r="BH176" s="139"/>
    </row>
    <row r="177" spans="2:60" s="11" customFormat="1" ht="19.899999999999999" customHeight="1">
      <c r="B177" s="5590"/>
      <c r="C177" s="6157"/>
      <c r="D177" s="9598" t="s">
        <v>134</v>
      </c>
      <c r="E177" s="9600"/>
      <c r="F177" s="285" t="s">
        <v>212</v>
      </c>
      <c r="G177" s="253"/>
      <c r="H177" s="286"/>
      <c r="I177" s="9579" t="s">
        <v>135</v>
      </c>
      <c r="J177" s="9581"/>
      <c r="K177" s="105" t="s">
        <v>212</v>
      </c>
      <c r="L177" s="5594"/>
      <c r="M177" s="516" t="s">
        <v>302</v>
      </c>
      <c r="N177" s="516"/>
      <c r="O177" s="516" t="s">
        <v>302</v>
      </c>
      <c r="P177" s="1814"/>
      <c r="Q177" s="5979"/>
      <c r="R177" s="2468"/>
      <c r="S177" s="4849"/>
      <c r="T177" s="99"/>
      <c r="U177" s="138"/>
      <c r="V177" s="138"/>
      <c r="W177" s="299" t="s">
        <v>193</v>
      </c>
      <c r="X177" s="264"/>
      <c r="Y177" s="277"/>
      <c r="Z177" s="187"/>
      <c r="AA177" s="6301"/>
      <c r="AB177" s="139" t="s">
        <v>251</v>
      </c>
      <c r="AC177" s="139"/>
      <c r="AD177" s="139"/>
      <c r="AE177" s="139"/>
      <c r="AF177" s="139"/>
      <c r="AG177" s="139"/>
      <c r="AH177" s="139"/>
      <c r="AI177" s="139"/>
      <c r="AJ177" s="139"/>
      <c r="AK177" s="139"/>
      <c r="AL177" s="139"/>
      <c r="AM177" s="139"/>
      <c r="AN177" s="139"/>
      <c r="AO177" s="139"/>
      <c r="AP177" s="139"/>
      <c r="AQ177" s="139"/>
      <c r="AR177" s="139"/>
      <c r="AS177" s="139"/>
      <c r="AT177" s="139"/>
      <c r="AU177" s="139"/>
      <c r="AV177" s="139"/>
      <c r="AW177" s="139"/>
      <c r="AX177" s="139"/>
      <c r="AY177" s="139"/>
      <c r="AZ177" s="139"/>
      <c r="BA177" s="139"/>
      <c r="BB177" s="139"/>
      <c r="BC177" s="139"/>
      <c r="BD177" s="139"/>
      <c r="BE177" s="139"/>
      <c r="BF177" s="139"/>
      <c r="BG177" s="139"/>
      <c r="BH177" s="139"/>
    </row>
    <row r="178" spans="2:60" s="11" customFormat="1" ht="19.899999999999999" customHeight="1">
      <c r="B178" s="5590"/>
      <c r="C178" s="5598"/>
      <c r="D178" s="9598" t="s">
        <v>137</v>
      </c>
      <c r="E178" s="9600"/>
      <c r="F178" s="285" t="s">
        <v>212</v>
      </c>
      <c r="G178" s="253"/>
      <c r="H178" s="286"/>
      <c r="I178" s="9579" t="s">
        <v>138</v>
      </c>
      <c r="J178" s="9581"/>
      <c r="K178" s="105" t="s">
        <v>212</v>
      </c>
      <c r="L178" s="5594"/>
      <c r="M178" s="1814"/>
      <c r="N178" s="1814"/>
      <c r="O178" s="1814"/>
      <c r="P178" s="5977"/>
      <c r="Q178" s="1814"/>
      <c r="R178" s="2468"/>
      <c r="S178" s="4849"/>
      <c r="T178" s="99"/>
      <c r="U178" s="138"/>
      <c r="V178" s="138"/>
      <c r="W178" s="299" t="s">
        <v>193</v>
      </c>
      <c r="X178" s="264"/>
      <c r="Y178" s="277"/>
      <c r="Z178" s="187"/>
      <c r="AA178" s="6301"/>
      <c r="AB178" s="139"/>
      <c r="AC178" s="139"/>
      <c r="AD178" s="139"/>
      <c r="AE178" s="139"/>
      <c r="AF178" s="139"/>
      <c r="AG178" s="139"/>
      <c r="AH178" s="139"/>
      <c r="AI178" s="139"/>
      <c r="AJ178" s="139"/>
      <c r="AK178" s="139"/>
      <c r="AL178" s="139"/>
      <c r="AM178" s="139"/>
      <c r="AN178" s="139"/>
      <c r="AO178" s="139"/>
      <c r="AP178" s="139"/>
      <c r="AQ178" s="139"/>
      <c r="AR178" s="139"/>
      <c r="AS178" s="139"/>
      <c r="AT178" s="139"/>
      <c r="AU178" s="139"/>
      <c r="AV178" s="139"/>
      <c r="AW178" s="139"/>
      <c r="AX178" s="139"/>
      <c r="AY178" s="139"/>
      <c r="AZ178" s="139"/>
      <c r="BA178" s="139"/>
      <c r="BB178" s="139"/>
      <c r="BC178" s="139"/>
      <c r="BD178" s="139"/>
      <c r="BE178" s="139"/>
      <c r="BF178" s="139"/>
      <c r="BG178" s="139"/>
      <c r="BH178" s="139"/>
    </row>
    <row r="179" spans="2:60" s="11" customFormat="1" ht="19.899999999999999" customHeight="1">
      <c r="B179" s="5590"/>
      <c r="C179" s="5598"/>
      <c r="D179" s="9598" t="s">
        <v>140</v>
      </c>
      <c r="E179" s="9600"/>
      <c r="F179" s="285" t="s">
        <v>212</v>
      </c>
      <c r="G179" s="253"/>
      <c r="H179" s="286"/>
      <c r="I179" s="9582" t="s">
        <v>141</v>
      </c>
      <c r="J179" s="9583"/>
      <c r="K179" s="105" t="s">
        <v>212</v>
      </c>
      <c r="L179" s="2557"/>
      <c r="M179" s="2558"/>
      <c r="N179" s="2558"/>
      <c r="O179" s="2558"/>
      <c r="P179" s="5977"/>
      <c r="Q179" s="2558"/>
      <c r="R179" s="2468"/>
      <c r="S179" s="4849"/>
      <c r="T179" s="99"/>
      <c r="U179" s="138"/>
      <c r="V179" s="138"/>
      <c r="W179" s="299" t="s">
        <v>193</v>
      </c>
      <c r="X179" s="264"/>
      <c r="Y179" s="277"/>
      <c r="Z179" s="187"/>
      <c r="AA179" s="6301"/>
      <c r="AB179" s="139"/>
      <c r="AC179" s="139"/>
      <c r="AD179" s="139"/>
      <c r="AE179" s="139"/>
      <c r="AF179" s="139"/>
      <c r="AG179" s="139"/>
      <c r="AH179" s="139"/>
      <c r="AI179" s="139"/>
      <c r="AJ179" s="139"/>
      <c r="AK179" s="139"/>
      <c r="AL179" s="139"/>
      <c r="AM179" s="139"/>
      <c r="AN179" s="139"/>
      <c r="AO179" s="139"/>
      <c r="AP179" s="139"/>
      <c r="AQ179" s="139"/>
      <c r="AR179" s="139"/>
      <c r="AS179" s="139"/>
      <c r="AT179" s="139"/>
      <c r="AU179" s="139"/>
      <c r="AV179" s="139"/>
      <c r="AW179" s="139"/>
      <c r="AX179" s="139"/>
      <c r="AY179" s="139"/>
      <c r="AZ179" s="139"/>
      <c r="BA179" s="139"/>
      <c r="BB179" s="139"/>
      <c r="BC179" s="139"/>
      <c r="BD179" s="139"/>
      <c r="BE179" s="139"/>
      <c r="BF179" s="139"/>
      <c r="BG179" s="139"/>
      <c r="BH179" s="139"/>
    </row>
    <row r="180" spans="2:60" s="11" customFormat="1" ht="19.899999999999999" customHeight="1">
      <c r="B180" s="5590"/>
      <c r="C180" s="5598"/>
      <c r="D180" s="9598" t="s">
        <v>143</v>
      </c>
      <c r="E180" s="9600"/>
      <c r="F180" s="285" t="s">
        <v>212</v>
      </c>
      <c r="G180" s="253"/>
      <c r="H180" s="286"/>
      <c r="I180" s="9582" t="s">
        <v>144</v>
      </c>
      <c r="J180" s="9583"/>
      <c r="K180" s="105" t="s">
        <v>212</v>
      </c>
      <c r="L180" s="5592"/>
      <c r="M180" s="5948"/>
      <c r="N180" s="5948"/>
      <c r="O180" s="5948"/>
      <c r="P180" s="5948"/>
      <c r="Q180" s="5948"/>
      <c r="R180" s="2468"/>
      <c r="S180" s="6339"/>
      <c r="T180" s="99"/>
      <c r="U180" s="138"/>
      <c r="V180" s="138"/>
      <c r="W180" s="299" t="s">
        <v>193</v>
      </c>
      <c r="X180" s="264"/>
      <c r="Y180" s="277"/>
      <c r="Z180" s="187"/>
      <c r="AA180" s="6301"/>
      <c r="AB180" s="139"/>
      <c r="AC180" s="139"/>
      <c r="AD180" s="139"/>
      <c r="AE180" s="139"/>
      <c r="AF180" s="139"/>
      <c r="AG180" s="139"/>
      <c r="AH180" s="139"/>
      <c r="AI180" s="139"/>
      <c r="AJ180" s="139"/>
      <c r="AK180" s="139"/>
      <c r="AL180" s="139"/>
      <c r="AM180" s="139"/>
      <c r="AN180" s="139"/>
      <c r="AO180" s="139"/>
      <c r="AP180" s="139"/>
      <c r="AQ180" s="139"/>
      <c r="AR180" s="139"/>
      <c r="AS180" s="139"/>
      <c r="AT180" s="139"/>
      <c r="AU180" s="139"/>
      <c r="AV180" s="139"/>
      <c r="AW180" s="139"/>
      <c r="AX180" s="139"/>
      <c r="AY180" s="139"/>
      <c r="AZ180" s="139"/>
      <c r="BA180" s="139"/>
      <c r="BB180" s="139"/>
      <c r="BC180" s="139"/>
      <c r="BD180" s="139"/>
      <c r="BE180" s="139"/>
      <c r="BF180" s="139"/>
      <c r="BG180" s="139"/>
      <c r="BH180" s="139"/>
    </row>
    <row r="181" spans="2:60" s="11" customFormat="1" ht="19.899999999999999" customHeight="1">
      <c r="B181" s="5590"/>
      <c r="C181" s="5598"/>
      <c r="D181" s="9598" t="s">
        <v>631</v>
      </c>
      <c r="E181" s="9600"/>
      <c r="F181" s="285" t="s">
        <v>212</v>
      </c>
      <c r="G181" s="253"/>
      <c r="H181" s="286"/>
      <c r="I181" s="9582" t="s">
        <v>147</v>
      </c>
      <c r="J181" s="9583"/>
      <c r="K181" s="105" t="s">
        <v>212</v>
      </c>
      <c r="L181" s="5592" t="s">
        <v>169</v>
      </c>
      <c r="M181" s="5948" t="s">
        <v>641</v>
      </c>
      <c r="N181" s="5948" t="s">
        <v>169</v>
      </c>
      <c r="O181" s="5948" t="s">
        <v>641</v>
      </c>
      <c r="P181" s="5841" t="s">
        <v>169</v>
      </c>
      <c r="Q181" s="5948" t="s">
        <v>641</v>
      </c>
      <c r="R181" s="6339"/>
      <c r="S181" s="2470"/>
      <c r="T181" s="99"/>
      <c r="U181" s="138"/>
      <c r="V181" s="138"/>
      <c r="W181" s="299" t="s">
        <v>193</v>
      </c>
      <c r="X181" s="264"/>
      <c r="Y181" s="277"/>
      <c r="Z181" s="187"/>
      <c r="AA181" s="6301"/>
      <c r="AB181" s="139"/>
      <c r="AC181" s="139"/>
      <c r="AD181" s="139"/>
      <c r="AE181" s="139"/>
      <c r="AF181" s="139"/>
      <c r="AG181" s="139"/>
      <c r="AH181" s="139"/>
      <c r="AI181" s="139"/>
      <c r="AJ181" s="139"/>
      <c r="AK181" s="139"/>
      <c r="AL181" s="139"/>
      <c r="AM181" s="139"/>
      <c r="AN181" s="139"/>
      <c r="AO181" s="139"/>
      <c r="AP181" s="139"/>
      <c r="AQ181" s="139"/>
      <c r="AR181" s="139"/>
      <c r="AS181" s="139"/>
      <c r="AT181" s="139"/>
      <c r="AU181" s="139"/>
      <c r="AV181" s="139"/>
      <c r="AW181" s="139"/>
      <c r="AX181" s="139"/>
      <c r="AY181" s="139"/>
      <c r="AZ181" s="139"/>
      <c r="BA181" s="139"/>
      <c r="BB181" s="139"/>
      <c r="BC181" s="139"/>
      <c r="BD181" s="139"/>
      <c r="BE181" s="139"/>
      <c r="BF181" s="139"/>
      <c r="BG181" s="139"/>
      <c r="BH181" s="139"/>
    </row>
    <row r="182" spans="2:60" s="11" customFormat="1" ht="19.899999999999999" customHeight="1">
      <c r="B182" s="5590"/>
      <c r="C182" s="5598"/>
      <c r="D182" s="9598" t="s">
        <v>633</v>
      </c>
      <c r="E182" s="9600"/>
      <c r="F182" s="285" t="s">
        <v>212</v>
      </c>
      <c r="G182" s="253"/>
      <c r="H182" s="286"/>
      <c r="I182" s="9582" t="s">
        <v>150</v>
      </c>
      <c r="J182" s="9583"/>
      <c r="K182" s="105" t="s">
        <v>212</v>
      </c>
      <c r="L182" s="5592"/>
      <c r="M182" s="5948"/>
      <c r="N182" s="5948"/>
      <c r="O182" s="5948"/>
      <c r="P182" s="5948"/>
      <c r="Q182" s="5948"/>
      <c r="R182" s="2470"/>
      <c r="S182" s="4849"/>
      <c r="T182" s="99"/>
      <c r="U182" s="138"/>
      <c r="V182" s="138"/>
      <c r="W182" s="299" t="s">
        <v>193</v>
      </c>
      <c r="X182" s="264"/>
      <c r="Y182" s="277"/>
      <c r="Z182" s="187"/>
      <c r="AA182" s="6301"/>
      <c r="AB182" s="139"/>
      <c r="AC182" s="139"/>
      <c r="AD182" s="139"/>
      <c r="AE182" s="139"/>
      <c r="AF182" s="139"/>
      <c r="AG182" s="139"/>
      <c r="AH182" s="139"/>
      <c r="AI182" s="139"/>
      <c r="AJ182" s="139"/>
      <c r="AK182" s="139"/>
      <c r="AL182" s="139"/>
      <c r="AM182" s="139"/>
      <c r="AN182" s="139"/>
      <c r="AO182" s="139"/>
      <c r="AP182" s="139"/>
      <c r="AQ182" s="139"/>
      <c r="AR182" s="139"/>
      <c r="AS182" s="139"/>
      <c r="AT182" s="139"/>
      <c r="AU182" s="139"/>
      <c r="AV182" s="139"/>
      <c r="AW182" s="139"/>
      <c r="AX182" s="139"/>
      <c r="AY182" s="139"/>
      <c r="AZ182" s="139"/>
      <c r="BA182" s="139"/>
      <c r="BB182" s="139"/>
      <c r="BC182" s="139"/>
      <c r="BD182" s="139"/>
      <c r="BE182" s="139"/>
      <c r="BF182" s="139"/>
      <c r="BG182" s="139"/>
      <c r="BH182" s="139"/>
    </row>
    <row r="183" spans="2:60" s="11" customFormat="1" ht="20.100000000000001" customHeight="1">
      <c r="B183" s="1360"/>
      <c r="C183" s="1355"/>
      <c r="D183" s="9586" t="s">
        <v>230</v>
      </c>
      <c r="E183" s="9588"/>
      <c r="F183" s="285" t="s">
        <v>212</v>
      </c>
      <c r="G183" s="286"/>
      <c r="H183" s="386"/>
      <c r="I183" s="9586" t="s">
        <v>231</v>
      </c>
      <c r="J183" s="9588"/>
      <c r="K183" s="105" t="s">
        <v>212</v>
      </c>
      <c r="L183" s="5653" t="str">
        <f>IF(COUNTBLANK(L184:L189)&gt;0,"미취합법인有",SUM(L184:L189))</f>
        <v>미취합법인有</v>
      </c>
      <c r="M183" s="5945"/>
      <c r="N183" s="5945" t="str">
        <f>IF(COUNTBLANK(N184:N189)&gt;0,"미취합법인有",SUM(N184:N189))</f>
        <v>미취합법인有</v>
      </c>
      <c r="O183" s="5945"/>
      <c r="P183" s="5946">
        <f>IF(COUNTBLANK(P184:P189)&gt;0,"미취합법인有",SUM(P184:P189))</f>
        <v>164095.90531277459</v>
      </c>
      <c r="Q183" s="5945"/>
      <c r="R183" s="4849"/>
      <c r="S183" s="4849"/>
      <c r="T183" s="99" t="s">
        <v>206</v>
      </c>
      <c r="U183" s="138"/>
      <c r="V183" s="138"/>
      <c r="W183" s="299" t="s">
        <v>193</v>
      </c>
      <c r="X183" s="264" t="s">
        <v>250</v>
      </c>
      <c r="Y183" s="265"/>
      <c r="Z183" s="187"/>
      <c r="AA183" s="6301"/>
      <c r="AB183" s="139"/>
      <c r="AC183" s="139"/>
      <c r="AD183" s="139"/>
      <c r="AE183" s="139"/>
      <c r="AF183" s="139"/>
      <c r="AG183" s="139"/>
      <c r="AH183" s="139"/>
      <c r="AI183" s="139"/>
      <c r="AJ183" s="139"/>
      <c r="AK183" s="139"/>
      <c r="AL183" s="139"/>
      <c r="AM183" s="139"/>
      <c r="AN183" s="139"/>
      <c r="AO183" s="139"/>
      <c r="AP183" s="139"/>
      <c r="AQ183" s="139"/>
      <c r="AR183" s="139"/>
      <c r="AS183" s="139"/>
      <c r="AT183" s="139"/>
      <c r="AU183" s="139"/>
      <c r="AV183" s="139"/>
      <c r="AW183" s="139"/>
      <c r="AX183" s="139"/>
      <c r="AY183" s="139"/>
      <c r="AZ183" s="139"/>
      <c r="BA183" s="139"/>
      <c r="BB183" s="139"/>
      <c r="BC183" s="139"/>
      <c r="BD183" s="139"/>
      <c r="BE183" s="139"/>
      <c r="BF183" s="139"/>
      <c r="BG183" s="139"/>
      <c r="BH183" s="139"/>
    </row>
    <row r="184" spans="2:60" s="11" customFormat="1" ht="19.899999999999999" customHeight="1">
      <c r="B184" s="5590"/>
      <c r="C184" s="5598"/>
      <c r="D184" s="9598" t="s">
        <v>134</v>
      </c>
      <c r="E184" s="9600"/>
      <c r="F184" s="285" t="s">
        <v>212</v>
      </c>
      <c r="G184" s="253"/>
      <c r="H184" s="286"/>
      <c r="I184" s="9579" t="s">
        <v>135</v>
      </c>
      <c r="J184" s="9581"/>
      <c r="K184" s="105" t="s">
        <v>212</v>
      </c>
      <c r="L184" s="5839">
        <v>60746.31</v>
      </c>
      <c r="M184" s="6079" t="s">
        <v>302</v>
      </c>
      <c r="N184" s="6056">
        <v>71356</v>
      </c>
      <c r="O184" s="6079" t="s">
        <v>302</v>
      </c>
      <c r="P184" s="6056">
        <v>69731</v>
      </c>
      <c r="Q184" s="1814"/>
      <c r="R184" s="2468"/>
      <c r="S184" s="4849"/>
      <c r="T184" s="99"/>
      <c r="U184" s="138"/>
      <c r="V184" s="138"/>
      <c r="W184" s="299" t="s">
        <v>193</v>
      </c>
      <c r="X184" s="264"/>
      <c r="Y184" s="277"/>
      <c r="Z184" s="187"/>
      <c r="AA184" s="6301"/>
      <c r="AB184" s="139"/>
      <c r="AC184" s="139"/>
      <c r="AD184" s="139"/>
      <c r="AE184" s="139"/>
      <c r="AF184" s="139"/>
      <c r="AG184" s="139"/>
      <c r="AH184" s="139"/>
      <c r="AI184" s="139"/>
      <c r="AJ184" s="139"/>
      <c r="AK184" s="139"/>
      <c r="AL184" s="139"/>
      <c r="AM184" s="139"/>
      <c r="AN184" s="139"/>
      <c r="AO184" s="139"/>
      <c r="AP184" s="139"/>
      <c r="AQ184" s="139"/>
      <c r="AR184" s="139"/>
      <c r="AS184" s="139"/>
      <c r="AT184" s="139"/>
      <c r="AU184" s="139"/>
      <c r="AV184" s="139"/>
      <c r="AW184" s="139"/>
      <c r="AX184" s="139"/>
      <c r="AY184" s="139"/>
      <c r="AZ184" s="139"/>
      <c r="BA184" s="139"/>
      <c r="BB184" s="139"/>
      <c r="BC184" s="139"/>
      <c r="BD184" s="139"/>
      <c r="BE184" s="139"/>
      <c r="BF184" s="139"/>
      <c r="BG184" s="139"/>
      <c r="BH184" s="139"/>
    </row>
    <row r="185" spans="2:60" s="11" customFormat="1" ht="19.899999999999999" customHeight="1">
      <c r="B185" s="5590"/>
      <c r="C185" s="5598"/>
      <c r="D185" s="9598" t="s">
        <v>137</v>
      </c>
      <c r="E185" s="9600"/>
      <c r="F185" s="285" t="s">
        <v>212</v>
      </c>
      <c r="G185" s="253"/>
      <c r="H185" s="286"/>
      <c r="I185" s="9579" t="s">
        <v>138</v>
      </c>
      <c r="J185" s="9581"/>
      <c r="K185" s="105" t="s">
        <v>212</v>
      </c>
      <c r="L185" s="5839"/>
      <c r="M185" s="6079"/>
      <c r="N185" s="6056"/>
      <c r="O185" s="6079"/>
      <c r="P185" s="6080">
        <v>556.83399999999995</v>
      </c>
      <c r="Q185" s="1814"/>
      <c r="R185" s="2468"/>
      <c r="S185" s="6339"/>
      <c r="T185" s="99"/>
      <c r="U185" s="138"/>
      <c r="V185" s="138"/>
      <c r="W185" s="299" t="s">
        <v>193</v>
      </c>
      <c r="X185" s="264"/>
      <c r="Y185" s="277"/>
      <c r="Z185" s="187"/>
      <c r="AA185" s="6301"/>
      <c r="AB185" s="139"/>
      <c r="AC185" s="139"/>
      <c r="AD185" s="139"/>
      <c r="AE185" s="139"/>
      <c r="AF185" s="139"/>
      <c r="AG185" s="139"/>
      <c r="AH185" s="139"/>
      <c r="AI185" s="139"/>
      <c r="AJ185" s="139"/>
      <c r="AK185" s="139"/>
      <c r="AL185" s="139"/>
      <c r="AM185" s="139"/>
      <c r="AN185" s="139"/>
      <c r="AO185" s="139"/>
      <c r="AP185" s="139"/>
      <c r="AQ185" s="139"/>
      <c r="AR185" s="139"/>
      <c r="AS185" s="139"/>
      <c r="AT185" s="139"/>
      <c r="AU185" s="139"/>
      <c r="AV185" s="139"/>
      <c r="AW185" s="139"/>
      <c r="AX185" s="139"/>
      <c r="AY185" s="139"/>
      <c r="AZ185" s="139"/>
      <c r="BA185" s="139"/>
      <c r="BB185" s="139"/>
      <c r="BC185" s="139"/>
      <c r="BD185" s="139"/>
      <c r="BE185" s="139"/>
      <c r="BF185" s="139"/>
      <c r="BG185" s="139"/>
      <c r="BH185" s="139"/>
    </row>
    <row r="186" spans="2:60" s="11" customFormat="1" ht="19.899999999999999" customHeight="1">
      <c r="B186" s="5590"/>
      <c r="C186" s="5598"/>
      <c r="D186" s="9598" t="s">
        <v>140</v>
      </c>
      <c r="E186" s="9600"/>
      <c r="F186" s="285" t="s">
        <v>212</v>
      </c>
      <c r="G186" s="253"/>
      <c r="H186" s="286"/>
      <c r="I186" s="9582" t="s">
        <v>141</v>
      </c>
      <c r="J186" s="9583"/>
      <c r="K186" s="105" t="s">
        <v>212</v>
      </c>
      <c r="L186" s="5324">
        <v>108986.20006197746</v>
      </c>
      <c r="M186" s="972"/>
      <c r="N186" s="1932">
        <v>92402.921378387007</v>
      </c>
      <c r="O186" s="972"/>
      <c r="P186" s="5978">
        <v>93808.071312774584</v>
      </c>
      <c r="Q186" s="2558"/>
      <c r="R186" s="2468"/>
      <c r="S186" s="2470"/>
      <c r="T186" s="99"/>
      <c r="U186" s="138"/>
      <c r="V186" s="138"/>
      <c r="W186" s="299" t="s">
        <v>193</v>
      </c>
      <c r="X186" s="264"/>
      <c r="Y186" s="277"/>
      <c r="Z186" s="187"/>
      <c r="AA186" s="6301"/>
      <c r="AB186" s="139"/>
      <c r="AC186" s="139"/>
      <c r="AD186" s="139"/>
      <c r="AE186" s="139"/>
      <c r="AF186" s="139"/>
      <c r="AG186" s="139"/>
      <c r="AH186" s="139"/>
      <c r="AI186" s="139"/>
      <c r="AJ186" s="139"/>
      <c r="AK186" s="139"/>
      <c r="AL186" s="139"/>
      <c r="AM186" s="139"/>
      <c r="AN186" s="139"/>
      <c r="AO186" s="139"/>
      <c r="AP186" s="139"/>
      <c r="AQ186" s="139"/>
      <c r="AR186" s="139"/>
      <c r="AS186" s="139"/>
      <c r="AT186" s="139"/>
      <c r="AU186" s="139"/>
      <c r="AV186" s="139"/>
      <c r="AW186" s="139"/>
      <c r="AX186" s="139"/>
      <c r="AY186" s="139"/>
      <c r="AZ186" s="139"/>
      <c r="BA186" s="139"/>
      <c r="BB186" s="139"/>
      <c r="BC186" s="139"/>
      <c r="BD186" s="139"/>
      <c r="BE186" s="139"/>
      <c r="BF186" s="139"/>
      <c r="BG186" s="139"/>
      <c r="BH186" s="139"/>
    </row>
    <row r="187" spans="2:60" s="11" customFormat="1" ht="19.899999999999999" customHeight="1">
      <c r="B187" s="5590"/>
      <c r="C187" s="5598"/>
      <c r="D187" s="9598" t="s">
        <v>143</v>
      </c>
      <c r="E187" s="9600"/>
      <c r="F187" s="285" t="s">
        <v>212</v>
      </c>
      <c r="G187" s="253"/>
      <c r="H187" s="286"/>
      <c r="I187" s="9582" t="s">
        <v>144</v>
      </c>
      <c r="J187" s="9583"/>
      <c r="K187" s="105" t="s">
        <v>212</v>
      </c>
      <c r="L187" s="5592">
        <v>0</v>
      </c>
      <c r="M187" s="5948"/>
      <c r="N187" s="5948">
        <v>0</v>
      </c>
      <c r="O187" s="5948"/>
      <c r="P187" s="5948">
        <v>0</v>
      </c>
      <c r="Q187" s="5948"/>
      <c r="R187" s="2468"/>
      <c r="S187" s="4849"/>
      <c r="T187" s="99"/>
      <c r="U187" s="138"/>
      <c r="V187" s="138"/>
      <c r="W187" s="299" t="s">
        <v>193</v>
      </c>
      <c r="X187" s="264"/>
      <c r="Y187" s="277"/>
      <c r="Z187" s="187"/>
      <c r="AA187" s="6301"/>
      <c r="AB187" s="139"/>
      <c r="AC187" s="139"/>
      <c r="AD187" s="139"/>
      <c r="AE187" s="139"/>
      <c r="AF187" s="139"/>
      <c r="AG187" s="139"/>
      <c r="AH187" s="139"/>
      <c r="AI187" s="139"/>
      <c r="AJ187" s="139"/>
      <c r="AK187" s="139"/>
      <c r="AL187" s="139"/>
      <c r="AM187" s="139"/>
      <c r="AN187" s="139"/>
      <c r="AO187" s="139"/>
      <c r="AP187" s="139"/>
      <c r="AQ187" s="139"/>
      <c r="AR187" s="139"/>
      <c r="AS187" s="139"/>
      <c r="AT187" s="139"/>
      <c r="AU187" s="139"/>
      <c r="AV187" s="139"/>
      <c r="AW187" s="139"/>
      <c r="AX187" s="139"/>
      <c r="AY187" s="139"/>
      <c r="AZ187" s="139"/>
      <c r="BA187" s="139"/>
      <c r="BB187" s="139"/>
      <c r="BC187" s="139"/>
      <c r="BD187" s="139"/>
      <c r="BE187" s="139"/>
      <c r="BF187" s="139"/>
      <c r="BG187" s="139"/>
      <c r="BH187" s="139"/>
    </row>
    <row r="188" spans="2:60" s="11" customFormat="1" ht="19.899999999999999" customHeight="1">
      <c r="B188" s="5590"/>
      <c r="C188" s="5598"/>
      <c r="D188" s="9598" t="s">
        <v>631</v>
      </c>
      <c r="E188" s="9600"/>
      <c r="F188" s="285" t="s">
        <v>212</v>
      </c>
      <c r="G188" s="253"/>
      <c r="H188" s="286"/>
      <c r="I188" s="9582" t="s">
        <v>147</v>
      </c>
      <c r="J188" s="9583"/>
      <c r="K188" s="105" t="s">
        <v>212</v>
      </c>
      <c r="L188" s="5967" t="s">
        <v>168</v>
      </c>
      <c r="M188" s="5948" t="s">
        <v>641</v>
      </c>
      <c r="N188" s="5948" t="s">
        <v>168</v>
      </c>
      <c r="O188" s="5948" t="s">
        <v>641</v>
      </c>
      <c r="P188" s="5948" t="s">
        <v>168</v>
      </c>
      <c r="Q188" s="5948" t="s">
        <v>641</v>
      </c>
      <c r="R188" s="2468"/>
      <c r="S188" s="4849"/>
      <c r="T188" s="99"/>
      <c r="U188" s="138"/>
      <c r="V188" s="138"/>
      <c r="W188" s="299" t="s">
        <v>193</v>
      </c>
      <c r="X188" s="264"/>
      <c r="Y188" s="277"/>
      <c r="Z188" s="187"/>
      <c r="AA188" s="6301"/>
      <c r="AB188" s="139"/>
      <c r="AC188" s="139"/>
      <c r="AD188" s="139"/>
      <c r="AE188" s="139"/>
      <c r="AF188" s="139"/>
      <c r="AG188" s="139"/>
      <c r="AH188" s="139"/>
      <c r="AI188" s="139"/>
      <c r="AJ188" s="139"/>
      <c r="AK188" s="139"/>
      <c r="AL188" s="139"/>
      <c r="AM188" s="139"/>
      <c r="AN188" s="139"/>
      <c r="AO188" s="139"/>
      <c r="AP188" s="139"/>
      <c r="AQ188" s="139"/>
      <c r="AR188" s="139"/>
      <c r="AS188" s="139"/>
      <c r="AT188" s="139"/>
      <c r="AU188" s="139"/>
      <c r="AV188" s="139"/>
      <c r="AW188" s="139"/>
      <c r="AX188" s="139"/>
      <c r="AY188" s="139"/>
      <c r="AZ188" s="139"/>
      <c r="BA188" s="139"/>
      <c r="BB188" s="139"/>
      <c r="BC188" s="139"/>
      <c r="BD188" s="139"/>
      <c r="BE188" s="139"/>
      <c r="BF188" s="139"/>
      <c r="BG188" s="139"/>
      <c r="BH188" s="139"/>
    </row>
    <row r="189" spans="2:60" s="11" customFormat="1" ht="19.899999999999999" customHeight="1">
      <c r="B189" s="5590"/>
      <c r="C189" s="6350"/>
      <c r="D189" s="9653" t="s">
        <v>633</v>
      </c>
      <c r="E189" s="9654"/>
      <c r="F189" s="997" t="s">
        <v>212</v>
      </c>
      <c r="G189" s="253"/>
      <c r="H189" s="286"/>
      <c r="I189" s="9582" t="s">
        <v>150</v>
      </c>
      <c r="J189" s="9583"/>
      <c r="K189" s="105" t="s">
        <v>212</v>
      </c>
      <c r="L189" s="6243" t="s">
        <v>168</v>
      </c>
      <c r="M189" s="6103" t="s">
        <v>641</v>
      </c>
      <c r="N189" s="6103" t="s">
        <v>168</v>
      </c>
      <c r="O189" s="6103" t="s">
        <v>641</v>
      </c>
      <c r="P189" s="6103" t="s">
        <v>168</v>
      </c>
      <c r="Q189" s="6103" t="s">
        <v>641</v>
      </c>
      <c r="R189" s="6339"/>
      <c r="S189" s="4849"/>
      <c r="T189" s="99"/>
      <c r="U189" s="138"/>
      <c r="V189" s="138"/>
      <c r="W189" s="299" t="s">
        <v>193</v>
      </c>
      <c r="X189" s="264"/>
      <c r="Y189" s="277"/>
      <c r="Z189" s="187"/>
      <c r="AA189" s="6301"/>
      <c r="AB189" s="139"/>
      <c r="AC189" s="139"/>
      <c r="AD189" s="139"/>
      <c r="AE189" s="139"/>
      <c r="AF189" s="139"/>
      <c r="AG189" s="139"/>
      <c r="AH189" s="139"/>
      <c r="AI189" s="139"/>
      <c r="AJ189" s="139"/>
      <c r="AK189" s="139"/>
      <c r="AL189" s="139"/>
      <c r="AM189" s="139"/>
      <c r="AN189" s="139"/>
      <c r="AO189" s="139"/>
      <c r="AP189" s="139"/>
      <c r="AQ189" s="139"/>
      <c r="AR189" s="139"/>
      <c r="AS189" s="139"/>
      <c r="AT189" s="139"/>
      <c r="AU189" s="139"/>
      <c r="AV189" s="139"/>
      <c r="AW189" s="139"/>
      <c r="AX189" s="139"/>
      <c r="AY189" s="139"/>
      <c r="AZ189" s="139"/>
      <c r="BA189" s="139"/>
      <c r="BB189" s="139"/>
      <c r="BC189" s="139"/>
      <c r="BD189" s="139"/>
      <c r="BE189" s="139"/>
      <c r="BF189" s="139"/>
      <c r="BG189" s="139"/>
      <c r="BH189" s="139"/>
    </row>
    <row r="190" spans="2:60" s="11" customFormat="1" ht="20.100000000000001" customHeight="1">
      <c r="B190" s="6349"/>
      <c r="C190" s="9690" t="s">
        <v>661</v>
      </c>
      <c r="D190" s="9691"/>
      <c r="E190" s="6139"/>
      <c r="F190" s="6185"/>
      <c r="G190" s="9720" t="s">
        <v>244</v>
      </c>
      <c r="H190" s="9720" t="s">
        <v>244</v>
      </c>
      <c r="I190" s="9720"/>
      <c r="J190" s="9721"/>
      <c r="K190" s="9716"/>
      <c r="L190" s="9691"/>
      <c r="M190" s="9691"/>
      <c r="N190" s="9691"/>
      <c r="O190" s="9691"/>
      <c r="P190" s="9691"/>
      <c r="Q190" s="6351"/>
      <c r="R190" s="4849"/>
      <c r="S190" s="4849"/>
      <c r="T190" s="99" t="s">
        <v>206</v>
      </c>
      <c r="U190" s="138"/>
      <c r="V190" s="138"/>
      <c r="W190" s="99"/>
      <c r="X190" s="264"/>
      <c r="Y190" s="265" t="s">
        <v>662</v>
      </c>
      <c r="Z190" s="187"/>
      <c r="AA190" s="6301"/>
      <c r="AB190" s="139"/>
      <c r="AC190" s="139"/>
      <c r="AD190" s="139"/>
      <c r="AE190" s="139"/>
      <c r="AF190" s="139"/>
      <c r="AG190" s="139"/>
      <c r="AH190" s="139"/>
      <c r="AI190" s="139"/>
      <c r="AJ190" s="139"/>
      <c r="AK190" s="139"/>
      <c r="AL190" s="139"/>
      <c r="AM190" s="139"/>
      <c r="AN190" s="139"/>
      <c r="AO190" s="139"/>
      <c r="AP190" s="139"/>
      <c r="AQ190" s="139"/>
      <c r="AR190" s="139"/>
      <c r="AS190" s="139"/>
      <c r="AT190" s="139"/>
      <c r="AU190" s="139"/>
      <c r="AV190" s="139"/>
      <c r="AW190" s="139"/>
      <c r="AX190" s="139"/>
      <c r="AY190" s="139"/>
      <c r="AZ190" s="139"/>
      <c r="BA190" s="139"/>
      <c r="BB190" s="139"/>
      <c r="BC190" s="139"/>
      <c r="BD190" s="139"/>
      <c r="BE190" s="139"/>
      <c r="BF190" s="139"/>
      <c r="BG190" s="139"/>
      <c r="BH190" s="139"/>
    </row>
    <row r="191" spans="2:60" s="11" customFormat="1" ht="20.100000000000001" customHeight="1">
      <c r="B191" s="1360"/>
      <c r="C191" s="5598"/>
      <c r="D191" s="9618" t="s">
        <v>663</v>
      </c>
      <c r="E191" s="9655"/>
      <c r="F191" s="1143" t="s">
        <v>212</v>
      </c>
      <c r="G191" s="286"/>
      <c r="H191" s="386"/>
      <c r="I191" s="9586" t="s">
        <v>664</v>
      </c>
      <c r="J191" s="9588"/>
      <c r="K191" s="105" t="s">
        <v>212</v>
      </c>
      <c r="L191" s="5653" t="str">
        <f>IF(COUNTBLANK(L192:L197)&gt;0,"미취합법인有",SUM(L192:L197))</f>
        <v>미취합법인有</v>
      </c>
      <c r="M191" s="5657"/>
      <c r="N191" s="5654" t="str">
        <f>IF(COUNTBLANK(N192:N197)&gt;0,"미취합법인有",SUM(N192:N197))</f>
        <v>미취합법인有</v>
      </c>
      <c r="O191" s="5663"/>
      <c r="P191" s="6244" t="str">
        <f>IF(COUNTBLANK(P192:P197)&gt;0,"미취합법인有",SUM(P192:P197))</f>
        <v>미취합법인有</v>
      </c>
      <c r="Q191" s="5654"/>
      <c r="R191" s="4849"/>
      <c r="S191" s="1856"/>
      <c r="T191" s="99"/>
      <c r="U191" s="138"/>
      <c r="V191" s="138"/>
      <c r="W191" s="99"/>
      <c r="X191" s="277"/>
      <c r="Y191" s="265" t="s">
        <v>246</v>
      </c>
      <c r="Z191" s="187"/>
      <c r="AA191" s="6301"/>
      <c r="AB191" s="139"/>
      <c r="AC191" s="139"/>
      <c r="AD191" s="139"/>
      <c r="AE191" s="139"/>
      <c r="AF191" s="139"/>
      <c r="AG191" s="139"/>
      <c r="AH191" s="139"/>
      <c r="AI191" s="139"/>
      <c r="AJ191" s="139"/>
      <c r="AK191" s="139"/>
      <c r="AL191" s="139"/>
      <c r="AM191" s="139"/>
      <c r="AN191" s="139"/>
      <c r="AO191" s="139"/>
      <c r="AP191" s="139"/>
      <c r="AQ191" s="139"/>
      <c r="AR191" s="139"/>
      <c r="AS191" s="139"/>
      <c r="AT191" s="139"/>
      <c r="AU191" s="139"/>
      <c r="AV191" s="139"/>
      <c r="AW191" s="139"/>
      <c r="AX191" s="139"/>
      <c r="AY191" s="139"/>
      <c r="AZ191" s="139"/>
      <c r="BA191" s="139"/>
      <c r="BB191" s="139"/>
      <c r="BC191" s="139"/>
      <c r="BD191" s="139"/>
      <c r="BE191" s="139"/>
      <c r="BF191" s="139"/>
      <c r="BG191" s="139"/>
      <c r="BH191" s="139"/>
    </row>
    <row r="192" spans="2:60" s="11" customFormat="1" ht="19.899999999999999" customHeight="1">
      <c r="B192" s="5590"/>
      <c r="C192" s="5598"/>
      <c r="D192" s="9598" t="s">
        <v>134</v>
      </c>
      <c r="E192" s="9600"/>
      <c r="F192" s="285" t="s">
        <v>212</v>
      </c>
      <c r="G192" s="253"/>
      <c r="H192" s="286"/>
      <c r="I192" s="9579" t="s">
        <v>135</v>
      </c>
      <c r="J192" s="9581"/>
      <c r="K192" s="105" t="s">
        <v>212</v>
      </c>
      <c r="L192" s="5839">
        <v>90450</v>
      </c>
      <c r="M192" s="5840"/>
      <c r="N192" s="6056">
        <v>81175</v>
      </c>
      <c r="O192" s="6057"/>
      <c r="P192" s="6057">
        <v>80191</v>
      </c>
      <c r="Q192" s="1814"/>
      <c r="R192" s="2468"/>
      <c r="S192" s="276"/>
      <c r="T192" s="99"/>
      <c r="U192" s="138"/>
      <c r="V192" s="138"/>
      <c r="W192" s="99"/>
      <c r="X192" s="264"/>
      <c r="Y192" s="277"/>
      <c r="Z192" s="187"/>
      <c r="AA192" s="6301"/>
      <c r="AB192" s="139"/>
      <c r="AC192" s="139"/>
      <c r="AD192" s="139"/>
      <c r="AE192" s="139"/>
      <c r="AF192" s="139"/>
      <c r="AG192" s="139"/>
      <c r="AH192" s="139"/>
      <c r="AI192" s="139"/>
      <c r="AJ192" s="139"/>
      <c r="AK192" s="139"/>
      <c r="AL192" s="139"/>
      <c r="AM192" s="139"/>
      <c r="AN192" s="139"/>
      <c r="AO192" s="139"/>
      <c r="AP192" s="139"/>
      <c r="AQ192" s="139"/>
      <c r="AR192" s="139"/>
      <c r="AS192" s="139"/>
      <c r="AT192" s="139"/>
      <c r="AU192" s="139"/>
      <c r="AV192" s="139"/>
      <c r="AW192" s="139"/>
      <c r="AX192" s="139"/>
      <c r="AY192" s="139"/>
      <c r="AZ192" s="139"/>
      <c r="BA192" s="139"/>
      <c r="BB192" s="139"/>
      <c r="BC192" s="139"/>
      <c r="BD192" s="139"/>
      <c r="BE192" s="139"/>
      <c r="BF192" s="139"/>
      <c r="BG192" s="139"/>
      <c r="BH192" s="139"/>
    </row>
    <row r="193" spans="2:60" s="11" customFormat="1" ht="19.899999999999999" customHeight="1">
      <c r="B193" s="5590"/>
      <c r="C193" s="5598"/>
      <c r="D193" s="9598" t="s">
        <v>137</v>
      </c>
      <c r="E193" s="9600"/>
      <c r="F193" s="285" t="s">
        <v>212</v>
      </c>
      <c r="G193" s="253"/>
      <c r="H193" s="286"/>
      <c r="I193" s="9579" t="s">
        <v>138</v>
      </c>
      <c r="J193" s="9581"/>
      <c r="K193" s="105" t="s">
        <v>212</v>
      </c>
      <c r="L193" s="5594"/>
      <c r="M193" s="5658"/>
      <c r="N193" s="1814"/>
      <c r="O193" s="5302"/>
      <c r="P193" s="5595"/>
      <c r="Q193" s="1814"/>
      <c r="R193" s="4849"/>
      <c r="S193" s="276"/>
      <c r="T193" s="99"/>
      <c r="U193" s="138"/>
      <c r="V193" s="138"/>
      <c r="W193" s="99"/>
      <c r="X193" s="264"/>
      <c r="Y193" s="277"/>
      <c r="Z193" s="187"/>
      <c r="AA193" s="6301"/>
      <c r="AB193" s="139"/>
      <c r="AC193" s="139"/>
      <c r="AD193" s="139"/>
      <c r="AE193" s="139"/>
      <c r="AF193" s="139"/>
      <c r="AG193" s="139"/>
      <c r="AH193" s="139"/>
      <c r="AI193" s="139"/>
      <c r="AJ193" s="139"/>
      <c r="AK193" s="139"/>
      <c r="AL193" s="139"/>
      <c r="AM193" s="139"/>
      <c r="AN193" s="139"/>
      <c r="AO193" s="139"/>
      <c r="AP193" s="139"/>
      <c r="AQ193" s="139"/>
      <c r="AR193" s="139"/>
      <c r="AS193" s="139"/>
      <c r="AT193" s="139"/>
      <c r="AU193" s="139"/>
      <c r="AV193" s="139"/>
      <c r="AW193" s="139"/>
      <c r="AX193" s="139"/>
      <c r="AY193" s="139"/>
      <c r="AZ193" s="139"/>
      <c r="BA193" s="139"/>
      <c r="BB193" s="139"/>
      <c r="BC193" s="139"/>
      <c r="BD193" s="139"/>
      <c r="BE193" s="139"/>
      <c r="BF193" s="139"/>
      <c r="BG193" s="139"/>
      <c r="BH193" s="139"/>
    </row>
    <row r="194" spans="2:60" s="11" customFormat="1" ht="19.899999999999999" customHeight="1">
      <c r="B194" s="5590"/>
      <c r="C194" s="5598"/>
      <c r="D194" s="9598" t="s">
        <v>140</v>
      </c>
      <c r="E194" s="9600"/>
      <c r="F194" s="285" t="s">
        <v>212</v>
      </c>
      <c r="G194" s="253"/>
      <c r="H194" s="286"/>
      <c r="I194" s="9582" t="s">
        <v>141</v>
      </c>
      <c r="J194" s="9583"/>
      <c r="K194" s="105" t="s">
        <v>212</v>
      </c>
      <c r="L194" s="5967" t="s">
        <v>168</v>
      </c>
      <c r="M194" s="5656" t="s">
        <v>641</v>
      </c>
      <c r="N194" s="5593" t="s">
        <v>168</v>
      </c>
      <c r="O194" s="5593" t="s">
        <v>641</v>
      </c>
      <c r="P194" s="5593" t="s">
        <v>168</v>
      </c>
      <c r="Q194" s="5948" t="s">
        <v>641</v>
      </c>
      <c r="R194" s="2468"/>
      <c r="S194" s="276"/>
      <c r="T194" s="99"/>
      <c r="U194" s="138"/>
      <c r="V194" s="138"/>
      <c r="W194" s="99"/>
      <c r="X194" s="264"/>
      <c r="Y194" s="277"/>
      <c r="Z194" s="187"/>
      <c r="AA194" s="6301"/>
      <c r="AB194" s="139"/>
      <c r="AC194" s="139"/>
      <c r="AD194" s="139"/>
      <c r="AE194" s="139"/>
      <c r="AF194" s="139"/>
      <c r="AG194" s="139"/>
      <c r="AH194" s="139"/>
      <c r="AI194" s="139"/>
      <c r="AJ194" s="139"/>
      <c r="AK194" s="139"/>
      <c r="AL194" s="139"/>
      <c r="AM194" s="139"/>
      <c r="AN194" s="139"/>
      <c r="AO194" s="139"/>
      <c r="AP194" s="139"/>
      <c r="AQ194" s="139"/>
      <c r="AR194" s="139"/>
      <c r="AS194" s="139"/>
      <c r="AT194" s="139"/>
      <c r="AU194" s="139"/>
      <c r="AV194" s="139"/>
      <c r="AW194" s="139"/>
      <c r="AX194" s="139"/>
      <c r="AY194" s="139"/>
      <c r="AZ194" s="139"/>
      <c r="BA194" s="139"/>
      <c r="BB194" s="139"/>
      <c r="BC194" s="139"/>
      <c r="BD194" s="139"/>
      <c r="BE194" s="139"/>
      <c r="BF194" s="139"/>
      <c r="BG194" s="139"/>
      <c r="BH194" s="139"/>
    </row>
    <row r="195" spans="2:60" s="11" customFormat="1" ht="19.899999999999999" customHeight="1">
      <c r="B195" s="5590"/>
      <c r="C195" s="5598"/>
      <c r="D195" s="9598" t="s">
        <v>143</v>
      </c>
      <c r="E195" s="9600"/>
      <c r="F195" s="285" t="s">
        <v>212</v>
      </c>
      <c r="G195" s="253"/>
      <c r="H195" s="286"/>
      <c r="I195" s="9582" t="s">
        <v>144</v>
      </c>
      <c r="J195" s="9583"/>
      <c r="K195" s="105" t="s">
        <v>212</v>
      </c>
      <c r="L195" s="5592"/>
      <c r="M195" s="5656"/>
      <c r="N195" s="5593"/>
      <c r="O195" s="5593"/>
      <c r="P195" s="5593"/>
      <c r="Q195" s="5948"/>
      <c r="R195" s="2468"/>
      <c r="S195" s="4849"/>
      <c r="T195" s="99"/>
      <c r="U195" s="138"/>
      <c r="V195" s="138"/>
      <c r="W195" s="99"/>
      <c r="X195" s="264"/>
      <c r="Y195" s="277"/>
      <c r="Z195" s="187"/>
      <c r="AA195" s="6301"/>
      <c r="AB195" s="139"/>
      <c r="AC195" s="139"/>
      <c r="AD195" s="139"/>
      <c r="AE195" s="139"/>
      <c r="AF195" s="139"/>
      <c r="AG195" s="139"/>
      <c r="AH195" s="139"/>
      <c r="AI195" s="139"/>
      <c r="AJ195" s="139"/>
      <c r="AK195" s="139"/>
      <c r="AL195" s="139"/>
      <c r="AM195" s="139"/>
      <c r="AN195" s="139"/>
      <c r="AO195" s="139"/>
      <c r="AP195" s="139"/>
      <c r="AQ195" s="139"/>
      <c r="AR195" s="139"/>
      <c r="AS195" s="139"/>
      <c r="AT195" s="139"/>
      <c r="AU195" s="139"/>
      <c r="AV195" s="139"/>
      <c r="AW195" s="139"/>
      <c r="AX195" s="139"/>
      <c r="AY195" s="139"/>
      <c r="AZ195" s="139"/>
      <c r="BA195" s="139"/>
      <c r="BB195" s="139"/>
      <c r="BC195" s="139"/>
      <c r="BD195" s="139"/>
      <c r="BE195" s="139"/>
      <c r="BF195" s="139"/>
      <c r="BG195" s="139"/>
      <c r="BH195" s="139"/>
    </row>
    <row r="196" spans="2:60" s="11" customFormat="1" ht="19.899999999999999" customHeight="1">
      <c r="B196" s="5590"/>
      <c r="C196" s="5598"/>
      <c r="D196" s="9598" t="s">
        <v>631</v>
      </c>
      <c r="E196" s="9600"/>
      <c r="F196" s="285" t="s">
        <v>212</v>
      </c>
      <c r="G196" s="253"/>
      <c r="H196" s="286"/>
      <c r="I196" s="9582" t="s">
        <v>147</v>
      </c>
      <c r="J196" s="9583"/>
      <c r="K196" s="105" t="s">
        <v>212</v>
      </c>
      <c r="L196" s="5967" t="s">
        <v>168</v>
      </c>
      <c r="M196" s="5656" t="s">
        <v>641</v>
      </c>
      <c r="N196" s="5593" t="s">
        <v>168</v>
      </c>
      <c r="O196" s="5593" t="s">
        <v>641</v>
      </c>
      <c r="P196" s="5593" t="s">
        <v>168</v>
      </c>
      <c r="Q196" s="6103" t="s">
        <v>641</v>
      </c>
      <c r="R196" s="2468"/>
      <c r="S196" s="4849"/>
      <c r="T196" s="99"/>
      <c r="U196" s="138"/>
      <c r="V196" s="138"/>
      <c r="W196" s="99"/>
      <c r="X196" s="264"/>
      <c r="Y196" s="277"/>
      <c r="Z196" s="187"/>
      <c r="AA196" s="6301"/>
      <c r="AB196" s="139"/>
      <c r="AC196" s="139"/>
      <c r="AD196" s="139"/>
      <c r="AE196" s="139"/>
      <c r="AF196" s="139"/>
      <c r="AG196" s="139"/>
      <c r="AH196" s="139"/>
      <c r="AI196" s="139"/>
      <c r="AJ196" s="139"/>
      <c r="AK196" s="139"/>
      <c r="AL196" s="139"/>
      <c r="AM196" s="139"/>
      <c r="AN196" s="139"/>
      <c r="AO196" s="139"/>
      <c r="AP196" s="139"/>
      <c r="AQ196" s="139"/>
      <c r="AR196" s="139"/>
      <c r="AS196" s="139"/>
      <c r="AT196" s="139"/>
      <c r="AU196" s="139"/>
      <c r="AV196" s="139"/>
      <c r="AW196" s="139"/>
      <c r="AX196" s="139"/>
      <c r="AY196" s="139"/>
      <c r="AZ196" s="139"/>
      <c r="BA196" s="139"/>
      <c r="BB196" s="139"/>
      <c r="BC196" s="139"/>
      <c r="BD196" s="139"/>
      <c r="BE196" s="139"/>
      <c r="BF196" s="139"/>
      <c r="BG196" s="139"/>
      <c r="BH196" s="139"/>
    </row>
    <row r="197" spans="2:60" s="11" customFormat="1" ht="19.899999999999999" customHeight="1">
      <c r="B197" s="5590"/>
      <c r="C197" s="5598"/>
      <c r="D197" s="9598" t="s">
        <v>633</v>
      </c>
      <c r="E197" s="9600"/>
      <c r="F197" s="285" t="s">
        <v>212</v>
      </c>
      <c r="G197" s="253"/>
      <c r="H197" s="286"/>
      <c r="I197" s="9582" t="s">
        <v>150</v>
      </c>
      <c r="J197" s="9583"/>
      <c r="K197" s="105" t="s">
        <v>212</v>
      </c>
      <c r="L197" s="5592"/>
      <c r="M197" s="5656"/>
      <c r="N197" s="5593"/>
      <c r="O197" s="5593"/>
      <c r="P197" s="5593"/>
      <c r="Q197" s="5948"/>
      <c r="R197" s="2468"/>
      <c r="S197" s="4849"/>
      <c r="T197" s="99"/>
      <c r="U197" s="138"/>
      <c r="V197" s="138"/>
      <c r="W197" s="99"/>
      <c r="X197" s="264"/>
      <c r="Y197" s="277"/>
      <c r="Z197" s="187"/>
      <c r="AA197" s="6301"/>
      <c r="AB197" s="139"/>
      <c r="AC197" s="139"/>
      <c r="AD197" s="139"/>
      <c r="AE197" s="139"/>
      <c r="AF197" s="139"/>
      <c r="AG197" s="139"/>
      <c r="AH197" s="139"/>
      <c r="AI197" s="139"/>
      <c r="AJ197" s="139"/>
      <c r="AK197" s="139"/>
      <c r="AL197" s="139"/>
      <c r="AM197" s="139"/>
      <c r="AN197" s="139"/>
      <c r="AO197" s="139"/>
      <c r="AP197" s="139"/>
      <c r="AQ197" s="139"/>
      <c r="AR197" s="139"/>
      <c r="AS197" s="139"/>
      <c r="AT197" s="139"/>
      <c r="AU197" s="139"/>
      <c r="AV197" s="139"/>
      <c r="AW197" s="139"/>
      <c r="AX197" s="139"/>
      <c r="AY197" s="139"/>
      <c r="AZ197" s="139"/>
      <c r="BA197" s="139"/>
      <c r="BB197" s="139"/>
      <c r="BC197" s="139"/>
      <c r="BD197" s="139"/>
      <c r="BE197" s="139"/>
      <c r="BF197" s="139"/>
      <c r="BG197" s="139"/>
      <c r="BH197" s="139"/>
    </row>
    <row r="198" spans="2:60" s="11" customFormat="1" ht="20.100000000000001" customHeight="1">
      <c r="B198" s="1360"/>
      <c r="C198" s="5598"/>
      <c r="D198" s="9586" t="s">
        <v>665</v>
      </c>
      <c r="E198" s="9588"/>
      <c r="F198" s="285" t="s">
        <v>212</v>
      </c>
      <c r="G198" s="286"/>
      <c r="H198" s="386"/>
      <c r="I198" s="9586" t="s">
        <v>666</v>
      </c>
      <c r="J198" s="9588"/>
      <c r="K198" s="105" t="s">
        <v>212</v>
      </c>
      <c r="L198" s="5653" t="str">
        <f>IF(COUNTBLANK(L199:L204)&gt;0,"미취합법인有",SUM(L199:L204))</f>
        <v>미취합법인有</v>
      </c>
      <c r="M198" s="5657"/>
      <c r="N198" s="5654" t="str">
        <f>IF(COUNTBLANK(N199:N204)&gt;0,"미취합법인有",SUM(N199:N204))</f>
        <v>미취합법인有</v>
      </c>
      <c r="O198" s="5663"/>
      <c r="P198" s="5781" t="str">
        <f>IF(COUNTBLANK(P199:P204)&gt;0,"미취합법인有",SUM(P199:P204))</f>
        <v>미취합법인有</v>
      </c>
      <c r="Q198" s="5945"/>
      <c r="R198" s="498"/>
      <c r="S198" s="2470"/>
      <c r="T198" s="99" t="s">
        <v>206</v>
      </c>
      <c r="U198" s="138"/>
      <c r="V198" s="138"/>
      <c r="W198" s="99"/>
      <c r="X198" s="277"/>
      <c r="Y198" s="265" t="s">
        <v>246</v>
      </c>
      <c r="Z198" s="187"/>
      <c r="AA198" s="6301"/>
      <c r="AB198" s="139"/>
      <c r="AC198" s="139"/>
      <c r="AD198" s="139"/>
      <c r="AE198" s="139"/>
      <c r="AF198" s="139"/>
      <c r="AG198" s="139"/>
      <c r="AH198" s="139"/>
      <c r="AI198" s="139"/>
      <c r="AJ198" s="139"/>
      <c r="AK198" s="139"/>
      <c r="AL198" s="139"/>
      <c r="AM198" s="139"/>
      <c r="AN198" s="139"/>
      <c r="AO198" s="139"/>
      <c r="AP198" s="139"/>
      <c r="AQ198" s="139"/>
      <c r="AR198" s="139"/>
      <c r="AS198" s="139"/>
      <c r="AT198" s="139"/>
      <c r="AU198" s="139"/>
      <c r="AV198" s="139"/>
      <c r="AW198" s="139"/>
      <c r="AX198" s="139"/>
      <c r="AY198" s="139"/>
      <c r="AZ198" s="139"/>
      <c r="BA198" s="139"/>
      <c r="BB198" s="139"/>
      <c r="BC198" s="139"/>
      <c r="BD198" s="139"/>
      <c r="BE198" s="139"/>
      <c r="BF198" s="139"/>
      <c r="BG198" s="139"/>
      <c r="BH198" s="139"/>
    </row>
    <row r="199" spans="2:60" s="11" customFormat="1" ht="19.899999999999999" customHeight="1">
      <c r="B199" s="5590"/>
      <c r="C199" s="5598"/>
      <c r="D199" s="9598" t="s">
        <v>134</v>
      </c>
      <c r="E199" s="9600"/>
      <c r="F199" s="285" t="s">
        <v>212</v>
      </c>
      <c r="G199" s="253"/>
      <c r="H199" s="286"/>
      <c r="I199" s="9579" t="s">
        <v>135</v>
      </c>
      <c r="J199" s="9581"/>
      <c r="K199" s="105" t="s">
        <v>212</v>
      </c>
      <c r="L199" s="5839">
        <v>60746.31</v>
      </c>
      <c r="M199" s="5840"/>
      <c r="N199" s="6056">
        <v>71421</v>
      </c>
      <c r="O199" s="6057"/>
      <c r="P199" s="6057">
        <v>69798</v>
      </c>
      <c r="Q199" s="1814"/>
      <c r="R199" s="2468"/>
      <c r="S199" s="4849"/>
      <c r="T199" s="99"/>
      <c r="U199" s="138"/>
      <c r="V199" s="138"/>
      <c r="W199" s="99"/>
      <c r="X199" s="264"/>
      <c r="Y199" s="277"/>
      <c r="Z199" s="187"/>
      <c r="AA199" s="6301"/>
      <c r="AB199" s="139"/>
      <c r="AC199" s="139"/>
      <c r="AD199" s="139"/>
      <c r="AE199" s="139"/>
      <c r="AF199" s="139"/>
      <c r="AG199" s="139"/>
      <c r="AH199" s="139"/>
      <c r="AI199" s="139"/>
      <c r="AJ199" s="139"/>
      <c r="AK199" s="139"/>
      <c r="AL199" s="139"/>
      <c r="AM199" s="139"/>
      <c r="AN199" s="139"/>
      <c r="AO199" s="139"/>
      <c r="AP199" s="139"/>
      <c r="AQ199" s="139"/>
      <c r="AR199" s="139"/>
      <c r="AS199" s="139"/>
      <c r="AT199" s="139"/>
      <c r="AU199" s="139"/>
      <c r="AV199" s="139"/>
      <c r="AW199" s="139"/>
      <c r="AX199" s="139"/>
      <c r="AY199" s="139"/>
      <c r="AZ199" s="139"/>
      <c r="BA199" s="139"/>
      <c r="BB199" s="139"/>
      <c r="BC199" s="139"/>
      <c r="BD199" s="139"/>
      <c r="BE199" s="139"/>
      <c r="BF199" s="139"/>
      <c r="BG199" s="139"/>
      <c r="BH199" s="139"/>
    </row>
    <row r="200" spans="2:60" s="11" customFormat="1" ht="19.899999999999999" customHeight="1">
      <c r="B200" s="5590"/>
      <c r="C200" s="5598"/>
      <c r="D200" s="9598" t="s">
        <v>137</v>
      </c>
      <c r="E200" s="9600"/>
      <c r="F200" s="285" t="s">
        <v>212</v>
      </c>
      <c r="G200" s="253"/>
      <c r="H200" s="286"/>
      <c r="I200" s="9579" t="s">
        <v>138</v>
      </c>
      <c r="J200" s="9581"/>
      <c r="K200" s="105" t="s">
        <v>212</v>
      </c>
      <c r="L200" s="5594"/>
      <c r="M200" s="5658"/>
      <c r="N200" s="1814"/>
      <c r="O200" s="5302"/>
      <c r="P200" s="5593">
        <v>556.83399999999995</v>
      </c>
      <c r="Q200" s="1814"/>
      <c r="R200" s="2468"/>
      <c r="S200" s="4849"/>
      <c r="T200" s="99"/>
      <c r="U200" s="138"/>
      <c r="V200" s="138"/>
      <c r="W200" s="99"/>
      <c r="X200" s="264"/>
      <c r="Y200" s="277"/>
      <c r="Z200" s="187"/>
      <c r="AA200" s="6301"/>
      <c r="AB200" s="139"/>
      <c r="AC200" s="139"/>
      <c r="AD200" s="139"/>
      <c r="AE200" s="139"/>
      <c r="AF200" s="139"/>
      <c r="AG200" s="139"/>
      <c r="AH200" s="139"/>
      <c r="AI200" s="139"/>
      <c r="AJ200" s="139"/>
      <c r="AK200" s="139"/>
      <c r="AL200" s="139"/>
      <c r="AM200" s="139"/>
      <c r="AN200" s="139"/>
      <c r="AO200" s="139"/>
      <c r="AP200" s="139"/>
      <c r="AQ200" s="139"/>
      <c r="AR200" s="139"/>
      <c r="AS200" s="139"/>
      <c r="AT200" s="139"/>
      <c r="AU200" s="139"/>
      <c r="AV200" s="139"/>
      <c r="AW200" s="139"/>
      <c r="AX200" s="139"/>
      <c r="AY200" s="139"/>
      <c r="AZ200" s="139"/>
      <c r="BA200" s="139"/>
      <c r="BB200" s="139"/>
      <c r="BC200" s="139"/>
      <c r="BD200" s="139"/>
      <c r="BE200" s="139"/>
      <c r="BF200" s="139"/>
      <c r="BG200" s="139"/>
      <c r="BH200" s="139"/>
    </row>
    <row r="201" spans="2:60" s="11" customFormat="1" ht="19.899999999999999" customHeight="1">
      <c r="B201" s="5590"/>
      <c r="C201" s="5598"/>
      <c r="D201" s="9598" t="s">
        <v>140</v>
      </c>
      <c r="E201" s="9600"/>
      <c r="F201" s="285" t="s">
        <v>212</v>
      </c>
      <c r="G201" s="253"/>
      <c r="H201" s="286"/>
      <c r="I201" s="9582" t="s">
        <v>141</v>
      </c>
      <c r="J201" s="9583"/>
      <c r="K201" s="105" t="s">
        <v>212</v>
      </c>
      <c r="L201" s="5967" t="s">
        <v>168</v>
      </c>
      <c r="M201" s="5656" t="s">
        <v>641</v>
      </c>
      <c r="N201" s="5593" t="s">
        <v>168</v>
      </c>
      <c r="O201" s="5593" t="s">
        <v>641</v>
      </c>
      <c r="P201" s="5593" t="s">
        <v>168</v>
      </c>
      <c r="Q201" s="5948" t="s">
        <v>641</v>
      </c>
      <c r="R201" s="2468"/>
      <c r="S201" s="4849"/>
      <c r="T201" s="99"/>
      <c r="U201" s="138"/>
      <c r="V201" s="138"/>
      <c r="W201" s="99"/>
      <c r="X201" s="264"/>
      <c r="Y201" s="277"/>
      <c r="Z201" s="187"/>
      <c r="AA201" s="6301"/>
      <c r="AB201" s="139"/>
      <c r="AC201" s="139"/>
      <c r="AD201" s="139"/>
      <c r="AE201" s="139"/>
      <c r="AF201" s="139"/>
      <c r="AG201" s="139"/>
      <c r="AH201" s="139"/>
      <c r="AI201" s="139"/>
      <c r="AJ201" s="139"/>
      <c r="AK201" s="139"/>
      <c r="AL201" s="139"/>
      <c r="AM201" s="139"/>
      <c r="AN201" s="139"/>
      <c r="AO201" s="139"/>
      <c r="AP201" s="139"/>
      <c r="AQ201" s="139"/>
      <c r="AR201" s="139"/>
      <c r="AS201" s="139"/>
      <c r="AT201" s="139"/>
      <c r="AU201" s="139"/>
      <c r="AV201" s="139"/>
      <c r="AW201" s="139"/>
      <c r="AX201" s="139"/>
      <c r="AY201" s="139"/>
      <c r="AZ201" s="139"/>
      <c r="BA201" s="139"/>
      <c r="BB201" s="139"/>
      <c r="BC201" s="139"/>
      <c r="BD201" s="139"/>
      <c r="BE201" s="139"/>
      <c r="BF201" s="139"/>
      <c r="BG201" s="139"/>
      <c r="BH201" s="139"/>
    </row>
    <row r="202" spans="2:60" s="11" customFormat="1" ht="19.899999999999999" customHeight="1">
      <c r="B202" s="5590"/>
      <c r="C202" s="5598"/>
      <c r="D202" s="9598" t="s">
        <v>143</v>
      </c>
      <c r="E202" s="9600"/>
      <c r="F202" s="285" t="s">
        <v>212</v>
      </c>
      <c r="G202" s="253"/>
      <c r="H202" s="286"/>
      <c r="I202" s="9582" t="s">
        <v>144</v>
      </c>
      <c r="J202" s="9583"/>
      <c r="K202" s="105" t="s">
        <v>212</v>
      </c>
      <c r="L202" s="5592"/>
      <c r="M202" s="5656"/>
      <c r="N202" s="5593"/>
      <c r="O202" s="5593"/>
      <c r="P202" s="5593"/>
      <c r="Q202" s="5948"/>
      <c r="R202" s="2468"/>
      <c r="S202" s="4849"/>
      <c r="T202" s="99"/>
      <c r="U202" s="138"/>
      <c r="V202" s="138"/>
      <c r="W202" s="99"/>
      <c r="X202" s="264"/>
      <c r="Y202" s="277"/>
      <c r="Z202" s="187"/>
      <c r="AA202" s="6301"/>
      <c r="AB202" s="139"/>
      <c r="AC202" s="139"/>
      <c r="AD202" s="139"/>
      <c r="AE202" s="139"/>
      <c r="AF202" s="139"/>
      <c r="AG202" s="139"/>
      <c r="AH202" s="139"/>
      <c r="AI202" s="139"/>
      <c r="AJ202" s="139"/>
      <c r="AK202" s="139"/>
      <c r="AL202" s="139"/>
      <c r="AM202" s="139"/>
      <c r="AN202" s="139"/>
      <c r="AO202" s="139"/>
      <c r="AP202" s="139"/>
      <c r="AQ202" s="139"/>
      <c r="AR202" s="139"/>
      <c r="AS202" s="139"/>
      <c r="AT202" s="139"/>
      <c r="AU202" s="139"/>
      <c r="AV202" s="139"/>
      <c r="AW202" s="139"/>
      <c r="AX202" s="139"/>
      <c r="AY202" s="139"/>
      <c r="AZ202" s="139"/>
      <c r="BA202" s="139"/>
      <c r="BB202" s="139"/>
      <c r="BC202" s="139"/>
      <c r="BD202" s="139"/>
      <c r="BE202" s="139"/>
      <c r="BF202" s="139"/>
      <c r="BG202" s="139"/>
      <c r="BH202" s="139"/>
    </row>
    <row r="203" spans="2:60" s="11" customFormat="1" ht="19.899999999999999" customHeight="1">
      <c r="B203" s="5590"/>
      <c r="C203" s="5598"/>
      <c r="D203" s="9598" t="s">
        <v>631</v>
      </c>
      <c r="E203" s="9600"/>
      <c r="F203" s="285" t="s">
        <v>212</v>
      </c>
      <c r="G203" s="253"/>
      <c r="H203" s="286"/>
      <c r="I203" s="9582" t="s">
        <v>147</v>
      </c>
      <c r="J203" s="9583"/>
      <c r="K203" s="105" t="s">
        <v>212</v>
      </c>
      <c r="L203" s="5967" t="s">
        <v>168</v>
      </c>
      <c r="M203" s="5656" t="s">
        <v>641</v>
      </c>
      <c r="N203" s="5593" t="s">
        <v>168</v>
      </c>
      <c r="O203" s="5593" t="s">
        <v>641</v>
      </c>
      <c r="P203" s="5593" t="s">
        <v>168</v>
      </c>
      <c r="Q203" s="5948" t="s">
        <v>641</v>
      </c>
      <c r="R203" s="2468"/>
      <c r="S203" s="4849"/>
      <c r="T203" s="99"/>
      <c r="U203" s="138"/>
      <c r="V203" s="138"/>
      <c r="W203" s="99"/>
      <c r="X203" s="264"/>
      <c r="Y203" s="277"/>
      <c r="Z203" s="187"/>
      <c r="AA203" s="6301"/>
      <c r="AB203" s="139"/>
      <c r="AC203" s="139"/>
      <c r="AD203" s="139"/>
      <c r="AE203" s="139"/>
      <c r="AF203" s="139"/>
      <c r="AG203" s="139"/>
      <c r="AH203" s="139"/>
      <c r="AI203" s="139"/>
      <c r="AJ203" s="139"/>
      <c r="AK203" s="139"/>
      <c r="AL203" s="139"/>
      <c r="AM203" s="139"/>
      <c r="AN203" s="139"/>
      <c r="AO203" s="139"/>
      <c r="AP203" s="139"/>
      <c r="AQ203" s="139"/>
      <c r="AR203" s="139"/>
      <c r="AS203" s="139"/>
      <c r="AT203" s="139"/>
      <c r="AU203" s="139"/>
      <c r="AV203" s="139"/>
      <c r="AW203" s="139"/>
      <c r="AX203" s="139"/>
      <c r="AY203" s="139"/>
      <c r="AZ203" s="139"/>
      <c r="BA203" s="139"/>
      <c r="BB203" s="139"/>
      <c r="BC203" s="139"/>
      <c r="BD203" s="139"/>
      <c r="BE203" s="139"/>
      <c r="BF203" s="139"/>
      <c r="BG203" s="139"/>
      <c r="BH203" s="139"/>
    </row>
    <row r="204" spans="2:60" s="11" customFormat="1" ht="19.899999999999999" customHeight="1">
      <c r="B204" s="5590"/>
      <c r="C204" s="5598"/>
      <c r="D204" s="9598" t="s">
        <v>633</v>
      </c>
      <c r="E204" s="9600"/>
      <c r="F204" s="285" t="s">
        <v>212</v>
      </c>
      <c r="G204" s="1903"/>
      <c r="H204" s="286"/>
      <c r="I204" s="9643" t="s">
        <v>150</v>
      </c>
      <c r="J204" s="9644"/>
      <c r="K204" s="105" t="s">
        <v>212</v>
      </c>
      <c r="L204" s="5592"/>
      <c r="M204" s="5656"/>
      <c r="N204" s="5593"/>
      <c r="O204" s="5593"/>
      <c r="P204" s="5593"/>
      <c r="Q204" s="5948"/>
      <c r="R204" s="2468"/>
      <c r="S204" s="4849"/>
      <c r="T204" s="99"/>
      <c r="U204" s="138"/>
      <c r="V204" s="138"/>
      <c r="W204" s="99"/>
      <c r="X204" s="264"/>
      <c r="Y204" s="277"/>
      <c r="Z204" s="187"/>
      <c r="AA204" s="6301"/>
      <c r="AB204" s="139"/>
      <c r="AC204" s="139"/>
      <c r="AD204" s="139"/>
      <c r="AE204" s="139"/>
      <c r="AF204" s="139"/>
      <c r="AG204" s="139"/>
      <c r="AH204" s="139"/>
      <c r="AI204" s="139"/>
      <c r="AJ204" s="139"/>
      <c r="AK204" s="139"/>
      <c r="AL204" s="139"/>
      <c r="AM204" s="139"/>
      <c r="AN204" s="139"/>
      <c r="AO204" s="139"/>
      <c r="AP204" s="139"/>
      <c r="AQ204" s="139"/>
      <c r="AR204" s="139"/>
      <c r="AS204" s="139"/>
      <c r="AT204" s="139"/>
      <c r="AU204" s="139"/>
      <c r="AV204" s="139"/>
      <c r="AW204" s="139"/>
      <c r="AX204" s="139"/>
      <c r="AY204" s="139"/>
      <c r="AZ204" s="139"/>
      <c r="BA204" s="139"/>
      <c r="BB204" s="139"/>
      <c r="BC204" s="139"/>
      <c r="BD204" s="139"/>
      <c r="BE204" s="139"/>
      <c r="BF204" s="139"/>
      <c r="BG204" s="139"/>
      <c r="BH204" s="139"/>
    </row>
    <row r="205" spans="2:60" s="11" customFormat="1" ht="20.100000000000001" customHeight="1">
      <c r="B205" s="1360"/>
      <c r="C205" s="5598"/>
      <c r="D205" s="9586" t="s">
        <v>312</v>
      </c>
      <c r="E205" s="9588"/>
      <c r="F205" s="285" t="s">
        <v>212</v>
      </c>
      <c r="G205" s="386"/>
      <c r="H205" s="386"/>
      <c r="I205" s="9586" t="s">
        <v>244</v>
      </c>
      <c r="J205" s="9588"/>
      <c r="K205" s="105" t="s">
        <v>212</v>
      </c>
      <c r="L205" s="5653" t="str">
        <f>IF(COUNTBLANK(L206:L211)&gt;0,"미취합법인有",SUM(L206:L211))</f>
        <v>미취합법인有</v>
      </c>
      <c r="M205" s="5657"/>
      <c r="N205" s="5654" t="str">
        <f>IF(COUNTBLANK(N206:N211)&gt;0,"미취합법인有",SUM(N206:N211))</f>
        <v>미취합법인有</v>
      </c>
      <c r="O205" s="5663"/>
      <c r="P205" s="5781" t="str">
        <f>IF(COUNTBLANK(P206:P211)&gt;0,"미취합법인有",SUM(P206:P211))</f>
        <v>미취합법인有</v>
      </c>
      <c r="Q205" s="5945"/>
      <c r="R205" s="498"/>
      <c r="S205" s="2470"/>
      <c r="T205" s="99" t="s">
        <v>206</v>
      </c>
      <c r="U205" s="138"/>
      <c r="V205" s="138"/>
      <c r="W205" s="99"/>
      <c r="X205" s="277"/>
      <c r="Y205" s="265" t="s">
        <v>246</v>
      </c>
      <c r="Z205" s="187"/>
      <c r="AA205" s="6301"/>
      <c r="AB205" s="139"/>
      <c r="AC205" s="139"/>
      <c r="AD205" s="139"/>
      <c r="AE205" s="139"/>
      <c r="AF205" s="139"/>
      <c r="AG205" s="139"/>
      <c r="AH205" s="139"/>
      <c r="AI205" s="139"/>
      <c r="AJ205" s="139"/>
      <c r="AK205" s="139"/>
      <c r="AL205" s="139"/>
      <c r="AM205" s="139"/>
      <c r="AN205" s="139"/>
      <c r="AO205" s="139"/>
      <c r="AP205" s="139"/>
      <c r="AQ205" s="139"/>
      <c r="AR205" s="139"/>
      <c r="AS205" s="139"/>
      <c r="AT205" s="139"/>
      <c r="AU205" s="139"/>
      <c r="AV205" s="139"/>
      <c r="AW205" s="139"/>
      <c r="AX205" s="139"/>
      <c r="AY205" s="139"/>
      <c r="AZ205" s="139"/>
      <c r="BA205" s="139"/>
      <c r="BB205" s="139"/>
      <c r="BC205" s="139"/>
      <c r="BD205" s="139"/>
      <c r="BE205" s="139"/>
      <c r="BF205" s="139"/>
      <c r="BG205" s="139"/>
      <c r="BH205" s="139"/>
    </row>
    <row r="206" spans="2:60" s="11" customFormat="1" ht="19.899999999999999" customHeight="1">
      <c r="B206" s="5590"/>
      <c r="C206" s="5598"/>
      <c r="D206" s="9598" t="s">
        <v>134</v>
      </c>
      <c r="E206" s="9600"/>
      <c r="F206" s="285" t="s">
        <v>212</v>
      </c>
      <c r="G206" s="253"/>
      <c r="H206" s="286"/>
      <c r="I206" s="9645" t="s">
        <v>135</v>
      </c>
      <c r="J206" s="9645"/>
      <c r="K206" s="105" t="s">
        <v>212</v>
      </c>
      <c r="L206" s="5839">
        <v>29703.690000000002</v>
      </c>
      <c r="M206" s="6056">
        <v>0</v>
      </c>
      <c r="N206" s="5840">
        <v>9754</v>
      </c>
      <c r="O206" s="6056">
        <v>0</v>
      </c>
      <c r="P206" s="5840">
        <v>10393</v>
      </c>
      <c r="Q206" s="1814"/>
      <c r="R206" s="2468"/>
      <c r="S206" s="4849"/>
      <c r="T206" s="99"/>
      <c r="U206" s="138"/>
      <c r="V206" s="138"/>
      <c r="W206" s="99"/>
      <c r="X206" s="264"/>
      <c r="Y206" s="277"/>
      <c r="Z206" s="187"/>
      <c r="AA206" s="6301"/>
      <c r="AB206" s="139"/>
      <c r="AC206" s="139"/>
      <c r="AD206" s="139"/>
      <c r="AE206" s="139"/>
      <c r="AF206" s="139"/>
      <c r="AG206" s="139"/>
      <c r="AH206" s="139"/>
      <c r="AI206" s="139"/>
      <c r="AJ206" s="139"/>
      <c r="AK206" s="139"/>
      <c r="AL206" s="139"/>
      <c r="AM206" s="139"/>
      <c r="AN206" s="139"/>
      <c r="AO206" s="139"/>
      <c r="AP206" s="139"/>
      <c r="AQ206" s="139"/>
      <c r="AR206" s="139"/>
      <c r="AS206" s="139"/>
      <c r="AT206" s="139"/>
      <c r="AU206" s="139"/>
      <c r="AV206" s="139"/>
      <c r="AW206" s="139"/>
      <c r="AX206" s="139"/>
      <c r="AY206" s="139"/>
      <c r="AZ206" s="139"/>
      <c r="BA206" s="139"/>
      <c r="BB206" s="139"/>
      <c r="BC206" s="139"/>
      <c r="BD206" s="139"/>
      <c r="BE206" s="139"/>
      <c r="BF206" s="139"/>
      <c r="BG206" s="139"/>
      <c r="BH206" s="139"/>
    </row>
    <row r="207" spans="2:60" s="11" customFormat="1" ht="19.899999999999999" customHeight="1">
      <c r="B207" s="5590"/>
      <c r="C207" s="5598"/>
      <c r="D207" s="9598" t="s">
        <v>137</v>
      </c>
      <c r="E207" s="9600"/>
      <c r="F207" s="285" t="s">
        <v>212</v>
      </c>
      <c r="G207" s="1918"/>
      <c r="H207" s="286"/>
      <c r="I207" s="9627" t="s">
        <v>138</v>
      </c>
      <c r="J207" s="9629"/>
      <c r="K207" s="105" t="s">
        <v>212</v>
      </c>
      <c r="L207" s="5594"/>
      <c r="M207" s="5658"/>
      <c r="N207" s="1814"/>
      <c r="O207" s="5302"/>
      <c r="P207" s="5595"/>
      <c r="Q207" s="1814"/>
      <c r="R207" s="2468"/>
      <c r="S207" s="4849"/>
      <c r="T207" s="99"/>
      <c r="U207" s="138"/>
      <c r="V207" s="138"/>
      <c r="W207" s="99"/>
      <c r="X207" s="264"/>
      <c r="Y207" s="277"/>
      <c r="Z207" s="187"/>
      <c r="AA207" s="6301"/>
      <c r="AB207" s="139"/>
      <c r="AC207" s="139"/>
      <c r="AD207" s="139"/>
      <c r="AE207" s="139"/>
      <c r="AF207" s="139"/>
      <c r="AG207" s="139"/>
      <c r="AH207" s="139"/>
      <c r="AI207" s="139"/>
      <c r="AJ207" s="139"/>
      <c r="AK207" s="139"/>
      <c r="AL207" s="139"/>
      <c r="AM207" s="139"/>
      <c r="AN207" s="139"/>
      <c r="AO207" s="139"/>
      <c r="AP207" s="139"/>
      <c r="AQ207" s="139"/>
      <c r="AR207" s="139"/>
      <c r="AS207" s="139"/>
      <c r="AT207" s="139"/>
      <c r="AU207" s="139"/>
      <c r="AV207" s="139"/>
      <c r="AW207" s="139"/>
      <c r="AX207" s="139"/>
      <c r="AY207" s="139"/>
      <c r="AZ207" s="139"/>
      <c r="BA207" s="139"/>
      <c r="BB207" s="139"/>
      <c r="BC207" s="139"/>
      <c r="BD207" s="139"/>
      <c r="BE207" s="139"/>
      <c r="BF207" s="139"/>
      <c r="BG207" s="139"/>
      <c r="BH207" s="139"/>
    </row>
    <row r="208" spans="2:60" s="11" customFormat="1" ht="19.899999999999999" customHeight="1">
      <c r="B208" s="5590"/>
      <c r="C208" s="5598"/>
      <c r="D208" s="9598" t="s">
        <v>140</v>
      </c>
      <c r="E208" s="9600"/>
      <c r="F208" s="285" t="s">
        <v>212</v>
      </c>
      <c r="G208" s="253"/>
      <c r="H208" s="286"/>
      <c r="I208" s="9582" t="s">
        <v>141</v>
      </c>
      <c r="J208" s="9583"/>
      <c r="K208" s="105" t="s">
        <v>212</v>
      </c>
      <c r="L208" s="5967" t="s">
        <v>168</v>
      </c>
      <c r="M208" s="5656" t="s">
        <v>641</v>
      </c>
      <c r="N208" s="5593" t="s">
        <v>168</v>
      </c>
      <c r="O208" s="5593" t="s">
        <v>641</v>
      </c>
      <c r="P208" s="5593" t="s">
        <v>168</v>
      </c>
      <c r="Q208" s="5948" t="s">
        <v>641</v>
      </c>
      <c r="R208" s="2468"/>
      <c r="S208" s="4849"/>
      <c r="T208" s="99"/>
      <c r="U208" s="138"/>
      <c r="V208" s="138"/>
      <c r="W208" s="99"/>
      <c r="X208" s="264"/>
      <c r="Y208" s="277"/>
      <c r="Z208" s="187"/>
      <c r="AA208" s="6301"/>
      <c r="AB208" s="139"/>
      <c r="AC208" s="139"/>
      <c r="AD208" s="139"/>
      <c r="AE208" s="139"/>
      <c r="AF208" s="139"/>
      <c r="AG208" s="139"/>
      <c r="AH208" s="139"/>
      <c r="AI208" s="139"/>
      <c r="AJ208" s="139"/>
      <c r="AK208" s="139"/>
      <c r="AL208" s="139"/>
      <c r="AM208" s="139"/>
      <c r="AN208" s="139"/>
      <c r="AO208" s="139"/>
      <c r="AP208" s="139"/>
      <c r="AQ208" s="139"/>
      <c r="AR208" s="139"/>
      <c r="AS208" s="139"/>
      <c r="AT208" s="139"/>
      <c r="AU208" s="139"/>
      <c r="AV208" s="139"/>
      <c r="AW208" s="139"/>
      <c r="AX208" s="139"/>
      <c r="AY208" s="139"/>
      <c r="AZ208" s="139"/>
      <c r="BA208" s="139"/>
      <c r="BB208" s="139"/>
      <c r="BC208" s="139"/>
      <c r="BD208" s="139"/>
      <c r="BE208" s="139"/>
      <c r="BF208" s="139"/>
      <c r="BG208" s="139"/>
      <c r="BH208" s="139"/>
    </row>
    <row r="209" spans="2:60" s="11" customFormat="1" ht="19.899999999999999" customHeight="1">
      <c r="B209" s="5590"/>
      <c r="C209" s="5598"/>
      <c r="D209" s="9598" t="s">
        <v>143</v>
      </c>
      <c r="E209" s="9600"/>
      <c r="F209" s="285" t="s">
        <v>212</v>
      </c>
      <c r="G209" s="253"/>
      <c r="H209" s="286"/>
      <c r="I209" s="9582" t="s">
        <v>144</v>
      </c>
      <c r="J209" s="9583"/>
      <c r="K209" s="105" t="s">
        <v>212</v>
      </c>
      <c r="L209" s="5592"/>
      <c r="M209" s="5656"/>
      <c r="N209" s="5593"/>
      <c r="O209" s="5593"/>
      <c r="P209" s="5593"/>
      <c r="Q209" s="5948"/>
      <c r="R209" s="2468"/>
      <c r="S209" s="4849"/>
      <c r="T209" s="99"/>
      <c r="U209" s="138"/>
      <c r="V209" s="138"/>
      <c r="W209" s="99"/>
      <c r="X209" s="264"/>
      <c r="Y209" s="277"/>
      <c r="Z209" s="187"/>
      <c r="AA209" s="6301"/>
      <c r="AB209" s="139"/>
      <c r="AC209" s="139"/>
      <c r="AD209" s="139"/>
      <c r="AE209" s="139"/>
      <c r="AF209" s="139"/>
      <c r="AG209" s="139"/>
      <c r="AH209" s="139"/>
      <c r="AI209" s="139"/>
      <c r="AJ209" s="139"/>
      <c r="AK209" s="139"/>
      <c r="AL209" s="139"/>
      <c r="AM209" s="139"/>
      <c r="AN209" s="139"/>
      <c r="AO209" s="139"/>
      <c r="AP209" s="139"/>
      <c r="AQ209" s="139"/>
      <c r="AR209" s="139"/>
      <c r="AS209" s="139"/>
      <c r="AT209" s="139"/>
      <c r="AU209" s="139"/>
      <c r="AV209" s="139"/>
      <c r="AW209" s="139"/>
      <c r="AX209" s="139"/>
      <c r="AY209" s="139"/>
      <c r="AZ209" s="139"/>
      <c r="BA209" s="139"/>
      <c r="BB209" s="139"/>
      <c r="BC209" s="139"/>
      <c r="BD209" s="139"/>
      <c r="BE209" s="139"/>
      <c r="BF209" s="139"/>
      <c r="BG209" s="139"/>
      <c r="BH209" s="139"/>
    </row>
    <row r="210" spans="2:60" s="11" customFormat="1" ht="19.899999999999999" customHeight="1">
      <c r="B210" s="5590"/>
      <c r="C210" s="5598"/>
      <c r="D210" s="9598" t="s">
        <v>631</v>
      </c>
      <c r="E210" s="9600"/>
      <c r="F210" s="285" t="s">
        <v>212</v>
      </c>
      <c r="G210" s="253"/>
      <c r="H210" s="286"/>
      <c r="I210" s="9582" t="s">
        <v>147</v>
      </c>
      <c r="J210" s="9583"/>
      <c r="K210" s="105" t="s">
        <v>212</v>
      </c>
      <c r="L210" s="5967" t="s">
        <v>168</v>
      </c>
      <c r="M210" s="5656" t="s">
        <v>641</v>
      </c>
      <c r="N210" s="5593" t="s">
        <v>168</v>
      </c>
      <c r="O210" s="5593" t="s">
        <v>641</v>
      </c>
      <c r="P210" s="5593" t="s">
        <v>168</v>
      </c>
      <c r="Q210" s="5948" t="s">
        <v>641</v>
      </c>
      <c r="R210" s="2468"/>
      <c r="S210" s="4849"/>
      <c r="T210" s="99"/>
      <c r="U210" s="138"/>
      <c r="V210" s="138"/>
      <c r="W210" s="99"/>
      <c r="X210" s="264"/>
      <c r="Y210" s="277"/>
      <c r="Z210" s="187"/>
      <c r="AA210" s="6301"/>
      <c r="AB210" s="139"/>
      <c r="AC210" s="139"/>
      <c r="AD210" s="139"/>
      <c r="AE210" s="139"/>
      <c r="AF210" s="139"/>
      <c r="AG210" s="139"/>
      <c r="AH210" s="139"/>
      <c r="AI210" s="139"/>
      <c r="AJ210" s="139"/>
      <c r="AK210" s="139"/>
      <c r="AL210" s="139"/>
      <c r="AM210" s="139"/>
      <c r="AN210" s="139"/>
      <c r="AO210" s="139"/>
      <c r="AP210" s="139"/>
      <c r="AQ210" s="139"/>
      <c r="AR210" s="139"/>
      <c r="AS210" s="139"/>
      <c r="AT210" s="139"/>
      <c r="AU210" s="139"/>
      <c r="AV210" s="139"/>
      <c r="AW210" s="139"/>
      <c r="AX210" s="139"/>
      <c r="AY210" s="139"/>
      <c r="AZ210" s="139"/>
      <c r="BA210" s="139"/>
      <c r="BB210" s="139"/>
      <c r="BC210" s="139"/>
      <c r="BD210" s="139"/>
      <c r="BE210" s="139"/>
      <c r="BF210" s="139"/>
      <c r="BG210" s="139"/>
      <c r="BH210" s="139"/>
    </row>
    <row r="211" spans="2:60" s="11" customFormat="1" ht="19.899999999999999" customHeight="1" thickBot="1">
      <c r="B211" s="5590"/>
      <c r="C211" s="5598"/>
      <c r="D211" s="9598" t="s">
        <v>633</v>
      </c>
      <c r="E211" s="9600"/>
      <c r="F211" s="285" t="s">
        <v>212</v>
      </c>
      <c r="G211" s="253"/>
      <c r="H211" s="1988"/>
      <c r="I211" s="9582" t="s">
        <v>150</v>
      </c>
      <c r="J211" s="9583"/>
      <c r="K211" s="105" t="s">
        <v>212</v>
      </c>
      <c r="L211" s="5592"/>
      <c r="M211" s="5656"/>
      <c r="N211" s="5593"/>
      <c r="O211" s="5593"/>
      <c r="P211" s="5593"/>
      <c r="Q211" s="6105"/>
      <c r="R211" s="2468"/>
      <c r="S211" s="276"/>
      <c r="T211" s="99"/>
      <c r="U211" s="138"/>
      <c r="V211" s="138"/>
      <c r="W211" s="99"/>
      <c r="X211" s="264"/>
      <c r="Y211" s="277"/>
      <c r="Z211" s="187"/>
      <c r="AA211" s="6301"/>
      <c r="AB211" s="139"/>
      <c r="AC211" s="139"/>
      <c r="AD211" s="139"/>
      <c r="AE211" s="139"/>
      <c r="AF211" s="139"/>
      <c r="AG211" s="139"/>
      <c r="AH211" s="139"/>
      <c r="AI211" s="139"/>
      <c r="AJ211" s="139"/>
      <c r="AK211" s="139"/>
      <c r="AL211" s="139"/>
      <c r="AM211" s="139"/>
      <c r="AN211" s="139"/>
      <c r="AO211" s="139"/>
      <c r="AP211" s="139"/>
      <c r="AQ211" s="139"/>
      <c r="AR211" s="139"/>
      <c r="AS211" s="139"/>
      <c r="AT211" s="139"/>
      <c r="AU211" s="139"/>
      <c r="AV211" s="139"/>
      <c r="AW211" s="139"/>
      <c r="AX211" s="139"/>
      <c r="AY211" s="139"/>
      <c r="AZ211" s="139"/>
      <c r="BA211" s="139"/>
      <c r="BB211" s="139"/>
      <c r="BC211" s="139"/>
      <c r="BD211" s="139"/>
      <c r="BE211" s="139"/>
      <c r="BF211" s="139"/>
      <c r="BG211" s="139"/>
      <c r="BH211" s="139"/>
    </row>
    <row r="212" spans="2:60" s="11" customFormat="1" ht="27" thickBot="1">
      <c r="B212" s="123" t="s">
        <v>252</v>
      </c>
      <c r="C212" s="124"/>
      <c r="D212" s="124"/>
      <c r="E212" s="124"/>
      <c r="F212" s="78"/>
      <c r="G212" s="125" t="s">
        <v>253</v>
      </c>
      <c r="H212" s="126"/>
      <c r="I212" s="126"/>
      <c r="J212" s="126"/>
      <c r="K212" s="78"/>
      <c r="L212" s="5599"/>
      <c r="M212" s="5600"/>
      <c r="N212" s="5600"/>
      <c r="O212" s="5600"/>
      <c r="P212" s="5600"/>
      <c r="Q212" s="6104"/>
      <c r="R212" s="80"/>
      <c r="S212" s="80"/>
      <c r="T212" s="129"/>
      <c r="U212" s="129"/>
      <c r="V212" s="129"/>
      <c r="W212" s="129"/>
      <c r="X212" s="328"/>
      <c r="Y212" s="328"/>
      <c r="Z212" s="329"/>
      <c r="AA212" s="6301"/>
      <c r="AB212" s="139"/>
      <c r="AC212" s="139"/>
      <c r="AD212" s="139"/>
      <c r="AE212" s="139"/>
      <c r="AF212" s="139"/>
      <c r="AG212" s="139"/>
      <c r="AH212" s="139"/>
      <c r="AI212" s="139"/>
      <c r="AJ212" s="139"/>
      <c r="AK212" s="139"/>
      <c r="AL212" s="139"/>
      <c r="AM212" s="139"/>
      <c r="AN212" s="139"/>
      <c r="AO212" s="139"/>
      <c r="AP212" s="139"/>
      <c r="AQ212" s="139"/>
      <c r="AR212" s="139"/>
      <c r="AS212" s="139"/>
      <c r="AT212" s="139"/>
      <c r="AU212" s="139"/>
      <c r="AV212" s="139"/>
      <c r="AW212" s="139"/>
      <c r="AX212" s="139"/>
      <c r="AY212" s="139"/>
      <c r="AZ212" s="139"/>
      <c r="BA212" s="139"/>
      <c r="BB212" s="139"/>
      <c r="BC212" s="139"/>
      <c r="BD212" s="139"/>
      <c r="BE212" s="139"/>
      <c r="BF212" s="139"/>
      <c r="BG212" s="139"/>
      <c r="BH212" s="139"/>
    </row>
    <row r="213" spans="2:60" s="11" customFormat="1" ht="20.100000000000001" customHeight="1">
      <c r="B213" s="1359"/>
      <c r="C213" s="9652" t="s">
        <v>254</v>
      </c>
      <c r="D213" s="9652"/>
      <c r="E213" s="9652"/>
      <c r="F213" s="87" t="s">
        <v>255</v>
      </c>
      <c r="G213" s="330"/>
      <c r="H213" s="9652" t="s">
        <v>256</v>
      </c>
      <c r="I213" s="9652"/>
      <c r="J213" s="9652"/>
      <c r="K213" s="87" t="s">
        <v>255</v>
      </c>
      <c r="L213" s="5653">
        <f>IF(COUNTBLANK(L214:L219)&gt;0,"미취합법인有",SUM(L214:L219))</f>
        <v>1778.8543277439298</v>
      </c>
      <c r="M213" s="5657"/>
      <c r="N213" s="5654">
        <f>IF(COUNTBLANK(N214:N219)&gt;0,"미취합법인有",SUM(N214:N219))</f>
        <v>2058.1560114592307</v>
      </c>
      <c r="O213" s="5663"/>
      <c r="P213" s="6077">
        <f>IF(COUNTBLANK(P214:P219)&gt;0,"미취합법인有",SUM(P214:P219))</f>
        <v>2016.036348272974</v>
      </c>
      <c r="Q213" s="6097"/>
      <c r="R213" s="1021" t="s">
        <v>257</v>
      </c>
      <c r="S213" s="263" t="s">
        <v>258</v>
      </c>
      <c r="T213" s="99" t="s">
        <v>206</v>
      </c>
      <c r="U213" s="138"/>
      <c r="V213" s="138"/>
      <c r="W213" s="99"/>
      <c r="X213" s="336" t="s">
        <v>259</v>
      </c>
      <c r="Y213" s="265" t="s">
        <v>260</v>
      </c>
      <c r="Z213" s="159" t="s">
        <v>261</v>
      </c>
      <c r="AA213" s="6301"/>
      <c r="AB213" s="139"/>
      <c r="AC213" s="139"/>
      <c r="AD213" s="139"/>
      <c r="AE213" s="139"/>
      <c r="AF213" s="139"/>
      <c r="AG213" s="139"/>
      <c r="AH213" s="139"/>
      <c r="AI213" s="139"/>
      <c r="AJ213" s="139"/>
      <c r="AK213" s="139"/>
      <c r="AL213" s="139"/>
      <c r="AM213" s="139"/>
      <c r="AN213" s="139"/>
      <c r="AO213" s="139"/>
      <c r="AP213" s="139"/>
      <c r="AQ213" s="139"/>
      <c r="AR213" s="139"/>
      <c r="AS213" s="139"/>
      <c r="AT213" s="139"/>
      <c r="AU213" s="139"/>
      <c r="AV213" s="139"/>
      <c r="AW213" s="139"/>
      <c r="AX213" s="139"/>
      <c r="AY213" s="139"/>
      <c r="AZ213" s="139"/>
      <c r="BA213" s="139"/>
      <c r="BB213" s="139"/>
      <c r="BC213" s="139"/>
      <c r="BD213" s="139"/>
      <c r="BE213" s="139"/>
      <c r="BF213" s="139"/>
      <c r="BG213" s="139"/>
      <c r="BH213" s="139"/>
    </row>
    <row r="214" spans="2:60" s="11" customFormat="1" ht="19.899999999999999" customHeight="1">
      <c r="B214" s="5590"/>
      <c r="C214" s="9647" t="s">
        <v>134</v>
      </c>
      <c r="D214" s="9648"/>
      <c r="E214" s="9649"/>
      <c r="F214" s="87" t="s">
        <v>255</v>
      </c>
      <c r="G214" s="253"/>
      <c r="H214" s="9579" t="s">
        <v>135</v>
      </c>
      <c r="I214" s="9580"/>
      <c r="J214" s="9581"/>
      <c r="K214" s="87" t="s">
        <v>255</v>
      </c>
      <c r="L214" s="5733">
        <v>1268.5</v>
      </c>
      <c r="M214" s="5734"/>
      <c r="N214" s="5735">
        <v>1491.8989999999999</v>
      </c>
      <c r="O214" s="5736" t="s">
        <v>650</v>
      </c>
      <c r="P214" s="5737">
        <v>1458.057</v>
      </c>
      <c r="Q214" s="5677"/>
      <c r="R214" s="1033"/>
      <c r="S214" s="263"/>
      <c r="T214" s="99"/>
      <c r="U214" s="138"/>
      <c r="V214" s="138"/>
      <c r="W214" s="99"/>
      <c r="X214" s="264"/>
      <c r="Y214" s="277"/>
      <c r="Z214" s="187"/>
      <c r="AA214" s="6301"/>
      <c r="AB214" s="139"/>
      <c r="AC214" s="139"/>
      <c r="AD214" s="139"/>
      <c r="AE214" s="139"/>
      <c r="AF214" s="139"/>
      <c r="AG214" s="139"/>
      <c r="AH214" s="139"/>
      <c r="AI214" s="139"/>
      <c r="AJ214" s="139"/>
      <c r="AK214" s="139"/>
      <c r="AL214" s="139"/>
      <c r="AM214" s="139"/>
      <c r="AN214" s="139"/>
      <c r="AO214" s="139"/>
      <c r="AP214" s="139"/>
      <c r="AQ214" s="139"/>
      <c r="AR214" s="139"/>
      <c r="AS214" s="139"/>
      <c r="AT214" s="139"/>
      <c r="AU214" s="139"/>
      <c r="AV214" s="139"/>
      <c r="AW214" s="139"/>
      <c r="AX214" s="139"/>
      <c r="AY214" s="139"/>
      <c r="AZ214" s="139"/>
      <c r="BA214" s="139"/>
      <c r="BB214" s="139"/>
      <c r="BC214" s="139"/>
      <c r="BD214" s="139"/>
      <c r="BE214" s="139"/>
      <c r="BF214" s="139"/>
      <c r="BG214" s="139"/>
      <c r="BH214" s="139"/>
    </row>
    <row r="215" spans="2:60" s="11" customFormat="1" ht="19.899999999999999" customHeight="1">
      <c r="B215" s="5590"/>
      <c r="C215" s="9647" t="s">
        <v>137</v>
      </c>
      <c r="D215" s="9648"/>
      <c r="E215" s="9649"/>
      <c r="F215" s="87" t="s">
        <v>255</v>
      </c>
      <c r="G215" s="253"/>
      <c r="H215" s="9579" t="s">
        <v>138</v>
      </c>
      <c r="I215" s="9580"/>
      <c r="J215" s="9581"/>
      <c r="K215" s="87" t="s">
        <v>255</v>
      </c>
      <c r="L215" s="5839">
        <v>0</v>
      </c>
      <c r="M215" s="5840"/>
      <c r="N215" s="6056">
        <v>0</v>
      </c>
      <c r="O215" s="6057"/>
      <c r="P215" s="5655">
        <v>11.554</v>
      </c>
      <c r="Q215" s="5593"/>
      <c r="R215" s="1033"/>
      <c r="S215" s="263"/>
      <c r="T215" s="99"/>
      <c r="U215" s="138"/>
      <c r="V215" s="138"/>
      <c r="W215" s="99"/>
      <c r="X215" s="264"/>
      <c r="Y215" s="277"/>
      <c r="Z215" s="187"/>
      <c r="AA215" s="6301"/>
      <c r="AB215" s="139"/>
      <c r="AC215" s="139"/>
      <c r="AD215" s="139"/>
      <c r="AE215" s="139"/>
      <c r="AF215" s="139"/>
      <c r="AG215" s="139"/>
      <c r="AH215" s="139"/>
      <c r="AI215" s="139"/>
      <c r="AJ215" s="139"/>
      <c r="AK215" s="139"/>
      <c r="AL215" s="139"/>
      <c r="AM215" s="139"/>
      <c r="AN215" s="139"/>
      <c r="AO215" s="139"/>
      <c r="AP215" s="139"/>
      <c r="AQ215" s="139"/>
      <c r="AR215" s="139"/>
      <c r="AS215" s="139"/>
      <c r="AT215" s="139"/>
      <c r="AU215" s="139"/>
      <c r="AV215" s="139"/>
      <c r="AW215" s="139"/>
      <c r="AX215" s="139"/>
      <c r="AY215" s="139"/>
      <c r="AZ215" s="139"/>
      <c r="BA215" s="139"/>
      <c r="BB215" s="139"/>
      <c r="BC215" s="139"/>
      <c r="BD215" s="139"/>
      <c r="BE215" s="139"/>
      <c r="BF215" s="139"/>
      <c r="BG215" s="139"/>
      <c r="BH215" s="139"/>
    </row>
    <row r="216" spans="2:60" s="11" customFormat="1" ht="19.899999999999999" customHeight="1">
      <c r="B216" s="5590"/>
      <c r="C216" s="9647" t="s">
        <v>140</v>
      </c>
      <c r="D216" s="9648"/>
      <c r="E216" s="9649"/>
      <c r="F216" s="87" t="s">
        <v>255</v>
      </c>
      <c r="G216" s="253"/>
      <c r="H216" s="9579" t="s">
        <v>141</v>
      </c>
      <c r="I216" s="9580"/>
      <c r="J216" s="9581"/>
      <c r="K216" s="87" t="s">
        <v>255</v>
      </c>
      <c r="L216" s="5592">
        <v>293.25696436359488</v>
      </c>
      <c r="M216" s="5656"/>
      <c r="N216" s="5593">
        <v>257.91617295420275</v>
      </c>
      <c r="O216" s="5593"/>
      <c r="P216" s="5593">
        <v>266.00810795785208</v>
      </c>
      <c r="Q216" s="5593"/>
      <c r="R216" s="1033"/>
      <c r="S216" s="263"/>
      <c r="T216" s="99"/>
      <c r="U216" s="138"/>
      <c r="V216" s="138"/>
      <c r="W216" s="99"/>
      <c r="X216" s="264"/>
      <c r="Y216" s="277"/>
      <c r="Z216" s="187"/>
      <c r="AA216" s="6301"/>
      <c r="AB216" s="139"/>
      <c r="AC216" s="139"/>
      <c r="AD216" s="139"/>
      <c r="AE216" s="139"/>
      <c r="AF216" s="139"/>
      <c r="AG216" s="139"/>
      <c r="AH216" s="139"/>
      <c r="AI216" s="139"/>
      <c r="AJ216" s="139"/>
      <c r="AK216" s="139"/>
      <c r="AL216" s="139"/>
      <c r="AM216" s="139"/>
      <c r="AN216" s="139"/>
      <c r="AO216" s="139"/>
      <c r="AP216" s="139"/>
      <c r="AQ216" s="139"/>
      <c r="AR216" s="139"/>
      <c r="AS216" s="139"/>
      <c r="AT216" s="139"/>
      <c r="AU216" s="139"/>
      <c r="AV216" s="139"/>
      <c r="AW216" s="139"/>
      <c r="AX216" s="139"/>
      <c r="AY216" s="139"/>
      <c r="AZ216" s="139"/>
      <c r="BA216" s="139"/>
      <c r="BB216" s="139"/>
      <c r="BC216" s="139"/>
      <c r="BD216" s="139"/>
      <c r="BE216" s="139"/>
      <c r="BF216" s="139"/>
      <c r="BG216" s="139"/>
      <c r="BH216" s="139"/>
    </row>
    <row r="217" spans="2:60" s="11" customFormat="1" ht="19.899999999999999" customHeight="1">
      <c r="B217" s="5590"/>
      <c r="C217" s="9647" t="s">
        <v>143</v>
      </c>
      <c r="D217" s="9648"/>
      <c r="E217" s="9649"/>
      <c r="F217" s="87" t="s">
        <v>255</v>
      </c>
      <c r="G217" s="253"/>
      <c r="H217" s="9579" t="s">
        <v>144</v>
      </c>
      <c r="I217" s="9580"/>
      <c r="J217" s="9581"/>
      <c r="K217" s="87" t="s">
        <v>255</v>
      </c>
      <c r="L217" s="5592">
        <v>54.037363380335201</v>
      </c>
      <c r="M217" s="5656"/>
      <c r="N217" s="5593">
        <v>117.93083850502801</v>
      </c>
      <c r="O217" s="5593"/>
      <c r="P217" s="5593">
        <v>131.92724031512199</v>
      </c>
      <c r="Q217" s="5593"/>
      <c r="R217" s="1033"/>
      <c r="S217" s="263"/>
      <c r="T217" s="99"/>
      <c r="U217" s="138"/>
      <c r="V217" s="138"/>
      <c r="W217" s="99"/>
      <c r="X217" s="264"/>
      <c r="Y217" s="277"/>
      <c r="Z217" s="187"/>
      <c r="AA217" s="6301"/>
      <c r="AB217" s="139"/>
      <c r="AC217" s="139"/>
      <c r="AD217" s="139"/>
      <c r="AE217" s="139"/>
      <c r="AF217" s="139"/>
      <c r="AG217" s="139"/>
      <c r="AH217" s="139"/>
      <c r="AI217" s="139"/>
      <c r="AJ217" s="139"/>
      <c r="AK217" s="139"/>
      <c r="AL217" s="139"/>
      <c r="AM217" s="139"/>
      <c r="AN217" s="139"/>
      <c r="AO217" s="139"/>
      <c r="AP217" s="139"/>
      <c r="AQ217" s="139"/>
      <c r="AR217" s="139"/>
      <c r="AS217" s="139"/>
      <c r="AT217" s="139"/>
      <c r="AU217" s="139"/>
      <c r="AV217" s="139"/>
      <c r="AW217" s="139"/>
      <c r="AX217" s="139"/>
      <c r="AY217" s="139"/>
      <c r="AZ217" s="139"/>
      <c r="BA217" s="139"/>
      <c r="BB217" s="139"/>
      <c r="BC217" s="139"/>
      <c r="BD217" s="139"/>
      <c r="BE217" s="139"/>
      <c r="BF217" s="139"/>
      <c r="BG217" s="139"/>
      <c r="BH217" s="139"/>
    </row>
    <row r="218" spans="2:60" s="11" customFormat="1" ht="19.899999999999999" customHeight="1">
      <c r="B218" s="5590"/>
      <c r="C218" s="9647" t="s">
        <v>631</v>
      </c>
      <c r="D218" s="9648"/>
      <c r="E218" s="9649"/>
      <c r="F218" s="87" t="s">
        <v>255</v>
      </c>
      <c r="G218" s="253"/>
      <c r="H218" s="9579" t="s">
        <v>147</v>
      </c>
      <c r="I218" s="9580"/>
      <c r="J218" s="9581"/>
      <c r="K218" s="87" t="s">
        <v>255</v>
      </c>
      <c r="L218" s="5967" t="s">
        <v>168</v>
      </c>
      <c r="M218" s="5656" t="s">
        <v>641</v>
      </c>
      <c r="N218" s="5593" t="s">
        <v>168</v>
      </c>
      <c r="O218" s="5593" t="s">
        <v>641</v>
      </c>
      <c r="P218" s="5593" t="s">
        <v>168</v>
      </c>
      <c r="Q218" s="5593" t="s">
        <v>641</v>
      </c>
      <c r="R218" s="1033"/>
      <c r="S218" s="263"/>
      <c r="T218" s="99"/>
      <c r="U218" s="138"/>
      <c r="V218" s="138"/>
      <c r="W218" s="99"/>
      <c r="X218" s="264"/>
      <c r="Y218" s="277"/>
      <c r="Z218" s="187"/>
      <c r="AA218" s="6301"/>
      <c r="AB218" s="139"/>
      <c r="AC218" s="139"/>
      <c r="AD218" s="139"/>
      <c r="AE218" s="139"/>
      <c r="AF218" s="139"/>
      <c r="AG218" s="139"/>
      <c r="AH218" s="139"/>
      <c r="AI218" s="139"/>
      <c r="AJ218" s="139"/>
      <c r="AK218" s="139"/>
      <c r="AL218" s="139"/>
      <c r="AM218" s="139"/>
      <c r="AN218" s="139"/>
      <c r="AO218" s="139"/>
      <c r="AP218" s="139"/>
      <c r="AQ218" s="139"/>
      <c r="AR218" s="139"/>
      <c r="AS218" s="139"/>
      <c r="AT218" s="139"/>
      <c r="AU218" s="139"/>
      <c r="AV218" s="139"/>
      <c r="AW218" s="139"/>
      <c r="AX218" s="139"/>
      <c r="AY218" s="139"/>
      <c r="AZ218" s="139"/>
      <c r="BA218" s="139"/>
      <c r="BB218" s="139"/>
      <c r="BC218" s="139"/>
      <c r="BD218" s="139"/>
      <c r="BE218" s="139"/>
      <c r="BF218" s="139"/>
      <c r="BG218" s="139"/>
      <c r="BH218" s="139"/>
    </row>
    <row r="219" spans="2:60" s="11" customFormat="1" ht="19.899999999999999" customHeight="1">
      <c r="B219" s="5590"/>
      <c r="C219" s="9647" t="s">
        <v>633</v>
      </c>
      <c r="D219" s="9648"/>
      <c r="E219" s="9649"/>
      <c r="F219" s="87" t="s">
        <v>255</v>
      </c>
      <c r="G219" s="253"/>
      <c r="H219" s="9579" t="s">
        <v>150</v>
      </c>
      <c r="I219" s="9580"/>
      <c r="J219" s="9581"/>
      <c r="K219" s="87" t="s">
        <v>255</v>
      </c>
      <c r="L219" s="5592">
        <v>163.06</v>
      </c>
      <c r="M219" s="5656"/>
      <c r="N219" s="5593">
        <v>190.41</v>
      </c>
      <c r="O219" s="5593"/>
      <c r="P219" s="5593">
        <v>148.49</v>
      </c>
      <c r="Q219" s="5593"/>
      <c r="R219" s="1033"/>
      <c r="S219" s="263"/>
      <c r="T219" s="99"/>
      <c r="U219" s="138"/>
      <c r="V219" s="138"/>
      <c r="W219" s="99"/>
      <c r="X219" s="264"/>
      <c r="Y219" s="277"/>
      <c r="Z219" s="187"/>
      <c r="AA219" s="6301"/>
      <c r="AB219" s="139"/>
      <c r="AC219" s="139"/>
      <c r="AD219" s="139"/>
      <c r="AE219" s="139"/>
      <c r="AF219" s="139"/>
      <c r="AG219" s="139"/>
      <c r="AH219" s="139"/>
      <c r="AI219" s="139"/>
      <c r="AJ219" s="139"/>
      <c r="AK219" s="139"/>
      <c r="AL219" s="139"/>
      <c r="AM219" s="139"/>
      <c r="AN219" s="139"/>
      <c r="AO219" s="139"/>
      <c r="AP219" s="139"/>
      <c r="AQ219" s="139"/>
      <c r="AR219" s="139"/>
      <c r="AS219" s="139"/>
      <c r="AT219" s="139"/>
      <c r="AU219" s="139"/>
      <c r="AV219" s="139"/>
      <c r="AW219" s="139"/>
      <c r="AX219" s="139"/>
      <c r="AY219" s="139"/>
      <c r="AZ219" s="139"/>
      <c r="BA219" s="139"/>
      <c r="BB219" s="139"/>
      <c r="BC219" s="139"/>
      <c r="BD219" s="139"/>
      <c r="BE219" s="139"/>
      <c r="BF219" s="139"/>
      <c r="BG219" s="139"/>
      <c r="BH219" s="139"/>
    </row>
    <row r="220" spans="2:60" s="11" customFormat="1" ht="20.100000000000001" customHeight="1">
      <c r="B220" s="1360"/>
      <c r="C220" s="5598"/>
      <c r="D220" s="9635" t="s">
        <v>262</v>
      </c>
      <c r="E220" s="9646"/>
      <c r="F220" s="87" t="s">
        <v>255</v>
      </c>
      <c r="G220" s="337"/>
      <c r="H220" s="386"/>
      <c r="I220" s="9635" t="s">
        <v>263</v>
      </c>
      <c r="J220" s="9646"/>
      <c r="K220" s="87" t="s">
        <v>255</v>
      </c>
      <c r="L220" s="5653" t="str">
        <f>IF(COUNTBLANK(L221:L226)&gt;0,"미취합법인有",SUM(L221:L226))</f>
        <v>미취합법인有</v>
      </c>
      <c r="M220" s="5657"/>
      <c r="N220" s="5654" t="str">
        <f>IF(COUNTBLANK(N221:N226)&gt;0,"미취합법인有",SUM(N221:N226))</f>
        <v>미취합법인有</v>
      </c>
      <c r="O220" s="5663"/>
      <c r="P220" s="5781" t="str">
        <f>IF(COUNTBLANK(P221:P226)&gt;0,"미취합법인有",SUM(P221:P226))</f>
        <v>미취합법인有</v>
      </c>
      <c r="Q220" s="5654"/>
      <c r="R220" s="1033" t="s">
        <v>264</v>
      </c>
      <c r="S220" s="263" t="s">
        <v>265</v>
      </c>
      <c r="T220" s="99" t="s">
        <v>206</v>
      </c>
      <c r="U220" s="138"/>
      <c r="V220" s="138"/>
      <c r="W220" s="99"/>
      <c r="X220" s="336" t="s">
        <v>266</v>
      </c>
      <c r="Y220" s="154"/>
      <c r="Z220" s="159"/>
      <c r="AA220" s="6301"/>
      <c r="AB220" s="139"/>
      <c r="AC220" s="139"/>
      <c r="AD220" s="139"/>
      <c r="AE220" s="139"/>
      <c r="AF220" s="139"/>
      <c r="AG220" s="139"/>
      <c r="AH220" s="139"/>
      <c r="AI220" s="139"/>
      <c r="AJ220" s="139"/>
      <c r="AK220" s="139"/>
      <c r="AL220" s="139"/>
      <c r="AM220" s="139"/>
      <c r="AN220" s="139"/>
      <c r="AO220" s="139"/>
      <c r="AP220" s="139"/>
      <c r="AQ220" s="139"/>
      <c r="AR220" s="139"/>
      <c r="AS220" s="139"/>
      <c r="AT220" s="139"/>
      <c r="AU220" s="139"/>
      <c r="AV220" s="139"/>
      <c r="AW220" s="139"/>
      <c r="AX220" s="139"/>
      <c r="AY220" s="139"/>
      <c r="AZ220" s="139"/>
      <c r="BA220" s="139"/>
      <c r="BB220" s="139"/>
      <c r="BC220" s="139"/>
      <c r="BD220" s="139"/>
      <c r="BE220" s="139"/>
      <c r="BF220" s="139"/>
      <c r="BG220" s="139"/>
      <c r="BH220" s="139"/>
    </row>
    <row r="221" spans="2:60" s="11" customFormat="1" ht="19.899999999999999" customHeight="1">
      <c r="B221" s="5590"/>
      <c r="C221" s="5598"/>
      <c r="D221" s="9598" t="s">
        <v>134</v>
      </c>
      <c r="E221" s="9600"/>
      <c r="F221" s="87" t="s">
        <v>255</v>
      </c>
      <c r="G221" s="253"/>
      <c r="H221" s="286"/>
      <c r="I221" s="9579" t="s">
        <v>135</v>
      </c>
      <c r="J221" s="9581"/>
      <c r="K221" s="87" t="s">
        <v>255</v>
      </c>
      <c r="L221" s="5888">
        <v>1268.5</v>
      </c>
      <c r="M221" s="6053" t="s">
        <v>667</v>
      </c>
      <c r="N221" s="6054">
        <v>1491.9</v>
      </c>
      <c r="O221" s="6055" t="s">
        <v>668</v>
      </c>
      <c r="P221" s="6055">
        <v>1458.06</v>
      </c>
      <c r="Q221" s="5672"/>
      <c r="R221" s="2468"/>
      <c r="S221" s="276"/>
      <c r="T221" s="99"/>
      <c r="U221" s="138"/>
      <c r="V221" s="138"/>
      <c r="W221" s="99"/>
      <c r="X221" s="264"/>
      <c r="Y221" s="277"/>
      <c r="Z221" s="187"/>
      <c r="AA221" s="6301"/>
      <c r="AB221" s="139"/>
      <c r="AC221" s="139"/>
      <c r="AD221" s="139"/>
      <c r="AE221" s="139"/>
      <c r="AF221" s="139"/>
      <c r="AG221" s="139"/>
      <c r="AH221" s="139"/>
      <c r="AI221" s="139"/>
      <c r="AJ221" s="139"/>
      <c r="AK221" s="139"/>
      <c r="AL221" s="139"/>
      <c r="AM221" s="139"/>
      <c r="AN221" s="139"/>
      <c r="AO221" s="139"/>
      <c r="AP221" s="139"/>
      <c r="AQ221" s="139"/>
      <c r="AR221" s="139"/>
      <c r="AS221" s="139"/>
      <c r="AT221" s="139"/>
      <c r="AU221" s="139"/>
      <c r="AV221" s="139"/>
      <c r="AW221" s="139"/>
      <c r="AX221" s="139"/>
      <c r="AY221" s="139"/>
      <c r="AZ221" s="139"/>
      <c r="BA221" s="139"/>
      <c r="BB221" s="139"/>
      <c r="BC221" s="139"/>
      <c r="BD221" s="139"/>
      <c r="BE221" s="139"/>
      <c r="BF221" s="139"/>
      <c r="BG221" s="139"/>
      <c r="BH221" s="139"/>
    </row>
    <row r="222" spans="2:60" s="11" customFormat="1" ht="19.899999999999999" customHeight="1">
      <c r="B222" s="5590"/>
      <c r="C222" s="5598"/>
      <c r="D222" s="9598" t="s">
        <v>137</v>
      </c>
      <c r="E222" s="9600"/>
      <c r="F222" s="87" t="s">
        <v>255</v>
      </c>
      <c r="G222" s="253"/>
      <c r="H222" s="286"/>
      <c r="I222" s="9579" t="s">
        <v>138</v>
      </c>
      <c r="J222" s="9581"/>
      <c r="K222" s="87" t="s">
        <v>255</v>
      </c>
      <c r="L222" s="5839"/>
      <c r="M222" s="5840"/>
      <c r="N222" s="6056"/>
      <c r="O222" s="6057"/>
      <c r="P222" s="5655"/>
      <c r="Q222" s="1814"/>
      <c r="R222" s="2468"/>
      <c r="S222" s="276"/>
      <c r="T222" s="99"/>
      <c r="U222" s="138"/>
      <c r="V222" s="138"/>
      <c r="W222" s="99"/>
      <c r="X222" s="264"/>
      <c r="Y222" s="277"/>
      <c r="Z222" s="187"/>
      <c r="AA222" s="6301"/>
      <c r="AB222" s="139"/>
      <c r="AC222" s="139"/>
      <c r="AD222" s="139"/>
      <c r="AE222" s="139"/>
      <c r="AF222" s="139"/>
      <c r="AG222" s="139"/>
      <c r="AH222" s="139"/>
      <c r="AI222" s="139"/>
      <c r="AJ222" s="139"/>
      <c r="AK222" s="139"/>
      <c r="AL222" s="139"/>
      <c r="AM222" s="139"/>
      <c r="AN222" s="139"/>
      <c r="AO222" s="139"/>
      <c r="AP222" s="139"/>
      <c r="AQ222" s="139"/>
      <c r="AR222" s="139"/>
      <c r="AS222" s="139"/>
      <c r="AT222" s="139"/>
      <c r="AU222" s="139"/>
      <c r="AV222" s="139"/>
      <c r="AW222" s="139"/>
      <c r="AX222" s="139"/>
      <c r="AY222" s="139"/>
      <c r="AZ222" s="139"/>
      <c r="BA222" s="139"/>
      <c r="BB222" s="139"/>
      <c r="BC222" s="139"/>
      <c r="BD222" s="139"/>
      <c r="BE222" s="139"/>
      <c r="BF222" s="139"/>
      <c r="BG222" s="139"/>
      <c r="BH222" s="139"/>
    </row>
    <row r="223" spans="2:60" s="11" customFormat="1" ht="19.899999999999999" customHeight="1">
      <c r="B223" s="5590"/>
      <c r="C223" s="5598"/>
      <c r="D223" s="9598" t="s">
        <v>140</v>
      </c>
      <c r="E223" s="9600"/>
      <c r="F223" s="87" t="s">
        <v>255</v>
      </c>
      <c r="G223" s="253"/>
      <c r="H223" s="286"/>
      <c r="I223" s="9582" t="s">
        <v>141</v>
      </c>
      <c r="J223" s="9583"/>
      <c r="K223" s="87" t="s">
        <v>255</v>
      </c>
      <c r="L223" s="5324">
        <v>205.80008876798826</v>
      </c>
      <c r="M223" s="6058"/>
      <c r="N223" s="972">
        <v>176.61219894487496</v>
      </c>
      <c r="O223" s="5027"/>
      <c r="P223" s="5966">
        <v>177.63597829765689</v>
      </c>
      <c r="Q223" s="2554"/>
      <c r="R223" s="2468"/>
      <c r="S223" s="276"/>
      <c r="T223" s="99"/>
      <c r="U223" s="138"/>
      <c r="V223" s="138"/>
      <c r="W223" s="99"/>
      <c r="X223" s="264"/>
      <c r="Y223" s="277"/>
      <c r="Z223" s="187"/>
      <c r="AA223" s="6301"/>
      <c r="AB223" s="139"/>
      <c r="AC223" s="139"/>
      <c r="AD223" s="139"/>
      <c r="AE223" s="139"/>
      <c r="AF223" s="139"/>
      <c r="AG223" s="139"/>
      <c r="AH223" s="139"/>
      <c r="AI223" s="139"/>
      <c r="AJ223" s="139"/>
      <c r="AK223" s="139"/>
      <c r="AL223" s="139"/>
      <c r="AM223" s="139"/>
      <c r="AN223" s="139"/>
      <c r="AO223" s="139"/>
      <c r="AP223" s="139"/>
      <c r="AQ223" s="139"/>
      <c r="AR223" s="139"/>
      <c r="AS223" s="139"/>
      <c r="AT223" s="139"/>
      <c r="AU223" s="139"/>
      <c r="AV223" s="139"/>
      <c r="AW223" s="139"/>
      <c r="AX223" s="139"/>
      <c r="AY223" s="139"/>
      <c r="AZ223" s="139"/>
      <c r="BA223" s="139"/>
      <c r="BB223" s="139"/>
      <c r="BC223" s="139"/>
      <c r="BD223" s="139"/>
      <c r="BE223" s="139"/>
      <c r="BF223" s="139"/>
      <c r="BG223" s="139"/>
      <c r="BH223" s="139"/>
    </row>
    <row r="224" spans="2:60" s="11" customFormat="1" ht="19.899999999999999" customHeight="1">
      <c r="B224" s="5590"/>
      <c r="C224" s="5598"/>
      <c r="D224" s="9598" t="s">
        <v>143</v>
      </c>
      <c r="E224" s="9600"/>
      <c r="F224" s="87" t="s">
        <v>255</v>
      </c>
      <c r="G224" s="253"/>
      <c r="H224" s="286"/>
      <c r="I224" s="9582" t="s">
        <v>144</v>
      </c>
      <c r="J224" s="9583"/>
      <c r="K224" s="87" t="s">
        <v>255</v>
      </c>
      <c r="L224" s="5592">
        <v>54.037363380335201</v>
      </c>
      <c r="M224" s="5674" t="s">
        <v>669</v>
      </c>
      <c r="N224" s="5593">
        <v>117.93083850502801</v>
      </c>
      <c r="O224" s="5593"/>
      <c r="P224" s="5593">
        <v>131.92724031512199</v>
      </c>
      <c r="Q224" s="5593"/>
      <c r="R224" s="2468"/>
      <c r="S224" s="276"/>
      <c r="T224" s="99"/>
      <c r="U224" s="138"/>
      <c r="V224" s="138"/>
      <c r="W224" s="99"/>
      <c r="X224" s="264"/>
      <c r="Y224" s="277"/>
      <c r="Z224" s="187"/>
      <c r="AA224" s="6301"/>
      <c r="AB224" s="139"/>
      <c r="AC224" s="139"/>
      <c r="AD224" s="139"/>
      <c r="AE224" s="139"/>
      <c r="AF224" s="139"/>
      <c r="AG224" s="139"/>
      <c r="AH224" s="139"/>
      <c r="AI224" s="139"/>
      <c r="AJ224" s="139"/>
      <c r="AK224" s="139"/>
      <c r="AL224" s="139"/>
      <c r="AM224" s="139"/>
      <c r="AN224" s="139"/>
      <c r="AO224" s="139"/>
      <c r="AP224" s="139"/>
      <c r="AQ224" s="139"/>
      <c r="AR224" s="139"/>
      <c r="AS224" s="139"/>
      <c r="AT224" s="139"/>
      <c r="AU224" s="139"/>
      <c r="AV224" s="139"/>
      <c r="AW224" s="139"/>
      <c r="AX224" s="139"/>
      <c r="AY224" s="139"/>
      <c r="AZ224" s="139"/>
      <c r="BA224" s="139"/>
      <c r="BB224" s="139"/>
      <c r="BC224" s="139"/>
      <c r="BD224" s="139"/>
      <c r="BE224" s="139"/>
      <c r="BF224" s="139"/>
      <c r="BG224" s="139"/>
      <c r="BH224" s="139"/>
    </row>
    <row r="225" spans="2:60" s="11" customFormat="1" ht="19.899999999999999" customHeight="1">
      <c r="B225" s="5590"/>
      <c r="C225" s="5598"/>
      <c r="D225" s="9598" t="s">
        <v>631</v>
      </c>
      <c r="E225" s="9600"/>
      <c r="F225" s="87" t="s">
        <v>255</v>
      </c>
      <c r="G225" s="253"/>
      <c r="H225" s="286"/>
      <c r="I225" s="9582" t="s">
        <v>147</v>
      </c>
      <c r="J225" s="9583"/>
      <c r="K225" s="87" t="s">
        <v>255</v>
      </c>
      <c r="L225" s="5967" t="s">
        <v>168</v>
      </c>
      <c r="M225" s="5656" t="s">
        <v>641</v>
      </c>
      <c r="N225" s="5593" t="s">
        <v>168</v>
      </c>
      <c r="O225" s="5593" t="s">
        <v>641</v>
      </c>
      <c r="P225" s="5593" t="s">
        <v>168</v>
      </c>
      <c r="Q225" s="5593" t="s">
        <v>641</v>
      </c>
      <c r="R225" s="2468"/>
      <c r="S225" s="276"/>
      <c r="T225" s="99"/>
      <c r="U225" s="138"/>
      <c r="V225" s="138"/>
      <c r="W225" s="99"/>
      <c r="X225" s="264"/>
      <c r="Y225" s="277"/>
      <c r="Z225" s="187"/>
      <c r="AA225" s="6301"/>
      <c r="AB225" s="139"/>
      <c r="AC225" s="139"/>
      <c r="AD225" s="139"/>
      <c r="AE225" s="139"/>
      <c r="AF225" s="139"/>
      <c r="AG225" s="139"/>
      <c r="AH225" s="139"/>
      <c r="AI225" s="139"/>
      <c r="AJ225" s="139"/>
      <c r="AK225" s="139"/>
      <c r="AL225" s="139"/>
      <c r="AM225" s="139"/>
      <c r="AN225" s="139"/>
      <c r="AO225" s="139"/>
      <c r="AP225" s="139"/>
      <c r="AQ225" s="139"/>
      <c r="AR225" s="139"/>
      <c r="AS225" s="139"/>
      <c r="AT225" s="139"/>
      <c r="AU225" s="139"/>
      <c r="AV225" s="139"/>
      <c r="AW225" s="139"/>
      <c r="AX225" s="139"/>
      <c r="AY225" s="139"/>
      <c r="AZ225" s="139"/>
      <c r="BA225" s="139"/>
      <c r="BB225" s="139"/>
      <c r="BC225" s="139"/>
      <c r="BD225" s="139"/>
      <c r="BE225" s="139"/>
      <c r="BF225" s="139"/>
      <c r="BG225" s="139"/>
      <c r="BH225" s="139"/>
    </row>
    <row r="226" spans="2:60" s="11" customFormat="1" ht="19.899999999999999" customHeight="1">
      <c r="B226" s="5590"/>
      <c r="C226" s="5598"/>
      <c r="D226" s="9598" t="s">
        <v>633</v>
      </c>
      <c r="E226" s="9600"/>
      <c r="F226" s="87" t="s">
        <v>255</v>
      </c>
      <c r="G226" s="253"/>
      <c r="H226" s="286"/>
      <c r="I226" s="9582" t="s">
        <v>150</v>
      </c>
      <c r="J226" s="9583"/>
      <c r="K226" s="87" t="s">
        <v>255</v>
      </c>
      <c r="L226" s="5592">
        <v>163.06</v>
      </c>
      <c r="M226" s="5656"/>
      <c r="N226" s="5593">
        <v>190.41</v>
      </c>
      <c r="O226" s="5593"/>
      <c r="P226" s="5593">
        <v>148.49</v>
      </c>
      <c r="Q226" s="5593"/>
      <c r="R226" s="2468"/>
      <c r="S226" s="276"/>
      <c r="T226" s="99"/>
      <c r="U226" s="138"/>
      <c r="V226" s="138"/>
      <c r="W226" s="99"/>
      <c r="X226" s="264"/>
      <c r="Y226" s="277"/>
      <c r="Z226" s="187"/>
      <c r="AA226" s="6301"/>
      <c r="AB226" s="139"/>
      <c r="AC226" s="139"/>
      <c r="AD226" s="139"/>
      <c r="AE226" s="139"/>
      <c r="AF226" s="139"/>
      <c r="AG226" s="139"/>
      <c r="AH226" s="139"/>
      <c r="AI226" s="139"/>
      <c r="AJ226" s="139"/>
      <c r="AK226" s="139"/>
      <c r="AL226" s="139"/>
      <c r="AM226" s="139"/>
      <c r="AN226" s="139"/>
      <c r="AO226" s="139"/>
      <c r="AP226" s="139"/>
      <c r="AQ226" s="139"/>
      <c r="AR226" s="139"/>
      <c r="AS226" s="139"/>
      <c r="AT226" s="139"/>
      <c r="AU226" s="139"/>
      <c r="AV226" s="139"/>
      <c r="AW226" s="139"/>
      <c r="AX226" s="139"/>
      <c r="AY226" s="139"/>
      <c r="AZ226" s="139"/>
      <c r="BA226" s="139"/>
      <c r="BB226" s="139"/>
      <c r="BC226" s="139"/>
      <c r="BD226" s="139"/>
      <c r="BE226" s="139"/>
      <c r="BF226" s="139"/>
      <c r="BG226" s="139"/>
      <c r="BH226" s="139"/>
    </row>
    <row r="227" spans="2:60" s="11" customFormat="1" ht="20.100000000000001" customHeight="1">
      <c r="B227" s="1360"/>
      <c r="C227" s="5598"/>
      <c r="D227" s="9635" t="s">
        <v>273</v>
      </c>
      <c r="E227" s="9646"/>
      <c r="F227" s="87" t="s">
        <v>255</v>
      </c>
      <c r="G227" s="343"/>
      <c r="H227" s="386"/>
      <c r="I227" s="9635" t="s">
        <v>274</v>
      </c>
      <c r="J227" s="9646"/>
      <c r="K227" s="87" t="s">
        <v>255</v>
      </c>
      <c r="L227" s="5653" t="str">
        <f>IF(COUNTBLANK(L228:L233)&gt;0,"미취합법인有",SUM(L228:L233))</f>
        <v>미취합법인有</v>
      </c>
      <c r="M227" s="5657"/>
      <c r="N227" s="5654" t="str">
        <f>IF(COUNTBLANK(N228:N233)&gt;0,"미취합법인有",SUM(N228:N233))</f>
        <v>미취합법인有</v>
      </c>
      <c r="O227" s="5663"/>
      <c r="P227" s="5781" t="str">
        <f>IF(COUNTBLANK(P228:P233)&gt;0,"미취합법인有",SUM(P228:P233))</f>
        <v>미취합법인有</v>
      </c>
      <c r="Q227" s="5654"/>
      <c r="R227" s="1033" t="s">
        <v>275</v>
      </c>
      <c r="S227" s="263" t="s">
        <v>276</v>
      </c>
      <c r="T227" s="99" t="s">
        <v>206</v>
      </c>
      <c r="U227" s="138"/>
      <c r="V227" s="138"/>
      <c r="W227" s="99"/>
      <c r="X227" s="336" t="s">
        <v>277</v>
      </c>
      <c r="Y227" s="154"/>
      <c r="Z227" s="159"/>
      <c r="AA227" s="6301"/>
      <c r="AB227" s="139"/>
      <c r="AC227" s="139"/>
      <c r="AD227" s="139"/>
      <c r="AE227" s="139"/>
      <c r="AF227" s="139"/>
      <c r="AG227" s="139"/>
      <c r="AH227" s="139"/>
      <c r="AI227" s="139"/>
      <c r="AJ227" s="139"/>
      <c r="AK227" s="139"/>
      <c r="AL227" s="139"/>
      <c r="AM227" s="139"/>
      <c r="AN227" s="139"/>
      <c r="AO227" s="139"/>
      <c r="AP227" s="139"/>
      <c r="AQ227" s="139"/>
      <c r="AR227" s="139"/>
      <c r="AS227" s="139"/>
      <c r="AT227" s="139"/>
      <c r="AU227" s="139"/>
      <c r="AV227" s="139"/>
      <c r="AW227" s="139"/>
      <c r="AX227" s="139"/>
      <c r="AY227" s="139"/>
      <c r="AZ227" s="139"/>
      <c r="BA227" s="139"/>
      <c r="BB227" s="139"/>
      <c r="BC227" s="139"/>
      <c r="BD227" s="139"/>
      <c r="BE227" s="139"/>
      <c r="BF227" s="139"/>
      <c r="BG227" s="139"/>
      <c r="BH227" s="139"/>
    </row>
    <row r="228" spans="2:60" s="11" customFormat="1" ht="19.899999999999999" customHeight="1">
      <c r="B228" s="5590"/>
      <c r="C228" s="5598"/>
      <c r="D228" s="9598" t="s">
        <v>134</v>
      </c>
      <c r="E228" s="9600"/>
      <c r="F228" s="87" t="s">
        <v>255</v>
      </c>
      <c r="G228" s="253"/>
      <c r="H228" s="286"/>
      <c r="I228" s="9579" t="s">
        <v>135</v>
      </c>
      <c r="J228" s="9581"/>
      <c r="K228" s="87" t="s">
        <v>255</v>
      </c>
      <c r="L228" s="5888">
        <v>0</v>
      </c>
      <c r="M228" s="6053" t="s">
        <v>670</v>
      </c>
      <c r="N228" s="6054">
        <v>0</v>
      </c>
      <c r="O228" s="6055" t="s">
        <v>670</v>
      </c>
      <c r="P228" s="6055">
        <v>0</v>
      </c>
      <c r="Q228" s="5672"/>
      <c r="R228" s="2468"/>
      <c r="S228" s="276"/>
      <c r="T228" s="99"/>
      <c r="U228" s="138"/>
      <c r="V228" s="138"/>
      <c r="W228" s="99"/>
      <c r="X228" s="264"/>
      <c r="Y228" s="277"/>
      <c r="Z228" s="187"/>
      <c r="AA228" s="6301"/>
      <c r="AB228" s="139"/>
      <c r="AC228" s="139"/>
      <c r="AD228" s="139"/>
      <c r="AE228" s="139"/>
      <c r="AF228" s="139"/>
      <c r="AG228" s="139"/>
      <c r="AH228" s="139"/>
      <c r="AI228" s="139"/>
      <c r="AJ228" s="139"/>
      <c r="AK228" s="139"/>
      <c r="AL228" s="139"/>
      <c r="AM228" s="139"/>
      <c r="AN228" s="139"/>
      <c r="AO228" s="139"/>
      <c r="AP228" s="139"/>
      <c r="AQ228" s="139"/>
      <c r="AR228" s="139"/>
      <c r="AS228" s="139"/>
      <c r="AT228" s="139"/>
      <c r="AU228" s="139"/>
      <c r="AV228" s="139"/>
      <c r="AW228" s="139"/>
      <c r="AX228" s="139"/>
      <c r="AY228" s="139"/>
      <c r="AZ228" s="139"/>
      <c r="BA228" s="139"/>
      <c r="BB228" s="139"/>
      <c r="BC228" s="139"/>
      <c r="BD228" s="139"/>
      <c r="BE228" s="139"/>
      <c r="BF228" s="139"/>
      <c r="BG228" s="139"/>
      <c r="BH228" s="139"/>
    </row>
    <row r="229" spans="2:60" s="11" customFormat="1" ht="19.899999999999999" customHeight="1">
      <c r="B229" s="5590"/>
      <c r="C229" s="5598"/>
      <c r="D229" s="9598" t="s">
        <v>137</v>
      </c>
      <c r="E229" s="9600"/>
      <c r="F229" s="87" t="s">
        <v>255</v>
      </c>
      <c r="G229" s="253"/>
      <c r="H229" s="286"/>
      <c r="I229" s="9579" t="s">
        <v>138</v>
      </c>
      <c r="J229" s="9581"/>
      <c r="K229" s="87" t="s">
        <v>255</v>
      </c>
      <c r="L229" s="5594"/>
      <c r="M229" s="5658"/>
      <c r="N229" s="1814"/>
      <c r="O229" s="5302"/>
      <c r="P229" s="5595"/>
      <c r="Q229" s="1814"/>
      <c r="R229" s="2468"/>
      <c r="S229" s="276"/>
      <c r="T229" s="99"/>
      <c r="U229" s="138"/>
      <c r="V229" s="138"/>
      <c r="W229" s="99"/>
      <c r="X229" s="264"/>
      <c r="Y229" s="277"/>
      <c r="Z229" s="187"/>
      <c r="AA229" s="6301"/>
      <c r="AB229" s="139"/>
      <c r="AC229" s="139"/>
      <c r="AD229" s="139"/>
      <c r="AE229" s="139"/>
      <c r="AF229" s="139"/>
      <c r="AG229" s="139"/>
      <c r="AH229" s="139"/>
      <c r="AI229" s="139"/>
      <c r="AJ229" s="139"/>
      <c r="AK229" s="139"/>
      <c r="AL229" s="139"/>
      <c r="AM229" s="139"/>
      <c r="AN229" s="139"/>
      <c r="AO229" s="139"/>
      <c r="AP229" s="139"/>
      <c r="AQ229" s="139"/>
      <c r="AR229" s="139"/>
      <c r="AS229" s="139"/>
      <c r="AT229" s="139"/>
      <c r="AU229" s="139"/>
      <c r="AV229" s="139"/>
      <c r="AW229" s="139"/>
      <c r="AX229" s="139"/>
      <c r="AY229" s="139"/>
      <c r="AZ229" s="139"/>
      <c r="BA229" s="139"/>
      <c r="BB229" s="139"/>
      <c r="BC229" s="139"/>
      <c r="BD229" s="139"/>
      <c r="BE229" s="139"/>
      <c r="BF229" s="139"/>
      <c r="BG229" s="139"/>
      <c r="BH229" s="139"/>
    </row>
    <row r="230" spans="2:60" s="11" customFormat="1" ht="19.899999999999999" customHeight="1">
      <c r="B230" s="5590"/>
      <c r="C230" s="5598"/>
      <c r="D230" s="9598" t="s">
        <v>140</v>
      </c>
      <c r="E230" s="9600"/>
      <c r="F230" s="87" t="s">
        <v>255</v>
      </c>
      <c r="G230" s="253"/>
      <c r="H230" s="286"/>
      <c r="I230" s="9582" t="s">
        <v>141</v>
      </c>
      <c r="J230" s="9583"/>
      <c r="K230" s="87" t="s">
        <v>255</v>
      </c>
      <c r="L230" s="5925">
        <v>87.456875595606604</v>
      </c>
      <c r="M230" s="6062"/>
      <c r="N230" s="5425">
        <v>81.303974009327803</v>
      </c>
      <c r="O230" s="6063"/>
      <c r="P230" s="6064">
        <v>88.372129660195171</v>
      </c>
      <c r="Q230" s="2554"/>
      <c r="R230" s="2468"/>
      <c r="S230" s="276"/>
      <c r="T230" s="99"/>
      <c r="U230" s="138"/>
      <c r="V230" s="138"/>
      <c r="W230" s="99"/>
      <c r="X230" s="264"/>
      <c r="Y230" s="277"/>
      <c r="Z230" s="187"/>
      <c r="AA230" s="6301"/>
      <c r="AB230" s="139"/>
      <c r="AC230" s="139"/>
      <c r="AD230" s="139"/>
      <c r="AE230" s="139"/>
      <c r="AF230" s="139"/>
      <c r="AG230" s="139"/>
      <c r="AH230" s="139"/>
      <c r="AI230" s="139"/>
      <c r="AJ230" s="139"/>
      <c r="AK230" s="139"/>
      <c r="AL230" s="139"/>
      <c r="AM230" s="139"/>
      <c r="AN230" s="139"/>
      <c r="AO230" s="139"/>
      <c r="AP230" s="139"/>
      <c r="AQ230" s="139"/>
      <c r="AR230" s="139"/>
      <c r="AS230" s="139"/>
      <c r="AT230" s="139"/>
      <c r="AU230" s="139"/>
      <c r="AV230" s="139"/>
      <c r="AW230" s="139"/>
      <c r="AX230" s="139"/>
      <c r="AY230" s="139"/>
      <c r="AZ230" s="139"/>
      <c r="BA230" s="139"/>
      <c r="BB230" s="139"/>
      <c r="BC230" s="139"/>
      <c r="BD230" s="139"/>
      <c r="BE230" s="139"/>
      <c r="BF230" s="139"/>
      <c r="BG230" s="139"/>
      <c r="BH230" s="139"/>
    </row>
    <row r="231" spans="2:60" s="11" customFormat="1" ht="19.899999999999999" customHeight="1">
      <c r="B231" s="5590"/>
      <c r="C231" s="5598"/>
      <c r="D231" s="9598" t="s">
        <v>143</v>
      </c>
      <c r="E231" s="9600"/>
      <c r="F231" s="87" t="s">
        <v>255</v>
      </c>
      <c r="G231" s="253"/>
      <c r="H231" s="286"/>
      <c r="I231" s="9582" t="s">
        <v>144</v>
      </c>
      <c r="J231" s="9583"/>
      <c r="K231" s="87" t="s">
        <v>255</v>
      </c>
      <c r="L231" s="5592"/>
      <c r="M231" s="5656"/>
      <c r="N231" s="5593"/>
      <c r="O231" s="5593"/>
      <c r="P231" s="5593"/>
      <c r="Q231" s="5593"/>
      <c r="R231" s="2468"/>
      <c r="S231" s="276"/>
      <c r="T231" s="99"/>
      <c r="U231" s="138"/>
      <c r="V231" s="138"/>
      <c r="W231" s="99"/>
      <c r="X231" s="264"/>
      <c r="Y231" s="277"/>
      <c r="Z231" s="187"/>
      <c r="AA231" s="6301"/>
      <c r="AB231" s="139"/>
      <c r="AC231" s="139"/>
      <c r="AD231" s="139"/>
      <c r="AE231" s="139"/>
      <c r="AF231" s="139"/>
      <c r="AG231" s="139"/>
      <c r="AH231" s="139"/>
      <c r="AI231" s="139"/>
      <c r="AJ231" s="139"/>
      <c r="AK231" s="139"/>
      <c r="AL231" s="139"/>
      <c r="AM231" s="139"/>
      <c r="AN231" s="139"/>
      <c r="AO231" s="139"/>
      <c r="AP231" s="139"/>
      <c r="AQ231" s="139"/>
      <c r="AR231" s="139"/>
      <c r="AS231" s="139"/>
      <c r="AT231" s="139"/>
      <c r="AU231" s="139"/>
      <c r="AV231" s="139"/>
      <c r="AW231" s="139"/>
      <c r="AX231" s="139"/>
      <c r="AY231" s="139"/>
      <c r="AZ231" s="139"/>
      <c r="BA231" s="139"/>
      <c r="BB231" s="139"/>
      <c r="BC231" s="139"/>
      <c r="BD231" s="139"/>
      <c r="BE231" s="139"/>
      <c r="BF231" s="139"/>
      <c r="BG231" s="139"/>
      <c r="BH231" s="139"/>
    </row>
    <row r="232" spans="2:60" s="11" customFormat="1" ht="19.899999999999999" customHeight="1">
      <c r="B232" s="5590"/>
      <c r="C232" s="5598"/>
      <c r="D232" s="9598" t="s">
        <v>631</v>
      </c>
      <c r="E232" s="9600"/>
      <c r="F232" s="87" t="s">
        <v>255</v>
      </c>
      <c r="G232" s="253"/>
      <c r="H232" s="286"/>
      <c r="I232" s="9582" t="s">
        <v>147</v>
      </c>
      <c r="J232" s="9583"/>
      <c r="K232" s="87" t="s">
        <v>255</v>
      </c>
      <c r="L232" s="5967" t="s">
        <v>168</v>
      </c>
      <c r="M232" s="5656" t="s">
        <v>641</v>
      </c>
      <c r="N232" s="5593" t="s">
        <v>168</v>
      </c>
      <c r="O232" s="5593" t="s">
        <v>641</v>
      </c>
      <c r="P232" s="5593" t="s">
        <v>168</v>
      </c>
      <c r="Q232" s="5593" t="s">
        <v>641</v>
      </c>
      <c r="R232" s="2468"/>
      <c r="S232" s="276"/>
      <c r="T232" s="99"/>
      <c r="U232" s="138"/>
      <c r="V232" s="138"/>
      <c r="W232" s="99"/>
      <c r="X232" s="264"/>
      <c r="Y232" s="277"/>
      <c r="Z232" s="187"/>
      <c r="AA232" s="6301"/>
      <c r="AB232" s="139"/>
      <c r="AC232" s="139"/>
      <c r="AD232" s="139"/>
      <c r="AE232" s="139"/>
      <c r="AF232" s="139"/>
      <c r="AG232" s="139"/>
      <c r="AH232" s="139"/>
      <c r="AI232" s="139"/>
      <c r="AJ232" s="139"/>
      <c r="AK232" s="139"/>
      <c r="AL232" s="139"/>
      <c r="AM232" s="139"/>
      <c r="AN232" s="139"/>
      <c r="AO232" s="139"/>
      <c r="AP232" s="139"/>
      <c r="AQ232" s="139"/>
      <c r="AR232" s="139"/>
      <c r="AS232" s="139"/>
      <c r="AT232" s="139"/>
      <c r="AU232" s="139"/>
      <c r="AV232" s="139"/>
      <c r="AW232" s="139"/>
      <c r="AX232" s="139"/>
      <c r="AY232" s="139"/>
      <c r="AZ232" s="139"/>
      <c r="BA232" s="139"/>
      <c r="BB232" s="139"/>
      <c r="BC232" s="139"/>
      <c r="BD232" s="139"/>
      <c r="BE232" s="139"/>
      <c r="BF232" s="139"/>
      <c r="BG232" s="139"/>
      <c r="BH232" s="139"/>
    </row>
    <row r="233" spans="2:60" s="11" customFormat="1" ht="19.899999999999999" customHeight="1">
      <c r="B233" s="5590"/>
      <c r="C233" s="5598"/>
      <c r="D233" s="9598" t="s">
        <v>633</v>
      </c>
      <c r="E233" s="9600"/>
      <c r="F233" s="87" t="s">
        <v>255</v>
      </c>
      <c r="G233" s="253"/>
      <c r="H233" s="286"/>
      <c r="I233" s="9582" t="s">
        <v>150</v>
      </c>
      <c r="J233" s="9583"/>
      <c r="K233" s="87" t="s">
        <v>255</v>
      </c>
      <c r="L233" s="5967" t="s">
        <v>168</v>
      </c>
      <c r="M233" s="5656" t="s">
        <v>641</v>
      </c>
      <c r="N233" s="5593" t="s">
        <v>168</v>
      </c>
      <c r="O233" s="5593" t="s">
        <v>641</v>
      </c>
      <c r="P233" s="5593" t="s">
        <v>168</v>
      </c>
      <c r="Q233" s="5593" t="s">
        <v>641</v>
      </c>
      <c r="R233" s="2468"/>
      <c r="S233" s="276"/>
      <c r="T233" s="99"/>
      <c r="U233" s="138"/>
      <c r="V233" s="138"/>
      <c r="W233" s="99"/>
      <c r="X233" s="264"/>
      <c r="Y233" s="277"/>
      <c r="Z233" s="187"/>
      <c r="AA233" s="6301"/>
      <c r="AB233" s="139"/>
      <c r="AC233" s="139"/>
      <c r="AD233" s="139"/>
      <c r="AE233" s="139"/>
      <c r="AF233" s="139"/>
      <c r="AG233" s="139"/>
      <c r="AH233" s="139"/>
      <c r="AI233" s="139"/>
      <c r="AJ233" s="139"/>
      <c r="AK233" s="139"/>
      <c r="AL233" s="139"/>
      <c r="AM233" s="139"/>
      <c r="AN233" s="139"/>
      <c r="AO233" s="139"/>
      <c r="AP233" s="139"/>
      <c r="AQ233" s="139"/>
      <c r="AR233" s="139"/>
      <c r="AS233" s="139"/>
      <c r="AT233" s="139"/>
      <c r="AU233" s="139"/>
      <c r="AV233" s="139"/>
      <c r="AW233" s="139"/>
      <c r="AX233" s="139"/>
      <c r="AY233" s="139"/>
      <c r="AZ233" s="139"/>
      <c r="BA233" s="139"/>
      <c r="BB233" s="139"/>
      <c r="BC233" s="139"/>
      <c r="BD233" s="139"/>
      <c r="BE233" s="139"/>
      <c r="BF233" s="139"/>
      <c r="BG233" s="139"/>
      <c r="BH233" s="139"/>
    </row>
    <row r="234" spans="2:60" s="11" customFormat="1" ht="20.100000000000001" customHeight="1">
      <c r="B234" s="1360"/>
      <c r="C234" s="9594" t="s">
        <v>296</v>
      </c>
      <c r="D234" s="9594"/>
      <c r="E234" s="9594"/>
      <c r="F234" s="280" t="s">
        <v>255</v>
      </c>
      <c r="G234" s="345"/>
      <c r="H234" s="9594" t="s">
        <v>297</v>
      </c>
      <c r="I234" s="9594"/>
      <c r="J234" s="9594"/>
      <c r="K234" s="87" t="s">
        <v>255</v>
      </c>
      <c r="L234" s="5653" t="str">
        <f>IF(COUNTBLANK(L235:L240)&gt;0,"미취합법인有",SUM(L235:L240))</f>
        <v>미취합법인有</v>
      </c>
      <c r="M234" s="5657"/>
      <c r="N234" s="5654" t="str">
        <f>IF(COUNTBLANK(N235:N240)&gt;0,"미취합법인有",SUM(N235:N240))</f>
        <v>미취합법인有</v>
      </c>
      <c r="O234" s="5663"/>
      <c r="P234" s="5781" t="str">
        <f>IF(COUNTBLANK(P235:P240)&gt;0,"미취합법인有",SUM(P235:P240))</f>
        <v>미취합법인有</v>
      </c>
      <c r="Q234" s="5654"/>
      <c r="R234" s="2468" t="s">
        <v>298</v>
      </c>
      <c r="S234" s="276" t="s">
        <v>299</v>
      </c>
      <c r="T234" s="99" t="s">
        <v>206</v>
      </c>
      <c r="U234" s="138"/>
      <c r="V234" s="138"/>
      <c r="W234" s="99"/>
      <c r="X234" s="346" t="s">
        <v>300</v>
      </c>
      <c r="Y234" s="265"/>
      <c r="Z234" s="187"/>
      <c r="AA234" s="6301"/>
      <c r="AB234" s="139"/>
      <c r="AC234" s="139"/>
      <c r="AD234" s="139"/>
      <c r="AE234" s="139"/>
      <c r="AF234" s="139"/>
      <c r="AG234" s="139"/>
      <c r="AH234" s="139"/>
      <c r="AI234" s="139"/>
      <c r="AJ234" s="139"/>
      <c r="AK234" s="139"/>
      <c r="AL234" s="139"/>
      <c r="AM234" s="139"/>
      <c r="AN234" s="139"/>
      <c r="AO234" s="139"/>
      <c r="AP234" s="139"/>
      <c r="AQ234" s="139"/>
      <c r="AR234" s="139"/>
      <c r="AS234" s="139"/>
      <c r="AT234" s="139"/>
      <c r="AU234" s="139"/>
      <c r="AV234" s="139"/>
      <c r="AW234" s="139"/>
      <c r="AX234" s="139"/>
      <c r="AY234" s="139"/>
      <c r="AZ234" s="139"/>
      <c r="BA234" s="139"/>
      <c r="BB234" s="139"/>
      <c r="BC234" s="139"/>
      <c r="BD234" s="139"/>
      <c r="BE234" s="139"/>
      <c r="BF234" s="139"/>
      <c r="BG234" s="139"/>
      <c r="BH234" s="139"/>
    </row>
    <row r="235" spans="2:60" s="11" customFormat="1" ht="19.899999999999999" customHeight="1">
      <c r="B235" s="5590"/>
      <c r="C235" s="9647" t="s">
        <v>134</v>
      </c>
      <c r="D235" s="9648"/>
      <c r="E235" s="9649"/>
      <c r="F235" s="87" t="s">
        <v>255</v>
      </c>
      <c r="G235" s="253"/>
      <c r="H235" s="9579" t="s">
        <v>135</v>
      </c>
      <c r="I235" s="9580"/>
      <c r="J235" s="9581"/>
      <c r="K235" s="87" t="s">
        <v>255</v>
      </c>
      <c r="L235" s="5592"/>
      <c r="M235" s="5656" t="s">
        <v>302</v>
      </c>
      <c r="N235" s="5593"/>
      <c r="O235" s="5664" t="s">
        <v>302</v>
      </c>
      <c r="P235" s="5655"/>
      <c r="Q235" s="5593"/>
      <c r="R235" s="1033"/>
      <c r="S235" s="263"/>
      <c r="T235" s="99"/>
      <c r="U235" s="138"/>
      <c r="V235" s="138"/>
      <c r="W235" s="99"/>
      <c r="X235" s="264"/>
      <c r="Y235" s="277"/>
      <c r="Z235" s="187"/>
      <c r="AA235" s="6301"/>
      <c r="AB235" s="139"/>
      <c r="AC235" s="139"/>
      <c r="AD235" s="139"/>
      <c r="AE235" s="139"/>
      <c r="AF235" s="139"/>
      <c r="AG235" s="139"/>
      <c r="AH235" s="139"/>
      <c r="AI235" s="139"/>
      <c r="AJ235" s="139"/>
      <c r="AK235" s="139"/>
      <c r="AL235" s="139"/>
      <c r="AM235" s="139"/>
      <c r="AN235" s="139"/>
      <c r="AO235" s="139"/>
      <c r="AP235" s="139"/>
      <c r="AQ235" s="139"/>
      <c r="AR235" s="139"/>
      <c r="AS235" s="139"/>
      <c r="AT235" s="139"/>
      <c r="AU235" s="139"/>
      <c r="AV235" s="139"/>
      <c r="AW235" s="139"/>
      <c r="AX235" s="139"/>
      <c r="AY235" s="139"/>
      <c r="AZ235" s="139"/>
      <c r="BA235" s="139"/>
      <c r="BB235" s="139"/>
      <c r="BC235" s="139"/>
      <c r="BD235" s="139"/>
      <c r="BE235" s="139"/>
      <c r="BF235" s="139"/>
      <c r="BG235" s="139"/>
      <c r="BH235" s="139"/>
    </row>
    <row r="236" spans="2:60" s="11" customFormat="1" ht="19.899999999999999" customHeight="1">
      <c r="B236" s="5590"/>
      <c r="C236" s="9647" t="s">
        <v>137</v>
      </c>
      <c r="D236" s="9648"/>
      <c r="E236" s="9649"/>
      <c r="F236" s="87" t="s">
        <v>255</v>
      </c>
      <c r="G236" s="253"/>
      <c r="H236" s="9579" t="s">
        <v>138</v>
      </c>
      <c r="I236" s="9580"/>
      <c r="J236" s="9581"/>
      <c r="K236" s="87" t="s">
        <v>255</v>
      </c>
      <c r="L236" s="5592"/>
      <c r="M236" s="5656"/>
      <c r="N236" s="5593"/>
      <c r="O236" s="5593"/>
      <c r="P236" s="5593"/>
      <c r="Q236" s="5593"/>
      <c r="R236" s="1033"/>
      <c r="S236" s="263"/>
      <c r="T236" s="99"/>
      <c r="U236" s="138"/>
      <c r="V236" s="138"/>
      <c r="W236" s="99"/>
      <c r="X236" s="264"/>
      <c r="Y236" s="277"/>
      <c r="Z236" s="187"/>
      <c r="AA236" s="6301"/>
      <c r="AB236" s="139"/>
      <c r="AC236" s="139"/>
      <c r="AD236" s="139"/>
      <c r="AE236" s="139"/>
      <c r="AF236" s="139"/>
      <c r="AG236" s="139"/>
      <c r="AH236" s="139"/>
      <c r="AI236" s="139"/>
      <c r="AJ236" s="139"/>
      <c r="AK236" s="139"/>
      <c r="AL236" s="139"/>
      <c r="AM236" s="139"/>
      <c r="AN236" s="139"/>
      <c r="AO236" s="139"/>
      <c r="AP236" s="139"/>
      <c r="AQ236" s="139"/>
      <c r="AR236" s="139"/>
      <c r="AS236" s="139"/>
      <c r="AT236" s="139"/>
      <c r="AU236" s="139"/>
      <c r="AV236" s="139"/>
      <c r="AW236" s="139"/>
      <c r="AX236" s="139"/>
      <c r="AY236" s="139"/>
      <c r="AZ236" s="139"/>
      <c r="BA236" s="139"/>
      <c r="BB236" s="139"/>
      <c r="BC236" s="139"/>
      <c r="BD236" s="139"/>
      <c r="BE236" s="139"/>
      <c r="BF236" s="139"/>
      <c r="BG236" s="139"/>
      <c r="BH236" s="139"/>
    </row>
    <row r="237" spans="2:60" s="11" customFormat="1" ht="19.899999999999999" customHeight="1">
      <c r="B237" s="5590"/>
      <c r="C237" s="9647" t="s">
        <v>140</v>
      </c>
      <c r="D237" s="9648"/>
      <c r="E237" s="9649"/>
      <c r="F237" s="87" t="s">
        <v>255</v>
      </c>
      <c r="G237" s="253"/>
      <c r="H237" s="9579" t="s">
        <v>141</v>
      </c>
      <c r="I237" s="9580"/>
      <c r="J237" s="9581"/>
      <c r="K237" s="87" t="s">
        <v>255</v>
      </c>
      <c r="L237" s="5967" t="s">
        <v>168</v>
      </c>
      <c r="M237" s="5656" t="s">
        <v>641</v>
      </c>
      <c r="N237" s="5593" t="s">
        <v>168</v>
      </c>
      <c r="O237" s="5593" t="s">
        <v>641</v>
      </c>
      <c r="P237" s="5593" t="s">
        <v>168</v>
      </c>
      <c r="Q237" s="5593" t="s">
        <v>641</v>
      </c>
      <c r="R237" s="1033"/>
      <c r="S237" s="263"/>
      <c r="T237" s="99"/>
      <c r="U237" s="138"/>
      <c r="V237" s="138"/>
      <c r="W237" s="99"/>
      <c r="X237" s="264"/>
      <c r="Y237" s="277"/>
      <c r="Z237" s="187"/>
      <c r="AA237" s="6301"/>
      <c r="AB237" s="139"/>
      <c r="AC237" s="139"/>
      <c r="AD237" s="139"/>
      <c r="AE237" s="139"/>
      <c r="AF237" s="139"/>
      <c r="AG237" s="139"/>
      <c r="AH237" s="139"/>
      <c r="AI237" s="139"/>
      <c r="AJ237" s="139"/>
      <c r="AK237" s="139"/>
      <c r="AL237" s="139"/>
      <c r="AM237" s="139"/>
      <c r="AN237" s="139"/>
      <c r="AO237" s="139"/>
      <c r="AP237" s="139"/>
      <c r="AQ237" s="139"/>
      <c r="AR237" s="139"/>
      <c r="AS237" s="139"/>
      <c r="AT237" s="139"/>
      <c r="AU237" s="139"/>
      <c r="AV237" s="139"/>
      <c r="AW237" s="139"/>
      <c r="AX237" s="139"/>
      <c r="AY237" s="139"/>
      <c r="AZ237" s="139"/>
      <c r="BA237" s="139"/>
      <c r="BB237" s="139"/>
      <c r="BC237" s="139"/>
      <c r="BD237" s="139"/>
      <c r="BE237" s="139"/>
      <c r="BF237" s="139"/>
      <c r="BG237" s="139"/>
      <c r="BH237" s="139"/>
    </row>
    <row r="238" spans="2:60" s="11" customFormat="1" ht="19.899999999999999" customHeight="1">
      <c r="B238" s="5590"/>
      <c r="C238" s="9647" t="s">
        <v>143</v>
      </c>
      <c r="D238" s="9648"/>
      <c r="E238" s="9649"/>
      <c r="F238" s="87" t="s">
        <v>255</v>
      </c>
      <c r="G238" s="253"/>
      <c r="H238" s="9579" t="s">
        <v>144</v>
      </c>
      <c r="I238" s="9580"/>
      <c r="J238" s="9581"/>
      <c r="K238" s="87" t="s">
        <v>255</v>
      </c>
      <c r="L238" s="5592"/>
      <c r="M238" s="5656"/>
      <c r="N238" s="5593"/>
      <c r="O238" s="5593"/>
      <c r="P238" s="5593"/>
      <c r="Q238" s="5593"/>
      <c r="R238" s="1033"/>
      <c r="S238" s="263"/>
      <c r="T238" s="99"/>
      <c r="U238" s="138"/>
      <c r="V238" s="138"/>
      <c r="W238" s="99"/>
      <c r="X238" s="264"/>
      <c r="Y238" s="277"/>
      <c r="Z238" s="187"/>
      <c r="AA238" s="6301"/>
      <c r="AB238" s="139"/>
      <c r="AC238" s="139"/>
      <c r="AD238" s="139"/>
      <c r="AE238" s="139"/>
      <c r="AF238" s="139"/>
      <c r="AG238" s="139"/>
      <c r="AH238" s="139"/>
      <c r="AI238" s="139"/>
      <c r="AJ238" s="139"/>
      <c r="AK238" s="139"/>
      <c r="AL238" s="139"/>
      <c r="AM238" s="139"/>
      <c r="AN238" s="139"/>
      <c r="AO238" s="139"/>
      <c r="AP238" s="139"/>
      <c r="AQ238" s="139"/>
      <c r="AR238" s="139"/>
      <c r="AS238" s="139"/>
      <c r="AT238" s="139"/>
      <c r="AU238" s="139"/>
      <c r="AV238" s="139"/>
      <c r="AW238" s="139"/>
      <c r="AX238" s="139"/>
      <c r="AY238" s="139"/>
      <c r="AZ238" s="139"/>
      <c r="BA238" s="139"/>
      <c r="BB238" s="139"/>
      <c r="BC238" s="139"/>
      <c r="BD238" s="139"/>
      <c r="BE238" s="139"/>
      <c r="BF238" s="139"/>
      <c r="BG238" s="139"/>
      <c r="BH238" s="139"/>
    </row>
    <row r="239" spans="2:60" s="11" customFormat="1" ht="19.899999999999999" customHeight="1">
      <c r="B239" s="5590"/>
      <c r="C239" s="9647" t="s">
        <v>631</v>
      </c>
      <c r="D239" s="9648"/>
      <c r="E239" s="9649"/>
      <c r="F239" s="87" t="s">
        <v>255</v>
      </c>
      <c r="G239" s="253"/>
      <c r="H239" s="9579" t="s">
        <v>147</v>
      </c>
      <c r="I239" s="9580"/>
      <c r="J239" s="9581"/>
      <c r="K239" s="87" t="s">
        <v>255</v>
      </c>
      <c r="L239" s="5967" t="s">
        <v>168</v>
      </c>
      <c r="M239" s="5656" t="s">
        <v>641</v>
      </c>
      <c r="N239" s="5593" t="s">
        <v>168</v>
      </c>
      <c r="O239" s="5593" t="s">
        <v>641</v>
      </c>
      <c r="P239" s="5593" t="s">
        <v>168</v>
      </c>
      <c r="Q239" s="5593" t="s">
        <v>641</v>
      </c>
      <c r="R239" s="1033"/>
      <c r="S239" s="263"/>
      <c r="T239" s="99"/>
      <c r="U239" s="138"/>
      <c r="V239" s="138"/>
      <c r="W239" s="99"/>
      <c r="X239" s="264"/>
      <c r="Y239" s="277"/>
      <c r="Z239" s="187"/>
      <c r="AA239" s="6301"/>
      <c r="AB239" s="139"/>
      <c r="AC239" s="139"/>
      <c r="AD239" s="139"/>
      <c r="AE239" s="139"/>
      <c r="AF239" s="139"/>
      <c r="AG239" s="139"/>
      <c r="AH239" s="139"/>
      <c r="AI239" s="139"/>
      <c r="AJ239" s="139"/>
      <c r="AK239" s="139"/>
      <c r="AL239" s="139"/>
      <c r="AM239" s="139"/>
      <c r="AN239" s="139"/>
      <c r="AO239" s="139"/>
      <c r="AP239" s="139"/>
      <c r="AQ239" s="139"/>
      <c r="AR239" s="139"/>
      <c r="AS239" s="139"/>
      <c r="AT239" s="139"/>
      <c r="AU239" s="139"/>
      <c r="AV239" s="139"/>
      <c r="AW239" s="139"/>
      <c r="AX239" s="139"/>
      <c r="AY239" s="139"/>
      <c r="AZ239" s="139"/>
      <c r="BA239" s="139"/>
      <c r="BB239" s="139"/>
      <c r="BC239" s="139"/>
      <c r="BD239" s="139"/>
      <c r="BE239" s="139"/>
      <c r="BF239" s="139"/>
      <c r="BG239" s="139"/>
      <c r="BH239" s="139"/>
    </row>
    <row r="240" spans="2:60" s="11" customFormat="1" ht="19.899999999999999" customHeight="1">
      <c r="B240" s="5590"/>
      <c r="C240" s="9647" t="s">
        <v>633</v>
      </c>
      <c r="D240" s="9648"/>
      <c r="E240" s="9649"/>
      <c r="F240" s="87" t="s">
        <v>255</v>
      </c>
      <c r="G240" s="253"/>
      <c r="H240" s="9579" t="s">
        <v>150</v>
      </c>
      <c r="I240" s="9580"/>
      <c r="J240" s="9581"/>
      <c r="K240" s="87" t="s">
        <v>255</v>
      </c>
      <c r="L240" s="5592"/>
      <c r="M240" s="5656"/>
      <c r="N240" s="5593"/>
      <c r="O240" s="5593"/>
      <c r="P240" s="5593"/>
      <c r="Q240" s="5593"/>
      <c r="R240" s="1033"/>
      <c r="S240" s="263"/>
      <c r="T240" s="99"/>
      <c r="U240" s="138"/>
      <c r="V240" s="138"/>
      <c r="W240" s="99"/>
      <c r="X240" s="264"/>
      <c r="Y240" s="277"/>
      <c r="Z240" s="187"/>
      <c r="AA240" s="6301"/>
      <c r="AB240" s="139"/>
      <c r="AC240" s="139"/>
      <c r="AD240" s="139"/>
      <c r="AE240" s="139"/>
      <c r="AF240" s="139"/>
      <c r="AG240" s="139"/>
      <c r="AH240" s="139"/>
      <c r="AI240" s="139"/>
      <c r="AJ240" s="139"/>
      <c r="AK240" s="139"/>
      <c r="AL240" s="139"/>
      <c r="AM240" s="139"/>
      <c r="AN240" s="139"/>
      <c r="AO240" s="139"/>
      <c r="AP240" s="139"/>
      <c r="AQ240" s="139"/>
      <c r="AR240" s="139"/>
      <c r="AS240" s="139"/>
      <c r="AT240" s="139"/>
      <c r="AU240" s="139"/>
      <c r="AV240" s="139"/>
      <c r="AW240" s="139"/>
      <c r="AX240" s="139"/>
      <c r="AY240" s="139"/>
      <c r="AZ240" s="139"/>
      <c r="BA240" s="139"/>
      <c r="BB240" s="139"/>
      <c r="BC240" s="139"/>
      <c r="BD240" s="139"/>
      <c r="BE240" s="139"/>
      <c r="BF240" s="139"/>
      <c r="BG240" s="139"/>
      <c r="BH240" s="139"/>
    </row>
    <row r="241" spans="2:60" s="11" customFormat="1" ht="20.100000000000001" customHeight="1">
      <c r="B241" s="1360"/>
      <c r="C241" s="5598"/>
      <c r="D241" s="9593" t="s">
        <v>303</v>
      </c>
      <c r="E241" s="9594"/>
      <c r="F241" s="280" t="s">
        <v>255</v>
      </c>
      <c r="G241" s="347"/>
      <c r="H241" s="675"/>
      <c r="I241" s="9593" t="s">
        <v>304</v>
      </c>
      <c r="J241" s="9594"/>
      <c r="K241" s="87" t="s">
        <v>255</v>
      </c>
      <c r="L241" s="5653" t="str">
        <f>IF(COUNTBLANK(L242:L247)&gt;0,"미취합법인有",SUM(L242:L247))</f>
        <v>미취합법인有</v>
      </c>
      <c r="M241" s="5657"/>
      <c r="N241" s="5654" t="str">
        <f>IF(COUNTBLANK(N242:N247)&gt;0,"미취합법인有",SUM(N242:N247))</f>
        <v>미취합법인有</v>
      </c>
      <c r="O241" s="5663"/>
      <c r="P241" s="5781" t="str">
        <f>IF(COUNTBLANK(P242:P247)&gt;0,"미취합법인有",SUM(P242:P247))</f>
        <v>미취합법인有</v>
      </c>
      <c r="Q241" s="5654"/>
      <c r="R241" s="2468"/>
      <c r="S241" s="276"/>
      <c r="T241" s="309" t="s">
        <v>249</v>
      </c>
      <c r="U241" s="138"/>
      <c r="V241" s="138"/>
      <c r="W241" s="309"/>
      <c r="X241" s="346" t="s">
        <v>300</v>
      </c>
      <c r="Y241" s="265"/>
      <c r="Z241" s="187"/>
      <c r="AA241" s="6301"/>
      <c r="AB241" s="139"/>
      <c r="AC241" s="139"/>
      <c r="AD241" s="139"/>
      <c r="AE241" s="139"/>
      <c r="AF241" s="139"/>
      <c r="AG241" s="139"/>
      <c r="AH241" s="139"/>
      <c r="AI241" s="139"/>
      <c r="AJ241" s="139"/>
      <c r="AK241" s="139"/>
      <c r="AL241" s="139"/>
      <c r="AM241" s="139"/>
      <c r="AN241" s="139"/>
      <c r="AO241" s="139"/>
      <c r="AP241" s="139"/>
      <c r="AQ241" s="139"/>
      <c r="AR241" s="139"/>
      <c r="AS241" s="139"/>
      <c r="AT241" s="139"/>
      <c r="AU241" s="139"/>
      <c r="AV241" s="139"/>
      <c r="AW241" s="139"/>
      <c r="AX241" s="139"/>
      <c r="AY241" s="139"/>
      <c r="AZ241" s="139"/>
      <c r="BA241" s="139"/>
      <c r="BB241" s="139"/>
      <c r="BC241" s="139"/>
      <c r="BD241" s="139"/>
      <c r="BE241" s="139"/>
      <c r="BF241" s="139"/>
      <c r="BG241" s="139"/>
      <c r="BH241" s="139"/>
    </row>
    <row r="242" spans="2:60" s="11" customFormat="1" ht="19.899999999999999" customHeight="1">
      <c r="B242" s="5590"/>
      <c r="C242" s="5598"/>
      <c r="D242" s="9598" t="s">
        <v>134</v>
      </c>
      <c r="E242" s="9600"/>
      <c r="F242" s="87" t="s">
        <v>255</v>
      </c>
      <c r="G242" s="253"/>
      <c r="H242" s="1197"/>
      <c r="I242" s="9579" t="s">
        <v>135</v>
      </c>
      <c r="J242" s="9581"/>
      <c r="K242" s="87" t="s">
        <v>255</v>
      </c>
      <c r="L242" s="5670"/>
      <c r="M242" s="5671" t="s">
        <v>302</v>
      </c>
      <c r="N242" s="5672"/>
      <c r="O242" s="5673" t="s">
        <v>302</v>
      </c>
      <c r="P242" s="5673"/>
      <c r="Q242" s="5672"/>
      <c r="R242" s="2468"/>
      <c r="S242" s="276"/>
      <c r="T242" s="99"/>
      <c r="U242" s="138"/>
      <c r="V242" s="138"/>
      <c r="W242" s="99"/>
      <c r="X242" s="264"/>
      <c r="Y242" s="277"/>
      <c r="Z242" s="187"/>
      <c r="AA242" s="6301"/>
      <c r="AB242" s="139"/>
      <c r="AC242" s="139"/>
      <c r="AD242" s="139"/>
      <c r="AE242" s="139"/>
      <c r="AF242" s="139"/>
      <c r="AG242" s="139"/>
      <c r="AH242" s="139"/>
      <c r="AI242" s="139"/>
      <c r="AJ242" s="139"/>
      <c r="AK242" s="139"/>
      <c r="AL242" s="139"/>
      <c r="AM242" s="139"/>
      <c r="AN242" s="139"/>
      <c r="AO242" s="139"/>
      <c r="AP242" s="139"/>
      <c r="AQ242" s="139"/>
      <c r="AR242" s="139"/>
      <c r="AS242" s="139"/>
      <c r="AT242" s="139"/>
      <c r="AU242" s="139"/>
      <c r="AV242" s="139"/>
      <c r="AW242" s="139"/>
      <c r="AX242" s="139"/>
      <c r="AY242" s="139"/>
      <c r="AZ242" s="139"/>
      <c r="BA242" s="139"/>
      <c r="BB242" s="139"/>
      <c r="BC242" s="139"/>
      <c r="BD242" s="139"/>
      <c r="BE242" s="139"/>
      <c r="BF242" s="139"/>
      <c r="BG242" s="139"/>
      <c r="BH242" s="139"/>
    </row>
    <row r="243" spans="2:60" s="11" customFormat="1" ht="19.899999999999999" customHeight="1">
      <c r="B243" s="5590"/>
      <c r="C243" s="5598"/>
      <c r="D243" s="9598" t="s">
        <v>137</v>
      </c>
      <c r="E243" s="9600"/>
      <c r="F243" s="87" t="s">
        <v>255</v>
      </c>
      <c r="G243" s="253"/>
      <c r="H243" s="1197"/>
      <c r="I243" s="9579" t="s">
        <v>138</v>
      </c>
      <c r="J243" s="9581"/>
      <c r="K243" s="87" t="s">
        <v>255</v>
      </c>
      <c r="L243" s="5594"/>
      <c r="M243" s="5658"/>
      <c r="N243" s="1814"/>
      <c r="O243" s="5302"/>
      <c r="P243" s="5595"/>
      <c r="Q243" s="1814"/>
      <c r="R243" s="2468"/>
      <c r="S243" s="276"/>
      <c r="T243" s="99"/>
      <c r="U243" s="138"/>
      <c r="V243" s="138"/>
      <c r="W243" s="99"/>
      <c r="X243" s="264"/>
      <c r="Y243" s="277"/>
      <c r="Z243" s="187"/>
      <c r="AA243" s="6301"/>
      <c r="AB243" s="139"/>
      <c r="AC243" s="139"/>
      <c r="AD243" s="139"/>
      <c r="AE243" s="139"/>
      <c r="AF243" s="139"/>
      <c r="AG243" s="139"/>
      <c r="AH243" s="139"/>
      <c r="AI243" s="139"/>
      <c r="AJ243" s="139"/>
      <c r="AK243" s="139"/>
      <c r="AL243" s="139"/>
      <c r="AM243" s="139"/>
      <c r="AN243" s="139"/>
      <c r="AO243" s="139"/>
      <c r="AP243" s="139"/>
      <c r="AQ243" s="139"/>
      <c r="AR243" s="139"/>
      <c r="AS243" s="139"/>
      <c r="AT243" s="139"/>
      <c r="AU243" s="139"/>
      <c r="AV243" s="139"/>
      <c r="AW243" s="139"/>
      <c r="AX243" s="139"/>
      <c r="AY243" s="139"/>
      <c r="AZ243" s="139"/>
      <c r="BA243" s="139"/>
      <c r="BB243" s="139"/>
      <c r="BC243" s="139"/>
      <c r="BD243" s="139"/>
      <c r="BE243" s="139"/>
      <c r="BF243" s="139"/>
      <c r="BG243" s="139"/>
      <c r="BH243" s="139"/>
    </row>
    <row r="244" spans="2:60" s="11" customFormat="1" ht="19.899999999999999" customHeight="1">
      <c r="B244" s="5590"/>
      <c r="C244" s="5598"/>
      <c r="D244" s="9598" t="s">
        <v>140</v>
      </c>
      <c r="E244" s="9600"/>
      <c r="F244" s="87" t="s">
        <v>255</v>
      </c>
      <c r="G244" s="253"/>
      <c r="H244" s="1197"/>
      <c r="I244" s="9582" t="s">
        <v>141</v>
      </c>
      <c r="J244" s="9583"/>
      <c r="K244" s="87" t="s">
        <v>255</v>
      </c>
      <c r="L244" s="5967" t="s">
        <v>168</v>
      </c>
      <c r="M244" s="5656" t="s">
        <v>641</v>
      </c>
      <c r="N244" s="5593" t="s">
        <v>168</v>
      </c>
      <c r="O244" s="5593" t="s">
        <v>641</v>
      </c>
      <c r="P244" s="5593" t="s">
        <v>168</v>
      </c>
      <c r="Q244" s="5593" t="s">
        <v>641</v>
      </c>
      <c r="R244" s="2468"/>
      <c r="S244" s="276"/>
      <c r="T244" s="99"/>
      <c r="U244" s="138"/>
      <c r="V244" s="138"/>
      <c r="W244" s="99"/>
      <c r="X244" s="264"/>
      <c r="Y244" s="277"/>
      <c r="Z244" s="187"/>
      <c r="AA244" s="6301"/>
      <c r="AB244" s="139"/>
      <c r="AC244" s="139"/>
      <c r="AD244" s="139"/>
      <c r="AE244" s="139"/>
      <c r="AF244" s="139"/>
      <c r="AG244" s="139"/>
      <c r="AH244" s="139"/>
      <c r="AI244" s="139"/>
      <c r="AJ244" s="139"/>
      <c r="AK244" s="139"/>
      <c r="AL244" s="139"/>
      <c r="AM244" s="139"/>
      <c r="AN244" s="139"/>
      <c r="AO244" s="139"/>
      <c r="AP244" s="139"/>
      <c r="AQ244" s="139"/>
      <c r="AR244" s="139"/>
      <c r="AS244" s="139"/>
      <c r="AT244" s="139"/>
      <c r="AU244" s="139"/>
      <c r="AV244" s="139"/>
      <c r="AW244" s="139"/>
      <c r="AX244" s="139"/>
      <c r="AY244" s="139"/>
      <c r="AZ244" s="139"/>
      <c r="BA244" s="139"/>
      <c r="BB244" s="139"/>
      <c r="BC244" s="139"/>
      <c r="BD244" s="139"/>
      <c r="BE244" s="139"/>
      <c r="BF244" s="139"/>
      <c r="BG244" s="139"/>
      <c r="BH244" s="139"/>
    </row>
    <row r="245" spans="2:60" s="11" customFormat="1" ht="19.899999999999999" customHeight="1">
      <c r="B245" s="5590"/>
      <c r="C245" s="5598"/>
      <c r="D245" s="9598" t="s">
        <v>143</v>
      </c>
      <c r="E245" s="9600"/>
      <c r="F245" s="87" t="s">
        <v>255</v>
      </c>
      <c r="G245" s="253"/>
      <c r="H245" s="1197"/>
      <c r="I245" s="9582" t="s">
        <v>144</v>
      </c>
      <c r="J245" s="9583"/>
      <c r="K245" s="87" t="s">
        <v>255</v>
      </c>
      <c r="L245" s="5592"/>
      <c r="M245" s="5656"/>
      <c r="N245" s="5593"/>
      <c r="O245" s="5593"/>
      <c r="P245" s="5593"/>
      <c r="Q245" s="5593"/>
      <c r="R245" s="2468"/>
      <c r="S245" s="276"/>
      <c r="T245" s="99"/>
      <c r="U245" s="138"/>
      <c r="V245" s="138"/>
      <c r="W245" s="99"/>
      <c r="X245" s="264"/>
      <c r="Y245" s="277"/>
      <c r="Z245" s="187"/>
      <c r="AA245" s="6301"/>
      <c r="AB245" s="139"/>
      <c r="AC245" s="139"/>
      <c r="AD245" s="139"/>
      <c r="AE245" s="139"/>
      <c r="AF245" s="139"/>
      <c r="AG245" s="139"/>
      <c r="AH245" s="139"/>
      <c r="AI245" s="139"/>
      <c r="AJ245" s="139"/>
      <c r="AK245" s="139"/>
      <c r="AL245" s="139"/>
      <c r="AM245" s="139"/>
      <c r="AN245" s="139"/>
      <c r="AO245" s="139"/>
      <c r="AP245" s="139"/>
      <c r="AQ245" s="139"/>
      <c r="AR245" s="139"/>
      <c r="AS245" s="139"/>
      <c r="AT245" s="139"/>
      <c r="AU245" s="139"/>
      <c r="AV245" s="139"/>
      <c r="AW245" s="139"/>
      <c r="AX245" s="139"/>
      <c r="AY245" s="139"/>
      <c r="AZ245" s="139"/>
      <c r="BA245" s="139"/>
      <c r="BB245" s="139"/>
      <c r="BC245" s="139"/>
      <c r="BD245" s="139"/>
      <c r="BE245" s="139"/>
      <c r="BF245" s="139"/>
      <c r="BG245" s="139"/>
      <c r="BH245" s="139"/>
    </row>
    <row r="246" spans="2:60" s="11" customFormat="1" ht="19.899999999999999" customHeight="1">
      <c r="B246" s="5590"/>
      <c r="C246" s="5598"/>
      <c r="D246" s="9598" t="s">
        <v>631</v>
      </c>
      <c r="E246" s="9600"/>
      <c r="F246" s="87" t="s">
        <v>255</v>
      </c>
      <c r="G246" s="253"/>
      <c r="H246" s="1197"/>
      <c r="I246" s="9582" t="s">
        <v>147</v>
      </c>
      <c r="J246" s="9583"/>
      <c r="K246" s="87" t="s">
        <v>255</v>
      </c>
      <c r="L246" s="5967" t="s">
        <v>168</v>
      </c>
      <c r="M246" s="5656" t="s">
        <v>641</v>
      </c>
      <c r="N246" s="5593" t="s">
        <v>168</v>
      </c>
      <c r="O246" s="5593" t="s">
        <v>641</v>
      </c>
      <c r="P246" s="5593" t="s">
        <v>168</v>
      </c>
      <c r="Q246" s="5593" t="s">
        <v>641</v>
      </c>
      <c r="R246" s="2468"/>
      <c r="S246" s="276"/>
      <c r="T246" s="99"/>
      <c r="U246" s="138"/>
      <c r="V246" s="138"/>
      <c r="W246" s="99"/>
      <c r="X246" s="264"/>
      <c r="Y246" s="277"/>
      <c r="Z246" s="187"/>
      <c r="AA246" s="6301"/>
      <c r="AB246" s="139"/>
      <c r="AC246" s="139"/>
      <c r="AD246" s="139"/>
      <c r="AE246" s="139"/>
      <c r="AF246" s="139"/>
      <c r="AG246" s="139"/>
      <c r="AH246" s="139"/>
      <c r="AI246" s="139"/>
      <c r="AJ246" s="139"/>
      <c r="AK246" s="139"/>
      <c r="AL246" s="139"/>
      <c r="AM246" s="139"/>
      <c r="AN246" s="139"/>
      <c r="AO246" s="139"/>
      <c r="AP246" s="139"/>
      <c r="AQ246" s="139"/>
      <c r="AR246" s="139"/>
      <c r="AS246" s="139"/>
      <c r="AT246" s="139"/>
      <c r="AU246" s="139"/>
      <c r="AV246" s="139"/>
      <c r="AW246" s="139"/>
      <c r="AX246" s="139"/>
      <c r="AY246" s="139"/>
      <c r="AZ246" s="139"/>
      <c r="BA246" s="139"/>
      <c r="BB246" s="139"/>
      <c r="BC246" s="139"/>
      <c r="BD246" s="139"/>
      <c r="BE246" s="139"/>
      <c r="BF246" s="139"/>
      <c r="BG246" s="139"/>
      <c r="BH246" s="139"/>
    </row>
    <row r="247" spans="2:60" s="11" customFormat="1" ht="19.899999999999999" customHeight="1">
      <c r="B247" s="5590"/>
      <c r="C247" s="5598"/>
      <c r="D247" s="9598" t="s">
        <v>633</v>
      </c>
      <c r="E247" s="9600"/>
      <c r="F247" s="87" t="s">
        <v>255</v>
      </c>
      <c r="G247" s="253"/>
      <c r="H247" s="1197"/>
      <c r="I247" s="9582" t="s">
        <v>150</v>
      </c>
      <c r="J247" s="9583"/>
      <c r="K247" s="87" t="s">
        <v>255</v>
      </c>
      <c r="L247" s="5592"/>
      <c r="M247" s="5656"/>
      <c r="N247" s="5593"/>
      <c r="O247" s="5593"/>
      <c r="P247" s="5593"/>
      <c r="Q247" s="5593"/>
      <c r="R247" s="2468"/>
      <c r="S247" s="276"/>
      <c r="T247" s="99"/>
      <c r="U247" s="138"/>
      <c r="V247" s="138"/>
      <c r="W247" s="99"/>
      <c r="X247" s="264"/>
      <c r="Y247" s="277"/>
      <c r="Z247" s="187"/>
      <c r="AA247" s="6301"/>
      <c r="AB247" s="139"/>
      <c r="AC247" s="139"/>
      <c r="AD247" s="139"/>
      <c r="AE247" s="139"/>
      <c r="AF247" s="139"/>
      <c r="AG247" s="139"/>
      <c r="AH247" s="139"/>
      <c r="AI247" s="139"/>
      <c r="AJ247" s="139"/>
      <c r="AK247" s="139"/>
      <c r="AL247" s="139"/>
      <c r="AM247" s="139"/>
      <c r="AN247" s="139"/>
      <c r="AO247" s="139"/>
      <c r="AP247" s="139"/>
      <c r="AQ247" s="139"/>
      <c r="AR247" s="139"/>
      <c r="AS247" s="139"/>
      <c r="AT247" s="139"/>
      <c r="AU247" s="139"/>
      <c r="AV247" s="139"/>
      <c r="AW247" s="139"/>
      <c r="AX247" s="139"/>
      <c r="AY247" s="139"/>
      <c r="AZ247" s="139"/>
      <c r="BA247" s="139"/>
      <c r="BB247" s="139"/>
      <c r="BC247" s="139"/>
      <c r="BD247" s="139"/>
      <c r="BE247" s="139"/>
      <c r="BF247" s="139"/>
      <c r="BG247" s="139"/>
      <c r="BH247" s="139"/>
    </row>
    <row r="248" spans="2:60" s="11" customFormat="1" ht="20.100000000000001" customHeight="1">
      <c r="B248" s="1360"/>
      <c r="C248" s="5598"/>
      <c r="D248" s="9593" t="s">
        <v>305</v>
      </c>
      <c r="E248" s="9594"/>
      <c r="F248" s="280" t="s">
        <v>255</v>
      </c>
      <c r="G248" s="106"/>
      <c r="H248" s="5850"/>
      <c r="I248" s="9593" t="s">
        <v>306</v>
      </c>
      <c r="J248" s="9594"/>
      <c r="K248" s="87" t="s">
        <v>255</v>
      </c>
      <c r="L248" s="5653">
        <f>IF(COUNTBLANK(L249:L254)&gt;0,"미취합법인有",SUM(L249:L254))</f>
        <v>54226.938911690988</v>
      </c>
      <c r="M248" s="5657"/>
      <c r="N248" s="5654">
        <f>IF(COUNTBLANK(N249:N254)&gt;0,"미취합법인有",SUM(N249:N254))</f>
        <v>55882.245056991538</v>
      </c>
      <c r="O248" s="5663"/>
      <c r="P248" s="5781">
        <f>IF(COUNTBLANK(P249:P254)&gt;0,"미취합법인有",SUM(P249:P254))</f>
        <v>56772.778770751342</v>
      </c>
      <c r="Q248" s="5654"/>
      <c r="R248" s="2468"/>
      <c r="S248" s="276"/>
      <c r="T248" s="99" t="s">
        <v>206</v>
      </c>
      <c r="U248" s="138"/>
      <c r="V248" s="138"/>
      <c r="W248" s="99"/>
      <c r="X248" s="346" t="s">
        <v>300</v>
      </c>
      <c r="Y248" s="265"/>
      <c r="Z248" s="187"/>
      <c r="AA248" s="6301"/>
      <c r="AB248" s="139"/>
      <c r="AC248" s="139"/>
      <c r="AD248" s="139"/>
      <c r="AE248" s="139"/>
      <c r="AF248" s="139"/>
      <c r="AG248" s="139"/>
      <c r="AH248" s="139"/>
      <c r="AI248" s="139"/>
      <c r="AJ248" s="139"/>
      <c r="AK248" s="139"/>
      <c r="AL248" s="139"/>
      <c r="AM248" s="139"/>
      <c r="AN248" s="139"/>
      <c r="AO248" s="139"/>
      <c r="AP248" s="139"/>
      <c r="AQ248" s="139"/>
      <c r="AR248" s="139"/>
      <c r="AS248" s="139"/>
      <c r="AT248" s="139"/>
      <c r="AU248" s="139"/>
      <c r="AV248" s="139"/>
      <c r="AW248" s="139"/>
      <c r="AX248" s="139"/>
      <c r="AY248" s="139"/>
      <c r="AZ248" s="139"/>
      <c r="BA248" s="139"/>
      <c r="BB248" s="139"/>
      <c r="BC248" s="139"/>
      <c r="BD248" s="139"/>
      <c r="BE248" s="139"/>
      <c r="BF248" s="139"/>
      <c r="BG248" s="139"/>
      <c r="BH248" s="139"/>
    </row>
    <row r="249" spans="2:60" s="11" customFormat="1" ht="19.899999999999999" customHeight="1">
      <c r="B249" s="5590"/>
      <c r="C249" s="5598"/>
      <c r="D249" s="9598" t="s">
        <v>134</v>
      </c>
      <c r="E249" s="9600"/>
      <c r="F249" s="87" t="s">
        <v>255</v>
      </c>
      <c r="G249" s="253"/>
      <c r="H249" s="1197"/>
      <c r="I249" s="9579" t="s">
        <v>135</v>
      </c>
      <c r="J249" s="9581"/>
      <c r="K249" s="87" t="s">
        <v>255</v>
      </c>
      <c r="L249" s="6353">
        <v>1268.5</v>
      </c>
      <c r="M249" s="6354"/>
      <c r="N249" s="6355">
        <v>1491.8989999999999</v>
      </c>
      <c r="O249" s="6357" t="s">
        <v>650</v>
      </c>
      <c r="P249" s="6356">
        <v>1458.057</v>
      </c>
      <c r="Q249" s="5824"/>
      <c r="R249" s="2468"/>
      <c r="S249" s="276"/>
      <c r="T249" s="99"/>
      <c r="U249" s="138"/>
      <c r="V249" s="138"/>
      <c r="W249" s="99"/>
      <c r="X249" s="264"/>
      <c r="Y249" s="277"/>
      <c r="Z249" s="187"/>
      <c r="AA249" s="6301"/>
      <c r="AB249" s="139"/>
      <c r="AC249" s="139"/>
      <c r="AD249" s="139"/>
      <c r="AE249" s="139"/>
      <c r="AF249" s="139"/>
      <c r="AG249" s="139"/>
      <c r="AH249" s="139"/>
      <c r="AI249" s="139"/>
      <c r="AJ249" s="139"/>
      <c r="AK249" s="139"/>
      <c r="AL249" s="139"/>
      <c r="AM249" s="139"/>
      <c r="AN249" s="139"/>
      <c r="AO249" s="139"/>
      <c r="AP249" s="139"/>
      <c r="AQ249" s="139"/>
      <c r="AR249" s="139"/>
      <c r="AS249" s="139"/>
      <c r="AT249" s="139"/>
      <c r="AU249" s="139"/>
      <c r="AV249" s="139"/>
      <c r="AW249" s="139"/>
      <c r="AX249" s="139"/>
      <c r="AY249" s="139"/>
      <c r="AZ249" s="139"/>
      <c r="BA249" s="139"/>
      <c r="BB249" s="139"/>
      <c r="BC249" s="139"/>
      <c r="BD249" s="139"/>
      <c r="BE249" s="139"/>
      <c r="BF249" s="139"/>
      <c r="BG249" s="139"/>
      <c r="BH249" s="139"/>
    </row>
    <row r="250" spans="2:60" s="11" customFormat="1" ht="19.899999999999999" customHeight="1">
      <c r="B250" s="5590"/>
      <c r="C250" s="5598"/>
      <c r="D250" s="9598" t="s">
        <v>137</v>
      </c>
      <c r="E250" s="9600"/>
      <c r="F250" s="5788" t="s">
        <v>272</v>
      </c>
      <c r="G250" s="253"/>
      <c r="H250" s="1197"/>
      <c r="I250" s="9579" t="s">
        <v>138</v>
      </c>
      <c r="J250" s="9581"/>
      <c r="K250" s="6171" t="s">
        <v>272</v>
      </c>
      <c r="L250" s="5594">
        <v>52447.841</v>
      </c>
      <c r="M250" s="5658"/>
      <c r="N250" s="1814">
        <v>53823.714999999997</v>
      </c>
      <c r="O250" s="5302"/>
      <c r="P250" s="5595">
        <v>54767.920000000006</v>
      </c>
      <c r="Q250" s="1814"/>
      <c r="R250" s="2468"/>
      <c r="S250" s="276"/>
      <c r="T250" s="99"/>
      <c r="U250" s="138"/>
      <c r="V250" s="138"/>
      <c r="W250" s="99"/>
      <c r="X250" s="264"/>
      <c r="Y250" s="277"/>
      <c r="Z250" s="187"/>
      <c r="AA250" s="6159" t="s">
        <v>308</v>
      </c>
      <c r="AB250" s="139"/>
      <c r="AC250" s="139"/>
      <c r="AD250" s="139"/>
      <c r="AE250" s="139"/>
      <c r="AF250" s="139"/>
      <c r="AG250" s="139"/>
      <c r="AH250" s="139"/>
      <c r="AI250" s="139"/>
      <c r="AJ250" s="139"/>
      <c r="AK250" s="139"/>
      <c r="AL250" s="139"/>
      <c r="AM250" s="139"/>
      <c r="AN250" s="139"/>
      <c r="AO250" s="139"/>
      <c r="AP250" s="139"/>
      <c r="AQ250" s="139"/>
      <c r="AR250" s="139"/>
      <c r="AS250" s="139"/>
      <c r="AT250" s="139"/>
      <c r="AU250" s="139"/>
      <c r="AV250" s="139"/>
      <c r="AW250" s="139"/>
      <c r="AX250" s="139"/>
      <c r="AY250" s="139"/>
      <c r="AZ250" s="139"/>
      <c r="BA250" s="139"/>
      <c r="BB250" s="139"/>
      <c r="BC250" s="139"/>
      <c r="BD250" s="139"/>
      <c r="BE250" s="139"/>
      <c r="BF250" s="139"/>
      <c r="BG250" s="139"/>
      <c r="BH250" s="139"/>
    </row>
    <row r="251" spans="2:60" s="11" customFormat="1" ht="19.899999999999999" customHeight="1">
      <c r="B251" s="5590"/>
      <c r="C251" s="5598"/>
      <c r="D251" s="9598" t="s">
        <v>140</v>
      </c>
      <c r="E251" s="9600"/>
      <c r="F251" s="87" t="s">
        <v>255</v>
      </c>
      <c r="G251" s="253"/>
      <c r="H251" s="1197"/>
      <c r="I251" s="9582" t="s">
        <v>141</v>
      </c>
      <c r="J251" s="9583"/>
      <c r="K251" s="87" t="s">
        <v>255</v>
      </c>
      <c r="L251" s="2557">
        <v>293.49791169099205</v>
      </c>
      <c r="M251" s="5610"/>
      <c r="N251" s="2554">
        <v>258.29105699154366</v>
      </c>
      <c r="O251" s="2815"/>
      <c r="P251" s="5666">
        <v>266.38177075133683</v>
      </c>
      <c r="Q251" s="2554"/>
      <c r="R251" s="2468"/>
      <c r="S251" s="276"/>
      <c r="T251" s="99"/>
      <c r="U251" s="138"/>
      <c r="V251" s="138"/>
      <c r="W251" s="99"/>
      <c r="X251" s="264"/>
      <c r="Y251" s="277"/>
      <c r="Z251" s="187"/>
      <c r="AA251" s="6301"/>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row>
    <row r="252" spans="2:60" s="11" customFormat="1" ht="19.899999999999999" customHeight="1">
      <c r="B252" s="5590"/>
      <c r="C252" s="5598"/>
      <c r="D252" s="9598" t="s">
        <v>143</v>
      </c>
      <c r="E252" s="9600"/>
      <c r="F252" s="87" t="s">
        <v>255</v>
      </c>
      <c r="G252" s="253"/>
      <c r="H252" s="1197"/>
      <c r="I252" s="9582" t="s">
        <v>144</v>
      </c>
      <c r="J252" s="9583"/>
      <c r="K252" s="87" t="s">
        <v>255</v>
      </c>
      <c r="L252" s="6483">
        <v>54.04</v>
      </c>
      <c r="M252" s="5674"/>
      <c r="N252" s="6484">
        <v>117.93</v>
      </c>
      <c r="O252" s="5593"/>
      <c r="P252" s="6484">
        <v>131.93</v>
      </c>
      <c r="Q252" s="5593"/>
      <c r="R252" s="2468"/>
      <c r="S252" s="276"/>
      <c r="T252" s="99"/>
      <c r="U252" s="138"/>
      <c r="V252" s="138"/>
      <c r="W252" s="99"/>
      <c r="X252" s="264"/>
      <c r="Y252" s="277"/>
      <c r="Z252" s="187"/>
      <c r="AA252" s="6301"/>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row>
    <row r="253" spans="2:60" s="11" customFormat="1" ht="19.899999999999999" customHeight="1">
      <c r="B253" s="5590"/>
      <c r="C253" s="5598"/>
      <c r="D253" s="9598" t="s">
        <v>631</v>
      </c>
      <c r="E253" s="9600"/>
      <c r="F253" s="87" t="s">
        <v>255</v>
      </c>
      <c r="G253" s="253"/>
      <c r="H253" s="1197"/>
      <c r="I253" s="9582" t="s">
        <v>147</v>
      </c>
      <c r="J253" s="9583"/>
      <c r="K253" s="87" t="s">
        <v>255</v>
      </c>
      <c r="L253" s="5967" t="s">
        <v>168</v>
      </c>
      <c r="M253" s="5656" t="s">
        <v>641</v>
      </c>
      <c r="N253" s="5593" t="s">
        <v>168</v>
      </c>
      <c r="O253" s="5593" t="s">
        <v>641</v>
      </c>
      <c r="P253" s="5593" t="s">
        <v>168</v>
      </c>
      <c r="Q253" s="5593" t="s">
        <v>641</v>
      </c>
      <c r="R253" s="2468"/>
      <c r="S253" s="276"/>
      <c r="T253" s="99"/>
      <c r="U253" s="138"/>
      <c r="V253" s="138"/>
      <c r="W253" s="99"/>
      <c r="X253" s="264"/>
      <c r="Y253" s="277"/>
      <c r="Z253" s="187"/>
      <c r="AA253" s="6301"/>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row>
    <row r="254" spans="2:60" s="11" customFormat="1" ht="19.899999999999999" customHeight="1">
      <c r="B254" s="5590"/>
      <c r="C254" s="5598"/>
      <c r="D254" s="9598" t="s">
        <v>633</v>
      </c>
      <c r="E254" s="9600"/>
      <c r="F254" s="87" t="s">
        <v>255</v>
      </c>
      <c r="G254" s="253"/>
      <c r="H254" s="1197"/>
      <c r="I254" s="9582" t="s">
        <v>150</v>
      </c>
      <c r="J254" s="9583"/>
      <c r="K254" s="87" t="s">
        <v>255</v>
      </c>
      <c r="L254" s="5592">
        <v>163.06</v>
      </c>
      <c r="M254" s="5656"/>
      <c r="N254" s="5593">
        <v>190.41</v>
      </c>
      <c r="O254" s="5593"/>
      <c r="P254" s="5593">
        <v>148.49</v>
      </c>
      <c r="Q254" s="5593"/>
      <c r="R254" s="2468"/>
      <c r="S254" s="276"/>
      <c r="T254" s="99"/>
      <c r="U254" s="138"/>
      <c r="V254" s="138"/>
      <c r="W254" s="99"/>
      <c r="X254" s="264"/>
      <c r="Y254" s="277"/>
      <c r="Z254" s="187"/>
      <c r="AA254" s="6301"/>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row>
    <row r="255" spans="2:60" s="11" customFormat="1" ht="20.100000000000001" customHeight="1">
      <c r="B255" s="1360"/>
      <c r="C255" s="5603" t="s">
        <v>671</v>
      </c>
      <c r="D255" s="5604"/>
      <c r="E255" s="5605"/>
      <c r="F255" s="132" t="s">
        <v>255</v>
      </c>
      <c r="G255" s="358"/>
      <c r="H255" s="9631" t="s">
        <v>263</v>
      </c>
      <c r="I255" s="9632"/>
      <c r="J255" s="9633"/>
      <c r="K255" s="132" t="s">
        <v>255</v>
      </c>
      <c r="L255" s="5653">
        <f>IF(COUNTBLANK(L256:L261)&gt;0,"미취합법인有",SUM(L256:L261))</f>
        <v>1691.9274521483233</v>
      </c>
      <c r="M255" s="5657"/>
      <c r="N255" s="5654">
        <f>IF(COUNTBLANK(N256:N261)&gt;0,"미취합법인有",SUM(N256:N261))</f>
        <v>1976.813037449903</v>
      </c>
      <c r="O255" s="5663"/>
      <c r="P255" s="5781">
        <f>IF(COUNTBLANK(P256:P261)&gt;0,"미취합법인有",SUM(P256:P261))</f>
        <v>1917.0632186127789</v>
      </c>
      <c r="Q255" s="5654"/>
      <c r="R255" s="498" t="s">
        <v>672</v>
      </c>
      <c r="S255" s="263" t="s">
        <v>265</v>
      </c>
      <c r="T255" s="99" t="s">
        <v>206</v>
      </c>
      <c r="U255" s="138"/>
      <c r="V255" s="138"/>
      <c r="W255" s="99"/>
      <c r="X255" s="336" t="s">
        <v>269</v>
      </c>
      <c r="Y255" s="265"/>
      <c r="Z255" s="187"/>
      <c r="AA255" s="6301"/>
      <c r="AB255" s="139"/>
      <c r="AC255" s="139"/>
      <c r="AD255" s="139"/>
      <c r="AE255" s="139"/>
      <c r="AF255" s="139"/>
      <c r="AG255" s="139"/>
      <c r="AH255" s="139"/>
      <c r="AI255" s="139"/>
      <c r="AJ255" s="139"/>
      <c r="AK255" s="139"/>
      <c r="AL255" s="139"/>
      <c r="AM255" s="139"/>
      <c r="AN255" s="139"/>
      <c r="AO255" s="139"/>
      <c r="AP255" s="139"/>
      <c r="AQ255" s="139"/>
      <c r="AR255" s="139"/>
      <c r="AS255" s="139"/>
      <c r="AT255" s="139"/>
      <c r="AU255" s="139"/>
      <c r="AV255" s="139"/>
      <c r="AW255" s="139"/>
      <c r="AX255" s="139"/>
      <c r="AY255" s="139"/>
      <c r="AZ255" s="139"/>
      <c r="BA255" s="139"/>
      <c r="BB255" s="139"/>
      <c r="BC255" s="139"/>
      <c r="BD255" s="139"/>
      <c r="BE255" s="139"/>
      <c r="BF255" s="139"/>
      <c r="BG255" s="139"/>
      <c r="BH255" s="139"/>
    </row>
    <row r="256" spans="2:60" s="11" customFormat="1" ht="19.5" customHeight="1">
      <c r="B256" s="5590"/>
      <c r="C256" s="9647" t="s">
        <v>134</v>
      </c>
      <c r="D256" s="9648"/>
      <c r="E256" s="9649"/>
      <c r="F256" s="87" t="s">
        <v>255</v>
      </c>
      <c r="G256" s="253"/>
      <c r="H256" s="9579" t="s">
        <v>135</v>
      </c>
      <c r="I256" s="9580"/>
      <c r="J256" s="9581"/>
      <c r="K256" s="87" t="s">
        <v>255</v>
      </c>
      <c r="L256" s="5592">
        <v>1269</v>
      </c>
      <c r="M256" s="5656"/>
      <c r="N256" s="5593">
        <v>1492</v>
      </c>
      <c r="O256" s="5664"/>
      <c r="P256" s="5655">
        <v>1458</v>
      </c>
      <c r="Q256" s="5593"/>
      <c r="R256" s="1033"/>
      <c r="S256" s="263"/>
      <c r="T256" s="99"/>
      <c r="U256" s="138"/>
      <c r="V256" s="138"/>
      <c r="W256" s="99"/>
      <c r="X256" s="264"/>
      <c r="Y256" s="277"/>
      <c r="Z256" s="187"/>
      <c r="AA256" s="6301"/>
      <c r="AB256" s="139"/>
      <c r="AC256" s="139"/>
      <c r="AD256" s="139"/>
      <c r="AE256" s="139"/>
      <c r="AF256" s="139"/>
      <c r="AG256" s="139"/>
      <c r="AH256" s="139"/>
      <c r="AI256" s="139"/>
      <c r="AJ256" s="139"/>
      <c r="AK256" s="139"/>
      <c r="AL256" s="139"/>
      <c r="AM256" s="139"/>
      <c r="AN256" s="139"/>
      <c r="AO256" s="139"/>
      <c r="AP256" s="139"/>
      <c r="AQ256" s="139"/>
      <c r="AR256" s="139"/>
      <c r="AS256" s="139"/>
      <c r="AT256" s="139"/>
      <c r="AU256" s="139"/>
      <c r="AV256" s="139"/>
      <c r="AW256" s="139"/>
      <c r="AX256" s="139"/>
      <c r="AY256" s="139"/>
      <c r="AZ256" s="139"/>
      <c r="BA256" s="139"/>
      <c r="BB256" s="139"/>
      <c r="BC256" s="139"/>
      <c r="BD256" s="139"/>
      <c r="BE256" s="139"/>
      <c r="BF256" s="139"/>
      <c r="BG256" s="139"/>
      <c r="BH256" s="139"/>
    </row>
    <row r="257" spans="2:60" s="11" customFormat="1" ht="19.899999999999999" customHeight="1">
      <c r="B257" s="5590"/>
      <c r="C257" s="9647" t="s">
        <v>137</v>
      </c>
      <c r="D257" s="9648"/>
      <c r="E257" s="9649"/>
      <c r="F257" s="87" t="s">
        <v>255</v>
      </c>
      <c r="G257" s="253"/>
      <c r="H257" s="9579" t="s">
        <v>138</v>
      </c>
      <c r="I257" s="9580"/>
      <c r="J257" s="9581"/>
      <c r="K257" s="87" t="s">
        <v>255</v>
      </c>
      <c r="L257" s="5592">
        <v>0</v>
      </c>
      <c r="M257" s="5656"/>
      <c r="N257" s="5593">
        <v>0</v>
      </c>
      <c r="O257" s="5593"/>
      <c r="P257" s="5593">
        <v>0</v>
      </c>
      <c r="Q257" s="5593"/>
      <c r="R257" s="1033"/>
      <c r="S257" s="263"/>
      <c r="T257" s="99"/>
      <c r="U257" s="138"/>
      <c r="V257" s="138"/>
      <c r="W257" s="99"/>
      <c r="X257" s="264"/>
      <c r="Y257" s="277"/>
      <c r="Z257" s="187"/>
      <c r="AA257" s="6301"/>
      <c r="AB257" s="139"/>
      <c r="AC257" s="139"/>
      <c r="AD257" s="139"/>
      <c r="AE257" s="139"/>
      <c r="AF257" s="139"/>
      <c r="AG257" s="139"/>
      <c r="AH257" s="139"/>
      <c r="AI257" s="139"/>
      <c r="AJ257" s="139"/>
      <c r="AK257" s="139"/>
      <c r="AL257" s="139"/>
      <c r="AM257" s="139"/>
      <c r="AN257" s="139"/>
      <c r="AO257" s="139"/>
      <c r="AP257" s="139"/>
      <c r="AQ257" s="139"/>
      <c r="AR257" s="139"/>
      <c r="AS257" s="139"/>
      <c r="AT257" s="139"/>
      <c r="AU257" s="139"/>
      <c r="AV257" s="139"/>
      <c r="AW257" s="139"/>
      <c r="AX257" s="139"/>
      <c r="AY257" s="139"/>
      <c r="AZ257" s="139"/>
      <c r="BA257" s="139"/>
      <c r="BB257" s="139"/>
      <c r="BC257" s="139"/>
      <c r="BD257" s="139"/>
      <c r="BE257" s="139"/>
      <c r="BF257" s="139"/>
      <c r="BG257" s="139"/>
      <c r="BH257" s="139"/>
    </row>
    <row r="258" spans="2:60" s="11" customFormat="1" ht="19.899999999999999" customHeight="1">
      <c r="B258" s="5590"/>
      <c r="C258" s="9647" t="s">
        <v>140</v>
      </c>
      <c r="D258" s="9648"/>
      <c r="E258" s="9649"/>
      <c r="F258" s="87" t="s">
        <v>255</v>
      </c>
      <c r="G258" s="253"/>
      <c r="H258" s="9579" t="s">
        <v>141</v>
      </c>
      <c r="I258" s="9580"/>
      <c r="J258" s="9581"/>
      <c r="K258" s="87" t="s">
        <v>255</v>
      </c>
      <c r="L258" s="5592">
        <v>205.80008876798826</v>
      </c>
      <c r="M258" s="5656"/>
      <c r="N258" s="5593">
        <v>176.61219894487496</v>
      </c>
      <c r="O258" s="5593"/>
      <c r="P258" s="5593">
        <v>177.63597829765689</v>
      </c>
      <c r="Q258" s="5593"/>
      <c r="R258" s="1033"/>
      <c r="S258" s="263"/>
      <c r="T258" s="99"/>
      <c r="U258" s="138"/>
      <c r="V258" s="138"/>
      <c r="W258" s="99"/>
      <c r="X258" s="264"/>
      <c r="Y258" s="277"/>
      <c r="Z258" s="187"/>
      <c r="AA258" s="6301"/>
      <c r="AB258" s="139"/>
      <c r="AC258" s="139"/>
      <c r="AD258" s="139"/>
      <c r="AE258" s="139"/>
      <c r="AF258" s="139"/>
      <c r="AG258" s="139"/>
      <c r="AH258" s="139"/>
      <c r="AI258" s="139"/>
      <c r="AJ258" s="139"/>
      <c r="AK258" s="139"/>
      <c r="AL258" s="139"/>
      <c r="AM258" s="139"/>
      <c r="AN258" s="139"/>
      <c r="AO258" s="139"/>
      <c r="AP258" s="139"/>
      <c r="AQ258" s="139"/>
      <c r="AR258" s="139"/>
      <c r="AS258" s="139"/>
      <c r="AT258" s="139"/>
      <c r="AU258" s="139"/>
      <c r="AV258" s="139"/>
      <c r="AW258" s="139"/>
      <c r="AX258" s="139"/>
      <c r="AY258" s="139"/>
      <c r="AZ258" s="139"/>
      <c r="BA258" s="139"/>
      <c r="BB258" s="139"/>
      <c r="BC258" s="139"/>
      <c r="BD258" s="139"/>
      <c r="BE258" s="139"/>
      <c r="BF258" s="139"/>
      <c r="BG258" s="139"/>
      <c r="BH258" s="139"/>
    </row>
    <row r="259" spans="2:60" s="11" customFormat="1" ht="20.25" customHeight="1">
      <c r="B259" s="5590"/>
      <c r="C259" s="9647" t="s">
        <v>143</v>
      </c>
      <c r="D259" s="9648"/>
      <c r="E259" s="9649"/>
      <c r="F259" s="87" t="s">
        <v>255</v>
      </c>
      <c r="G259" s="253"/>
      <c r="H259" s="9579" t="s">
        <v>144</v>
      </c>
      <c r="I259" s="9580"/>
      <c r="J259" s="9581"/>
      <c r="K259" s="87" t="s">
        <v>255</v>
      </c>
      <c r="L259" s="5649">
        <v>54.037363380335201</v>
      </c>
      <c r="M259" s="5674" t="s">
        <v>669</v>
      </c>
      <c r="N259" s="1514">
        <v>117.93083850502801</v>
      </c>
      <c r="O259" s="5593"/>
      <c r="P259" s="1514">
        <v>131.92724031512199</v>
      </c>
      <c r="Q259" s="5593"/>
      <c r="R259" s="1033"/>
      <c r="S259" s="263"/>
      <c r="T259" s="99"/>
      <c r="U259" s="138"/>
      <c r="V259" s="138"/>
      <c r="W259" s="99"/>
      <c r="X259" s="264"/>
      <c r="Y259" s="277"/>
      <c r="Z259" s="187"/>
      <c r="AA259" s="6159"/>
      <c r="AB259" s="1377"/>
      <c r="AC259" s="139"/>
      <c r="AD259" s="139"/>
      <c r="AE259" s="139"/>
      <c r="AF259" s="139"/>
      <c r="AG259" s="139"/>
      <c r="AH259" s="139"/>
      <c r="AI259" s="139"/>
      <c r="AJ259" s="139"/>
      <c r="AK259" s="139"/>
      <c r="AL259" s="139"/>
      <c r="AM259" s="139"/>
      <c r="AN259" s="139"/>
      <c r="AO259" s="139"/>
      <c r="AP259" s="139"/>
      <c r="AQ259" s="139"/>
      <c r="AR259" s="139"/>
      <c r="AS259" s="139"/>
      <c r="AT259" s="139"/>
      <c r="AU259" s="139"/>
      <c r="AV259" s="139"/>
      <c r="AW259" s="139"/>
      <c r="AX259" s="139"/>
      <c r="AY259" s="139"/>
      <c r="AZ259" s="139"/>
      <c r="BA259" s="139"/>
      <c r="BB259" s="139"/>
      <c r="BC259" s="139"/>
      <c r="BD259" s="139"/>
      <c r="BE259" s="139"/>
      <c r="BF259" s="139"/>
      <c r="BG259" s="139"/>
      <c r="BH259" s="139"/>
    </row>
    <row r="260" spans="2:60" s="11" customFormat="1" ht="19.899999999999999" customHeight="1">
      <c r="B260" s="5590"/>
      <c r="C260" s="9647" t="s">
        <v>631</v>
      </c>
      <c r="D260" s="9648"/>
      <c r="E260" s="9649"/>
      <c r="F260" s="87" t="s">
        <v>255</v>
      </c>
      <c r="G260" s="253"/>
      <c r="H260" s="9579" t="s">
        <v>147</v>
      </c>
      <c r="I260" s="9580"/>
      <c r="J260" s="9581"/>
      <c r="K260" s="87" t="s">
        <v>255</v>
      </c>
      <c r="L260" s="5967" t="s">
        <v>168</v>
      </c>
      <c r="M260" s="5656" t="s">
        <v>641</v>
      </c>
      <c r="N260" s="5593" t="s">
        <v>168</v>
      </c>
      <c r="O260" s="5593" t="s">
        <v>641</v>
      </c>
      <c r="P260" s="5593" t="s">
        <v>168</v>
      </c>
      <c r="Q260" s="5593" t="s">
        <v>641</v>
      </c>
      <c r="R260" s="1033"/>
      <c r="S260" s="263"/>
      <c r="T260" s="99"/>
      <c r="U260" s="138"/>
      <c r="V260" s="138"/>
      <c r="W260" s="99"/>
      <c r="X260" s="264"/>
      <c r="Y260" s="277"/>
      <c r="Z260" s="187"/>
      <c r="AA260" s="6301"/>
      <c r="AB260" s="139"/>
      <c r="AC260" s="139"/>
      <c r="AD260" s="139"/>
      <c r="AE260" s="139"/>
      <c r="AF260" s="139"/>
      <c r="AG260" s="139"/>
      <c r="AH260" s="139"/>
      <c r="AI260" s="139"/>
      <c r="AJ260" s="139"/>
      <c r="AK260" s="139"/>
      <c r="AL260" s="139"/>
      <c r="AM260" s="139"/>
      <c r="AN260" s="139"/>
      <c r="AO260" s="139"/>
      <c r="AP260" s="139"/>
      <c r="AQ260" s="139"/>
      <c r="AR260" s="139"/>
      <c r="AS260" s="139"/>
      <c r="AT260" s="139"/>
      <c r="AU260" s="139"/>
      <c r="AV260" s="139"/>
      <c r="AW260" s="139"/>
      <c r="AX260" s="139"/>
      <c r="AY260" s="139"/>
      <c r="AZ260" s="139"/>
      <c r="BA260" s="139"/>
      <c r="BB260" s="139"/>
      <c r="BC260" s="139"/>
      <c r="BD260" s="139"/>
      <c r="BE260" s="139"/>
      <c r="BF260" s="139"/>
      <c r="BG260" s="139"/>
      <c r="BH260" s="139"/>
    </row>
    <row r="261" spans="2:60" s="11" customFormat="1" ht="19.899999999999999" customHeight="1">
      <c r="B261" s="5590"/>
      <c r="C261" s="9647" t="s">
        <v>633</v>
      </c>
      <c r="D261" s="9648"/>
      <c r="E261" s="9649"/>
      <c r="F261" s="87" t="s">
        <v>255</v>
      </c>
      <c r="G261" s="253"/>
      <c r="H261" s="9579" t="s">
        <v>150</v>
      </c>
      <c r="I261" s="9580"/>
      <c r="J261" s="9581"/>
      <c r="K261" s="87" t="s">
        <v>255</v>
      </c>
      <c r="L261" s="5592">
        <v>163.09</v>
      </c>
      <c r="M261" s="5656"/>
      <c r="N261" s="5593">
        <v>190.27</v>
      </c>
      <c r="O261" s="5593"/>
      <c r="P261" s="5593">
        <v>149.5</v>
      </c>
      <c r="Q261" s="5593"/>
      <c r="R261" s="1033"/>
      <c r="S261" s="263"/>
      <c r="T261" s="99"/>
      <c r="U261" s="138"/>
      <c r="V261" s="138"/>
      <c r="W261" s="99"/>
      <c r="X261" s="264"/>
      <c r="Y261" s="277"/>
      <c r="Z261" s="187"/>
      <c r="AA261" s="6301"/>
      <c r="AB261" s="139"/>
      <c r="AC261" s="139"/>
      <c r="AD261" s="139"/>
      <c r="AE261" s="139"/>
      <c r="AF261" s="139"/>
      <c r="AG261" s="139"/>
      <c r="AH261" s="139"/>
      <c r="AI261" s="139"/>
      <c r="AJ261" s="139"/>
      <c r="AK261" s="139"/>
      <c r="AL261" s="139"/>
      <c r="AM261" s="139"/>
      <c r="AN261" s="139"/>
      <c r="AO261" s="139"/>
      <c r="AP261" s="139"/>
      <c r="AQ261" s="139"/>
      <c r="AR261" s="139"/>
      <c r="AS261" s="139"/>
      <c r="AT261" s="139"/>
      <c r="AU261" s="139"/>
      <c r="AV261" s="139"/>
      <c r="AW261" s="139"/>
      <c r="AX261" s="139"/>
      <c r="AY261" s="139"/>
      <c r="AZ261" s="139"/>
      <c r="BA261" s="139"/>
      <c r="BB261" s="139"/>
      <c r="BC261" s="139"/>
      <c r="BD261" s="139"/>
      <c r="BE261" s="139"/>
      <c r="BF261" s="139"/>
      <c r="BG261" s="139"/>
      <c r="BH261" s="139"/>
    </row>
    <row r="262" spans="2:60" s="11" customFormat="1" ht="20.100000000000001" customHeight="1">
      <c r="B262" s="1360"/>
      <c r="C262" s="5598"/>
      <c r="D262" s="9591" t="s">
        <v>267</v>
      </c>
      <c r="E262" s="9597"/>
      <c r="F262" s="132" t="s">
        <v>255</v>
      </c>
      <c r="G262" s="106"/>
      <c r="H262" s="6192"/>
      <c r="I262" s="9591" t="s">
        <v>268</v>
      </c>
      <c r="J262" s="9597"/>
      <c r="K262" s="132" t="s">
        <v>255</v>
      </c>
      <c r="L262" s="5653" t="str">
        <f>IF(COUNTBLANK(L263:L268)&gt;0,"미취합법인有",SUM(L263:L268))</f>
        <v>미취합법인有</v>
      </c>
      <c r="M262" s="5657"/>
      <c r="N262" s="5654" t="str">
        <f>IF(COUNTBLANK(N263:N268)&gt;0,"미취합법인有",SUM(N263:N268))</f>
        <v>미취합법인有</v>
      </c>
      <c r="O262" s="5663"/>
      <c r="P262" s="5781" t="str">
        <f>IF(COUNTBLANK(P263:P268)&gt;0,"미취합법인有",SUM(P263:P268))</f>
        <v>미취합법인有</v>
      </c>
      <c r="Q262" s="5654"/>
      <c r="R262" s="498"/>
      <c r="S262" s="367"/>
      <c r="T262" s="99" t="s">
        <v>206</v>
      </c>
      <c r="U262" s="138"/>
      <c r="V262" s="138"/>
      <c r="W262" s="99"/>
      <c r="X262" s="186" t="s">
        <v>269</v>
      </c>
      <c r="Y262" s="265"/>
      <c r="Z262" s="187"/>
      <c r="AA262" s="6301"/>
      <c r="AB262" s="139"/>
      <c r="AC262" s="139"/>
      <c r="AD262" s="139"/>
      <c r="AE262" s="139"/>
      <c r="AF262" s="139"/>
      <c r="AG262" s="139"/>
      <c r="AH262" s="139"/>
      <c r="AI262" s="139"/>
      <c r="AJ262" s="139"/>
      <c r="AK262" s="139"/>
      <c r="AL262" s="139"/>
      <c r="AM262" s="139"/>
      <c r="AN262" s="139"/>
      <c r="AO262" s="139"/>
      <c r="AP262" s="139"/>
      <c r="AQ262" s="139"/>
      <c r="AR262" s="139"/>
      <c r="AS262" s="139"/>
      <c r="AT262" s="139"/>
      <c r="AU262" s="139"/>
      <c r="AV262" s="139"/>
      <c r="AW262" s="139"/>
      <c r="AX262" s="139"/>
      <c r="AY262" s="139"/>
      <c r="AZ262" s="139"/>
      <c r="BA262" s="139"/>
      <c r="BB262" s="139"/>
      <c r="BC262" s="139"/>
      <c r="BD262" s="139"/>
      <c r="BE262" s="139"/>
      <c r="BF262" s="139"/>
      <c r="BG262" s="139"/>
      <c r="BH262" s="139"/>
    </row>
    <row r="263" spans="2:60" s="11" customFormat="1" ht="19.899999999999999" customHeight="1">
      <c r="B263" s="5590"/>
      <c r="C263" s="5598"/>
      <c r="D263" s="9598" t="s">
        <v>134</v>
      </c>
      <c r="E263" s="9600"/>
      <c r="F263" s="87" t="s">
        <v>255</v>
      </c>
      <c r="G263" s="253"/>
      <c r="H263" s="6192"/>
      <c r="I263" s="9579" t="s">
        <v>135</v>
      </c>
      <c r="J263" s="9581"/>
      <c r="K263" s="87" t="s">
        <v>255</v>
      </c>
      <c r="L263" s="6069">
        <v>172.10000000000002</v>
      </c>
      <c r="M263" s="6070" t="s">
        <v>673</v>
      </c>
      <c r="N263" s="6071">
        <v>187.43400000000003</v>
      </c>
      <c r="O263" s="6072" t="s">
        <v>674</v>
      </c>
      <c r="P263" s="6072">
        <v>183.94</v>
      </c>
      <c r="Q263" s="5672"/>
      <c r="R263" s="2468"/>
      <c r="S263" s="276"/>
      <c r="T263" s="99"/>
      <c r="U263" s="138"/>
      <c r="V263" s="138"/>
      <c r="W263" s="99"/>
      <c r="X263" s="264"/>
      <c r="Y263" s="277"/>
      <c r="Z263" s="187"/>
      <c r="AA263" s="6301"/>
      <c r="AB263" s="139"/>
      <c r="AC263" s="139"/>
      <c r="AD263" s="139"/>
      <c r="AE263" s="139"/>
      <c r="AF263" s="139"/>
      <c r="AG263" s="139"/>
      <c r="AH263" s="139"/>
      <c r="AI263" s="139"/>
      <c r="AJ263" s="139"/>
      <c r="AK263" s="139"/>
      <c r="AL263" s="139"/>
      <c r="AM263" s="139"/>
      <c r="AN263" s="139"/>
      <c r="AO263" s="139"/>
      <c r="AP263" s="139"/>
      <c r="AQ263" s="139"/>
      <c r="AR263" s="139"/>
      <c r="AS263" s="139"/>
      <c r="AT263" s="139"/>
      <c r="AU263" s="139"/>
      <c r="AV263" s="139"/>
      <c r="AW263" s="139"/>
      <c r="AX263" s="139"/>
      <c r="AY263" s="139"/>
      <c r="AZ263" s="139"/>
      <c r="BA263" s="139"/>
      <c r="BB263" s="139"/>
      <c r="BC263" s="139"/>
      <c r="BD263" s="139"/>
      <c r="BE263" s="139"/>
      <c r="BF263" s="139"/>
      <c r="BG263" s="139"/>
      <c r="BH263" s="139"/>
    </row>
    <row r="264" spans="2:60" s="11" customFormat="1" ht="19.899999999999999" customHeight="1">
      <c r="B264" s="5590"/>
      <c r="C264" s="5598"/>
      <c r="D264" s="9598" t="s">
        <v>137</v>
      </c>
      <c r="E264" s="9600"/>
      <c r="F264" s="87" t="s">
        <v>255</v>
      </c>
      <c r="G264" s="253"/>
      <c r="H264" s="6192"/>
      <c r="I264" s="9579" t="s">
        <v>138</v>
      </c>
      <c r="J264" s="9581"/>
      <c r="K264" s="87" t="s">
        <v>255</v>
      </c>
      <c r="L264" s="6073"/>
      <c r="M264" s="6074"/>
      <c r="N264" s="6075"/>
      <c r="O264" s="6076"/>
      <c r="P264" s="5927"/>
      <c r="Q264" s="1814"/>
      <c r="R264" s="2468"/>
      <c r="S264" s="276"/>
      <c r="T264" s="99"/>
      <c r="U264" s="138"/>
      <c r="V264" s="138"/>
      <c r="W264" s="99"/>
      <c r="X264" s="264"/>
      <c r="Y264" s="277"/>
      <c r="Z264" s="187"/>
      <c r="AA264" s="6301"/>
      <c r="AB264" s="139"/>
      <c r="AC264" s="139"/>
      <c r="AD264" s="139"/>
      <c r="AE264" s="139"/>
      <c r="AF264" s="139"/>
      <c r="AG264" s="139"/>
      <c r="AH264" s="139"/>
      <c r="AI264" s="139"/>
      <c r="AJ264" s="139"/>
      <c r="AK264" s="139"/>
      <c r="AL264" s="139"/>
      <c r="AM264" s="139"/>
      <c r="AN264" s="139"/>
      <c r="AO264" s="139"/>
      <c r="AP264" s="139"/>
      <c r="AQ264" s="139"/>
      <c r="AR264" s="139"/>
      <c r="AS264" s="139"/>
      <c r="AT264" s="139"/>
      <c r="AU264" s="139"/>
      <c r="AV264" s="139"/>
      <c r="AW264" s="139"/>
      <c r="AX264" s="139"/>
      <c r="AY264" s="139"/>
      <c r="AZ264" s="139"/>
      <c r="BA264" s="139"/>
      <c r="BB264" s="139"/>
      <c r="BC264" s="139"/>
      <c r="BD264" s="139"/>
      <c r="BE264" s="139"/>
      <c r="BF264" s="139"/>
      <c r="BG264" s="139"/>
      <c r="BH264" s="139"/>
    </row>
    <row r="265" spans="2:60" s="11" customFormat="1" ht="19.899999999999999" customHeight="1">
      <c r="B265" s="5590"/>
      <c r="C265" s="5598"/>
      <c r="D265" s="9598" t="s">
        <v>140</v>
      </c>
      <c r="E265" s="9600"/>
      <c r="F265" s="87" t="s">
        <v>255</v>
      </c>
      <c r="G265" s="253"/>
      <c r="H265" s="6192"/>
      <c r="I265" s="9582" t="s">
        <v>141</v>
      </c>
      <c r="J265" s="9583"/>
      <c r="K265" s="87" t="s">
        <v>255</v>
      </c>
      <c r="L265" s="5925">
        <v>0.75905267260283249</v>
      </c>
      <c r="M265" s="6062"/>
      <c r="N265" s="5425">
        <v>0.6251159626591356</v>
      </c>
      <c r="O265" s="6063"/>
      <c r="P265" s="6064">
        <v>0.62633720651525715</v>
      </c>
      <c r="Q265" s="2554"/>
      <c r="R265" s="2468"/>
      <c r="S265" s="276"/>
      <c r="T265" s="99"/>
      <c r="U265" s="138"/>
      <c r="V265" s="138"/>
      <c r="W265" s="99"/>
      <c r="X265" s="264"/>
      <c r="Y265" s="277"/>
      <c r="Z265" s="187"/>
      <c r="AA265" s="6301"/>
      <c r="AB265" s="139"/>
      <c r="AC265" s="139"/>
      <c r="AD265" s="139"/>
      <c r="AE265" s="139"/>
      <c r="AF265" s="139"/>
      <c r="AG265" s="139"/>
      <c r="AH265" s="139"/>
      <c r="AI265" s="139"/>
      <c r="AJ265" s="139"/>
      <c r="AK265" s="139"/>
      <c r="AL265" s="139"/>
      <c r="AM265" s="139"/>
      <c r="AN265" s="139"/>
      <c r="AO265" s="139"/>
      <c r="AP265" s="139"/>
      <c r="AQ265" s="139"/>
      <c r="AR265" s="139"/>
      <c r="AS265" s="139"/>
      <c r="AT265" s="139"/>
      <c r="AU265" s="139"/>
      <c r="AV265" s="139"/>
      <c r="AW265" s="139"/>
      <c r="AX265" s="139"/>
      <c r="AY265" s="139"/>
      <c r="AZ265" s="139"/>
      <c r="BA265" s="139"/>
      <c r="BB265" s="139"/>
      <c r="BC265" s="139"/>
      <c r="BD265" s="139"/>
      <c r="BE265" s="139"/>
      <c r="BF265" s="139"/>
      <c r="BG265" s="139"/>
      <c r="BH265" s="139"/>
    </row>
    <row r="266" spans="2:60" s="11" customFormat="1" ht="19.899999999999999" customHeight="1">
      <c r="B266" s="5590"/>
      <c r="C266" s="5598"/>
      <c r="D266" s="9598" t="s">
        <v>143</v>
      </c>
      <c r="E266" s="9600"/>
      <c r="F266" s="87" t="s">
        <v>255</v>
      </c>
      <c r="G266" s="253"/>
      <c r="H266" s="6192"/>
      <c r="I266" s="9582" t="s">
        <v>144</v>
      </c>
      <c r="J266" s="9583"/>
      <c r="K266" s="87" t="s">
        <v>255</v>
      </c>
      <c r="L266" s="5649">
        <v>0</v>
      </c>
      <c r="M266" s="5656"/>
      <c r="N266" s="1514">
        <v>0</v>
      </c>
      <c r="O266" s="5593"/>
      <c r="P266" s="1514">
        <v>0</v>
      </c>
      <c r="Q266" s="5593"/>
      <c r="R266" s="2468"/>
      <c r="S266" s="276"/>
      <c r="T266" s="99"/>
      <c r="U266" s="138"/>
      <c r="V266" s="138"/>
      <c r="W266" s="99"/>
      <c r="X266" s="264"/>
      <c r="Y266" s="277"/>
      <c r="Z266" s="187"/>
      <c r="AA266" s="6301"/>
      <c r="AB266" s="139"/>
      <c r="AC266" s="139"/>
      <c r="AD266" s="139"/>
      <c r="AE266" s="139"/>
      <c r="AF266" s="139"/>
      <c r="AG266" s="139"/>
      <c r="AH266" s="139"/>
      <c r="AI266" s="139"/>
      <c r="AJ266" s="139"/>
      <c r="AK266" s="139"/>
      <c r="AL266" s="139"/>
      <c r="AM266" s="139"/>
      <c r="AN266" s="139"/>
      <c r="AO266" s="139"/>
      <c r="AP266" s="139"/>
      <c r="AQ266" s="139"/>
      <c r="AR266" s="139"/>
      <c r="AS266" s="139"/>
      <c r="AT266" s="139"/>
      <c r="AU266" s="139"/>
      <c r="AV266" s="139"/>
      <c r="AW266" s="139"/>
      <c r="AX266" s="139"/>
      <c r="AY266" s="139"/>
      <c r="AZ266" s="139"/>
      <c r="BA266" s="139"/>
      <c r="BB266" s="139"/>
      <c r="BC266" s="139"/>
      <c r="BD266" s="139"/>
      <c r="BE266" s="139"/>
      <c r="BF266" s="139"/>
      <c r="BG266" s="139"/>
      <c r="BH266" s="139"/>
    </row>
    <row r="267" spans="2:60" s="11" customFormat="1" ht="19.899999999999999" customHeight="1">
      <c r="B267" s="5590"/>
      <c r="C267" s="5598"/>
      <c r="D267" s="9598" t="s">
        <v>631</v>
      </c>
      <c r="E267" s="9600"/>
      <c r="F267" s="87" t="s">
        <v>255</v>
      </c>
      <c r="G267" s="253"/>
      <c r="H267" s="6192"/>
      <c r="I267" s="9582" t="s">
        <v>147</v>
      </c>
      <c r="J267" s="9583"/>
      <c r="K267" s="87" t="s">
        <v>255</v>
      </c>
      <c r="L267" s="5967" t="s">
        <v>168</v>
      </c>
      <c r="M267" s="5656" t="s">
        <v>641</v>
      </c>
      <c r="N267" s="5593" t="s">
        <v>168</v>
      </c>
      <c r="O267" s="5593" t="s">
        <v>641</v>
      </c>
      <c r="P267" s="5593" t="s">
        <v>168</v>
      </c>
      <c r="Q267" s="5593" t="s">
        <v>641</v>
      </c>
      <c r="R267" s="2468"/>
      <c r="S267" s="276"/>
      <c r="T267" s="99"/>
      <c r="U267" s="138"/>
      <c r="V267" s="138"/>
      <c r="W267" s="99"/>
      <c r="X267" s="264"/>
      <c r="Y267" s="277"/>
      <c r="Z267" s="187"/>
      <c r="AA267" s="6301"/>
      <c r="AB267" s="139"/>
      <c r="AC267" s="139"/>
      <c r="AD267" s="139"/>
      <c r="AE267" s="139"/>
      <c r="AF267" s="139"/>
      <c r="AG267" s="139"/>
      <c r="AH267" s="139"/>
      <c r="AI267" s="139"/>
      <c r="AJ267" s="139"/>
      <c r="AK267" s="139"/>
      <c r="AL267" s="139"/>
      <c r="AM267" s="139"/>
      <c r="AN267" s="139"/>
      <c r="AO267" s="139"/>
      <c r="AP267" s="139"/>
      <c r="AQ267" s="139"/>
      <c r="AR267" s="139"/>
      <c r="AS267" s="139"/>
      <c r="AT267" s="139"/>
      <c r="AU267" s="139"/>
      <c r="AV267" s="139"/>
      <c r="AW267" s="139"/>
      <c r="AX267" s="139"/>
      <c r="AY267" s="139"/>
      <c r="AZ267" s="139"/>
      <c r="BA267" s="139"/>
      <c r="BB267" s="139"/>
      <c r="BC267" s="139"/>
      <c r="BD267" s="139"/>
      <c r="BE267" s="139"/>
      <c r="BF267" s="139"/>
      <c r="BG267" s="139"/>
      <c r="BH267" s="139"/>
    </row>
    <row r="268" spans="2:60" s="11" customFormat="1" ht="19.899999999999999" customHeight="1">
      <c r="B268" s="5590"/>
      <c r="C268" s="5598"/>
      <c r="D268" s="9598" t="s">
        <v>633</v>
      </c>
      <c r="E268" s="9600"/>
      <c r="F268" s="87" t="s">
        <v>255</v>
      </c>
      <c r="G268" s="253"/>
      <c r="H268" s="6192"/>
      <c r="I268" s="9582" t="s">
        <v>150</v>
      </c>
      <c r="J268" s="9583"/>
      <c r="K268" s="87" t="s">
        <v>255</v>
      </c>
      <c r="L268" s="5592">
        <v>31.1</v>
      </c>
      <c r="M268" s="5656"/>
      <c r="N268" s="5593">
        <v>48.5</v>
      </c>
      <c r="O268" s="5593"/>
      <c r="P268" s="5593">
        <v>26.9</v>
      </c>
      <c r="Q268" s="5593"/>
      <c r="R268" s="2468"/>
      <c r="S268" s="276"/>
      <c r="T268" s="99"/>
      <c r="U268" s="138"/>
      <c r="V268" s="138"/>
      <c r="W268" s="99"/>
      <c r="X268" s="264"/>
      <c r="Y268" s="277"/>
      <c r="Z268" s="187"/>
      <c r="AA268" s="6301"/>
      <c r="AB268" s="139"/>
      <c r="AC268" s="139"/>
      <c r="AD268" s="139"/>
      <c r="AE268" s="139"/>
      <c r="AF268" s="139"/>
      <c r="AG268" s="139"/>
      <c r="AH268" s="139"/>
      <c r="AI268" s="139"/>
      <c r="AJ268" s="139"/>
      <c r="AK268" s="139"/>
      <c r="AL268" s="139"/>
      <c r="AM268" s="139"/>
      <c r="AN268" s="139"/>
      <c r="AO268" s="139"/>
      <c r="AP268" s="139"/>
      <c r="AQ268" s="139"/>
      <c r="AR268" s="139"/>
      <c r="AS268" s="139"/>
      <c r="AT268" s="139"/>
      <c r="AU268" s="139"/>
      <c r="AV268" s="139"/>
      <c r="AW268" s="139"/>
      <c r="AX268" s="139"/>
      <c r="AY268" s="139"/>
      <c r="AZ268" s="139"/>
      <c r="BA268" s="139"/>
      <c r="BB268" s="139"/>
      <c r="BC268" s="139"/>
      <c r="BD268" s="139"/>
      <c r="BE268" s="139"/>
      <c r="BF268" s="139"/>
      <c r="BG268" s="139"/>
      <c r="BH268" s="139"/>
    </row>
    <row r="269" spans="2:60" s="11" customFormat="1" ht="20.100000000000001" customHeight="1">
      <c r="B269" s="1360"/>
      <c r="C269" s="5598"/>
      <c r="D269" s="9586" t="s">
        <v>270</v>
      </c>
      <c r="E269" s="9588"/>
      <c r="F269" s="295" t="s">
        <v>255</v>
      </c>
      <c r="G269" s="106"/>
      <c r="H269" s="6192"/>
      <c r="I269" s="9586" t="s">
        <v>271</v>
      </c>
      <c r="J269" s="9588"/>
      <c r="K269" s="87" t="s">
        <v>255</v>
      </c>
      <c r="L269" s="5653" t="str">
        <f>IF(COUNTBLANK(L270:L275)&gt;0,"미취합법인有",SUM(L270:L275))</f>
        <v>미취합법인有</v>
      </c>
      <c r="M269" s="5657"/>
      <c r="N269" s="5654" t="str">
        <f>IF(COUNTBLANK(N270:N275)&gt;0,"미취합법인有",SUM(N270:N275))</f>
        <v>미취합법인有</v>
      </c>
      <c r="O269" s="5663"/>
      <c r="P269" s="5781" t="str">
        <f>IF(COUNTBLANK(P270:P275)&gt;0,"미취합법인有",SUM(P270:P275))</f>
        <v>미취합법인有</v>
      </c>
      <c r="Q269" s="5654"/>
      <c r="R269" s="498"/>
      <c r="S269" s="367"/>
      <c r="T269" s="99" t="s">
        <v>206</v>
      </c>
      <c r="U269" s="138"/>
      <c r="V269" s="138"/>
      <c r="W269" s="99"/>
      <c r="X269" s="186" t="s">
        <v>269</v>
      </c>
      <c r="Y269" s="265"/>
      <c r="Z269" s="187"/>
      <c r="AA269" s="6301"/>
      <c r="AB269" s="139"/>
      <c r="AC269" s="139"/>
      <c r="AD269" s="139"/>
      <c r="AE269" s="139"/>
      <c r="AF269" s="139"/>
      <c r="AG269" s="139"/>
      <c r="AH269" s="139"/>
      <c r="AI269" s="139"/>
      <c r="AJ269" s="139"/>
      <c r="AK269" s="139"/>
      <c r="AL269" s="139"/>
      <c r="AM269" s="139"/>
      <c r="AN269" s="139"/>
      <c r="AO269" s="139"/>
      <c r="AP269" s="139"/>
      <c r="AQ269" s="139"/>
      <c r="AR269" s="139"/>
      <c r="AS269" s="139"/>
      <c r="AT269" s="139"/>
      <c r="AU269" s="139"/>
      <c r="AV269" s="139"/>
      <c r="AW269" s="139"/>
      <c r="AX269" s="139"/>
      <c r="AY269" s="139"/>
      <c r="AZ269" s="139"/>
      <c r="BA269" s="139"/>
      <c r="BB269" s="139"/>
      <c r="BC269" s="139"/>
      <c r="BD269" s="139"/>
      <c r="BE269" s="139"/>
      <c r="BF269" s="139"/>
      <c r="BG269" s="139"/>
      <c r="BH269" s="139"/>
    </row>
    <row r="270" spans="2:60" s="11" customFormat="1" ht="19.899999999999999" customHeight="1">
      <c r="B270" s="5590"/>
      <c r="C270" s="5598"/>
      <c r="D270" s="9598" t="s">
        <v>134</v>
      </c>
      <c r="E270" s="9600"/>
      <c r="F270" s="87" t="s">
        <v>255</v>
      </c>
      <c r="G270" s="253"/>
      <c r="H270" s="6192"/>
      <c r="I270" s="9579" t="s">
        <v>135</v>
      </c>
      <c r="J270" s="9581"/>
      <c r="K270" s="87" t="s">
        <v>255</v>
      </c>
      <c r="L270" s="5888">
        <v>1096.4000000000001</v>
      </c>
      <c r="M270" s="6053"/>
      <c r="N270" s="6054">
        <v>1304.46</v>
      </c>
      <c r="O270" s="6055" t="s">
        <v>668</v>
      </c>
      <c r="P270" s="6055">
        <v>1274.117</v>
      </c>
      <c r="Q270" s="5672"/>
      <c r="R270" s="2468"/>
      <c r="S270" s="276"/>
      <c r="T270" s="99"/>
      <c r="U270" s="138"/>
      <c r="V270" s="138"/>
      <c r="W270" s="99"/>
      <c r="X270" s="264"/>
      <c r="Y270" s="277"/>
      <c r="Z270" s="187"/>
      <c r="AA270" s="6301"/>
      <c r="AB270" s="139"/>
      <c r="AC270" s="139"/>
      <c r="AD270" s="139"/>
      <c r="AE270" s="139"/>
      <c r="AF270" s="139"/>
      <c r="AG270" s="139"/>
      <c r="AH270" s="139"/>
      <c r="AI270" s="139"/>
      <c r="AJ270" s="139"/>
      <c r="AK270" s="139"/>
      <c r="AL270" s="139"/>
      <c r="AM270" s="139"/>
      <c r="AN270" s="139"/>
      <c r="AO270" s="139"/>
      <c r="AP270" s="139"/>
      <c r="AQ270" s="139"/>
      <c r="AR270" s="139"/>
      <c r="AS270" s="139"/>
      <c r="AT270" s="139"/>
      <c r="AU270" s="139"/>
      <c r="AV270" s="139"/>
      <c r="AW270" s="139"/>
      <c r="AX270" s="139"/>
      <c r="AY270" s="139"/>
      <c r="AZ270" s="139"/>
      <c r="BA270" s="139"/>
      <c r="BB270" s="139"/>
      <c r="BC270" s="139"/>
      <c r="BD270" s="139"/>
      <c r="BE270" s="139"/>
      <c r="BF270" s="139"/>
      <c r="BG270" s="139"/>
      <c r="BH270" s="139"/>
    </row>
    <row r="271" spans="2:60" s="11" customFormat="1" ht="19.899999999999999" customHeight="1">
      <c r="B271" s="5590"/>
      <c r="C271" s="5598"/>
      <c r="D271" s="9598" t="s">
        <v>137</v>
      </c>
      <c r="E271" s="9600"/>
      <c r="F271" s="87" t="s">
        <v>255</v>
      </c>
      <c r="G271" s="253"/>
      <c r="H271" s="6192"/>
      <c r="I271" s="9579" t="s">
        <v>138</v>
      </c>
      <c r="J271" s="9581"/>
      <c r="K271" s="87" t="s">
        <v>255</v>
      </c>
      <c r="L271" s="5839"/>
      <c r="M271" s="5840"/>
      <c r="N271" s="6056"/>
      <c r="O271" s="6057"/>
      <c r="P271" s="5655"/>
      <c r="Q271" s="1814"/>
      <c r="R271" s="2468"/>
      <c r="S271" s="276"/>
      <c r="T271" s="99"/>
      <c r="U271" s="138"/>
      <c r="V271" s="138"/>
      <c r="W271" s="99"/>
      <c r="X271" s="264"/>
      <c r="Y271" s="277"/>
      <c r="Z271" s="187"/>
      <c r="AA271" s="6301"/>
      <c r="AB271" s="139"/>
      <c r="AC271" s="139"/>
      <c r="AD271" s="139"/>
      <c r="AE271" s="139"/>
      <c r="AF271" s="139"/>
      <c r="AG271" s="139"/>
      <c r="AH271" s="139"/>
      <c r="AI271" s="139"/>
      <c r="AJ271" s="139"/>
      <c r="AK271" s="139"/>
      <c r="AL271" s="139"/>
      <c r="AM271" s="139"/>
      <c r="AN271" s="139"/>
      <c r="AO271" s="139"/>
      <c r="AP271" s="139"/>
      <c r="AQ271" s="139"/>
      <c r="AR271" s="139"/>
      <c r="AS271" s="139"/>
      <c r="AT271" s="139"/>
      <c r="AU271" s="139"/>
      <c r="AV271" s="139"/>
      <c r="AW271" s="139"/>
      <c r="AX271" s="139"/>
      <c r="AY271" s="139"/>
      <c r="AZ271" s="139"/>
      <c r="BA271" s="139"/>
      <c r="BB271" s="139"/>
      <c r="BC271" s="139"/>
      <c r="BD271" s="139"/>
      <c r="BE271" s="139"/>
      <c r="BF271" s="139"/>
      <c r="BG271" s="139"/>
      <c r="BH271" s="139"/>
    </row>
    <row r="272" spans="2:60" s="11" customFormat="1" ht="19.899999999999999" customHeight="1">
      <c r="B272" s="5590"/>
      <c r="C272" s="5598"/>
      <c r="D272" s="9598" t="s">
        <v>140</v>
      </c>
      <c r="E272" s="9600"/>
      <c r="F272" s="87" t="s">
        <v>255</v>
      </c>
      <c r="G272" s="253"/>
      <c r="H272" s="6192"/>
      <c r="I272" s="9582" t="s">
        <v>141</v>
      </c>
      <c r="J272" s="9583"/>
      <c r="K272" s="87" t="s">
        <v>255</v>
      </c>
      <c r="L272" s="5324">
        <v>205.04103609538544</v>
      </c>
      <c r="M272" s="6058"/>
      <c r="N272" s="972">
        <v>175.98708298221584</v>
      </c>
      <c r="O272" s="5027"/>
      <c r="P272" s="5966">
        <v>177.00964109114165</v>
      </c>
      <c r="Q272" s="2554"/>
      <c r="R272" s="2468"/>
      <c r="S272" s="276"/>
      <c r="T272" s="99"/>
      <c r="U272" s="138"/>
      <c r="V272" s="138"/>
      <c r="W272" s="99"/>
      <c r="X272" s="264"/>
      <c r="Y272" s="277"/>
      <c r="Z272" s="187"/>
      <c r="AA272" s="6301"/>
      <c r="AB272" s="139"/>
      <c r="AC272" s="139"/>
      <c r="AD272" s="139"/>
      <c r="AE272" s="139"/>
      <c r="AF272" s="139"/>
      <c r="AG272" s="139"/>
      <c r="AH272" s="139"/>
      <c r="AI272" s="139"/>
      <c r="AJ272" s="139"/>
      <c r="AK272" s="139"/>
      <c r="AL272" s="139"/>
      <c r="AM272" s="139"/>
      <c r="AN272" s="139"/>
      <c r="AO272" s="139"/>
      <c r="AP272" s="139"/>
      <c r="AQ272" s="139"/>
      <c r="AR272" s="139"/>
      <c r="AS272" s="139"/>
      <c r="AT272" s="139"/>
      <c r="AU272" s="139"/>
      <c r="AV272" s="139"/>
      <c r="AW272" s="139"/>
      <c r="AX272" s="139"/>
      <c r="AY272" s="139"/>
      <c r="AZ272" s="139"/>
      <c r="BA272" s="139"/>
      <c r="BB272" s="139"/>
      <c r="BC272" s="139"/>
      <c r="BD272" s="139"/>
      <c r="BE272" s="139"/>
      <c r="BF272" s="139"/>
      <c r="BG272" s="139"/>
      <c r="BH272" s="139"/>
    </row>
    <row r="273" spans="2:60" s="11" customFormat="1" ht="19.899999999999999" customHeight="1">
      <c r="B273" s="5590"/>
      <c r="C273" s="5598"/>
      <c r="D273" s="9598" t="s">
        <v>143</v>
      </c>
      <c r="E273" s="9600"/>
      <c r="F273" s="87" t="s">
        <v>255</v>
      </c>
      <c r="G273" s="253"/>
      <c r="H273" s="6192"/>
      <c r="I273" s="9582" t="s">
        <v>144</v>
      </c>
      <c r="J273" s="9583"/>
      <c r="K273" s="87" t="s">
        <v>255</v>
      </c>
      <c r="L273" s="5649">
        <v>54.037363380335201</v>
      </c>
      <c r="M273" s="5674" t="s">
        <v>669</v>
      </c>
      <c r="N273" s="1514">
        <v>117.93083850502801</v>
      </c>
      <c r="O273" s="5593"/>
      <c r="P273" s="1514">
        <v>131.92724031512199</v>
      </c>
      <c r="Q273" s="5593"/>
      <c r="R273" s="2468"/>
      <c r="S273" s="276"/>
      <c r="T273" s="99"/>
      <c r="U273" s="138"/>
      <c r="V273" s="138"/>
      <c r="W273" s="99"/>
      <c r="X273" s="264"/>
      <c r="Y273" s="277"/>
      <c r="Z273" s="187"/>
      <c r="AA273" s="6301"/>
      <c r="AB273" s="139"/>
      <c r="AC273" s="139"/>
      <c r="AD273" s="139"/>
      <c r="AE273" s="139"/>
      <c r="AF273" s="139"/>
      <c r="AG273" s="139"/>
      <c r="AH273" s="139"/>
      <c r="AI273" s="139"/>
      <c r="AJ273" s="139"/>
      <c r="AK273" s="139"/>
      <c r="AL273" s="139"/>
      <c r="AM273" s="139"/>
      <c r="AN273" s="139"/>
      <c r="AO273" s="139"/>
      <c r="AP273" s="139"/>
      <c r="AQ273" s="139"/>
      <c r="AR273" s="139"/>
      <c r="AS273" s="139"/>
      <c r="AT273" s="139"/>
      <c r="AU273" s="139"/>
      <c r="AV273" s="139"/>
      <c r="AW273" s="139"/>
      <c r="AX273" s="139"/>
      <c r="AY273" s="139"/>
      <c r="AZ273" s="139"/>
      <c r="BA273" s="139"/>
      <c r="BB273" s="139"/>
      <c r="BC273" s="139"/>
      <c r="BD273" s="139"/>
      <c r="BE273" s="139"/>
      <c r="BF273" s="139"/>
      <c r="BG273" s="139"/>
      <c r="BH273" s="139"/>
    </row>
    <row r="274" spans="2:60" s="11" customFormat="1" ht="19.899999999999999" customHeight="1">
      <c r="B274" s="5590"/>
      <c r="C274" s="5598"/>
      <c r="D274" s="9598" t="s">
        <v>631</v>
      </c>
      <c r="E274" s="9600"/>
      <c r="F274" s="87" t="s">
        <v>255</v>
      </c>
      <c r="G274" s="253"/>
      <c r="H274" s="6192"/>
      <c r="I274" s="9582" t="s">
        <v>147</v>
      </c>
      <c r="J274" s="9583"/>
      <c r="K274" s="87" t="s">
        <v>255</v>
      </c>
      <c r="L274" s="5967" t="s">
        <v>168</v>
      </c>
      <c r="M274" s="5656" t="s">
        <v>641</v>
      </c>
      <c r="N274" s="5593" t="s">
        <v>168</v>
      </c>
      <c r="O274" s="5593" t="s">
        <v>641</v>
      </c>
      <c r="P274" s="5593" t="s">
        <v>168</v>
      </c>
      <c r="Q274" s="5593" t="s">
        <v>641</v>
      </c>
      <c r="R274" s="2468"/>
      <c r="S274" s="276"/>
      <c r="T274" s="99"/>
      <c r="U274" s="138"/>
      <c r="V274" s="138"/>
      <c r="W274" s="99"/>
      <c r="X274" s="264"/>
      <c r="Y274" s="277"/>
      <c r="Z274" s="187"/>
      <c r="AA274" s="6301"/>
      <c r="AB274" s="139"/>
      <c r="AC274" s="139"/>
      <c r="AD274" s="139"/>
      <c r="AE274" s="139"/>
      <c r="AF274" s="139"/>
      <c r="AG274" s="139"/>
      <c r="AH274" s="139"/>
      <c r="AI274" s="139"/>
      <c r="AJ274" s="139"/>
      <c r="AK274" s="139"/>
      <c r="AL274" s="139"/>
      <c r="AM274" s="139"/>
      <c r="AN274" s="139"/>
      <c r="AO274" s="139"/>
      <c r="AP274" s="139"/>
      <c r="AQ274" s="139"/>
      <c r="AR274" s="139"/>
      <c r="AS274" s="139"/>
      <c r="AT274" s="139"/>
      <c r="AU274" s="139"/>
      <c r="AV274" s="139"/>
      <c r="AW274" s="139"/>
      <c r="AX274" s="139"/>
      <c r="AY274" s="139"/>
      <c r="AZ274" s="139"/>
      <c r="BA274" s="139"/>
      <c r="BB274" s="139"/>
      <c r="BC274" s="139"/>
      <c r="BD274" s="139"/>
      <c r="BE274" s="139"/>
      <c r="BF274" s="139"/>
      <c r="BG274" s="139"/>
      <c r="BH274" s="139"/>
    </row>
    <row r="275" spans="2:60" s="11" customFormat="1" ht="19.899999999999999" customHeight="1">
      <c r="B275" s="5590"/>
      <c r="C275" s="5598"/>
      <c r="D275" s="9598" t="s">
        <v>633</v>
      </c>
      <c r="E275" s="9600"/>
      <c r="F275" s="87" t="s">
        <v>255</v>
      </c>
      <c r="G275" s="253"/>
      <c r="H275" s="6192"/>
      <c r="I275" s="9582" t="s">
        <v>150</v>
      </c>
      <c r="J275" s="9583"/>
      <c r="K275" s="87" t="s">
        <v>255</v>
      </c>
      <c r="L275" s="5592">
        <v>131.99</v>
      </c>
      <c r="M275" s="5656"/>
      <c r="N275" s="5593">
        <v>141.77000000000001</v>
      </c>
      <c r="O275" s="5593"/>
      <c r="P275" s="5593">
        <v>122.6</v>
      </c>
      <c r="Q275" s="5593"/>
      <c r="R275" s="2468"/>
      <c r="S275" s="276"/>
      <c r="T275" s="99"/>
      <c r="U275" s="138"/>
      <c r="V275" s="138"/>
      <c r="W275" s="99"/>
      <c r="X275" s="264"/>
      <c r="Y275" s="277"/>
      <c r="Z275" s="187"/>
      <c r="AA275" s="6301"/>
      <c r="AB275" s="139"/>
      <c r="AC275" s="139"/>
      <c r="AD275" s="139"/>
      <c r="AE275" s="139"/>
      <c r="AF275" s="139"/>
      <c r="AG275" s="139"/>
      <c r="AH275" s="139"/>
      <c r="AI275" s="139"/>
      <c r="AJ275" s="139"/>
      <c r="AK275" s="139"/>
      <c r="AL275" s="139"/>
      <c r="AM275" s="139"/>
      <c r="AN275" s="139"/>
      <c r="AO275" s="139"/>
      <c r="AP275" s="139"/>
      <c r="AQ275" s="139"/>
      <c r="AR275" s="139"/>
      <c r="AS275" s="139"/>
      <c r="AT275" s="139"/>
      <c r="AU275" s="139"/>
      <c r="AV275" s="139"/>
      <c r="AW275" s="139"/>
      <c r="AX275" s="139"/>
      <c r="AY275" s="139"/>
      <c r="AZ275" s="139"/>
      <c r="BA275" s="139"/>
      <c r="BB275" s="139"/>
      <c r="BC275" s="139"/>
      <c r="BD275" s="139"/>
      <c r="BE275" s="139"/>
      <c r="BF275" s="139"/>
      <c r="BG275" s="139"/>
      <c r="BH275" s="139"/>
    </row>
    <row r="276" spans="2:60" s="11" customFormat="1" ht="20.100000000000001" customHeight="1">
      <c r="B276" s="1360"/>
      <c r="C276" s="9596" t="s">
        <v>675</v>
      </c>
      <c r="D276" s="9597"/>
      <c r="E276" s="9592"/>
      <c r="F276" s="280" t="s">
        <v>255</v>
      </c>
      <c r="G276" s="349"/>
      <c r="H276" s="9591" t="s">
        <v>274</v>
      </c>
      <c r="I276" s="9597"/>
      <c r="J276" s="9592"/>
      <c r="K276" s="87" t="s">
        <v>255</v>
      </c>
      <c r="L276" s="5653">
        <f>IF(COUNTBLANK(L277:L282)&gt;0,"미취합법인有",SUM(L277:L282))</f>
        <v>87.456875595606604</v>
      </c>
      <c r="M276" s="5657"/>
      <c r="N276" s="5654">
        <f>IF(COUNTBLANK(N277:N282)&gt;0,"미취합법인有",SUM(N277:N282))</f>
        <v>81.303974009327803</v>
      </c>
      <c r="O276" s="5663"/>
      <c r="P276" s="5781">
        <f>IF(COUNTBLANK(P277:P282)&gt;0,"미취합법인有",SUM(P277:P282))</f>
        <v>88.372129660195171</v>
      </c>
      <c r="Q276" s="5654"/>
      <c r="R276" s="2468" t="s">
        <v>676</v>
      </c>
      <c r="S276" s="263" t="s">
        <v>276</v>
      </c>
      <c r="T276" s="99" t="s">
        <v>206</v>
      </c>
      <c r="U276" s="138"/>
      <c r="V276" s="138"/>
      <c r="W276" s="99"/>
      <c r="X276" s="336" t="s">
        <v>280</v>
      </c>
      <c r="Y276" s="265"/>
      <c r="Z276" s="187"/>
      <c r="AA276" s="6301"/>
      <c r="AB276" s="139"/>
      <c r="AC276" s="139"/>
      <c r="AD276" s="139"/>
      <c r="AE276" s="139"/>
      <c r="AF276" s="139"/>
      <c r="AG276" s="139"/>
      <c r="AH276" s="139"/>
      <c r="AI276" s="139"/>
      <c r="AJ276" s="139"/>
      <c r="AK276" s="139"/>
      <c r="AL276" s="139"/>
      <c r="AM276" s="139"/>
      <c r="AN276" s="139"/>
      <c r="AO276" s="139"/>
      <c r="AP276" s="139"/>
      <c r="AQ276" s="139"/>
      <c r="AR276" s="139"/>
      <c r="AS276" s="139"/>
      <c r="AT276" s="139"/>
      <c r="AU276" s="139"/>
      <c r="AV276" s="139"/>
      <c r="AW276" s="139"/>
      <c r="AX276" s="139"/>
      <c r="AY276" s="139"/>
      <c r="AZ276" s="139"/>
      <c r="BA276" s="139"/>
      <c r="BB276" s="139"/>
      <c r="BC276" s="139"/>
      <c r="BD276" s="139"/>
      <c r="BE276" s="139"/>
      <c r="BF276" s="139"/>
      <c r="BG276" s="139"/>
      <c r="BH276" s="139"/>
    </row>
    <row r="277" spans="2:60" s="11" customFormat="1" ht="19.899999999999999" customHeight="1">
      <c r="B277" s="5590"/>
      <c r="C277" s="9647" t="s">
        <v>134</v>
      </c>
      <c r="D277" s="9648"/>
      <c r="E277" s="9649"/>
      <c r="F277" s="87" t="s">
        <v>255</v>
      </c>
      <c r="G277" s="253"/>
      <c r="H277" s="9579" t="s">
        <v>135</v>
      </c>
      <c r="I277" s="9580"/>
      <c r="J277" s="9581"/>
      <c r="K277" s="87" t="s">
        <v>255</v>
      </c>
      <c r="L277" s="5592">
        <v>0</v>
      </c>
      <c r="M277" s="5656" t="s">
        <v>369</v>
      </c>
      <c r="N277" s="5593">
        <v>0</v>
      </c>
      <c r="O277" s="5664" t="s">
        <v>369</v>
      </c>
      <c r="P277" s="5655">
        <v>0</v>
      </c>
      <c r="Q277" s="5593" t="s">
        <v>369</v>
      </c>
      <c r="R277" s="1033"/>
      <c r="S277" s="263"/>
      <c r="T277" s="99"/>
      <c r="U277" s="138"/>
      <c r="V277" s="138"/>
      <c r="W277" s="99"/>
      <c r="X277" s="264"/>
      <c r="Y277" s="277"/>
      <c r="Z277" s="187"/>
      <c r="AA277" s="6301"/>
      <c r="AB277" s="139"/>
      <c r="AC277" s="139"/>
      <c r="AD277" s="139"/>
      <c r="AE277" s="139"/>
      <c r="AF277" s="139"/>
      <c r="AG277" s="139"/>
      <c r="AH277" s="139"/>
      <c r="AI277" s="139"/>
      <c r="AJ277" s="139"/>
      <c r="AK277" s="139"/>
      <c r="AL277" s="139"/>
      <c r="AM277" s="139"/>
      <c r="AN277" s="139"/>
      <c r="AO277" s="139"/>
      <c r="AP277" s="139"/>
      <c r="AQ277" s="139"/>
      <c r="AR277" s="139"/>
      <c r="AS277" s="139"/>
      <c r="AT277" s="139"/>
      <c r="AU277" s="139"/>
      <c r="AV277" s="139"/>
      <c r="AW277" s="139"/>
      <c r="AX277" s="139"/>
      <c r="AY277" s="139"/>
      <c r="AZ277" s="139"/>
      <c r="BA277" s="139"/>
      <c r="BB277" s="139"/>
      <c r="BC277" s="139"/>
      <c r="BD277" s="139"/>
      <c r="BE277" s="139"/>
      <c r="BF277" s="139"/>
      <c r="BG277" s="139"/>
      <c r="BH277" s="139"/>
    </row>
    <row r="278" spans="2:60" s="11" customFormat="1" ht="19.899999999999999" customHeight="1">
      <c r="B278" s="5590"/>
      <c r="C278" s="9647" t="s">
        <v>137</v>
      </c>
      <c r="D278" s="9648"/>
      <c r="E278" s="9649"/>
      <c r="F278" s="87" t="s">
        <v>255</v>
      </c>
      <c r="G278" s="253"/>
      <c r="H278" s="9579" t="s">
        <v>138</v>
      </c>
      <c r="I278" s="9580"/>
      <c r="J278" s="9581"/>
      <c r="K278" s="87" t="s">
        <v>255</v>
      </c>
      <c r="L278" s="5592">
        <v>0</v>
      </c>
      <c r="M278" s="5656"/>
      <c r="N278" s="5593">
        <v>0</v>
      </c>
      <c r="O278" s="5593"/>
      <c r="P278" s="5593">
        <v>0</v>
      </c>
      <c r="Q278" s="5593"/>
      <c r="R278" s="1033"/>
      <c r="S278" s="263"/>
      <c r="T278" s="99"/>
      <c r="U278" s="138"/>
      <c r="V278" s="138"/>
      <c r="W278" s="99"/>
      <c r="X278" s="264"/>
      <c r="Y278" s="277"/>
      <c r="Z278" s="187"/>
      <c r="AA278" s="6301"/>
      <c r="AB278" s="139"/>
      <c r="AC278" s="139"/>
      <c r="AD278" s="139"/>
      <c r="AE278" s="139"/>
      <c r="AF278" s="139"/>
      <c r="AG278" s="139"/>
      <c r="AH278" s="139"/>
      <c r="AI278" s="139"/>
      <c r="AJ278" s="139"/>
      <c r="AK278" s="139"/>
      <c r="AL278" s="139"/>
      <c r="AM278" s="139"/>
      <c r="AN278" s="139"/>
      <c r="AO278" s="139"/>
      <c r="AP278" s="139"/>
      <c r="AQ278" s="139"/>
      <c r="AR278" s="139"/>
      <c r="AS278" s="139"/>
      <c r="AT278" s="139"/>
      <c r="AU278" s="139"/>
      <c r="AV278" s="139"/>
      <c r="AW278" s="139"/>
      <c r="AX278" s="139"/>
      <c r="AY278" s="139"/>
      <c r="AZ278" s="139"/>
      <c r="BA278" s="139"/>
      <c r="BB278" s="139"/>
      <c r="BC278" s="139"/>
      <c r="BD278" s="139"/>
      <c r="BE278" s="139"/>
      <c r="BF278" s="139"/>
      <c r="BG278" s="139"/>
      <c r="BH278" s="139"/>
    </row>
    <row r="279" spans="2:60" s="11" customFormat="1" ht="19.899999999999999" customHeight="1">
      <c r="B279" s="5590"/>
      <c r="C279" s="9647" t="s">
        <v>140</v>
      </c>
      <c r="D279" s="9648"/>
      <c r="E279" s="9649"/>
      <c r="F279" s="87" t="s">
        <v>255</v>
      </c>
      <c r="G279" s="253"/>
      <c r="H279" s="9579" t="s">
        <v>141</v>
      </c>
      <c r="I279" s="9580"/>
      <c r="J279" s="9581"/>
      <c r="K279" s="87" t="s">
        <v>255</v>
      </c>
      <c r="L279" s="5592">
        <v>87.456875595606604</v>
      </c>
      <c r="M279" s="5656"/>
      <c r="N279" s="5593">
        <v>81.303974009327803</v>
      </c>
      <c r="O279" s="5593"/>
      <c r="P279" s="5593">
        <v>88.372129660195171</v>
      </c>
      <c r="Q279" s="5593"/>
      <c r="R279" s="1033"/>
      <c r="S279" s="263"/>
      <c r="T279" s="99"/>
      <c r="U279" s="138"/>
      <c r="V279" s="138"/>
      <c r="W279" s="99"/>
      <c r="X279" s="264"/>
      <c r="Y279" s="277"/>
      <c r="Z279" s="187"/>
      <c r="AA279" s="6301"/>
      <c r="AB279" s="139"/>
      <c r="AC279" s="139"/>
      <c r="AD279" s="139"/>
      <c r="AE279" s="139"/>
      <c r="AF279" s="139"/>
      <c r="AG279" s="139"/>
      <c r="AH279" s="139"/>
      <c r="AI279" s="139"/>
      <c r="AJ279" s="139"/>
      <c r="AK279" s="139"/>
      <c r="AL279" s="139"/>
      <c r="AM279" s="139"/>
      <c r="AN279" s="139"/>
      <c r="AO279" s="139"/>
      <c r="AP279" s="139"/>
      <c r="AQ279" s="139"/>
      <c r="AR279" s="139"/>
      <c r="AS279" s="139"/>
      <c r="AT279" s="139"/>
      <c r="AU279" s="139"/>
      <c r="AV279" s="139"/>
      <c r="AW279" s="139"/>
      <c r="AX279" s="139"/>
      <c r="AY279" s="139"/>
      <c r="AZ279" s="139"/>
      <c r="BA279" s="139"/>
      <c r="BB279" s="139"/>
      <c r="BC279" s="139"/>
      <c r="BD279" s="139"/>
      <c r="BE279" s="139"/>
      <c r="BF279" s="139"/>
      <c r="BG279" s="139"/>
      <c r="BH279" s="139"/>
    </row>
    <row r="280" spans="2:60" s="11" customFormat="1" ht="19.899999999999999" customHeight="1">
      <c r="B280" s="5590"/>
      <c r="C280" s="9647" t="s">
        <v>143</v>
      </c>
      <c r="D280" s="9648"/>
      <c r="E280" s="9649"/>
      <c r="F280" s="87" t="s">
        <v>255</v>
      </c>
      <c r="G280" s="253"/>
      <c r="H280" s="9579" t="s">
        <v>144</v>
      </c>
      <c r="I280" s="9580"/>
      <c r="J280" s="9581"/>
      <c r="K280" s="87" t="s">
        <v>255</v>
      </c>
      <c r="L280" s="5592">
        <v>0</v>
      </c>
      <c r="M280" s="5656"/>
      <c r="N280" s="5593">
        <v>0</v>
      </c>
      <c r="O280" s="5593"/>
      <c r="P280" s="5593">
        <v>0</v>
      </c>
      <c r="Q280" s="5593"/>
      <c r="R280" s="1033"/>
      <c r="S280" s="263"/>
      <c r="T280" s="99"/>
      <c r="U280" s="138"/>
      <c r="V280" s="138"/>
      <c r="W280" s="99"/>
      <c r="X280" s="264"/>
      <c r="Y280" s="277"/>
      <c r="Z280" s="187"/>
      <c r="AA280" s="6301"/>
      <c r="AB280" s="139"/>
      <c r="AC280" s="139"/>
      <c r="AD280" s="139"/>
      <c r="AE280" s="139"/>
      <c r="AF280" s="139"/>
      <c r="AG280" s="139"/>
      <c r="AH280" s="139"/>
      <c r="AI280" s="139"/>
      <c r="AJ280" s="139"/>
      <c r="AK280" s="139"/>
      <c r="AL280" s="139"/>
      <c r="AM280" s="139"/>
      <c r="AN280" s="139"/>
      <c r="AO280" s="139"/>
      <c r="AP280" s="139"/>
      <c r="AQ280" s="139"/>
      <c r="AR280" s="139"/>
      <c r="AS280" s="139"/>
      <c r="AT280" s="139"/>
      <c r="AU280" s="139"/>
      <c r="AV280" s="139"/>
      <c r="AW280" s="139"/>
      <c r="AX280" s="139"/>
      <c r="AY280" s="139"/>
      <c r="AZ280" s="139"/>
      <c r="BA280" s="139"/>
      <c r="BB280" s="139"/>
      <c r="BC280" s="139"/>
      <c r="BD280" s="139"/>
      <c r="BE280" s="139"/>
      <c r="BF280" s="139"/>
      <c r="BG280" s="139"/>
      <c r="BH280" s="139"/>
    </row>
    <row r="281" spans="2:60" s="11" customFormat="1" ht="19.899999999999999" customHeight="1">
      <c r="B281" s="5590"/>
      <c r="C281" s="9647" t="s">
        <v>631</v>
      </c>
      <c r="D281" s="9648"/>
      <c r="E281" s="9649"/>
      <c r="F281" s="87" t="s">
        <v>255</v>
      </c>
      <c r="G281" s="253"/>
      <c r="H281" s="9579" t="s">
        <v>147</v>
      </c>
      <c r="I281" s="9580"/>
      <c r="J281" s="9581"/>
      <c r="K281" s="87" t="s">
        <v>255</v>
      </c>
      <c r="L281" s="5967" t="s">
        <v>168</v>
      </c>
      <c r="M281" s="5656" t="s">
        <v>641</v>
      </c>
      <c r="N281" s="5593" t="s">
        <v>168</v>
      </c>
      <c r="O281" s="5593" t="s">
        <v>641</v>
      </c>
      <c r="P281" s="5593" t="s">
        <v>168</v>
      </c>
      <c r="Q281" s="5593" t="s">
        <v>641</v>
      </c>
      <c r="R281" s="1033"/>
      <c r="S281" s="263"/>
      <c r="T281" s="99"/>
      <c r="U281" s="138"/>
      <c r="V281" s="138"/>
      <c r="W281" s="99"/>
      <c r="X281" s="264"/>
      <c r="Y281" s="277"/>
      <c r="Z281" s="187"/>
      <c r="AA281" s="6301"/>
      <c r="AB281" s="139"/>
      <c r="AC281" s="139"/>
      <c r="AD281" s="139"/>
      <c r="AE281" s="139"/>
      <c r="AF281" s="139"/>
      <c r="AG281" s="139"/>
      <c r="AH281" s="139"/>
      <c r="AI281" s="139"/>
      <c r="AJ281" s="139"/>
      <c r="AK281" s="139"/>
      <c r="AL281" s="139"/>
      <c r="AM281" s="139"/>
      <c r="AN281" s="139"/>
      <c r="AO281" s="139"/>
      <c r="AP281" s="139"/>
      <c r="AQ281" s="139"/>
      <c r="AR281" s="139"/>
      <c r="AS281" s="139"/>
      <c r="AT281" s="139"/>
      <c r="AU281" s="139"/>
      <c r="AV281" s="139"/>
      <c r="AW281" s="139"/>
      <c r="AX281" s="139"/>
      <c r="AY281" s="139"/>
      <c r="AZ281" s="139"/>
      <c r="BA281" s="139"/>
      <c r="BB281" s="139"/>
      <c r="BC281" s="139"/>
      <c r="BD281" s="139"/>
      <c r="BE281" s="139"/>
      <c r="BF281" s="139"/>
      <c r="BG281" s="139"/>
      <c r="BH281" s="139"/>
    </row>
    <row r="282" spans="2:60" s="11" customFormat="1" ht="19.899999999999999" customHeight="1">
      <c r="B282" s="5590"/>
      <c r="C282" s="9647" t="s">
        <v>633</v>
      </c>
      <c r="D282" s="9648"/>
      <c r="E282" s="9649"/>
      <c r="F282" s="87" t="s">
        <v>255</v>
      </c>
      <c r="G282" s="253"/>
      <c r="H282" s="9579" t="s">
        <v>150</v>
      </c>
      <c r="I282" s="9580"/>
      <c r="J282" s="9581"/>
      <c r="K282" s="87" t="s">
        <v>255</v>
      </c>
      <c r="L282" s="5967" t="s">
        <v>168</v>
      </c>
      <c r="M282" s="5656" t="s">
        <v>641</v>
      </c>
      <c r="N282" s="5593" t="s">
        <v>168</v>
      </c>
      <c r="O282" s="5593" t="s">
        <v>641</v>
      </c>
      <c r="P282" s="5593" t="s">
        <v>168</v>
      </c>
      <c r="Q282" s="5593" t="s">
        <v>641</v>
      </c>
      <c r="R282" s="1033"/>
      <c r="S282" s="263"/>
      <c r="T282" s="99"/>
      <c r="U282" s="138"/>
      <c r="V282" s="138"/>
      <c r="W282" s="99"/>
      <c r="X282" s="264"/>
      <c r="Y282" s="277"/>
      <c r="Z282" s="187"/>
      <c r="AA282" s="6301"/>
      <c r="AB282" s="139"/>
      <c r="AC282" s="139"/>
      <c r="AD282" s="139"/>
      <c r="AE282" s="139"/>
      <c r="AF282" s="139"/>
      <c r="AG282" s="139"/>
      <c r="AH282" s="139"/>
      <c r="AI282" s="139"/>
      <c r="AJ282" s="139"/>
      <c r="AK282" s="139"/>
      <c r="AL282" s="139"/>
      <c r="AM282" s="139"/>
      <c r="AN282" s="139"/>
      <c r="AO282" s="139"/>
      <c r="AP282" s="139"/>
      <c r="AQ282" s="139"/>
      <c r="AR282" s="139"/>
      <c r="AS282" s="139"/>
      <c r="AT282" s="139"/>
      <c r="AU282" s="139"/>
      <c r="AV282" s="139"/>
      <c r="AW282" s="139"/>
      <c r="AX282" s="139"/>
      <c r="AY282" s="139"/>
      <c r="AZ282" s="139"/>
      <c r="BA282" s="139"/>
      <c r="BB282" s="139"/>
      <c r="BC282" s="139"/>
      <c r="BD282" s="139"/>
      <c r="BE282" s="139"/>
      <c r="BF282" s="139"/>
      <c r="BG282" s="139"/>
      <c r="BH282" s="139"/>
    </row>
    <row r="283" spans="2:60" s="11" customFormat="1" ht="20.100000000000001" customHeight="1">
      <c r="B283" s="1360"/>
      <c r="C283" s="5598"/>
      <c r="D283" s="9586" t="s">
        <v>278</v>
      </c>
      <c r="E283" s="9588"/>
      <c r="F283" s="280" t="s">
        <v>255</v>
      </c>
      <c r="G283" s="347"/>
      <c r="H283" s="358"/>
      <c r="I283" s="9586" t="s">
        <v>279</v>
      </c>
      <c r="J283" s="9588"/>
      <c r="K283" s="280" t="s">
        <v>255</v>
      </c>
      <c r="L283" s="5653" t="str">
        <f>IF(COUNTBLANK(L284:L289)&gt;0,"미취합법인有",SUM(L284:L289))</f>
        <v>미취합법인有</v>
      </c>
      <c r="M283" s="5657"/>
      <c r="N283" s="5654" t="str">
        <f>IF(COUNTBLANK(N284:N289)&gt;0,"미취합법인有",SUM(N284:N289))</f>
        <v>미취합법인有</v>
      </c>
      <c r="O283" s="5663"/>
      <c r="P283" s="5781" t="str">
        <f>IF(COUNTBLANK(P284:P289)&gt;0,"미취합법인有",SUM(P284:P289))</f>
        <v>미취합법인有</v>
      </c>
      <c r="Q283" s="5654"/>
      <c r="R283" s="2468"/>
      <c r="S283" s="276"/>
      <c r="T283" s="99" t="s">
        <v>206</v>
      </c>
      <c r="U283" s="138"/>
      <c r="V283" s="138"/>
      <c r="W283" s="99"/>
      <c r="X283" s="336" t="s">
        <v>280</v>
      </c>
      <c r="Y283" s="265"/>
      <c r="Z283" s="187"/>
      <c r="AA283" s="6301"/>
      <c r="AB283" s="139"/>
      <c r="AC283" s="139"/>
      <c r="AD283" s="139"/>
      <c r="AE283" s="139"/>
      <c r="AF283" s="139"/>
      <c r="AG283" s="139"/>
      <c r="AH283" s="139"/>
      <c r="AI283" s="139"/>
      <c r="AJ283" s="139"/>
      <c r="AK283" s="139"/>
      <c r="AL283" s="139"/>
      <c r="AM283" s="139"/>
      <c r="AN283" s="139"/>
      <c r="AO283" s="139"/>
      <c r="AP283" s="139"/>
      <c r="AQ283" s="139"/>
      <c r="AR283" s="139"/>
      <c r="AS283" s="139"/>
      <c r="AT283" s="139"/>
      <c r="AU283" s="139"/>
      <c r="AV283" s="139"/>
      <c r="AW283" s="139"/>
      <c r="AX283" s="139"/>
      <c r="AY283" s="139"/>
      <c r="AZ283" s="139"/>
      <c r="BA283" s="139"/>
      <c r="BB283" s="139"/>
      <c r="BC283" s="139"/>
      <c r="BD283" s="139"/>
      <c r="BE283" s="139"/>
      <c r="BF283" s="139"/>
      <c r="BG283" s="139"/>
      <c r="BH283" s="139"/>
    </row>
    <row r="284" spans="2:60" s="11" customFormat="1" ht="19.899999999999999" customHeight="1">
      <c r="B284" s="5590"/>
      <c r="C284" s="5598"/>
      <c r="D284" s="9598" t="s">
        <v>134</v>
      </c>
      <c r="E284" s="9600"/>
      <c r="F284" s="87" t="s">
        <v>255</v>
      </c>
      <c r="G284" s="253"/>
      <c r="H284" s="286"/>
      <c r="I284" s="9579" t="s">
        <v>135</v>
      </c>
      <c r="J284" s="9581"/>
      <c r="K284" s="280" t="s">
        <v>255</v>
      </c>
      <c r="L284" s="5670"/>
      <c r="M284" s="5671" t="s">
        <v>369</v>
      </c>
      <c r="N284" s="5672"/>
      <c r="O284" s="5673" t="s">
        <v>369</v>
      </c>
      <c r="P284" s="5673"/>
      <c r="Q284" s="5672" t="s">
        <v>369</v>
      </c>
      <c r="R284" s="2468"/>
      <c r="S284" s="276"/>
      <c r="T284" s="99"/>
      <c r="U284" s="138"/>
      <c r="V284" s="138"/>
      <c r="W284" s="99"/>
      <c r="X284" s="264"/>
      <c r="Y284" s="277"/>
      <c r="Z284" s="187"/>
      <c r="AA284" s="6301"/>
      <c r="AB284" s="139"/>
      <c r="AC284" s="139"/>
      <c r="AD284" s="139"/>
      <c r="AE284" s="139"/>
      <c r="AF284" s="139"/>
      <c r="AG284" s="139"/>
      <c r="AH284" s="139"/>
      <c r="AI284" s="139"/>
      <c r="AJ284" s="139"/>
      <c r="AK284" s="139"/>
      <c r="AL284" s="139"/>
      <c r="AM284" s="139"/>
      <c r="AN284" s="139"/>
      <c r="AO284" s="139"/>
      <c r="AP284" s="139"/>
      <c r="AQ284" s="139"/>
      <c r="AR284" s="139"/>
      <c r="AS284" s="139"/>
      <c r="AT284" s="139"/>
      <c r="AU284" s="139"/>
      <c r="AV284" s="139"/>
      <c r="AW284" s="139"/>
      <c r="AX284" s="139"/>
      <c r="AY284" s="139"/>
      <c r="AZ284" s="139"/>
      <c r="BA284" s="139"/>
      <c r="BB284" s="139"/>
      <c r="BC284" s="139"/>
      <c r="BD284" s="139"/>
      <c r="BE284" s="139"/>
      <c r="BF284" s="139"/>
      <c r="BG284" s="139"/>
      <c r="BH284" s="139"/>
    </row>
    <row r="285" spans="2:60" s="11" customFormat="1" ht="19.899999999999999" customHeight="1">
      <c r="B285" s="5590"/>
      <c r="C285" s="5598"/>
      <c r="D285" s="9598" t="s">
        <v>137</v>
      </c>
      <c r="E285" s="9600"/>
      <c r="F285" s="87" t="s">
        <v>255</v>
      </c>
      <c r="G285" s="253"/>
      <c r="H285" s="286"/>
      <c r="I285" s="9579" t="s">
        <v>138</v>
      </c>
      <c r="J285" s="9581"/>
      <c r="K285" s="280" t="s">
        <v>255</v>
      </c>
      <c r="L285" s="5594"/>
      <c r="M285" s="5658"/>
      <c r="N285" s="1814"/>
      <c r="O285" s="5302"/>
      <c r="P285" s="5595"/>
      <c r="Q285" s="1814"/>
      <c r="R285" s="2468"/>
      <c r="S285" s="276"/>
      <c r="T285" s="99"/>
      <c r="U285" s="138"/>
      <c r="V285" s="138"/>
      <c r="W285" s="99"/>
      <c r="X285" s="264"/>
      <c r="Y285" s="277"/>
      <c r="Z285" s="187"/>
      <c r="AA285" s="6301"/>
      <c r="AB285" s="139"/>
      <c r="AC285" s="139"/>
      <c r="AD285" s="139"/>
      <c r="AE285" s="139"/>
      <c r="AF285" s="139"/>
      <c r="AG285" s="139"/>
      <c r="AH285" s="139"/>
      <c r="AI285" s="139"/>
      <c r="AJ285" s="139"/>
      <c r="AK285" s="139"/>
      <c r="AL285" s="139"/>
      <c r="AM285" s="139"/>
      <c r="AN285" s="139"/>
      <c r="AO285" s="139"/>
      <c r="AP285" s="139"/>
      <c r="AQ285" s="139"/>
      <c r="AR285" s="139"/>
      <c r="AS285" s="139"/>
      <c r="AT285" s="139"/>
      <c r="AU285" s="139"/>
      <c r="AV285" s="139"/>
      <c r="AW285" s="139"/>
      <c r="AX285" s="139"/>
      <c r="AY285" s="139"/>
      <c r="AZ285" s="139"/>
      <c r="BA285" s="139"/>
      <c r="BB285" s="139"/>
      <c r="BC285" s="139"/>
      <c r="BD285" s="139"/>
      <c r="BE285" s="139"/>
      <c r="BF285" s="139"/>
      <c r="BG285" s="139"/>
      <c r="BH285" s="139"/>
    </row>
    <row r="286" spans="2:60" s="11" customFormat="1" ht="19.899999999999999" customHeight="1">
      <c r="B286" s="5590"/>
      <c r="C286" s="5598"/>
      <c r="D286" s="9598" t="s">
        <v>140</v>
      </c>
      <c r="E286" s="9600"/>
      <c r="F286" s="87" t="s">
        <v>255</v>
      </c>
      <c r="G286" s="253"/>
      <c r="H286" s="286"/>
      <c r="I286" s="9582" t="s">
        <v>141</v>
      </c>
      <c r="J286" s="9583"/>
      <c r="K286" s="280" t="s">
        <v>255</v>
      </c>
      <c r="L286" s="5967" t="s">
        <v>168</v>
      </c>
      <c r="M286" s="5656" t="s">
        <v>641</v>
      </c>
      <c r="N286" s="5593" t="s">
        <v>168</v>
      </c>
      <c r="O286" s="5593" t="s">
        <v>641</v>
      </c>
      <c r="P286" s="5593" t="s">
        <v>168</v>
      </c>
      <c r="Q286" s="5593" t="s">
        <v>641</v>
      </c>
      <c r="R286" s="2468"/>
      <c r="S286" s="276"/>
      <c r="T286" s="99"/>
      <c r="U286" s="138"/>
      <c r="V286" s="138"/>
      <c r="W286" s="99"/>
      <c r="X286" s="264"/>
      <c r="Y286" s="277"/>
      <c r="Z286" s="187"/>
      <c r="AA286" s="6301"/>
      <c r="AB286" s="139"/>
      <c r="AC286" s="139"/>
      <c r="AD286" s="139"/>
      <c r="AE286" s="139"/>
      <c r="AF286" s="139"/>
      <c r="AG286" s="139"/>
      <c r="AH286" s="139"/>
      <c r="AI286" s="139"/>
      <c r="AJ286" s="139"/>
      <c r="AK286" s="139"/>
      <c r="AL286" s="139"/>
      <c r="AM286" s="139"/>
      <c r="AN286" s="139"/>
      <c r="AO286" s="139"/>
      <c r="AP286" s="139"/>
      <c r="AQ286" s="139"/>
      <c r="AR286" s="139"/>
      <c r="AS286" s="139"/>
      <c r="AT286" s="139"/>
      <c r="AU286" s="139"/>
      <c r="AV286" s="139"/>
      <c r="AW286" s="139"/>
      <c r="AX286" s="139"/>
      <c r="AY286" s="139"/>
      <c r="AZ286" s="139"/>
      <c r="BA286" s="139"/>
      <c r="BB286" s="139"/>
      <c r="BC286" s="139"/>
      <c r="BD286" s="139"/>
      <c r="BE286" s="139"/>
      <c r="BF286" s="139"/>
      <c r="BG286" s="139"/>
      <c r="BH286" s="139"/>
    </row>
    <row r="287" spans="2:60" s="11" customFormat="1" ht="19.899999999999999" customHeight="1">
      <c r="B287" s="5590"/>
      <c r="C287" s="5598"/>
      <c r="D287" s="9598" t="s">
        <v>143</v>
      </c>
      <c r="E287" s="9600"/>
      <c r="F287" s="87" t="s">
        <v>255</v>
      </c>
      <c r="G287" s="253"/>
      <c r="H287" s="286"/>
      <c r="I287" s="9582" t="s">
        <v>144</v>
      </c>
      <c r="J287" s="9583"/>
      <c r="K287" s="280" t="s">
        <v>255</v>
      </c>
      <c r="L287" s="6358">
        <v>87.456875595606604</v>
      </c>
      <c r="M287" s="6359"/>
      <c r="N287" s="6360">
        <v>81.303974009327803</v>
      </c>
      <c r="O287" s="6063"/>
      <c r="P287" s="6064">
        <v>88.372129660195171</v>
      </c>
      <c r="Q287" s="2554"/>
      <c r="R287" s="2468"/>
      <c r="S287" s="276"/>
      <c r="T287" s="99"/>
      <c r="U287" s="138"/>
      <c r="V287" s="138"/>
      <c r="W287" s="99"/>
      <c r="X287" s="264"/>
      <c r="Y287" s="277"/>
      <c r="Z287" s="187"/>
      <c r="AA287" s="6301"/>
      <c r="AB287" s="139"/>
      <c r="AC287" s="139"/>
      <c r="AD287" s="139"/>
      <c r="AE287" s="139"/>
      <c r="AF287" s="139"/>
      <c r="AG287" s="139"/>
      <c r="AH287" s="139"/>
      <c r="AI287" s="139"/>
      <c r="AJ287" s="139"/>
      <c r="AK287" s="139"/>
      <c r="AL287" s="139"/>
      <c r="AM287" s="139"/>
      <c r="AN287" s="139"/>
      <c r="AO287" s="139"/>
      <c r="AP287" s="139"/>
      <c r="AQ287" s="139"/>
      <c r="AR287" s="139"/>
      <c r="AS287" s="139"/>
      <c r="AT287" s="139"/>
      <c r="AU287" s="139"/>
      <c r="AV287" s="139"/>
      <c r="AW287" s="139"/>
      <c r="AX287" s="139"/>
      <c r="AY287" s="139"/>
      <c r="AZ287" s="139"/>
      <c r="BA287" s="139"/>
      <c r="BB287" s="139"/>
      <c r="BC287" s="139"/>
      <c r="BD287" s="139"/>
      <c r="BE287" s="139"/>
      <c r="BF287" s="139"/>
      <c r="BG287" s="139"/>
      <c r="BH287" s="139"/>
    </row>
    <row r="288" spans="2:60" s="11" customFormat="1" ht="19.899999999999999" customHeight="1">
      <c r="B288" s="5590"/>
      <c r="C288" s="5598"/>
      <c r="D288" s="9598" t="s">
        <v>631</v>
      </c>
      <c r="E288" s="9600"/>
      <c r="F288" s="87" t="s">
        <v>255</v>
      </c>
      <c r="G288" s="253"/>
      <c r="H288" s="286"/>
      <c r="I288" s="9582" t="s">
        <v>147</v>
      </c>
      <c r="J288" s="9583"/>
      <c r="K288" s="280" t="s">
        <v>255</v>
      </c>
      <c r="L288" s="5967" t="s">
        <v>168</v>
      </c>
      <c r="M288" s="5656" t="s">
        <v>641</v>
      </c>
      <c r="N288" s="5593" t="s">
        <v>168</v>
      </c>
      <c r="O288" s="5593" t="s">
        <v>641</v>
      </c>
      <c r="P288" s="5593" t="s">
        <v>168</v>
      </c>
      <c r="Q288" s="5593" t="s">
        <v>641</v>
      </c>
      <c r="R288" s="2468"/>
      <c r="S288" s="276"/>
      <c r="T288" s="99"/>
      <c r="U288" s="138"/>
      <c r="V288" s="138"/>
      <c r="W288" s="99"/>
      <c r="X288" s="264"/>
      <c r="Y288" s="277"/>
      <c r="Z288" s="187"/>
      <c r="AA288" s="6301"/>
      <c r="AB288" s="139"/>
      <c r="AC288" s="139"/>
      <c r="AD288" s="139"/>
      <c r="AE288" s="139"/>
      <c r="AF288" s="139"/>
      <c r="AG288" s="139"/>
      <c r="AH288" s="139"/>
      <c r="AI288" s="139"/>
      <c r="AJ288" s="139"/>
      <c r="AK288" s="139"/>
      <c r="AL288" s="139"/>
      <c r="AM288" s="139"/>
      <c r="AN288" s="139"/>
      <c r="AO288" s="139"/>
      <c r="AP288" s="139"/>
      <c r="AQ288" s="139"/>
      <c r="AR288" s="139"/>
      <c r="AS288" s="139"/>
      <c r="AT288" s="139"/>
      <c r="AU288" s="139"/>
      <c r="AV288" s="139"/>
      <c r="AW288" s="139"/>
      <c r="AX288" s="139"/>
      <c r="AY288" s="139"/>
      <c r="AZ288" s="139"/>
      <c r="BA288" s="139"/>
      <c r="BB288" s="139"/>
      <c r="BC288" s="139"/>
      <c r="BD288" s="139"/>
      <c r="BE288" s="139"/>
      <c r="BF288" s="139"/>
      <c r="BG288" s="139"/>
      <c r="BH288" s="139"/>
    </row>
    <row r="289" spans="2:60" s="11" customFormat="1" ht="19.899999999999999" customHeight="1">
      <c r="B289" s="5590"/>
      <c r="C289" s="5598"/>
      <c r="D289" s="9598" t="s">
        <v>633</v>
      </c>
      <c r="E289" s="9600"/>
      <c r="F289" s="87" t="s">
        <v>255</v>
      </c>
      <c r="G289" s="253"/>
      <c r="H289" s="286"/>
      <c r="I289" s="9582" t="s">
        <v>150</v>
      </c>
      <c r="J289" s="9583"/>
      <c r="K289" s="280" t="s">
        <v>255</v>
      </c>
      <c r="L289" s="5592">
        <v>0</v>
      </c>
      <c r="M289" s="5656"/>
      <c r="N289" s="5593">
        <v>0</v>
      </c>
      <c r="O289" s="5593"/>
      <c r="P289" s="5593">
        <v>0</v>
      </c>
      <c r="Q289" s="5593"/>
      <c r="R289" s="2468"/>
      <c r="S289" s="276"/>
      <c r="T289" s="99"/>
      <c r="U289" s="138"/>
      <c r="V289" s="138"/>
      <c r="W289" s="99"/>
      <c r="X289" s="264"/>
      <c r="Y289" s="277"/>
      <c r="Z289" s="187"/>
      <c r="AA289" s="6301"/>
      <c r="AB289" s="139"/>
      <c r="AC289" s="139"/>
      <c r="AD289" s="139"/>
      <c r="AE289" s="139"/>
      <c r="AF289" s="139"/>
      <c r="AG289" s="139"/>
      <c r="AH289" s="139"/>
      <c r="AI289" s="139"/>
      <c r="AJ289" s="139"/>
      <c r="AK289" s="139"/>
      <c r="AL289" s="139"/>
      <c r="AM289" s="139"/>
      <c r="AN289" s="139"/>
      <c r="AO289" s="139"/>
      <c r="AP289" s="139"/>
      <c r="AQ289" s="139"/>
      <c r="AR289" s="139"/>
      <c r="AS289" s="139"/>
      <c r="AT289" s="139"/>
      <c r="AU289" s="139"/>
      <c r="AV289" s="139"/>
      <c r="AW289" s="139"/>
      <c r="AX289" s="139"/>
      <c r="AY289" s="139"/>
      <c r="AZ289" s="139"/>
      <c r="BA289" s="139"/>
      <c r="BB289" s="139"/>
      <c r="BC289" s="139"/>
      <c r="BD289" s="139"/>
      <c r="BE289" s="139"/>
      <c r="BF289" s="139"/>
      <c r="BG289" s="139"/>
      <c r="BH289" s="139"/>
    </row>
    <row r="290" spans="2:60" s="11" customFormat="1" ht="20.100000000000001" customHeight="1">
      <c r="B290" s="1360"/>
      <c r="C290" s="5598"/>
      <c r="D290" s="9586" t="s">
        <v>281</v>
      </c>
      <c r="E290" s="9587"/>
      <c r="F290" s="280" t="s">
        <v>255</v>
      </c>
      <c r="G290" s="106"/>
      <c r="H290" s="358"/>
      <c r="I290" s="9586" t="s">
        <v>282</v>
      </c>
      <c r="J290" s="9587"/>
      <c r="K290" s="280" t="s">
        <v>255</v>
      </c>
      <c r="L290" s="5653" t="str">
        <f>IF(COUNTBLANK(L291:L296)&gt;0,"미취합법인有",SUM(L291:L296))</f>
        <v>미취합법인有</v>
      </c>
      <c r="M290" s="5657"/>
      <c r="N290" s="5654" t="str">
        <f>IF(COUNTBLANK(N291:N296)&gt;0,"미취합법인有",SUM(N291:N296))</f>
        <v>미취합법인有</v>
      </c>
      <c r="O290" s="5663"/>
      <c r="P290" s="5781" t="str">
        <f>IF(COUNTBLANK(P291:P296)&gt;0,"미취합법인有",SUM(P291:P296))</f>
        <v>미취합법인有</v>
      </c>
      <c r="Q290" s="5654"/>
      <c r="R290" s="2468"/>
      <c r="S290" s="276"/>
      <c r="T290" s="99" t="s">
        <v>206</v>
      </c>
      <c r="U290" s="138"/>
      <c r="V290" s="138"/>
      <c r="W290" s="99"/>
      <c r="X290" s="336" t="s">
        <v>280</v>
      </c>
      <c r="Y290" s="265"/>
      <c r="Z290" s="187"/>
      <c r="AA290" s="6301"/>
      <c r="AB290" s="139"/>
      <c r="AC290" s="139"/>
      <c r="AD290" s="139"/>
      <c r="AE290" s="139"/>
      <c r="AF290" s="139"/>
      <c r="AG290" s="139"/>
      <c r="AH290" s="139"/>
      <c r="AI290" s="139"/>
      <c r="AJ290" s="139"/>
      <c r="AK290" s="139"/>
      <c r="AL290" s="139"/>
      <c r="AM290" s="139"/>
      <c r="AN290" s="139"/>
      <c r="AO290" s="139"/>
      <c r="AP290" s="139"/>
      <c r="AQ290" s="139"/>
      <c r="AR290" s="139"/>
      <c r="AS290" s="139"/>
      <c r="AT290" s="139"/>
      <c r="AU290" s="139"/>
      <c r="AV290" s="139"/>
      <c r="AW290" s="139"/>
      <c r="AX290" s="139"/>
      <c r="AY290" s="139"/>
      <c r="AZ290" s="139"/>
      <c r="BA290" s="139"/>
      <c r="BB290" s="139"/>
      <c r="BC290" s="139"/>
      <c r="BD290" s="139"/>
      <c r="BE290" s="139"/>
      <c r="BF290" s="139"/>
      <c r="BG290" s="139"/>
      <c r="BH290" s="139"/>
    </row>
    <row r="291" spans="2:60" s="11" customFormat="1" ht="19.899999999999999" customHeight="1">
      <c r="B291" s="5590"/>
      <c r="C291" s="5598"/>
      <c r="D291" s="9598" t="s">
        <v>134</v>
      </c>
      <c r="E291" s="9600"/>
      <c r="F291" s="87" t="s">
        <v>255</v>
      </c>
      <c r="G291" s="253"/>
      <c r="H291" s="286"/>
      <c r="I291" s="9579" t="s">
        <v>135</v>
      </c>
      <c r="J291" s="9581"/>
      <c r="K291" s="280" t="s">
        <v>255</v>
      </c>
      <c r="L291" s="5670"/>
      <c r="M291" s="5671"/>
      <c r="N291" s="5672"/>
      <c r="O291" s="5673"/>
      <c r="P291" s="5673"/>
      <c r="Q291" s="5672"/>
      <c r="R291" s="2468"/>
      <c r="S291" s="276"/>
      <c r="T291" s="99"/>
      <c r="U291" s="138"/>
      <c r="V291" s="138"/>
      <c r="W291" s="99"/>
      <c r="X291" s="264"/>
      <c r="Y291" s="277"/>
      <c r="Z291" s="187"/>
      <c r="AA291" s="6301"/>
      <c r="AB291" s="139"/>
      <c r="AC291" s="139"/>
      <c r="AD291" s="139"/>
      <c r="AE291" s="139"/>
      <c r="AF291" s="139"/>
      <c r="AG291" s="139"/>
      <c r="AH291" s="139"/>
      <c r="AI291" s="139"/>
      <c r="AJ291" s="139"/>
      <c r="AK291" s="139"/>
      <c r="AL291" s="139"/>
      <c r="AM291" s="139"/>
      <c r="AN291" s="139"/>
      <c r="AO291" s="139"/>
      <c r="AP291" s="139"/>
      <c r="AQ291" s="139"/>
      <c r="AR291" s="139"/>
      <c r="AS291" s="139"/>
      <c r="AT291" s="139"/>
      <c r="AU291" s="139"/>
      <c r="AV291" s="139"/>
      <c r="AW291" s="139"/>
      <c r="AX291" s="139"/>
      <c r="AY291" s="139"/>
      <c r="AZ291" s="139"/>
      <c r="BA291" s="139"/>
      <c r="BB291" s="139"/>
      <c r="BC291" s="139"/>
      <c r="BD291" s="139"/>
      <c r="BE291" s="139"/>
      <c r="BF291" s="139"/>
      <c r="BG291" s="139"/>
      <c r="BH291" s="139"/>
    </row>
    <row r="292" spans="2:60" s="11" customFormat="1" ht="19.899999999999999" customHeight="1">
      <c r="B292" s="5590"/>
      <c r="C292" s="5598"/>
      <c r="D292" s="9598" t="s">
        <v>137</v>
      </c>
      <c r="E292" s="9600"/>
      <c r="F292" s="87" t="s">
        <v>255</v>
      </c>
      <c r="G292" s="253"/>
      <c r="H292" s="286"/>
      <c r="I292" s="9579" t="s">
        <v>138</v>
      </c>
      <c r="J292" s="9581"/>
      <c r="K292" s="280" t="s">
        <v>255</v>
      </c>
      <c r="L292" s="5594"/>
      <c r="M292" s="5658"/>
      <c r="N292" s="1814"/>
      <c r="O292" s="5302"/>
      <c r="P292" s="5595"/>
      <c r="Q292" s="1814"/>
      <c r="R292" s="2468"/>
      <c r="S292" s="276"/>
      <c r="T292" s="99"/>
      <c r="U292" s="138"/>
      <c r="V292" s="138"/>
      <c r="W292" s="99"/>
      <c r="X292" s="264"/>
      <c r="Y292" s="277"/>
      <c r="Z292" s="187"/>
      <c r="AA292" s="6301"/>
      <c r="AB292" s="139"/>
      <c r="AC292" s="139"/>
      <c r="AD292" s="139"/>
      <c r="AE292" s="139"/>
      <c r="AF292" s="139"/>
      <c r="AG292" s="139"/>
      <c r="AH292" s="139"/>
      <c r="AI292" s="139"/>
      <c r="AJ292" s="139"/>
      <c r="AK292" s="139"/>
      <c r="AL292" s="139"/>
      <c r="AM292" s="139"/>
      <c r="AN292" s="139"/>
      <c r="AO292" s="139"/>
      <c r="AP292" s="139"/>
      <c r="AQ292" s="139"/>
      <c r="AR292" s="139"/>
      <c r="AS292" s="139"/>
      <c r="AT292" s="139"/>
      <c r="AU292" s="139"/>
      <c r="AV292" s="139"/>
      <c r="AW292" s="139"/>
      <c r="AX292" s="139"/>
      <c r="AY292" s="139"/>
      <c r="AZ292" s="139"/>
      <c r="BA292" s="139"/>
      <c r="BB292" s="139"/>
      <c r="BC292" s="139"/>
      <c r="BD292" s="139"/>
      <c r="BE292" s="139"/>
      <c r="BF292" s="139"/>
      <c r="BG292" s="139"/>
      <c r="BH292" s="139"/>
    </row>
    <row r="293" spans="2:60" s="11" customFormat="1" ht="19.899999999999999" customHeight="1">
      <c r="B293" s="5590"/>
      <c r="C293" s="5598"/>
      <c r="D293" s="9598" t="s">
        <v>140</v>
      </c>
      <c r="E293" s="9600"/>
      <c r="F293" s="87" t="s">
        <v>255</v>
      </c>
      <c r="G293" s="253"/>
      <c r="H293" s="286"/>
      <c r="I293" s="9582" t="s">
        <v>141</v>
      </c>
      <c r="J293" s="9583"/>
      <c r="K293" s="280" t="s">
        <v>255</v>
      </c>
      <c r="L293" s="6358">
        <v>87.456875595606604</v>
      </c>
      <c r="M293" s="6359"/>
      <c r="N293" s="6360">
        <v>81.303974009327803</v>
      </c>
      <c r="O293" s="6063"/>
      <c r="P293" s="6064">
        <v>88.372129660195171</v>
      </c>
      <c r="Q293" s="2554"/>
      <c r="R293" s="2468"/>
      <c r="S293" s="276"/>
      <c r="T293" s="99"/>
      <c r="U293" s="138"/>
      <c r="V293" s="138"/>
      <c r="W293" s="99"/>
      <c r="X293" s="264"/>
      <c r="Y293" s="277"/>
      <c r="Z293" s="187"/>
      <c r="AA293" s="6301"/>
      <c r="AB293" s="139"/>
      <c r="AC293" s="139"/>
      <c r="AD293" s="139"/>
      <c r="AE293" s="139"/>
      <c r="AF293" s="139"/>
      <c r="AG293" s="139"/>
      <c r="AH293" s="139"/>
      <c r="AI293" s="139"/>
      <c r="AJ293" s="139"/>
      <c r="AK293" s="139"/>
      <c r="AL293" s="139"/>
      <c r="AM293" s="139"/>
      <c r="AN293" s="139"/>
      <c r="AO293" s="139"/>
      <c r="AP293" s="139"/>
      <c r="AQ293" s="139"/>
      <c r="AR293" s="139"/>
      <c r="AS293" s="139"/>
      <c r="AT293" s="139"/>
      <c r="AU293" s="139"/>
      <c r="AV293" s="139"/>
      <c r="AW293" s="139"/>
      <c r="AX293" s="139"/>
      <c r="AY293" s="139"/>
      <c r="AZ293" s="139"/>
      <c r="BA293" s="139"/>
      <c r="BB293" s="139"/>
      <c r="BC293" s="139"/>
      <c r="BD293" s="139"/>
      <c r="BE293" s="139"/>
      <c r="BF293" s="139"/>
      <c r="BG293" s="139"/>
      <c r="BH293" s="139"/>
    </row>
    <row r="294" spans="2:60" s="11" customFormat="1" ht="19.899999999999999" customHeight="1">
      <c r="B294" s="5590"/>
      <c r="C294" s="5598"/>
      <c r="D294" s="9598" t="s">
        <v>143</v>
      </c>
      <c r="E294" s="9600"/>
      <c r="F294" s="87" t="s">
        <v>255</v>
      </c>
      <c r="G294" s="253"/>
      <c r="H294" s="286"/>
      <c r="I294" s="9582" t="s">
        <v>144</v>
      </c>
      <c r="J294" s="9583"/>
      <c r="K294" s="280" t="s">
        <v>255</v>
      </c>
      <c r="L294" s="5967" t="s">
        <v>168</v>
      </c>
      <c r="M294" s="5656" t="s">
        <v>641</v>
      </c>
      <c r="N294" s="5593" t="s">
        <v>168</v>
      </c>
      <c r="O294" s="5593" t="s">
        <v>641</v>
      </c>
      <c r="P294" s="5593" t="s">
        <v>168</v>
      </c>
      <c r="Q294" s="5593" t="s">
        <v>641</v>
      </c>
      <c r="R294" s="2468"/>
      <c r="S294" s="276"/>
      <c r="T294" s="99"/>
      <c r="U294" s="138"/>
      <c r="V294" s="138"/>
      <c r="W294" s="99"/>
      <c r="X294" s="264"/>
      <c r="Y294" s="277"/>
      <c r="Z294" s="187"/>
      <c r="AA294" s="6301"/>
      <c r="AB294" s="139"/>
      <c r="AC294" s="139"/>
      <c r="AD294" s="139"/>
      <c r="AE294" s="139"/>
      <c r="AF294" s="139"/>
      <c r="AG294" s="139"/>
      <c r="AH294" s="139"/>
      <c r="AI294" s="139"/>
      <c r="AJ294" s="139"/>
      <c r="AK294" s="139"/>
      <c r="AL294" s="139"/>
      <c r="AM294" s="139"/>
      <c r="AN294" s="139"/>
      <c r="AO294" s="139"/>
      <c r="AP294" s="139"/>
      <c r="AQ294" s="139"/>
      <c r="AR294" s="139"/>
      <c r="AS294" s="139"/>
      <c r="AT294" s="139"/>
      <c r="AU294" s="139"/>
      <c r="AV294" s="139"/>
      <c r="AW294" s="139"/>
      <c r="AX294" s="139"/>
      <c r="AY294" s="139"/>
      <c r="AZ294" s="139"/>
      <c r="BA294" s="139"/>
      <c r="BB294" s="139"/>
      <c r="BC294" s="139"/>
      <c r="BD294" s="139"/>
      <c r="BE294" s="139"/>
      <c r="BF294" s="139"/>
      <c r="BG294" s="139"/>
      <c r="BH294" s="139"/>
    </row>
    <row r="295" spans="2:60" s="11" customFormat="1" ht="19.899999999999999" customHeight="1">
      <c r="B295" s="5590"/>
      <c r="C295" s="5598"/>
      <c r="D295" s="9598" t="s">
        <v>631</v>
      </c>
      <c r="E295" s="9600"/>
      <c r="F295" s="87" t="s">
        <v>255</v>
      </c>
      <c r="G295" s="253"/>
      <c r="H295" s="286"/>
      <c r="I295" s="9582" t="s">
        <v>147</v>
      </c>
      <c r="J295" s="9583"/>
      <c r="K295" s="280" t="s">
        <v>255</v>
      </c>
      <c r="L295" s="5967" t="s">
        <v>168</v>
      </c>
      <c r="M295" s="5656" t="s">
        <v>641</v>
      </c>
      <c r="N295" s="5593" t="s">
        <v>168</v>
      </c>
      <c r="O295" s="5593" t="s">
        <v>641</v>
      </c>
      <c r="P295" s="5593" t="s">
        <v>168</v>
      </c>
      <c r="Q295" s="5593" t="s">
        <v>641</v>
      </c>
      <c r="R295" s="2468"/>
      <c r="S295" s="276"/>
      <c r="T295" s="99"/>
      <c r="U295" s="138"/>
      <c r="V295" s="138"/>
      <c r="W295" s="99"/>
      <c r="X295" s="264"/>
      <c r="Y295" s="277"/>
      <c r="Z295" s="187"/>
      <c r="AA295" s="6301"/>
      <c r="AB295" s="139"/>
      <c r="AC295" s="139"/>
      <c r="AD295" s="139"/>
      <c r="AE295" s="139"/>
      <c r="AF295" s="139"/>
      <c r="AG295" s="139"/>
      <c r="AH295" s="139"/>
      <c r="AI295" s="139"/>
      <c r="AJ295" s="139"/>
      <c r="AK295" s="139"/>
      <c r="AL295" s="139"/>
      <c r="AM295" s="139"/>
      <c r="AN295" s="139"/>
      <c r="AO295" s="139"/>
      <c r="AP295" s="139"/>
      <c r="AQ295" s="139"/>
      <c r="AR295" s="139"/>
      <c r="AS295" s="139"/>
      <c r="AT295" s="139"/>
      <c r="AU295" s="139"/>
      <c r="AV295" s="139"/>
      <c r="AW295" s="139"/>
      <c r="AX295" s="139"/>
      <c r="AY295" s="139"/>
      <c r="AZ295" s="139"/>
      <c r="BA295" s="139"/>
      <c r="BB295" s="139"/>
      <c r="BC295" s="139"/>
      <c r="BD295" s="139"/>
      <c r="BE295" s="139"/>
      <c r="BF295" s="139"/>
      <c r="BG295" s="139"/>
      <c r="BH295" s="139"/>
    </row>
    <row r="296" spans="2:60" s="11" customFormat="1" ht="19.899999999999999" customHeight="1">
      <c r="B296" s="5590"/>
      <c r="C296" s="5598"/>
      <c r="D296" s="9598" t="s">
        <v>633</v>
      </c>
      <c r="E296" s="9600"/>
      <c r="F296" s="87" t="s">
        <v>255</v>
      </c>
      <c r="G296" s="253"/>
      <c r="H296" s="286"/>
      <c r="I296" s="9582" t="s">
        <v>150</v>
      </c>
      <c r="J296" s="9583"/>
      <c r="K296" s="280" t="s">
        <v>255</v>
      </c>
      <c r="L296" s="5967" t="s">
        <v>168</v>
      </c>
      <c r="M296" s="5656" t="s">
        <v>641</v>
      </c>
      <c r="N296" s="5593" t="s">
        <v>168</v>
      </c>
      <c r="O296" s="5593" t="s">
        <v>641</v>
      </c>
      <c r="P296" s="5593" t="s">
        <v>168</v>
      </c>
      <c r="Q296" s="5593" t="s">
        <v>641</v>
      </c>
      <c r="R296" s="2468"/>
      <c r="S296" s="276"/>
      <c r="T296" s="99"/>
      <c r="U296" s="138"/>
      <c r="V296" s="138"/>
      <c r="W296" s="99"/>
      <c r="X296" s="264"/>
      <c r="Y296" s="277"/>
      <c r="Z296" s="187"/>
      <c r="AA296" s="6301"/>
      <c r="AB296" s="139"/>
      <c r="AC296" s="139"/>
      <c r="AD296" s="139"/>
      <c r="AE296" s="139"/>
      <c r="AF296" s="139"/>
      <c r="AG296" s="139"/>
      <c r="AH296" s="139"/>
      <c r="AI296" s="139"/>
      <c r="AJ296" s="139"/>
      <c r="AK296" s="139"/>
      <c r="AL296" s="139"/>
      <c r="AM296" s="139"/>
      <c r="AN296" s="139"/>
      <c r="AO296" s="139"/>
      <c r="AP296" s="139"/>
      <c r="AQ296" s="139"/>
      <c r="AR296" s="139"/>
      <c r="AS296" s="139"/>
      <c r="AT296" s="139"/>
      <c r="AU296" s="139"/>
      <c r="AV296" s="139"/>
      <c r="AW296" s="139"/>
      <c r="AX296" s="139"/>
      <c r="AY296" s="139"/>
      <c r="AZ296" s="139"/>
      <c r="BA296" s="139"/>
      <c r="BB296" s="139"/>
      <c r="BC296" s="139"/>
      <c r="BD296" s="139"/>
      <c r="BE296" s="139"/>
      <c r="BF296" s="139"/>
      <c r="BG296" s="139"/>
      <c r="BH296" s="139"/>
    </row>
    <row r="297" spans="2:60" s="11" customFormat="1" ht="20.100000000000001" customHeight="1">
      <c r="B297" s="1360"/>
      <c r="C297" s="5598"/>
      <c r="D297" s="9591" t="s">
        <v>283</v>
      </c>
      <c r="E297" s="9592"/>
      <c r="F297" s="280" t="s">
        <v>255</v>
      </c>
      <c r="G297" s="384"/>
      <c r="H297" s="358"/>
      <c r="I297" s="9591" t="s">
        <v>284</v>
      </c>
      <c r="J297" s="9592"/>
      <c r="K297" s="280" t="s">
        <v>255</v>
      </c>
      <c r="L297" s="5653" t="str">
        <f>IF(COUNTBLANK(L298:L303)&gt;0,"미취합법인有",SUM(L298:L303))</f>
        <v>미취합법인有</v>
      </c>
      <c r="M297" s="5657"/>
      <c r="N297" s="5654" t="str">
        <f>IF(COUNTBLANK(N298:N303)&gt;0,"미취합법인有",SUM(N298:N303))</f>
        <v>미취합법인有</v>
      </c>
      <c r="O297" s="5663"/>
      <c r="P297" s="5781" t="str">
        <f>IF(COUNTBLANK(P298:P303)&gt;0,"미취합법인有",SUM(P298:P303))</f>
        <v>미취합법인有</v>
      </c>
      <c r="Q297" s="5654"/>
      <c r="R297" s="2468"/>
      <c r="S297" s="276"/>
      <c r="T297" s="99" t="s">
        <v>206</v>
      </c>
      <c r="U297" s="138"/>
      <c r="V297" s="138"/>
      <c r="W297" s="99"/>
      <c r="X297" s="336" t="s">
        <v>280</v>
      </c>
      <c r="Y297" s="265"/>
      <c r="Z297" s="187"/>
      <c r="AA297" s="6301"/>
      <c r="AB297" s="139"/>
      <c r="AC297" s="139"/>
      <c r="AD297" s="139"/>
      <c r="AE297" s="139"/>
      <c r="AF297" s="139"/>
      <c r="AG297" s="139"/>
      <c r="AH297" s="139"/>
      <c r="AI297" s="139"/>
      <c r="AJ297" s="139"/>
      <c r="AK297" s="139"/>
      <c r="AL297" s="139"/>
      <c r="AM297" s="139"/>
      <c r="AN297" s="139"/>
      <c r="AO297" s="139"/>
      <c r="AP297" s="139"/>
      <c r="AQ297" s="139"/>
      <c r="AR297" s="139"/>
      <c r="AS297" s="139"/>
      <c r="AT297" s="139"/>
      <c r="AU297" s="139"/>
      <c r="AV297" s="139"/>
      <c r="AW297" s="139"/>
      <c r="AX297" s="139"/>
      <c r="AY297" s="139"/>
      <c r="AZ297" s="139"/>
      <c r="BA297" s="139"/>
      <c r="BB297" s="139"/>
      <c r="BC297" s="139"/>
      <c r="BD297" s="139"/>
      <c r="BE297" s="139"/>
      <c r="BF297" s="139"/>
      <c r="BG297" s="139"/>
      <c r="BH297" s="139"/>
    </row>
    <row r="298" spans="2:60" s="11" customFormat="1" ht="19.899999999999999" customHeight="1">
      <c r="B298" s="5590"/>
      <c r="C298" s="5598"/>
      <c r="D298" s="9598" t="s">
        <v>134</v>
      </c>
      <c r="E298" s="9600"/>
      <c r="F298" s="87" t="s">
        <v>255</v>
      </c>
      <c r="G298" s="253"/>
      <c r="H298" s="286"/>
      <c r="I298" s="9579" t="s">
        <v>135</v>
      </c>
      <c r="J298" s="9581"/>
      <c r="K298" s="280" t="s">
        <v>255</v>
      </c>
      <c r="L298" s="6066" t="s">
        <v>168</v>
      </c>
      <c r="M298" s="6053" t="s">
        <v>369</v>
      </c>
      <c r="N298" s="6067" t="s">
        <v>168</v>
      </c>
      <c r="O298" s="6055" t="s">
        <v>369</v>
      </c>
      <c r="P298" s="6068" t="s">
        <v>168</v>
      </c>
      <c r="Q298" s="6054" t="s">
        <v>369</v>
      </c>
      <c r="R298" s="2468"/>
      <c r="S298" s="276"/>
      <c r="T298" s="99"/>
      <c r="U298" s="138"/>
      <c r="V298" s="138"/>
      <c r="W298" s="99"/>
      <c r="X298" s="264"/>
      <c r="Y298" s="277"/>
      <c r="Z298" s="187"/>
      <c r="AA298" s="6301"/>
      <c r="AB298" s="139"/>
      <c r="AC298" s="139"/>
      <c r="AD298" s="139"/>
      <c r="AE298" s="139"/>
      <c r="AF298" s="139"/>
      <c r="AG298" s="139"/>
      <c r="AH298" s="139"/>
      <c r="AI298" s="139"/>
      <c r="AJ298" s="139"/>
      <c r="AK298" s="139"/>
      <c r="AL298" s="139"/>
      <c r="AM298" s="139"/>
      <c r="AN298" s="139"/>
      <c r="AO298" s="139"/>
      <c r="AP298" s="139"/>
      <c r="AQ298" s="139"/>
      <c r="AR298" s="139"/>
      <c r="AS298" s="139"/>
      <c r="AT298" s="139"/>
      <c r="AU298" s="139"/>
      <c r="AV298" s="139"/>
      <c r="AW298" s="139"/>
      <c r="AX298" s="139"/>
      <c r="AY298" s="139"/>
      <c r="AZ298" s="139"/>
      <c r="BA298" s="139"/>
      <c r="BB298" s="139"/>
      <c r="BC298" s="139"/>
      <c r="BD298" s="139"/>
      <c r="BE298" s="139"/>
      <c r="BF298" s="139"/>
      <c r="BG298" s="139"/>
      <c r="BH298" s="139"/>
    </row>
    <row r="299" spans="2:60" s="11" customFormat="1" ht="19.899999999999999" customHeight="1">
      <c r="B299" s="5590"/>
      <c r="C299" s="5598"/>
      <c r="D299" s="9598" t="s">
        <v>137</v>
      </c>
      <c r="E299" s="9600"/>
      <c r="F299" s="87" t="s">
        <v>255</v>
      </c>
      <c r="G299" s="253"/>
      <c r="H299" s="286"/>
      <c r="I299" s="9579" t="s">
        <v>138</v>
      </c>
      <c r="J299" s="9581"/>
      <c r="K299" s="280" t="s">
        <v>255</v>
      </c>
      <c r="L299" s="5839"/>
      <c r="M299" s="5840"/>
      <c r="N299" s="6056"/>
      <c r="O299" s="6057"/>
      <c r="P299" s="5655"/>
      <c r="Q299" s="6056"/>
      <c r="R299" s="2468"/>
      <c r="S299" s="276"/>
      <c r="T299" s="99"/>
      <c r="U299" s="138"/>
      <c r="V299" s="138"/>
      <c r="W299" s="99"/>
      <c r="X299" s="264"/>
      <c r="Y299" s="277"/>
      <c r="Z299" s="187"/>
      <c r="AA299" s="6301"/>
      <c r="AB299" s="139"/>
      <c r="AC299" s="139"/>
      <c r="AD299" s="139"/>
      <c r="AE299" s="139"/>
      <c r="AF299" s="139"/>
      <c r="AG299" s="139"/>
      <c r="AH299" s="139"/>
      <c r="AI299" s="139"/>
      <c r="AJ299" s="139"/>
      <c r="AK299" s="139"/>
      <c r="AL299" s="139"/>
      <c r="AM299" s="139"/>
      <c r="AN299" s="139"/>
      <c r="AO299" s="139"/>
      <c r="AP299" s="139"/>
      <c r="AQ299" s="139"/>
      <c r="AR299" s="139"/>
      <c r="AS299" s="139"/>
      <c r="AT299" s="139"/>
      <c r="AU299" s="139"/>
      <c r="AV299" s="139"/>
      <c r="AW299" s="139"/>
      <c r="AX299" s="139"/>
      <c r="AY299" s="139"/>
      <c r="AZ299" s="139"/>
      <c r="BA299" s="139"/>
      <c r="BB299" s="139"/>
      <c r="BC299" s="139"/>
      <c r="BD299" s="139"/>
      <c r="BE299" s="139"/>
      <c r="BF299" s="139"/>
      <c r="BG299" s="139"/>
      <c r="BH299" s="139"/>
    </row>
    <row r="300" spans="2:60" s="11" customFormat="1" ht="19.899999999999999" customHeight="1">
      <c r="B300" s="5590"/>
      <c r="C300" s="5598"/>
      <c r="D300" s="9598" t="s">
        <v>140</v>
      </c>
      <c r="E300" s="9600"/>
      <c r="F300" s="87" t="s">
        <v>255</v>
      </c>
      <c r="G300" s="253"/>
      <c r="H300" s="286"/>
      <c r="I300" s="9582" t="s">
        <v>141</v>
      </c>
      <c r="J300" s="9583"/>
      <c r="K300" s="280" t="s">
        <v>255</v>
      </c>
      <c r="L300" s="6361">
        <v>0</v>
      </c>
      <c r="M300" s="6362"/>
      <c r="N300" s="6363">
        <v>0</v>
      </c>
      <c r="O300" s="5027"/>
      <c r="P300" s="5966">
        <v>0</v>
      </c>
      <c r="Q300" s="972"/>
      <c r="R300" s="2468"/>
      <c r="S300" s="276"/>
      <c r="T300" s="99"/>
      <c r="U300" s="138"/>
      <c r="V300" s="138"/>
      <c r="W300" s="99"/>
      <c r="X300" s="264"/>
      <c r="Y300" s="277"/>
      <c r="Z300" s="187"/>
      <c r="AA300" s="6301"/>
      <c r="AB300" s="139"/>
      <c r="AC300" s="139"/>
      <c r="AD300" s="139"/>
      <c r="AE300" s="139"/>
      <c r="AF300" s="139"/>
      <c r="AG300" s="139"/>
      <c r="AH300" s="139"/>
      <c r="AI300" s="139"/>
      <c r="AJ300" s="139"/>
      <c r="AK300" s="139"/>
      <c r="AL300" s="139"/>
      <c r="AM300" s="139"/>
      <c r="AN300" s="139"/>
      <c r="AO300" s="139"/>
      <c r="AP300" s="139"/>
      <c r="AQ300" s="139"/>
      <c r="AR300" s="139"/>
      <c r="AS300" s="139"/>
      <c r="AT300" s="139"/>
      <c r="AU300" s="139"/>
      <c r="AV300" s="139"/>
      <c r="AW300" s="139"/>
      <c r="AX300" s="139"/>
      <c r="AY300" s="139"/>
      <c r="AZ300" s="139"/>
      <c r="BA300" s="139"/>
      <c r="BB300" s="139"/>
      <c r="BC300" s="139"/>
      <c r="BD300" s="139"/>
      <c r="BE300" s="139"/>
      <c r="BF300" s="139"/>
      <c r="BG300" s="139"/>
      <c r="BH300" s="139"/>
    </row>
    <row r="301" spans="2:60" s="11" customFormat="1" ht="19.899999999999999" customHeight="1">
      <c r="B301" s="5590"/>
      <c r="C301" s="5598"/>
      <c r="D301" s="9598" t="s">
        <v>143</v>
      </c>
      <c r="E301" s="9600"/>
      <c r="F301" s="87" t="s">
        <v>255</v>
      </c>
      <c r="G301" s="253"/>
      <c r="H301" s="286"/>
      <c r="I301" s="9582" t="s">
        <v>144</v>
      </c>
      <c r="J301" s="9583"/>
      <c r="K301" s="280" t="s">
        <v>255</v>
      </c>
      <c r="L301" s="6061" t="s">
        <v>168</v>
      </c>
      <c r="M301" s="6059" t="s">
        <v>641</v>
      </c>
      <c r="N301" s="6060" t="s">
        <v>168</v>
      </c>
      <c r="O301" s="6060" t="s">
        <v>641</v>
      </c>
      <c r="P301" s="6060" t="s">
        <v>168</v>
      </c>
      <c r="Q301" s="6060" t="s">
        <v>641</v>
      </c>
      <c r="R301" s="2468"/>
      <c r="S301" s="276"/>
      <c r="T301" s="99"/>
      <c r="U301" s="138"/>
      <c r="V301" s="138"/>
      <c r="W301" s="99"/>
      <c r="X301" s="264"/>
      <c r="Y301" s="277"/>
      <c r="Z301" s="187"/>
      <c r="AA301" s="6301"/>
      <c r="AB301" s="139"/>
      <c r="AC301" s="139"/>
      <c r="AD301" s="139"/>
      <c r="AE301" s="139"/>
      <c r="AF301" s="139"/>
      <c r="AG301" s="139"/>
      <c r="AH301" s="139"/>
      <c r="AI301" s="139"/>
      <c r="AJ301" s="139"/>
      <c r="AK301" s="139"/>
      <c r="AL301" s="139"/>
      <c r="AM301" s="139"/>
      <c r="AN301" s="139"/>
      <c r="AO301" s="139"/>
      <c r="AP301" s="139"/>
      <c r="AQ301" s="139"/>
      <c r="AR301" s="139"/>
      <c r="AS301" s="139"/>
      <c r="AT301" s="139"/>
      <c r="AU301" s="139"/>
      <c r="AV301" s="139"/>
      <c r="AW301" s="139"/>
      <c r="AX301" s="139"/>
      <c r="AY301" s="139"/>
      <c r="AZ301" s="139"/>
      <c r="BA301" s="139"/>
      <c r="BB301" s="139"/>
      <c r="BC301" s="139"/>
      <c r="BD301" s="139"/>
      <c r="BE301" s="139"/>
      <c r="BF301" s="139"/>
      <c r="BG301" s="139"/>
      <c r="BH301" s="139"/>
    </row>
    <row r="302" spans="2:60" s="11" customFormat="1" ht="19.899999999999999" customHeight="1">
      <c r="B302" s="5590"/>
      <c r="C302" s="5598"/>
      <c r="D302" s="9598" t="s">
        <v>631</v>
      </c>
      <c r="E302" s="9600"/>
      <c r="F302" s="87" t="s">
        <v>255</v>
      </c>
      <c r="G302" s="253"/>
      <c r="H302" s="286"/>
      <c r="I302" s="9582" t="s">
        <v>147</v>
      </c>
      <c r="J302" s="9583"/>
      <c r="K302" s="280" t="s">
        <v>255</v>
      </c>
      <c r="L302" s="6061" t="s">
        <v>168</v>
      </c>
      <c r="M302" s="6059" t="s">
        <v>641</v>
      </c>
      <c r="N302" s="6060" t="s">
        <v>168</v>
      </c>
      <c r="O302" s="6060" t="s">
        <v>641</v>
      </c>
      <c r="P302" s="6060" t="s">
        <v>168</v>
      </c>
      <c r="Q302" s="6060" t="s">
        <v>641</v>
      </c>
      <c r="R302" s="2468"/>
      <c r="S302" s="276"/>
      <c r="T302" s="99"/>
      <c r="U302" s="138"/>
      <c r="V302" s="138"/>
      <c r="W302" s="99"/>
      <c r="X302" s="264"/>
      <c r="Y302" s="277"/>
      <c r="Z302" s="187"/>
      <c r="AA302" s="6301"/>
      <c r="AB302" s="139"/>
      <c r="AC302" s="139"/>
      <c r="AD302" s="139"/>
      <c r="AE302" s="139"/>
      <c r="AF302" s="139"/>
      <c r="AG302" s="139"/>
      <c r="AH302" s="139"/>
      <c r="AI302" s="139"/>
      <c r="AJ302" s="139"/>
      <c r="AK302" s="139"/>
      <c r="AL302" s="139"/>
      <c r="AM302" s="139"/>
      <c r="AN302" s="139"/>
      <c r="AO302" s="139"/>
      <c r="AP302" s="139"/>
      <c r="AQ302" s="139"/>
      <c r="AR302" s="139"/>
      <c r="AS302" s="139"/>
      <c r="AT302" s="139"/>
      <c r="AU302" s="139"/>
      <c r="AV302" s="139"/>
      <c r="AW302" s="139"/>
      <c r="AX302" s="139"/>
      <c r="AY302" s="139"/>
      <c r="AZ302" s="139"/>
      <c r="BA302" s="139"/>
      <c r="BB302" s="139"/>
      <c r="BC302" s="139"/>
      <c r="BD302" s="139"/>
      <c r="BE302" s="139"/>
      <c r="BF302" s="139"/>
      <c r="BG302" s="139"/>
      <c r="BH302" s="139"/>
    </row>
    <row r="303" spans="2:60" s="11" customFormat="1" ht="19.899999999999999" customHeight="1">
      <c r="B303" s="5590"/>
      <c r="C303" s="5598"/>
      <c r="D303" s="9598" t="s">
        <v>633</v>
      </c>
      <c r="E303" s="9600"/>
      <c r="F303" s="87" t="s">
        <v>255</v>
      </c>
      <c r="G303" s="253"/>
      <c r="H303" s="286"/>
      <c r="I303" s="9582" t="s">
        <v>150</v>
      </c>
      <c r="J303" s="9583"/>
      <c r="K303" s="280" t="s">
        <v>255</v>
      </c>
      <c r="L303" s="6029">
        <v>0</v>
      </c>
      <c r="M303" s="6059"/>
      <c r="N303" s="6060">
        <v>0</v>
      </c>
      <c r="O303" s="6060"/>
      <c r="P303" s="6060">
        <v>0</v>
      </c>
      <c r="Q303" s="6060"/>
      <c r="R303" s="2468"/>
      <c r="S303" s="276"/>
      <c r="T303" s="99"/>
      <c r="U303" s="138"/>
      <c r="V303" s="138"/>
      <c r="W303" s="99"/>
      <c r="X303" s="264"/>
      <c r="Y303" s="277"/>
      <c r="Z303" s="187"/>
      <c r="AA303" s="6301"/>
      <c r="AB303" s="139"/>
      <c r="AC303" s="139"/>
      <c r="AD303" s="139"/>
      <c r="AE303" s="139"/>
      <c r="AF303" s="139"/>
      <c r="AG303" s="139"/>
      <c r="AH303" s="139"/>
      <c r="AI303" s="139"/>
      <c r="AJ303" s="139"/>
      <c r="AK303" s="139"/>
      <c r="AL303" s="139"/>
      <c r="AM303" s="139"/>
      <c r="AN303" s="139"/>
      <c r="AO303" s="139"/>
      <c r="AP303" s="139"/>
      <c r="AQ303" s="139"/>
      <c r="AR303" s="139"/>
      <c r="AS303" s="139"/>
      <c r="AT303" s="139"/>
      <c r="AU303" s="139"/>
      <c r="AV303" s="139"/>
      <c r="AW303" s="139"/>
      <c r="AX303" s="139"/>
      <c r="AY303" s="139"/>
      <c r="AZ303" s="139"/>
      <c r="BA303" s="139"/>
      <c r="BB303" s="139"/>
      <c r="BC303" s="139"/>
      <c r="BD303" s="139"/>
      <c r="BE303" s="139"/>
      <c r="BF303" s="139"/>
      <c r="BG303" s="139"/>
      <c r="BH303" s="139"/>
    </row>
    <row r="304" spans="2:60" s="11" customFormat="1" ht="20.100000000000001" customHeight="1">
      <c r="B304" s="1360"/>
      <c r="C304" s="9680" t="s">
        <v>285</v>
      </c>
      <c r="D304" s="9594"/>
      <c r="E304" s="9595"/>
      <c r="F304" s="105" t="s">
        <v>286</v>
      </c>
      <c r="G304" s="184"/>
      <c r="H304" s="9593" t="s">
        <v>287</v>
      </c>
      <c r="I304" s="9594"/>
      <c r="J304" s="9595"/>
      <c r="K304" s="105" t="s">
        <v>288</v>
      </c>
      <c r="L304" s="5653">
        <f>IF(COUNTBLANK(L305:L310)&gt;0,"미취합법인有",SUM(L305:L310))</f>
        <v>115.40380868488917</v>
      </c>
      <c r="M304" s="5657"/>
      <c r="N304" s="5654">
        <f>IF(COUNTBLANK(N305:N310)&gt;0,"미취합법인有",SUM(N305:N310))</f>
        <v>58.341973169130874</v>
      </c>
      <c r="O304" s="5663"/>
      <c r="P304" s="5781">
        <f>IF(COUNTBLANK(P305:P310)&gt;0,"미취합법인有",SUM(P305:P310))</f>
        <v>46.744247237545984</v>
      </c>
      <c r="Q304" s="5654"/>
      <c r="R304" s="2468" t="s">
        <v>289</v>
      </c>
      <c r="S304" s="276" t="s">
        <v>290</v>
      </c>
      <c r="T304" s="99" t="s">
        <v>206</v>
      </c>
      <c r="U304" s="138"/>
      <c r="V304" s="138"/>
      <c r="W304" s="99"/>
      <c r="X304" s="346" t="s">
        <v>291</v>
      </c>
      <c r="Y304" s="346" t="s">
        <v>292</v>
      </c>
      <c r="Z304" s="187"/>
      <c r="AA304" s="6301"/>
      <c r="AB304" s="139"/>
      <c r="AC304" s="139"/>
      <c r="AD304" s="139"/>
      <c r="AE304" s="139"/>
      <c r="AF304" s="139"/>
      <c r="AG304" s="139"/>
      <c r="AH304" s="139"/>
      <c r="AI304" s="139"/>
      <c r="AJ304" s="139"/>
      <c r="AK304" s="139"/>
      <c r="AL304" s="139"/>
      <c r="AM304" s="139"/>
      <c r="AN304" s="139"/>
      <c r="AO304" s="139"/>
      <c r="AP304" s="139"/>
      <c r="AQ304" s="139"/>
      <c r="AR304" s="139"/>
      <c r="AS304" s="139"/>
      <c r="AT304" s="139"/>
      <c r="AU304" s="139"/>
      <c r="AV304" s="139"/>
      <c r="AW304" s="139"/>
      <c r="AX304" s="139"/>
      <c r="AY304" s="139"/>
      <c r="AZ304" s="139"/>
      <c r="BA304" s="139"/>
      <c r="BB304" s="139"/>
      <c r="BC304" s="139"/>
      <c r="BD304" s="139"/>
      <c r="BE304" s="139"/>
      <c r="BF304" s="139"/>
      <c r="BG304" s="139"/>
      <c r="BH304" s="139"/>
    </row>
    <row r="305" spans="2:60" s="11" customFormat="1">
      <c r="B305" s="5590"/>
      <c r="C305" s="9647" t="s">
        <v>134</v>
      </c>
      <c r="D305" s="9648"/>
      <c r="E305" s="9649"/>
      <c r="F305" s="105" t="s">
        <v>286</v>
      </c>
      <c r="G305" s="253"/>
      <c r="H305" s="9579" t="s">
        <v>135</v>
      </c>
      <c r="I305" s="9580"/>
      <c r="J305" s="9581"/>
      <c r="K305" s="105" t="s">
        <v>288</v>
      </c>
      <c r="L305" s="5592">
        <v>0.38601637792783605</v>
      </c>
      <c r="M305" s="5656"/>
      <c r="N305" s="5593">
        <v>0.21113310963709983</v>
      </c>
      <c r="O305" s="5664"/>
      <c r="P305" s="5655">
        <v>0.18</v>
      </c>
      <c r="Q305" s="5593"/>
      <c r="R305" s="1033"/>
      <c r="S305" s="263"/>
      <c r="T305" s="99"/>
      <c r="U305" s="138"/>
      <c r="V305" s="138"/>
      <c r="W305" s="99"/>
      <c r="X305" s="264"/>
      <c r="Y305" s="277"/>
      <c r="Z305" s="187"/>
      <c r="AA305" s="6301"/>
      <c r="AB305" s="139"/>
      <c r="AC305" s="139"/>
      <c r="AD305" s="139"/>
      <c r="AE305" s="139"/>
      <c r="AF305" s="139"/>
      <c r="AG305" s="139"/>
      <c r="AH305" s="139"/>
      <c r="AI305" s="139"/>
      <c r="AJ305" s="139"/>
      <c r="AK305" s="139"/>
      <c r="AL305" s="139"/>
      <c r="AM305" s="139"/>
      <c r="AN305" s="139"/>
      <c r="AO305" s="139"/>
      <c r="AP305" s="139"/>
      <c r="AQ305" s="139"/>
      <c r="AR305" s="139"/>
      <c r="AS305" s="139"/>
      <c r="AT305" s="139"/>
      <c r="AU305" s="139"/>
      <c r="AV305" s="139"/>
      <c r="AW305" s="139"/>
      <c r="AX305" s="139"/>
      <c r="AY305" s="139"/>
      <c r="AZ305" s="139"/>
      <c r="BA305" s="139"/>
      <c r="BB305" s="139"/>
      <c r="BC305" s="139"/>
      <c r="BD305" s="139"/>
      <c r="BE305" s="139"/>
      <c r="BF305" s="139"/>
      <c r="BG305" s="139"/>
      <c r="BH305" s="139"/>
    </row>
    <row r="306" spans="2:60" s="11" customFormat="1" ht="19.899999999999999" customHeight="1">
      <c r="B306" s="5590"/>
      <c r="C306" s="9647" t="s">
        <v>137</v>
      </c>
      <c r="D306" s="9648"/>
      <c r="E306" s="9649"/>
      <c r="F306" s="105" t="s">
        <v>286</v>
      </c>
      <c r="G306" s="253"/>
      <c r="H306" s="9579" t="s">
        <v>138</v>
      </c>
      <c r="I306" s="9580"/>
      <c r="J306" s="9581"/>
      <c r="K306" s="105" t="s">
        <v>288</v>
      </c>
      <c r="L306" s="5592">
        <v>114.76551641137856</v>
      </c>
      <c r="M306" s="5656"/>
      <c r="N306" s="5593">
        <v>57.874962365591394</v>
      </c>
      <c r="O306" s="5593"/>
      <c r="P306" s="5593">
        <v>46.374191363251484</v>
      </c>
      <c r="Q306" s="5593"/>
      <c r="R306" s="1033"/>
      <c r="S306" s="263"/>
      <c r="T306" s="99"/>
      <c r="U306" s="138"/>
      <c r="V306" s="138"/>
      <c r="W306" s="99"/>
      <c r="X306" s="264"/>
      <c r="Y306" s="277"/>
      <c r="Z306" s="187"/>
      <c r="AA306" s="6301"/>
      <c r="AB306" s="139"/>
      <c r="AC306" s="139"/>
      <c r="AD306" s="139"/>
      <c r="AE306" s="139"/>
      <c r="AF306" s="139"/>
      <c r="AG306" s="139"/>
      <c r="AH306" s="139"/>
      <c r="AI306" s="139"/>
      <c r="AJ306" s="139"/>
      <c r="AK306" s="139"/>
      <c r="AL306" s="139"/>
      <c r="AM306" s="139"/>
      <c r="AN306" s="139"/>
      <c r="AO306" s="139"/>
      <c r="AP306" s="139"/>
      <c r="AQ306" s="139"/>
      <c r="AR306" s="139"/>
      <c r="AS306" s="139"/>
      <c r="AT306" s="139"/>
      <c r="AU306" s="139"/>
      <c r="AV306" s="139"/>
      <c r="AW306" s="139"/>
      <c r="AX306" s="139"/>
      <c r="AY306" s="139"/>
      <c r="AZ306" s="139"/>
      <c r="BA306" s="139"/>
      <c r="BB306" s="139"/>
      <c r="BC306" s="139"/>
      <c r="BD306" s="139"/>
      <c r="BE306" s="139"/>
      <c r="BF306" s="139"/>
      <c r="BG306" s="139"/>
      <c r="BH306" s="139"/>
    </row>
    <row r="307" spans="2:60" s="11" customFormat="1" ht="19.899999999999999" customHeight="1">
      <c r="B307" s="5590"/>
      <c r="C307" s="9647" t="s">
        <v>140</v>
      </c>
      <c r="D307" s="9648"/>
      <c r="E307" s="9649"/>
      <c r="F307" s="105" t="s">
        <v>286</v>
      </c>
      <c r="G307" s="253"/>
      <c r="H307" s="9579" t="s">
        <v>141</v>
      </c>
      <c r="I307" s="9580"/>
      <c r="J307" s="9581"/>
      <c r="K307" s="105" t="s">
        <v>288</v>
      </c>
      <c r="L307" s="5592">
        <v>0.11231382967573462</v>
      </c>
      <c r="M307" s="5656"/>
      <c r="N307" s="5593">
        <v>0.1545732077852528</v>
      </c>
      <c r="O307" s="5593"/>
      <c r="P307" s="5593">
        <v>8.9134625498143175E-2</v>
      </c>
      <c r="Q307" s="5593"/>
      <c r="R307" s="1033"/>
      <c r="S307" s="263"/>
      <c r="T307" s="99"/>
      <c r="U307" s="138"/>
      <c r="V307" s="138"/>
      <c r="W307" s="99"/>
      <c r="X307" s="264"/>
      <c r="Y307" s="277"/>
      <c r="Z307" s="187"/>
      <c r="AA307" s="6301"/>
      <c r="AB307" s="139"/>
      <c r="AC307" s="139"/>
      <c r="AD307" s="139"/>
      <c r="AE307" s="139"/>
      <c r="AF307" s="139"/>
      <c r="AG307" s="139"/>
      <c r="AH307" s="139"/>
      <c r="AI307" s="139"/>
      <c r="AJ307" s="139"/>
      <c r="AK307" s="139"/>
      <c r="AL307" s="139"/>
      <c r="AM307" s="139"/>
      <c r="AN307" s="139"/>
      <c r="AO307" s="139"/>
      <c r="AP307" s="139"/>
      <c r="AQ307" s="139"/>
      <c r="AR307" s="139"/>
      <c r="AS307" s="139"/>
      <c r="AT307" s="139"/>
      <c r="AU307" s="139"/>
      <c r="AV307" s="139"/>
      <c r="AW307" s="139"/>
      <c r="AX307" s="139"/>
      <c r="AY307" s="139"/>
      <c r="AZ307" s="139"/>
      <c r="BA307" s="139"/>
      <c r="BB307" s="139"/>
      <c r="BC307" s="139"/>
      <c r="BD307" s="139"/>
      <c r="BE307" s="139"/>
      <c r="BF307" s="139"/>
      <c r="BG307" s="139"/>
      <c r="BH307" s="139"/>
    </row>
    <row r="308" spans="2:60" s="11" customFormat="1" ht="19.899999999999999" customHeight="1">
      <c r="B308" s="5590"/>
      <c r="C308" s="9647" t="s">
        <v>143</v>
      </c>
      <c r="D308" s="9648"/>
      <c r="E308" s="9649"/>
      <c r="F308" s="105" t="s">
        <v>286</v>
      </c>
      <c r="G308" s="253"/>
      <c r="H308" s="9579" t="s">
        <v>144</v>
      </c>
      <c r="I308" s="9580"/>
      <c r="J308" s="9581"/>
      <c r="K308" s="105" t="s">
        <v>288</v>
      </c>
      <c r="L308" s="5592">
        <v>0.13531714353132041</v>
      </c>
      <c r="M308" s="5656"/>
      <c r="N308" s="5593">
        <v>9.9097857307294118E-2</v>
      </c>
      <c r="O308" s="5593"/>
      <c r="P308" s="5593">
        <v>9.9719824790536329E-2</v>
      </c>
      <c r="Q308" s="5593"/>
      <c r="R308" s="1033"/>
      <c r="S308" s="263"/>
      <c r="T308" s="99"/>
      <c r="U308" s="138"/>
      <c r="V308" s="138"/>
      <c r="W308" s="99"/>
      <c r="X308" s="264"/>
      <c r="Y308" s="277"/>
      <c r="Z308" s="187"/>
      <c r="AA308" s="6301"/>
      <c r="AB308" s="139"/>
      <c r="AC308" s="139"/>
      <c r="AD308" s="139"/>
      <c r="AE308" s="139"/>
      <c r="AF308" s="139"/>
      <c r="AG308" s="139"/>
      <c r="AH308" s="139"/>
      <c r="AI308" s="139"/>
      <c r="AJ308" s="139"/>
      <c r="AK308" s="139"/>
      <c r="AL308" s="139"/>
      <c r="AM308" s="139"/>
      <c r="AN308" s="139"/>
      <c r="AO308" s="139"/>
      <c r="AP308" s="139"/>
      <c r="AQ308" s="139"/>
      <c r="AR308" s="139"/>
      <c r="AS308" s="139"/>
      <c r="AT308" s="139"/>
      <c r="AU308" s="139"/>
      <c r="AV308" s="139"/>
      <c r="AW308" s="139"/>
      <c r="AX308" s="139"/>
      <c r="AY308" s="139"/>
      <c r="AZ308" s="139"/>
      <c r="BA308" s="139"/>
      <c r="BB308" s="139"/>
      <c r="BC308" s="139"/>
      <c r="BD308" s="139"/>
      <c r="BE308" s="139"/>
      <c r="BF308" s="139"/>
      <c r="BG308" s="139"/>
      <c r="BH308" s="139"/>
    </row>
    <row r="309" spans="2:60" s="11" customFormat="1" ht="19.899999999999999" customHeight="1">
      <c r="B309" s="5590"/>
      <c r="C309" s="9647" t="s">
        <v>631</v>
      </c>
      <c r="D309" s="9648"/>
      <c r="E309" s="9649"/>
      <c r="F309" s="105" t="s">
        <v>286</v>
      </c>
      <c r="G309" s="253"/>
      <c r="H309" s="9579" t="s">
        <v>147</v>
      </c>
      <c r="I309" s="9580"/>
      <c r="J309" s="9581"/>
      <c r="K309" s="105" t="s">
        <v>288</v>
      </c>
      <c r="L309" s="5967" t="s">
        <v>168</v>
      </c>
      <c r="M309" s="5656" t="s">
        <v>641</v>
      </c>
      <c r="N309" s="5593" t="s">
        <v>168</v>
      </c>
      <c r="O309" s="5593" t="s">
        <v>641</v>
      </c>
      <c r="P309" s="5593" t="s">
        <v>168</v>
      </c>
      <c r="Q309" s="5593" t="s">
        <v>641</v>
      </c>
      <c r="R309" s="1033"/>
      <c r="S309" s="263"/>
      <c r="T309" s="99"/>
      <c r="U309" s="138"/>
      <c r="V309" s="138"/>
      <c r="W309" s="99"/>
      <c r="X309" s="264"/>
      <c r="Y309" s="277"/>
      <c r="Z309" s="187"/>
      <c r="AA309" s="6301"/>
      <c r="AB309" s="139"/>
      <c r="AC309" s="139"/>
      <c r="AD309" s="139"/>
      <c r="AE309" s="139"/>
      <c r="AF309" s="139"/>
      <c r="AG309" s="139"/>
      <c r="AH309" s="139"/>
      <c r="AI309" s="139"/>
      <c r="AJ309" s="139"/>
      <c r="AK309" s="139"/>
      <c r="AL309" s="139"/>
      <c r="AM309" s="139"/>
      <c r="AN309" s="139"/>
      <c r="AO309" s="139"/>
      <c r="AP309" s="139"/>
      <c r="AQ309" s="139"/>
      <c r="AR309" s="139"/>
      <c r="AS309" s="139"/>
      <c r="AT309" s="139"/>
      <c r="AU309" s="139"/>
      <c r="AV309" s="139"/>
      <c r="AW309" s="139"/>
      <c r="AX309" s="139"/>
      <c r="AY309" s="139"/>
      <c r="AZ309" s="139"/>
      <c r="BA309" s="139"/>
      <c r="BB309" s="139"/>
      <c r="BC309" s="139"/>
      <c r="BD309" s="139"/>
      <c r="BE309" s="139"/>
      <c r="BF309" s="139"/>
      <c r="BG309" s="139"/>
      <c r="BH309" s="139"/>
    </row>
    <row r="310" spans="2:60" s="11" customFormat="1" ht="19.899999999999999" customHeight="1">
      <c r="B310" s="5590"/>
      <c r="C310" s="9647" t="s">
        <v>633</v>
      </c>
      <c r="D310" s="9648"/>
      <c r="E310" s="9649"/>
      <c r="F310" s="105" t="s">
        <v>286</v>
      </c>
      <c r="G310" s="253"/>
      <c r="H310" s="9579" t="s">
        <v>150</v>
      </c>
      <c r="I310" s="9580"/>
      <c r="J310" s="9581"/>
      <c r="K310" s="105" t="s">
        <v>288</v>
      </c>
      <c r="L310" s="5592">
        <v>4.6449223757299533E-3</v>
      </c>
      <c r="M310" s="5656"/>
      <c r="N310" s="5593">
        <v>2.2066288098273263E-3</v>
      </c>
      <c r="O310" s="5593"/>
      <c r="P310" s="5593">
        <v>1.2014240058254785E-3</v>
      </c>
      <c r="Q310" s="5593"/>
      <c r="R310" s="1033"/>
      <c r="S310" s="263"/>
      <c r="T310" s="99"/>
      <c r="U310" s="138"/>
      <c r="V310" s="138"/>
      <c r="W310" s="99"/>
      <c r="X310" s="264"/>
      <c r="Y310" s="277"/>
      <c r="Z310" s="187"/>
      <c r="AA310" s="6301"/>
      <c r="AB310" s="139"/>
      <c r="AC310" s="139"/>
      <c r="AD310" s="139"/>
      <c r="AE310" s="139"/>
      <c r="AF310" s="139"/>
      <c r="AG310" s="139"/>
      <c r="AH310" s="139"/>
      <c r="AI310" s="139"/>
      <c r="AJ310" s="139"/>
      <c r="AK310" s="139"/>
      <c r="AL310" s="139"/>
      <c r="AM310" s="139"/>
      <c r="AN310" s="139"/>
      <c r="AO310" s="139"/>
      <c r="AP310" s="139"/>
      <c r="AQ310" s="139"/>
      <c r="AR310" s="139"/>
      <c r="AS310" s="139"/>
      <c r="AT310" s="139"/>
      <c r="AU310" s="139"/>
      <c r="AV310" s="139"/>
      <c r="AW310" s="139"/>
      <c r="AX310" s="139"/>
      <c r="AY310" s="139"/>
      <c r="AZ310" s="139"/>
      <c r="BA310" s="139"/>
      <c r="BB310" s="139"/>
      <c r="BC310" s="139"/>
      <c r="BD310" s="139"/>
      <c r="BE310" s="139"/>
      <c r="BF310" s="139"/>
      <c r="BG310" s="139"/>
      <c r="BH310" s="139"/>
    </row>
    <row r="311" spans="2:60" s="11" customFormat="1" ht="20.100000000000001" customHeight="1">
      <c r="B311" s="1360"/>
      <c r="C311" s="5598"/>
      <c r="D311" s="9593" t="s">
        <v>254</v>
      </c>
      <c r="E311" s="9594"/>
      <c r="F311" s="280" t="s">
        <v>255</v>
      </c>
      <c r="G311" s="106"/>
      <c r="H311" s="358"/>
      <c r="I311" s="9593" t="s">
        <v>293</v>
      </c>
      <c r="J311" s="9594"/>
      <c r="K311" s="280" t="s">
        <v>255</v>
      </c>
      <c r="L311" s="5653" t="str">
        <f>IF(COUNTBLANK(L312:L317)&gt;0,"미취합법인有",SUM(L312:L317))</f>
        <v>미취합법인有</v>
      </c>
      <c r="M311" s="5657"/>
      <c r="N311" s="5654" t="str">
        <f>IF(COUNTBLANK(N312:N317)&gt;0,"미취합법인有",SUM(N312:N317))</f>
        <v>미취합법인有</v>
      </c>
      <c r="O311" s="5663"/>
      <c r="P311" s="5781" t="str">
        <f>IF(COUNTBLANK(P312:P317)&gt;0,"미취합법인有",SUM(P312:P317))</f>
        <v>미취합법인有</v>
      </c>
      <c r="Q311" s="785"/>
      <c r="R311" s="2468"/>
      <c r="S311" s="276"/>
      <c r="T311" s="99" t="s">
        <v>206</v>
      </c>
      <c r="U311" s="138"/>
      <c r="V311" s="138"/>
      <c r="W311" s="99"/>
      <c r="X311" s="346" t="s">
        <v>294</v>
      </c>
      <c r="Y311" s="346"/>
      <c r="Z311" s="187"/>
      <c r="AA311" s="6301"/>
      <c r="AB311" s="139"/>
      <c r="AC311" s="139"/>
      <c r="AD311" s="139"/>
      <c r="AE311" s="139"/>
      <c r="AF311" s="139"/>
      <c r="AG311" s="139"/>
      <c r="AH311" s="139"/>
      <c r="AI311" s="139"/>
      <c r="AJ311" s="139"/>
      <c r="AK311" s="139"/>
      <c r="AL311" s="139"/>
      <c r="AM311" s="139"/>
      <c r="AN311" s="139"/>
      <c r="AO311" s="139"/>
      <c r="AP311" s="139"/>
      <c r="AQ311" s="139"/>
      <c r="AR311" s="139"/>
      <c r="AS311" s="139"/>
      <c r="AT311" s="139"/>
      <c r="AU311" s="139"/>
      <c r="AV311" s="139"/>
      <c r="AW311" s="139"/>
      <c r="AX311" s="139"/>
      <c r="AY311" s="139"/>
      <c r="AZ311" s="139"/>
      <c r="BA311" s="139"/>
      <c r="BB311" s="139"/>
      <c r="BC311" s="139"/>
      <c r="BD311" s="139"/>
      <c r="BE311" s="139"/>
      <c r="BF311" s="139"/>
      <c r="BG311" s="139"/>
      <c r="BH311" s="139"/>
    </row>
    <row r="312" spans="2:60" s="11" customFormat="1" ht="19.899999999999999" customHeight="1">
      <c r="B312" s="5590"/>
      <c r="C312" s="5598"/>
      <c r="D312" s="9598" t="s">
        <v>134</v>
      </c>
      <c r="E312" s="9600"/>
      <c r="F312" s="87" t="s">
        <v>255</v>
      </c>
      <c r="G312" s="253"/>
      <c r="H312" s="286"/>
      <c r="I312" s="9579" t="s">
        <v>135</v>
      </c>
      <c r="J312" s="9581"/>
      <c r="K312" s="132" t="s">
        <v>255</v>
      </c>
      <c r="L312" s="5839">
        <v>1268</v>
      </c>
      <c r="M312" s="5840"/>
      <c r="N312" s="6056">
        <v>1492</v>
      </c>
      <c r="O312" s="6057" t="s">
        <v>650</v>
      </c>
      <c r="P312" s="5655">
        <v>1458</v>
      </c>
      <c r="Q312" s="6060"/>
      <c r="R312" s="2468"/>
      <c r="S312" s="276"/>
      <c r="T312" s="99"/>
      <c r="U312" s="138"/>
      <c r="V312" s="138"/>
      <c r="W312" s="99"/>
      <c r="X312" s="264"/>
      <c r="Y312" s="277"/>
      <c r="Z312" s="187"/>
      <c r="AA312" s="6301"/>
      <c r="AB312" s="139"/>
      <c r="AC312" s="139"/>
      <c r="AD312" s="139"/>
      <c r="AE312" s="139"/>
      <c r="AF312" s="139"/>
      <c r="AG312" s="139"/>
      <c r="AH312" s="139"/>
      <c r="AI312" s="139"/>
      <c r="AJ312" s="139"/>
      <c r="AK312" s="139"/>
      <c r="AL312" s="139"/>
      <c r="AM312" s="139"/>
      <c r="AN312" s="139"/>
      <c r="AO312" s="139"/>
      <c r="AP312" s="139"/>
      <c r="AQ312" s="139"/>
      <c r="AR312" s="139"/>
      <c r="AS312" s="139"/>
      <c r="AT312" s="139"/>
      <c r="AU312" s="139"/>
      <c r="AV312" s="139"/>
      <c r="AW312" s="139"/>
      <c r="AX312" s="139"/>
      <c r="AY312" s="139"/>
      <c r="AZ312" s="139"/>
      <c r="BA312" s="139"/>
      <c r="BB312" s="139"/>
      <c r="BC312" s="139"/>
      <c r="BD312" s="139"/>
      <c r="BE312" s="139"/>
      <c r="BF312" s="139"/>
      <c r="BG312" s="139"/>
      <c r="BH312" s="139"/>
    </row>
    <row r="313" spans="2:60" s="11" customFormat="1" ht="19.899999999999999" customHeight="1">
      <c r="B313" s="5590"/>
      <c r="C313" s="5598"/>
      <c r="D313" s="9598" t="s">
        <v>137</v>
      </c>
      <c r="E313" s="9600"/>
      <c r="F313" s="87" t="s">
        <v>255</v>
      </c>
      <c r="G313" s="253"/>
      <c r="H313" s="286"/>
      <c r="I313" s="9579" t="s">
        <v>138</v>
      </c>
      <c r="J313" s="9581"/>
      <c r="K313" s="132" t="s">
        <v>255</v>
      </c>
      <c r="L313" s="5839">
        <v>52447.841</v>
      </c>
      <c r="M313" s="5840"/>
      <c r="N313" s="6056">
        <v>53823.714999999997</v>
      </c>
      <c r="O313" s="6057"/>
      <c r="P313" s="5655">
        <v>54767.920000000006</v>
      </c>
      <c r="Q313" s="6060"/>
      <c r="R313" s="2468"/>
      <c r="S313" s="276"/>
      <c r="T313" s="99"/>
      <c r="U313" s="138"/>
      <c r="V313" s="138"/>
      <c r="W313" s="99"/>
      <c r="X313" s="264"/>
      <c r="Y313" s="277"/>
      <c r="Z313" s="187"/>
      <c r="AA313" s="6301"/>
      <c r="AB313" s="139"/>
      <c r="AC313" s="139"/>
      <c r="AD313" s="139"/>
      <c r="AE313" s="139"/>
      <c r="AF313" s="139"/>
      <c r="AG313" s="139"/>
      <c r="AH313" s="139"/>
      <c r="AI313" s="139"/>
      <c r="AJ313" s="139"/>
      <c r="AK313" s="139"/>
      <c r="AL313" s="139"/>
      <c r="AM313" s="139"/>
      <c r="AN313" s="139"/>
      <c r="AO313" s="139"/>
      <c r="AP313" s="139"/>
      <c r="AQ313" s="139"/>
      <c r="AR313" s="139"/>
      <c r="AS313" s="139"/>
      <c r="AT313" s="139"/>
      <c r="AU313" s="139"/>
      <c r="AV313" s="139"/>
      <c r="AW313" s="139"/>
      <c r="AX313" s="139"/>
      <c r="AY313" s="139"/>
      <c r="AZ313" s="139"/>
      <c r="BA313" s="139"/>
      <c r="BB313" s="139"/>
      <c r="BC313" s="139"/>
      <c r="BD313" s="139"/>
      <c r="BE313" s="139"/>
      <c r="BF313" s="139"/>
      <c r="BG313" s="139"/>
      <c r="BH313" s="139"/>
    </row>
    <row r="314" spans="2:60" s="11" customFormat="1" ht="19.899999999999999" customHeight="1">
      <c r="B314" s="5590"/>
      <c r="C314" s="5598"/>
      <c r="D314" s="9598" t="s">
        <v>140</v>
      </c>
      <c r="E314" s="9600"/>
      <c r="F314" s="87" t="s">
        <v>255</v>
      </c>
      <c r="G314" s="253"/>
      <c r="H314" s="286"/>
      <c r="I314" s="9582" t="s">
        <v>141</v>
      </c>
      <c r="J314" s="9583"/>
      <c r="K314" s="132" t="s">
        <v>255</v>
      </c>
      <c r="L314" s="6029">
        <v>293.25696436359488</v>
      </c>
      <c r="M314" s="6059"/>
      <c r="N314" s="6060">
        <v>257.91617295420275</v>
      </c>
      <c r="O314" s="6060"/>
      <c r="P314" s="6060">
        <v>266.00810795785208</v>
      </c>
      <c r="Q314" s="6060"/>
      <c r="R314" s="2468"/>
      <c r="S314" s="276"/>
      <c r="T314" s="99"/>
      <c r="U314" s="138"/>
      <c r="V314" s="138"/>
      <c r="W314" s="99"/>
      <c r="X314" s="264"/>
      <c r="Y314" s="277"/>
      <c r="Z314" s="187"/>
      <c r="AA314" s="6301"/>
      <c r="AB314" s="139"/>
      <c r="AC314" s="139"/>
      <c r="AD314" s="139"/>
      <c r="AE314" s="139"/>
      <c r="AF314" s="139"/>
      <c r="AG314" s="139"/>
      <c r="AH314" s="139"/>
      <c r="AI314" s="139"/>
      <c r="AJ314" s="139"/>
      <c r="AK314" s="139"/>
      <c r="AL314" s="139"/>
      <c r="AM314" s="139"/>
      <c r="AN314" s="139"/>
      <c r="AO314" s="139"/>
      <c r="AP314" s="139"/>
      <c r="AQ314" s="139"/>
      <c r="AR314" s="139"/>
      <c r="AS314" s="139"/>
      <c r="AT314" s="139"/>
      <c r="AU314" s="139"/>
      <c r="AV314" s="139"/>
      <c r="AW314" s="139"/>
      <c r="AX314" s="139"/>
      <c r="AY314" s="139"/>
      <c r="AZ314" s="139"/>
      <c r="BA314" s="139"/>
      <c r="BB314" s="139"/>
      <c r="BC314" s="139"/>
      <c r="BD314" s="139"/>
      <c r="BE314" s="139"/>
      <c r="BF314" s="139"/>
      <c r="BG314" s="139"/>
      <c r="BH314" s="139"/>
    </row>
    <row r="315" spans="2:60" s="11" customFormat="1" ht="19.899999999999999" customHeight="1">
      <c r="B315" s="5590"/>
      <c r="C315" s="5598"/>
      <c r="D315" s="9598" t="s">
        <v>143</v>
      </c>
      <c r="E315" s="9600"/>
      <c r="F315" s="87" t="s">
        <v>255</v>
      </c>
      <c r="G315" s="253"/>
      <c r="H315" s="286"/>
      <c r="I315" s="9582" t="s">
        <v>144</v>
      </c>
      <c r="J315" s="9583"/>
      <c r="K315" s="132" t="s">
        <v>255</v>
      </c>
      <c r="L315" s="6029">
        <v>54.037363380335201</v>
      </c>
      <c r="M315" s="6059"/>
      <c r="N315" s="6060">
        <v>117.93083850502801</v>
      </c>
      <c r="O315" s="6060"/>
      <c r="P315" s="6060">
        <v>131.92724031512199</v>
      </c>
      <c r="Q315" s="6060"/>
      <c r="R315" s="2468"/>
      <c r="S315" s="276"/>
      <c r="T315" s="99"/>
      <c r="U315" s="138"/>
      <c r="V315" s="138"/>
      <c r="W315" s="99"/>
      <c r="X315" s="264"/>
      <c r="Y315" s="277"/>
      <c r="Z315" s="187"/>
      <c r="AA315" s="6301"/>
      <c r="AB315" s="139"/>
      <c r="AC315" s="139"/>
      <c r="AD315" s="139"/>
      <c r="AE315" s="139"/>
      <c r="AF315" s="139"/>
      <c r="AG315" s="139"/>
      <c r="AH315" s="139"/>
      <c r="AI315" s="139"/>
      <c r="AJ315" s="139"/>
      <c r="AK315" s="139"/>
      <c r="AL315" s="139"/>
      <c r="AM315" s="139"/>
      <c r="AN315" s="139"/>
      <c r="AO315" s="139"/>
      <c r="AP315" s="139"/>
      <c r="AQ315" s="139"/>
      <c r="AR315" s="139"/>
      <c r="AS315" s="139"/>
      <c r="AT315" s="139"/>
      <c r="AU315" s="139"/>
      <c r="AV315" s="139"/>
      <c r="AW315" s="139"/>
      <c r="AX315" s="139"/>
      <c r="AY315" s="139"/>
      <c r="AZ315" s="139"/>
      <c r="BA315" s="139"/>
      <c r="BB315" s="139"/>
      <c r="BC315" s="139"/>
      <c r="BD315" s="139"/>
      <c r="BE315" s="139"/>
      <c r="BF315" s="139"/>
      <c r="BG315" s="139"/>
      <c r="BH315" s="139"/>
    </row>
    <row r="316" spans="2:60" s="11" customFormat="1" ht="19.899999999999999" customHeight="1">
      <c r="B316" s="5590"/>
      <c r="C316" s="5598"/>
      <c r="D316" s="9598" t="s">
        <v>631</v>
      </c>
      <c r="E316" s="9600"/>
      <c r="F316" s="87" t="s">
        <v>255</v>
      </c>
      <c r="G316" s="253"/>
      <c r="H316" s="286"/>
      <c r="I316" s="9582" t="s">
        <v>147</v>
      </c>
      <c r="J316" s="9583"/>
      <c r="K316" s="132" t="s">
        <v>255</v>
      </c>
      <c r="L316" s="6029"/>
      <c r="M316" s="6059" t="s">
        <v>641</v>
      </c>
      <c r="N316" s="6060"/>
      <c r="O316" s="6060" t="s">
        <v>641</v>
      </c>
      <c r="P316" s="6060"/>
      <c r="Q316" s="6060" t="s">
        <v>641</v>
      </c>
      <c r="R316" s="2468"/>
      <c r="S316" s="276"/>
      <c r="T316" s="99"/>
      <c r="U316" s="138"/>
      <c r="V316" s="138"/>
      <c r="W316" s="99"/>
      <c r="X316" s="264"/>
      <c r="Y316" s="277"/>
      <c r="Z316" s="187"/>
      <c r="AA316" s="6301"/>
      <c r="AB316" s="139"/>
      <c r="AC316" s="139"/>
      <c r="AD316" s="139"/>
      <c r="AE316" s="139"/>
      <c r="AF316" s="139"/>
      <c r="AG316" s="139"/>
      <c r="AH316" s="139"/>
      <c r="AI316" s="139"/>
      <c r="AJ316" s="139"/>
      <c r="AK316" s="139"/>
      <c r="AL316" s="139"/>
      <c r="AM316" s="139"/>
      <c r="AN316" s="139"/>
      <c r="AO316" s="139"/>
      <c r="AP316" s="139"/>
      <c r="AQ316" s="139"/>
      <c r="AR316" s="139"/>
      <c r="AS316" s="139"/>
      <c r="AT316" s="139"/>
      <c r="AU316" s="139"/>
      <c r="AV316" s="139"/>
      <c r="AW316" s="139"/>
      <c r="AX316" s="139"/>
      <c r="AY316" s="139"/>
      <c r="AZ316" s="139"/>
      <c r="BA316" s="139"/>
      <c r="BB316" s="139"/>
      <c r="BC316" s="139"/>
      <c r="BD316" s="139"/>
      <c r="BE316" s="139"/>
      <c r="BF316" s="139"/>
      <c r="BG316" s="139"/>
      <c r="BH316" s="139"/>
    </row>
    <row r="317" spans="2:60" s="11" customFormat="1" ht="19.899999999999999" customHeight="1">
      <c r="B317" s="5590"/>
      <c r="C317" s="5598"/>
      <c r="D317" s="9598" t="s">
        <v>633</v>
      </c>
      <c r="E317" s="9600"/>
      <c r="F317" s="87" t="s">
        <v>255</v>
      </c>
      <c r="G317" s="253"/>
      <c r="H317" s="286"/>
      <c r="I317" s="9582" t="s">
        <v>150</v>
      </c>
      <c r="J317" s="9583"/>
      <c r="K317" s="132" t="s">
        <v>255</v>
      </c>
      <c r="L317" s="6029">
        <v>163.06</v>
      </c>
      <c r="M317" s="6059"/>
      <c r="N317" s="6060">
        <v>190.41</v>
      </c>
      <c r="O317" s="6060"/>
      <c r="P317" s="6060">
        <v>148.49</v>
      </c>
      <c r="Q317" s="6060"/>
      <c r="R317" s="2468"/>
      <c r="S317" s="276"/>
      <c r="T317" s="99"/>
      <c r="U317" s="138"/>
      <c r="V317" s="138"/>
      <c r="W317" s="99"/>
      <c r="X317" s="264"/>
      <c r="Y317" s="277"/>
      <c r="Z317" s="187"/>
      <c r="AA317" s="6301"/>
      <c r="AB317" s="139"/>
      <c r="AC317" s="139"/>
      <c r="AD317" s="139"/>
      <c r="AE317" s="139"/>
      <c r="AF317" s="139"/>
      <c r="AG317" s="139"/>
      <c r="AH317" s="139"/>
      <c r="AI317" s="139"/>
      <c r="AJ317" s="139"/>
      <c r="AK317" s="139"/>
      <c r="AL317" s="139"/>
      <c r="AM317" s="139"/>
      <c r="AN317" s="139"/>
      <c r="AO317" s="139"/>
      <c r="AP317" s="139"/>
      <c r="AQ317" s="139"/>
      <c r="AR317" s="139"/>
      <c r="AS317" s="139"/>
      <c r="AT317" s="139"/>
      <c r="AU317" s="139"/>
      <c r="AV317" s="139"/>
      <c r="AW317" s="139"/>
      <c r="AX317" s="139"/>
      <c r="AY317" s="139"/>
      <c r="AZ317" s="139"/>
      <c r="BA317" s="139"/>
      <c r="BB317" s="139"/>
      <c r="BC317" s="139"/>
      <c r="BD317" s="139"/>
      <c r="BE317" s="139"/>
      <c r="BF317" s="139"/>
      <c r="BG317" s="139"/>
      <c r="BH317" s="139"/>
    </row>
    <row r="318" spans="2:60" s="11" customFormat="1" ht="20.100000000000001" customHeight="1">
      <c r="B318" s="1360"/>
      <c r="C318" s="5598"/>
      <c r="D318" s="9593" t="s">
        <v>232</v>
      </c>
      <c r="E318" s="9594"/>
      <c r="F318" s="105" t="s">
        <v>233</v>
      </c>
      <c r="G318" s="106"/>
      <c r="H318" s="358"/>
      <c r="I318" s="9593" t="s">
        <v>234</v>
      </c>
      <c r="J318" s="9594"/>
      <c r="K318" s="105" t="s">
        <v>295</v>
      </c>
      <c r="L318" s="5653">
        <f>IF(COUNTBLANK(L319:L324)&gt;0,"미취합법인有",SUM(L319:L324))</f>
        <v>36879.518095269785</v>
      </c>
      <c r="M318" s="5657"/>
      <c r="N318" s="5654">
        <f>IF(COUNTBLANK(N319:N324)&gt;0,"미취합법인有",SUM(N319:N324))</f>
        <v>95395.743995601602</v>
      </c>
      <c r="O318" s="5663"/>
      <c r="P318" s="5781">
        <f>IF(COUNTBLANK(P319:P324)&gt;0,"미취합법인有",SUM(P319:P324))</f>
        <v>130478.57995664953</v>
      </c>
      <c r="Q318" s="785"/>
      <c r="R318" s="2468"/>
      <c r="S318" s="276"/>
      <c r="T318" s="99" t="s">
        <v>37</v>
      </c>
      <c r="U318" s="138"/>
      <c r="V318" s="138"/>
      <c r="W318" s="99"/>
      <c r="X318" s="346" t="s">
        <v>291</v>
      </c>
      <c r="Y318" s="346"/>
      <c r="Z318" s="187"/>
      <c r="AA318" s="6301"/>
      <c r="AB318" s="139"/>
      <c r="AC318" s="139"/>
      <c r="AD318" s="139"/>
      <c r="AE318" s="139"/>
      <c r="AF318" s="139"/>
      <c r="AG318" s="139"/>
      <c r="AH318" s="139"/>
      <c r="AI318" s="139"/>
      <c r="AJ318" s="139"/>
      <c r="AK318" s="139"/>
      <c r="AL318" s="139"/>
      <c r="AM318" s="139"/>
      <c r="AN318" s="139"/>
      <c r="AO318" s="139"/>
      <c r="AP318" s="139"/>
      <c r="AQ318" s="139"/>
      <c r="AR318" s="139"/>
      <c r="AS318" s="139"/>
      <c r="AT318" s="139"/>
      <c r="AU318" s="139"/>
      <c r="AV318" s="139"/>
      <c r="AW318" s="139"/>
      <c r="AX318" s="139"/>
      <c r="AY318" s="139"/>
      <c r="AZ318" s="139"/>
      <c r="BA318" s="139"/>
      <c r="BB318" s="139"/>
      <c r="BC318" s="139"/>
      <c r="BD318" s="139"/>
      <c r="BE318" s="139"/>
      <c r="BF318" s="139"/>
      <c r="BG318" s="139"/>
      <c r="BH318" s="139"/>
    </row>
    <row r="319" spans="2:60" s="11" customFormat="1" ht="19.899999999999999" customHeight="1">
      <c r="B319" s="5590"/>
      <c r="C319" s="5598"/>
      <c r="D319" s="9598" t="s">
        <v>134</v>
      </c>
      <c r="E319" s="9600"/>
      <c r="F319" s="105" t="s">
        <v>233</v>
      </c>
      <c r="G319" s="253"/>
      <c r="H319" s="286"/>
      <c r="I319" s="9579" t="s">
        <v>135</v>
      </c>
      <c r="J319" s="9581"/>
      <c r="K319" s="5835" t="s">
        <v>295</v>
      </c>
      <c r="L319" s="5594">
        <v>3286.13</v>
      </c>
      <c r="M319" s="5658"/>
      <c r="N319" s="1814">
        <v>7066.13</v>
      </c>
      <c r="O319" s="5665"/>
      <c r="P319" s="5693">
        <v>7733.26</v>
      </c>
      <c r="Q319" s="5665"/>
      <c r="R319" s="2468"/>
      <c r="S319" s="276"/>
      <c r="T319" s="99"/>
      <c r="U319" s="138"/>
      <c r="V319" s="138"/>
      <c r="W319" s="99"/>
      <c r="X319" s="264"/>
      <c r="Y319" s="277"/>
      <c r="Z319" s="187"/>
      <c r="AA319" s="6301"/>
      <c r="AB319" s="139"/>
      <c r="AC319" s="139"/>
      <c r="AD319" s="139"/>
      <c r="AE319" s="139"/>
      <c r="AF319" s="139"/>
      <c r="AG319" s="139"/>
      <c r="AH319" s="139"/>
      <c r="AI319" s="139"/>
      <c r="AJ319" s="139"/>
      <c r="AK319" s="139"/>
      <c r="AL319" s="139"/>
      <c r="AM319" s="139"/>
      <c r="AN319" s="139"/>
      <c r="AO319" s="139"/>
      <c r="AP319" s="139"/>
      <c r="AQ319" s="139"/>
      <c r="AR319" s="139"/>
      <c r="AS319" s="139"/>
      <c r="AT319" s="139"/>
      <c r="AU319" s="139"/>
      <c r="AV319" s="139"/>
      <c r="AW319" s="139"/>
      <c r="AX319" s="139"/>
      <c r="AY319" s="139"/>
      <c r="AZ319" s="139"/>
      <c r="BA319" s="139"/>
      <c r="BB319" s="139"/>
      <c r="BC319" s="139"/>
      <c r="BD319" s="139"/>
      <c r="BE319" s="139"/>
      <c r="BF319" s="139"/>
      <c r="BG319" s="139"/>
      <c r="BH319" s="139"/>
    </row>
    <row r="320" spans="2:60" s="11" customFormat="1" ht="19.899999999999999" customHeight="1">
      <c r="B320" s="5590"/>
      <c r="C320" s="5598"/>
      <c r="D320" s="9598" t="s">
        <v>137</v>
      </c>
      <c r="E320" s="9600"/>
      <c r="F320" s="105" t="s">
        <v>233</v>
      </c>
      <c r="G320" s="253"/>
      <c r="H320" s="286"/>
      <c r="I320" s="9579" t="s">
        <v>138</v>
      </c>
      <c r="J320" s="9581"/>
      <c r="K320" s="5835" t="s">
        <v>295</v>
      </c>
      <c r="L320" s="6490">
        <v>303</v>
      </c>
      <c r="M320" s="5658"/>
      <c r="N320" s="6474">
        <v>1090</v>
      </c>
      <c r="O320" s="5302"/>
      <c r="P320" s="6519">
        <v>1247</v>
      </c>
      <c r="Q320" s="6474" t="s">
        <v>655</v>
      </c>
      <c r="R320" s="2468"/>
      <c r="S320" s="276"/>
      <c r="T320" s="99"/>
      <c r="U320" s="138"/>
      <c r="V320" s="138"/>
      <c r="W320" s="99"/>
      <c r="X320" s="264"/>
      <c r="Y320" s="277"/>
      <c r="Z320" s="187"/>
      <c r="AA320" s="6301"/>
      <c r="AB320" s="139"/>
      <c r="AC320" s="139"/>
      <c r="AD320" s="139"/>
      <c r="AE320" s="139"/>
      <c r="AF320" s="139"/>
      <c r="AG320" s="139"/>
      <c r="AH320" s="139"/>
      <c r="AI320" s="139"/>
      <c r="AJ320" s="139"/>
      <c r="AK320" s="139"/>
      <c r="AL320" s="139"/>
      <c r="AM320" s="139"/>
      <c r="AN320" s="139"/>
      <c r="AO320" s="139"/>
      <c r="AP320" s="139"/>
      <c r="AQ320" s="139"/>
      <c r="AR320" s="139"/>
      <c r="AS320" s="139"/>
      <c r="AT320" s="139"/>
      <c r="AU320" s="139"/>
      <c r="AV320" s="139"/>
      <c r="AW320" s="139"/>
      <c r="AX320" s="139"/>
      <c r="AY320" s="139"/>
      <c r="AZ320" s="139"/>
      <c r="BA320" s="139"/>
      <c r="BB320" s="139"/>
      <c r="BC320" s="139"/>
      <c r="BD320" s="139"/>
      <c r="BE320" s="139"/>
      <c r="BF320" s="139"/>
      <c r="BG320" s="139"/>
      <c r="BH320" s="139"/>
    </row>
    <row r="321" spans="2:60" s="11" customFormat="1" ht="19.899999999999999" customHeight="1">
      <c r="B321" s="5590"/>
      <c r="C321" s="5598"/>
      <c r="D321" s="9598" t="s">
        <v>140</v>
      </c>
      <c r="E321" s="9600"/>
      <c r="F321" s="105" t="s">
        <v>233</v>
      </c>
      <c r="G321" s="253"/>
      <c r="H321" s="286"/>
      <c r="I321" s="9582" t="s">
        <v>141</v>
      </c>
      <c r="J321" s="9583"/>
      <c r="K321" s="5835" t="s">
        <v>295</v>
      </c>
      <c r="L321" s="6364">
        <v>2611.0494603404391</v>
      </c>
      <c r="M321" s="6365"/>
      <c r="N321" s="2567">
        <v>1668.5697130160061</v>
      </c>
      <c r="O321" s="2559"/>
      <c r="P321" s="5595">
        <v>2984.3408941387597</v>
      </c>
      <c r="Q321" s="2558"/>
      <c r="R321" s="2468"/>
      <c r="S321" s="276"/>
      <c r="T321" s="99"/>
      <c r="U321" s="138"/>
      <c r="V321" s="138"/>
      <c r="W321" s="99"/>
      <c r="X321" s="264"/>
      <c r="Y321" s="277"/>
      <c r="Z321" s="187"/>
      <c r="AA321" s="6301"/>
      <c r="AB321" s="139"/>
      <c r="AC321" s="139"/>
      <c r="AD321" s="139"/>
      <c r="AE321" s="139"/>
      <c r="AF321" s="139"/>
      <c r="AG321" s="139"/>
      <c r="AH321" s="139"/>
      <c r="AI321" s="139"/>
      <c r="AJ321" s="139"/>
      <c r="AK321" s="139"/>
      <c r="AL321" s="139"/>
      <c r="AM321" s="139"/>
      <c r="AN321" s="139"/>
      <c r="AO321" s="139"/>
      <c r="AP321" s="139"/>
      <c r="AQ321" s="139"/>
      <c r="AR321" s="139"/>
      <c r="AS321" s="139"/>
      <c r="AT321" s="139"/>
      <c r="AU321" s="139"/>
      <c r="AV321" s="139"/>
      <c r="AW321" s="139"/>
      <c r="AX321" s="139"/>
      <c r="AY321" s="139"/>
      <c r="AZ321" s="139"/>
      <c r="BA321" s="139"/>
      <c r="BB321" s="139"/>
      <c r="BC321" s="139"/>
      <c r="BD321" s="139"/>
      <c r="BE321" s="139"/>
      <c r="BF321" s="139"/>
      <c r="BG321" s="139"/>
      <c r="BH321" s="139"/>
    </row>
    <row r="322" spans="2:60" s="11" customFormat="1" ht="19.899999999999999" customHeight="1">
      <c r="B322" s="5590"/>
      <c r="C322" s="5598"/>
      <c r="D322" s="9598" t="s">
        <v>143</v>
      </c>
      <c r="E322" s="9600"/>
      <c r="F322" s="105" t="s">
        <v>233</v>
      </c>
      <c r="G322" s="253"/>
      <c r="H322" s="286"/>
      <c r="I322" s="9582" t="s">
        <v>144</v>
      </c>
      <c r="J322" s="9583"/>
      <c r="K322" s="5835" t="s">
        <v>295</v>
      </c>
      <c r="L322" s="6364">
        <v>399.33863492934103</v>
      </c>
      <c r="M322" s="5597"/>
      <c r="N322" s="2567">
        <v>1190.0442825855901</v>
      </c>
      <c r="O322" s="2559"/>
      <c r="P322" s="5595">
        <v>1322.9790625107701</v>
      </c>
      <c r="Q322" s="2558"/>
      <c r="R322" s="2468"/>
      <c r="S322" s="276"/>
      <c r="T322" s="99"/>
      <c r="U322" s="138"/>
      <c r="V322" s="138"/>
      <c r="W322" s="99"/>
      <c r="X322" s="264"/>
      <c r="Y322" s="277"/>
      <c r="Z322" s="187"/>
      <c r="AA322" s="6301"/>
      <c r="AB322" s="139"/>
      <c r="AC322" s="139"/>
      <c r="AD322" s="139"/>
      <c r="AE322" s="139"/>
      <c r="AF322" s="139"/>
      <c r="AG322" s="139"/>
      <c r="AH322" s="139"/>
      <c r="AI322" s="139"/>
      <c r="AJ322" s="139"/>
      <c r="AK322" s="139"/>
      <c r="AL322" s="139"/>
      <c r="AM322" s="139"/>
      <c r="AN322" s="139"/>
      <c r="AO322" s="139"/>
      <c r="AP322" s="139"/>
      <c r="AQ322" s="139"/>
      <c r="AR322" s="139"/>
      <c r="AS322" s="139"/>
      <c r="AT322" s="139"/>
      <c r="AU322" s="139"/>
      <c r="AV322" s="139"/>
      <c r="AW322" s="139"/>
      <c r="AX322" s="139"/>
      <c r="AY322" s="139"/>
      <c r="AZ322" s="139"/>
      <c r="BA322" s="139"/>
      <c r="BB322" s="139"/>
      <c r="BC322" s="139"/>
      <c r="BD322" s="139"/>
      <c r="BE322" s="139"/>
      <c r="BF322" s="139"/>
      <c r="BG322" s="139"/>
      <c r="BH322" s="139"/>
    </row>
    <row r="323" spans="2:60" s="11" customFormat="1" ht="19.899999999999999" customHeight="1">
      <c r="B323" s="5590"/>
      <c r="C323" s="5598"/>
      <c r="D323" s="9598" t="s">
        <v>631</v>
      </c>
      <c r="E323" s="9600"/>
      <c r="F323" s="105" t="s">
        <v>233</v>
      </c>
      <c r="G323" s="253"/>
      <c r="H323" s="286"/>
      <c r="I323" s="9582" t="s">
        <v>147</v>
      </c>
      <c r="J323" s="9583"/>
      <c r="K323" s="5835" t="s">
        <v>295</v>
      </c>
      <c r="L323" s="5967" t="s">
        <v>168</v>
      </c>
      <c r="M323" s="5656" t="s">
        <v>641</v>
      </c>
      <c r="N323" s="5593" t="s">
        <v>168</v>
      </c>
      <c r="O323" s="5593" t="s">
        <v>641</v>
      </c>
      <c r="P323" s="5593" t="s">
        <v>168</v>
      </c>
      <c r="Q323" s="5593" t="s">
        <v>641</v>
      </c>
      <c r="R323" s="2468"/>
      <c r="S323" s="276"/>
      <c r="T323" s="99"/>
      <c r="U323" s="138"/>
      <c r="V323" s="138"/>
      <c r="W323" s="99"/>
      <c r="X323" s="264"/>
      <c r="Y323" s="277"/>
      <c r="Z323" s="187"/>
      <c r="AA323" s="6301"/>
      <c r="AB323" s="139"/>
      <c r="AC323" s="139"/>
      <c r="AD323" s="139"/>
      <c r="AE323" s="139"/>
      <c r="AF323" s="139"/>
      <c r="AG323" s="139"/>
      <c r="AH323" s="139"/>
      <c r="AI323" s="139"/>
      <c r="AJ323" s="139"/>
      <c r="AK323" s="139"/>
      <c r="AL323" s="139"/>
      <c r="AM323" s="139"/>
      <c r="AN323" s="139"/>
      <c r="AO323" s="139"/>
      <c r="AP323" s="139"/>
      <c r="AQ323" s="139"/>
      <c r="AR323" s="139"/>
      <c r="AS323" s="139"/>
      <c r="AT323" s="139"/>
      <c r="AU323" s="139"/>
      <c r="AV323" s="139"/>
      <c r="AW323" s="139"/>
      <c r="AX323" s="139"/>
      <c r="AY323" s="139"/>
      <c r="AZ323" s="139"/>
      <c r="BA323" s="139"/>
      <c r="BB323" s="139"/>
      <c r="BC323" s="139"/>
      <c r="BD323" s="139"/>
      <c r="BE323" s="139"/>
      <c r="BF323" s="139"/>
      <c r="BG323" s="139"/>
      <c r="BH323" s="139"/>
    </row>
    <row r="324" spans="2:60" s="11" customFormat="1" ht="19.899999999999999" customHeight="1">
      <c r="B324" s="5590"/>
      <c r="C324" s="5598"/>
      <c r="D324" s="9598" t="s">
        <v>633</v>
      </c>
      <c r="E324" s="9600"/>
      <c r="F324" s="105" t="s">
        <v>233</v>
      </c>
      <c r="G324" s="253"/>
      <c r="H324" s="286"/>
      <c r="I324" s="9582" t="s">
        <v>150</v>
      </c>
      <c r="J324" s="9583"/>
      <c r="K324" s="5835" t="s">
        <v>295</v>
      </c>
      <c r="L324" s="6498">
        <v>30280</v>
      </c>
      <c r="M324" s="6081"/>
      <c r="N324" s="6493">
        <v>84381</v>
      </c>
      <c r="O324" s="6081"/>
      <c r="P324" s="6493">
        <v>117191</v>
      </c>
      <c r="Q324" s="6081"/>
      <c r="R324" s="2468"/>
      <c r="S324" s="276"/>
      <c r="T324" s="99"/>
      <c r="U324" s="138"/>
      <c r="V324" s="138"/>
      <c r="W324" s="99"/>
      <c r="X324" s="264"/>
      <c r="Y324" s="277"/>
      <c r="Z324" s="187"/>
      <c r="AA324" s="6301"/>
      <c r="AB324" s="139"/>
      <c r="AC324" s="139"/>
      <c r="AD324" s="139"/>
      <c r="AE324" s="139"/>
      <c r="AF324" s="139"/>
      <c r="AG324" s="139"/>
      <c r="AH324" s="139"/>
      <c r="AI324" s="139"/>
      <c r="AJ324" s="139"/>
      <c r="AK324" s="139"/>
      <c r="AL324" s="139"/>
      <c r="AM324" s="139"/>
      <c r="AN324" s="139"/>
      <c r="AO324" s="139"/>
      <c r="AP324" s="139"/>
      <c r="AQ324" s="139"/>
      <c r="AR324" s="139"/>
      <c r="AS324" s="139"/>
      <c r="AT324" s="139"/>
      <c r="AU324" s="139"/>
      <c r="AV324" s="139"/>
      <c r="AW324" s="139"/>
      <c r="AX324" s="139"/>
      <c r="AY324" s="139"/>
      <c r="AZ324" s="139"/>
      <c r="BA324" s="139"/>
      <c r="BB324" s="139"/>
      <c r="BC324" s="139"/>
      <c r="BD324" s="139"/>
      <c r="BE324" s="139"/>
      <c r="BF324" s="139"/>
      <c r="BG324" s="139"/>
      <c r="BH324" s="139"/>
    </row>
    <row r="325" spans="2:60" s="11" customFormat="1" ht="20.100000000000001" customHeight="1">
      <c r="B325" s="1360"/>
      <c r="C325" s="9680" t="s">
        <v>321</v>
      </c>
      <c r="D325" s="9594"/>
      <c r="E325" s="9595"/>
      <c r="F325" s="280" t="s">
        <v>255</v>
      </c>
      <c r="G325" s="184"/>
      <c r="H325" s="9593" t="s">
        <v>322</v>
      </c>
      <c r="I325" s="9594"/>
      <c r="J325" s="9595"/>
      <c r="K325" s="280" t="s">
        <v>255</v>
      </c>
      <c r="L325" s="5653">
        <f>IF(COUNTBLANK(L326:L331)&gt;0,"미취합법인有",SUM(L326:L331))</f>
        <v>54050.149911690991</v>
      </c>
      <c r="M325" s="5657"/>
      <c r="N325" s="5654">
        <f>IF(COUNTBLANK(N326:N331)&gt;0,"미취합법인有",SUM(N326:N331))</f>
        <v>55688.371056991542</v>
      </c>
      <c r="O325" s="5663"/>
      <c r="P325" s="5781">
        <f>IF(COUNTBLANK(P326:P331)&gt;0,"미취합법인有",SUM(P326:P331))</f>
        <v>56589.05877075134</v>
      </c>
      <c r="Q325" s="785"/>
      <c r="R325" s="2468"/>
      <c r="S325" s="276"/>
      <c r="T325" s="99" t="s">
        <v>37</v>
      </c>
      <c r="U325" s="138"/>
      <c r="V325" s="138"/>
      <c r="W325" s="99"/>
      <c r="X325" s="346" t="s">
        <v>323</v>
      </c>
      <c r="Y325" s="265"/>
      <c r="Z325" s="187"/>
      <c r="AA325" s="6301"/>
      <c r="AB325" s="139"/>
      <c r="AC325" s="139"/>
      <c r="AD325" s="139"/>
      <c r="AE325" s="139"/>
      <c r="AF325" s="139"/>
      <c r="AG325" s="139"/>
      <c r="AH325" s="139"/>
      <c r="AI325" s="139"/>
      <c r="AJ325" s="139"/>
      <c r="AK325" s="139"/>
      <c r="AL325" s="139"/>
      <c r="AM325" s="139"/>
      <c r="AN325" s="139"/>
      <c r="AO325" s="139"/>
      <c r="AP325" s="139"/>
      <c r="AQ325" s="139"/>
      <c r="AR325" s="139"/>
      <c r="AS325" s="139"/>
      <c r="AT325" s="139"/>
      <c r="AU325" s="139"/>
      <c r="AV325" s="139"/>
      <c r="AW325" s="139"/>
      <c r="AX325" s="139"/>
      <c r="AY325" s="139"/>
      <c r="AZ325" s="139"/>
      <c r="BA325" s="139"/>
      <c r="BB325" s="139"/>
      <c r="BC325" s="139"/>
      <c r="BD325" s="139"/>
      <c r="BE325" s="139"/>
      <c r="BF325" s="139"/>
      <c r="BG325" s="139"/>
      <c r="BH325" s="139"/>
    </row>
    <row r="326" spans="2:60" s="11" customFormat="1" ht="19.899999999999999" customHeight="1">
      <c r="B326" s="5590"/>
      <c r="C326" s="9647" t="s">
        <v>134</v>
      </c>
      <c r="D326" s="9648"/>
      <c r="E326" s="9649"/>
      <c r="F326" s="280" t="s">
        <v>255</v>
      </c>
      <c r="G326" s="253"/>
      <c r="H326" s="9579" t="s">
        <v>135</v>
      </c>
      <c r="I326" s="9580"/>
      <c r="J326" s="9581"/>
      <c r="K326" s="5591" t="s">
        <v>255</v>
      </c>
      <c r="L326" s="5592">
        <v>1096.472</v>
      </c>
      <c r="M326" s="5656"/>
      <c r="N326" s="5593">
        <v>1304.46</v>
      </c>
      <c r="O326" s="5656"/>
      <c r="P326" s="5655">
        <v>1274.117</v>
      </c>
      <c r="Q326" s="5656"/>
      <c r="R326" s="1033"/>
      <c r="S326" s="263"/>
      <c r="T326" s="99"/>
      <c r="U326" s="138"/>
      <c r="V326" s="138"/>
      <c r="W326" s="99"/>
      <c r="X326" s="264"/>
      <c r="Y326" s="277"/>
      <c r="Z326" s="187"/>
      <c r="AA326" s="6301"/>
      <c r="AB326" s="139"/>
      <c r="AC326" s="139"/>
      <c r="AD326" s="139"/>
      <c r="AE326" s="139"/>
      <c r="AF326" s="139"/>
      <c r="AG326" s="139"/>
      <c r="AH326" s="139"/>
      <c r="AI326" s="139"/>
      <c r="AJ326" s="139"/>
      <c r="AK326" s="139"/>
      <c r="AL326" s="139"/>
      <c r="AM326" s="139"/>
      <c r="AN326" s="139"/>
      <c r="AO326" s="139"/>
      <c r="AP326" s="139"/>
      <c r="AQ326" s="139"/>
      <c r="AR326" s="139"/>
      <c r="AS326" s="139"/>
      <c r="AT326" s="139"/>
      <c r="AU326" s="139"/>
      <c r="AV326" s="139"/>
      <c r="AW326" s="139"/>
      <c r="AX326" s="139"/>
      <c r="AY326" s="139"/>
      <c r="AZ326" s="139"/>
      <c r="BA326" s="139"/>
      <c r="BB326" s="139"/>
      <c r="BC326" s="139"/>
      <c r="BD326" s="139"/>
      <c r="BE326" s="139"/>
      <c r="BF326" s="139"/>
      <c r="BG326" s="139"/>
      <c r="BH326" s="139"/>
    </row>
    <row r="327" spans="2:60" s="11" customFormat="1" ht="19.899999999999999" customHeight="1">
      <c r="B327" s="5590"/>
      <c r="C327" s="9647" t="s">
        <v>137</v>
      </c>
      <c r="D327" s="9648"/>
      <c r="E327" s="9649"/>
      <c r="F327" s="280" t="s">
        <v>255</v>
      </c>
      <c r="G327" s="253"/>
      <c r="H327" s="9579" t="s">
        <v>138</v>
      </c>
      <c r="I327" s="9580"/>
      <c r="J327" s="9581"/>
      <c r="K327" s="5591" t="s">
        <v>255</v>
      </c>
      <c r="L327" s="5592">
        <v>52444.08</v>
      </c>
      <c r="M327" s="5656"/>
      <c r="N327" s="5593">
        <v>53818.28</v>
      </c>
      <c r="O327" s="5593"/>
      <c r="P327" s="5593">
        <v>54769.140000000007</v>
      </c>
      <c r="Q327" s="5593"/>
      <c r="R327" s="1033"/>
      <c r="S327" s="263"/>
      <c r="T327" s="99"/>
      <c r="U327" s="138"/>
      <c r="V327" s="138"/>
      <c r="W327" s="99"/>
      <c r="X327" s="264"/>
      <c r="Y327" s="277"/>
      <c r="Z327" s="187"/>
      <c r="AA327" s="6301"/>
      <c r="AB327" s="139"/>
      <c r="AC327" s="139"/>
      <c r="AD327" s="139"/>
      <c r="AE327" s="139"/>
      <c r="AF327" s="139"/>
      <c r="AG327" s="139"/>
      <c r="AH327" s="139"/>
      <c r="AI327" s="139"/>
      <c r="AJ327" s="139"/>
      <c r="AK327" s="139"/>
      <c r="AL327" s="139"/>
      <c r="AM327" s="139"/>
      <c r="AN327" s="139"/>
      <c r="AO327" s="139"/>
      <c r="AP327" s="139"/>
      <c r="AQ327" s="139"/>
      <c r="AR327" s="139"/>
      <c r="AS327" s="139"/>
      <c r="AT327" s="139"/>
      <c r="AU327" s="139"/>
      <c r="AV327" s="139"/>
      <c r="AW327" s="139"/>
      <c r="AX327" s="139"/>
      <c r="AY327" s="139"/>
      <c r="AZ327" s="139"/>
      <c r="BA327" s="139"/>
      <c r="BB327" s="139"/>
      <c r="BC327" s="139"/>
      <c r="BD327" s="139"/>
      <c r="BE327" s="139"/>
      <c r="BF327" s="139"/>
      <c r="BG327" s="139"/>
      <c r="BH327" s="139"/>
    </row>
    <row r="328" spans="2:60" s="11" customFormat="1" ht="19.899999999999999" customHeight="1">
      <c r="B328" s="5590"/>
      <c r="C328" s="9647" t="s">
        <v>140</v>
      </c>
      <c r="D328" s="9648"/>
      <c r="E328" s="9649"/>
      <c r="F328" s="280" t="s">
        <v>255</v>
      </c>
      <c r="G328" s="253"/>
      <c r="H328" s="9579" t="s">
        <v>141</v>
      </c>
      <c r="I328" s="9580"/>
      <c r="J328" s="9581"/>
      <c r="K328" s="5591" t="s">
        <v>255</v>
      </c>
      <c r="L328" s="5592">
        <v>292.49791169099205</v>
      </c>
      <c r="M328" s="5656"/>
      <c r="N328" s="5593">
        <v>257.29105699154366</v>
      </c>
      <c r="O328" s="5593"/>
      <c r="P328" s="5593">
        <v>265.38177075133683</v>
      </c>
      <c r="Q328" s="5593"/>
      <c r="R328" s="1033"/>
      <c r="S328" s="263"/>
      <c r="T328" s="99"/>
      <c r="U328" s="138"/>
      <c r="V328" s="138"/>
      <c r="W328" s="99"/>
      <c r="X328" s="264"/>
      <c r="Y328" s="277"/>
      <c r="Z328" s="187"/>
      <c r="AA328" s="6301"/>
      <c r="AB328" s="139"/>
      <c r="AC328" s="139"/>
      <c r="AD328" s="139"/>
      <c r="AE328" s="139"/>
      <c r="AF328" s="139"/>
      <c r="AG328" s="139"/>
      <c r="AH328" s="139"/>
      <c r="AI328" s="139"/>
      <c r="AJ328" s="139"/>
      <c r="AK328" s="139"/>
      <c r="AL328" s="139"/>
      <c r="AM328" s="139"/>
      <c r="AN328" s="139"/>
      <c r="AO328" s="139"/>
      <c r="AP328" s="139"/>
      <c r="AQ328" s="139"/>
      <c r="AR328" s="139"/>
      <c r="AS328" s="139"/>
      <c r="AT328" s="139"/>
      <c r="AU328" s="139"/>
      <c r="AV328" s="139"/>
      <c r="AW328" s="139"/>
      <c r="AX328" s="139"/>
      <c r="AY328" s="139"/>
      <c r="AZ328" s="139"/>
      <c r="BA328" s="139"/>
      <c r="BB328" s="139"/>
      <c r="BC328" s="139"/>
      <c r="BD328" s="139"/>
      <c r="BE328" s="139"/>
      <c r="BF328" s="139"/>
      <c r="BG328" s="139"/>
      <c r="BH328" s="139"/>
    </row>
    <row r="329" spans="2:60" s="11" customFormat="1" ht="19.899999999999999" customHeight="1">
      <c r="B329" s="5590"/>
      <c r="C329" s="9647" t="s">
        <v>143</v>
      </c>
      <c r="D329" s="9648"/>
      <c r="E329" s="9649"/>
      <c r="F329" s="280" t="s">
        <v>255</v>
      </c>
      <c r="G329" s="253"/>
      <c r="H329" s="9579" t="s">
        <v>144</v>
      </c>
      <c r="I329" s="9580"/>
      <c r="J329" s="9581"/>
      <c r="K329" s="5591" t="s">
        <v>255</v>
      </c>
      <c r="L329" s="6483">
        <v>54.04</v>
      </c>
      <c r="M329" s="5674"/>
      <c r="N329" s="6484">
        <v>117.93</v>
      </c>
      <c r="O329" s="5593"/>
      <c r="P329" s="6484">
        <v>131.93</v>
      </c>
      <c r="Q329" s="5593"/>
      <c r="R329" s="1033"/>
      <c r="S329" s="263"/>
      <c r="T329" s="99"/>
      <c r="U329" s="138"/>
      <c r="V329" s="138"/>
      <c r="W329" s="99"/>
      <c r="X329" s="264"/>
      <c r="Y329" s="277"/>
      <c r="Z329" s="187"/>
      <c r="AA329" s="6301"/>
      <c r="AB329" s="139"/>
      <c r="AC329" s="139"/>
      <c r="AD329" s="139"/>
      <c r="AE329" s="139"/>
      <c r="AF329" s="139"/>
      <c r="AG329" s="139"/>
      <c r="AH329" s="139"/>
      <c r="AI329" s="139"/>
      <c r="AJ329" s="139"/>
      <c r="AK329" s="139"/>
      <c r="AL329" s="139"/>
      <c r="AM329" s="139"/>
      <c r="AN329" s="139"/>
      <c r="AO329" s="139"/>
      <c r="AP329" s="139"/>
      <c r="AQ329" s="139"/>
      <c r="AR329" s="139"/>
      <c r="AS329" s="139"/>
      <c r="AT329" s="139"/>
      <c r="AU329" s="139"/>
      <c r="AV329" s="139"/>
      <c r="AW329" s="139"/>
      <c r="AX329" s="139"/>
      <c r="AY329" s="139"/>
      <c r="AZ329" s="139"/>
      <c r="BA329" s="139"/>
      <c r="BB329" s="139"/>
      <c r="BC329" s="139"/>
      <c r="BD329" s="139"/>
      <c r="BE329" s="139"/>
      <c r="BF329" s="139"/>
      <c r="BG329" s="139"/>
      <c r="BH329" s="139"/>
    </row>
    <row r="330" spans="2:60" s="11" customFormat="1" ht="19.899999999999999" customHeight="1">
      <c r="B330" s="5590"/>
      <c r="C330" s="9647" t="s">
        <v>631</v>
      </c>
      <c r="D330" s="9648"/>
      <c r="E330" s="9649"/>
      <c r="F330" s="280" t="s">
        <v>255</v>
      </c>
      <c r="G330" s="253"/>
      <c r="H330" s="9579" t="s">
        <v>147</v>
      </c>
      <c r="I330" s="9580"/>
      <c r="J330" s="9581"/>
      <c r="K330" s="5591" t="s">
        <v>255</v>
      </c>
      <c r="L330" s="5967" t="s">
        <v>168</v>
      </c>
      <c r="M330" s="5656" t="s">
        <v>641</v>
      </c>
      <c r="N330" s="5593" t="s">
        <v>168</v>
      </c>
      <c r="O330" s="5593" t="s">
        <v>641</v>
      </c>
      <c r="P330" s="5593" t="s">
        <v>168</v>
      </c>
      <c r="Q330" s="5593" t="s">
        <v>641</v>
      </c>
      <c r="R330" s="1033"/>
      <c r="S330" s="263"/>
      <c r="T330" s="99"/>
      <c r="U330" s="138"/>
      <c r="V330" s="138"/>
      <c r="W330" s="99"/>
      <c r="X330" s="264"/>
      <c r="Y330" s="277"/>
      <c r="Z330" s="187"/>
      <c r="AA330" s="6301"/>
      <c r="AB330" s="139"/>
      <c r="AC330" s="139"/>
      <c r="AD330" s="139"/>
      <c r="AE330" s="139"/>
      <c r="AF330" s="139"/>
      <c r="AG330" s="139"/>
      <c r="AH330" s="139"/>
      <c r="AI330" s="139"/>
      <c r="AJ330" s="139"/>
      <c r="AK330" s="139"/>
      <c r="AL330" s="139"/>
      <c r="AM330" s="139"/>
      <c r="AN330" s="139"/>
      <c r="AO330" s="139"/>
      <c r="AP330" s="139"/>
      <c r="AQ330" s="139"/>
      <c r="AR330" s="139"/>
      <c r="AS330" s="139"/>
      <c r="AT330" s="139"/>
      <c r="AU330" s="139"/>
      <c r="AV330" s="139"/>
      <c r="AW330" s="139"/>
      <c r="AX330" s="139"/>
      <c r="AY330" s="139"/>
      <c r="AZ330" s="139"/>
      <c r="BA330" s="139"/>
      <c r="BB330" s="139"/>
      <c r="BC330" s="139"/>
      <c r="BD330" s="139"/>
      <c r="BE330" s="139"/>
      <c r="BF330" s="139"/>
      <c r="BG330" s="139"/>
      <c r="BH330" s="139"/>
    </row>
    <row r="331" spans="2:60" s="11" customFormat="1" ht="19.899999999999999" customHeight="1">
      <c r="B331" s="5590"/>
      <c r="C331" s="9647" t="s">
        <v>633</v>
      </c>
      <c r="D331" s="9648"/>
      <c r="E331" s="9649"/>
      <c r="F331" s="280" t="s">
        <v>255</v>
      </c>
      <c r="G331" s="253"/>
      <c r="H331" s="9579" t="s">
        <v>150</v>
      </c>
      <c r="I331" s="9580"/>
      <c r="J331" s="9581"/>
      <c r="K331" s="5591" t="s">
        <v>255</v>
      </c>
      <c r="L331" s="5592">
        <v>163.06</v>
      </c>
      <c r="M331" s="5656"/>
      <c r="N331" s="5593">
        <v>190.41</v>
      </c>
      <c r="O331" s="5593"/>
      <c r="P331" s="5593">
        <v>148.49</v>
      </c>
      <c r="Q331" s="5593"/>
      <c r="R331" s="1033"/>
      <c r="S331" s="263"/>
      <c r="T331" s="99"/>
      <c r="U331" s="138"/>
      <c r="V331" s="138"/>
      <c r="W331" s="99"/>
      <c r="X331" s="264"/>
      <c r="Y331" s="277"/>
      <c r="Z331" s="187"/>
      <c r="AA331" s="6301"/>
      <c r="AB331" s="139"/>
      <c r="AC331" s="139"/>
      <c r="AD331" s="139"/>
      <c r="AE331" s="139"/>
      <c r="AF331" s="139"/>
      <c r="AG331" s="139"/>
      <c r="AH331" s="139"/>
      <c r="AI331" s="139"/>
      <c r="AJ331" s="139"/>
      <c r="AK331" s="139"/>
      <c r="AL331" s="139"/>
      <c r="AM331" s="139"/>
      <c r="AN331" s="139"/>
      <c r="AO331" s="139"/>
      <c r="AP331" s="139"/>
      <c r="AQ331" s="139"/>
      <c r="AR331" s="139"/>
      <c r="AS331" s="139"/>
      <c r="AT331" s="139"/>
      <c r="AU331" s="139"/>
      <c r="AV331" s="139"/>
      <c r="AW331" s="139"/>
      <c r="AX331" s="139"/>
      <c r="AY331" s="139"/>
      <c r="AZ331" s="139"/>
      <c r="BA331" s="139"/>
      <c r="BB331" s="139"/>
      <c r="BC331" s="139"/>
      <c r="BD331" s="139"/>
      <c r="BE331" s="139"/>
      <c r="BF331" s="139"/>
      <c r="BG331" s="139"/>
      <c r="BH331" s="139"/>
    </row>
    <row r="332" spans="2:60" s="11" customFormat="1" ht="20.100000000000001" customHeight="1">
      <c r="B332" s="1360"/>
      <c r="C332" s="9646" t="s">
        <v>324</v>
      </c>
      <c r="D332" s="9646"/>
      <c r="E332" s="9646"/>
      <c r="F332" s="280" t="s">
        <v>156</v>
      </c>
      <c r="G332" s="386"/>
      <c r="H332" s="9593" t="s">
        <v>325</v>
      </c>
      <c r="I332" s="9594"/>
      <c r="J332" s="9595"/>
      <c r="K332" s="280" t="s">
        <v>156</v>
      </c>
      <c r="L332" s="5653" t="str">
        <f>IF(COUNTBLANK(L333:L338)&gt;0,"미취합법인有",AVERAGE(L333:L338))</f>
        <v>미취합법인有</v>
      </c>
      <c r="M332" s="5657"/>
      <c r="N332" s="5654" t="str">
        <f>IF(COUNTBLANK(N333:N338)&gt;0,"미취합법인有",AVERAGE(N333:N338))</f>
        <v>미취합법인有</v>
      </c>
      <c r="O332" s="5663"/>
      <c r="P332" s="5781" t="str">
        <f>IF(COUNTBLANK(P333:P338)&gt;0,"미취합법인有",AVERAGE(P333:P338))</f>
        <v>미취합법인有</v>
      </c>
      <c r="Q332" s="785"/>
      <c r="R332" s="498" t="s">
        <v>326</v>
      </c>
      <c r="S332" s="6339" t="s">
        <v>327</v>
      </c>
      <c r="T332" s="99" t="s">
        <v>206</v>
      </c>
      <c r="U332" s="138"/>
      <c r="V332" s="138"/>
      <c r="W332" s="99"/>
      <c r="X332" s="346"/>
      <c r="Y332" s="265"/>
      <c r="Z332" s="187" t="s">
        <v>261</v>
      </c>
      <c r="AA332" s="6301"/>
      <c r="AB332" s="139"/>
      <c r="AC332" s="139"/>
      <c r="AD332" s="139"/>
      <c r="AE332" s="139"/>
      <c r="AF332" s="139"/>
      <c r="AG332" s="139"/>
      <c r="AH332" s="139"/>
      <c r="AI332" s="139"/>
      <c r="AJ332" s="139"/>
      <c r="AK332" s="139"/>
      <c r="AL332" s="139"/>
      <c r="AM332" s="139"/>
      <c r="AN332" s="139"/>
      <c r="AO332" s="139"/>
      <c r="AP332" s="139"/>
      <c r="AQ332" s="139"/>
      <c r="AR332" s="139"/>
      <c r="AS332" s="139"/>
      <c r="AT332" s="139"/>
      <c r="AU332" s="139"/>
      <c r="AV332" s="139"/>
      <c r="AW332" s="139"/>
      <c r="AX332" s="139"/>
      <c r="AY332" s="139"/>
      <c r="AZ332" s="139"/>
      <c r="BA332" s="139"/>
      <c r="BB332" s="139"/>
      <c r="BC332" s="139"/>
      <c r="BD332" s="139"/>
      <c r="BE332" s="139"/>
      <c r="BF332" s="139"/>
      <c r="BG332" s="139"/>
      <c r="BH332" s="139"/>
    </row>
    <row r="333" spans="2:60" s="11" customFormat="1" ht="19.899999999999999" customHeight="1">
      <c r="B333" s="5590"/>
      <c r="C333" s="9647" t="s">
        <v>134</v>
      </c>
      <c r="D333" s="9648"/>
      <c r="E333" s="9649"/>
      <c r="F333" s="280" t="s">
        <v>156</v>
      </c>
      <c r="G333" s="253"/>
      <c r="H333" s="9579" t="s">
        <v>135</v>
      </c>
      <c r="I333" s="9580"/>
      <c r="J333" s="9581"/>
      <c r="K333" s="280" t="s">
        <v>156</v>
      </c>
      <c r="L333" s="5592"/>
      <c r="M333" s="5656"/>
      <c r="N333" s="5593"/>
      <c r="O333" s="5656"/>
      <c r="P333" s="5593"/>
      <c r="Q333" s="5656"/>
      <c r="R333" s="1033"/>
      <c r="S333" s="6339"/>
      <c r="T333" s="99"/>
      <c r="U333" s="138"/>
      <c r="V333" s="138"/>
      <c r="W333" s="99"/>
      <c r="X333" s="264"/>
      <c r="Y333" s="277"/>
      <c r="Z333" s="187"/>
      <c r="AA333" s="6301"/>
      <c r="AB333" s="139"/>
      <c r="AC333" s="139"/>
      <c r="AD333" s="139"/>
      <c r="AE333" s="139"/>
      <c r="AF333" s="139"/>
      <c r="AG333" s="139"/>
      <c r="AH333" s="139"/>
      <c r="AI333" s="139"/>
      <c r="AJ333" s="139"/>
      <c r="AK333" s="139"/>
      <c r="AL333" s="139"/>
      <c r="AM333" s="139"/>
      <c r="AN333" s="139"/>
      <c r="AO333" s="139"/>
      <c r="AP333" s="139"/>
      <c r="AQ333" s="139"/>
      <c r="AR333" s="139"/>
      <c r="AS333" s="139"/>
      <c r="AT333" s="139"/>
      <c r="AU333" s="139"/>
      <c r="AV333" s="139"/>
      <c r="AW333" s="139"/>
      <c r="AX333" s="139"/>
      <c r="AY333" s="139"/>
      <c r="AZ333" s="139"/>
      <c r="BA333" s="139"/>
      <c r="BB333" s="139"/>
      <c r="BC333" s="139"/>
      <c r="BD333" s="139"/>
      <c r="BE333" s="139"/>
      <c r="BF333" s="139"/>
      <c r="BG333" s="139"/>
      <c r="BH333" s="139"/>
    </row>
    <row r="334" spans="2:60" s="11" customFormat="1" ht="19.899999999999999" customHeight="1">
      <c r="B334" s="5590"/>
      <c r="C334" s="9647" t="s">
        <v>137</v>
      </c>
      <c r="D334" s="9648"/>
      <c r="E334" s="9649"/>
      <c r="F334" s="280" t="s">
        <v>156</v>
      </c>
      <c r="G334" s="253"/>
      <c r="H334" s="9579" t="s">
        <v>138</v>
      </c>
      <c r="I334" s="9580"/>
      <c r="J334" s="9581"/>
      <c r="K334" s="280" t="s">
        <v>156</v>
      </c>
      <c r="L334" s="5592">
        <v>0</v>
      </c>
      <c r="M334" s="5656"/>
      <c r="N334" s="5593">
        <v>0</v>
      </c>
      <c r="O334" s="5593"/>
      <c r="P334" s="5593">
        <v>0</v>
      </c>
      <c r="Q334" s="5593"/>
      <c r="R334" s="1033"/>
      <c r="S334" s="2470"/>
      <c r="T334" s="99"/>
      <c r="U334" s="138"/>
      <c r="V334" s="138"/>
      <c r="W334" s="99"/>
      <c r="X334" s="264"/>
      <c r="Y334" s="277"/>
      <c r="Z334" s="187"/>
      <c r="AA334" s="6301"/>
      <c r="AB334" s="139"/>
      <c r="AC334" s="139"/>
      <c r="AD334" s="139"/>
      <c r="AE334" s="139"/>
      <c r="AF334" s="139"/>
      <c r="AG334" s="139"/>
      <c r="AH334" s="139"/>
      <c r="AI334" s="139"/>
      <c r="AJ334" s="139"/>
      <c r="AK334" s="139"/>
      <c r="AL334" s="139"/>
      <c r="AM334" s="139"/>
      <c r="AN334" s="139"/>
      <c r="AO334" s="139"/>
      <c r="AP334" s="139"/>
      <c r="AQ334" s="139"/>
      <c r="AR334" s="139"/>
      <c r="AS334" s="139"/>
      <c r="AT334" s="139"/>
      <c r="AU334" s="139"/>
      <c r="AV334" s="139"/>
      <c r="AW334" s="139"/>
      <c r="AX334" s="139"/>
      <c r="AY334" s="139"/>
      <c r="AZ334" s="139"/>
      <c r="BA334" s="139"/>
      <c r="BB334" s="139"/>
      <c r="BC334" s="139"/>
      <c r="BD334" s="139"/>
      <c r="BE334" s="139"/>
      <c r="BF334" s="139"/>
      <c r="BG334" s="139"/>
      <c r="BH334" s="139"/>
    </row>
    <row r="335" spans="2:60" s="11" customFormat="1" ht="19.899999999999999" customHeight="1">
      <c r="B335" s="5590"/>
      <c r="C335" s="9647" t="s">
        <v>140</v>
      </c>
      <c r="D335" s="9648"/>
      <c r="E335" s="9649"/>
      <c r="F335" s="280" t="s">
        <v>156</v>
      </c>
      <c r="G335" s="253"/>
      <c r="H335" s="9579" t="s">
        <v>141</v>
      </c>
      <c r="I335" s="9580"/>
      <c r="J335" s="9581"/>
      <c r="K335" s="280" t="s">
        <v>156</v>
      </c>
      <c r="L335" s="5592">
        <v>100</v>
      </c>
      <c r="M335" s="5656"/>
      <c r="N335" s="5593">
        <v>100</v>
      </c>
      <c r="O335" s="5593"/>
      <c r="P335" s="5593">
        <v>100</v>
      </c>
      <c r="Q335" s="5593"/>
      <c r="R335" s="1033"/>
      <c r="S335" s="6339"/>
      <c r="T335" s="99"/>
      <c r="U335" s="138"/>
      <c r="V335" s="138"/>
      <c r="W335" s="99"/>
      <c r="X335" s="264"/>
      <c r="Y335" s="277"/>
      <c r="Z335" s="187"/>
      <c r="AA335" s="6301"/>
      <c r="AB335" s="139"/>
      <c r="AC335" s="139"/>
      <c r="AD335" s="139"/>
      <c r="AE335" s="139"/>
      <c r="AF335" s="139"/>
      <c r="AG335" s="139"/>
      <c r="AH335" s="139"/>
      <c r="AI335" s="139"/>
      <c r="AJ335" s="139"/>
      <c r="AK335" s="139"/>
      <c r="AL335" s="139"/>
      <c r="AM335" s="139"/>
      <c r="AN335" s="139"/>
      <c r="AO335" s="139"/>
      <c r="AP335" s="139"/>
      <c r="AQ335" s="139"/>
      <c r="AR335" s="139"/>
      <c r="AS335" s="139"/>
      <c r="AT335" s="139"/>
      <c r="AU335" s="139"/>
      <c r="AV335" s="139"/>
      <c r="AW335" s="139"/>
      <c r="AX335" s="139"/>
      <c r="AY335" s="139"/>
      <c r="AZ335" s="139"/>
      <c r="BA335" s="139"/>
      <c r="BB335" s="139"/>
      <c r="BC335" s="139"/>
      <c r="BD335" s="139"/>
      <c r="BE335" s="139"/>
      <c r="BF335" s="139"/>
      <c r="BG335" s="139"/>
      <c r="BH335" s="139"/>
    </row>
    <row r="336" spans="2:60" s="11" customFormat="1" ht="19.899999999999999" customHeight="1">
      <c r="B336" s="5590"/>
      <c r="C336" s="9647" t="s">
        <v>143</v>
      </c>
      <c r="D336" s="9648"/>
      <c r="E336" s="9649"/>
      <c r="F336" s="280" t="s">
        <v>156</v>
      </c>
      <c r="G336" s="253"/>
      <c r="H336" s="9579" t="s">
        <v>144</v>
      </c>
      <c r="I336" s="9580"/>
      <c r="J336" s="9581"/>
      <c r="K336" s="280" t="s">
        <v>156</v>
      </c>
      <c r="L336" s="5592"/>
      <c r="M336" s="5656"/>
      <c r="N336" s="5593"/>
      <c r="O336" s="5593"/>
      <c r="P336" s="5593"/>
      <c r="Q336" s="5593"/>
      <c r="R336" s="1033"/>
      <c r="S336" s="6339"/>
      <c r="T336" s="99"/>
      <c r="U336" s="138"/>
      <c r="V336" s="138"/>
      <c r="W336" s="99"/>
      <c r="X336" s="264"/>
      <c r="Y336" s="277"/>
      <c r="Z336" s="187"/>
      <c r="AA336" s="6301"/>
      <c r="AB336" s="139"/>
      <c r="AC336" s="139"/>
      <c r="AD336" s="139"/>
      <c r="AE336" s="139"/>
      <c r="AF336" s="139"/>
      <c r="AG336" s="139"/>
      <c r="AH336" s="139"/>
      <c r="AI336" s="139"/>
      <c r="AJ336" s="139"/>
      <c r="AK336" s="139"/>
      <c r="AL336" s="139"/>
      <c r="AM336" s="139"/>
      <c r="AN336" s="139"/>
      <c r="AO336" s="139"/>
      <c r="AP336" s="139"/>
      <c r="AQ336" s="139"/>
      <c r="AR336" s="139"/>
      <c r="AS336" s="139"/>
      <c r="AT336" s="139"/>
      <c r="AU336" s="139"/>
      <c r="AV336" s="139"/>
      <c r="AW336" s="139"/>
      <c r="AX336" s="139"/>
      <c r="AY336" s="139"/>
      <c r="AZ336" s="139"/>
      <c r="BA336" s="139"/>
      <c r="BB336" s="139"/>
      <c r="BC336" s="139"/>
      <c r="BD336" s="139"/>
      <c r="BE336" s="139"/>
      <c r="BF336" s="139"/>
      <c r="BG336" s="139"/>
      <c r="BH336" s="139"/>
    </row>
    <row r="337" spans="2:60" s="11" customFormat="1" ht="19.899999999999999" customHeight="1">
      <c r="B337" s="5590"/>
      <c r="C337" s="9647" t="s">
        <v>631</v>
      </c>
      <c r="D337" s="9648"/>
      <c r="E337" s="9649"/>
      <c r="F337" s="280" t="s">
        <v>156</v>
      </c>
      <c r="G337" s="253"/>
      <c r="H337" s="9579" t="s">
        <v>147</v>
      </c>
      <c r="I337" s="9580"/>
      <c r="J337" s="9581"/>
      <c r="K337" s="280" t="s">
        <v>156</v>
      </c>
      <c r="L337" s="5967" t="s">
        <v>168</v>
      </c>
      <c r="M337" s="5656" t="s">
        <v>641</v>
      </c>
      <c r="N337" s="5593" t="s">
        <v>168</v>
      </c>
      <c r="O337" s="5593" t="s">
        <v>641</v>
      </c>
      <c r="P337" s="5593" t="s">
        <v>168</v>
      </c>
      <c r="Q337" s="5593" t="s">
        <v>641</v>
      </c>
      <c r="R337" s="1033"/>
      <c r="S337" s="263"/>
      <c r="T337" s="99"/>
      <c r="U337" s="138"/>
      <c r="V337" s="138"/>
      <c r="W337" s="99"/>
      <c r="X337" s="264"/>
      <c r="Y337" s="277"/>
      <c r="Z337" s="187"/>
      <c r="AA337" s="6301"/>
      <c r="AB337" s="139"/>
      <c r="AC337" s="139"/>
      <c r="AD337" s="139"/>
      <c r="AE337" s="139"/>
      <c r="AF337" s="139"/>
      <c r="AG337" s="139"/>
      <c r="AH337" s="139"/>
      <c r="AI337" s="139"/>
      <c r="AJ337" s="139"/>
      <c r="AK337" s="139"/>
      <c r="AL337" s="139"/>
      <c r="AM337" s="139"/>
      <c r="AN337" s="139"/>
      <c r="AO337" s="139"/>
      <c r="AP337" s="139"/>
      <c r="AQ337" s="139"/>
      <c r="AR337" s="139"/>
      <c r="AS337" s="139"/>
      <c r="AT337" s="139"/>
      <c r="AU337" s="139"/>
      <c r="AV337" s="139"/>
      <c r="AW337" s="139"/>
      <c r="AX337" s="139"/>
      <c r="AY337" s="139"/>
      <c r="AZ337" s="139"/>
      <c r="BA337" s="139"/>
      <c r="BB337" s="139"/>
      <c r="BC337" s="139"/>
      <c r="BD337" s="139"/>
      <c r="BE337" s="139"/>
      <c r="BF337" s="139"/>
      <c r="BG337" s="139"/>
      <c r="BH337" s="139"/>
    </row>
    <row r="338" spans="2:60" s="11" customFormat="1" ht="19.899999999999999" customHeight="1">
      <c r="B338" s="5590"/>
      <c r="C338" s="9647" t="s">
        <v>633</v>
      </c>
      <c r="D338" s="9648"/>
      <c r="E338" s="9649"/>
      <c r="F338" s="280" t="s">
        <v>156</v>
      </c>
      <c r="G338" s="253"/>
      <c r="H338" s="9579" t="s">
        <v>150</v>
      </c>
      <c r="I338" s="9580"/>
      <c r="J338" s="9581"/>
      <c r="K338" s="280" t="s">
        <v>156</v>
      </c>
      <c r="L338" s="5967" t="s">
        <v>168</v>
      </c>
      <c r="M338" s="5656" t="s">
        <v>641</v>
      </c>
      <c r="N338" s="5593" t="s">
        <v>168</v>
      </c>
      <c r="O338" s="5593" t="s">
        <v>641</v>
      </c>
      <c r="P338" s="5593" t="s">
        <v>168</v>
      </c>
      <c r="Q338" s="5593" t="s">
        <v>641</v>
      </c>
      <c r="R338" s="1033"/>
      <c r="S338" s="263"/>
      <c r="T338" s="99"/>
      <c r="U338" s="138"/>
      <c r="V338" s="138"/>
      <c r="W338" s="99"/>
      <c r="X338" s="264"/>
      <c r="Y338" s="277"/>
      <c r="Z338" s="187"/>
      <c r="AA338" s="6301"/>
      <c r="AB338" s="139"/>
      <c r="AC338" s="139"/>
      <c r="AD338" s="139"/>
      <c r="AE338" s="139"/>
      <c r="AF338" s="139"/>
      <c r="AG338" s="139"/>
      <c r="AH338" s="139"/>
      <c r="AI338" s="139"/>
      <c r="AJ338" s="139"/>
      <c r="AK338" s="139"/>
      <c r="AL338" s="139"/>
      <c r="AM338" s="139"/>
      <c r="AN338" s="139"/>
      <c r="AO338" s="139"/>
      <c r="AP338" s="139"/>
      <c r="AQ338" s="139"/>
      <c r="AR338" s="139"/>
      <c r="AS338" s="139"/>
      <c r="AT338" s="139"/>
      <c r="AU338" s="139"/>
      <c r="AV338" s="139"/>
      <c r="AW338" s="139"/>
      <c r="AX338" s="139"/>
      <c r="AY338" s="139"/>
      <c r="AZ338" s="139"/>
      <c r="BA338" s="139"/>
      <c r="BB338" s="139"/>
      <c r="BC338" s="139"/>
      <c r="BD338" s="139"/>
      <c r="BE338" s="139"/>
      <c r="BF338" s="139"/>
      <c r="BG338" s="139"/>
      <c r="BH338" s="139"/>
    </row>
    <row r="339" spans="2:60" s="11" customFormat="1" ht="20.100000000000001" customHeight="1">
      <c r="B339" s="1360"/>
      <c r="C339" s="9594" t="s">
        <v>328</v>
      </c>
      <c r="D339" s="9594"/>
      <c r="E339" s="9594"/>
      <c r="F339" s="280" t="s">
        <v>307</v>
      </c>
      <c r="G339" s="386"/>
      <c r="H339" s="9593" t="s">
        <v>329</v>
      </c>
      <c r="I339" s="9594"/>
      <c r="J339" s="9595"/>
      <c r="K339" s="280" t="s">
        <v>307</v>
      </c>
      <c r="L339" s="5653" t="str">
        <f>IF(COUNTBLANK(L340:L345)&gt;0,"미취합법인有",SUM(L340:L345))</f>
        <v>미취합법인有</v>
      </c>
      <c r="M339" s="5657"/>
      <c r="N339" s="5654" t="str">
        <f>IF(COUNTBLANK(N340:N345)&gt;0,"미취합법인有",SUM(N340:N345))</f>
        <v>미취합법인有</v>
      </c>
      <c r="O339" s="5663"/>
      <c r="P339" s="5781" t="str">
        <f>IF(COUNTBLANK(P340:P345)&gt;0,"미취합법인有",SUM(P340:P345))</f>
        <v>미취합법인有</v>
      </c>
      <c r="Q339" s="785"/>
      <c r="R339" s="2468" t="s">
        <v>330</v>
      </c>
      <c r="S339" s="276" t="s">
        <v>331</v>
      </c>
      <c r="T339" s="99" t="s">
        <v>206</v>
      </c>
      <c r="U339" s="138"/>
      <c r="V339" s="138"/>
      <c r="W339" s="99"/>
      <c r="X339" s="346" t="s">
        <v>332</v>
      </c>
      <c r="Y339" s="265"/>
      <c r="Z339" s="187"/>
      <c r="AA339" s="6301"/>
      <c r="AB339" s="139"/>
      <c r="AC339" s="139"/>
      <c r="AD339" s="139"/>
      <c r="AE339" s="139"/>
      <c r="AF339" s="139"/>
      <c r="AG339" s="139"/>
      <c r="AH339" s="139"/>
      <c r="AI339" s="139"/>
      <c r="AJ339" s="139"/>
      <c r="AK339" s="139"/>
      <c r="AL339" s="139"/>
      <c r="AM339" s="139"/>
      <c r="AN339" s="139"/>
      <c r="AO339" s="139"/>
      <c r="AP339" s="139"/>
      <c r="AQ339" s="139"/>
      <c r="AR339" s="139"/>
      <c r="AS339" s="139"/>
      <c r="AT339" s="139"/>
      <c r="AU339" s="139"/>
      <c r="AV339" s="139"/>
      <c r="AW339" s="139"/>
      <c r="AX339" s="139"/>
      <c r="AY339" s="139"/>
      <c r="AZ339" s="139"/>
      <c r="BA339" s="139"/>
      <c r="BB339" s="139"/>
      <c r="BC339" s="139"/>
      <c r="BD339" s="139"/>
      <c r="BE339" s="139"/>
      <c r="BF339" s="139"/>
      <c r="BG339" s="139"/>
      <c r="BH339" s="139"/>
    </row>
    <row r="340" spans="2:60" s="11" customFormat="1" ht="19.899999999999999" customHeight="1">
      <c r="B340" s="5590"/>
      <c r="C340" s="9647" t="s">
        <v>134</v>
      </c>
      <c r="D340" s="9648"/>
      <c r="E340" s="9649"/>
      <c r="F340" s="280" t="s">
        <v>307</v>
      </c>
      <c r="G340" s="253"/>
      <c r="H340" s="9579" t="s">
        <v>135</v>
      </c>
      <c r="I340" s="9580"/>
      <c r="J340" s="9581"/>
      <c r="K340" s="280" t="s">
        <v>307</v>
      </c>
      <c r="L340" s="5592">
        <v>0</v>
      </c>
      <c r="M340" s="5656"/>
      <c r="N340" s="5593">
        <v>0</v>
      </c>
      <c r="O340" s="5656"/>
      <c r="P340" s="5593">
        <v>0</v>
      </c>
      <c r="Q340" s="5656"/>
      <c r="R340" s="1033"/>
      <c r="S340" s="263"/>
      <c r="T340" s="99"/>
      <c r="U340" s="138"/>
      <c r="V340" s="138"/>
      <c r="W340" s="99"/>
      <c r="X340" s="264"/>
      <c r="Y340" s="277"/>
      <c r="Z340" s="187"/>
      <c r="AA340" s="6301"/>
      <c r="AB340" s="139"/>
      <c r="AC340" s="139"/>
      <c r="AD340" s="139"/>
      <c r="AE340" s="139"/>
      <c r="AF340" s="139"/>
      <c r="AG340" s="139"/>
      <c r="AH340" s="139"/>
      <c r="AI340" s="139"/>
      <c r="AJ340" s="139"/>
      <c r="AK340" s="139"/>
      <c r="AL340" s="139"/>
      <c r="AM340" s="139"/>
      <c r="AN340" s="139"/>
      <c r="AO340" s="139"/>
      <c r="AP340" s="139"/>
      <c r="AQ340" s="139"/>
      <c r="AR340" s="139"/>
      <c r="AS340" s="139"/>
      <c r="AT340" s="139"/>
      <c r="AU340" s="139"/>
      <c r="AV340" s="139"/>
      <c r="AW340" s="139"/>
      <c r="AX340" s="139"/>
      <c r="AY340" s="139"/>
      <c r="AZ340" s="139"/>
      <c r="BA340" s="139"/>
      <c r="BB340" s="139"/>
      <c r="BC340" s="139"/>
      <c r="BD340" s="139"/>
      <c r="BE340" s="139"/>
      <c r="BF340" s="139"/>
      <c r="BG340" s="139"/>
      <c r="BH340" s="139"/>
    </row>
    <row r="341" spans="2:60" s="11" customFormat="1" ht="19.899999999999999" customHeight="1">
      <c r="B341" s="5590"/>
      <c r="C341" s="9647" t="s">
        <v>137</v>
      </c>
      <c r="D341" s="9648"/>
      <c r="E341" s="9649"/>
      <c r="F341" s="280" t="s">
        <v>307</v>
      </c>
      <c r="G341" s="253"/>
      <c r="H341" s="9579" t="s">
        <v>138</v>
      </c>
      <c r="I341" s="9580"/>
      <c r="J341" s="9581"/>
      <c r="K341" s="280" t="s">
        <v>307</v>
      </c>
      <c r="L341" s="5592"/>
      <c r="M341" s="5656"/>
      <c r="N341" s="5593"/>
      <c r="O341" s="5593"/>
      <c r="P341" s="5593"/>
      <c r="Q341" s="5593"/>
      <c r="R341" s="1033"/>
      <c r="S341" s="263"/>
      <c r="T341" s="99"/>
      <c r="U341" s="138"/>
      <c r="V341" s="138"/>
      <c r="W341" s="99"/>
      <c r="X341" s="264"/>
      <c r="Y341" s="277"/>
      <c r="Z341" s="187"/>
      <c r="AA341" s="6301"/>
      <c r="AB341" s="139"/>
      <c r="AC341" s="139"/>
      <c r="AD341" s="139"/>
      <c r="AE341" s="139"/>
      <c r="AF341" s="139"/>
      <c r="AG341" s="139"/>
      <c r="AH341" s="139"/>
      <c r="AI341" s="139"/>
      <c r="AJ341" s="139"/>
      <c r="AK341" s="139"/>
      <c r="AL341" s="139"/>
      <c r="AM341" s="139"/>
      <c r="AN341" s="139"/>
      <c r="AO341" s="139"/>
      <c r="AP341" s="139"/>
      <c r="AQ341" s="139"/>
      <c r="AR341" s="139"/>
      <c r="AS341" s="139"/>
      <c r="AT341" s="139"/>
      <c r="AU341" s="139"/>
      <c r="AV341" s="139"/>
      <c r="AW341" s="139"/>
      <c r="AX341" s="139"/>
      <c r="AY341" s="139"/>
      <c r="AZ341" s="139"/>
      <c r="BA341" s="139"/>
      <c r="BB341" s="139"/>
      <c r="BC341" s="139"/>
      <c r="BD341" s="139"/>
      <c r="BE341" s="139"/>
      <c r="BF341" s="139"/>
      <c r="BG341" s="139"/>
      <c r="BH341" s="139"/>
    </row>
    <row r="342" spans="2:60" s="11" customFormat="1" ht="19.899999999999999" customHeight="1">
      <c r="B342" s="5590"/>
      <c r="C342" s="9647" t="s">
        <v>140</v>
      </c>
      <c r="D342" s="9648"/>
      <c r="E342" s="9649"/>
      <c r="F342" s="280" t="s">
        <v>307</v>
      </c>
      <c r="G342" s="253"/>
      <c r="H342" s="9579" t="s">
        <v>141</v>
      </c>
      <c r="I342" s="9580"/>
      <c r="J342" s="9581"/>
      <c r="K342" s="280" t="s">
        <v>307</v>
      </c>
      <c r="L342" s="5592">
        <v>87.456875595606604</v>
      </c>
      <c r="M342" s="5656"/>
      <c r="N342" s="5593">
        <v>81.303974009327803</v>
      </c>
      <c r="O342" s="5593"/>
      <c r="P342" s="5593">
        <v>88.372129660195171</v>
      </c>
      <c r="Q342" s="5593"/>
      <c r="R342" s="1033"/>
      <c r="S342" s="263"/>
      <c r="T342" s="99"/>
      <c r="U342" s="138"/>
      <c r="V342" s="138"/>
      <c r="W342" s="99"/>
      <c r="X342" s="264"/>
      <c r="Y342" s="277"/>
      <c r="Z342" s="187"/>
      <c r="AA342" s="6301"/>
      <c r="AB342" s="139"/>
      <c r="AC342" s="139"/>
      <c r="AD342" s="139"/>
      <c r="AE342" s="139"/>
      <c r="AF342" s="139"/>
      <c r="AG342" s="139"/>
      <c r="AH342" s="139"/>
      <c r="AI342" s="139"/>
      <c r="AJ342" s="139"/>
      <c r="AK342" s="139"/>
      <c r="AL342" s="139"/>
      <c r="AM342" s="139"/>
      <c r="AN342" s="139"/>
      <c r="AO342" s="139"/>
      <c r="AP342" s="139"/>
      <c r="AQ342" s="139"/>
      <c r="AR342" s="139"/>
      <c r="AS342" s="139"/>
      <c r="AT342" s="139"/>
      <c r="AU342" s="139"/>
      <c r="AV342" s="139"/>
      <c r="AW342" s="139"/>
      <c r="AX342" s="139"/>
      <c r="AY342" s="139"/>
      <c r="AZ342" s="139"/>
      <c r="BA342" s="139"/>
      <c r="BB342" s="139"/>
      <c r="BC342" s="139"/>
      <c r="BD342" s="139"/>
      <c r="BE342" s="139"/>
      <c r="BF342" s="139"/>
      <c r="BG342" s="139"/>
      <c r="BH342" s="139"/>
    </row>
    <row r="343" spans="2:60" s="11" customFormat="1" ht="19.899999999999999" customHeight="1">
      <c r="B343" s="5590"/>
      <c r="C343" s="9647" t="s">
        <v>143</v>
      </c>
      <c r="D343" s="9648"/>
      <c r="E343" s="9649"/>
      <c r="F343" s="280" t="s">
        <v>307</v>
      </c>
      <c r="G343" s="253"/>
      <c r="H343" s="9579" t="s">
        <v>144</v>
      </c>
      <c r="I343" s="9580"/>
      <c r="J343" s="9581"/>
      <c r="K343" s="280" t="s">
        <v>307</v>
      </c>
      <c r="L343" s="5592">
        <v>0</v>
      </c>
      <c r="M343" s="5656"/>
      <c r="N343" s="5593">
        <v>0</v>
      </c>
      <c r="O343" s="5593"/>
      <c r="P343" s="5593">
        <v>0</v>
      </c>
      <c r="Q343" s="5593"/>
      <c r="R343" s="1033"/>
      <c r="S343" s="263"/>
      <c r="T343" s="99"/>
      <c r="U343" s="138"/>
      <c r="V343" s="138"/>
      <c r="W343" s="99"/>
      <c r="X343" s="264"/>
      <c r="Y343" s="277"/>
      <c r="Z343" s="187"/>
      <c r="AA343" s="6301"/>
      <c r="AB343" s="139"/>
      <c r="AC343" s="139"/>
      <c r="AD343" s="139"/>
      <c r="AE343" s="139"/>
      <c r="AF343" s="139"/>
      <c r="AG343" s="139"/>
      <c r="AH343" s="139"/>
      <c r="AI343" s="139"/>
      <c r="AJ343" s="139"/>
      <c r="AK343" s="139"/>
      <c r="AL343" s="139"/>
      <c r="AM343" s="139"/>
      <c r="AN343" s="139"/>
      <c r="AO343" s="139"/>
      <c r="AP343" s="139"/>
      <c r="AQ343" s="139"/>
      <c r="AR343" s="139"/>
      <c r="AS343" s="139"/>
      <c r="AT343" s="139"/>
      <c r="AU343" s="139"/>
      <c r="AV343" s="139"/>
      <c r="AW343" s="139"/>
      <c r="AX343" s="139"/>
      <c r="AY343" s="139"/>
      <c r="AZ343" s="139"/>
      <c r="BA343" s="139"/>
      <c r="BB343" s="139"/>
      <c r="BC343" s="139"/>
      <c r="BD343" s="139"/>
      <c r="BE343" s="139"/>
      <c r="BF343" s="139"/>
      <c r="BG343" s="139"/>
      <c r="BH343" s="139"/>
    </row>
    <row r="344" spans="2:60" s="11" customFormat="1" ht="19.899999999999999" customHeight="1">
      <c r="B344" s="5590"/>
      <c r="C344" s="9647" t="s">
        <v>631</v>
      </c>
      <c r="D344" s="9648"/>
      <c r="E344" s="9649"/>
      <c r="F344" s="280" t="s">
        <v>307</v>
      </c>
      <c r="G344" s="253"/>
      <c r="H344" s="9579" t="s">
        <v>147</v>
      </c>
      <c r="I344" s="9580"/>
      <c r="J344" s="9581"/>
      <c r="K344" s="280" t="s">
        <v>307</v>
      </c>
      <c r="L344" s="5967" t="s">
        <v>168</v>
      </c>
      <c r="M344" s="5656" t="s">
        <v>641</v>
      </c>
      <c r="N344" s="5593" t="s">
        <v>168</v>
      </c>
      <c r="O344" s="5593" t="s">
        <v>641</v>
      </c>
      <c r="P344" s="5593" t="s">
        <v>168</v>
      </c>
      <c r="Q344" s="5593" t="s">
        <v>641</v>
      </c>
      <c r="R344" s="1033"/>
      <c r="S344" s="263"/>
      <c r="T344" s="99"/>
      <c r="U344" s="138"/>
      <c r="V344" s="138"/>
      <c r="W344" s="99"/>
      <c r="X344" s="264"/>
      <c r="Y344" s="277"/>
      <c r="Z344" s="187"/>
      <c r="AA344" s="6301"/>
      <c r="AB344" s="139"/>
      <c r="AC344" s="139"/>
      <c r="AD344" s="139"/>
      <c r="AE344" s="139"/>
      <c r="AF344" s="139"/>
      <c r="AG344" s="139"/>
      <c r="AH344" s="139"/>
      <c r="AI344" s="139"/>
      <c r="AJ344" s="139"/>
      <c r="AK344" s="139"/>
      <c r="AL344" s="139"/>
      <c r="AM344" s="139"/>
      <c r="AN344" s="139"/>
      <c r="AO344" s="139"/>
      <c r="AP344" s="139"/>
      <c r="AQ344" s="139"/>
      <c r="AR344" s="139"/>
      <c r="AS344" s="139"/>
      <c r="AT344" s="139"/>
      <c r="AU344" s="139"/>
      <c r="AV344" s="139"/>
      <c r="AW344" s="139"/>
      <c r="AX344" s="139"/>
      <c r="AY344" s="139"/>
      <c r="AZ344" s="139"/>
      <c r="BA344" s="139"/>
      <c r="BB344" s="139"/>
      <c r="BC344" s="139"/>
      <c r="BD344" s="139"/>
      <c r="BE344" s="139"/>
      <c r="BF344" s="139"/>
      <c r="BG344" s="139"/>
      <c r="BH344" s="139"/>
    </row>
    <row r="345" spans="2:60" s="11" customFormat="1" ht="19.899999999999999" customHeight="1">
      <c r="B345" s="5590"/>
      <c r="C345" s="9647" t="s">
        <v>633</v>
      </c>
      <c r="D345" s="9648"/>
      <c r="E345" s="9649"/>
      <c r="F345" s="280" t="s">
        <v>307</v>
      </c>
      <c r="G345" s="253"/>
      <c r="H345" s="9579" t="s">
        <v>150</v>
      </c>
      <c r="I345" s="9580"/>
      <c r="J345" s="9581"/>
      <c r="K345" s="280" t="s">
        <v>307</v>
      </c>
      <c r="L345" s="5592">
        <v>0</v>
      </c>
      <c r="M345" s="5656"/>
      <c r="N345" s="5593">
        <v>0</v>
      </c>
      <c r="O345" s="5593"/>
      <c r="P345" s="5593">
        <v>0</v>
      </c>
      <c r="Q345" s="5593"/>
      <c r="R345" s="1033"/>
      <c r="S345" s="263"/>
      <c r="T345" s="99"/>
      <c r="U345" s="138"/>
      <c r="V345" s="138"/>
      <c r="W345" s="99"/>
      <c r="X345" s="264"/>
      <c r="Y345" s="277"/>
      <c r="Z345" s="187"/>
      <c r="AA345" s="6301"/>
      <c r="AB345" s="139"/>
      <c r="AC345" s="139"/>
      <c r="AD345" s="139"/>
      <c r="AE345" s="139"/>
      <c r="AF345" s="139"/>
      <c r="AG345" s="139"/>
      <c r="AH345" s="139"/>
      <c r="AI345" s="139"/>
      <c r="AJ345" s="139"/>
      <c r="AK345" s="139"/>
      <c r="AL345" s="139"/>
      <c r="AM345" s="139"/>
      <c r="AN345" s="139"/>
      <c r="AO345" s="139"/>
      <c r="AP345" s="139"/>
      <c r="AQ345" s="139"/>
      <c r="AR345" s="139"/>
      <c r="AS345" s="139"/>
      <c r="AT345" s="139"/>
      <c r="AU345" s="139"/>
      <c r="AV345" s="139"/>
      <c r="AW345" s="139"/>
      <c r="AX345" s="139"/>
      <c r="AY345" s="139"/>
      <c r="AZ345" s="139"/>
      <c r="BA345" s="139"/>
      <c r="BB345" s="139"/>
      <c r="BC345" s="139"/>
      <c r="BD345" s="139"/>
      <c r="BE345" s="139"/>
      <c r="BF345" s="139"/>
      <c r="BG345" s="139"/>
      <c r="BH345" s="139"/>
    </row>
    <row r="346" spans="2:60" s="11" customFormat="1" ht="20.100000000000001" customHeight="1">
      <c r="B346" s="1360"/>
      <c r="C346" s="5598"/>
      <c r="D346" s="9593" t="s">
        <v>333</v>
      </c>
      <c r="E346" s="9594"/>
      <c r="F346" s="280" t="s">
        <v>307</v>
      </c>
      <c r="G346" s="4544"/>
      <c r="H346" s="358"/>
      <c r="I346" s="9593" t="s">
        <v>334</v>
      </c>
      <c r="J346" s="9594"/>
      <c r="K346" s="280" t="s">
        <v>307</v>
      </c>
      <c r="L346" s="5653" t="str">
        <f>IF(COUNTBLANK(L347:L352)&gt;0,"미취합법인有",SUM(L347:L352))</f>
        <v>미취합법인有</v>
      </c>
      <c r="M346" s="5657"/>
      <c r="N346" s="5654" t="str">
        <f>IF(COUNTBLANK(N347:N352)&gt;0,"미취합법인有",SUM(N347:N352))</f>
        <v>미취합법인有</v>
      </c>
      <c r="O346" s="5663"/>
      <c r="P346" s="5781" t="str">
        <f>IF(COUNTBLANK(P347:P352)&gt;0,"미취합법인有",SUM(P347:P352))</f>
        <v>미취합법인有</v>
      </c>
      <c r="Q346" s="785"/>
      <c r="R346" s="2468"/>
      <c r="S346" s="276"/>
      <c r="T346" s="99" t="s">
        <v>206</v>
      </c>
      <c r="U346" s="138"/>
      <c r="V346" s="138"/>
      <c r="W346" s="99"/>
      <c r="X346" s="346" t="s">
        <v>332</v>
      </c>
      <c r="Y346" s="265"/>
      <c r="Z346" s="187"/>
      <c r="AA346" s="6301"/>
      <c r="AB346" s="139"/>
      <c r="AC346" s="139"/>
      <c r="AD346" s="139"/>
      <c r="AE346" s="139"/>
      <c r="AF346" s="139"/>
      <c r="AG346" s="139"/>
      <c r="AH346" s="139"/>
      <c r="AI346" s="139"/>
      <c r="AJ346" s="139"/>
      <c r="AK346" s="139"/>
      <c r="AL346" s="139"/>
      <c r="AM346" s="139"/>
      <c r="AN346" s="139"/>
      <c r="AO346" s="139"/>
      <c r="AP346" s="139"/>
      <c r="AQ346" s="139"/>
      <c r="AR346" s="139"/>
      <c r="AS346" s="139"/>
      <c r="AT346" s="139"/>
      <c r="AU346" s="139"/>
      <c r="AV346" s="139"/>
      <c r="AW346" s="139"/>
      <c r="AX346" s="139"/>
      <c r="AY346" s="139"/>
      <c r="AZ346" s="139"/>
      <c r="BA346" s="139"/>
      <c r="BB346" s="139"/>
      <c r="BC346" s="139"/>
      <c r="BD346" s="139"/>
      <c r="BE346" s="139"/>
      <c r="BF346" s="139"/>
      <c r="BG346" s="139"/>
      <c r="BH346" s="139"/>
    </row>
    <row r="347" spans="2:60" s="11" customFormat="1" ht="19.899999999999999" customHeight="1">
      <c r="B347" s="5590"/>
      <c r="C347" s="5598"/>
      <c r="D347" s="9598" t="s">
        <v>134</v>
      </c>
      <c r="E347" s="9600"/>
      <c r="F347" s="87" t="s">
        <v>255</v>
      </c>
      <c r="G347" s="726"/>
      <c r="H347" s="286"/>
      <c r="I347" s="9579" t="s">
        <v>135</v>
      </c>
      <c r="J347" s="9581"/>
      <c r="K347" s="280" t="s">
        <v>307</v>
      </c>
      <c r="L347" s="5670"/>
      <c r="M347" s="5671"/>
      <c r="N347" s="5672"/>
      <c r="O347" s="5673"/>
      <c r="P347" s="5673"/>
      <c r="Q347" s="5672"/>
      <c r="R347" s="2468"/>
      <c r="S347" s="276"/>
      <c r="T347" s="99"/>
      <c r="U347" s="138"/>
      <c r="V347" s="138"/>
      <c r="W347" s="99"/>
      <c r="X347" s="264"/>
      <c r="Y347" s="277"/>
      <c r="Z347" s="187"/>
      <c r="AA347" s="6301"/>
      <c r="AB347" s="139"/>
      <c r="AC347" s="139"/>
      <c r="AD347" s="139"/>
      <c r="AE347" s="139"/>
      <c r="AF347" s="139"/>
      <c r="AG347" s="139"/>
      <c r="AH347" s="139"/>
      <c r="AI347" s="139"/>
      <c r="AJ347" s="139"/>
      <c r="AK347" s="139"/>
      <c r="AL347" s="139"/>
      <c r="AM347" s="139"/>
      <c r="AN347" s="139"/>
      <c r="AO347" s="139"/>
      <c r="AP347" s="139"/>
      <c r="AQ347" s="139"/>
      <c r="AR347" s="139"/>
      <c r="AS347" s="139"/>
      <c r="AT347" s="139"/>
      <c r="AU347" s="139"/>
      <c r="AV347" s="139"/>
      <c r="AW347" s="139"/>
      <c r="AX347" s="139"/>
      <c r="AY347" s="139"/>
      <c r="AZ347" s="139"/>
      <c r="BA347" s="139"/>
      <c r="BB347" s="139"/>
      <c r="BC347" s="139"/>
      <c r="BD347" s="139"/>
      <c r="BE347" s="139"/>
      <c r="BF347" s="139"/>
      <c r="BG347" s="139"/>
      <c r="BH347" s="139"/>
    </row>
    <row r="348" spans="2:60" s="11" customFormat="1" ht="19.899999999999999" customHeight="1">
      <c r="B348" s="5590"/>
      <c r="C348" s="5598"/>
      <c r="D348" s="9598" t="s">
        <v>137</v>
      </c>
      <c r="E348" s="9600"/>
      <c r="F348" s="87" t="s">
        <v>255</v>
      </c>
      <c r="G348" s="726"/>
      <c r="H348" s="286"/>
      <c r="I348" s="9579" t="s">
        <v>138</v>
      </c>
      <c r="J348" s="9581"/>
      <c r="K348" s="280" t="s">
        <v>307</v>
      </c>
      <c r="L348" s="5594"/>
      <c r="M348" s="5658"/>
      <c r="N348" s="1814"/>
      <c r="O348" s="5302"/>
      <c r="P348" s="5595"/>
      <c r="Q348" s="1814"/>
      <c r="R348" s="2468"/>
      <c r="S348" s="276"/>
      <c r="T348" s="99"/>
      <c r="U348" s="138"/>
      <c r="V348" s="138"/>
      <c r="W348" s="99"/>
      <c r="X348" s="264"/>
      <c r="Y348" s="277"/>
      <c r="Z348" s="187"/>
      <c r="AA348" s="6301"/>
      <c r="AB348" s="139"/>
      <c r="AC348" s="139"/>
      <c r="AD348" s="139"/>
      <c r="AE348" s="139"/>
      <c r="AF348" s="139"/>
      <c r="AG348" s="139"/>
      <c r="AH348" s="139"/>
      <c r="AI348" s="139"/>
      <c r="AJ348" s="139"/>
      <c r="AK348" s="139"/>
      <c r="AL348" s="139"/>
      <c r="AM348" s="139"/>
      <c r="AN348" s="139"/>
      <c r="AO348" s="139"/>
      <c r="AP348" s="139"/>
      <c r="AQ348" s="139"/>
      <c r="AR348" s="139"/>
      <c r="AS348" s="139"/>
      <c r="AT348" s="139"/>
      <c r="AU348" s="139"/>
      <c r="AV348" s="139"/>
      <c r="AW348" s="139"/>
      <c r="AX348" s="139"/>
      <c r="AY348" s="139"/>
      <c r="AZ348" s="139"/>
      <c r="BA348" s="139"/>
      <c r="BB348" s="139"/>
      <c r="BC348" s="139"/>
      <c r="BD348" s="139"/>
      <c r="BE348" s="139"/>
      <c r="BF348" s="139"/>
      <c r="BG348" s="139"/>
      <c r="BH348" s="139"/>
    </row>
    <row r="349" spans="2:60" s="11" customFormat="1" ht="19.899999999999999" customHeight="1">
      <c r="B349" s="5590"/>
      <c r="C349" s="5598"/>
      <c r="D349" s="9598" t="s">
        <v>140</v>
      </c>
      <c r="E349" s="9600"/>
      <c r="F349" s="87" t="s">
        <v>255</v>
      </c>
      <c r="G349" s="726"/>
      <c r="H349" s="286"/>
      <c r="I349" s="9582" t="s">
        <v>141</v>
      </c>
      <c r="J349" s="9583"/>
      <c r="K349" s="280" t="s">
        <v>307</v>
      </c>
      <c r="L349" s="6358">
        <v>87.456875595606604</v>
      </c>
      <c r="M349" s="6359"/>
      <c r="N349" s="6360">
        <v>81.303974009327803</v>
      </c>
      <c r="O349" s="6366"/>
      <c r="P349" s="6064">
        <v>88.372129660195171</v>
      </c>
      <c r="Q349" s="2554"/>
      <c r="R349" s="2468"/>
      <c r="S349" s="276"/>
      <c r="T349" s="99"/>
      <c r="U349" s="138"/>
      <c r="V349" s="138"/>
      <c r="W349" s="99"/>
      <c r="X349" s="264"/>
      <c r="Y349" s="277"/>
      <c r="Z349" s="187"/>
      <c r="AA349" s="6301"/>
      <c r="AB349" s="139"/>
      <c r="AC349" s="139"/>
      <c r="AD349" s="139"/>
      <c r="AE349" s="139"/>
      <c r="AF349" s="139"/>
      <c r="AG349" s="139"/>
      <c r="AH349" s="139"/>
      <c r="AI349" s="139"/>
      <c r="AJ349" s="139"/>
      <c r="AK349" s="139"/>
      <c r="AL349" s="139"/>
      <c r="AM349" s="139"/>
      <c r="AN349" s="139"/>
      <c r="AO349" s="139"/>
      <c r="AP349" s="139"/>
      <c r="AQ349" s="139"/>
      <c r="AR349" s="139"/>
      <c r="AS349" s="139"/>
      <c r="AT349" s="139"/>
      <c r="AU349" s="139"/>
      <c r="AV349" s="139"/>
      <c r="AW349" s="139"/>
      <c r="AX349" s="139"/>
      <c r="AY349" s="139"/>
      <c r="AZ349" s="139"/>
      <c r="BA349" s="139"/>
      <c r="BB349" s="139"/>
      <c r="BC349" s="139"/>
      <c r="BD349" s="139"/>
      <c r="BE349" s="139"/>
      <c r="BF349" s="139"/>
      <c r="BG349" s="139"/>
      <c r="BH349" s="139"/>
    </row>
    <row r="350" spans="2:60" s="11" customFormat="1" ht="19.899999999999999" customHeight="1">
      <c r="B350" s="5590"/>
      <c r="C350" s="5598"/>
      <c r="D350" s="9598" t="s">
        <v>143</v>
      </c>
      <c r="E350" s="9600"/>
      <c r="F350" s="87" t="s">
        <v>255</v>
      </c>
      <c r="G350" s="726"/>
      <c r="H350" s="286"/>
      <c r="I350" s="9582" t="s">
        <v>144</v>
      </c>
      <c r="J350" s="9583"/>
      <c r="K350" s="280" t="s">
        <v>307</v>
      </c>
      <c r="L350" s="5592"/>
      <c r="M350" s="5656"/>
      <c r="N350" s="5593"/>
      <c r="O350" s="5593"/>
      <c r="P350" s="5593"/>
      <c r="Q350" s="5593"/>
      <c r="R350" s="2468"/>
      <c r="S350" s="276"/>
      <c r="T350" s="99"/>
      <c r="U350" s="138"/>
      <c r="V350" s="138"/>
      <c r="W350" s="99"/>
      <c r="X350" s="264"/>
      <c r="Y350" s="277"/>
      <c r="Z350" s="187"/>
      <c r="AA350" s="6301"/>
      <c r="AB350" s="139"/>
      <c r="AC350" s="139"/>
      <c r="AD350" s="139"/>
      <c r="AE350" s="139"/>
      <c r="AF350" s="139"/>
      <c r="AG350" s="139"/>
      <c r="AH350" s="139"/>
      <c r="AI350" s="139"/>
      <c r="AJ350" s="139"/>
      <c r="AK350" s="139"/>
      <c r="AL350" s="139"/>
      <c r="AM350" s="139"/>
      <c r="AN350" s="139"/>
      <c r="AO350" s="139"/>
      <c r="AP350" s="139"/>
      <c r="AQ350" s="139"/>
      <c r="AR350" s="139"/>
      <c r="AS350" s="139"/>
      <c r="AT350" s="139"/>
      <c r="AU350" s="139"/>
      <c r="AV350" s="139"/>
      <c r="AW350" s="139"/>
      <c r="AX350" s="139"/>
      <c r="AY350" s="139"/>
      <c r="AZ350" s="139"/>
      <c r="BA350" s="139"/>
      <c r="BB350" s="139"/>
      <c r="BC350" s="139"/>
      <c r="BD350" s="139"/>
      <c r="BE350" s="139"/>
      <c r="BF350" s="139"/>
      <c r="BG350" s="139"/>
      <c r="BH350" s="139"/>
    </row>
    <row r="351" spans="2:60" s="11" customFormat="1" ht="19.899999999999999" customHeight="1">
      <c r="B351" s="5590"/>
      <c r="C351" s="5598"/>
      <c r="D351" s="9598" t="s">
        <v>631</v>
      </c>
      <c r="E351" s="9600"/>
      <c r="F351" s="87" t="s">
        <v>255</v>
      </c>
      <c r="G351" s="726"/>
      <c r="H351" s="286"/>
      <c r="I351" s="9582" t="s">
        <v>147</v>
      </c>
      <c r="J351" s="9583"/>
      <c r="K351" s="280" t="s">
        <v>307</v>
      </c>
      <c r="L351" s="5967" t="s">
        <v>168</v>
      </c>
      <c r="M351" s="5656" t="s">
        <v>641</v>
      </c>
      <c r="N351" s="5593" t="s">
        <v>168</v>
      </c>
      <c r="O351" s="5593" t="s">
        <v>641</v>
      </c>
      <c r="P351" s="5593" t="s">
        <v>168</v>
      </c>
      <c r="Q351" s="5593" t="s">
        <v>641</v>
      </c>
      <c r="R351" s="2468"/>
      <c r="S351" s="276"/>
      <c r="T351" s="99"/>
      <c r="U351" s="138"/>
      <c r="V351" s="138"/>
      <c r="W351" s="99"/>
      <c r="X351" s="264"/>
      <c r="Y351" s="277"/>
      <c r="Z351" s="187"/>
      <c r="AA351" s="6301"/>
      <c r="AB351" s="139"/>
      <c r="AC351" s="139"/>
      <c r="AD351" s="139"/>
      <c r="AE351" s="139"/>
      <c r="AF351" s="139"/>
      <c r="AG351" s="139"/>
      <c r="AH351" s="139"/>
      <c r="AI351" s="139"/>
      <c r="AJ351" s="139"/>
      <c r="AK351" s="139"/>
      <c r="AL351" s="139"/>
      <c r="AM351" s="139"/>
      <c r="AN351" s="139"/>
      <c r="AO351" s="139"/>
      <c r="AP351" s="139"/>
      <c r="AQ351" s="139"/>
      <c r="AR351" s="139"/>
      <c r="AS351" s="139"/>
      <c r="AT351" s="139"/>
      <c r="AU351" s="139"/>
      <c r="AV351" s="139"/>
      <c r="AW351" s="139"/>
      <c r="AX351" s="139"/>
      <c r="AY351" s="139"/>
      <c r="AZ351" s="139"/>
      <c r="BA351" s="139"/>
      <c r="BB351" s="139"/>
      <c r="BC351" s="139"/>
      <c r="BD351" s="139"/>
      <c r="BE351" s="139"/>
      <c r="BF351" s="139"/>
      <c r="BG351" s="139"/>
      <c r="BH351" s="139"/>
    </row>
    <row r="352" spans="2:60" s="11" customFormat="1" ht="19.899999999999999" customHeight="1">
      <c r="B352" s="5590"/>
      <c r="C352" s="5598"/>
      <c r="D352" s="9598" t="s">
        <v>633</v>
      </c>
      <c r="E352" s="9600"/>
      <c r="F352" s="87" t="s">
        <v>255</v>
      </c>
      <c r="G352" s="726"/>
      <c r="H352" s="286"/>
      <c r="I352" s="9582" t="s">
        <v>150</v>
      </c>
      <c r="J352" s="9583"/>
      <c r="K352" s="280" t="s">
        <v>307</v>
      </c>
      <c r="L352" s="5592">
        <v>0</v>
      </c>
      <c r="M352" s="5656"/>
      <c r="N352" s="5593">
        <v>0</v>
      </c>
      <c r="O352" s="5593"/>
      <c r="P352" s="5593">
        <v>0</v>
      </c>
      <c r="Q352" s="5593"/>
      <c r="R352" s="2468"/>
      <c r="S352" s="276"/>
      <c r="T352" s="99"/>
      <c r="U352" s="138"/>
      <c r="V352" s="138"/>
      <c r="W352" s="99"/>
      <c r="X352" s="264"/>
      <c r="Y352" s="277"/>
      <c r="Z352" s="187"/>
      <c r="AA352" s="6301"/>
      <c r="AB352" s="139"/>
      <c r="AC352" s="139"/>
      <c r="AD352" s="139"/>
      <c r="AE352" s="139"/>
      <c r="AF352" s="139"/>
      <c r="AG352" s="139"/>
      <c r="AH352" s="139"/>
      <c r="AI352" s="139"/>
      <c r="AJ352" s="139"/>
      <c r="AK352" s="139"/>
      <c r="AL352" s="139"/>
      <c r="AM352" s="139"/>
      <c r="AN352" s="139"/>
      <c r="AO352" s="139"/>
      <c r="AP352" s="139"/>
      <c r="AQ352" s="139"/>
      <c r="AR352" s="139"/>
      <c r="AS352" s="139"/>
      <c r="AT352" s="139"/>
      <c r="AU352" s="139"/>
      <c r="AV352" s="139"/>
      <c r="AW352" s="139"/>
      <c r="AX352" s="139"/>
      <c r="AY352" s="139"/>
      <c r="AZ352" s="139"/>
      <c r="BA352" s="139"/>
      <c r="BB352" s="139"/>
      <c r="BC352" s="139"/>
      <c r="BD352" s="139"/>
      <c r="BE352" s="139"/>
      <c r="BF352" s="139"/>
      <c r="BG352" s="139"/>
      <c r="BH352" s="139"/>
    </row>
    <row r="353" spans="2:60" s="11" customFormat="1" ht="20.100000000000001" customHeight="1">
      <c r="B353" s="1360"/>
      <c r="C353" s="5598"/>
      <c r="D353" s="9593" t="s">
        <v>335</v>
      </c>
      <c r="E353" s="9594"/>
      <c r="F353" s="280" t="s">
        <v>307</v>
      </c>
      <c r="G353" s="4544"/>
      <c r="H353" s="358"/>
      <c r="I353" s="9593" t="s">
        <v>336</v>
      </c>
      <c r="J353" s="9594"/>
      <c r="K353" s="280" t="s">
        <v>307</v>
      </c>
      <c r="L353" s="5653" t="str">
        <f>IF(COUNTBLANK(L354:L359)&gt;0,"미취합법인有",SUM(L354:L359))</f>
        <v>미취합법인有</v>
      </c>
      <c r="M353" s="5657"/>
      <c r="N353" s="5654" t="str">
        <f>IF(COUNTBLANK(N354:N359)&gt;0,"미취합법인有",SUM(N354:N359))</f>
        <v>미취합법인有</v>
      </c>
      <c r="O353" s="5663"/>
      <c r="P353" s="5781" t="str">
        <f>IF(COUNTBLANK(P354:P359)&gt;0,"미취합법인有",SUM(P354:P359))</f>
        <v>미취합법인有</v>
      </c>
      <c r="Q353" s="785"/>
      <c r="R353" s="2468"/>
      <c r="S353" s="276"/>
      <c r="T353" s="99" t="s">
        <v>206</v>
      </c>
      <c r="U353" s="138"/>
      <c r="V353" s="138"/>
      <c r="W353" s="99"/>
      <c r="X353" s="346" t="s">
        <v>332</v>
      </c>
      <c r="Y353" s="265"/>
      <c r="Z353" s="187"/>
      <c r="AA353" s="6301"/>
      <c r="AB353" s="139"/>
      <c r="AC353" s="139"/>
      <c r="AD353" s="139"/>
      <c r="AE353" s="139"/>
      <c r="AF353" s="139"/>
      <c r="AG353" s="139"/>
      <c r="AH353" s="139"/>
      <c r="AI353" s="139"/>
      <c r="AJ353" s="139"/>
      <c r="AK353" s="139"/>
      <c r="AL353" s="139"/>
      <c r="AM353" s="139"/>
      <c r="AN353" s="139"/>
      <c r="AO353" s="139"/>
      <c r="AP353" s="139"/>
      <c r="AQ353" s="139"/>
      <c r="AR353" s="139"/>
      <c r="AS353" s="139"/>
      <c r="AT353" s="139"/>
      <c r="AU353" s="139"/>
      <c r="AV353" s="139"/>
      <c r="AW353" s="139"/>
      <c r="AX353" s="139"/>
      <c r="AY353" s="139"/>
      <c r="AZ353" s="139"/>
      <c r="BA353" s="139"/>
      <c r="BB353" s="139"/>
      <c r="BC353" s="139"/>
      <c r="BD353" s="139"/>
      <c r="BE353" s="139"/>
      <c r="BF353" s="139"/>
      <c r="BG353" s="139"/>
      <c r="BH353" s="139"/>
    </row>
    <row r="354" spans="2:60" s="11" customFormat="1" ht="19.899999999999999" customHeight="1">
      <c r="B354" s="5590"/>
      <c r="C354" s="5598"/>
      <c r="D354" s="9598" t="s">
        <v>134</v>
      </c>
      <c r="E354" s="9600"/>
      <c r="F354" s="87" t="s">
        <v>255</v>
      </c>
      <c r="G354" s="726"/>
      <c r="H354" s="286"/>
      <c r="I354" s="9579" t="s">
        <v>135</v>
      </c>
      <c r="J354" s="9581"/>
      <c r="K354" s="280" t="s">
        <v>307</v>
      </c>
      <c r="L354" s="5670"/>
      <c r="M354" s="5671"/>
      <c r="N354" s="5672"/>
      <c r="O354" s="5673"/>
      <c r="P354" s="5673"/>
      <c r="Q354" s="5672"/>
      <c r="R354" s="2468"/>
      <c r="S354" s="276"/>
      <c r="T354" s="99"/>
      <c r="U354" s="138"/>
      <c r="V354" s="138"/>
      <c r="W354" s="99"/>
      <c r="X354" s="264"/>
      <c r="Y354" s="277"/>
      <c r="Z354" s="187"/>
      <c r="AA354" s="6301"/>
      <c r="AB354" s="139"/>
      <c r="AC354" s="139"/>
      <c r="AD354" s="139"/>
      <c r="AE354" s="139"/>
      <c r="AF354" s="139"/>
      <c r="AG354" s="139"/>
      <c r="AH354" s="139"/>
      <c r="AI354" s="139"/>
      <c r="AJ354" s="139"/>
      <c r="AK354" s="139"/>
      <c r="AL354" s="139"/>
      <c r="AM354" s="139"/>
      <c r="AN354" s="139"/>
      <c r="AO354" s="139"/>
      <c r="AP354" s="139"/>
      <c r="AQ354" s="139"/>
      <c r="AR354" s="139"/>
      <c r="AS354" s="139"/>
      <c r="AT354" s="139"/>
      <c r="AU354" s="139"/>
      <c r="AV354" s="139"/>
      <c r="AW354" s="139"/>
      <c r="AX354" s="139"/>
      <c r="AY354" s="139"/>
      <c r="AZ354" s="139"/>
      <c r="BA354" s="139"/>
      <c r="BB354" s="139"/>
      <c r="BC354" s="139"/>
      <c r="BD354" s="139"/>
      <c r="BE354" s="139"/>
      <c r="BF354" s="139"/>
      <c r="BG354" s="139"/>
      <c r="BH354" s="139"/>
    </row>
    <row r="355" spans="2:60" s="11" customFormat="1" ht="19.899999999999999" customHeight="1">
      <c r="B355" s="5590"/>
      <c r="C355" s="5598"/>
      <c r="D355" s="9598" t="s">
        <v>137</v>
      </c>
      <c r="E355" s="9600"/>
      <c r="F355" s="87" t="s">
        <v>255</v>
      </c>
      <c r="G355" s="726"/>
      <c r="H355" s="286"/>
      <c r="I355" s="9579" t="s">
        <v>138</v>
      </c>
      <c r="J355" s="9581"/>
      <c r="K355" s="280" t="s">
        <v>307</v>
      </c>
      <c r="L355" s="5594"/>
      <c r="M355" s="5658"/>
      <c r="N355" s="1814"/>
      <c r="O355" s="5302"/>
      <c r="P355" s="5595"/>
      <c r="Q355" s="1814"/>
      <c r="R355" s="2468"/>
      <c r="S355" s="276"/>
      <c r="T355" s="99"/>
      <c r="U355" s="138"/>
      <c r="V355" s="138"/>
      <c r="W355" s="99"/>
      <c r="X355" s="264"/>
      <c r="Y355" s="277"/>
      <c r="Z355" s="187"/>
      <c r="AA355" s="6301"/>
      <c r="AB355" s="139"/>
      <c r="AC355" s="139"/>
      <c r="AD355" s="139"/>
      <c r="AE355" s="139"/>
      <c r="AF355" s="139"/>
      <c r="AG355" s="139"/>
      <c r="AH355" s="139"/>
      <c r="AI355" s="139"/>
      <c r="AJ355" s="139"/>
      <c r="AK355" s="139"/>
      <c r="AL355" s="139"/>
      <c r="AM355" s="139"/>
      <c r="AN355" s="139"/>
      <c r="AO355" s="139"/>
      <c r="AP355" s="139"/>
      <c r="AQ355" s="139"/>
      <c r="AR355" s="139"/>
      <c r="AS355" s="139"/>
      <c r="AT355" s="139"/>
      <c r="AU355" s="139"/>
      <c r="AV355" s="139"/>
      <c r="AW355" s="139"/>
      <c r="AX355" s="139"/>
      <c r="AY355" s="139"/>
      <c r="AZ355" s="139"/>
      <c r="BA355" s="139"/>
      <c r="BB355" s="139"/>
      <c r="BC355" s="139"/>
      <c r="BD355" s="139"/>
      <c r="BE355" s="139"/>
      <c r="BF355" s="139"/>
      <c r="BG355" s="139"/>
      <c r="BH355" s="139"/>
    </row>
    <row r="356" spans="2:60" s="11" customFormat="1" ht="19.899999999999999" customHeight="1">
      <c r="B356" s="5590"/>
      <c r="C356" s="5598"/>
      <c r="D356" s="9598" t="s">
        <v>140</v>
      </c>
      <c r="E356" s="9600"/>
      <c r="F356" s="87" t="s">
        <v>255</v>
      </c>
      <c r="G356" s="726"/>
      <c r="H356" s="286"/>
      <c r="I356" s="9582" t="s">
        <v>141</v>
      </c>
      <c r="J356" s="9583"/>
      <c r="K356" s="280" t="s">
        <v>307</v>
      </c>
      <c r="L356" s="5967" t="s">
        <v>168</v>
      </c>
      <c r="M356" s="5656" t="s">
        <v>641</v>
      </c>
      <c r="N356" s="5593" t="s">
        <v>168</v>
      </c>
      <c r="O356" s="5593" t="s">
        <v>641</v>
      </c>
      <c r="P356" s="5593" t="s">
        <v>168</v>
      </c>
      <c r="Q356" s="5593" t="s">
        <v>641</v>
      </c>
      <c r="R356" s="2468"/>
      <c r="S356" s="276"/>
      <c r="T356" s="99"/>
      <c r="U356" s="138"/>
      <c r="V356" s="138"/>
      <c r="W356" s="99"/>
      <c r="X356" s="264"/>
      <c r="Y356" s="277"/>
      <c r="Z356" s="187"/>
      <c r="AA356" s="6301"/>
      <c r="AB356" s="139"/>
      <c r="AC356" s="139"/>
      <c r="AD356" s="139"/>
      <c r="AE356" s="139"/>
      <c r="AF356" s="139"/>
      <c r="AG356" s="139"/>
      <c r="AH356" s="139"/>
      <c r="AI356" s="139"/>
      <c r="AJ356" s="139"/>
      <c r="AK356" s="139"/>
      <c r="AL356" s="139"/>
      <c r="AM356" s="139"/>
      <c r="AN356" s="139"/>
      <c r="AO356" s="139"/>
      <c r="AP356" s="139"/>
      <c r="AQ356" s="139"/>
      <c r="AR356" s="139"/>
      <c r="AS356" s="139"/>
      <c r="AT356" s="139"/>
      <c r="AU356" s="139"/>
      <c r="AV356" s="139"/>
      <c r="AW356" s="139"/>
      <c r="AX356" s="139"/>
      <c r="AY356" s="139"/>
      <c r="AZ356" s="139"/>
      <c r="BA356" s="139"/>
      <c r="BB356" s="139"/>
      <c r="BC356" s="139"/>
      <c r="BD356" s="139"/>
      <c r="BE356" s="139"/>
      <c r="BF356" s="139"/>
      <c r="BG356" s="139"/>
      <c r="BH356" s="139"/>
    </row>
    <row r="357" spans="2:60" s="11" customFormat="1" ht="19.899999999999999" customHeight="1">
      <c r="B357" s="5590"/>
      <c r="C357" s="5598"/>
      <c r="D357" s="9598" t="s">
        <v>143</v>
      </c>
      <c r="E357" s="9600"/>
      <c r="F357" s="87" t="s">
        <v>255</v>
      </c>
      <c r="G357" s="726"/>
      <c r="H357" s="286"/>
      <c r="I357" s="9582" t="s">
        <v>144</v>
      </c>
      <c r="J357" s="9583"/>
      <c r="K357" s="280" t="s">
        <v>307</v>
      </c>
      <c r="L357" s="5592"/>
      <c r="M357" s="5656"/>
      <c r="N357" s="5593"/>
      <c r="O357" s="5593"/>
      <c r="P357" s="5593"/>
      <c r="Q357" s="5593"/>
      <c r="R357" s="2468"/>
      <c r="S357" s="276"/>
      <c r="T357" s="99"/>
      <c r="U357" s="138"/>
      <c r="V357" s="138"/>
      <c r="W357" s="99"/>
      <c r="X357" s="264"/>
      <c r="Y357" s="277"/>
      <c r="Z357" s="187"/>
      <c r="AA357" s="6301"/>
      <c r="AB357" s="139"/>
      <c r="AC357" s="139"/>
      <c r="AD357" s="139"/>
      <c r="AE357" s="139"/>
      <c r="AF357" s="139"/>
      <c r="AG357" s="139"/>
      <c r="AH357" s="139"/>
      <c r="AI357" s="139"/>
      <c r="AJ357" s="139"/>
      <c r="AK357" s="139"/>
      <c r="AL357" s="139"/>
      <c r="AM357" s="139"/>
      <c r="AN357" s="139"/>
      <c r="AO357" s="139"/>
      <c r="AP357" s="139"/>
      <c r="AQ357" s="139"/>
      <c r="AR357" s="139"/>
      <c r="AS357" s="139"/>
      <c r="AT357" s="139"/>
      <c r="AU357" s="139"/>
      <c r="AV357" s="139"/>
      <c r="AW357" s="139"/>
      <c r="AX357" s="139"/>
      <c r="AY357" s="139"/>
      <c r="AZ357" s="139"/>
      <c r="BA357" s="139"/>
      <c r="BB357" s="139"/>
      <c r="BC357" s="139"/>
      <c r="BD357" s="139"/>
      <c r="BE357" s="139"/>
      <c r="BF357" s="139"/>
      <c r="BG357" s="139"/>
      <c r="BH357" s="139"/>
    </row>
    <row r="358" spans="2:60" s="11" customFormat="1" ht="19.899999999999999" customHeight="1">
      <c r="B358" s="5590"/>
      <c r="C358" s="5598"/>
      <c r="D358" s="9598" t="s">
        <v>631</v>
      </c>
      <c r="E358" s="9600"/>
      <c r="F358" s="87" t="s">
        <v>255</v>
      </c>
      <c r="G358" s="726"/>
      <c r="H358" s="286"/>
      <c r="I358" s="9582" t="s">
        <v>147</v>
      </c>
      <c r="J358" s="9583"/>
      <c r="K358" s="280" t="s">
        <v>307</v>
      </c>
      <c r="L358" s="5967" t="s">
        <v>168</v>
      </c>
      <c r="M358" s="5656" t="s">
        <v>641</v>
      </c>
      <c r="N358" s="5593" t="s">
        <v>168</v>
      </c>
      <c r="O358" s="5593" t="s">
        <v>641</v>
      </c>
      <c r="P358" s="5593" t="s">
        <v>168</v>
      </c>
      <c r="Q358" s="5593" t="s">
        <v>641</v>
      </c>
      <c r="R358" s="2468"/>
      <c r="S358" s="276"/>
      <c r="T358" s="99"/>
      <c r="U358" s="138"/>
      <c r="V358" s="138"/>
      <c r="W358" s="99"/>
      <c r="X358" s="264"/>
      <c r="Y358" s="277"/>
      <c r="Z358" s="187"/>
      <c r="AA358" s="6301"/>
      <c r="AB358" s="139"/>
      <c r="AC358" s="139"/>
      <c r="AD358" s="139"/>
      <c r="AE358" s="139"/>
      <c r="AF358" s="139"/>
      <c r="AG358" s="139"/>
      <c r="AH358" s="139"/>
      <c r="AI358" s="139"/>
      <c r="AJ358" s="139"/>
      <c r="AK358" s="139"/>
      <c r="AL358" s="139"/>
      <c r="AM358" s="139"/>
      <c r="AN358" s="139"/>
      <c r="AO358" s="139"/>
      <c r="AP358" s="139"/>
      <c r="AQ358" s="139"/>
      <c r="AR358" s="139"/>
      <c r="AS358" s="139"/>
      <c r="AT358" s="139"/>
      <c r="AU358" s="139"/>
      <c r="AV358" s="139"/>
      <c r="AW358" s="139"/>
      <c r="AX358" s="139"/>
      <c r="AY358" s="139"/>
      <c r="AZ358" s="139"/>
      <c r="BA358" s="139"/>
      <c r="BB358" s="139"/>
      <c r="BC358" s="139"/>
      <c r="BD358" s="139"/>
      <c r="BE358" s="139"/>
      <c r="BF358" s="139"/>
      <c r="BG358" s="139"/>
      <c r="BH358" s="139"/>
    </row>
    <row r="359" spans="2:60" s="11" customFormat="1" ht="19.899999999999999" customHeight="1">
      <c r="B359" s="5590"/>
      <c r="C359" s="5598"/>
      <c r="D359" s="9598" t="s">
        <v>633</v>
      </c>
      <c r="E359" s="9600"/>
      <c r="F359" s="87" t="s">
        <v>255</v>
      </c>
      <c r="G359" s="726"/>
      <c r="H359" s="286"/>
      <c r="I359" s="9582" t="s">
        <v>150</v>
      </c>
      <c r="J359" s="9583"/>
      <c r="K359" s="280" t="s">
        <v>307</v>
      </c>
      <c r="L359" s="5592">
        <v>0</v>
      </c>
      <c r="M359" s="5656"/>
      <c r="N359" s="5593">
        <v>0</v>
      </c>
      <c r="O359" s="5593"/>
      <c r="P359" s="5593">
        <v>0</v>
      </c>
      <c r="Q359" s="5593"/>
      <c r="R359" s="2468"/>
      <c r="S359" s="276"/>
      <c r="T359" s="99"/>
      <c r="U359" s="138"/>
      <c r="V359" s="138"/>
      <c r="W359" s="99"/>
      <c r="X359" s="264"/>
      <c r="Y359" s="277"/>
      <c r="Z359" s="187"/>
      <c r="AA359" s="6301"/>
      <c r="AB359" s="139"/>
      <c r="AC359" s="139"/>
      <c r="AD359" s="139"/>
      <c r="AE359" s="139"/>
      <c r="AF359" s="139"/>
      <c r="AG359" s="139"/>
      <c r="AH359" s="139"/>
      <c r="AI359" s="139"/>
      <c r="AJ359" s="139"/>
      <c r="AK359" s="139"/>
      <c r="AL359" s="139"/>
      <c r="AM359" s="139"/>
      <c r="AN359" s="139"/>
      <c r="AO359" s="139"/>
      <c r="AP359" s="139"/>
      <c r="AQ359" s="139"/>
      <c r="AR359" s="139"/>
      <c r="AS359" s="139"/>
      <c r="AT359" s="139"/>
      <c r="AU359" s="139"/>
      <c r="AV359" s="139"/>
      <c r="AW359" s="139"/>
      <c r="AX359" s="139"/>
      <c r="AY359" s="139"/>
      <c r="AZ359" s="139"/>
      <c r="BA359" s="139"/>
      <c r="BB359" s="139"/>
      <c r="BC359" s="139"/>
      <c r="BD359" s="139"/>
      <c r="BE359" s="139"/>
      <c r="BF359" s="139"/>
      <c r="BG359" s="139"/>
      <c r="BH359" s="139"/>
    </row>
    <row r="360" spans="2:60" s="11" customFormat="1" ht="20.100000000000001" customHeight="1">
      <c r="B360" s="1360"/>
      <c r="C360" s="9646" t="s">
        <v>337</v>
      </c>
      <c r="D360" s="9646"/>
      <c r="E360" s="9646"/>
      <c r="F360" s="280" t="s">
        <v>156</v>
      </c>
      <c r="G360" s="386"/>
      <c r="H360" s="9646" t="s">
        <v>338</v>
      </c>
      <c r="I360" s="9646"/>
      <c r="J360" s="9646"/>
      <c r="K360" s="280" t="s">
        <v>156</v>
      </c>
      <c r="L360" s="5653" t="str">
        <f>IF(COUNTBLANK(L361:L366)&gt;0,"미취합법인有",AVERAGE(L361:L366))</f>
        <v>미취합법인有</v>
      </c>
      <c r="M360" s="5657"/>
      <c r="N360" s="5654" t="str">
        <f>IF(COUNTBLANK(N361:N366)&gt;0,"미취합법인有",AVERAGE(N361:N366))</f>
        <v>미취합법인有</v>
      </c>
      <c r="O360" s="5663"/>
      <c r="P360" s="5781" t="str">
        <f>IF(COUNTBLANK(P361:P366)&gt;0,"미취합법인有",AVERAGE(P361:P366))</f>
        <v>미취합법인有</v>
      </c>
      <c r="Q360" s="785"/>
      <c r="R360" s="2468" t="s">
        <v>339</v>
      </c>
      <c r="S360" s="276" t="s">
        <v>340</v>
      </c>
      <c r="T360" s="99" t="s">
        <v>206</v>
      </c>
      <c r="U360" s="138"/>
      <c r="V360" s="138"/>
      <c r="W360" s="99"/>
      <c r="X360" s="346"/>
      <c r="Y360" s="265"/>
      <c r="Z360" s="187" t="s">
        <v>261</v>
      </c>
      <c r="AA360" s="6301"/>
      <c r="AB360" s="139"/>
      <c r="AC360" s="139"/>
      <c r="AD360" s="139"/>
      <c r="AE360" s="139"/>
      <c r="AF360" s="139"/>
      <c r="AG360" s="139"/>
      <c r="AH360" s="139"/>
      <c r="AI360" s="139"/>
      <c r="AJ360" s="139"/>
      <c r="AK360" s="139"/>
      <c r="AL360" s="139"/>
      <c r="AM360" s="139"/>
      <c r="AN360" s="139"/>
      <c r="AO360" s="139"/>
      <c r="AP360" s="139"/>
      <c r="AQ360" s="139"/>
      <c r="AR360" s="139"/>
      <c r="AS360" s="139"/>
      <c r="AT360" s="139"/>
      <c r="AU360" s="139"/>
      <c r="AV360" s="139"/>
      <c r="AW360" s="139"/>
      <c r="AX360" s="139"/>
      <c r="AY360" s="139"/>
      <c r="AZ360" s="139"/>
      <c r="BA360" s="139"/>
      <c r="BB360" s="139"/>
      <c r="BC360" s="139"/>
      <c r="BD360" s="139"/>
      <c r="BE360" s="139"/>
      <c r="BF360" s="139"/>
      <c r="BG360" s="139"/>
      <c r="BH360" s="139"/>
    </row>
    <row r="361" spans="2:60" s="11" customFormat="1" ht="19.899999999999999" customHeight="1">
      <c r="B361" s="5590"/>
      <c r="C361" s="9647" t="s">
        <v>134</v>
      </c>
      <c r="D361" s="9648"/>
      <c r="E361" s="9649"/>
      <c r="F361" s="280" t="s">
        <v>156</v>
      </c>
      <c r="G361" s="253"/>
      <c r="H361" s="9579" t="s">
        <v>135</v>
      </c>
      <c r="I361" s="9580"/>
      <c r="J361" s="9581"/>
      <c r="K361" s="280" t="s">
        <v>156</v>
      </c>
      <c r="L361" s="5592"/>
      <c r="M361" s="5656"/>
      <c r="N361" s="5593"/>
      <c r="O361" s="5656"/>
      <c r="P361" s="5593"/>
      <c r="Q361" s="5656"/>
      <c r="R361" s="1033"/>
      <c r="S361" s="263"/>
      <c r="T361" s="99"/>
      <c r="U361" s="138"/>
      <c r="V361" s="138"/>
      <c r="W361" s="99"/>
      <c r="X361" s="264"/>
      <c r="Y361" s="277"/>
      <c r="Z361" s="187"/>
      <c r="AA361" s="6301"/>
      <c r="AB361" s="139"/>
      <c r="AC361" s="139"/>
      <c r="AD361" s="139"/>
      <c r="AE361" s="139"/>
      <c r="AF361" s="139"/>
      <c r="AG361" s="139"/>
      <c r="AH361" s="139"/>
      <c r="AI361" s="139"/>
      <c r="AJ361" s="139"/>
      <c r="AK361" s="139"/>
      <c r="AL361" s="139"/>
      <c r="AM361" s="139"/>
      <c r="AN361" s="139"/>
      <c r="AO361" s="139"/>
      <c r="AP361" s="139"/>
      <c r="AQ361" s="139"/>
      <c r="AR361" s="139"/>
      <c r="AS361" s="139"/>
      <c r="AT361" s="139"/>
      <c r="AU361" s="139"/>
      <c r="AV361" s="139"/>
      <c r="AW361" s="139"/>
      <c r="AX361" s="139"/>
      <c r="AY361" s="139"/>
      <c r="AZ361" s="139"/>
      <c r="BA361" s="139"/>
      <c r="BB361" s="139"/>
      <c r="BC361" s="139"/>
      <c r="BD361" s="139"/>
      <c r="BE361" s="139"/>
      <c r="BF361" s="139"/>
      <c r="BG361" s="139"/>
      <c r="BH361" s="139"/>
    </row>
    <row r="362" spans="2:60" s="11" customFormat="1" ht="19.899999999999999" customHeight="1">
      <c r="B362" s="5590"/>
      <c r="C362" s="9647" t="s">
        <v>137</v>
      </c>
      <c r="D362" s="9648"/>
      <c r="E362" s="9649"/>
      <c r="F362" s="280" t="s">
        <v>156</v>
      </c>
      <c r="G362" s="253"/>
      <c r="H362" s="9579" t="s">
        <v>138</v>
      </c>
      <c r="I362" s="9580"/>
      <c r="J362" s="9581"/>
      <c r="K362" s="280" t="s">
        <v>156</v>
      </c>
      <c r="L362" s="5592"/>
      <c r="M362" s="5656"/>
      <c r="N362" s="5593"/>
      <c r="O362" s="5593"/>
      <c r="P362" s="5593"/>
      <c r="Q362" s="5593"/>
      <c r="R362" s="1033"/>
      <c r="S362" s="263"/>
      <c r="T362" s="99"/>
      <c r="U362" s="138"/>
      <c r="V362" s="138"/>
      <c r="W362" s="99"/>
      <c r="X362" s="264"/>
      <c r="Y362" s="277"/>
      <c r="Z362" s="187"/>
      <c r="AA362" s="6301"/>
      <c r="AB362" s="139"/>
      <c r="AC362" s="139"/>
      <c r="AD362" s="139"/>
      <c r="AE362" s="139"/>
      <c r="AF362" s="139"/>
      <c r="AG362" s="139"/>
      <c r="AH362" s="139"/>
      <c r="AI362" s="139"/>
      <c r="AJ362" s="139"/>
      <c r="AK362" s="139"/>
      <c r="AL362" s="139"/>
      <c r="AM362" s="139"/>
      <c r="AN362" s="139"/>
      <c r="AO362" s="139"/>
      <c r="AP362" s="139"/>
      <c r="AQ362" s="139"/>
      <c r="AR362" s="139"/>
      <c r="AS362" s="139"/>
      <c r="AT362" s="139"/>
      <c r="AU362" s="139"/>
      <c r="AV362" s="139"/>
      <c r="AW362" s="139"/>
      <c r="AX362" s="139"/>
      <c r="AY362" s="139"/>
      <c r="AZ362" s="139"/>
      <c r="BA362" s="139"/>
      <c r="BB362" s="139"/>
      <c r="BC362" s="139"/>
      <c r="BD362" s="139"/>
      <c r="BE362" s="139"/>
      <c r="BF362" s="139"/>
      <c r="BG362" s="139"/>
      <c r="BH362" s="139"/>
    </row>
    <row r="363" spans="2:60" s="11" customFormat="1" ht="19.899999999999999" customHeight="1">
      <c r="B363" s="5590"/>
      <c r="C363" s="9647" t="s">
        <v>140</v>
      </c>
      <c r="D363" s="9648"/>
      <c r="E363" s="9649"/>
      <c r="F363" s="280" t="s">
        <v>156</v>
      </c>
      <c r="G363" s="253"/>
      <c r="H363" s="9579" t="s">
        <v>141</v>
      </c>
      <c r="I363" s="9580"/>
      <c r="J363" s="9581"/>
      <c r="K363" s="280" t="s">
        <v>156</v>
      </c>
      <c r="L363" s="5592">
        <f>0.29822608232135*100</f>
        <v>29.822608232135</v>
      </c>
      <c r="M363" s="5656"/>
      <c r="N363" s="5593">
        <f>0.315234105244593*100</f>
        <v>31.523410524459301</v>
      </c>
      <c r="O363" s="5593"/>
      <c r="P363" s="5593">
        <f>0.332215925065703*100</f>
        <v>33.221592506570303</v>
      </c>
      <c r="Q363" s="5593"/>
      <c r="R363" s="1033"/>
      <c r="S363" s="263"/>
      <c r="T363" s="99"/>
      <c r="U363" s="138"/>
      <c r="V363" s="138"/>
      <c r="W363" s="99"/>
      <c r="X363" s="264"/>
      <c r="Y363" s="277"/>
      <c r="Z363" s="187"/>
      <c r="AA363" s="6301"/>
      <c r="AB363" s="139"/>
      <c r="AC363" s="139"/>
      <c r="AD363" s="139"/>
      <c r="AE363" s="139"/>
      <c r="AF363" s="139"/>
      <c r="AG363" s="139"/>
      <c r="AH363" s="139"/>
      <c r="AI363" s="139"/>
      <c r="AJ363" s="139"/>
      <c r="AK363" s="139"/>
      <c r="AL363" s="139"/>
      <c r="AM363" s="139"/>
      <c r="AN363" s="139"/>
      <c r="AO363" s="139"/>
      <c r="AP363" s="139"/>
      <c r="AQ363" s="139"/>
      <c r="AR363" s="139"/>
      <c r="AS363" s="139"/>
      <c r="AT363" s="139"/>
      <c r="AU363" s="139"/>
      <c r="AV363" s="139"/>
      <c r="AW363" s="139"/>
      <c r="AX363" s="139"/>
      <c r="AY363" s="139"/>
      <c r="AZ363" s="139"/>
      <c r="BA363" s="139"/>
      <c r="BB363" s="139"/>
      <c r="BC363" s="139"/>
      <c r="BD363" s="139"/>
      <c r="BE363" s="139"/>
      <c r="BF363" s="139"/>
      <c r="BG363" s="139"/>
      <c r="BH363" s="139"/>
    </row>
    <row r="364" spans="2:60" s="11" customFormat="1" ht="19.899999999999999" customHeight="1">
      <c r="B364" s="5590"/>
      <c r="C364" s="9647" t="s">
        <v>143</v>
      </c>
      <c r="D364" s="9648"/>
      <c r="E364" s="9649"/>
      <c r="F364" s="280" t="s">
        <v>156</v>
      </c>
      <c r="G364" s="253"/>
      <c r="H364" s="9579" t="s">
        <v>144</v>
      </c>
      <c r="I364" s="9580"/>
      <c r="J364" s="9581"/>
      <c r="K364" s="280" t="s">
        <v>156</v>
      </c>
      <c r="L364" s="5592"/>
      <c r="M364" s="5656"/>
      <c r="N364" s="5593"/>
      <c r="O364" s="5593"/>
      <c r="P364" s="5593"/>
      <c r="Q364" s="5593"/>
      <c r="R364" s="1033"/>
      <c r="S364" s="263"/>
      <c r="T364" s="99"/>
      <c r="U364" s="138"/>
      <c r="V364" s="138"/>
      <c r="W364" s="99"/>
      <c r="X364" s="264"/>
      <c r="Y364" s="277"/>
      <c r="Z364" s="187"/>
      <c r="AA364" s="6301"/>
      <c r="AB364" s="139"/>
      <c r="AC364" s="139"/>
      <c r="AD364" s="139"/>
      <c r="AE364" s="139"/>
      <c r="AF364" s="139"/>
      <c r="AG364" s="139"/>
      <c r="AH364" s="139"/>
      <c r="AI364" s="139"/>
      <c r="AJ364" s="139"/>
      <c r="AK364" s="139"/>
      <c r="AL364" s="139"/>
      <c r="AM364" s="139"/>
      <c r="AN364" s="139"/>
      <c r="AO364" s="139"/>
      <c r="AP364" s="139"/>
      <c r="AQ364" s="139"/>
      <c r="AR364" s="139"/>
      <c r="AS364" s="139"/>
      <c r="AT364" s="139"/>
      <c r="AU364" s="139"/>
      <c r="AV364" s="139"/>
      <c r="AW364" s="139"/>
      <c r="AX364" s="139"/>
      <c r="AY364" s="139"/>
      <c r="AZ364" s="139"/>
      <c r="BA364" s="139"/>
      <c r="BB364" s="139"/>
      <c r="BC364" s="139"/>
      <c r="BD364" s="139"/>
      <c r="BE364" s="139"/>
      <c r="BF364" s="139"/>
      <c r="BG364" s="139"/>
      <c r="BH364" s="139"/>
    </row>
    <row r="365" spans="2:60" s="11" customFormat="1" ht="19.899999999999999" customHeight="1">
      <c r="B365" s="5590"/>
      <c r="C365" s="9647" t="s">
        <v>631</v>
      </c>
      <c r="D365" s="9648"/>
      <c r="E365" s="9649"/>
      <c r="F365" s="280" t="s">
        <v>156</v>
      </c>
      <c r="G365" s="253"/>
      <c r="H365" s="9579" t="s">
        <v>147</v>
      </c>
      <c r="I365" s="9580"/>
      <c r="J365" s="9581"/>
      <c r="K365" s="280" t="s">
        <v>156</v>
      </c>
      <c r="L365" s="5967" t="s">
        <v>168</v>
      </c>
      <c r="M365" s="5656" t="s">
        <v>641</v>
      </c>
      <c r="N365" s="5593" t="s">
        <v>168</v>
      </c>
      <c r="O365" s="5593" t="s">
        <v>641</v>
      </c>
      <c r="P365" s="5593" t="s">
        <v>168</v>
      </c>
      <c r="Q365" s="5593" t="s">
        <v>641</v>
      </c>
      <c r="R365" s="1033"/>
      <c r="S365" s="263"/>
      <c r="T365" s="99"/>
      <c r="U365" s="138"/>
      <c r="V365" s="138"/>
      <c r="W365" s="99"/>
      <c r="X365" s="264"/>
      <c r="Y365" s="277"/>
      <c r="Z365" s="187"/>
      <c r="AA365" s="6301"/>
      <c r="AB365" s="139"/>
      <c r="AC365" s="139"/>
      <c r="AD365" s="139"/>
      <c r="AE365" s="139"/>
      <c r="AF365" s="139"/>
      <c r="AG365" s="139"/>
      <c r="AH365" s="139"/>
      <c r="AI365" s="139"/>
      <c r="AJ365" s="139"/>
      <c r="AK365" s="139"/>
      <c r="AL365" s="139"/>
      <c r="AM365" s="139"/>
      <c r="AN365" s="139"/>
      <c r="AO365" s="139"/>
      <c r="AP365" s="139"/>
      <c r="AQ365" s="139"/>
      <c r="AR365" s="139"/>
      <c r="AS365" s="139"/>
      <c r="AT365" s="139"/>
      <c r="AU365" s="139"/>
      <c r="AV365" s="139"/>
      <c r="AW365" s="139"/>
      <c r="AX365" s="139"/>
      <c r="AY365" s="139"/>
      <c r="AZ365" s="139"/>
      <c r="BA365" s="139"/>
      <c r="BB365" s="139"/>
      <c r="BC365" s="139"/>
      <c r="BD365" s="139"/>
      <c r="BE365" s="139"/>
      <c r="BF365" s="139"/>
      <c r="BG365" s="139"/>
      <c r="BH365" s="139"/>
    </row>
    <row r="366" spans="2:60" s="11" customFormat="1" ht="19.899999999999999" customHeight="1">
      <c r="B366" s="5590"/>
      <c r="C366" s="9647" t="s">
        <v>633</v>
      </c>
      <c r="D366" s="9648"/>
      <c r="E366" s="9649"/>
      <c r="F366" s="280" t="s">
        <v>156</v>
      </c>
      <c r="G366" s="253"/>
      <c r="H366" s="9579" t="s">
        <v>150</v>
      </c>
      <c r="I366" s="9580"/>
      <c r="J366" s="9581"/>
      <c r="K366" s="280" t="s">
        <v>156</v>
      </c>
      <c r="L366" s="5592">
        <v>0</v>
      </c>
      <c r="M366" s="5656"/>
      <c r="N366" s="5593">
        <v>0</v>
      </c>
      <c r="O366" s="5593"/>
      <c r="P366" s="5593">
        <v>0</v>
      </c>
      <c r="Q366" s="5593"/>
      <c r="R366" s="1033"/>
      <c r="S366" s="263"/>
      <c r="T366" s="99"/>
      <c r="U366" s="138"/>
      <c r="V366" s="138"/>
      <c r="W366" s="99"/>
      <c r="X366" s="264"/>
      <c r="Y366" s="264"/>
      <c r="Z366" s="187"/>
      <c r="AA366" s="6301"/>
      <c r="AB366" s="139"/>
      <c r="AC366" s="139"/>
      <c r="AD366" s="139"/>
      <c r="AE366" s="139"/>
      <c r="AF366" s="139"/>
      <c r="AG366" s="139"/>
      <c r="AH366" s="139"/>
      <c r="AI366" s="139"/>
      <c r="AJ366" s="139"/>
      <c r="AK366" s="139"/>
      <c r="AL366" s="139"/>
      <c r="AM366" s="139"/>
      <c r="AN366" s="139"/>
      <c r="AO366" s="139"/>
      <c r="AP366" s="139"/>
      <c r="AQ366" s="139"/>
      <c r="AR366" s="139"/>
      <c r="AS366" s="139"/>
      <c r="AT366" s="139"/>
      <c r="AU366" s="139"/>
      <c r="AV366" s="139"/>
      <c r="AW366" s="139"/>
      <c r="AX366" s="139"/>
      <c r="AY366" s="139"/>
      <c r="AZ366" s="139"/>
      <c r="BA366" s="139"/>
      <c r="BB366" s="139"/>
      <c r="BC366" s="139"/>
      <c r="BD366" s="139"/>
      <c r="BE366" s="139"/>
      <c r="BF366" s="139"/>
      <c r="BG366" s="139"/>
      <c r="BH366" s="139"/>
    </row>
    <row r="367" spans="2:60" s="11" customFormat="1" ht="20.100000000000001" customHeight="1">
      <c r="B367" s="1360"/>
      <c r="C367" s="5598"/>
      <c r="D367" s="9635" t="s">
        <v>677</v>
      </c>
      <c r="E367" s="9636"/>
      <c r="F367" s="295" t="s">
        <v>307</v>
      </c>
      <c r="G367" s="106"/>
      <c r="H367" s="6192"/>
      <c r="I367" s="9635" t="s">
        <v>274</v>
      </c>
      <c r="J367" s="9636"/>
      <c r="K367" s="280" t="s">
        <v>307</v>
      </c>
      <c r="L367" s="5653" t="str">
        <f>IF(COUNTBLANK(L368:L373)&gt;0,"미취합법인有",SUM(L368:L373))</f>
        <v>미취합법인有</v>
      </c>
      <c r="M367" s="5657"/>
      <c r="N367" s="5654" t="str">
        <f>IF(COUNTBLANK(N368:N373)&gt;0,"미취합법인有",SUM(N368:N373))</f>
        <v>미취합법인有</v>
      </c>
      <c r="O367" s="5663"/>
      <c r="P367" s="5781" t="str">
        <f>IF(COUNTBLANK(P368:P373)&gt;0,"미취합법인有",SUM(P368:P373))</f>
        <v>미취합법인有</v>
      </c>
      <c r="Q367" s="785"/>
      <c r="R367" s="2468"/>
      <c r="S367" s="276"/>
      <c r="T367" s="99" t="s">
        <v>206</v>
      </c>
      <c r="U367" s="138"/>
      <c r="V367" s="138"/>
      <c r="W367" s="99"/>
      <c r="X367" s="264" t="s">
        <v>277</v>
      </c>
      <c r="Y367" s="264"/>
      <c r="Z367" s="187"/>
      <c r="AA367" s="6301"/>
      <c r="AB367" s="139"/>
      <c r="AC367" s="139"/>
      <c r="AD367" s="139"/>
      <c r="AE367" s="139"/>
      <c r="AF367" s="139"/>
      <c r="AG367" s="139"/>
      <c r="AH367" s="139"/>
      <c r="AI367" s="139"/>
      <c r="AJ367" s="139"/>
      <c r="AK367" s="139"/>
      <c r="AL367" s="139"/>
      <c r="AM367" s="139"/>
      <c r="AN367" s="139"/>
      <c r="AO367" s="139"/>
      <c r="AP367" s="139"/>
      <c r="AQ367" s="139"/>
      <c r="AR367" s="139"/>
      <c r="AS367" s="139"/>
      <c r="AT367" s="139"/>
      <c r="AU367" s="139"/>
      <c r="AV367" s="139"/>
      <c r="AW367" s="139"/>
      <c r="AX367" s="139"/>
      <c r="AY367" s="139"/>
      <c r="AZ367" s="139"/>
      <c r="BA367" s="139"/>
      <c r="BB367" s="139"/>
      <c r="BC367" s="139"/>
      <c r="BD367" s="139"/>
      <c r="BE367" s="139"/>
      <c r="BF367" s="139"/>
      <c r="BG367" s="139"/>
      <c r="BH367" s="139"/>
    </row>
    <row r="368" spans="2:60" s="11" customFormat="1" ht="19.899999999999999" customHeight="1">
      <c r="B368" s="5590"/>
      <c r="C368" s="5598"/>
      <c r="D368" s="9598" t="s">
        <v>134</v>
      </c>
      <c r="E368" s="9600"/>
      <c r="F368" s="87" t="s">
        <v>255</v>
      </c>
      <c r="G368" s="253"/>
      <c r="H368" s="6192"/>
      <c r="I368" s="9579" t="s">
        <v>135</v>
      </c>
      <c r="J368" s="9581"/>
      <c r="K368" s="280" t="s">
        <v>307</v>
      </c>
      <c r="L368" s="5670"/>
      <c r="M368" s="5671"/>
      <c r="N368" s="5672"/>
      <c r="O368" s="5673"/>
      <c r="P368" s="5673"/>
      <c r="Q368" s="5672"/>
      <c r="R368" s="2468"/>
      <c r="S368" s="276"/>
      <c r="T368" s="99"/>
      <c r="U368" s="138"/>
      <c r="V368" s="138"/>
      <c r="W368" s="99"/>
      <c r="X368" s="264"/>
      <c r="Y368" s="264"/>
      <c r="Z368" s="187"/>
      <c r="AA368" s="6301"/>
      <c r="AB368" s="139"/>
      <c r="AC368" s="139"/>
      <c r="AD368" s="139"/>
      <c r="AE368" s="139"/>
      <c r="AF368" s="139"/>
      <c r="AG368" s="139"/>
      <c r="AH368" s="139"/>
      <c r="AI368" s="139"/>
      <c r="AJ368" s="139"/>
      <c r="AK368" s="139"/>
      <c r="AL368" s="139"/>
      <c r="AM368" s="139"/>
      <c r="AN368" s="139"/>
      <c r="AO368" s="139"/>
      <c r="AP368" s="139"/>
      <c r="AQ368" s="139"/>
      <c r="AR368" s="139"/>
      <c r="AS368" s="139"/>
      <c r="AT368" s="139"/>
      <c r="AU368" s="139"/>
      <c r="AV368" s="139"/>
      <c r="AW368" s="139"/>
      <c r="AX368" s="139"/>
      <c r="AY368" s="139"/>
      <c r="AZ368" s="139"/>
      <c r="BA368" s="139"/>
      <c r="BB368" s="139"/>
      <c r="BC368" s="139"/>
      <c r="BD368" s="139"/>
      <c r="BE368" s="139"/>
      <c r="BF368" s="139"/>
      <c r="BG368" s="139"/>
      <c r="BH368" s="139"/>
    </row>
    <row r="369" spans="2:60" s="11" customFormat="1" ht="19.899999999999999" customHeight="1">
      <c r="B369" s="5590"/>
      <c r="C369" s="5598"/>
      <c r="D369" s="9598" t="s">
        <v>137</v>
      </c>
      <c r="E369" s="9600"/>
      <c r="F369" s="87" t="s">
        <v>255</v>
      </c>
      <c r="G369" s="253"/>
      <c r="H369" s="6192"/>
      <c r="I369" s="9579" t="s">
        <v>138</v>
      </c>
      <c r="J369" s="9581"/>
      <c r="K369" s="280" t="s">
        <v>307</v>
      </c>
      <c r="L369" s="5594"/>
      <c r="M369" s="5658"/>
      <c r="N369" s="1814"/>
      <c r="O369" s="5302"/>
      <c r="P369" s="5595"/>
      <c r="Q369" s="1814"/>
      <c r="R369" s="2468"/>
      <c r="S369" s="276"/>
      <c r="T369" s="99"/>
      <c r="U369" s="138"/>
      <c r="V369" s="138"/>
      <c r="W369" s="99"/>
      <c r="X369" s="264"/>
      <c r="Y369" s="264"/>
      <c r="Z369" s="187"/>
      <c r="AA369" s="6301"/>
      <c r="AB369" s="139"/>
      <c r="AC369" s="139"/>
      <c r="AD369" s="139"/>
      <c r="AE369" s="139"/>
      <c r="AF369" s="139"/>
      <c r="AG369" s="139"/>
      <c r="AH369" s="139"/>
      <c r="AI369" s="139"/>
      <c r="AJ369" s="139"/>
      <c r="AK369" s="139"/>
      <c r="AL369" s="139"/>
      <c r="AM369" s="139"/>
      <c r="AN369" s="139"/>
      <c r="AO369" s="139"/>
      <c r="AP369" s="139"/>
      <c r="AQ369" s="139"/>
      <c r="AR369" s="139"/>
      <c r="AS369" s="139"/>
      <c r="AT369" s="139"/>
      <c r="AU369" s="139"/>
      <c r="AV369" s="139"/>
      <c r="AW369" s="139"/>
      <c r="AX369" s="139"/>
      <c r="AY369" s="139"/>
      <c r="AZ369" s="139"/>
      <c r="BA369" s="139"/>
      <c r="BB369" s="139"/>
      <c r="BC369" s="139"/>
      <c r="BD369" s="139"/>
      <c r="BE369" s="139"/>
      <c r="BF369" s="139"/>
      <c r="BG369" s="139"/>
      <c r="BH369" s="139"/>
    </row>
    <row r="370" spans="2:60" s="11" customFormat="1" ht="19.899999999999999" customHeight="1">
      <c r="B370" s="5590"/>
      <c r="C370" s="5598"/>
      <c r="D370" s="9598" t="s">
        <v>140</v>
      </c>
      <c r="E370" s="9600"/>
      <c r="F370" s="87" t="s">
        <v>255</v>
      </c>
      <c r="G370" s="253"/>
      <c r="H370" s="6192"/>
      <c r="I370" s="9582" t="s">
        <v>141</v>
      </c>
      <c r="J370" s="9583"/>
      <c r="K370" s="280" t="s">
        <v>307</v>
      </c>
      <c r="L370" s="6361">
        <v>87.456875595606604</v>
      </c>
      <c r="M370" s="5610"/>
      <c r="N370" s="6363">
        <v>81.303974009327803</v>
      </c>
      <c r="O370" s="2815"/>
      <c r="P370" s="5966">
        <v>88.372129660195171</v>
      </c>
      <c r="Q370" s="2554"/>
      <c r="R370" s="2468"/>
      <c r="S370" s="276"/>
      <c r="T370" s="99"/>
      <c r="U370" s="138"/>
      <c r="V370" s="138"/>
      <c r="W370" s="99"/>
      <c r="X370" s="264"/>
      <c r="Y370" s="264"/>
      <c r="Z370" s="187"/>
      <c r="AA370" s="6301"/>
      <c r="AB370" s="139"/>
      <c r="AC370" s="139"/>
      <c r="AD370" s="139"/>
      <c r="AE370" s="139"/>
      <c r="AF370" s="139"/>
      <c r="AG370" s="139"/>
      <c r="AH370" s="139"/>
      <c r="AI370" s="139"/>
      <c r="AJ370" s="139"/>
      <c r="AK370" s="139"/>
      <c r="AL370" s="139"/>
      <c r="AM370" s="139"/>
      <c r="AN370" s="139"/>
      <c r="AO370" s="139"/>
      <c r="AP370" s="139"/>
      <c r="AQ370" s="139"/>
      <c r="AR370" s="139"/>
      <c r="AS370" s="139"/>
      <c r="AT370" s="139"/>
      <c r="AU370" s="139"/>
      <c r="AV370" s="139"/>
      <c r="AW370" s="139"/>
      <c r="AX370" s="139"/>
      <c r="AY370" s="139"/>
      <c r="AZ370" s="139"/>
      <c r="BA370" s="139"/>
      <c r="BB370" s="139"/>
      <c r="BC370" s="139"/>
      <c r="BD370" s="139"/>
      <c r="BE370" s="139"/>
      <c r="BF370" s="139"/>
      <c r="BG370" s="139"/>
      <c r="BH370" s="139"/>
    </row>
    <row r="371" spans="2:60" s="11" customFormat="1" ht="19.899999999999999" customHeight="1">
      <c r="B371" s="5590"/>
      <c r="C371" s="5598"/>
      <c r="D371" s="9598" t="s">
        <v>143</v>
      </c>
      <c r="E371" s="9600"/>
      <c r="F371" s="87" t="s">
        <v>255</v>
      </c>
      <c r="G371" s="253"/>
      <c r="H371" s="6192"/>
      <c r="I371" s="9582" t="s">
        <v>144</v>
      </c>
      <c r="J371" s="9583"/>
      <c r="K371" s="280" t="s">
        <v>307</v>
      </c>
      <c r="L371" s="5592"/>
      <c r="M371" s="5656"/>
      <c r="N371" s="5593"/>
      <c r="O371" s="5593"/>
      <c r="P371" s="5593"/>
      <c r="Q371" s="5593"/>
      <c r="R371" s="2468"/>
      <c r="S371" s="276"/>
      <c r="T371" s="99"/>
      <c r="U371" s="138"/>
      <c r="V371" s="138"/>
      <c r="W371" s="99"/>
      <c r="X371" s="264"/>
      <c r="Y371" s="264"/>
      <c r="Z371" s="187"/>
      <c r="AA371" s="6301"/>
      <c r="AB371" s="139"/>
      <c r="AC371" s="139"/>
      <c r="AD371" s="139"/>
      <c r="AE371" s="139"/>
      <c r="AF371" s="139"/>
      <c r="AG371" s="139"/>
      <c r="AH371" s="139"/>
      <c r="AI371" s="139"/>
      <c r="AJ371" s="139"/>
      <c r="AK371" s="139"/>
      <c r="AL371" s="139"/>
      <c r="AM371" s="139"/>
      <c r="AN371" s="139"/>
      <c r="AO371" s="139"/>
      <c r="AP371" s="139"/>
      <c r="AQ371" s="139"/>
      <c r="AR371" s="139"/>
      <c r="AS371" s="139"/>
      <c r="AT371" s="139"/>
      <c r="AU371" s="139"/>
      <c r="AV371" s="139"/>
      <c r="AW371" s="139"/>
      <c r="AX371" s="139"/>
      <c r="AY371" s="139"/>
      <c r="AZ371" s="139"/>
      <c r="BA371" s="139"/>
      <c r="BB371" s="139"/>
      <c r="BC371" s="139"/>
      <c r="BD371" s="139"/>
      <c r="BE371" s="139"/>
      <c r="BF371" s="139"/>
      <c r="BG371" s="139"/>
      <c r="BH371" s="139"/>
    </row>
    <row r="372" spans="2:60" s="11" customFormat="1" ht="19.899999999999999" customHeight="1">
      <c r="B372" s="5590"/>
      <c r="C372" s="5598"/>
      <c r="D372" s="9598" t="s">
        <v>631</v>
      </c>
      <c r="E372" s="9600"/>
      <c r="F372" s="87" t="s">
        <v>255</v>
      </c>
      <c r="G372" s="253"/>
      <c r="H372" s="6192"/>
      <c r="I372" s="9582" t="s">
        <v>147</v>
      </c>
      <c r="J372" s="9583"/>
      <c r="K372" s="280" t="s">
        <v>307</v>
      </c>
      <c r="L372" s="5967" t="s">
        <v>168</v>
      </c>
      <c r="M372" s="5656" t="s">
        <v>641</v>
      </c>
      <c r="N372" s="5593" t="s">
        <v>168</v>
      </c>
      <c r="O372" s="5593" t="s">
        <v>641</v>
      </c>
      <c r="P372" s="5593" t="s">
        <v>168</v>
      </c>
      <c r="Q372" s="5593" t="s">
        <v>641</v>
      </c>
      <c r="R372" s="2468"/>
      <c r="S372" s="276"/>
      <c r="T372" s="99"/>
      <c r="U372" s="138"/>
      <c r="V372" s="138"/>
      <c r="W372" s="99"/>
      <c r="X372" s="264"/>
      <c r="Y372" s="264"/>
      <c r="Z372" s="187"/>
      <c r="AA372" s="6301"/>
      <c r="AB372" s="139"/>
      <c r="AC372" s="139"/>
      <c r="AD372" s="139"/>
      <c r="AE372" s="139"/>
      <c r="AF372" s="139"/>
      <c r="AG372" s="139"/>
      <c r="AH372" s="139"/>
      <c r="AI372" s="139"/>
      <c r="AJ372" s="139"/>
      <c r="AK372" s="139"/>
      <c r="AL372" s="139"/>
      <c r="AM372" s="139"/>
      <c r="AN372" s="139"/>
      <c r="AO372" s="139"/>
      <c r="AP372" s="139"/>
      <c r="AQ372" s="139"/>
      <c r="AR372" s="139"/>
      <c r="AS372" s="139"/>
      <c r="AT372" s="139"/>
      <c r="AU372" s="139"/>
      <c r="AV372" s="139"/>
      <c r="AW372" s="139"/>
      <c r="AX372" s="139"/>
      <c r="AY372" s="139"/>
      <c r="AZ372" s="139"/>
      <c r="BA372" s="139"/>
      <c r="BB372" s="139"/>
      <c r="BC372" s="139"/>
      <c r="BD372" s="139"/>
      <c r="BE372" s="139"/>
      <c r="BF372" s="139"/>
      <c r="BG372" s="139"/>
      <c r="BH372" s="139"/>
    </row>
    <row r="373" spans="2:60" s="11" customFormat="1" ht="19.899999999999999" customHeight="1">
      <c r="B373" s="5590"/>
      <c r="C373" s="5598"/>
      <c r="D373" s="9598" t="s">
        <v>633</v>
      </c>
      <c r="E373" s="9600"/>
      <c r="F373" s="87" t="s">
        <v>255</v>
      </c>
      <c r="G373" s="253"/>
      <c r="H373" s="6192"/>
      <c r="I373" s="9582" t="s">
        <v>150</v>
      </c>
      <c r="J373" s="9583"/>
      <c r="K373" s="280" t="s">
        <v>307</v>
      </c>
      <c r="L373" s="5592">
        <v>0</v>
      </c>
      <c r="M373" s="5656"/>
      <c r="N373" s="5593">
        <v>0</v>
      </c>
      <c r="O373" s="5593"/>
      <c r="P373" s="5593">
        <v>0</v>
      </c>
      <c r="Q373" s="5593"/>
      <c r="R373" s="2468"/>
      <c r="S373" s="276"/>
      <c r="T373" s="99"/>
      <c r="U373" s="138"/>
      <c r="V373" s="138"/>
      <c r="W373" s="99"/>
      <c r="X373" s="264"/>
      <c r="Y373" s="264"/>
      <c r="Z373" s="187"/>
      <c r="AA373" s="6301"/>
      <c r="AB373" s="139"/>
      <c r="AC373" s="139"/>
      <c r="AD373" s="139"/>
      <c r="AE373" s="139"/>
      <c r="AF373" s="139"/>
      <c r="AG373" s="139"/>
      <c r="AH373" s="139"/>
      <c r="AI373" s="139"/>
      <c r="AJ373" s="139"/>
      <c r="AK373" s="139"/>
      <c r="AL373" s="139"/>
      <c r="AM373" s="139"/>
      <c r="AN373" s="139"/>
      <c r="AO373" s="139"/>
      <c r="AP373" s="139"/>
      <c r="AQ373" s="139"/>
      <c r="AR373" s="139"/>
      <c r="AS373" s="139"/>
      <c r="AT373" s="139"/>
      <c r="AU373" s="139"/>
      <c r="AV373" s="139"/>
      <c r="AW373" s="139"/>
      <c r="AX373" s="139"/>
      <c r="AY373" s="139"/>
      <c r="AZ373" s="139"/>
      <c r="BA373" s="139"/>
      <c r="BB373" s="139"/>
      <c r="BC373" s="139"/>
      <c r="BD373" s="139"/>
      <c r="BE373" s="139"/>
      <c r="BF373" s="139"/>
      <c r="BG373" s="139"/>
      <c r="BH373" s="139"/>
    </row>
    <row r="374" spans="2:60" s="11" customFormat="1" ht="20.100000000000001" customHeight="1">
      <c r="B374" s="1360"/>
      <c r="C374" s="5598"/>
      <c r="D374" s="9635" t="s">
        <v>254</v>
      </c>
      <c r="E374" s="9636"/>
      <c r="F374" s="295" t="s">
        <v>307</v>
      </c>
      <c r="G374" s="106"/>
      <c r="H374" s="6192"/>
      <c r="I374" s="9635" t="s">
        <v>256</v>
      </c>
      <c r="J374" s="9636"/>
      <c r="K374" s="280" t="s">
        <v>307</v>
      </c>
      <c r="L374" s="5653">
        <f>IF(COUNTBLANK(L375:L380)&gt;0,"미취합법인有",SUM(L375:L380))</f>
        <v>54226.195327743924</v>
      </c>
      <c r="M374" s="5657"/>
      <c r="N374" s="5654">
        <f>IF(COUNTBLANK(N375:N380)&gt;0,"미취합법인有",SUM(N375:N380))</f>
        <v>55881.972011459227</v>
      </c>
      <c r="O374" s="5663"/>
      <c r="P374" s="5781">
        <f>IF(COUNTBLANK(P375:P380)&gt;0,"미취합법인有",SUM(P375:P380))</f>
        <v>56772.345348272975</v>
      </c>
      <c r="Q374" s="785"/>
      <c r="R374" s="2468"/>
      <c r="S374" s="276"/>
      <c r="T374" s="99" t="s">
        <v>206</v>
      </c>
      <c r="U374" s="138"/>
      <c r="V374" s="138"/>
      <c r="W374" s="99"/>
      <c r="X374" s="264" t="s">
        <v>259</v>
      </c>
      <c r="Y374" s="264"/>
      <c r="Z374" s="187"/>
      <c r="AA374" s="6301"/>
      <c r="AB374" s="139"/>
      <c r="AC374" s="139"/>
      <c r="AD374" s="139"/>
      <c r="AE374" s="139"/>
      <c r="AF374" s="139"/>
      <c r="AG374" s="139"/>
      <c r="AH374" s="139"/>
      <c r="AI374" s="139"/>
      <c r="AJ374" s="139"/>
      <c r="AK374" s="139"/>
      <c r="AL374" s="139"/>
      <c r="AM374" s="139"/>
      <c r="AN374" s="139"/>
      <c r="AO374" s="139"/>
      <c r="AP374" s="139"/>
      <c r="AQ374" s="139"/>
      <c r="AR374" s="139"/>
      <c r="AS374" s="139"/>
      <c r="AT374" s="139"/>
      <c r="AU374" s="139"/>
      <c r="AV374" s="139"/>
      <c r="AW374" s="139"/>
      <c r="AX374" s="139"/>
      <c r="AY374" s="139"/>
      <c r="AZ374" s="139"/>
      <c r="BA374" s="139"/>
      <c r="BB374" s="139"/>
      <c r="BC374" s="139"/>
      <c r="BD374" s="139"/>
      <c r="BE374" s="139"/>
      <c r="BF374" s="139"/>
      <c r="BG374" s="139"/>
      <c r="BH374" s="139"/>
    </row>
    <row r="375" spans="2:60" s="11" customFormat="1" ht="19.899999999999999" customHeight="1">
      <c r="B375" s="5590"/>
      <c r="C375" s="5598"/>
      <c r="D375" s="9598" t="s">
        <v>134</v>
      </c>
      <c r="E375" s="9600"/>
      <c r="F375" s="87" t="s">
        <v>255</v>
      </c>
      <c r="G375" s="253"/>
      <c r="H375" s="6192"/>
      <c r="I375" s="9579" t="s">
        <v>135</v>
      </c>
      <c r="J375" s="9581"/>
      <c r="K375" s="280" t="s">
        <v>307</v>
      </c>
      <c r="L375" s="5888">
        <v>1268</v>
      </c>
      <c r="M375" s="6053"/>
      <c r="N375" s="6054">
        <v>1492</v>
      </c>
      <c r="O375" s="6055" t="s">
        <v>650</v>
      </c>
      <c r="P375" s="6055">
        <v>1458</v>
      </c>
      <c r="Q375" s="6054"/>
      <c r="R375" s="2468"/>
      <c r="S375" s="276"/>
      <c r="T375" s="99"/>
      <c r="U375" s="138"/>
      <c r="V375" s="138"/>
      <c r="W375" s="99"/>
      <c r="X375" s="264"/>
      <c r="Y375" s="264"/>
      <c r="Z375" s="187"/>
      <c r="AA375" s="6301"/>
      <c r="AB375" s="139"/>
      <c r="AC375" s="139"/>
      <c r="AD375" s="139"/>
      <c r="AE375" s="139"/>
      <c r="AF375" s="139"/>
      <c r="AG375" s="139"/>
      <c r="AH375" s="139"/>
      <c r="AI375" s="139"/>
      <c r="AJ375" s="139"/>
      <c r="AK375" s="139"/>
      <c r="AL375" s="139"/>
      <c r="AM375" s="139"/>
      <c r="AN375" s="139"/>
      <c r="AO375" s="139"/>
      <c r="AP375" s="139"/>
      <c r="AQ375" s="139"/>
      <c r="AR375" s="139"/>
      <c r="AS375" s="139"/>
      <c r="AT375" s="139"/>
      <c r="AU375" s="139"/>
      <c r="AV375" s="139"/>
      <c r="AW375" s="139"/>
      <c r="AX375" s="139"/>
      <c r="AY375" s="139"/>
      <c r="AZ375" s="139"/>
      <c r="BA375" s="139"/>
      <c r="BB375" s="139"/>
      <c r="BC375" s="139"/>
      <c r="BD375" s="139"/>
      <c r="BE375" s="139"/>
      <c r="BF375" s="139"/>
      <c r="BG375" s="139"/>
      <c r="BH375" s="139"/>
    </row>
    <row r="376" spans="2:60" s="11" customFormat="1" ht="19.899999999999999" customHeight="1">
      <c r="B376" s="5590"/>
      <c r="C376" s="5598"/>
      <c r="D376" s="9598" t="s">
        <v>137</v>
      </c>
      <c r="E376" s="9600"/>
      <c r="F376" s="87" t="s">
        <v>255</v>
      </c>
      <c r="G376" s="253"/>
      <c r="H376" s="6192"/>
      <c r="I376" s="9579" t="s">
        <v>138</v>
      </c>
      <c r="J376" s="9581"/>
      <c r="K376" s="280" t="s">
        <v>307</v>
      </c>
      <c r="L376" s="5839">
        <v>52447.841</v>
      </c>
      <c r="M376" s="5840"/>
      <c r="N376" s="6056">
        <v>53823.714999999997</v>
      </c>
      <c r="O376" s="6057"/>
      <c r="P376" s="5655">
        <v>54767.920000000006</v>
      </c>
      <c r="Q376" s="6056"/>
      <c r="R376" s="2468"/>
      <c r="S376" s="276"/>
      <c r="T376" s="99"/>
      <c r="U376" s="138"/>
      <c r="V376" s="138"/>
      <c r="W376" s="99"/>
      <c r="X376" s="264"/>
      <c r="Y376" s="264"/>
      <c r="Z376" s="187"/>
      <c r="AA376" s="6301"/>
      <c r="AB376" s="139"/>
      <c r="AC376" s="139"/>
      <c r="AD376" s="139"/>
      <c r="AE376" s="139"/>
      <c r="AF376" s="139"/>
      <c r="AG376" s="139"/>
      <c r="AH376" s="139"/>
      <c r="AI376" s="139"/>
      <c r="AJ376" s="139"/>
      <c r="AK376" s="139"/>
      <c r="AL376" s="139"/>
      <c r="AM376" s="139"/>
      <c r="AN376" s="139"/>
      <c r="AO376" s="139"/>
      <c r="AP376" s="139"/>
      <c r="AQ376" s="139"/>
      <c r="AR376" s="139"/>
      <c r="AS376" s="139"/>
      <c r="AT376" s="139"/>
      <c r="AU376" s="139"/>
      <c r="AV376" s="139"/>
      <c r="AW376" s="139"/>
      <c r="AX376" s="139"/>
      <c r="AY376" s="139"/>
      <c r="AZ376" s="139"/>
      <c r="BA376" s="139"/>
      <c r="BB376" s="139"/>
      <c r="BC376" s="139"/>
      <c r="BD376" s="139"/>
      <c r="BE376" s="139"/>
      <c r="BF376" s="139"/>
      <c r="BG376" s="139"/>
      <c r="BH376" s="139"/>
    </row>
    <row r="377" spans="2:60" s="11" customFormat="1" ht="19.899999999999999" customHeight="1">
      <c r="B377" s="5590"/>
      <c r="C377" s="5598"/>
      <c r="D377" s="9598" t="s">
        <v>140</v>
      </c>
      <c r="E377" s="9600"/>
      <c r="F377" s="87" t="s">
        <v>255</v>
      </c>
      <c r="G377" s="253"/>
      <c r="H377" s="6192"/>
      <c r="I377" s="9582" t="s">
        <v>141</v>
      </c>
      <c r="J377" s="9583"/>
      <c r="K377" s="280" t="s">
        <v>307</v>
      </c>
      <c r="L377" s="5324">
        <v>293.25696436359488</v>
      </c>
      <c r="M377" s="6058"/>
      <c r="N377" s="972">
        <v>257.91617295420275</v>
      </c>
      <c r="O377" s="5027"/>
      <c r="P377" s="5966">
        <v>266.00810795785208</v>
      </c>
      <c r="Q377" s="972"/>
      <c r="R377" s="2468"/>
      <c r="S377" s="276"/>
      <c r="T377" s="99"/>
      <c r="U377" s="138"/>
      <c r="V377" s="138"/>
      <c r="W377" s="99"/>
      <c r="X377" s="264"/>
      <c r="Y377" s="277"/>
      <c r="Z377" s="187"/>
      <c r="AA377" s="6301"/>
      <c r="AB377" s="139"/>
      <c r="AC377" s="139"/>
      <c r="AD377" s="139"/>
      <c r="AE377" s="139"/>
      <c r="AF377" s="139"/>
      <c r="AG377" s="139"/>
      <c r="AH377" s="139"/>
      <c r="AI377" s="139"/>
      <c r="AJ377" s="139"/>
      <c r="AK377" s="139"/>
      <c r="AL377" s="139"/>
      <c r="AM377" s="139"/>
      <c r="AN377" s="139"/>
      <c r="AO377" s="139"/>
      <c r="AP377" s="139"/>
      <c r="AQ377" s="139"/>
      <c r="AR377" s="139"/>
      <c r="AS377" s="139"/>
      <c r="AT377" s="139"/>
      <c r="AU377" s="139"/>
      <c r="AV377" s="139"/>
      <c r="AW377" s="139"/>
      <c r="AX377" s="139"/>
      <c r="AY377" s="139"/>
      <c r="AZ377" s="139"/>
      <c r="BA377" s="139"/>
      <c r="BB377" s="139"/>
      <c r="BC377" s="139"/>
      <c r="BD377" s="139"/>
      <c r="BE377" s="139"/>
      <c r="BF377" s="139"/>
      <c r="BG377" s="139"/>
      <c r="BH377" s="139"/>
    </row>
    <row r="378" spans="2:60" s="11" customFormat="1" ht="19.899999999999999" customHeight="1">
      <c r="B378" s="5590"/>
      <c r="C378" s="5598"/>
      <c r="D378" s="9598" t="s">
        <v>143</v>
      </c>
      <c r="E378" s="9600"/>
      <c r="F378" s="87" t="s">
        <v>255</v>
      </c>
      <c r="G378" s="253"/>
      <c r="H378" s="6192"/>
      <c r="I378" s="9582" t="s">
        <v>144</v>
      </c>
      <c r="J378" s="9583"/>
      <c r="K378" s="280" t="s">
        <v>307</v>
      </c>
      <c r="L378" s="6029">
        <v>54.037363380335201</v>
      </c>
      <c r="M378" s="6059"/>
      <c r="N378" s="6060">
        <v>117.93083850502801</v>
      </c>
      <c r="O378" s="6060"/>
      <c r="P378" s="6060">
        <v>131.92724031512199</v>
      </c>
      <c r="Q378" s="6060"/>
      <c r="R378" s="2468"/>
      <c r="S378" s="276"/>
      <c r="T378" s="99"/>
      <c r="U378" s="138"/>
      <c r="V378" s="138"/>
      <c r="W378" s="99"/>
      <c r="X378" s="264"/>
      <c r="Y378" s="277"/>
      <c r="Z378" s="187"/>
      <c r="AA378" s="6301"/>
      <c r="AB378" s="139"/>
      <c r="AC378" s="139"/>
      <c r="AD378" s="139"/>
      <c r="AE378" s="139"/>
      <c r="AF378" s="139"/>
      <c r="AG378" s="139"/>
      <c r="AH378" s="139"/>
      <c r="AI378" s="139"/>
      <c r="AJ378" s="139"/>
      <c r="AK378" s="139"/>
      <c r="AL378" s="139"/>
      <c r="AM378" s="139"/>
      <c r="AN378" s="139"/>
      <c r="AO378" s="139"/>
      <c r="AP378" s="139"/>
      <c r="AQ378" s="139"/>
      <c r="AR378" s="139"/>
      <c r="AS378" s="139"/>
      <c r="AT378" s="139"/>
      <c r="AU378" s="139"/>
      <c r="AV378" s="139"/>
      <c r="AW378" s="139"/>
      <c r="AX378" s="139"/>
      <c r="AY378" s="139"/>
      <c r="AZ378" s="139"/>
      <c r="BA378" s="139"/>
      <c r="BB378" s="139"/>
      <c r="BC378" s="139"/>
      <c r="BD378" s="139"/>
      <c r="BE378" s="139"/>
      <c r="BF378" s="139"/>
      <c r="BG378" s="139"/>
      <c r="BH378" s="139"/>
    </row>
    <row r="379" spans="2:60" s="11" customFormat="1" ht="19.899999999999999" customHeight="1">
      <c r="B379" s="5590"/>
      <c r="C379" s="5598"/>
      <c r="D379" s="9598" t="s">
        <v>631</v>
      </c>
      <c r="E379" s="9600"/>
      <c r="F379" s="87" t="s">
        <v>255</v>
      </c>
      <c r="G379" s="253"/>
      <c r="H379" s="6192"/>
      <c r="I379" s="9582" t="s">
        <v>147</v>
      </c>
      <c r="J379" s="9583"/>
      <c r="K379" s="280" t="s">
        <v>307</v>
      </c>
      <c r="L379" s="6061" t="s">
        <v>168</v>
      </c>
      <c r="M379" s="6059" t="s">
        <v>641</v>
      </c>
      <c r="N379" s="6060" t="s">
        <v>168</v>
      </c>
      <c r="O379" s="6060" t="s">
        <v>641</v>
      </c>
      <c r="P379" s="6060" t="s">
        <v>168</v>
      </c>
      <c r="Q379" s="6060" t="s">
        <v>641</v>
      </c>
      <c r="R379" s="2468"/>
      <c r="S379" s="276"/>
      <c r="T379" s="99"/>
      <c r="U379" s="138"/>
      <c r="V379" s="138"/>
      <c r="W379" s="99"/>
      <c r="X379" s="264"/>
      <c r="Y379" s="277"/>
      <c r="Z379" s="187"/>
      <c r="AA379" s="6301"/>
      <c r="AB379" s="139"/>
      <c r="AC379" s="139"/>
      <c r="AD379" s="139"/>
      <c r="AE379" s="139"/>
      <c r="AF379" s="139"/>
      <c r="AG379" s="139"/>
      <c r="AH379" s="139"/>
      <c r="AI379" s="139"/>
      <c r="AJ379" s="139"/>
      <c r="AK379" s="139"/>
      <c r="AL379" s="139"/>
      <c r="AM379" s="139"/>
      <c r="AN379" s="139"/>
      <c r="AO379" s="139"/>
      <c r="AP379" s="139"/>
      <c r="AQ379" s="139"/>
      <c r="AR379" s="139"/>
      <c r="AS379" s="139"/>
      <c r="AT379" s="139"/>
      <c r="AU379" s="139"/>
      <c r="AV379" s="139"/>
      <c r="AW379" s="139"/>
      <c r="AX379" s="139"/>
      <c r="AY379" s="139"/>
      <c r="AZ379" s="139"/>
      <c r="BA379" s="139"/>
      <c r="BB379" s="139"/>
      <c r="BC379" s="139"/>
      <c r="BD379" s="139"/>
      <c r="BE379" s="139"/>
      <c r="BF379" s="139"/>
      <c r="BG379" s="139"/>
      <c r="BH379" s="139"/>
    </row>
    <row r="380" spans="2:60" s="11" customFormat="1" ht="19.899999999999999" customHeight="1">
      <c r="B380" s="5590"/>
      <c r="C380" s="5598"/>
      <c r="D380" s="9598" t="s">
        <v>633</v>
      </c>
      <c r="E380" s="9600"/>
      <c r="F380" s="87" t="s">
        <v>255</v>
      </c>
      <c r="G380" s="253"/>
      <c r="H380" s="6192"/>
      <c r="I380" s="9582" t="s">
        <v>150</v>
      </c>
      <c r="J380" s="9583"/>
      <c r="K380" s="280" t="s">
        <v>307</v>
      </c>
      <c r="L380" s="6029">
        <v>163.06</v>
      </c>
      <c r="M380" s="6059"/>
      <c r="N380" s="6060">
        <v>190.41</v>
      </c>
      <c r="O380" s="6060"/>
      <c r="P380" s="6060">
        <v>148.49</v>
      </c>
      <c r="Q380" s="6060"/>
      <c r="R380" s="2468"/>
      <c r="S380" s="4849"/>
      <c r="T380" s="99"/>
      <c r="U380" s="138"/>
      <c r="V380" s="138"/>
      <c r="W380" s="99"/>
      <c r="X380" s="264"/>
      <c r="Y380" s="277"/>
      <c r="Z380" s="187"/>
      <c r="AA380" s="6301"/>
      <c r="AB380" s="139"/>
      <c r="AC380" s="139"/>
      <c r="AD380" s="139"/>
      <c r="AE380" s="139"/>
      <c r="AF380" s="139"/>
      <c r="AG380" s="139"/>
      <c r="AH380" s="139"/>
      <c r="AI380" s="139"/>
      <c r="AJ380" s="139"/>
      <c r="AK380" s="139"/>
      <c r="AL380" s="139"/>
      <c r="AM380" s="139"/>
      <c r="AN380" s="139"/>
      <c r="AO380" s="139"/>
      <c r="AP380" s="139"/>
      <c r="AQ380" s="139"/>
      <c r="AR380" s="139"/>
      <c r="AS380" s="139"/>
      <c r="AT380" s="139"/>
      <c r="AU380" s="139"/>
      <c r="AV380" s="139"/>
      <c r="AW380" s="139"/>
      <c r="AX380" s="139"/>
      <c r="AY380" s="139"/>
      <c r="AZ380" s="139"/>
      <c r="BA380" s="139"/>
      <c r="BB380" s="139"/>
      <c r="BC380" s="139"/>
      <c r="BD380" s="139"/>
      <c r="BE380" s="139"/>
      <c r="BF380" s="139"/>
      <c r="BG380" s="139"/>
      <c r="BH380" s="139"/>
    </row>
    <row r="381" spans="2:60" s="11" customFormat="1" ht="20.100000000000001" customHeight="1">
      <c r="B381" s="1353"/>
      <c r="C381" s="9690" t="s">
        <v>309</v>
      </c>
      <c r="D381" s="9691"/>
      <c r="E381" s="9692"/>
      <c r="F381" s="6330"/>
      <c r="G381" s="6185"/>
      <c r="H381" s="9716" t="s">
        <v>310</v>
      </c>
      <c r="I381" s="9691"/>
      <c r="J381" s="9692"/>
      <c r="K381" s="6331"/>
      <c r="L381" s="6334"/>
      <c r="M381" s="6139"/>
      <c r="N381" s="6139"/>
      <c r="O381" s="6139"/>
      <c r="P381" s="6139"/>
      <c r="Q381" s="6140"/>
      <c r="R381" s="4849"/>
      <c r="S381" s="4849"/>
      <c r="T381" s="99" t="s">
        <v>206</v>
      </c>
      <c r="U381" s="138"/>
      <c r="V381" s="138"/>
      <c r="W381" s="99"/>
      <c r="X381" s="346"/>
      <c r="Y381" s="265" t="s">
        <v>301</v>
      </c>
      <c r="Z381" s="187"/>
      <c r="AA381" s="6301"/>
      <c r="AB381" s="139"/>
      <c r="AC381" s="139"/>
      <c r="AD381" s="139"/>
      <c r="AE381" s="139"/>
      <c r="AF381" s="139"/>
      <c r="AG381" s="139"/>
      <c r="AH381" s="139"/>
      <c r="AI381" s="139"/>
      <c r="AJ381" s="139"/>
      <c r="AK381" s="139"/>
      <c r="AL381" s="139"/>
      <c r="AM381" s="139"/>
      <c r="AN381" s="139"/>
      <c r="AO381" s="139"/>
      <c r="AP381" s="139"/>
      <c r="AQ381" s="139"/>
      <c r="AR381" s="139"/>
      <c r="AS381" s="139"/>
      <c r="AT381" s="139"/>
      <c r="AU381" s="139"/>
      <c r="AV381" s="139"/>
      <c r="AW381" s="139"/>
      <c r="AX381" s="139"/>
      <c r="AY381" s="139"/>
      <c r="AZ381" s="139"/>
      <c r="BA381" s="139"/>
      <c r="BB381" s="139"/>
      <c r="BC381" s="139"/>
      <c r="BD381" s="139"/>
      <c r="BE381" s="139"/>
      <c r="BF381" s="139"/>
      <c r="BG381" s="139"/>
      <c r="BH381" s="139"/>
    </row>
    <row r="382" spans="2:60" s="11" customFormat="1" ht="20.100000000000001" customHeight="1">
      <c r="B382" s="1360"/>
      <c r="C382" s="5598"/>
      <c r="D382" s="9635" t="s">
        <v>314</v>
      </c>
      <c r="E382" s="9636"/>
      <c r="F382" s="295" t="s">
        <v>307</v>
      </c>
      <c r="G382" s="337"/>
      <c r="H382" s="386"/>
      <c r="I382" s="9635" t="s">
        <v>315</v>
      </c>
      <c r="J382" s="9636"/>
      <c r="K382" s="280" t="s">
        <v>307</v>
      </c>
      <c r="L382" s="5653" t="str">
        <f>IF(COUNTBLANK(L383:L388)&gt;0,"미취합법인有",SUM(L383:L388))</f>
        <v>미취합법인有</v>
      </c>
      <c r="M382" s="5657"/>
      <c r="N382" s="5654" t="str">
        <f>IF(COUNTBLANK(N383:N388)&gt;0,"미취합법인有",SUM(N383:N388))</f>
        <v>미취합법인有</v>
      </c>
      <c r="O382" s="5663"/>
      <c r="P382" s="5781" t="str">
        <f>IF(COUNTBLANK(P383:P388)&gt;0,"미취합법인有",SUM(P383:P388))</f>
        <v>미취합법인有</v>
      </c>
      <c r="Q382" s="785"/>
      <c r="R382" s="2470"/>
      <c r="S382" s="2470"/>
      <c r="T382" s="99" t="s">
        <v>206</v>
      </c>
      <c r="U382" s="138"/>
      <c r="V382" s="138"/>
      <c r="W382" s="99"/>
      <c r="X382" s="186"/>
      <c r="Y382" s="265" t="s">
        <v>301</v>
      </c>
      <c r="Z382" s="187"/>
      <c r="AA382" s="6301"/>
      <c r="AB382" s="139"/>
      <c r="AC382" s="139"/>
      <c r="AD382" s="139"/>
      <c r="AE382" s="139"/>
      <c r="AF382" s="139"/>
      <c r="AG382" s="139"/>
      <c r="AH382" s="139"/>
      <c r="AI382" s="139"/>
      <c r="AJ382" s="139"/>
      <c r="AK382" s="139"/>
      <c r="AL382" s="139"/>
      <c r="AM382" s="139"/>
      <c r="AN382" s="139"/>
      <c r="AO382" s="139"/>
      <c r="AP382" s="139"/>
      <c r="AQ382" s="139"/>
      <c r="AR382" s="139"/>
      <c r="AS382" s="139"/>
      <c r="AT382" s="139"/>
      <c r="AU382" s="139"/>
      <c r="AV382" s="139"/>
      <c r="AW382" s="139"/>
      <c r="AX382" s="139"/>
      <c r="AY382" s="139"/>
      <c r="AZ382" s="139"/>
      <c r="BA382" s="139"/>
      <c r="BB382" s="139"/>
      <c r="BC382" s="139"/>
      <c r="BD382" s="139"/>
      <c r="BE382" s="139"/>
      <c r="BF382" s="139"/>
      <c r="BG382" s="139"/>
      <c r="BH382" s="139"/>
    </row>
    <row r="383" spans="2:60" s="11" customFormat="1" ht="19.899999999999999" customHeight="1">
      <c r="B383" s="5590"/>
      <c r="C383" s="5598"/>
      <c r="D383" s="9598" t="s">
        <v>134</v>
      </c>
      <c r="E383" s="9600"/>
      <c r="F383" s="87" t="s">
        <v>255</v>
      </c>
      <c r="G383" s="253"/>
      <c r="H383" s="286"/>
      <c r="I383" s="9579" t="s">
        <v>135</v>
      </c>
      <c r="J383" s="9581"/>
      <c r="K383" s="280" t="s">
        <v>307</v>
      </c>
      <c r="L383" s="5839">
        <v>1864</v>
      </c>
      <c r="M383" s="5671"/>
      <c r="N383" s="1486">
        <v>1676</v>
      </c>
      <c r="O383" s="5673"/>
      <c r="P383" s="6522">
        <v>1651.9346</v>
      </c>
      <c r="Q383" s="6523" t="s">
        <v>316</v>
      </c>
      <c r="R383" s="2468"/>
      <c r="S383" s="4849"/>
      <c r="T383" s="99"/>
      <c r="U383" s="138"/>
      <c r="V383" s="138"/>
      <c r="W383" s="99"/>
      <c r="X383" s="264"/>
      <c r="Y383" s="277"/>
      <c r="Z383" s="187"/>
      <c r="AA383" s="6301"/>
      <c r="AB383" s="139"/>
      <c r="AC383" s="139"/>
      <c r="AD383" s="139"/>
      <c r="AE383" s="139"/>
      <c r="AF383" s="139"/>
      <c r="AG383" s="139"/>
      <c r="AH383" s="139"/>
      <c r="AI383" s="139"/>
      <c r="AJ383" s="139"/>
      <c r="AK383" s="139"/>
      <c r="AL383" s="139"/>
      <c r="AM383" s="139"/>
      <c r="AN383" s="139"/>
      <c r="AO383" s="139"/>
      <c r="AP383" s="139"/>
      <c r="AQ383" s="139"/>
      <c r="AR383" s="139"/>
      <c r="AS383" s="139"/>
      <c r="AT383" s="139"/>
      <c r="AU383" s="139"/>
      <c r="AV383" s="139"/>
      <c r="AW383" s="139"/>
      <c r="AX383" s="139"/>
      <c r="AY383" s="139"/>
      <c r="AZ383" s="139"/>
      <c r="BA383" s="139"/>
      <c r="BB383" s="139"/>
      <c r="BC383" s="139"/>
      <c r="BD383" s="139"/>
      <c r="BE383" s="139"/>
      <c r="BF383" s="139"/>
      <c r="BG383" s="139"/>
      <c r="BH383" s="139"/>
    </row>
    <row r="384" spans="2:60" s="11" customFormat="1" ht="19.899999999999999" customHeight="1">
      <c r="B384" s="5590"/>
      <c r="C384" s="5598"/>
      <c r="D384" s="9598" t="s">
        <v>137</v>
      </c>
      <c r="E384" s="9600"/>
      <c r="F384" s="87" t="s">
        <v>255</v>
      </c>
      <c r="G384" s="253"/>
      <c r="H384" s="286"/>
      <c r="I384" s="9579" t="s">
        <v>138</v>
      </c>
      <c r="J384" s="9581"/>
      <c r="K384" s="280" t="s">
        <v>307</v>
      </c>
      <c r="L384" s="5594"/>
      <c r="M384" s="5658"/>
      <c r="N384" s="1814"/>
      <c r="O384" s="5302"/>
      <c r="P384" s="5595"/>
      <c r="Q384" s="1814"/>
      <c r="R384" s="2468"/>
      <c r="S384" s="276"/>
      <c r="T384" s="99"/>
      <c r="U384" s="138"/>
      <c r="V384" s="138"/>
      <c r="W384" s="99"/>
      <c r="X384" s="264"/>
      <c r="Y384" s="277"/>
      <c r="Z384" s="187"/>
      <c r="AA384" s="6301"/>
      <c r="AB384" s="139"/>
      <c r="AC384" s="139"/>
      <c r="AD384" s="139"/>
      <c r="AE384" s="139"/>
      <c r="AF384" s="139"/>
      <c r="AG384" s="139"/>
      <c r="AH384" s="139"/>
      <c r="AI384" s="139"/>
      <c r="AJ384" s="139"/>
      <c r="AK384" s="139"/>
      <c r="AL384" s="139"/>
      <c r="AM384" s="139"/>
      <c r="AN384" s="139"/>
      <c r="AO384" s="139"/>
      <c r="AP384" s="139"/>
      <c r="AQ384" s="139"/>
      <c r="AR384" s="139"/>
      <c r="AS384" s="139"/>
      <c r="AT384" s="139"/>
      <c r="AU384" s="139"/>
      <c r="AV384" s="139"/>
      <c r="AW384" s="139"/>
      <c r="AX384" s="139"/>
      <c r="AY384" s="139"/>
      <c r="AZ384" s="139"/>
      <c r="BA384" s="139"/>
      <c r="BB384" s="139"/>
      <c r="BC384" s="139"/>
      <c r="BD384" s="139"/>
      <c r="BE384" s="139"/>
      <c r="BF384" s="139"/>
      <c r="BG384" s="139"/>
      <c r="BH384" s="139"/>
    </row>
    <row r="385" spans="2:60" s="11" customFormat="1" ht="19.899999999999999" customHeight="1">
      <c r="B385" s="5590"/>
      <c r="C385" s="5598"/>
      <c r="D385" s="9598" t="s">
        <v>140</v>
      </c>
      <c r="E385" s="9600"/>
      <c r="F385" s="87" t="s">
        <v>255</v>
      </c>
      <c r="G385" s="253"/>
      <c r="H385" s="286"/>
      <c r="I385" s="9582" t="s">
        <v>141</v>
      </c>
      <c r="J385" s="9583"/>
      <c r="K385" s="280" t="s">
        <v>307</v>
      </c>
      <c r="L385" s="5967" t="s">
        <v>168</v>
      </c>
      <c r="M385" s="5656" t="s">
        <v>641</v>
      </c>
      <c r="N385" s="5593" t="s">
        <v>168</v>
      </c>
      <c r="O385" s="5593" t="s">
        <v>641</v>
      </c>
      <c r="P385" s="5593" t="s">
        <v>168</v>
      </c>
      <c r="Q385" s="5948" t="s">
        <v>641</v>
      </c>
      <c r="R385" s="2468"/>
      <c r="S385" s="276"/>
      <c r="T385" s="99"/>
      <c r="U385" s="138"/>
      <c r="V385" s="138"/>
      <c r="W385" s="99"/>
      <c r="X385" s="264"/>
      <c r="Y385" s="277"/>
      <c r="Z385" s="187"/>
      <c r="AA385" s="6301"/>
      <c r="AB385" s="139"/>
      <c r="AC385" s="139"/>
      <c r="AD385" s="139"/>
      <c r="AE385" s="139"/>
      <c r="AF385" s="139"/>
      <c r="AG385" s="139"/>
      <c r="AH385" s="139"/>
      <c r="AI385" s="139"/>
      <c r="AJ385" s="139"/>
      <c r="AK385" s="139"/>
      <c r="AL385" s="139"/>
      <c r="AM385" s="139"/>
      <c r="AN385" s="139"/>
      <c r="AO385" s="139"/>
      <c r="AP385" s="139"/>
      <c r="AQ385" s="139"/>
      <c r="AR385" s="139"/>
      <c r="AS385" s="139"/>
      <c r="AT385" s="139"/>
      <c r="AU385" s="139"/>
      <c r="AV385" s="139"/>
      <c r="AW385" s="139"/>
      <c r="AX385" s="139"/>
      <c r="AY385" s="139"/>
      <c r="AZ385" s="139"/>
      <c r="BA385" s="139"/>
      <c r="BB385" s="139"/>
      <c r="BC385" s="139"/>
      <c r="BD385" s="139"/>
      <c r="BE385" s="139"/>
      <c r="BF385" s="139"/>
      <c r="BG385" s="139"/>
      <c r="BH385" s="139"/>
    </row>
    <row r="386" spans="2:60" s="11" customFormat="1" ht="19.899999999999999" customHeight="1">
      <c r="B386" s="5590"/>
      <c r="C386" s="5598"/>
      <c r="D386" s="9598" t="s">
        <v>143</v>
      </c>
      <c r="E386" s="9600"/>
      <c r="F386" s="87" t="s">
        <v>255</v>
      </c>
      <c r="G386" s="253"/>
      <c r="H386" s="286"/>
      <c r="I386" s="9582" t="s">
        <v>144</v>
      </c>
      <c r="J386" s="9583"/>
      <c r="K386" s="280" t="s">
        <v>307</v>
      </c>
      <c r="L386" s="5592"/>
      <c r="M386" s="5656"/>
      <c r="N386" s="5593"/>
      <c r="O386" s="5593"/>
      <c r="P386" s="5593"/>
      <c r="Q386" s="5948"/>
      <c r="R386" s="2468"/>
      <c r="S386" s="276"/>
      <c r="T386" s="99"/>
      <c r="U386" s="138"/>
      <c r="V386" s="138"/>
      <c r="W386" s="99"/>
      <c r="X386" s="264"/>
      <c r="Y386" s="277"/>
      <c r="Z386" s="187"/>
      <c r="AA386" s="6301"/>
      <c r="AB386" s="139"/>
      <c r="AC386" s="139"/>
      <c r="AD386" s="139"/>
      <c r="AE386" s="139"/>
      <c r="AF386" s="139"/>
      <c r="AG386" s="139"/>
      <c r="AH386" s="139"/>
      <c r="AI386" s="139"/>
      <c r="AJ386" s="139"/>
      <c r="AK386" s="139"/>
      <c r="AL386" s="139"/>
      <c r="AM386" s="139"/>
      <c r="AN386" s="139"/>
      <c r="AO386" s="139"/>
      <c r="AP386" s="139"/>
      <c r="AQ386" s="139"/>
      <c r="AR386" s="139"/>
      <c r="AS386" s="139"/>
      <c r="AT386" s="139"/>
      <c r="AU386" s="139"/>
      <c r="AV386" s="139"/>
      <c r="AW386" s="139"/>
      <c r="AX386" s="139"/>
      <c r="AY386" s="139"/>
      <c r="AZ386" s="139"/>
      <c r="BA386" s="139"/>
      <c r="BB386" s="139"/>
      <c r="BC386" s="139"/>
      <c r="BD386" s="139"/>
      <c r="BE386" s="139"/>
      <c r="BF386" s="139"/>
      <c r="BG386" s="139"/>
      <c r="BH386" s="139"/>
    </row>
    <row r="387" spans="2:60" s="11" customFormat="1" ht="19.899999999999999" customHeight="1">
      <c r="B387" s="5590"/>
      <c r="C387" s="5598"/>
      <c r="D387" s="9598" t="s">
        <v>631</v>
      </c>
      <c r="E387" s="9600"/>
      <c r="F387" s="87" t="s">
        <v>255</v>
      </c>
      <c r="G387" s="253"/>
      <c r="H387" s="286"/>
      <c r="I387" s="9582" t="s">
        <v>147</v>
      </c>
      <c r="J387" s="9583"/>
      <c r="K387" s="280" t="s">
        <v>307</v>
      </c>
      <c r="L387" s="5967" t="s">
        <v>168</v>
      </c>
      <c r="M387" s="5656" t="s">
        <v>641</v>
      </c>
      <c r="N387" s="5593" t="s">
        <v>168</v>
      </c>
      <c r="O387" s="5593" t="s">
        <v>641</v>
      </c>
      <c r="P387" s="5593" t="s">
        <v>168</v>
      </c>
      <c r="Q387" s="5948" t="s">
        <v>641</v>
      </c>
      <c r="R387" s="2468"/>
      <c r="S387" s="4849"/>
      <c r="T387" s="99"/>
      <c r="U387" s="138"/>
      <c r="V387" s="138"/>
      <c r="W387" s="99"/>
      <c r="X387" s="264"/>
      <c r="Y387" s="277"/>
      <c r="Z387" s="187"/>
      <c r="AA387" s="6301"/>
      <c r="AB387" s="139"/>
      <c r="AC387" s="139"/>
      <c r="AD387" s="139"/>
      <c r="AE387" s="139"/>
      <c r="AF387" s="139"/>
      <c r="AG387" s="139"/>
      <c r="AH387" s="139"/>
      <c r="AI387" s="139"/>
      <c r="AJ387" s="139"/>
      <c r="AK387" s="139"/>
      <c r="AL387" s="139"/>
      <c r="AM387" s="139"/>
      <c r="AN387" s="139"/>
      <c r="AO387" s="139"/>
      <c r="AP387" s="139"/>
      <c r="AQ387" s="139"/>
      <c r="AR387" s="139"/>
      <c r="AS387" s="139"/>
      <c r="AT387" s="139"/>
      <c r="AU387" s="139"/>
      <c r="AV387" s="139"/>
      <c r="AW387" s="139"/>
      <c r="AX387" s="139"/>
      <c r="AY387" s="139"/>
      <c r="AZ387" s="139"/>
      <c r="BA387" s="139"/>
      <c r="BB387" s="139"/>
      <c r="BC387" s="139"/>
      <c r="BD387" s="139"/>
      <c r="BE387" s="139"/>
      <c r="BF387" s="139"/>
      <c r="BG387" s="139"/>
      <c r="BH387" s="139"/>
    </row>
    <row r="388" spans="2:60" s="11" customFormat="1" ht="19.899999999999999" customHeight="1">
      <c r="B388" s="5590"/>
      <c r="C388" s="5598"/>
      <c r="D388" s="9598" t="s">
        <v>633</v>
      </c>
      <c r="E388" s="9600"/>
      <c r="F388" s="87" t="s">
        <v>255</v>
      </c>
      <c r="G388" s="253"/>
      <c r="H388" s="286"/>
      <c r="I388" s="9582" t="s">
        <v>150</v>
      </c>
      <c r="J388" s="9583"/>
      <c r="K388" s="280" t="s">
        <v>307</v>
      </c>
      <c r="L388" s="5592">
        <v>165.95</v>
      </c>
      <c r="M388" s="5674" t="s">
        <v>317</v>
      </c>
      <c r="N388" s="5593">
        <v>225.16</v>
      </c>
      <c r="O388" s="5678" t="s">
        <v>317</v>
      </c>
      <c r="P388" s="5593">
        <v>194.36</v>
      </c>
      <c r="Q388" s="6107"/>
      <c r="R388" s="2468"/>
      <c r="S388" s="4849"/>
      <c r="T388" s="99"/>
      <c r="U388" s="138"/>
      <c r="V388" s="138"/>
      <c r="W388" s="99"/>
      <c r="X388" s="264"/>
      <c r="Y388" s="277"/>
      <c r="Z388" s="187"/>
      <c r="AA388" s="6301"/>
      <c r="AB388" s="139"/>
      <c r="AC388" s="139"/>
      <c r="AD388" s="139"/>
      <c r="AE388" s="139"/>
      <c r="AF388" s="139"/>
      <c r="AG388" s="139"/>
      <c r="AH388" s="139"/>
      <c r="AI388" s="139"/>
      <c r="AJ388" s="139"/>
      <c r="AK388" s="139"/>
      <c r="AL388" s="139"/>
      <c r="AM388" s="139"/>
      <c r="AN388" s="139"/>
      <c r="AO388" s="139"/>
      <c r="AP388" s="139"/>
      <c r="AQ388" s="139"/>
      <c r="AR388" s="139"/>
      <c r="AS388" s="139"/>
      <c r="AT388" s="139"/>
      <c r="AU388" s="139"/>
      <c r="AV388" s="139"/>
      <c r="AW388" s="139"/>
      <c r="AX388" s="139"/>
      <c r="AY388" s="139"/>
      <c r="AZ388" s="139"/>
      <c r="BA388" s="139"/>
      <c r="BB388" s="139"/>
      <c r="BC388" s="139"/>
      <c r="BD388" s="139"/>
      <c r="BE388" s="139"/>
      <c r="BF388" s="139"/>
      <c r="BG388" s="139"/>
      <c r="BH388" s="139"/>
    </row>
    <row r="389" spans="2:60" s="11" customFormat="1" ht="20.100000000000001" customHeight="1">
      <c r="B389" s="1360"/>
      <c r="C389" s="5598"/>
      <c r="D389" s="9635" t="s">
        <v>318</v>
      </c>
      <c r="E389" s="9636"/>
      <c r="F389" s="280" t="s">
        <v>307</v>
      </c>
      <c r="G389" s="416"/>
      <c r="H389" s="345"/>
      <c r="I389" s="9635" t="s">
        <v>319</v>
      </c>
      <c r="J389" s="9636"/>
      <c r="K389" s="280" t="s">
        <v>307</v>
      </c>
      <c r="L389" s="5653" t="str">
        <f>IF(COUNTBLANK(L390:L395)&gt;0,"미취합법인有",SUM(L390:L395))</f>
        <v>미취합법인有</v>
      </c>
      <c r="M389" s="5657"/>
      <c r="N389" s="5654" t="str">
        <f>IF(COUNTBLANK(N390:N395)&gt;0,"미취합법인有",SUM(N390:N395))</f>
        <v>미취합법인有</v>
      </c>
      <c r="O389" s="5663"/>
      <c r="P389" s="5781" t="str">
        <f>IF(COUNTBLANK(P390:P395)&gt;0,"미취합법인有",SUM(P390:P395))</f>
        <v>미취합법인有</v>
      </c>
      <c r="Q389" s="785"/>
      <c r="R389" s="2470"/>
      <c r="S389" s="2470"/>
      <c r="T389" s="99" t="s">
        <v>206</v>
      </c>
      <c r="U389" s="138"/>
      <c r="V389" s="138"/>
      <c r="W389" s="99"/>
      <c r="X389" s="186"/>
      <c r="Y389" s="265" t="s">
        <v>301</v>
      </c>
      <c r="Z389" s="187"/>
      <c r="AA389" s="6301"/>
      <c r="AB389" s="139"/>
      <c r="AC389" s="139"/>
      <c r="AD389" s="139"/>
      <c r="AE389" s="139"/>
      <c r="AF389" s="139"/>
      <c r="AG389" s="139"/>
      <c r="AH389" s="139"/>
      <c r="AI389" s="139"/>
      <c r="AJ389" s="139"/>
      <c r="AK389" s="139"/>
      <c r="AL389" s="139"/>
      <c r="AM389" s="139"/>
      <c r="AN389" s="139"/>
      <c r="AO389" s="139"/>
      <c r="AP389" s="139"/>
      <c r="AQ389" s="139"/>
      <c r="AR389" s="139"/>
      <c r="AS389" s="139"/>
      <c r="AT389" s="139"/>
      <c r="AU389" s="139"/>
      <c r="AV389" s="139"/>
      <c r="AW389" s="139"/>
      <c r="AX389" s="139"/>
      <c r="AY389" s="139"/>
      <c r="AZ389" s="139"/>
      <c r="BA389" s="139"/>
      <c r="BB389" s="139"/>
      <c r="BC389" s="139"/>
      <c r="BD389" s="139"/>
      <c r="BE389" s="139"/>
      <c r="BF389" s="139"/>
      <c r="BG389" s="139"/>
      <c r="BH389" s="139"/>
    </row>
    <row r="390" spans="2:60" s="11" customFormat="1" ht="19.899999999999999" customHeight="1">
      <c r="B390" s="5590"/>
      <c r="C390" s="5598"/>
      <c r="D390" s="9598" t="s">
        <v>134</v>
      </c>
      <c r="E390" s="9600"/>
      <c r="F390" s="87" t="s">
        <v>255</v>
      </c>
      <c r="G390" s="253"/>
      <c r="H390" s="286"/>
      <c r="I390" s="9579" t="s">
        <v>135</v>
      </c>
      <c r="J390" s="9581"/>
      <c r="K390" s="280" t="s">
        <v>307</v>
      </c>
      <c r="L390" s="5594">
        <v>1268</v>
      </c>
      <c r="M390" s="5671" t="s">
        <v>320</v>
      </c>
      <c r="N390" s="1486">
        <v>1492</v>
      </c>
      <c r="O390" s="5673"/>
      <c r="P390" s="1486">
        <v>1458</v>
      </c>
      <c r="Q390" s="5672"/>
      <c r="R390" s="2468"/>
      <c r="S390" s="4849"/>
      <c r="T390" s="99"/>
      <c r="U390" s="138"/>
      <c r="V390" s="138"/>
      <c r="W390" s="99"/>
      <c r="X390" s="264"/>
      <c r="Y390" s="277"/>
      <c r="Z390" s="187"/>
      <c r="AA390" s="6301"/>
      <c r="AB390" s="139"/>
      <c r="AC390" s="139"/>
      <c r="AD390" s="139"/>
      <c r="AE390" s="139"/>
      <c r="AF390" s="139"/>
      <c r="AG390" s="139"/>
      <c r="AH390" s="139"/>
      <c r="AI390" s="139"/>
      <c r="AJ390" s="139"/>
      <c r="AK390" s="139"/>
      <c r="AL390" s="139"/>
      <c r="AM390" s="139"/>
      <c r="AN390" s="139"/>
      <c r="AO390" s="139"/>
      <c r="AP390" s="139"/>
      <c r="AQ390" s="139"/>
      <c r="AR390" s="139"/>
      <c r="AS390" s="139"/>
      <c r="AT390" s="139"/>
      <c r="AU390" s="139"/>
      <c r="AV390" s="139"/>
      <c r="AW390" s="139"/>
      <c r="AX390" s="139"/>
      <c r="AY390" s="139"/>
      <c r="AZ390" s="139"/>
      <c r="BA390" s="139"/>
      <c r="BB390" s="139"/>
      <c r="BC390" s="139"/>
      <c r="BD390" s="139"/>
      <c r="BE390" s="139"/>
      <c r="BF390" s="139"/>
      <c r="BG390" s="139"/>
      <c r="BH390" s="139"/>
    </row>
    <row r="391" spans="2:60" s="11" customFormat="1" ht="19.899999999999999" customHeight="1">
      <c r="B391" s="5590"/>
      <c r="C391" s="5598"/>
      <c r="D391" s="9598" t="s">
        <v>137</v>
      </c>
      <c r="E391" s="9600"/>
      <c r="F391" s="87" t="s">
        <v>255</v>
      </c>
      <c r="G391" s="253"/>
      <c r="H391" s="286"/>
      <c r="I391" s="9579" t="s">
        <v>138</v>
      </c>
      <c r="J391" s="9581"/>
      <c r="K391" s="280" t="s">
        <v>307</v>
      </c>
      <c r="L391" s="5594"/>
      <c r="M391" s="5658"/>
      <c r="N391" s="1814"/>
      <c r="O391" s="5302"/>
      <c r="P391" s="5595"/>
      <c r="Q391" s="1814"/>
      <c r="R391" s="2468"/>
      <c r="S391" s="276"/>
      <c r="T391" s="99"/>
      <c r="U391" s="138"/>
      <c r="V391" s="138"/>
      <c r="W391" s="99"/>
      <c r="X391" s="264"/>
      <c r="Y391" s="277"/>
      <c r="Z391" s="187"/>
      <c r="AA391" s="6301"/>
      <c r="AB391" s="139"/>
      <c r="AC391" s="139"/>
      <c r="AD391" s="139"/>
      <c r="AE391" s="139"/>
      <c r="AF391" s="139"/>
      <c r="AG391" s="139"/>
      <c r="AH391" s="139"/>
      <c r="AI391" s="139"/>
      <c r="AJ391" s="139"/>
      <c r="AK391" s="139"/>
      <c r="AL391" s="139"/>
      <c r="AM391" s="139"/>
      <c r="AN391" s="139"/>
      <c r="AO391" s="139"/>
      <c r="AP391" s="139"/>
      <c r="AQ391" s="139"/>
      <c r="AR391" s="139"/>
      <c r="AS391" s="139"/>
      <c r="AT391" s="139"/>
      <c r="AU391" s="139"/>
      <c r="AV391" s="139"/>
      <c r="AW391" s="139"/>
      <c r="AX391" s="139"/>
      <c r="AY391" s="139"/>
      <c r="AZ391" s="139"/>
      <c r="BA391" s="139"/>
      <c r="BB391" s="139"/>
      <c r="BC391" s="139"/>
      <c r="BD391" s="139"/>
      <c r="BE391" s="139"/>
      <c r="BF391" s="139"/>
      <c r="BG391" s="139"/>
      <c r="BH391" s="139"/>
    </row>
    <row r="392" spans="2:60" s="11" customFormat="1" ht="19.899999999999999" customHeight="1">
      <c r="B392" s="5590"/>
      <c r="C392" s="5598"/>
      <c r="D392" s="9598" t="s">
        <v>140</v>
      </c>
      <c r="E392" s="9600"/>
      <c r="F392" s="87" t="s">
        <v>255</v>
      </c>
      <c r="G392" s="253"/>
      <c r="H392" s="286"/>
      <c r="I392" s="9582" t="s">
        <v>141</v>
      </c>
      <c r="J392" s="9583"/>
      <c r="K392" s="280" t="s">
        <v>307</v>
      </c>
      <c r="L392" s="5967" t="s">
        <v>168</v>
      </c>
      <c r="M392" s="5656" t="s">
        <v>641</v>
      </c>
      <c r="N392" s="5593" t="s">
        <v>168</v>
      </c>
      <c r="O392" s="5593" t="s">
        <v>641</v>
      </c>
      <c r="P392" s="5593" t="s">
        <v>168</v>
      </c>
      <c r="Q392" s="5948" t="s">
        <v>641</v>
      </c>
      <c r="R392" s="2468"/>
      <c r="S392" s="276"/>
      <c r="T392" s="99"/>
      <c r="U392" s="138"/>
      <c r="V392" s="138"/>
      <c r="W392" s="99"/>
      <c r="X392" s="264"/>
      <c r="Y392" s="277"/>
      <c r="Z392" s="187"/>
      <c r="AA392" s="6301"/>
      <c r="AB392" s="139"/>
      <c r="AC392" s="139"/>
      <c r="AD392" s="139"/>
      <c r="AE392" s="139"/>
      <c r="AF392" s="139"/>
      <c r="AG392" s="139"/>
      <c r="AH392" s="139"/>
      <c r="AI392" s="139"/>
      <c r="AJ392" s="139"/>
      <c r="AK392" s="139"/>
      <c r="AL392" s="139"/>
      <c r="AM392" s="139"/>
      <c r="AN392" s="139"/>
      <c r="AO392" s="139"/>
      <c r="AP392" s="139"/>
      <c r="AQ392" s="139"/>
      <c r="AR392" s="139"/>
      <c r="AS392" s="139"/>
      <c r="AT392" s="139"/>
      <c r="AU392" s="139"/>
      <c r="AV392" s="139"/>
      <c r="AW392" s="139"/>
      <c r="AX392" s="139"/>
      <c r="AY392" s="139"/>
      <c r="AZ392" s="139"/>
      <c r="BA392" s="139"/>
      <c r="BB392" s="139"/>
      <c r="BC392" s="139"/>
      <c r="BD392" s="139"/>
      <c r="BE392" s="139"/>
      <c r="BF392" s="139"/>
      <c r="BG392" s="139"/>
      <c r="BH392" s="139"/>
    </row>
    <row r="393" spans="2:60" s="11" customFormat="1" ht="19.899999999999999" customHeight="1">
      <c r="B393" s="5590"/>
      <c r="C393" s="5598"/>
      <c r="D393" s="9598" t="s">
        <v>143</v>
      </c>
      <c r="E393" s="9600"/>
      <c r="F393" s="87" t="s">
        <v>255</v>
      </c>
      <c r="G393" s="253"/>
      <c r="H393" s="286"/>
      <c r="I393" s="9582" t="s">
        <v>144</v>
      </c>
      <c r="J393" s="9583"/>
      <c r="K393" s="280" t="s">
        <v>307</v>
      </c>
      <c r="L393" s="5592"/>
      <c r="M393" s="5656"/>
      <c r="N393" s="5593"/>
      <c r="O393" s="5593"/>
      <c r="P393" s="5593"/>
      <c r="Q393" s="5948"/>
      <c r="R393" s="2468"/>
      <c r="S393" s="276"/>
      <c r="T393" s="99"/>
      <c r="U393" s="138"/>
      <c r="V393" s="138"/>
      <c r="W393" s="99"/>
      <c r="X393" s="264"/>
      <c r="Y393" s="277"/>
      <c r="Z393" s="187"/>
      <c r="AA393" s="6301"/>
      <c r="AB393" s="139"/>
      <c r="AC393" s="139"/>
      <c r="AD393" s="139"/>
      <c r="AE393" s="139"/>
      <c r="AF393" s="139"/>
      <c r="AG393" s="139"/>
      <c r="AH393" s="139"/>
      <c r="AI393" s="139"/>
      <c r="AJ393" s="139"/>
      <c r="AK393" s="139"/>
      <c r="AL393" s="139"/>
      <c r="AM393" s="139"/>
      <c r="AN393" s="139"/>
      <c r="AO393" s="139"/>
      <c r="AP393" s="139"/>
      <c r="AQ393" s="139"/>
      <c r="AR393" s="139"/>
      <c r="AS393" s="139"/>
      <c r="AT393" s="139"/>
      <c r="AU393" s="139"/>
      <c r="AV393" s="139"/>
      <c r="AW393" s="139"/>
      <c r="AX393" s="139"/>
      <c r="AY393" s="139"/>
      <c r="AZ393" s="139"/>
      <c r="BA393" s="139"/>
      <c r="BB393" s="139"/>
      <c r="BC393" s="139"/>
      <c r="BD393" s="139"/>
      <c r="BE393" s="139"/>
      <c r="BF393" s="139"/>
      <c r="BG393" s="139"/>
      <c r="BH393" s="139"/>
    </row>
    <row r="394" spans="2:60" s="11" customFormat="1" ht="19.899999999999999" customHeight="1">
      <c r="B394" s="5590"/>
      <c r="C394" s="5598"/>
      <c r="D394" s="9598" t="s">
        <v>631</v>
      </c>
      <c r="E394" s="9600"/>
      <c r="F394" s="87" t="s">
        <v>255</v>
      </c>
      <c r="G394" s="253"/>
      <c r="H394" s="286"/>
      <c r="I394" s="9582" t="s">
        <v>147</v>
      </c>
      <c r="J394" s="9583"/>
      <c r="K394" s="280" t="s">
        <v>307</v>
      </c>
      <c r="L394" s="5967" t="s">
        <v>168</v>
      </c>
      <c r="M394" s="5656" t="s">
        <v>641</v>
      </c>
      <c r="N394" s="5593" t="s">
        <v>168</v>
      </c>
      <c r="O394" s="5593" t="s">
        <v>641</v>
      </c>
      <c r="P394" s="5593" t="s">
        <v>168</v>
      </c>
      <c r="Q394" s="5948" t="s">
        <v>641</v>
      </c>
      <c r="R394" s="2468"/>
      <c r="S394" s="276"/>
      <c r="T394" s="99"/>
      <c r="U394" s="138"/>
      <c r="V394" s="138"/>
      <c r="W394" s="99"/>
      <c r="X394" s="264"/>
      <c r="Y394" s="277"/>
      <c r="Z394" s="187"/>
      <c r="AA394" s="6301"/>
      <c r="AB394" s="139"/>
      <c r="AC394" s="139"/>
      <c r="AD394" s="139"/>
      <c r="AE394" s="139"/>
      <c r="AF394" s="139"/>
      <c r="AG394" s="139"/>
      <c r="AH394" s="139"/>
      <c r="AI394" s="139"/>
      <c r="AJ394" s="139"/>
      <c r="AK394" s="139"/>
      <c r="AL394" s="139"/>
      <c r="AM394" s="139"/>
      <c r="AN394" s="139"/>
      <c r="AO394" s="139"/>
      <c r="AP394" s="139"/>
      <c r="AQ394" s="139"/>
      <c r="AR394" s="139"/>
      <c r="AS394" s="139"/>
      <c r="AT394" s="139"/>
      <c r="AU394" s="139"/>
      <c r="AV394" s="139"/>
      <c r="AW394" s="139"/>
      <c r="AX394" s="139"/>
      <c r="AY394" s="139"/>
      <c r="AZ394" s="139"/>
      <c r="BA394" s="139"/>
      <c r="BB394" s="139"/>
      <c r="BC394" s="139"/>
      <c r="BD394" s="139"/>
      <c r="BE394" s="139"/>
      <c r="BF394" s="139"/>
      <c r="BG394" s="139"/>
      <c r="BH394" s="139"/>
    </row>
    <row r="395" spans="2:60" s="11" customFormat="1" ht="19.899999999999999" customHeight="1">
      <c r="B395" s="5590"/>
      <c r="C395" s="5598"/>
      <c r="D395" s="9598" t="s">
        <v>633</v>
      </c>
      <c r="E395" s="9600"/>
      <c r="F395" s="87" t="s">
        <v>255</v>
      </c>
      <c r="G395" s="253"/>
      <c r="H395" s="286"/>
      <c r="I395" s="9582" t="s">
        <v>150</v>
      </c>
      <c r="J395" s="9583"/>
      <c r="K395" s="280" t="s">
        <v>307</v>
      </c>
      <c r="L395" s="5592">
        <v>163.06</v>
      </c>
      <c r="M395" s="5656"/>
      <c r="N395" s="5593">
        <v>190.26</v>
      </c>
      <c r="O395" s="5593"/>
      <c r="P395" s="5593">
        <v>149.46</v>
      </c>
      <c r="Q395" s="5948"/>
      <c r="R395" s="2468"/>
      <c r="S395" s="4849"/>
      <c r="T395" s="99"/>
      <c r="U395" s="138"/>
      <c r="V395" s="138"/>
      <c r="W395" s="99"/>
      <c r="X395" s="264"/>
      <c r="Y395" s="277"/>
      <c r="Z395" s="187"/>
      <c r="AA395" s="6301"/>
      <c r="AB395" s="139"/>
      <c r="AC395" s="139"/>
      <c r="AD395" s="139"/>
      <c r="AE395" s="139"/>
      <c r="AF395" s="139"/>
      <c r="AG395" s="139"/>
      <c r="AH395" s="139"/>
      <c r="AI395" s="139"/>
      <c r="AJ395" s="139"/>
      <c r="AK395" s="139"/>
      <c r="AL395" s="139"/>
      <c r="AM395" s="139"/>
      <c r="AN395" s="139"/>
      <c r="AO395" s="139"/>
      <c r="AP395" s="139"/>
      <c r="AQ395" s="139"/>
      <c r="AR395" s="139"/>
      <c r="AS395" s="139"/>
      <c r="AT395" s="139"/>
      <c r="AU395" s="139"/>
      <c r="AV395" s="139"/>
      <c r="AW395" s="139"/>
      <c r="AX395" s="139"/>
      <c r="AY395" s="139"/>
      <c r="AZ395" s="139"/>
      <c r="BA395" s="139"/>
      <c r="BB395" s="139"/>
      <c r="BC395" s="139"/>
      <c r="BD395" s="139"/>
      <c r="BE395" s="139"/>
      <c r="BF395" s="139"/>
      <c r="BG395" s="139"/>
      <c r="BH395" s="139"/>
    </row>
    <row r="396" spans="2:60" s="11" customFormat="1" ht="20.100000000000001" customHeight="1">
      <c r="B396" s="1360"/>
      <c r="C396" s="5598"/>
      <c r="D396" s="9635" t="s">
        <v>312</v>
      </c>
      <c r="E396" s="9636"/>
      <c r="F396" s="87" t="s">
        <v>255</v>
      </c>
      <c r="G396" s="577"/>
      <c r="H396" s="345"/>
      <c r="I396" s="9635" t="s">
        <v>313</v>
      </c>
      <c r="J396" s="9636"/>
      <c r="K396" s="280" t="s">
        <v>307</v>
      </c>
      <c r="L396" s="5653" t="str">
        <f>IF(COUNTBLANK(L397:L402)&gt;0,"미취합법인有",SUM(L397:L402))</f>
        <v>미취합법인有</v>
      </c>
      <c r="M396" s="5657"/>
      <c r="N396" s="5654" t="str">
        <f>IF(COUNTBLANK(N397:N402)&gt;0,"미취합법인有",SUM(N397:N402))</f>
        <v>미취합법인有</v>
      </c>
      <c r="O396" s="5663"/>
      <c r="P396" s="5781" t="str">
        <f>IF(COUNTBLANK(P397:P402)&gt;0,"미취합법인有",SUM(P397:P402))</f>
        <v>미취합법인有</v>
      </c>
      <c r="Q396" s="785"/>
      <c r="R396" s="2470"/>
      <c r="S396" s="4849"/>
      <c r="T396" s="99" t="s">
        <v>206</v>
      </c>
      <c r="U396" s="218"/>
      <c r="V396" s="218"/>
      <c r="W396" s="219"/>
      <c r="X396" s="231"/>
      <c r="Y396" s="427" t="s">
        <v>301</v>
      </c>
      <c r="Z396" s="221"/>
      <c r="AA396" s="6301"/>
      <c r="AB396" s="139"/>
      <c r="AC396" s="139"/>
      <c r="AD396" s="139"/>
      <c r="AE396" s="139"/>
      <c r="AF396" s="139"/>
      <c r="AG396" s="139"/>
      <c r="AH396" s="139"/>
      <c r="AI396" s="139"/>
      <c r="AJ396" s="139"/>
      <c r="AK396" s="139"/>
      <c r="AL396" s="139"/>
      <c r="AM396" s="139"/>
      <c r="AN396" s="139"/>
      <c r="AO396" s="139"/>
      <c r="AP396" s="139"/>
      <c r="AQ396" s="139"/>
      <c r="AR396" s="139"/>
      <c r="AS396" s="139"/>
      <c r="AT396" s="139"/>
      <c r="AU396" s="139"/>
      <c r="AV396" s="139"/>
      <c r="AW396" s="139"/>
      <c r="AX396" s="139"/>
      <c r="AY396" s="139"/>
      <c r="AZ396" s="139"/>
      <c r="BA396" s="139"/>
      <c r="BB396" s="139"/>
      <c r="BC396" s="139"/>
      <c r="BD396" s="139"/>
      <c r="BE396" s="139"/>
      <c r="BF396" s="139"/>
      <c r="BG396" s="139"/>
      <c r="BH396" s="139"/>
    </row>
    <row r="397" spans="2:60" s="11" customFormat="1" ht="19.899999999999999" customHeight="1">
      <c r="B397" s="5590"/>
      <c r="C397" s="5598"/>
      <c r="D397" s="9598" t="s">
        <v>134</v>
      </c>
      <c r="E397" s="9600"/>
      <c r="F397" s="87" t="s">
        <v>255</v>
      </c>
      <c r="G397" s="1918"/>
      <c r="H397" s="286"/>
      <c r="I397" s="9627" t="s">
        <v>135</v>
      </c>
      <c r="J397" s="9629"/>
      <c r="K397" s="280" t="s">
        <v>307</v>
      </c>
      <c r="L397" s="5839">
        <v>596</v>
      </c>
      <c r="M397" s="5671"/>
      <c r="N397" s="1486">
        <v>184</v>
      </c>
      <c r="O397" s="5673"/>
      <c r="P397" s="6522">
        <v>194</v>
      </c>
      <c r="Q397" s="5672"/>
      <c r="R397" s="2468"/>
      <c r="S397" s="2470"/>
      <c r="T397" s="99"/>
      <c r="U397" s="138"/>
      <c r="V397" s="138"/>
      <c r="W397" s="99"/>
      <c r="X397" s="264"/>
      <c r="Y397" s="277"/>
      <c r="Z397" s="187"/>
      <c r="AA397" s="6301"/>
      <c r="AB397" s="139"/>
      <c r="AC397" s="139"/>
      <c r="AD397" s="139"/>
      <c r="AE397" s="139"/>
      <c r="AF397" s="139"/>
      <c r="AG397" s="139"/>
      <c r="AH397" s="139"/>
      <c r="AI397" s="139"/>
      <c r="AJ397" s="139"/>
      <c r="AK397" s="139"/>
      <c r="AL397" s="139"/>
      <c r="AM397" s="139"/>
      <c r="AN397" s="139"/>
      <c r="AO397" s="139"/>
      <c r="AP397" s="139"/>
      <c r="AQ397" s="139"/>
      <c r="AR397" s="139"/>
      <c r="AS397" s="139"/>
      <c r="AT397" s="139"/>
      <c r="AU397" s="139"/>
      <c r="AV397" s="139"/>
      <c r="AW397" s="139"/>
      <c r="AX397" s="139"/>
      <c r="AY397" s="139"/>
      <c r="AZ397" s="139"/>
      <c r="BA397" s="139"/>
      <c r="BB397" s="139"/>
      <c r="BC397" s="139"/>
      <c r="BD397" s="139"/>
      <c r="BE397" s="139"/>
      <c r="BF397" s="139"/>
      <c r="BG397" s="139"/>
      <c r="BH397" s="139"/>
    </row>
    <row r="398" spans="2:60" s="11" customFormat="1" ht="19.899999999999999" customHeight="1">
      <c r="B398" s="5590"/>
      <c r="C398" s="5598"/>
      <c r="D398" s="9598" t="s">
        <v>137</v>
      </c>
      <c r="E398" s="9600"/>
      <c r="F398" s="87" t="s">
        <v>255</v>
      </c>
      <c r="G398" s="253"/>
      <c r="H398" s="286"/>
      <c r="I398" s="9579" t="s">
        <v>138</v>
      </c>
      <c r="J398" s="9581"/>
      <c r="K398" s="280" t="s">
        <v>307</v>
      </c>
      <c r="L398" s="5594"/>
      <c r="M398" s="5658"/>
      <c r="N398" s="1814"/>
      <c r="O398" s="5302"/>
      <c r="P398" s="5595"/>
      <c r="Q398" s="1814"/>
      <c r="R398" s="2468"/>
      <c r="S398" s="4849"/>
      <c r="T398" s="99"/>
      <c r="U398" s="138"/>
      <c r="V398" s="138"/>
      <c r="W398" s="99"/>
      <c r="X398" s="264"/>
      <c r="Y398" s="277"/>
      <c r="Z398" s="187"/>
      <c r="AA398" s="6301"/>
      <c r="AB398" s="139"/>
      <c r="AC398" s="139"/>
      <c r="AD398" s="139"/>
      <c r="AE398" s="139"/>
      <c r="AF398" s="139"/>
      <c r="AG398" s="139"/>
      <c r="AH398" s="139"/>
      <c r="AI398" s="139"/>
      <c r="AJ398" s="139"/>
      <c r="AK398" s="139"/>
      <c r="AL398" s="139"/>
      <c r="AM398" s="139"/>
      <c r="AN398" s="139"/>
      <c r="AO398" s="139"/>
      <c r="AP398" s="139"/>
      <c r="AQ398" s="139"/>
      <c r="AR398" s="139"/>
      <c r="AS398" s="139"/>
      <c r="AT398" s="139"/>
      <c r="AU398" s="139"/>
      <c r="AV398" s="139"/>
      <c r="AW398" s="139"/>
      <c r="AX398" s="139"/>
      <c r="AY398" s="139"/>
      <c r="AZ398" s="139"/>
      <c r="BA398" s="139"/>
      <c r="BB398" s="139"/>
      <c r="BC398" s="139"/>
      <c r="BD398" s="139"/>
      <c r="BE398" s="139"/>
      <c r="BF398" s="139"/>
      <c r="BG398" s="139"/>
      <c r="BH398" s="139"/>
    </row>
    <row r="399" spans="2:60" s="11" customFormat="1" ht="19.899999999999999" customHeight="1">
      <c r="B399" s="5590"/>
      <c r="C399" s="5598"/>
      <c r="D399" s="9598" t="s">
        <v>140</v>
      </c>
      <c r="E399" s="9600"/>
      <c r="F399" s="87" t="s">
        <v>255</v>
      </c>
      <c r="G399" s="253"/>
      <c r="H399" s="286"/>
      <c r="I399" s="9582" t="s">
        <v>141</v>
      </c>
      <c r="J399" s="9583"/>
      <c r="K399" s="280" t="s">
        <v>307</v>
      </c>
      <c r="L399" s="5967" t="s">
        <v>168</v>
      </c>
      <c r="M399" s="5656" t="s">
        <v>641</v>
      </c>
      <c r="N399" s="5593" t="s">
        <v>168</v>
      </c>
      <c r="O399" s="5593" t="s">
        <v>641</v>
      </c>
      <c r="P399" s="5593" t="s">
        <v>168</v>
      </c>
      <c r="Q399" s="5948" t="s">
        <v>641</v>
      </c>
      <c r="R399" s="2468"/>
      <c r="S399" s="276"/>
      <c r="T399" s="99"/>
      <c r="U399" s="138"/>
      <c r="V399" s="138"/>
      <c r="W399" s="99"/>
      <c r="X399" s="264"/>
      <c r="Y399" s="277"/>
      <c r="Z399" s="187"/>
      <c r="AA399" s="6301"/>
      <c r="AB399" s="139"/>
      <c r="AC399" s="139"/>
      <c r="AD399" s="139"/>
      <c r="AE399" s="139"/>
      <c r="AF399" s="139"/>
      <c r="AG399" s="139"/>
      <c r="AH399" s="139"/>
      <c r="AI399" s="139"/>
      <c r="AJ399" s="139"/>
      <c r="AK399" s="139"/>
      <c r="AL399" s="139"/>
      <c r="AM399" s="139"/>
      <c r="AN399" s="139"/>
      <c r="AO399" s="139"/>
      <c r="AP399" s="139"/>
      <c r="AQ399" s="139"/>
      <c r="AR399" s="139"/>
      <c r="AS399" s="139"/>
      <c r="AT399" s="139"/>
      <c r="AU399" s="139"/>
      <c r="AV399" s="139"/>
      <c r="AW399" s="139"/>
      <c r="AX399" s="139"/>
      <c r="AY399" s="139"/>
      <c r="AZ399" s="139"/>
      <c r="BA399" s="139"/>
      <c r="BB399" s="139"/>
      <c r="BC399" s="139"/>
      <c r="BD399" s="139"/>
      <c r="BE399" s="139"/>
      <c r="BF399" s="139"/>
      <c r="BG399" s="139"/>
      <c r="BH399" s="139"/>
    </row>
    <row r="400" spans="2:60" s="11" customFormat="1" ht="19.899999999999999" customHeight="1">
      <c r="B400" s="5590"/>
      <c r="C400" s="5598"/>
      <c r="D400" s="9598" t="s">
        <v>143</v>
      </c>
      <c r="E400" s="9600"/>
      <c r="F400" s="87" t="s">
        <v>255</v>
      </c>
      <c r="G400" s="253"/>
      <c r="H400" s="286"/>
      <c r="I400" s="9582" t="s">
        <v>144</v>
      </c>
      <c r="J400" s="9583"/>
      <c r="K400" s="280" t="s">
        <v>307</v>
      </c>
      <c r="L400" s="5592"/>
      <c r="M400" s="5656"/>
      <c r="N400" s="5593"/>
      <c r="O400" s="5593"/>
      <c r="P400" s="5593"/>
      <c r="Q400" s="5948"/>
      <c r="R400" s="2468"/>
      <c r="S400" s="276"/>
      <c r="T400" s="99"/>
      <c r="U400" s="138"/>
      <c r="V400" s="138"/>
      <c r="W400" s="99"/>
      <c r="X400" s="264"/>
      <c r="Y400" s="277"/>
      <c r="Z400" s="187"/>
      <c r="AA400" s="6301"/>
      <c r="AB400" s="139"/>
      <c r="AC400" s="139"/>
      <c r="AD400" s="139"/>
      <c r="AE400" s="139"/>
      <c r="AF400" s="139"/>
      <c r="AG400" s="139"/>
      <c r="AH400" s="139"/>
      <c r="AI400" s="139"/>
      <c r="AJ400" s="139"/>
      <c r="AK400" s="139"/>
      <c r="AL400" s="139"/>
      <c r="AM400" s="139"/>
      <c r="AN400" s="139"/>
      <c r="AO400" s="139"/>
      <c r="AP400" s="139"/>
      <c r="AQ400" s="139"/>
      <c r="AR400" s="139"/>
      <c r="AS400" s="139"/>
      <c r="AT400" s="139"/>
      <c r="AU400" s="139"/>
      <c r="AV400" s="139"/>
      <c r="AW400" s="139"/>
      <c r="AX400" s="139"/>
      <c r="AY400" s="139"/>
      <c r="AZ400" s="139"/>
      <c r="BA400" s="139"/>
      <c r="BB400" s="139"/>
      <c r="BC400" s="139"/>
      <c r="BD400" s="139"/>
      <c r="BE400" s="139"/>
      <c r="BF400" s="139"/>
      <c r="BG400" s="139"/>
      <c r="BH400" s="139"/>
    </row>
    <row r="401" spans="2:60" s="11" customFormat="1" ht="19.899999999999999" customHeight="1">
      <c r="B401" s="5590"/>
      <c r="C401" s="5598"/>
      <c r="D401" s="9598" t="s">
        <v>631</v>
      </c>
      <c r="E401" s="9600"/>
      <c r="F401" s="87" t="s">
        <v>255</v>
      </c>
      <c r="G401" s="253"/>
      <c r="H401" s="286"/>
      <c r="I401" s="9582" t="s">
        <v>147</v>
      </c>
      <c r="J401" s="9583"/>
      <c r="K401" s="280" t="s">
        <v>307</v>
      </c>
      <c r="L401" s="5967" t="s">
        <v>168</v>
      </c>
      <c r="M401" s="5656" t="s">
        <v>641</v>
      </c>
      <c r="N401" s="5593" t="s">
        <v>168</v>
      </c>
      <c r="O401" s="5593" t="s">
        <v>641</v>
      </c>
      <c r="P401" s="5593" t="s">
        <v>168</v>
      </c>
      <c r="Q401" s="5948" t="s">
        <v>641</v>
      </c>
      <c r="R401" s="2468"/>
      <c r="S401" s="276"/>
      <c r="T401" s="99"/>
      <c r="U401" s="138"/>
      <c r="V401" s="138"/>
      <c r="W401" s="99"/>
      <c r="X401" s="264"/>
      <c r="Y401" s="277"/>
      <c r="Z401" s="187"/>
      <c r="AA401" s="6301"/>
      <c r="AB401" s="139"/>
      <c r="AC401" s="139"/>
      <c r="AD401" s="139"/>
      <c r="AE401" s="139"/>
      <c r="AF401" s="139"/>
      <c r="AG401" s="139"/>
      <c r="AH401" s="139"/>
      <c r="AI401" s="139"/>
      <c r="AJ401" s="139"/>
      <c r="AK401" s="139"/>
      <c r="AL401" s="139"/>
      <c r="AM401" s="139"/>
      <c r="AN401" s="139"/>
      <c r="AO401" s="139"/>
      <c r="AP401" s="139"/>
      <c r="AQ401" s="139"/>
      <c r="AR401" s="139"/>
      <c r="AS401" s="139"/>
      <c r="AT401" s="139"/>
      <c r="AU401" s="139"/>
      <c r="AV401" s="139"/>
      <c r="AW401" s="139"/>
      <c r="AX401" s="139"/>
      <c r="AY401" s="139"/>
      <c r="AZ401" s="139"/>
      <c r="BA401" s="139"/>
      <c r="BB401" s="139"/>
      <c r="BC401" s="139"/>
      <c r="BD401" s="139"/>
      <c r="BE401" s="139"/>
      <c r="BF401" s="139"/>
      <c r="BG401" s="139"/>
      <c r="BH401" s="139"/>
    </row>
    <row r="402" spans="2:60" s="11" customFormat="1" ht="19.899999999999999" customHeight="1" thickBot="1">
      <c r="B402" s="5590"/>
      <c r="C402" s="5598"/>
      <c r="D402" s="9598" t="s">
        <v>633</v>
      </c>
      <c r="E402" s="9600"/>
      <c r="F402" s="87" t="s">
        <v>255</v>
      </c>
      <c r="G402" s="253"/>
      <c r="H402" s="1988"/>
      <c r="I402" s="9582" t="s">
        <v>150</v>
      </c>
      <c r="J402" s="9583"/>
      <c r="K402" s="280" t="s">
        <v>307</v>
      </c>
      <c r="L402" s="5592">
        <v>2.8899999999999864</v>
      </c>
      <c r="M402" s="5656"/>
      <c r="N402" s="5593">
        <v>34.900000000000006</v>
      </c>
      <c r="O402" s="5593"/>
      <c r="P402" s="5593">
        <v>44.900000000000006</v>
      </c>
      <c r="Q402" s="6105"/>
      <c r="R402" s="2468"/>
      <c r="S402" s="276"/>
      <c r="T402" s="99"/>
      <c r="U402" s="138"/>
      <c r="V402" s="138"/>
      <c r="W402" s="99"/>
      <c r="X402" s="264"/>
      <c r="Y402" s="277"/>
      <c r="Z402" s="187"/>
      <c r="AA402" s="6301"/>
      <c r="AB402" s="139"/>
      <c r="AC402" s="139"/>
      <c r="AD402" s="139"/>
      <c r="AE402" s="139"/>
      <c r="AF402" s="139"/>
      <c r="AG402" s="139"/>
      <c r="AH402" s="139"/>
      <c r="AI402" s="139"/>
      <c r="AJ402" s="139"/>
      <c r="AK402" s="139"/>
      <c r="AL402" s="139"/>
      <c r="AM402" s="139"/>
      <c r="AN402" s="139"/>
      <c r="AO402" s="139"/>
      <c r="AP402" s="139"/>
      <c r="AQ402" s="139"/>
      <c r="AR402" s="139"/>
      <c r="AS402" s="139"/>
      <c r="AT402" s="139"/>
      <c r="AU402" s="139"/>
      <c r="AV402" s="139"/>
      <c r="AW402" s="139"/>
      <c r="AX402" s="139"/>
      <c r="AY402" s="139"/>
      <c r="AZ402" s="139"/>
      <c r="BA402" s="139"/>
      <c r="BB402" s="139"/>
      <c r="BC402" s="139"/>
      <c r="BD402" s="139"/>
      <c r="BE402" s="139"/>
      <c r="BF402" s="139"/>
      <c r="BG402" s="139"/>
      <c r="BH402" s="139"/>
    </row>
    <row r="403" spans="2:60" s="11" customFormat="1" ht="27" thickBot="1">
      <c r="B403" s="123" t="s">
        <v>341</v>
      </c>
      <c r="C403" s="124"/>
      <c r="D403" s="124"/>
      <c r="E403" s="124"/>
      <c r="F403" s="1637"/>
      <c r="G403" s="428" t="s">
        <v>342</v>
      </c>
      <c r="H403" s="429"/>
      <c r="I403" s="429"/>
      <c r="J403" s="429"/>
      <c r="K403" s="430"/>
      <c r="L403" s="5611"/>
      <c r="M403" s="5612"/>
      <c r="N403" s="5612"/>
      <c r="O403" s="5612"/>
      <c r="P403" s="5612"/>
      <c r="Q403" s="6106"/>
      <c r="R403" s="80"/>
      <c r="S403" s="432"/>
      <c r="T403" s="1641"/>
      <c r="U403" s="1641"/>
      <c r="V403" s="1641"/>
      <c r="W403" s="1641"/>
      <c r="X403" s="328"/>
      <c r="Y403" s="328"/>
      <c r="Z403" s="329"/>
      <c r="AA403" s="6301"/>
      <c r="AB403" s="139"/>
      <c r="AC403" s="139"/>
      <c r="AD403" s="139"/>
      <c r="AE403" s="139"/>
      <c r="AF403" s="139"/>
      <c r="AG403" s="139"/>
      <c r="AH403" s="139"/>
      <c r="AI403" s="139"/>
      <c r="AJ403" s="139"/>
      <c r="AK403" s="139"/>
      <c r="AL403" s="139"/>
      <c r="AM403" s="139"/>
      <c r="AN403" s="139"/>
      <c r="AO403" s="139"/>
      <c r="AP403" s="139"/>
      <c r="AQ403" s="139"/>
      <c r="AR403" s="139"/>
      <c r="AS403" s="139"/>
      <c r="AT403" s="139"/>
      <c r="AU403" s="139"/>
      <c r="AV403" s="139"/>
      <c r="AW403" s="139"/>
      <c r="AX403" s="139"/>
      <c r="AY403" s="139"/>
      <c r="AZ403" s="139"/>
      <c r="BA403" s="139"/>
      <c r="BB403" s="139"/>
      <c r="BC403" s="139"/>
      <c r="BD403" s="139"/>
      <c r="BE403" s="139"/>
      <c r="BF403" s="139"/>
      <c r="BG403" s="139"/>
      <c r="BH403" s="139"/>
    </row>
    <row r="404" spans="2:60" s="11" customFormat="1" ht="20.100000000000001" customHeight="1">
      <c r="B404" s="1359"/>
      <c r="C404" s="9664" t="s">
        <v>343</v>
      </c>
      <c r="D404" s="9664"/>
      <c r="E404" s="9664"/>
      <c r="F404" s="492" t="s">
        <v>344</v>
      </c>
      <c r="G404" s="434"/>
      <c r="H404" s="9664" t="s">
        <v>345</v>
      </c>
      <c r="I404" s="9664"/>
      <c r="J404" s="9664"/>
      <c r="K404" s="636" t="s">
        <v>344</v>
      </c>
      <c r="L404" s="5653">
        <f>IF(COUNTBLANK(L405:L410)&gt;0,"미취합법인有",SUM(L405:L410))</f>
        <v>373402.41749081237</v>
      </c>
      <c r="M404" s="5657"/>
      <c r="N404" s="5654">
        <f>IF(COUNTBLANK(N405:N410)&gt;0,"미취합법인有",SUM(N405:N410))</f>
        <v>1072013.2480843607</v>
      </c>
      <c r="O404" s="5663"/>
      <c r="P404" s="5781">
        <f>IF(COUNTBLANK(P405:P410)&gt;0,"미취합법인有",SUM(P405:P410))</f>
        <v>1172322.9169900522</v>
      </c>
      <c r="Q404" s="785"/>
      <c r="R404" s="2471" t="s">
        <v>346</v>
      </c>
      <c r="S404" s="443" t="s">
        <v>347</v>
      </c>
      <c r="T404" s="808" t="s">
        <v>206</v>
      </c>
      <c r="U404" s="138"/>
      <c r="V404" s="138"/>
      <c r="W404" s="99"/>
      <c r="X404" s="346" t="s">
        <v>348</v>
      </c>
      <c r="Y404" s="265" t="s">
        <v>349</v>
      </c>
      <c r="Z404" s="187" t="s">
        <v>350</v>
      </c>
      <c r="AA404" s="6301"/>
      <c r="AB404" s="139"/>
      <c r="AC404" s="139"/>
      <c r="AD404" s="139"/>
      <c r="AE404" s="139"/>
      <c r="AF404" s="139"/>
      <c r="AG404" s="139"/>
      <c r="AH404" s="139"/>
      <c r="AI404" s="139"/>
      <c r="AJ404" s="139"/>
      <c r="AK404" s="139"/>
      <c r="AL404" s="139"/>
      <c r="AM404" s="139"/>
      <c r="AN404" s="139"/>
      <c r="AO404" s="139"/>
      <c r="AP404" s="139"/>
      <c r="AQ404" s="139"/>
      <c r="AR404" s="139"/>
      <c r="AS404" s="139"/>
      <c r="AT404" s="139"/>
      <c r="AU404" s="139"/>
      <c r="AV404" s="139"/>
      <c r="AW404" s="139"/>
      <c r="AX404" s="139"/>
      <c r="AY404" s="139"/>
      <c r="AZ404" s="139"/>
      <c r="BA404" s="139"/>
      <c r="BB404" s="139"/>
      <c r="BC404" s="139"/>
      <c r="BD404" s="139"/>
      <c r="BE404" s="139"/>
      <c r="BF404" s="139"/>
      <c r="BG404" s="139"/>
      <c r="BH404" s="139"/>
    </row>
    <row r="405" spans="2:60" s="11" customFormat="1" ht="19.899999999999999" customHeight="1">
      <c r="B405" s="5590"/>
      <c r="C405" s="9647" t="s">
        <v>134</v>
      </c>
      <c r="D405" s="9648"/>
      <c r="E405" s="9649"/>
      <c r="F405" s="492" t="s">
        <v>344</v>
      </c>
      <c r="G405" s="253"/>
      <c r="H405" s="9579" t="s">
        <v>135</v>
      </c>
      <c r="I405" s="9580"/>
      <c r="J405" s="9581"/>
      <c r="K405" s="5732" t="s">
        <v>344</v>
      </c>
      <c r="L405" s="5592">
        <v>27681</v>
      </c>
      <c r="M405" s="5656"/>
      <c r="N405" s="5593">
        <v>664460</v>
      </c>
      <c r="O405" s="5656"/>
      <c r="P405" s="5593">
        <v>699683</v>
      </c>
      <c r="Q405" s="5656"/>
      <c r="R405" s="1033"/>
      <c r="S405" s="263"/>
      <c r="T405" s="99"/>
      <c r="U405" s="138"/>
      <c r="V405" s="138"/>
      <c r="W405" s="99"/>
      <c r="X405" s="264"/>
      <c r="Y405" s="277"/>
      <c r="Z405" s="187"/>
      <c r="AA405" s="6301"/>
      <c r="AB405" s="139"/>
      <c r="AC405" s="139"/>
      <c r="AD405" s="139"/>
      <c r="AE405" s="139"/>
      <c r="AF405" s="139"/>
      <c r="AG405" s="139"/>
      <c r="AH405" s="139"/>
      <c r="AI405" s="139"/>
      <c r="AJ405" s="139"/>
      <c r="AK405" s="139"/>
      <c r="AL405" s="139"/>
      <c r="AM405" s="139"/>
      <c r="AN405" s="139"/>
      <c r="AO405" s="139"/>
      <c r="AP405" s="139"/>
      <c r="AQ405" s="139"/>
      <c r="AR405" s="139"/>
      <c r="AS405" s="139"/>
      <c r="AT405" s="139"/>
      <c r="AU405" s="139"/>
      <c r="AV405" s="139"/>
      <c r="AW405" s="139"/>
      <c r="AX405" s="139"/>
      <c r="AY405" s="139"/>
      <c r="AZ405" s="139"/>
      <c r="BA405" s="139"/>
      <c r="BB405" s="139"/>
      <c r="BC405" s="139"/>
      <c r="BD405" s="139"/>
      <c r="BE405" s="139"/>
      <c r="BF405" s="139"/>
      <c r="BG405" s="139"/>
      <c r="BH405" s="139"/>
    </row>
    <row r="406" spans="2:60" s="11" customFormat="1" ht="19.899999999999999" customHeight="1">
      <c r="B406" s="5590"/>
      <c r="C406" s="9647" t="s">
        <v>137</v>
      </c>
      <c r="D406" s="9648"/>
      <c r="E406" s="9649"/>
      <c r="F406" s="492" t="s">
        <v>344</v>
      </c>
      <c r="G406" s="253"/>
      <c r="H406" s="9579" t="s">
        <v>138</v>
      </c>
      <c r="I406" s="9580"/>
      <c r="J406" s="9581"/>
      <c r="K406" s="6407" t="s">
        <v>351</v>
      </c>
      <c r="L406" s="5967" t="s">
        <v>168</v>
      </c>
      <c r="M406" s="5656" t="s">
        <v>678</v>
      </c>
      <c r="N406" s="5593" t="s">
        <v>168</v>
      </c>
      <c r="O406" s="5656" t="s">
        <v>678</v>
      </c>
      <c r="P406" s="6408">
        <v>1105</v>
      </c>
      <c r="Q406" s="5593"/>
      <c r="R406" s="1033"/>
      <c r="S406" s="263"/>
      <c r="T406" s="99"/>
      <c r="U406" s="138"/>
      <c r="V406" s="138"/>
      <c r="W406" s="99"/>
      <c r="X406" s="264"/>
      <c r="Y406" s="277"/>
      <c r="Z406" s="187"/>
      <c r="AA406" s="6301"/>
      <c r="AB406" s="6409" t="s">
        <v>352</v>
      </c>
      <c r="AC406" s="139"/>
      <c r="AD406" s="139"/>
      <c r="AE406" s="139"/>
      <c r="AF406" s="139"/>
      <c r="AG406" s="139"/>
      <c r="AH406" s="139"/>
      <c r="AI406" s="139"/>
      <c r="AJ406" s="139"/>
      <c r="AK406" s="139"/>
      <c r="AL406" s="139"/>
      <c r="AM406" s="139"/>
      <c r="AN406" s="139"/>
      <c r="AO406" s="139"/>
      <c r="AP406" s="139"/>
      <c r="AQ406" s="139"/>
      <c r="AR406" s="139"/>
      <c r="AS406" s="139"/>
      <c r="AT406" s="139"/>
      <c r="AU406" s="139"/>
      <c r="AV406" s="139"/>
      <c r="AW406" s="139"/>
      <c r="AX406" s="139"/>
      <c r="AY406" s="139"/>
      <c r="AZ406" s="139"/>
      <c r="BA406" s="139"/>
      <c r="BB406" s="139"/>
      <c r="BC406" s="139"/>
      <c r="BD406" s="139"/>
      <c r="BE406" s="139"/>
      <c r="BF406" s="139"/>
      <c r="BG406" s="139"/>
      <c r="BH406" s="139"/>
    </row>
    <row r="407" spans="2:60" s="11" customFormat="1" ht="19.899999999999999" customHeight="1">
      <c r="B407" s="5590"/>
      <c r="C407" s="9647" t="s">
        <v>140</v>
      </c>
      <c r="D407" s="9648"/>
      <c r="E407" s="9649"/>
      <c r="F407" s="492" t="s">
        <v>344</v>
      </c>
      <c r="G407" s="253"/>
      <c r="H407" s="9579" t="s">
        <v>141</v>
      </c>
      <c r="I407" s="9580"/>
      <c r="J407" s="9581"/>
      <c r="K407" s="5732" t="s">
        <v>344</v>
      </c>
      <c r="L407" s="5592">
        <v>213417.32351071289</v>
      </c>
      <c r="M407" s="5656"/>
      <c r="N407" s="5593">
        <v>157449.26107966571</v>
      </c>
      <c r="O407" s="5593"/>
      <c r="P407" s="5593">
        <v>200377.26086870869</v>
      </c>
      <c r="Q407" s="5593"/>
      <c r="R407" s="1033"/>
      <c r="S407" s="263"/>
      <c r="T407" s="99"/>
      <c r="U407" s="138"/>
      <c r="V407" s="138"/>
      <c r="W407" s="99"/>
      <c r="X407" s="264"/>
      <c r="Y407" s="277"/>
      <c r="Z407" s="187"/>
      <c r="AA407" s="6301"/>
      <c r="AB407" s="139"/>
      <c r="AC407" s="139"/>
      <c r="AD407" s="139"/>
      <c r="AE407" s="139"/>
      <c r="AF407" s="139"/>
      <c r="AG407" s="139"/>
      <c r="AH407" s="139"/>
      <c r="AI407" s="139"/>
      <c r="AJ407" s="139"/>
      <c r="AK407" s="139"/>
      <c r="AL407" s="139"/>
      <c r="AM407" s="139"/>
      <c r="AN407" s="139"/>
      <c r="AO407" s="139"/>
      <c r="AP407" s="139"/>
      <c r="AQ407" s="139"/>
      <c r="AR407" s="139"/>
      <c r="AS407" s="139"/>
      <c r="AT407" s="139"/>
      <c r="AU407" s="139"/>
      <c r="AV407" s="139"/>
      <c r="AW407" s="139"/>
      <c r="AX407" s="139"/>
      <c r="AY407" s="139"/>
      <c r="AZ407" s="139"/>
      <c r="BA407" s="139"/>
      <c r="BB407" s="139"/>
      <c r="BC407" s="139"/>
      <c r="BD407" s="139"/>
      <c r="BE407" s="139"/>
      <c r="BF407" s="139"/>
      <c r="BG407" s="139"/>
      <c r="BH407" s="139"/>
    </row>
    <row r="408" spans="2:60" s="11" customFormat="1" ht="19.899999999999999" customHeight="1">
      <c r="B408" s="5590"/>
      <c r="C408" s="9647" t="s">
        <v>143</v>
      </c>
      <c r="D408" s="9648"/>
      <c r="E408" s="9649"/>
      <c r="F408" s="492" t="s">
        <v>344</v>
      </c>
      <c r="G408" s="253"/>
      <c r="H408" s="9579" t="s">
        <v>144</v>
      </c>
      <c r="I408" s="9580"/>
      <c r="J408" s="9581"/>
      <c r="K408" s="5732" t="s">
        <v>344</v>
      </c>
      <c r="L408" s="5592">
        <v>36047.093980099504</v>
      </c>
      <c r="M408" s="5656"/>
      <c r="N408" s="5593">
        <v>64373.987004694834</v>
      </c>
      <c r="O408" s="5593"/>
      <c r="P408" s="5593">
        <v>76494.656121343447</v>
      </c>
      <c r="Q408" s="5593"/>
      <c r="R408" s="1033"/>
      <c r="S408" s="263"/>
      <c r="T408" s="99"/>
      <c r="U408" s="138"/>
      <c r="V408" s="138"/>
      <c r="W408" s="99"/>
      <c r="X408" s="264"/>
      <c r="Y408" s="277"/>
      <c r="Z408" s="187"/>
      <c r="AA408" s="6301"/>
      <c r="AB408" s="139"/>
      <c r="AC408" s="139"/>
      <c r="AD408" s="139"/>
      <c r="AE408" s="139"/>
      <c r="AF408" s="139"/>
      <c r="AG408" s="139"/>
      <c r="AH408" s="139"/>
      <c r="AI408" s="139"/>
      <c r="AJ408" s="139"/>
      <c r="AK408" s="139"/>
      <c r="AL408" s="139"/>
      <c r="AM408" s="139"/>
      <c r="AN408" s="139"/>
      <c r="AO408" s="139"/>
      <c r="AP408" s="139"/>
      <c r="AQ408" s="139"/>
      <c r="AR408" s="139"/>
      <c r="AS408" s="139"/>
      <c r="AT408" s="139"/>
      <c r="AU408" s="139"/>
      <c r="AV408" s="139"/>
      <c r="AW408" s="139"/>
      <c r="AX408" s="139"/>
      <c r="AY408" s="139"/>
      <c r="AZ408" s="139"/>
      <c r="BA408" s="139"/>
      <c r="BB408" s="139"/>
      <c r="BC408" s="139"/>
      <c r="BD408" s="139"/>
      <c r="BE408" s="139"/>
      <c r="BF408" s="139"/>
      <c r="BG408" s="139"/>
      <c r="BH408" s="139"/>
    </row>
    <row r="409" spans="2:60" s="11" customFormat="1" ht="19.899999999999999" customHeight="1">
      <c r="B409" s="5590"/>
      <c r="C409" s="9647" t="s">
        <v>631</v>
      </c>
      <c r="D409" s="9648"/>
      <c r="E409" s="9649"/>
      <c r="F409" s="492" t="s">
        <v>344</v>
      </c>
      <c r="G409" s="253"/>
      <c r="H409" s="9579" t="s">
        <v>147</v>
      </c>
      <c r="I409" s="9580"/>
      <c r="J409" s="9581"/>
      <c r="K409" s="5732" t="s">
        <v>344</v>
      </c>
      <c r="L409" s="5592">
        <v>55648</v>
      </c>
      <c r="M409" s="5656"/>
      <c r="N409" s="5593">
        <v>120457</v>
      </c>
      <c r="O409" s="5593"/>
      <c r="P409" s="5593">
        <v>134574</v>
      </c>
      <c r="Q409" s="5593"/>
      <c r="R409" s="1033"/>
      <c r="S409" s="263"/>
      <c r="T409" s="99"/>
      <c r="U409" s="138"/>
      <c r="V409" s="138"/>
      <c r="W409" s="99"/>
      <c r="X409" s="264"/>
      <c r="Y409" s="277"/>
      <c r="Z409" s="187"/>
      <c r="AA409" s="6301"/>
      <c r="AB409" s="139"/>
      <c r="AC409" s="139"/>
      <c r="AD409" s="139"/>
      <c r="AE409" s="139"/>
      <c r="AF409" s="139"/>
      <c r="AG409" s="139"/>
      <c r="AH409" s="139"/>
      <c r="AI409" s="139"/>
      <c r="AJ409" s="139"/>
      <c r="AK409" s="139"/>
      <c r="AL409" s="139"/>
      <c r="AM409" s="139"/>
      <c r="AN409" s="139"/>
      <c r="AO409" s="139"/>
      <c r="AP409" s="139"/>
      <c r="AQ409" s="139"/>
      <c r="AR409" s="139"/>
      <c r="AS409" s="139"/>
      <c r="AT409" s="139"/>
      <c r="AU409" s="139"/>
      <c r="AV409" s="139"/>
      <c r="AW409" s="139"/>
      <c r="AX409" s="139"/>
      <c r="AY409" s="139"/>
      <c r="AZ409" s="139"/>
      <c r="BA409" s="139"/>
      <c r="BB409" s="139"/>
      <c r="BC409" s="139"/>
      <c r="BD409" s="139"/>
      <c r="BE409" s="139"/>
      <c r="BF409" s="139"/>
      <c r="BG409" s="139"/>
      <c r="BH409" s="139"/>
    </row>
    <row r="410" spans="2:60" s="11" customFormat="1" ht="19.899999999999999" customHeight="1">
      <c r="B410" s="5590"/>
      <c r="C410" s="9647" t="s">
        <v>633</v>
      </c>
      <c r="D410" s="9648"/>
      <c r="E410" s="9649"/>
      <c r="F410" s="492" t="s">
        <v>344</v>
      </c>
      <c r="G410" s="253"/>
      <c r="H410" s="9579" t="s">
        <v>150</v>
      </c>
      <c r="I410" s="9580"/>
      <c r="J410" s="9581"/>
      <c r="K410" s="5732" t="s">
        <v>344</v>
      </c>
      <c r="L410" s="5592">
        <v>40609</v>
      </c>
      <c r="M410" s="5656"/>
      <c r="N410" s="5593">
        <v>65273</v>
      </c>
      <c r="O410" s="5593"/>
      <c r="P410" s="5593">
        <v>60089</v>
      </c>
      <c r="Q410" s="5593"/>
      <c r="R410" s="1033"/>
      <c r="S410" s="263"/>
      <c r="T410" s="99"/>
      <c r="U410" s="138"/>
      <c r="V410" s="138"/>
      <c r="W410" s="99"/>
      <c r="X410" s="264"/>
      <c r="Y410" s="277"/>
      <c r="Z410" s="187"/>
      <c r="AA410" s="6301"/>
      <c r="AB410" s="139"/>
      <c r="AC410" s="139"/>
      <c r="AD410" s="139"/>
      <c r="AE410" s="139"/>
      <c r="AF410" s="139"/>
      <c r="AG410" s="139"/>
      <c r="AH410" s="139"/>
      <c r="AI410" s="139"/>
      <c r="AJ410" s="139"/>
      <c r="AK410" s="139"/>
      <c r="AL410" s="139"/>
      <c r="AM410" s="139"/>
      <c r="AN410" s="139"/>
      <c r="AO410" s="139"/>
      <c r="AP410" s="139"/>
      <c r="AQ410" s="139"/>
      <c r="AR410" s="139"/>
      <c r="AS410" s="139"/>
      <c r="AT410" s="139"/>
      <c r="AU410" s="139"/>
      <c r="AV410" s="139"/>
      <c r="AW410" s="139"/>
      <c r="AX410" s="139"/>
      <c r="AY410" s="139"/>
      <c r="AZ410" s="139"/>
      <c r="BA410" s="139"/>
      <c r="BB410" s="139"/>
      <c r="BC410" s="139"/>
      <c r="BD410" s="139"/>
      <c r="BE410" s="139"/>
      <c r="BF410" s="139"/>
      <c r="BG410" s="139"/>
      <c r="BH410" s="139"/>
    </row>
    <row r="411" spans="2:60" s="11" customFormat="1" ht="20.100000000000001" customHeight="1">
      <c r="B411" s="1360"/>
      <c r="C411" s="5598"/>
      <c r="D411" s="9641" t="s">
        <v>679</v>
      </c>
      <c r="E411" s="9642"/>
      <c r="F411" s="492" t="s">
        <v>344</v>
      </c>
      <c r="G411" s="337"/>
      <c r="H411" s="358"/>
      <c r="I411" s="9641" t="s">
        <v>353</v>
      </c>
      <c r="J411" s="9642"/>
      <c r="K411" s="5732" t="s">
        <v>344</v>
      </c>
      <c r="L411" s="5653">
        <f>IF(COUNTBLANK(L412:L417)&gt;0,"미취합법인有",SUM(L412:L417))</f>
        <v>373402.41749081237</v>
      </c>
      <c r="M411" s="5657"/>
      <c r="N411" s="5654">
        <f>IF(COUNTBLANK(N412:N417)&gt;0,"미취합법인有",SUM(N412:N417))</f>
        <v>1072013.2480843607</v>
      </c>
      <c r="O411" s="5663"/>
      <c r="P411" s="5781">
        <f>IF(COUNTBLANK(P412:P417)&gt;0,"미취합법인有",SUM(P412:P417))</f>
        <v>1172322.9169900522</v>
      </c>
      <c r="Q411" s="785"/>
      <c r="R411" s="2471"/>
      <c r="S411" s="444"/>
      <c r="T411" s="1715" t="s">
        <v>206</v>
      </c>
      <c r="U411" s="138"/>
      <c r="V411" s="138"/>
      <c r="W411" s="99"/>
      <c r="X411" s="346" t="s">
        <v>354</v>
      </c>
      <c r="Y411" s="265" t="s">
        <v>349</v>
      </c>
      <c r="Z411" s="187"/>
      <c r="AA411" s="6301"/>
      <c r="AB411" s="139"/>
      <c r="AC411" s="139"/>
      <c r="AD411" s="139"/>
      <c r="AE411" s="139"/>
      <c r="AF411" s="139"/>
      <c r="AG411" s="139"/>
      <c r="AH411" s="139"/>
      <c r="AI411" s="139"/>
      <c r="AJ411" s="139"/>
      <c r="AK411" s="139"/>
      <c r="AL411" s="139"/>
      <c r="AM411" s="139"/>
      <c r="AN411" s="139"/>
      <c r="AO411" s="139"/>
      <c r="AP411" s="139"/>
      <c r="AQ411" s="139"/>
      <c r="AR411" s="139"/>
      <c r="AS411" s="139"/>
      <c r="AT411" s="139"/>
      <c r="AU411" s="139"/>
      <c r="AV411" s="139"/>
      <c r="AW411" s="139"/>
      <c r="AX411" s="139"/>
      <c r="AY411" s="139"/>
      <c r="AZ411" s="139"/>
      <c r="BA411" s="139"/>
      <c r="BB411" s="139"/>
      <c r="BC411" s="139"/>
      <c r="BD411" s="139"/>
      <c r="BE411" s="139"/>
      <c r="BF411" s="139"/>
      <c r="BG411" s="139"/>
      <c r="BH411" s="139"/>
    </row>
    <row r="412" spans="2:60" s="11" customFormat="1" ht="31.5" customHeight="1">
      <c r="B412" s="5590"/>
      <c r="C412" s="5598"/>
      <c r="D412" s="9598" t="s">
        <v>134</v>
      </c>
      <c r="E412" s="9600"/>
      <c r="F412" s="492" t="s">
        <v>344</v>
      </c>
      <c r="G412" s="253"/>
      <c r="H412" s="286"/>
      <c r="I412" s="9579" t="s">
        <v>135</v>
      </c>
      <c r="J412" s="9581"/>
      <c r="K412" s="5732" t="s">
        <v>344</v>
      </c>
      <c r="L412" s="5670">
        <v>27681</v>
      </c>
      <c r="M412" s="5671"/>
      <c r="N412" s="5672">
        <v>664460</v>
      </c>
      <c r="O412" s="5673"/>
      <c r="P412" s="5672">
        <v>699683</v>
      </c>
      <c r="Q412" s="5672"/>
      <c r="R412" s="2468"/>
      <c r="S412" s="276"/>
      <c r="T412" s="99"/>
      <c r="U412" s="138"/>
      <c r="V412" s="138"/>
      <c r="W412" s="99"/>
      <c r="X412" s="264"/>
      <c r="Y412" s="277"/>
      <c r="Z412" s="187"/>
      <c r="AA412" s="6301"/>
      <c r="AB412" s="139"/>
      <c r="AC412" s="139"/>
      <c r="AD412" s="139"/>
      <c r="AE412" s="139"/>
      <c r="AF412" s="139"/>
      <c r="AG412" s="139"/>
      <c r="AH412" s="139"/>
      <c r="AI412" s="139"/>
      <c r="AJ412" s="139"/>
      <c r="AK412" s="139"/>
      <c r="AL412" s="139"/>
      <c r="AM412" s="139"/>
      <c r="AN412" s="139"/>
      <c r="AO412" s="139"/>
      <c r="AP412" s="139"/>
      <c r="AQ412" s="139"/>
      <c r="AR412" s="139"/>
      <c r="AS412" s="139"/>
      <c r="AT412" s="139"/>
      <c r="AU412" s="139"/>
      <c r="AV412" s="139"/>
      <c r="AW412" s="139"/>
      <c r="AX412" s="139"/>
      <c r="AY412" s="139"/>
      <c r="AZ412" s="139"/>
      <c r="BA412" s="139"/>
      <c r="BB412" s="139"/>
      <c r="BC412" s="139"/>
      <c r="BD412" s="139"/>
      <c r="BE412" s="139"/>
      <c r="BF412" s="139"/>
      <c r="BG412" s="139"/>
      <c r="BH412" s="139"/>
    </row>
    <row r="413" spans="2:60" s="11" customFormat="1" ht="19.899999999999999" customHeight="1">
      <c r="B413" s="5590"/>
      <c r="C413" s="5598"/>
      <c r="D413" s="9598" t="s">
        <v>137</v>
      </c>
      <c r="E413" s="9600"/>
      <c r="F413" s="492" t="s">
        <v>344</v>
      </c>
      <c r="G413" s="253"/>
      <c r="H413" s="286"/>
      <c r="I413" s="9579" t="s">
        <v>138</v>
      </c>
      <c r="J413" s="9581"/>
      <c r="K413" s="5732" t="s">
        <v>344</v>
      </c>
      <c r="L413" s="5967" t="s">
        <v>168</v>
      </c>
      <c r="M413" s="5656" t="s">
        <v>678</v>
      </c>
      <c r="N413" s="5593" t="s">
        <v>168</v>
      </c>
      <c r="O413" s="5656" t="s">
        <v>678</v>
      </c>
      <c r="P413" s="5679">
        <v>1105</v>
      </c>
      <c r="Q413" s="1814"/>
      <c r="R413" s="2468"/>
      <c r="S413" s="276"/>
      <c r="T413" s="99"/>
      <c r="U413" s="138"/>
      <c r="V413" s="138"/>
      <c r="W413" s="99"/>
      <c r="X413" s="264"/>
      <c r="Y413" s="277"/>
      <c r="Z413" s="187"/>
      <c r="AA413" s="6301"/>
      <c r="AB413" s="139"/>
      <c r="AC413" s="139"/>
      <c r="AD413" s="139"/>
      <c r="AE413" s="139"/>
      <c r="AF413" s="139"/>
      <c r="AG413" s="139"/>
      <c r="AH413" s="139"/>
      <c r="AI413" s="139"/>
      <c r="AJ413" s="139"/>
      <c r="AK413" s="139"/>
      <c r="AL413" s="139"/>
      <c r="AM413" s="139"/>
      <c r="AN413" s="139"/>
      <c r="AO413" s="139"/>
      <c r="AP413" s="139"/>
      <c r="AQ413" s="139"/>
      <c r="AR413" s="139"/>
      <c r="AS413" s="139"/>
      <c r="AT413" s="139"/>
      <c r="AU413" s="139"/>
      <c r="AV413" s="139"/>
      <c r="AW413" s="139"/>
      <c r="AX413" s="139"/>
      <c r="AY413" s="139"/>
      <c r="AZ413" s="139"/>
      <c r="BA413" s="139"/>
      <c r="BB413" s="139"/>
      <c r="BC413" s="139"/>
      <c r="BD413" s="139"/>
      <c r="BE413" s="139"/>
      <c r="BF413" s="139"/>
      <c r="BG413" s="139"/>
      <c r="BH413" s="139"/>
    </row>
    <row r="414" spans="2:60" s="11" customFormat="1" ht="19.899999999999999" customHeight="1">
      <c r="B414" s="5590"/>
      <c r="C414" s="5598"/>
      <c r="D414" s="9598" t="s">
        <v>140</v>
      </c>
      <c r="E414" s="9600"/>
      <c r="F414" s="492" t="s">
        <v>344</v>
      </c>
      <c r="G414" s="253"/>
      <c r="H414" s="286"/>
      <c r="I414" s="9582" t="s">
        <v>141</v>
      </c>
      <c r="J414" s="9583"/>
      <c r="K414" s="5732" t="s">
        <v>344</v>
      </c>
      <c r="L414" s="2557">
        <v>213417.32351071289</v>
      </c>
      <c r="M414" s="5610"/>
      <c r="N414" s="2554">
        <v>157449.26107966571</v>
      </c>
      <c r="O414" s="2815"/>
      <c r="P414" s="5666">
        <v>200377.26086870869</v>
      </c>
      <c r="Q414" s="2554"/>
      <c r="R414" s="2468"/>
      <c r="S414" s="276"/>
      <c r="T414" s="99"/>
      <c r="U414" s="138"/>
      <c r="V414" s="138"/>
      <c r="W414" s="99"/>
      <c r="X414" s="264"/>
      <c r="Y414" s="277"/>
      <c r="Z414" s="187"/>
      <c r="AA414" s="6301"/>
      <c r="AB414" s="139"/>
      <c r="AC414" s="139"/>
      <c r="AD414" s="139"/>
      <c r="AE414" s="139"/>
      <c r="AF414" s="139"/>
      <c r="AG414" s="139"/>
      <c r="AH414" s="139"/>
      <c r="AI414" s="139"/>
      <c r="AJ414" s="139"/>
      <c r="AK414" s="139"/>
      <c r="AL414" s="139"/>
      <c r="AM414" s="139"/>
      <c r="AN414" s="139"/>
      <c r="AO414" s="139"/>
      <c r="AP414" s="139"/>
      <c r="AQ414" s="139"/>
      <c r="AR414" s="139"/>
      <c r="AS414" s="139"/>
      <c r="AT414" s="139"/>
      <c r="AU414" s="139"/>
      <c r="AV414" s="139"/>
      <c r="AW414" s="139"/>
      <c r="AX414" s="139"/>
      <c r="AY414" s="139"/>
      <c r="AZ414" s="139"/>
      <c r="BA414" s="139"/>
      <c r="BB414" s="139"/>
      <c r="BC414" s="139"/>
      <c r="BD414" s="139"/>
      <c r="BE414" s="139"/>
      <c r="BF414" s="139"/>
      <c r="BG414" s="139"/>
      <c r="BH414" s="139"/>
    </row>
    <row r="415" spans="2:60" s="11" customFormat="1" ht="19.899999999999999" customHeight="1">
      <c r="B415" s="5590"/>
      <c r="C415" s="5598"/>
      <c r="D415" s="9598" t="s">
        <v>143</v>
      </c>
      <c r="E415" s="9600"/>
      <c r="F415" s="492" t="s">
        <v>344</v>
      </c>
      <c r="G415" s="253"/>
      <c r="H415" s="286"/>
      <c r="I415" s="9582" t="s">
        <v>144</v>
      </c>
      <c r="J415" s="9583"/>
      <c r="K415" s="5732" t="s">
        <v>344</v>
      </c>
      <c r="L415" s="5592">
        <v>36047.093980099504</v>
      </c>
      <c r="M415" s="5656"/>
      <c r="N415" s="5593">
        <v>64373.987004694834</v>
      </c>
      <c r="O415" s="5593"/>
      <c r="P415" s="5593">
        <v>76494.656121343447</v>
      </c>
      <c r="Q415" s="5593"/>
      <c r="R415" s="2468"/>
      <c r="S415" s="276"/>
      <c r="T415" s="99"/>
      <c r="U415" s="138"/>
      <c r="V415" s="138"/>
      <c r="W415" s="99"/>
      <c r="X415" s="264"/>
      <c r="Y415" s="277"/>
      <c r="Z415" s="187"/>
      <c r="AA415" s="6301"/>
      <c r="AB415" s="139"/>
      <c r="AC415" s="139"/>
      <c r="AD415" s="139"/>
      <c r="AE415" s="139"/>
      <c r="AF415" s="139"/>
      <c r="AG415" s="139"/>
      <c r="AH415" s="139"/>
      <c r="AI415" s="139"/>
      <c r="AJ415" s="139"/>
      <c r="AK415" s="139"/>
      <c r="AL415" s="139"/>
      <c r="AM415" s="139"/>
      <c r="AN415" s="139"/>
      <c r="AO415" s="139"/>
      <c r="AP415" s="139"/>
      <c r="AQ415" s="139"/>
      <c r="AR415" s="139"/>
      <c r="AS415" s="139"/>
      <c r="AT415" s="139"/>
      <c r="AU415" s="139"/>
      <c r="AV415" s="139"/>
      <c r="AW415" s="139"/>
      <c r="AX415" s="139"/>
      <c r="AY415" s="139"/>
      <c r="AZ415" s="139"/>
      <c r="BA415" s="139"/>
      <c r="BB415" s="139"/>
      <c r="BC415" s="139"/>
      <c r="BD415" s="139"/>
      <c r="BE415" s="139"/>
      <c r="BF415" s="139"/>
      <c r="BG415" s="139"/>
      <c r="BH415" s="139"/>
    </row>
    <row r="416" spans="2:60" s="11" customFormat="1" ht="19.899999999999999" customHeight="1">
      <c r="B416" s="5590"/>
      <c r="C416" s="5598"/>
      <c r="D416" s="9598" t="s">
        <v>631</v>
      </c>
      <c r="E416" s="9600"/>
      <c r="F416" s="492" t="s">
        <v>344</v>
      </c>
      <c r="G416" s="253"/>
      <c r="H416" s="286"/>
      <c r="I416" s="9582" t="s">
        <v>147</v>
      </c>
      <c r="J416" s="9583"/>
      <c r="K416" s="5732" t="s">
        <v>344</v>
      </c>
      <c r="L416" s="5592">
        <v>55648</v>
      </c>
      <c r="M416" s="5656"/>
      <c r="N416" s="5593">
        <v>120457</v>
      </c>
      <c r="O416" s="5593"/>
      <c r="P416" s="5593">
        <v>134574</v>
      </c>
      <c r="Q416" s="5593"/>
      <c r="R416" s="2468"/>
      <c r="S416" s="276"/>
      <c r="T416" s="99"/>
      <c r="U416" s="138"/>
      <c r="V416" s="138"/>
      <c r="W416" s="99"/>
      <c r="X416" s="264"/>
      <c r="Y416" s="277"/>
      <c r="Z416" s="187"/>
      <c r="AA416" s="6301"/>
      <c r="AB416" s="139"/>
      <c r="AC416" s="139"/>
      <c r="AD416" s="139"/>
      <c r="AE416" s="139"/>
      <c r="AF416" s="139"/>
      <c r="AG416" s="139"/>
      <c r="AH416" s="139"/>
      <c r="AI416" s="139"/>
      <c r="AJ416" s="139"/>
      <c r="AK416" s="139"/>
      <c r="AL416" s="139"/>
      <c r="AM416" s="139"/>
      <c r="AN416" s="139"/>
      <c r="AO416" s="139"/>
      <c r="AP416" s="139"/>
      <c r="AQ416" s="139"/>
      <c r="AR416" s="139"/>
      <c r="AS416" s="139"/>
      <c r="AT416" s="139"/>
      <c r="AU416" s="139"/>
      <c r="AV416" s="139"/>
      <c r="AW416" s="139"/>
      <c r="AX416" s="139"/>
      <c r="AY416" s="139"/>
      <c r="AZ416" s="139"/>
      <c r="BA416" s="139"/>
      <c r="BB416" s="139"/>
      <c r="BC416" s="139"/>
      <c r="BD416" s="139"/>
      <c r="BE416" s="139"/>
      <c r="BF416" s="139"/>
      <c r="BG416" s="139"/>
      <c r="BH416" s="139"/>
    </row>
    <row r="417" spans="2:60" s="11" customFormat="1" ht="19.899999999999999" customHeight="1">
      <c r="B417" s="5590"/>
      <c r="C417" s="5598"/>
      <c r="D417" s="9598" t="s">
        <v>633</v>
      </c>
      <c r="E417" s="9600"/>
      <c r="F417" s="492" t="s">
        <v>344</v>
      </c>
      <c r="G417" s="253"/>
      <c r="H417" s="286"/>
      <c r="I417" s="9582" t="s">
        <v>150</v>
      </c>
      <c r="J417" s="9583"/>
      <c r="K417" s="5732" t="s">
        <v>344</v>
      </c>
      <c r="L417" s="5592">
        <v>40609</v>
      </c>
      <c r="M417" s="5656"/>
      <c r="N417" s="5593">
        <v>65273</v>
      </c>
      <c r="O417" s="5593"/>
      <c r="P417" s="5593">
        <v>60089</v>
      </c>
      <c r="Q417" s="5593"/>
      <c r="R417" s="2468"/>
      <c r="S417" s="276"/>
      <c r="T417" s="99"/>
      <c r="U417" s="138"/>
      <c r="V417" s="138"/>
      <c r="W417" s="99"/>
      <c r="X417" s="264"/>
      <c r="Y417" s="277"/>
      <c r="Z417" s="187"/>
      <c r="AA417" s="6301"/>
      <c r="AB417" s="139"/>
      <c r="AC417" s="139"/>
      <c r="AD417" s="139"/>
      <c r="AE417" s="139"/>
      <c r="AF417" s="139"/>
      <c r="AG417" s="139"/>
      <c r="AH417" s="139"/>
      <c r="AI417" s="139"/>
      <c r="AJ417" s="139"/>
      <c r="AK417" s="139"/>
      <c r="AL417" s="139"/>
      <c r="AM417" s="139"/>
      <c r="AN417" s="139"/>
      <c r="AO417" s="139"/>
      <c r="AP417" s="139"/>
      <c r="AQ417" s="139"/>
      <c r="AR417" s="139"/>
      <c r="AS417" s="139"/>
      <c r="AT417" s="139"/>
      <c r="AU417" s="139"/>
      <c r="AV417" s="139"/>
      <c r="AW417" s="139"/>
      <c r="AX417" s="139"/>
      <c r="AY417" s="139"/>
      <c r="AZ417" s="139"/>
      <c r="BA417" s="139"/>
      <c r="BB417" s="139"/>
      <c r="BC417" s="139"/>
      <c r="BD417" s="139"/>
      <c r="BE417" s="139"/>
      <c r="BF417" s="139"/>
      <c r="BG417" s="139"/>
      <c r="BH417" s="139"/>
    </row>
    <row r="418" spans="2:60" s="11" customFormat="1" ht="20.100000000000001" customHeight="1">
      <c r="B418" s="1360"/>
      <c r="C418" s="5598"/>
      <c r="D418" s="9665" t="s">
        <v>355</v>
      </c>
      <c r="E418" s="9666"/>
      <c r="F418" s="492" t="s">
        <v>344</v>
      </c>
      <c r="G418" s="337"/>
      <c r="H418" s="358"/>
      <c r="I418" s="9641" t="s">
        <v>356</v>
      </c>
      <c r="J418" s="9642"/>
      <c r="K418" s="5732" t="s">
        <v>344</v>
      </c>
      <c r="L418" s="5653" t="str">
        <f>IF(COUNTBLANK(L419:L424)&gt;0,"미취합법인有",SUM(L419:L424))</f>
        <v>미취합법인有</v>
      </c>
      <c r="M418" s="5657"/>
      <c r="N418" s="5654" t="str">
        <f>IF(COUNTBLANK(N419:N424)&gt;0,"미취합법인有",SUM(N419:N424))</f>
        <v>미취합법인有</v>
      </c>
      <c r="O418" s="5663"/>
      <c r="P418" s="5781" t="str">
        <f>IF(COUNTBLANK(P419:P424)&gt;0,"미취합법인有",SUM(P419:P424))</f>
        <v>미취합법인有</v>
      </c>
      <c r="Q418" s="785"/>
      <c r="R418" s="2471"/>
      <c r="S418" s="444"/>
      <c r="T418" s="1715" t="s">
        <v>206</v>
      </c>
      <c r="U418" s="138"/>
      <c r="V418" s="138"/>
      <c r="W418" s="99"/>
      <c r="X418" s="346" t="s">
        <v>354</v>
      </c>
      <c r="Y418" s="265"/>
      <c r="Z418" s="187"/>
      <c r="AA418" s="6301"/>
      <c r="AB418" s="139"/>
      <c r="AC418" s="139"/>
      <c r="AD418" s="139"/>
      <c r="AE418" s="139"/>
      <c r="AF418" s="139"/>
      <c r="AG418" s="139"/>
      <c r="AH418" s="139"/>
      <c r="AI418" s="139"/>
      <c r="AJ418" s="139"/>
      <c r="AK418" s="139"/>
      <c r="AL418" s="139"/>
      <c r="AM418" s="139"/>
      <c r="AN418" s="139"/>
      <c r="AO418" s="139"/>
      <c r="AP418" s="139"/>
      <c r="AQ418" s="139"/>
      <c r="AR418" s="139"/>
      <c r="AS418" s="139"/>
      <c r="AT418" s="139"/>
      <c r="AU418" s="139"/>
      <c r="AV418" s="139"/>
      <c r="AW418" s="139"/>
      <c r="AX418" s="139"/>
      <c r="AY418" s="139"/>
      <c r="AZ418" s="139"/>
      <c r="BA418" s="139"/>
      <c r="BB418" s="139"/>
      <c r="BC418" s="139"/>
      <c r="BD418" s="139"/>
      <c r="BE418" s="139"/>
      <c r="BF418" s="139"/>
      <c r="BG418" s="139"/>
      <c r="BH418" s="139"/>
    </row>
    <row r="419" spans="2:60" s="11" customFormat="1" ht="19.899999999999999" customHeight="1">
      <c r="B419" s="5590"/>
      <c r="C419" s="5598"/>
      <c r="D419" s="9598" t="s">
        <v>134</v>
      </c>
      <c r="E419" s="9600"/>
      <c r="F419" s="492" t="s">
        <v>344</v>
      </c>
      <c r="G419" s="253"/>
      <c r="H419" s="286"/>
      <c r="I419" s="9579" t="s">
        <v>135</v>
      </c>
      <c r="J419" s="9581"/>
      <c r="K419" s="5732" t="s">
        <v>344</v>
      </c>
      <c r="L419" s="5670"/>
      <c r="M419" s="5671" t="s">
        <v>369</v>
      </c>
      <c r="N419" s="5672"/>
      <c r="O419" s="5673" t="s">
        <v>369</v>
      </c>
      <c r="P419" s="5673"/>
      <c r="Q419" s="5672"/>
      <c r="R419" s="2468"/>
      <c r="S419" s="276"/>
      <c r="T419" s="99"/>
      <c r="U419" s="138"/>
      <c r="V419" s="138"/>
      <c r="W419" s="99"/>
      <c r="X419" s="264"/>
      <c r="Y419" s="277"/>
      <c r="Z419" s="187"/>
      <c r="AA419" s="6301"/>
      <c r="AB419" s="139"/>
      <c r="AC419" s="139"/>
      <c r="AD419" s="139"/>
      <c r="AE419" s="139"/>
      <c r="AF419" s="139"/>
      <c r="AG419" s="139"/>
      <c r="AH419" s="139"/>
      <c r="AI419" s="139"/>
      <c r="AJ419" s="139"/>
      <c r="AK419" s="139"/>
      <c r="AL419" s="139"/>
      <c r="AM419" s="139"/>
      <c r="AN419" s="139"/>
      <c r="AO419" s="139"/>
      <c r="AP419" s="139"/>
      <c r="AQ419" s="139"/>
      <c r="AR419" s="139"/>
      <c r="AS419" s="139"/>
      <c r="AT419" s="139"/>
      <c r="AU419" s="139"/>
      <c r="AV419" s="139"/>
      <c r="AW419" s="139"/>
      <c r="AX419" s="139"/>
      <c r="AY419" s="139"/>
      <c r="AZ419" s="139"/>
      <c r="BA419" s="139"/>
      <c r="BB419" s="139"/>
      <c r="BC419" s="139"/>
      <c r="BD419" s="139"/>
      <c r="BE419" s="139"/>
      <c r="BF419" s="139"/>
      <c r="BG419" s="139"/>
      <c r="BH419" s="139"/>
    </row>
    <row r="420" spans="2:60" s="11" customFormat="1" ht="19.899999999999999" customHeight="1">
      <c r="B420" s="5590"/>
      <c r="C420" s="5598"/>
      <c r="D420" s="9598" t="s">
        <v>137</v>
      </c>
      <c r="E420" s="9600"/>
      <c r="F420" s="492" t="s">
        <v>344</v>
      </c>
      <c r="G420" s="253"/>
      <c r="H420" s="286"/>
      <c r="I420" s="9579" t="s">
        <v>138</v>
      </c>
      <c r="J420" s="9581"/>
      <c r="K420" s="5732" t="s">
        <v>344</v>
      </c>
      <c r="L420" s="5670"/>
      <c r="M420" s="5671" t="s">
        <v>369</v>
      </c>
      <c r="N420" s="5672"/>
      <c r="O420" s="5673" t="s">
        <v>369</v>
      </c>
      <c r="P420" s="5673"/>
      <c r="Q420" s="5672"/>
      <c r="R420" s="2468"/>
      <c r="S420" s="276"/>
      <c r="T420" s="99"/>
      <c r="U420" s="138"/>
      <c r="V420" s="138"/>
      <c r="W420" s="99"/>
      <c r="X420" s="264"/>
      <c r="Y420" s="277"/>
      <c r="Z420" s="187"/>
      <c r="AA420" s="6301"/>
      <c r="AB420" s="139"/>
      <c r="AC420" s="139"/>
      <c r="AD420" s="139"/>
      <c r="AE420" s="139"/>
      <c r="AF420" s="139"/>
      <c r="AG420" s="139"/>
      <c r="AH420" s="139"/>
      <c r="AI420" s="139"/>
      <c r="AJ420" s="139"/>
      <c r="AK420" s="139"/>
      <c r="AL420" s="139"/>
      <c r="AM420" s="139"/>
      <c r="AN420" s="139"/>
      <c r="AO420" s="139"/>
      <c r="AP420" s="139"/>
      <c r="AQ420" s="139"/>
      <c r="AR420" s="139"/>
      <c r="AS420" s="139"/>
      <c r="AT420" s="139"/>
      <c r="AU420" s="139"/>
      <c r="AV420" s="139"/>
      <c r="AW420" s="139"/>
      <c r="AX420" s="139"/>
      <c r="AY420" s="139"/>
      <c r="AZ420" s="139"/>
      <c r="BA420" s="139"/>
      <c r="BB420" s="139"/>
      <c r="BC420" s="139"/>
      <c r="BD420" s="139"/>
      <c r="BE420" s="139"/>
      <c r="BF420" s="139"/>
      <c r="BG420" s="139"/>
      <c r="BH420" s="139"/>
    </row>
    <row r="421" spans="2:60" s="11" customFormat="1" ht="19.899999999999999" customHeight="1">
      <c r="B421" s="5590"/>
      <c r="C421" s="5598"/>
      <c r="D421" s="9598" t="s">
        <v>140</v>
      </c>
      <c r="E421" s="9600"/>
      <c r="F421" s="492" t="s">
        <v>344</v>
      </c>
      <c r="G421" s="253"/>
      <c r="H421" s="286"/>
      <c r="I421" s="9582" t="s">
        <v>141</v>
      </c>
      <c r="J421" s="9583"/>
      <c r="K421" s="5732" t="s">
        <v>344</v>
      </c>
      <c r="L421" s="5592"/>
      <c r="M421" s="5656" t="s">
        <v>369</v>
      </c>
      <c r="N421" s="5593"/>
      <c r="O421" s="5593" t="s">
        <v>369</v>
      </c>
      <c r="P421" s="5593"/>
      <c r="Q421" s="5593" t="s">
        <v>369</v>
      </c>
      <c r="R421" s="2468"/>
      <c r="S421" s="276"/>
      <c r="T421" s="99"/>
      <c r="U421" s="138"/>
      <c r="V421" s="138"/>
      <c r="W421" s="99"/>
      <c r="X421" s="264"/>
      <c r="Y421" s="277"/>
      <c r="Z421" s="187"/>
      <c r="AA421" s="6301"/>
      <c r="AB421" s="139"/>
      <c r="AC421" s="139"/>
      <c r="AD421" s="139"/>
      <c r="AE421" s="139"/>
      <c r="AF421" s="139"/>
      <c r="AG421" s="139"/>
      <c r="AH421" s="139"/>
      <c r="AI421" s="139"/>
      <c r="AJ421" s="139"/>
      <c r="AK421" s="139"/>
      <c r="AL421" s="139"/>
      <c r="AM421" s="139"/>
      <c r="AN421" s="139"/>
      <c r="AO421" s="139"/>
      <c r="AP421" s="139"/>
      <c r="AQ421" s="139"/>
      <c r="AR421" s="139"/>
      <c r="AS421" s="139"/>
      <c r="AT421" s="139"/>
      <c r="AU421" s="139"/>
      <c r="AV421" s="139"/>
      <c r="AW421" s="139"/>
      <c r="AX421" s="139"/>
      <c r="AY421" s="139"/>
      <c r="AZ421" s="139"/>
      <c r="BA421" s="139"/>
      <c r="BB421" s="139"/>
      <c r="BC421" s="139"/>
      <c r="BD421" s="139"/>
      <c r="BE421" s="139"/>
      <c r="BF421" s="139"/>
      <c r="BG421" s="139"/>
      <c r="BH421" s="139"/>
    </row>
    <row r="422" spans="2:60" s="11" customFormat="1" ht="19.899999999999999" customHeight="1">
      <c r="B422" s="5590"/>
      <c r="C422" s="5598"/>
      <c r="D422" s="9598" t="s">
        <v>143</v>
      </c>
      <c r="E422" s="9600"/>
      <c r="F422" s="492" t="s">
        <v>344</v>
      </c>
      <c r="G422" s="253"/>
      <c r="H422" s="286"/>
      <c r="I422" s="9582" t="s">
        <v>144</v>
      </c>
      <c r="J422" s="9583"/>
      <c r="K422" s="5732" t="s">
        <v>344</v>
      </c>
      <c r="L422" s="5592"/>
      <c r="M422" s="5656" t="s">
        <v>369</v>
      </c>
      <c r="N422" s="5593"/>
      <c r="O422" s="5593" t="s">
        <v>369</v>
      </c>
      <c r="P422" s="5593"/>
      <c r="Q422" s="5593"/>
      <c r="R422" s="2468"/>
      <c r="S422" s="276"/>
      <c r="T422" s="99"/>
      <c r="U422" s="138"/>
      <c r="V422" s="138"/>
      <c r="W422" s="99"/>
      <c r="X422" s="264"/>
      <c r="Y422" s="277"/>
      <c r="Z422" s="187"/>
      <c r="AA422" s="6301"/>
      <c r="AB422" s="139"/>
      <c r="AC422" s="139"/>
      <c r="AD422" s="139"/>
      <c r="AE422" s="139"/>
      <c r="AF422" s="139"/>
      <c r="AG422" s="139"/>
      <c r="AH422" s="139"/>
      <c r="AI422" s="139"/>
      <c r="AJ422" s="139"/>
      <c r="AK422" s="139"/>
      <c r="AL422" s="139"/>
      <c r="AM422" s="139"/>
      <c r="AN422" s="139"/>
      <c r="AO422" s="139"/>
      <c r="AP422" s="139"/>
      <c r="AQ422" s="139"/>
      <c r="AR422" s="139"/>
      <c r="AS422" s="139"/>
      <c r="AT422" s="139"/>
      <c r="AU422" s="139"/>
      <c r="AV422" s="139"/>
      <c r="AW422" s="139"/>
      <c r="AX422" s="139"/>
      <c r="AY422" s="139"/>
      <c r="AZ422" s="139"/>
      <c r="BA422" s="139"/>
      <c r="BB422" s="139"/>
      <c r="BC422" s="139"/>
      <c r="BD422" s="139"/>
      <c r="BE422" s="139"/>
      <c r="BF422" s="139"/>
      <c r="BG422" s="139"/>
      <c r="BH422" s="139"/>
    </row>
    <row r="423" spans="2:60" s="11" customFormat="1" ht="19.899999999999999" customHeight="1">
      <c r="B423" s="5590"/>
      <c r="C423" s="5598"/>
      <c r="D423" s="9598" t="s">
        <v>631</v>
      </c>
      <c r="E423" s="9600"/>
      <c r="F423" s="492" t="s">
        <v>344</v>
      </c>
      <c r="G423" s="253"/>
      <c r="H423" s="286"/>
      <c r="I423" s="9582" t="s">
        <v>147</v>
      </c>
      <c r="J423" s="9583"/>
      <c r="K423" s="5732" t="s">
        <v>344</v>
      </c>
      <c r="L423" s="5592"/>
      <c r="M423" s="5656" t="s">
        <v>369</v>
      </c>
      <c r="N423" s="5593"/>
      <c r="O423" s="5593" t="s">
        <v>369</v>
      </c>
      <c r="P423" s="5593"/>
      <c r="Q423" s="5593"/>
      <c r="R423" s="2468"/>
      <c r="S423" s="276"/>
      <c r="T423" s="99"/>
      <c r="U423" s="138"/>
      <c r="V423" s="138"/>
      <c r="W423" s="99"/>
      <c r="X423" s="264"/>
      <c r="Y423" s="277"/>
      <c r="Z423" s="187"/>
      <c r="AA423" s="6301"/>
      <c r="AB423" s="139"/>
      <c r="AC423" s="139"/>
      <c r="AD423" s="139"/>
      <c r="AE423" s="139"/>
      <c r="AF423" s="139"/>
      <c r="AG423" s="139"/>
      <c r="AH423" s="139"/>
      <c r="AI423" s="139"/>
      <c r="AJ423" s="139"/>
      <c r="AK423" s="139"/>
      <c r="AL423" s="139"/>
      <c r="AM423" s="139"/>
      <c r="AN423" s="139"/>
      <c r="AO423" s="139"/>
      <c r="AP423" s="139"/>
      <c r="AQ423" s="139"/>
      <c r="AR423" s="139"/>
      <c r="AS423" s="139"/>
      <c r="AT423" s="139"/>
      <c r="AU423" s="139"/>
      <c r="AV423" s="139"/>
      <c r="AW423" s="139"/>
      <c r="AX423" s="139"/>
      <c r="AY423" s="139"/>
      <c r="AZ423" s="139"/>
      <c r="BA423" s="139"/>
      <c r="BB423" s="139"/>
      <c r="BC423" s="139"/>
      <c r="BD423" s="139"/>
      <c r="BE423" s="139"/>
      <c r="BF423" s="139"/>
      <c r="BG423" s="139"/>
      <c r="BH423" s="139"/>
    </row>
    <row r="424" spans="2:60" s="11" customFormat="1" ht="19.899999999999999" customHeight="1">
      <c r="B424" s="5590"/>
      <c r="C424" s="5598"/>
      <c r="D424" s="9598" t="s">
        <v>633</v>
      </c>
      <c r="E424" s="9600"/>
      <c r="F424" s="492" t="s">
        <v>344</v>
      </c>
      <c r="G424" s="253"/>
      <c r="H424" s="286"/>
      <c r="I424" s="9582" t="s">
        <v>150</v>
      </c>
      <c r="J424" s="9583"/>
      <c r="K424" s="5732" t="s">
        <v>344</v>
      </c>
      <c r="L424" s="5592"/>
      <c r="M424" s="5656" t="s">
        <v>369</v>
      </c>
      <c r="N424" s="5593"/>
      <c r="O424" s="5593" t="s">
        <v>369</v>
      </c>
      <c r="P424" s="5593"/>
      <c r="Q424" s="5593"/>
      <c r="R424" s="2468"/>
      <c r="S424" s="276"/>
      <c r="T424" s="99"/>
      <c r="U424" s="138"/>
      <c r="V424" s="138"/>
      <c r="W424" s="99"/>
      <c r="X424" s="264"/>
      <c r="Y424" s="277"/>
      <c r="Z424" s="187"/>
      <c r="AA424" s="6301"/>
      <c r="AB424" s="139"/>
      <c r="AC424" s="139"/>
      <c r="AD424" s="139"/>
      <c r="AE424" s="139"/>
      <c r="AF424" s="139"/>
      <c r="AG424" s="139"/>
      <c r="AH424" s="139"/>
      <c r="AI424" s="139"/>
      <c r="AJ424" s="139"/>
      <c r="AK424" s="139"/>
      <c r="AL424" s="139"/>
      <c r="AM424" s="139"/>
      <c r="AN424" s="139"/>
      <c r="AO424" s="139"/>
      <c r="AP424" s="139"/>
      <c r="AQ424" s="139"/>
      <c r="AR424" s="139"/>
      <c r="AS424" s="139"/>
      <c r="AT424" s="139"/>
      <c r="AU424" s="139"/>
      <c r="AV424" s="139"/>
      <c r="AW424" s="139"/>
      <c r="AX424" s="139"/>
      <c r="AY424" s="139"/>
      <c r="AZ424" s="139"/>
      <c r="BA424" s="139"/>
      <c r="BB424" s="139"/>
      <c r="BC424" s="139"/>
      <c r="BD424" s="139"/>
      <c r="BE424" s="139"/>
      <c r="BF424" s="139"/>
      <c r="BG424" s="139"/>
      <c r="BH424" s="139"/>
    </row>
    <row r="425" spans="2:60" s="11" customFormat="1" ht="20.100000000000001" customHeight="1">
      <c r="B425" s="1360"/>
      <c r="C425" s="5598"/>
      <c r="D425" s="9641" t="s">
        <v>357</v>
      </c>
      <c r="E425" s="9642"/>
      <c r="F425" s="492" t="s">
        <v>344</v>
      </c>
      <c r="G425" s="337"/>
      <c r="H425" s="358"/>
      <c r="I425" s="9641" t="s">
        <v>358</v>
      </c>
      <c r="J425" s="9642"/>
      <c r="K425" s="5732" t="s">
        <v>344</v>
      </c>
      <c r="L425" s="5653" t="str">
        <f>IF(COUNTBLANK(L426:L431)&gt;0,"미취합법인有",SUM(L426:L431))</f>
        <v>미취합법인有</v>
      </c>
      <c r="M425" s="5657"/>
      <c r="N425" s="5654" t="str">
        <f>IF(COUNTBLANK(N426:N431)&gt;0,"미취합법인有",SUM(N426:N431))</f>
        <v>미취합법인有</v>
      </c>
      <c r="O425" s="5663"/>
      <c r="P425" s="5781" t="str">
        <f>IF(COUNTBLANK(P426:P431)&gt;0,"미취합법인有",SUM(P426:P431))</f>
        <v>미취합법인有</v>
      </c>
      <c r="Q425" s="785"/>
      <c r="R425" s="2471"/>
      <c r="S425" s="444"/>
      <c r="T425" s="1715" t="s">
        <v>206</v>
      </c>
      <c r="U425" s="138"/>
      <c r="V425" s="138"/>
      <c r="W425" s="99"/>
      <c r="X425" s="346" t="s">
        <v>359</v>
      </c>
      <c r="Y425" s="265" t="s">
        <v>349</v>
      </c>
      <c r="Z425" s="187"/>
      <c r="AA425" s="6301"/>
      <c r="AB425" s="139"/>
      <c r="AC425" s="139"/>
      <c r="AD425" s="139"/>
      <c r="AE425" s="139"/>
      <c r="AF425" s="139"/>
      <c r="AG425" s="139"/>
      <c r="AH425" s="139"/>
      <c r="AI425" s="139"/>
      <c r="AJ425" s="139"/>
      <c r="AK425" s="139"/>
      <c r="AL425" s="139"/>
      <c r="AM425" s="139"/>
      <c r="AN425" s="139"/>
      <c r="AO425" s="139"/>
      <c r="AP425" s="139"/>
      <c r="AQ425" s="139"/>
      <c r="AR425" s="139"/>
      <c r="AS425" s="139"/>
      <c r="AT425" s="139"/>
      <c r="AU425" s="139"/>
      <c r="AV425" s="139"/>
      <c r="AW425" s="139"/>
      <c r="AX425" s="139"/>
      <c r="AY425" s="139"/>
      <c r="AZ425" s="139"/>
      <c r="BA425" s="139"/>
      <c r="BB425" s="139"/>
      <c r="BC425" s="139"/>
      <c r="BD425" s="139"/>
      <c r="BE425" s="139"/>
      <c r="BF425" s="139"/>
      <c r="BG425" s="139"/>
      <c r="BH425" s="139"/>
    </row>
    <row r="426" spans="2:60" s="11" customFormat="1" ht="19.899999999999999" customHeight="1">
      <c r="B426" s="5590"/>
      <c r="C426" s="5598"/>
      <c r="D426" s="9598" t="s">
        <v>134</v>
      </c>
      <c r="E426" s="9600"/>
      <c r="F426" s="492" t="s">
        <v>344</v>
      </c>
      <c r="G426" s="253"/>
      <c r="H426" s="286"/>
      <c r="I426" s="9579" t="s">
        <v>135</v>
      </c>
      <c r="J426" s="9581"/>
      <c r="K426" s="5732" t="s">
        <v>344</v>
      </c>
      <c r="L426" s="5670"/>
      <c r="M426" s="5671" t="s">
        <v>369</v>
      </c>
      <c r="N426" s="5672"/>
      <c r="O426" s="5673" t="s">
        <v>369</v>
      </c>
      <c r="P426" s="5673"/>
      <c r="Q426" s="5672"/>
      <c r="R426" s="2468"/>
      <c r="S426" s="276"/>
      <c r="T426" s="99"/>
      <c r="U426" s="138"/>
      <c r="V426" s="138"/>
      <c r="W426" s="99"/>
      <c r="X426" s="264"/>
      <c r="Y426" s="277"/>
      <c r="Z426" s="187"/>
      <c r="AA426" s="6301"/>
      <c r="AB426" s="139"/>
      <c r="AC426" s="139"/>
      <c r="AD426" s="139"/>
      <c r="AE426" s="139"/>
      <c r="AF426" s="139"/>
      <c r="AG426" s="139"/>
      <c r="AH426" s="139"/>
      <c r="AI426" s="139"/>
      <c r="AJ426" s="139"/>
      <c r="AK426" s="139"/>
      <c r="AL426" s="139"/>
      <c r="AM426" s="139"/>
      <c r="AN426" s="139"/>
      <c r="AO426" s="139"/>
      <c r="AP426" s="139"/>
      <c r="AQ426" s="139"/>
      <c r="AR426" s="139"/>
      <c r="AS426" s="139"/>
      <c r="AT426" s="139"/>
      <c r="AU426" s="139"/>
      <c r="AV426" s="139"/>
      <c r="AW426" s="139"/>
      <c r="AX426" s="139"/>
      <c r="AY426" s="139"/>
      <c r="AZ426" s="139"/>
      <c r="BA426" s="139"/>
      <c r="BB426" s="139"/>
      <c r="BC426" s="139"/>
      <c r="BD426" s="139"/>
      <c r="BE426" s="139"/>
      <c r="BF426" s="139"/>
      <c r="BG426" s="139"/>
      <c r="BH426" s="139"/>
    </row>
    <row r="427" spans="2:60" s="11" customFormat="1" ht="19.899999999999999" customHeight="1">
      <c r="B427" s="5590"/>
      <c r="C427" s="5598"/>
      <c r="D427" s="9598" t="s">
        <v>137</v>
      </c>
      <c r="E427" s="9600"/>
      <c r="F427" s="492" t="s">
        <v>344</v>
      </c>
      <c r="G427" s="253"/>
      <c r="H427" s="286"/>
      <c r="I427" s="9579" t="s">
        <v>138</v>
      </c>
      <c r="J427" s="9581"/>
      <c r="K427" s="5732" t="s">
        <v>344</v>
      </c>
      <c r="L427" s="5670"/>
      <c r="M427" s="5671" t="s">
        <v>369</v>
      </c>
      <c r="N427" s="5672"/>
      <c r="O427" s="5673" t="s">
        <v>369</v>
      </c>
      <c r="P427" s="5673"/>
      <c r="Q427" s="5672"/>
      <c r="R427" s="2468"/>
      <c r="S427" s="276"/>
      <c r="T427" s="99"/>
      <c r="U427" s="138"/>
      <c r="V427" s="138"/>
      <c r="W427" s="99"/>
      <c r="X427" s="264"/>
      <c r="Y427" s="277"/>
      <c r="Z427" s="187"/>
      <c r="AA427" s="6301"/>
      <c r="AB427" s="139"/>
      <c r="AC427" s="139"/>
      <c r="AD427" s="139"/>
      <c r="AE427" s="139"/>
      <c r="AF427" s="139"/>
      <c r="AG427" s="139"/>
      <c r="AH427" s="139"/>
      <c r="AI427" s="139"/>
      <c r="AJ427" s="139"/>
      <c r="AK427" s="139"/>
      <c r="AL427" s="139"/>
      <c r="AM427" s="139"/>
      <c r="AN427" s="139"/>
      <c r="AO427" s="139"/>
      <c r="AP427" s="139"/>
      <c r="AQ427" s="139"/>
      <c r="AR427" s="139"/>
      <c r="AS427" s="139"/>
      <c r="AT427" s="139"/>
      <c r="AU427" s="139"/>
      <c r="AV427" s="139"/>
      <c r="AW427" s="139"/>
      <c r="AX427" s="139"/>
      <c r="AY427" s="139"/>
      <c r="AZ427" s="139"/>
      <c r="BA427" s="139"/>
      <c r="BB427" s="139"/>
      <c r="BC427" s="139"/>
      <c r="BD427" s="139"/>
      <c r="BE427" s="139"/>
      <c r="BF427" s="139"/>
      <c r="BG427" s="139"/>
      <c r="BH427" s="139"/>
    </row>
    <row r="428" spans="2:60" s="11" customFormat="1" ht="19.899999999999999" customHeight="1">
      <c r="B428" s="5590"/>
      <c r="C428" s="5598"/>
      <c r="D428" s="9598" t="s">
        <v>140</v>
      </c>
      <c r="E428" s="9600"/>
      <c r="F428" s="492" t="s">
        <v>344</v>
      </c>
      <c r="G428" s="253"/>
      <c r="H428" s="286"/>
      <c r="I428" s="9582" t="s">
        <v>141</v>
      </c>
      <c r="J428" s="9583"/>
      <c r="K428" s="5732" t="s">
        <v>344</v>
      </c>
      <c r="L428" s="5592"/>
      <c r="M428" s="5656" t="s">
        <v>369</v>
      </c>
      <c r="N428" s="5593"/>
      <c r="O428" s="5593" t="s">
        <v>369</v>
      </c>
      <c r="P428" s="5593"/>
      <c r="Q428" s="5593" t="s">
        <v>369</v>
      </c>
      <c r="R428" s="2468"/>
      <c r="S428" s="276"/>
      <c r="T428" s="99"/>
      <c r="U428" s="138"/>
      <c r="V428" s="138"/>
      <c r="W428" s="99"/>
      <c r="X428" s="264"/>
      <c r="Y428" s="277"/>
      <c r="Z428" s="187"/>
      <c r="AA428" s="6301"/>
      <c r="AB428" s="139"/>
      <c r="AC428" s="139"/>
      <c r="AD428" s="139"/>
      <c r="AE428" s="139"/>
      <c r="AF428" s="139"/>
      <c r="AG428" s="139"/>
      <c r="AH428" s="139"/>
      <c r="AI428" s="139"/>
      <c r="AJ428" s="139"/>
      <c r="AK428" s="139"/>
      <c r="AL428" s="139"/>
      <c r="AM428" s="139"/>
      <c r="AN428" s="139"/>
      <c r="AO428" s="139"/>
      <c r="AP428" s="139"/>
      <c r="AQ428" s="139"/>
      <c r="AR428" s="139"/>
      <c r="AS428" s="139"/>
      <c r="AT428" s="139"/>
      <c r="AU428" s="139"/>
      <c r="AV428" s="139"/>
      <c r="AW428" s="139"/>
      <c r="AX428" s="139"/>
      <c r="AY428" s="139"/>
      <c r="AZ428" s="139"/>
      <c r="BA428" s="139"/>
      <c r="BB428" s="139"/>
      <c r="BC428" s="139"/>
      <c r="BD428" s="139"/>
      <c r="BE428" s="139"/>
      <c r="BF428" s="139"/>
      <c r="BG428" s="139"/>
      <c r="BH428" s="139"/>
    </row>
    <row r="429" spans="2:60" s="11" customFormat="1" ht="19.899999999999999" customHeight="1">
      <c r="B429" s="5590"/>
      <c r="C429" s="5598"/>
      <c r="D429" s="9598" t="s">
        <v>143</v>
      </c>
      <c r="E429" s="9600"/>
      <c r="F429" s="492" t="s">
        <v>344</v>
      </c>
      <c r="G429" s="253"/>
      <c r="H429" s="286"/>
      <c r="I429" s="9582" t="s">
        <v>144</v>
      </c>
      <c r="J429" s="9583"/>
      <c r="K429" s="5732" t="s">
        <v>344</v>
      </c>
      <c r="L429" s="5592"/>
      <c r="M429" s="5656" t="s">
        <v>369</v>
      </c>
      <c r="N429" s="5593"/>
      <c r="O429" s="5593" t="s">
        <v>369</v>
      </c>
      <c r="P429" s="5593"/>
      <c r="Q429" s="5593"/>
      <c r="R429" s="2468"/>
      <c r="S429" s="276"/>
      <c r="T429" s="99"/>
      <c r="U429" s="138"/>
      <c r="V429" s="138"/>
      <c r="W429" s="99"/>
      <c r="X429" s="264"/>
      <c r="Y429" s="277"/>
      <c r="Z429" s="187"/>
      <c r="AA429" s="6301"/>
      <c r="AB429" s="139"/>
      <c r="AC429" s="139"/>
      <c r="AD429" s="139"/>
      <c r="AE429" s="139"/>
      <c r="AF429" s="139"/>
      <c r="AG429" s="139"/>
      <c r="AH429" s="139"/>
      <c r="AI429" s="139"/>
      <c r="AJ429" s="139"/>
      <c r="AK429" s="139"/>
      <c r="AL429" s="139"/>
      <c r="AM429" s="139"/>
      <c r="AN429" s="139"/>
      <c r="AO429" s="139"/>
      <c r="AP429" s="139"/>
      <c r="AQ429" s="139"/>
      <c r="AR429" s="139"/>
      <c r="AS429" s="139"/>
      <c r="AT429" s="139"/>
      <c r="AU429" s="139"/>
      <c r="AV429" s="139"/>
      <c r="AW429" s="139"/>
      <c r="AX429" s="139"/>
      <c r="AY429" s="139"/>
      <c r="AZ429" s="139"/>
      <c r="BA429" s="139"/>
      <c r="BB429" s="139"/>
      <c r="BC429" s="139"/>
      <c r="BD429" s="139"/>
      <c r="BE429" s="139"/>
      <c r="BF429" s="139"/>
      <c r="BG429" s="139"/>
      <c r="BH429" s="139"/>
    </row>
    <row r="430" spans="2:60" s="11" customFormat="1" ht="19.899999999999999" customHeight="1">
      <c r="B430" s="5590"/>
      <c r="C430" s="5598"/>
      <c r="D430" s="9598" t="s">
        <v>631</v>
      </c>
      <c r="E430" s="9600"/>
      <c r="F430" s="492" t="s">
        <v>344</v>
      </c>
      <c r="G430" s="253"/>
      <c r="H430" s="286"/>
      <c r="I430" s="9582" t="s">
        <v>147</v>
      </c>
      <c r="J430" s="9583"/>
      <c r="K430" s="5732" t="s">
        <v>344</v>
      </c>
      <c r="L430" s="5592"/>
      <c r="M430" s="5656" t="s">
        <v>369</v>
      </c>
      <c r="N430" s="5593"/>
      <c r="O430" s="5593" t="s">
        <v>369</v>
      </c>
      <c r="P430" s="5593"/>
      <c r="Q430" s="5593"/>
      <c r="R430" s="2468"/>
      <c r="S430" s="276"/>
      <c r="T430" s="99"/>
      <c r="U430" s="138"/>
      <c r="V430" s="138"/>
      <c r="W430" s="99"/>
      <c r="X430" s="264"/>
      <c r="Y430" s="277"/>
      <c r="Z430" s="187"/>
      <c r="AA430" s="6301"/>
      <c r="AB430" s="139"/>
      <c r="AC430" s="139"/>
      <c r="AD430" s="139"/>
      <c r="AE430" s="139"/>
      <c r="AF430" s="139"/>
      <c r="AG430" s="139"/>
      <c r="AH430" s="139"/>
      <c r="AI430" s="139"/>
      <c r="AJ430" s="139"/>
      <c r="AK430" s="139"/>
      <c r="AL430" s="139"/>
      <c r="AM430" s="139"/>
      <c r="AN430" s="139"/>
      <c r="AO430" s="139"/>
      <c r="AP430" s="139"/>
      <c r="AQ430" s="139"/>
      <c r="AR430" s="139"/>
      <c r="AS430" s="139"/>
      <c r="AT430" s="139"/>
      <c r="AU430" s="139"/>
      <c r="AV430" s="139"/>
      <c r="AW430" s="139"/>
      <c r="AX430" s="139"/>
      <c r="AY430" s="139"/>
      <c r="AZ430" s="139"/>
      <c r="BA430" s="139"/>
      <c r="BB430" s="139"/>
      <c r="BC430" s="139"/>
      <c r="BD430" s="139"/>
      <c r="BE430" s="139"/>
      <c r="BF430" s="139"/>
      <c r="BG430" s="139"/>
      <c r="BH430" s="139"/>
    </row>
    <row r="431" spans="2:60" s="11" customFormat="1" ht="19.899999999999999" customHeight="1">
      <c r="B431" s="5590"/>
      <c r="C431" s="5598"/>
      <c r="D431" s="9598" t="s">
        <v>633</v>
      </c>
      <c r="E431" s="9600"/>
      <c r="F431" s="492" t="s">
        <v>344</v>
      </c>
      <c r="G431" s="253"/>
      <c r="H431" s="286"/>
      <c r="I431" s="9582" t="s">
        <v>150</v>
      </c>
      <c r="J431" s="9583"/>
      <c r="K431" s="5732" t="s">
        <v>344</v>
      </c>
      <c r="L431" s="5592"/>
      <c r="M431" s="5656" t="s">
        <v>369</v>
      </c>
      <c r="N431" s="5593"/>
      <c r="O431" s="5593" t="s">
        <v>369</v>
      </c>
      <c r="P431" s="5593"/>
      <c r="Q431" s="5593"/>
      <c r="R431" s="2468"/>
      <c r="S431" s="276"/>
      <c r="T431" s="99"/>
      <c r="U431" s="138"/>
      <c r="V431" s="138"/>
      <c r="W431" s="99"/>
      <c r="X431" s="264"/>
      <c r="Y431" s="277"/>
      <c r="Z431" s="187"/>
      <c r="AA431" s="6301"/>
      <c r="AB431" s="139"/>
      <c r="AC431" s="139"/>
      <c r="AD431" s="139"/>
      <c r="AE431" s="139"/>
      <c r="AF431" s="139"/>
      <c r="AG431" s="139"/>
      <c r="AH431" s="139"/>
      <c r="AI431" s="139"/>
      <c r="AJ431" s="139"/>
      <c r="AK431" s="139"/>
      <c r="AL431" s="139"/>
      <c r="AM431" s="139"/>
      <c r="AN431" s="139"/>
      <c r="AO431" s="139"/>
      <c r="AP431" s="139"/>
      <c r="AQ431" s="139"/>
      <c r="AR431" s="139"/>
      <c r="AS431" s="139"/>
      <c r="AT431" s="139"/>
      <c r="AU431" s="139"/>
      <c r="AV431" s="139"/>
      <c r="AW431" s="139"/>
      <c r="AX431" s="139"/>
      <c r="AY431" s="139"/>
      <c r="AZ431" s="139"/>
      <c r="BA431" s="139"/>
      <c r="BB431" s="139"/>
      <c r="BC431" s="139"/>
      <c r="BD431" s="139"/>
      <c r="BE431" s="139"/>
      <c r="BF431" s="139"/>
      <c r="BG431" s="139"/>
      <c r="BH431" s="139"/>
    </row>
    <row r="432" spans="2:60" s="11" customFormat="1" ht="20.100000000000001" customHeight="1">
      <c r="B432" s="1360"/>
      <c r="C432" s="5598"/>
      <c r="D432" s="9641" t="s">
        <v>360</v>
      </c>
      <c r="E432" s="9642"/>
      <c r="F432" s="492" t="s">
        <v>344</v>
      </c>
      <c r="G432" s="337"/>
      <c r="H432" s="358"/>
      <c r="I432" s="9641" t="s">
        <v>361</v>
      </c>
      <c r="J432" s="9642"/>
      <c r="K432" s="5732" t="s">
        <v>344</v>
      </c>
      <c r="L432" s="5653" t="str">
        <f>IF(COUNTBLANK(L433:L438)&gt;0,"미취합법인有",SUM(L433:L438))</f>
        <v>미취합법인有</v>
      </c>
      <c r="M432" s="5657"/>
      <c r="N432" s="5654" t="str">
        <f>IF(COUNTBLANK(N433:N438)&gt;0,"미취합법인有",SUM(N433:N438))</f>
        <v>미취합법인有</v>
      </c>
      <c r="O432" s="5663"/>
      <c r="P432" s="5781" t="str">
        <f>IF(COUNTBLANK(P433:P438)&gt;0,"미취합법인有",SUM(P433:P438))</f>
        <v>미취합법인有</v>
      </c>
      <c r="Q432" s="785"/>
      <c r="R432" s="2471"/>
      <c r="S432" s="444"/>
      <c r="T432" s="1715" t="s">
        <v>206</v>
      </c>
      <c r="U432" s="138"/>
      <c r="V432" s="138"/>
      <c r="W432" s="99"/>
      <c r="X432" s="346" t="s">
        <v>359</v>
      </c>
      <c r="Y432" s="265" t="s">
        <v>349</v>
      </c>
      <c r="Z432" s="187"/>
      <c r="AA432" s="6301"/>
      <c r="AB432" s="139"/>
      <c r="AC432" s="139"/>
      <c r="AD432" s="139"/>
      <c r="AE432" s="139"/>
      <c r="AF432" s="139"/>
      <c r="AG432" s="139"/>
      <c r="AH432" s="139"/>
      <c r="AI432" s="139"/>
      <c r="AJ432" s="139"/>
      <c r="AK432" s="139"/>
      <c r="AL432" s="139"/>
      <c r="AM432" s="139"/>
      <c r="AN432" s="139"/>
      <c r="AO432" s="139"/>
      <c r="AP432" s="139"/>
      <c r="AQ432" s="139"/>
      <c r="AR432" s="139"/>
      <c r="AS432" s="139"/>
      <c r="AT432" s="139"/>
      <c r="AU432" s="139"/>
      <c r="AV432" s="139"/>
      <c r="AW432" s="139"/>
      <c r="AX432" s="139"/>
      <c r="AY432" s="139"/>
      <c r="AZ432" s="139"/>
      <c r="BA432" s="139"/>
      <c r="BB432" s="139"/>
      <c r="BC432" s="139"/>
      <c r="BD432" s="139"/>
      <c r="BE432" s="139"/>
      <c r="BF432" s="139"/>
      <c r="BG432" s="139"/>
      <c r="BH432" s="139"/>
    </row>
    <row r="433" spans="2:60" s="11" customFormat="1" ht="19.899999999999999" customHeight="1">
      <c r="B433" s="5590"/>
      <c r="C433" s="5598"/>
      <c r="D433" s="9598" t="s">
        <v>134</v>
      </c>
      <c r="E433" s="9600"/>
      <c r="F433" s="492" t="s">
        <v>344</v>
      </c>
      <c r="G433" s="253"/>
      <c r="H433" s="286"/>
      <c r="I433" s="9579" t="s">
        <v>135</v>
      </c>
      <c r="J433" s="9581"/>
      <c r="K433" s="5732" t="s">
        <v>344</v>
      </c>
      <c r="L433" s="5670"/>
      <c r="M433" s="5671" t="s">
        <v>369</v>
      </c>
      <c r="N433" s="5672"/>
      <c r="O433" s="5673" t="s">
        <v>369</v>
      </c>
      <c r="P433" s="5673"/>
      <c r="Q433" s="5672"/>
      <c r="R433" s="2468"/>
      <c r="S433" s="276"/>
      <c r="T433" s="99"/>
      <c r="U433" s="138"/>
      <c r="V433" s="138"/>
      <c r="W433" s="99"/>
      <c r="X433" s="264"/>
      <c r="Y433" s="277"/>
      <c r="Z433" s="187"/>
      <c r="AA433" s="6301"/>
      <c r="AB433" s="139"/>
      <c r="AC433" s="139"/>
      <c r="AD433" s="139"/>
      <c r="AE433" s="139"/>
      <c r="AF433" s="139"/>
      <c r="AG433" s="139"/>
      <c r="AH433" s="139"/>
      <c r="AI433" s="139"/>
      <c r="AJ433" s="139"/>
      <c r="AK433" s="139"/>
      <c r="AL433" s="139"/>
      <c r="AM433" s="139"/>
      <c r="AN433" s="139"/>
      <c r="AO433" s="139"/>
      <c r="AP433" s="139"/>
      <c r="AQ433" s="139"/>
      <c r="AR433" s="139"/>
      <c r="AS433" s="139"/>
      <c r="AT433" s="139"/>
      <c r="AU433" s="139"/>
      <c r="AV433" s="139"/>
      <c r="AW433" s="139"/>
      <c r="AX433" s="139"/>
      <c r="AY433" s="139"/>
      <c r="AZ433" s="139"/>
      <c r="BA433" s="139"/>
      <c r="BB433" s="139"/>
      <c r="BC433" s="139"/>
      <c r="BD433" s="139"/>
      <c r="BE433" s="139"/>
      <c r="BF433" s="139"/>
      <c r="BG433" s="139"/>
      <c r="BH433" s="139"/>
    </row>
    <row r="434" spans="2:60" s="11" customFormat="1" ht="19.899999999999999" customHeight="1">
      <c r="B434" s="5590"/>
      <c r="C434" s="5598"/>
      <c r="D434" s="9598" t="s">
        <v>137</v>
      </c>
      <c r="E434" s="9600"/>
      <c r="F434" s="492" t="s">
        <v>344</v>
      </c>
      <c r="G434" s="253"/>
      <c r="H434" s="286"/>
      <c r="I434" s="9579" t="s">
        <v>138</v>
      </c>
      <c r="J434" s="9581"/>
      <c r="K434" s="5732" t="s">
        <v>344</v>
      </c>
      <c r="L434" s="5670"/>
      <c r="M434" s="5671" t="s">
        <v>369</v>
      </c>
      <c r="N434" s="5672"/>
      <c r="O434" s="5673" t="s">
        <v>369</v>
      </c>
      <c r="P434" s="5673"/>
      <c r="Q434" s="5672"/>
      <c r="R434" s="2468"/>
      <c r="S434" s="276"/>
      <c r="T434" s="99"/>
      <c r="U434" s="138"/>
      <c r="V434" s="138"/>
      <c r="W434" s="99"/>
      <c r="X434" s="264"/>
      <c r="Y434" s="277"/>
      <c r="Z434" s="187"/>
      <c r="AA434" s="6301"/>
      <c r="AB434" s="139"/>
      <c r="AC434" s="139"/>
      <c r="AD434" s="139"/>
      <c r="AE434" s="139"/>
      <c r="AF434" s="139"/>
      <c r="AG434" s="139"/>
      <c r="AH434" s="139"/>
      <c r="AI434" s="139"/>
      <c r="AJ434" s="139"/>
      <c r="AK434" s="139"/>
      <c r="AL434" s="139"/>
      <c r="AM434" s="139"/>
      <c r="AN434" s="139"/>
      <c r="AO434" s="139"/>
      <c r="AP434" s="139"/>
      <c r="AQ434" s="139"/>
      <c r="AR434" s="139"/>
      <c r="AS434" s="139"/>
      <c r="AT434" s="139"/>
      <c r="AU434" s="139"/>
      <c r="AV434" s="139"/>
      <c r="AW434" s="139"/>
      <c r="AX434" s="139"/>
      <c r="AY434" s="139"/>
      <c r="AZ434" s="139"/>
      <c r="BA434" s="139"/>
      <c r="BB434" s="139"/>
      <c r="BC434" s="139"/>
      <c r="BD434" s="139"/>
      <c r="BE434" s="139"/>
      <c r="BF434" s="139"/>
      <c r="BG434" s="139"/>
      <c r="BH434" s="139"/>
    </row>
    <row r="435" spans="2:60" s="11" customFormat="1" ht="19.899999999999999" customHeight="1">
      <c r="B435" s="5590"/>
      <c r="C435" s="5598"/>
      <c r="D435" s="9598" t="s">
        <v>140</v>
      </c>
      <c r="E435" s="9600"/>
      <c r="F435" s="492" t="s">
        <v>344</v>
      </c>
      <c r="G435" s="253"/>
      <c r="H435" s="286"/>
      <c r="I435" s="9582" t="s">
        <v>141</v>
      </c>
      <c r="J435" s="9583"/>
      <c r="K435" s="5732" t="s">
        <v>344</v>
      </c>
      <c r="L435" s="5592"/>
      <c r="M435" s="5656" t="s">
        <v>369</v>
      </c>
      <c r="N435" s="5593"/>
      <c r="O435" s="5593" t="s">
        <v>369</v>
      </c>
      <c r="P435" s="5593"/>
      <c r="Q435" s="5593" t="s">
        <v>369</v>
      </c>
      <c r="R435" s="2468"/>
      <c r="S435" s="276"/>
      <c r="T435" s="99"/>
      <c r="U435" s="138"/>
      <c r="V435" s="138"/>
      <c r="W435" s="99"/>
      <c r="X435" s="264"/>
      <c r="Y435" s="277"/>
      <c r="Z435" s="187"/>
      <c r="AA435" s="6301"/>
      <c r="AB435" s="139"/>
      <c r="AC435" s="139"/>
      <c r="AD435" s="139"/>
      <c r="AE435" s="139"/>
      <c r="AF435" s="139"/>
      <c r="AG435" s="139"/>
      <c r="AH435" s="139"/>
      <c r="AI435" s="139"/>
      <c r="AJ435" s="139"/>
      <c r="AK435" s="139"/>
      <c r="AL435" s="139"/>
      <c r="AM435" s="139"/>
      <c r="AN435" s="139"/>
      <c r="AO435" s="139"/>
      <c r="AP435" s="139"/>
      <c r="AQ435" s="139"/>
      <c r="AR435" s="139"/>
      <c r="AS435" s="139"/>
      <c r="AT435" s="139"/>
      <c r="AU435" s="139"/>
      <c r="AV435" s="139"/>
      <c r="AW435" s="139"/>
      <c r="AX435" s="139"/>
      <c r="AY435" s="139"/>
      <c r="AZ435" s="139"/>
      <c r="BA435" s="139"/>
      <c r="BB435" s="139"/>
      <c r="BC435" s="139"/>
      <c r="BD435" s="139"/>
      <c r="BE435" s="139"/>
      <c r="BF435" s="139"/>
      <c r="BG435" s="139"/>
      <c r="BH435" s="139"/>
    </row>
    <row r="436" spans="2:60" s="11" customFormat="1" ht="19.899999999999999" customHeight="1">
      <c r="B436" s="5590"/>
      <c r="C436" s="5598"/>
      <c r="D436" s="9598" t="s">
        <v>143</v>
      </c>
      <c r="E436" s="9600"/>
      <c r="F436" s="492" t="s">
        <v>344</v>
      </c>
      <c r="G436" s="253"/>
      <c r="H436" s="286"/>
      <c r="I436" s="9582" t="s">
        <v>144</v>
      </c>
      <c r="J436" s="9583"/>
      <c r="K436" s="5732" t="s">
        <v>344</v>
      </c>
      <c r="L436" s="5592"/>
      <c r="M436" s="5656" t="s">
        <v>369</v>
      </c>
      <c r="N436" s="5593"/>
      <c r="O436" s="5593" t="s">
        <v>369</v>
      </c>
      <c r="P436" s="5593"/>
      <c r="Q436" s="5593"/>
      <c r="R436" s="2468"/>
      <c r="S436" s="276"/>
      <c r="T436" s="99"/>
      <c r="U436" s="138"/>
      <c r="V436" s="138"/>
      <c r="W436" s="99"/>
      <c r="X436" s="264"/>
      <c r="Y436" s="277"/>
      <c r="Z436" s="187"/>
      <c r="AA436" s="6301"/>
      <c r="AB436" s="139"/>
      <c r="AC436" s="139"/>
      <c r="AD436" s="139"/>
      <c r="AE436" s="139"/>
      <c r="AF436" s="139"/>
      <c r="AG436" s="139"/>
      <c r="AH436" s="139"/>
      <c r="AI436" s="139"/>
      <c r="AJ436" s="139"/>
      <c r="AK436" s="139"/>
      <c r="AL436" s="139"/>
      <c r="AM436" s="139"/>
      <c r="AN436" s="139"/>
      <c r="AO436" s="139"/>
      <c r="AP436" s="139"/>
      <c r="AQ436" s="139"/>
      <c r="AR436" s="139"/>
      <c r="AS436" s="139"/>
      <c r="AT436" s="139"/>
      <c r="AU436" s="139"/>
      <c r="AV436" s="139"/>
      <c r="AW436" s="139"/>
      <c r="AX436" s="139"/>
      <c r="AY436" s="139"/>
      <c r="AZ436" s="139"/>
      <c r="BA436" s="139"/>
      <c r="BB436" s="139"/>
      <c r="BC436" s="139"/>
      <c r="BD436" s="139"/>
      <c r="BE436" s="139"/>
      <c r="BF436" s="139"/>
      <c r="BG436" s="139"/>
      <c r="BH436" s="139"/>
    </row>
    <row r="437" spans="2:60" s="11" customFormat="1" ht="19.899999999999999" customHeight="1">
      <c r="B437" s="5590"/>
      <c r="C437" s="5598"/>
      <c r="D437" s="9598" t="s">
        <v>631</v>
      </c>
      <c r="E437" s="9600"/>
      <c r="F437" s="492" t="s">
        <v>344</v>
      </c>
      <c r="G437" s="253"/>
      <c r="H437" s="286"/>
      <c r="I437" s="9582" t="s">
        <v>147</v>
      </c>
      <c r="J437" s="9583"/>
      <c r="K437" s="5732" t="s">
        <v>344</v>
      </c>
      <c r="L437" s="5592"/>
      <c r="M437" s="5656" t="s">
        <v>369</v>
      </c>
      <c r="N437" s="5593"/>
      <c r="O437" s="5593" t="s">
        <v>369</v>
      </c>
      <c r="P437" s="5593"/>
      <c r="Q437" s="5593"/>
      <c r="R437" s="2468"/>
      <c r="S437" s="276"/>
      <c r="T437" s="99"/>
      <c r="U437" s="138"/>
      <c r="V437" s="138"/>
      <c r="W437" s="99"/>
      <c r="X437" s="264"/>
      <c r="Y437" s="277"/>
      <c r="Z437" s="187"/>
      <c r="AA437" s="6301"/>
      <c r="AB437" s="139"/>
      <c r="AC437" s="139"/>
      <c r="AD437" s="139"/>
      <c r="AE437" s="139"/>
      <c r="AF437" s="139"/>
      <c r="AG437" s="139"/>
      <c r="AH437" s="139"/>
      <c r="AI437" s="139"/>
      <c r="AJ437" s="139"/>
      <c r="AK437" s="139"/>
      <c r="AL437" s="139"/>
      <c r="AM437" s="139"/>
      <c r="AN437" s="139"/>
      <c r="AO437" s="139"/>
      <c r="AP437" s="139"/>
      <c r="AQ437" s="139"/>
      <c r="AR437" s="139"/>
      <c r="AS437" s="139"/>
      <c r="AT437" s="139"/>
      <c r="AU437" s="139"/>
      <c r="AV437" s="139"/>
      <c r="AW437" s="139"/>
      <c r="AX437" s="139"/>
      <c r="AY437" s="139"/>
      <c r="AZ437" s="139"/>
      <c r="BA437" s="139"/>
      <c r="BB437" s="139"/>
      <c r="BC437" s="139"/>
      <c r="BD437" s="139"/>
      <c r="BE437" s="139"/>
      <c r="BF437" s="139"/>
      <c r="BG437" s="139"/>
      <c r="BH437" s="139"/>
    </row>
    <row r="438" spans="2:60" s="11" customFormat="1" ht="19.899999999999999" customHeight="1">
      <c r="B438" s="5590"/>
      <c r="C438" s="5598"/>
      <c r="D438" s="9598" t="s">
        <v>633</v>
      </c>
      <c r="E438" s="9600"/>
      <c r="F438" s="492" t="s">
        <v>344</v>
      </c>
      <c r="G438" s="253"/>
      <c r="H438" s="286"/>
      <c r="I438" s="9582" t="s">
        <v>150</v>
      </c>
      <c r="J438" s="9583"/>
      <c r="K438" s="5732" t="s">
        <v>344</v>
      </c>
      <c r="L438" s="5592"/>
      <c r="M438" s="5656" t="s">
        <v>369</v>
      </c>
      <c r="N438" s="5593"/>
      <c r="O438" s="5593" t="s">
        <v>369</v>
      </c>
      <c r="P438" s="5593"/>
      <c r="Q438" s="5593"/>
      <c r="R438" s="2468"/>
      <c r="S438" s="276"/>
      <c r="T438" s="99"/>
      <c r="U438" s="138"/>
      <c r="V438" s="138"/>
      <c r="W438" s="99"/>
      <c r="X438" s="264"/>
      <c r="Y438" s="277"/>
      <c r="Z438" s="187"/>
      <c r="AA438" s="6301"/>
      <c r="AB438" s="139"/>
      <c r="AC438" s="139"/>
      <c r="AD438" s="139"/>
      <c r="AE438" s="139"/>
      <c r="AF438" s="139"/>
      <c r="AG438" s="139"/>
      <c r="AH438" s="139"/>
      <c r="AI438" s="139"/>
      <c r="AJ438" s="139"/>
      <c r="AK438" s="139"/>
      <c r="AL438" s="139"/>
      <c r="AM438" s="139"/>
      <c r="AN438" s="139"/>
      <c r="AO438" s="139"/>
      <c r="AP438" s="139"/>
      <c r="AQ438" s="139"/>
      <c r="AR438" s="139"/>
      <c r="AS438" s="139"/>
      <c r="AT438" s="139"/>
      <c r="AU438" s="139"/>
      <c r="AV438" s="139"/>
      <c r="AW438" s="139"/>
      <c r="AX438" s="139"/>
      <c r="AY438" s="139"/>
      <c r="AZ438" s="139"/>
      <c r="BA438" s="139"/>
      <c r="BB438" s="139"/>
      <c r="BC438" s="139"/>
      <c r="BD438" s="139"/>
      <c r="BE438" s="139"/>
      <c r="BF438" s="139"/>
      <c r="BG438" s="139"/>
      <c r="BH438" s="139"/>
    </row>
    <row r="439" spans="2:60" s="11" customFormat="1" ht="20.100000000000001" customHeight="1">
      <c r="B439" s="1661"/>
      <c r="C439" s="9597" t="s">
        <v>370</v>
      </c>
      <c r="D439" s="9597"/>
      <c r="E439" s="9597"/>
      <c r="F439" s="492" t="s">
        <v>344</v>
      </c>
      <c r="G439" s="6158"/>
      <c r="H439" s="9597" t="s">
        <v>371</v>
      </c>
      <c r="I439" s="9597"/>
      <c r="J439" s="9597"/>
      <c r="K439" s="5732" t="s">
        <v>344</v>
      </c>
      <c r="L439" s="5653" t="str">
        <f>IF(COUNTBLANK(L440:L445)&gt;0,"미취합법인有",SUM(L440:L445))</f>
        <v>미취합법인有</v>
      </c>
      <c r="M439" s="5657"/>
      <c r="N439" s="5654" t="str">
        <f>IF(COUNTBLANK(N440:N445)&gt;0,"미취합법인有",SUM(N440:N445))</f>
        <v>미취합법인有</v>
      </c>
      <c r="O439" s="5663"/>
      <c r="P439" s="5781" t="str">
        <f>IF(COUNTBLANK(P440:P445)&gt;0,"미취합법인有",SUM(P440:P445))</f>
        <v>미취합법인有</v>
      </c>
      <c r="Q439" s="785"/>
      <c r="R439" s="2472" t="s">
        <v>372</v>
      </c>
      <c r="S439" s="457" t="s">
        <v>373</v>
      </c>
      <c r="T439" s="99" t="s">
        <v>189</v>
      </c>
      <c r="U439" s="138"/>
      <c r="V439" s="138"/>
      <c r="W439" s="299" t="s">
        <v>193</v>
      </c>
      <c r="X439" s="265" t="s">
        <v>374</v>
      </c>
      <c r="Y439" s="265"/>
      <c r="Z439" s="187" t="s">
        <v>350</v>
      </c>
      <c r="AA439" s="6301"/>
      <c r="AB439" s="139"/>
      <c r="AC439" s="139"/>
      <c r="AD439" s="139"/>
      <c r="AE439" s="139"/>
      <c r="AF439" s="139"/>
      <c r="AG439" s="139"/>
      <c r="AH439" s="139"/>
      <c r="AI439" s="139"/>
      <c r="AJ439" s="139"/>
      <c r="AK439" s="139"/>
      <c r="AL439" s="139"/>
      <c r="AM439" s="139"/>
      <c r="AN439" s="139"/>
      <c r="AO439" s="139"/>
      <c r="AP439" s="139"/>
      <c r="AQ439" s="139"/>
      <c r="AR439" s="139"/>
      <c r="AS439" s="139"/>
      <c r="AT439" s="139"/>
      <c r="AU439" s="139"/>
      <c r="AV439" s="139"/>
      <c r="AW439" s="139"/>
      <c r="AX439" s="139"/>
      <c r="AY439" s="139"/>
      <c r="AZ439" s="139"/>
      <c r="BA439" s="139"/>
      <c r="BB439" s="139"/>
      <c r="BC439" s="139"/>
      <c r="BD439" s="139"/>
      <c r="BE439" s="139"/>
      <c r="BF439" s="139"/>
      <c r="BG439" s="139"/>
      <c r="BH439" s="139"/>
    </row>
    <row r="440" spans="2:60" s="11" customFormat="1" ht="19.899999999999999" customHeight="1">
      <c r="B440" s="5590"/>
      <c r="C440" s="9647" t="s">
        <v>134</v>
      </c>
      <c r="D440" s="9648"/>
      <c r="E440" s="9649"/>
      <c r="F440" s="492" t="s">
        <v>344</v>
      </c>
      <c r="G440" s="253"/>
      <c r="H440" s="9579" t="s">
        <v>135</v>
      </c>
      <c r="I440" s="9580"/>
      <c r="J440" s="9581"/>
      <c r="K440" s="5732" t="s">
        <v>344</v>
      </c>
      <c r="L440" s="5592">
        <v>0</v>
      </c>
      <c r="M440" s="5656"/>
      <c r="N440" s="5593">
        <v>0</v>
      </c>
      <c r="O440" s="5656"/>
      <c r="P440" s="5593">
        <v>0</v>
      </c>
      <c r="Q440" s="5656"/>
      <c r="R440" s="1033"/>
      <c r="S440" s="263"/>
      <c r="T440" s="99"/>
      <c r="U440" s="138"/>
      <c r="V440" s="138"/>
      <c r="W440" s="299" t="s">
        <v>193</v>
      </c>
      <c r="X440" s="264"/>
      <c r="Y440" s="277"/>
      <c r="Z440" s="187"/>
      <c r="AA440" s="6301"/>
      <c r="AB440" s="139"/>
      <c r="AC440" s="139"/>
      <c r="AD440" s="139"/>
      <c r="AE440" s="139"/>
      <c r="AF440" s="139"/>
      <c r="AG440" s="139"/>
      <c r="AH440" s="139"/>
      <c r="AI440" s="139"/>
      <c r="AJ440" s="139"/>
      <c r="AK440" s="139"/>
      <c r="AL440" s="139"/>
      <c r="AM440" s="139"/>
      <c r="AN440" s="139"/>
      <c r="AO440" s="139"/>
      <c r="AP440" s="139"/>
      <c r="AQ440" s="139"/>
      <c r="AR440" s="139"/>
      <c r="AS440" s="139"/>
      <c r="AT440" s="139"/>
      <c r="AU440" s="139"/>
      <c r="AV440" s="139"/>
      <c r="AW440" s="139"/>
      <c r="AX440" s="139"/>
      <c r="AY440" s="139"/>
      <c r="AZ440" s="139"/>
      <c r="BA440" s="139"/>
      <c r="BB440" s="139"/>
      <c r="BC440" s="139"/>
      <c r="BD440" s="139"/>
      <c r="BE440" s="139"/>
      <c r="BF440" s="139"/>
      <c r="BG440" s="139"/>
      <c r="BH440" s="139"/>
    </row>
    <row r="441" spans="2:60" s="11" customFormat="1" ht="19.899999999999999" customHeight="1">
      <c r="B441" s="5590"/>
      <c r="C441" s="9647" t="s">
        <v>137</v>
      </c>
      <c r="D441" s="9648"/>
      <c r="E441" s="9649"/>
      <c r="F441" s="492" t="s">
        <v>344</v>
      </c>
      <c r="G441" s="253"/>
      <c r="H441" s="9579" t="s">
        <v>138</v>
      </c>
      <c r="I441" s="9580"/>
      <c r="J441" s="9581"/>
      <c r="K441" s="5732" t="s">
        <v>344</v>
      </c>
      <c r="L441" s="5592"/>
      <c r="M441" s="5656"/>
      <c r="N441" s="5593"/>
      <c r="O441" s="5593"/>
      <c r="P441" s="5593"/>
      <c r="Q441" s="5593"/>
      <c r="R441" s="1033"/>
      <c r="S441" s="263"/>
      <c r="T441" s="99"/>
      <c r="U441" s="138"/>
      <c r="V441" s="138"/>
      <c r="W441" s="299" t="s">
        <v>193</v>
      </c>
      <c r="X441" s="264"/>
      <c r="Y441" s="277"/>
      <c r="Z441" s="187"/>
      <c r="AA441" s="6301"/>
      <c r="AB441" s="139"/>
      <c r="AC441" s="139"/>
      <c r="AD441" s="139"/>
      <c r="AE441" s="139"/>
      <c r="AF441" s="139"/>
      <c r="AG441" s="139"/>
      <c r="AH441" s="139"/>
      <c r="AI441" s="139"/>
      <c r="AJ441" s="139"/>
      <c r="AK441" s="139"/>
      <c r="AL441" s="139"/>
      <c r="AM441" s="139"/>
      <c r="AN441" s="139"/>
      <c r="AO441" s="139"/>
      <c r="AP441" s="139"/>
      <c r="AQ441" s="139"/>
      <c r="AR441" s="139"/>
      <c r="AS441" s="139"/>
      <c r="AT441" s="139"/>
      <c r="AU441" s="139"/>
      <c r="AV441" s="139"/>
      <c r="AW441" s="139"/>
      <c r="AX441" s="139"/>
      <c r="AY441" s="139"/>
      <c r="AZ441" s="139"/>
      <c r="BA441" s="139"/>
      <c r="BB441" s="139"/>
      <c r="BC441" s="139"/>
      <c r="BD441" s="139"/>
      <c r="BE441" s="139"/>
      <c r="BF441" s="139"/>
      <c r="BG441" s="139"/>
      <c r="BH441" s="139"/>
    </row>
    <row r="442" spans="2:60" s="11" customFormat="1" ht="19.899999999999999" customHeight="1">
      <c r="B442" s="5590"/>
      <c r="C442" s="9647" t="s">
        <v>140</v>
      </c>
      <c r="D442" s="9648"/>
      <c r="E442" s="9649"/>
      <c r="F442" s="492" t="s">
        <v>344</v>
      </c>
      <c r="G442" s="253"/>
      <c r="H442" s="9579" t="s">
        <v>141</v>
      </c>
      <c r="I442" s="9580"/>
      <c r="J442" s="9581"/>
      <c r="K442" s="5732" t="s">
        <v>344</v>
      </c>
      <c r="L442" s="5592">
        <v>0</v>
      </c>
      <c r="M442" s="5656"/>
      <c r="N442" s="5593">
        <v>0</v>
      </c>
      <c r="O442" s="5593"/>
      <c r="P442" s="5593">
        <v>0</v>
      </c>
      <c r="Q442" s="5593"/>
      <c r="R442" s="1033"/>
      <c r="S442" s="263"/>
      <c r="T442" s="99"/>
      <c r="U442" s="138"/>
      <c r="V442" s="138"/>
      <c r="W442" s="299" t="s">
        <v>193</v>
      </c>
      <c r="X442" s="264"/>
      <c r="Y442" s="277"/>
      <c r="Z442" s="187"/>
      <c r="AA442" s="6301"/>
      <c r="AB442" s="139"/>
      <c r="AC442" s="139"/>
      <c r="AD442" s="139"/>
      <c r="AE442" s="139"/>
      <c r="AF442" s="139"/>
      <c r="AG442" s="139"/>
      <c r="AH442" s="139"/>
      <c r="AI442" s="139"/>
      <c r="AJ442" s="139"/>
      <c r="AK442" s="139"/>
      <c r="AL442" s="139"/>
      <c r="AM442" s="139"/>
      <c r="AN442" s="139"/>
      <c r="AO442" s="139"/>
      <c r="AP442" s="139"/>
      <c r="AQ442" s="139"/>
      <c r="AR442" s="139"/>
      <c r="AS442" s="139"/>
      <c r="AT442" s="139"/>
      <c r="AU442" s="139"/>
      <c r="AV442" s="139"/>
      <c r="AW442" s="139"/>
      <c r="AX442" s="139"/>
      <c r="AY442" s="139"/>
      <c r="AZ442" s="139"/>
      <c r="BA442" s="139"/>
      <c r="BB442" s="139"/>
      <c r="BC442" s="139"/>
      <c r="BD442" s="139"/>
      <c r="BE442" s="139"/>
      <c r="BF442" s="139"/>
      <c r="BG442" s="139"/>
      <c r="BH442" s="139"/>
    </row>
    <row r="443" spans="2:60" s="11" customFormat="1" ht="19.899999999999999" customHeight="1">
      <c r="B443" s="5590"/>
      <c r="C443" s="9647" t="s">
        <v>143</v>
      </c>
      <c r="D443" s="9648"/>
      <c r="E443" s="9649"/>
      <c r="F443" s="492" t="s">
        <v>344</v>
      </c>
      <c r="G443" s="253"/>
      <c r="H443" s="9579" t="s">
        <v>144</v>
      </c>
      <c r="I443" s="9580"/>
      <c r="J443" s="9581"/>
      <c r="K443" s="5732" t="s">
        <v>344</v>
      </c>
      <c r="L443" s="5592">
        <v>0</v>
      </c>
      <c r="M443" s="5656"/>
      <c r="N443" s="5593">
        <v>0</v>
      </c>
      <c r="O443" s="5593"/>
      <c r="P443" s="5593">
        <v>0</v>
      </c>
      <c r="Q443" s="5593"/>
      <c r="R443" s="1033"/>
      <c r="S443" s="263"/>
      <c r="T443" s="99"/>
      <c r="U443" s="138"/>
      <c r="V443" s="138"/>
      <c r="W443" s="299" t="s">
        <v>193</v>
      </c>
      <c r="X443" s="264"/>
      <c r="Y443" s="277"/>
      <c r="Z443" s="187"/>
      <c r="AA443" s="6301"/>
      <c r="AB443" s="139"/>
      <c r="AC443" s="139"/>
      <c r="AD443" s="139"/>
      <c r="AE443" s="139"/>
      <c r="AF443" s="139"/>
      <c r="AG443" s="139"/>
      <c r="AH443" s="139"/>
      <c r="AI443" s="139"/>
      <c r="AJ443" s="139"/>
      <c r="AK443" s="139"/>
      <c r="AL443" s="139"/>
      <c r="AM443" s="139"/>
      <c r="AN443" s="139"/>
      <c r="AO443" s="139"/>
      <c r="AP443" s="139"/>
      <c r="AQ443" s="139"/>
      <c r="AR443" s="139"/>
      <c r="AS443" s="139"/>
      <c r="AT443" s="139"/>
      <c r="AU443" s="139"/>
      <c r="AV443" s="139"/>
      <c r="AW443" s="139"/>
      <c r="AX443" s="139"/>
      <c r="AY443" s="139"/>
      <c r="AZ443" s="139"/>
      <c r="BA443" s="139"/>
      <c r="BB443" s="139"/>
      <c r="BC443" s="139"/>
      <c r="BD443" s="139"/>
      <c r="BE443" s="139"/>
      <c r="BF443" s="139"/>
      <c r="BG443" s="139"/>
      <c r="BH443" s="139"/>
    </row>
    <row r="444" spans="2:60" s="11" customFormat="1" ht="19.899999999999999" customHeight="1">
      <c r="B444" s="5590"/>
      <c r="C444" s="9647" t="s">
        <v>631</v>
      </c>
      <c r="D444" s="9648"/>
      <c r="E444" s="9649"/>
      <c r="F444" s="492" t="s">
        <v>344</v>
      </c>
      <c r="G444" s="253"/>
      <c r="H444" s="9579" t="s">
        <v>147</v>
      </c>
      <c r="I444" s="9580"/>
      <c r="J444" s="9581"/>
      <c r="K444" s="5732" t="s">
        <v>344</v>
      </c>
      <c r="L444" s="5592"/>
      <c r="M444" s="5656"/>
      <c r="N444" s="5593"/>
      <c r="O444" s="5593"/>
      <c r="P444" s="5593"/>
      <c r="Q444" s="5593"/>
      <c r="R444" s="1033"/>
      <c r="S444" s="263"/>
      <c r="T444" s="99"/>
      <c r="U444" s="138"/>
      <c r="V444" s="138"/>
      <c r="W444" s="299" t="s">
        <v>193</v>
      </c>
      <c r="X444" s="264"/>
      <c r="Y444" s="277"/>
      <c r="Z444" s="187"/>
      <c r="AA444" s="6301"/>
      <c r="AB444" s="139"/>
      <c r="AC444" s="139"/>
      <c r="AD444" s="139"/>
      <c r="AE444" s="139"/>
      <c r="AF444" s="139"/>
      <c r="AG444" s="139"/>
      <c r="AH444" s="139"/>
      <c r="AI444" s="139"/>
      <c r="AJ444" s="139"/>
      <c r="AK444" s="139"/>
      <c r="AL444" s="139"/>
      <c r="AM444" s="139"/>
      <c r="AN444" s="139"/>
      <c r="AO444" s="139"/>
      <c r="AP444" s="139"/>
      <c r="AQ444" s="139"/>
      <c r="AR444" s="139"/>
      <c r="AS444" s="139"/>
      <c r="AT444" s="139"/>
      <c r="AU444" s="139"/>
      <c r="AV444" s="139"/>
      <c r="AW444" s="139"/>
      <c r="AX444" s="139"/>
      <c r="AY444" s="139"/>
      <c r="AZ444" s="139"/>
      <c r="BA444" s="139"/>
      <c r="BB444" s="139"/>
      <c r="BC444" s="139"/>
      <c r="BD444" s="139"/>
      <c r="BE444" s="139"/>
      <c r="BF444" s="139"/>
      <c r="BG444" s="139"/>
      <c r="BH444" s="139"/>
    </row>
    <row r="445" spans="2:60" s="11" customFormat="1" ht="19.899999999999999" customHeight="1">
      <c r="B445" s="5590"/>
      <c r="C445" s="9647" t="s">
        <v>633</v>
      </c>
      <c r="D445" s="9648"/>
      <c r="E445" s="9649"/>
      <c r="F445" s="492" t="s">
        <v>344</v>
      </c>
      <c r="G445" s="253"/>
      <c r="H445" s="9579" t="s">
        <v>150</v>
      </c>
      <c r="I445" s="9580"/>
      <c r="J445" s="9581"/>
      <c r="K445" s="5732" t="s">
        <v>344</v>
      </c>
      <c r="L445" s="5592"/>
      <c r="M445" s="5656"/>
      <c r="N445" s="5593"/>
      <c r="O445" s="5593"/>
      <c r="P445" s="5593"/>
      <c r="Q445" s="5593"/>
      <c r="R445" s="1033"/>
      <c r="S445" s="263"/>
      <c r="T445" s="99"/>
      <c r="U445" s="138"/>
      <c r="V445" s="138"/>
      <c r="W445" s="299" t="s">
        <v>193</v>
      </c>
      <c r="X445" s="264"/>
      <c r="Y445" s="277"/>
      <c r="Z445" s="187"/>
      <c r="AA445" s="6301"/>
      <c r="AB445" s="139"/>
      <c r="AC445" s="139"/>
      <c r="AD445" s="139"/>
      <c r="AE445" s="139"/>
      <c r="AF445" s="139"/>
      <c r="AG445" s="139"/>
      <c r="AH445" s="139"/>
      <c r="AI445" s="139"/>
      <c r="AJ445" s="139"/>
      <c r="AK445" s="139"/>
      <c r="AL445" s="139"/>
      <c r="AM445" s="139"/>
      <c r="AN445" s="139"/>
      <c r="AO445" s="139"/>
      <c r="AP445" s="139"/>
      <c r="AQ445" s="139"/>
      <c r="AR445" s="139"/>
      <c r="AS445" s="139"/>
      <c r="AT445" s="139"/>
      <c r="AU445" s="139"/>
      <c r="AV445" s="139"/>
      <c r="AW445" s="139"/>
      <c r="AX445" s="139"/>
      <c r="AY445" s="139"/>
      <c r="AZ445" s="139"/>
      <c r="BA445" s="139"/>
      <c r="BB445" s="139"/>
      <c r="BC445" s="139"/>
      <c r="BD445" s="139"/>
      <c r="BE445" s="139"/>
      <c r="BF445" s="139"/>
      <c r="BG445" s="139"/>
      <c r="BH445" s="139"/>
    </row>
    <row r="446" spans="2:60" s="11" customFormat="1" ht="20.100000000000001" customHeight="1">
      <c r="B446" s="1360"/>
      <c r="C446" s="5598"/>
      <c r="D446" s="9586" t="s">
        <v>343</v>
      </c>
      <c r="E446" s="9587"/>
      <c r="F446" s="492" t="s">
        <v>344</v>
      </c>
      <c r="G446" s="6158"/>
      <c r="H446" s="345"/>
      <c r="I446" s="9586" t="s">
        <v>680</v>
      </c>
      <c r="J446" s="9587"/>
      <c r="K446" s="5732" t="s">
        <v>344</v>
      </c>
      <c r="L446" s="5653" t="str">
        <f>IF(COUNTBLANK(L447:L452)&gt;0,"미취합법인有",SUM(L447:L452))</f>
        <v>미취합법인有</v>
      </c>
      <c r="M446" s="5657"/>
      <c r="N446" s="5654" t="str">
        <f>IF(COUNTBLANK(N447:N452)&gt;0,"미취합법인有",SUM(N447:N452))</f>
        <v>미취합법인有</v>
      </c>
      <c r="O446" s="5663"/>
      <c r="P446" s="5781" t="str">
        <f>IF(COUNTBLANK(P447:P452)&gt;0,"미취합법인有",SUM(P447:P452))</f>
        <v>미취합법인有</v>
      </c>
      <c r="Q446" s="785"/>
      <c r="R446" s="2472"/>
      <c r="S446" s="457"/>
      <c r="T446" s="99" t="s">
        <v>189</v>
      </c>
      <c r="U446" s="138"/>
      <c r="V446" s="138"/>
      <c r="W446" s="299" t="s">
        <v>193</v>
      </c>
      <c r="X446" s="265" t="s">
        <v>374</v>
      </c>
      <c r="Y446" s="265"/>
      <c r="Z446" s="187"/>
      <c r="AA446" s="6301"/>
      <c r="AB446" s="139"/>
      <c r="AC446" s="139"/>
      <c r="AD446" s="139"/>
      <c r="AE446" s="139"/>
      <c r="AF446" s="139"/>
      <c r="AG446" s="139"/>
      <c r="AH446" s="139"/>
      <c r="AI446" s="139"/>
      <c r="AJ446" s="139"/>
      <c r="AK446" s="139"/>
      <c r="AL446" s="139"/>
      <c r="AM446" s="139"/>
      <c r="AN446" s="139"/>
      <c r="AO446" s="139"/>
      <c r="AP446" s="139"/>
      <c r="AQ446" s="139"/>
      <c r="AR446" s="139"/>
      <c r="AS446" s="139"/>
      <c r="AT446" s="139"/>
      <c r="AU446" s="139"/>
      <c r="AV446" s="139"/>
      <c r="AW446" s="139"/>
      <c r="AX446" s="139"/>
      <c r="AY446" s="139"/>
      <c r="AZ446" s="139"/>
      <c r="BA446" s="139"/>
      <c r="BB446" s="139"/>
      <c r="BC446" s="139"/>
      <c r="BD446" s="139"/>
      <c r="BE446" s="139"/>
      <c r="BF446" s="139"/>
      <c r="BG446" s="139"/>
      <c r="BH446" s="139"/>
    </row>
    <row r="447" spans="2:60" s="11" customFormat="1" ht="19.899999999999999" customHeight="1">
      <c r="B447" s="5590"/>
      <c r="C447" s="5598"/>
      <c r="D447" s="9598" t="s">
        <v>134</v>
      </c>
      <c r="E447" s="9600"/>
      <c r="F447" s="492" t="s">
        <v>344</v>
      </c>
      <c r="G447" s="253"/>
      <c r="H447" s="253"/>
      <c r="I447" s="9579" t="s">
        <v>135</v>
      </c>
      <c r="J447" s="9581"/>
      <c r="K447" s="5732" t="s">
        <v>344</v>
      </c>
      <c r="L447" s="5670">
        <v>27681</v>
      </c>
      <c r="M447" s="5671" t="s">
        <v>681</v>
      </c>
      <c r="N447" s="5672">
        <v>664460</v>
      </c>
      <c r="O447" s="5673" t="s">
        <v>682</v>
      </c>
      <c r="P447" s="5672">
        <v>699683</v>
      </c>
      <c r="Q447" s="5672"/>
      <c r="R447" s="2468"/>
      <c r="S447" s="276"/>
      <c r="T447" s="99"/>
      <c r="U447" s="138"/>
      <c r="V447" s="138"/>
      <c r="W447" s="299" t="s">
        <v>193</v>
      </c>
      <c r="X447" s="264"/>
      <c r="Y447" s="277"/>
      <c r="Z447" s="187"/>
      <c r="AA447" s="6301"/>
      <c r="AB447" s="139"/>
      <c r="AC447" s="139"/>
      <c r="AD447" s="139"/>
      <c r="AE447" s="139"/>
      <c r="AF447" s="139"/>
      <c r="AG447" s="139"/>
      <c r="AH447" s="139"/>
      <c r="AI447" s="139"/>
      <c r="AJ447" s="139"/>
      <c r="AK447" s="139"/>
      <c r="AL447" s="139"/>
      <c r="AM447" s="139"/>
      <c r="AN447" s="139"/>
      <c r="AO447" s="139"/>
      <c r="AP447" s="139"/>
      <c r="AQ447" s="139"/>
      <c r="AR447" s="139"/>
      <c r="AS447" s="139"/>
      <c r="AT447" s="139"/>
      <c r="AU447" s="139"/>
      <c r="AV447" s="139"/>
      <c r="AW447" s="139"/>
      <c r="AX447" s="139"/>
      <c r="AY447" s="139"/>
      <c r="AZ447" s="139"/>
      <c r="BA447" s="139"/>
      <c r="BB447" s="139"/>
      <c r="BC447" s="139"/>
      <c r="BD447" s="139"/>
      <c r="BE447" s="139"/>
      <c r="BF447" s="139"/>
      <c r="BG447" s="139"/>
      <c r="BH447" s="139"/>
    </row>
    <row r="448" spans="2:60" s="11" customFormat="1" ht="19.899999999999999" customHeight="1">
      <c r="B448" s="5590"/>
      <c r="C448" s="5598"/>
      <c r="D448" s="9598" t="s">
        <v>137</v>
      </c>
      <c r="E448" s="9600"/>
      <c r="F448" s="492" t="s">
        <v>344</v>
      </c>
      <c r="G448" s="253"/>
      <c r="H448" s="253"/>
      <c r="I448" s="9579" t="s">
        <v>138</v>
      </c>
      <c r="J448" s="9581"/>
      <c r="K448" s="5732" t="s">
        <v>344</v>
      </c>
      <c r="L448" s="5594"/>
      <c r="M448" s="5658"/>
      <c r="N448" s="1814"/>
      <c r="O448" s="5302"/>
      <c r="P448" s="5595"/>
      <c r="Q448" s="1814"/>
      <c r="R448" s="2468"/>
      <c r="S448" s="276"/>
      <c r="T448" s="99"/>
      <c r="U448" s="138"/>
      <c r="V448" s="138"/>
      <c r="W448" s="299" t="s">
        <v>193</v>
      </c>
      <c r="X448" s="264"/>
      <c r="Y448" s="277"/>
      <c r="Z448" s="187"/>
      <c r="AA448" s="6301"/>
      <c r="AB448" s="139"/>
      <c r="AC448" s="139"/>
      <c r="AD448" s="139"/>
      <c r="AE448" s="139"/>
      <c r="AF448" s="139"/>
      <c r="AG448" s="139"/>
      <c r="AH448" s="139"/>
      <c r="AI448" s="139"/>
      <c r="AJ448" s="139"/>
      <c r="AK448" s="139"/>
      <c r="AL448" s="139"/>
      <c r="AM448" s="139"/>
      <c r="AN448" s="139"/>
      <c r="AO448" s="139"/>
      <c r="AP448" s="139"/>
      <c r="AQ448" s="139"/>
      <c r="AR448" s="139"/>
      <c r="AS448" s="139"/>
      <c r="AT448" s="139"/>
      <c r="AU448" s="139"/>
      <c r="AV448" s="139"/>
      <c r="AW448" s="139"/>
      <c r="AX448" s="139"/>
      <c r="AY448" s="139"/>
      <c r="AZ448" s="139"/>
      <c r="BA448" s="139"/>
      <c r="BB448" s="139"/>
      <c r="BC448" s="139"/>
      <c r="BD448" s="139"/>
      <c r="BE448" s="139"/>
      <c r="BF448" s="139"/>
      <c r="BG448" s="139"/>
      <c r="BH448" s="139"/>
    </row>
    <row r="449" spans="2:60" s="11" customFormat="1" ht="19.899999999999999" customHeight="1">
      <c r="B449" s="5590"/>
      <c r="C449" s="5598"/>
      <c r="D449" s="9598" t="s">
        <v>140</v>
      </c>
      <c r="E449" s="9600"/>
      <c r="F449" s="492" t="s">
        <v>344</v>
      </c>
      <c r="G449" s="253"/>
      <c r="H449" s="253"/>
      <c r="I449" s="9582" t="s">
        <v>141</v>
      </c>
      <c r="J449" s="9583"/>
      <c r="K449" s="5732" t="s">
        <v>344</v>
      </c>
      <c r="L449" s="2557"/>
      <c r="M449" s="5610"/>
      <c r="N449" s="2554"/>
      <c r="O449" s="2815"/>
      <c r="P449" s="5666"/>
      <c r="Q449" s="2554"/>
      <c r="R449" s="2468"/>
      <c r="S449" s="276"/>
      <c r="T449" s="99"/>
      <c r="U449" s="138"/>
      <c r="V449" s="138"/>
      <c r="W449" s="299" t="s">
        <v>193</v>
      </c>
      <c r="X449" s="264"/>
      <c r="Y449" s="277"/>
      <c r="Z449" s="187"/>
      <c r="AA449" s="6301"/>
      <c r="AB449" s="139"/>
      <c r="AC449" s="139"/>
      <c r="AD449" s="139"/>
      <c r="AE449" s="139"/>
      <c r="AF449" s="139"/>
      <c r="AG449" s="139"/>
      <c r="AH449" s="139"/>
      <c r="AI449" s="139"/>
      <c r="AJ449" s="139"/>
      <c r="AK449" s="139"/>
      <c r="AL449" s="139"/>
      <c r="AM449" s="139"/>
      <c r="AN449" s="139"/>
      <c r="AO449" s="139"/>
      <c r="AP449" s="139"/>
      <c r="AQ449" s="139"/>
      <c r="AR449" s="139"/>
      <c r="AS449" s="139"/>
      <c r="AT449" s="139"/>
      <c r="AU449" s="139"/>
      <c r="AV449" s="139"/>
      <c r="AW449" s="139"/>
      <c r="AX449" s="139"/>
      <c r="AY449" s="139"/>
      <c r="AZ449" s="139"/>
      <c r="BA449" s="139"/>
      <c r="BB449" s="139"/>
      <c r="BC449" s="139"/>
      <c r="BD449" s="139"/>
      <c r="BE449" s="139"/>
      <c r="BF449" s="139"/>
      <c r="BG449" s="139"/>
      <c r="BH449" s="139"/>
    </row>
    <row r="450" spans="2:60" s="11" customFormat="1" ht="19.899999999999999" customHeight="1">
      <c r="B450" s="5590"/>
      <c r="C450" s="5598"/>
      <c r="D450" s="9598" t="s">
        <v>143</v>
      </c>
      <c r="E450" s="9600"/>
      <c r="F450" s="492" t="s">
        <v>344</v>
      </c>
      <c r="G450" s="253"/>
      <c r="H450" s="253"/>
      <c r="I450" s="9582" t="s">
        <v>144</v>
      </c>
      <c r="J450" s="9583"/>
      <c r="K450" s="5732" t="s">
        <v>344</v>
      </c>
      <c r="L450" s="5592"/>
      <c r="M450" s="5656"/>
      <c r="N450" s="5593"/>
      <c r="O450" s="5593"/>
      <c r="P450" s="5593"/>
      <c r="Q450" s="5593"/>
      <c r="R450" s="2468"/>
      <c r="S450" s="276"/>
      <c r="T450" s="99"/>
      <c r="U450" s="138"/>
      <c r="V450" s="138"/>
      <c r="W450" s="299" t="s">
        <v>193</v>
      </c>
      <c r="X450" s="264"/>
      <c r="Y450" s="277"/>
      <c r="Z450" s="187"/>
      <c r="AA450" s="6301"/>
      <c r="AB450" s="139"/>
      <c r="AC450" s="139"/>
      <c r="AD450" s="139"/>
      <c r="AE450" s="139"/>
      <c r="AF450" s="139"/>
      <c r="AG450" s="139"/>
      <c r="AH450" s="139"/>
      <c r="AI450" s="139"/>
      <c r="AJ450" s="139"/>
      <c r="AK450" s="139"/>
      <c r="AL450" s="139"/>
      <c r="AM450" s="139"/>
      <c r="AN450" s="139"/>
      <c r="AO450" s="139"/>
      <c r="AP450" s="139"/>
      <c r="AQ450" s="139"/>
      <c r="AR450" s="139"/>
      <c r="AS450" s="139"/>
      <c r="AT450" s="139"/>
      <c r="AU450" s="139"/>
      <c r="AV450" s="139"/>
      <c r="AW450" s="139"/>
      <c r="AX450" s="139"/>
      <c r="AY450" s="139"/>
      <c r="AZ450" s="139"/>
      <c r="BA450" s="139"/>
      <c r="BB450" s="139"/>
      <c r="BC450" s="139"/>
      <c r="BD450" s="139"/>
      <c r="BE450" s="139"/>
      <c r="BF450" s="139"/>
      <c r="BG450" s="139"/>
      <c r="BH450" s="139"/>
    </row>
    <row r="451" spans="2:60" s="11" customFormat="1" ht="19.899999999999999" customHeight="1">
      <c r="B451" s="5590"/>
      <c r="C451" s="5598"/>
      <c r="D451" s="9598" t="s">
        <v>631</v>
      </c>
      <c r="E451" s="9600"/>
      <c r="F451" s="492" t="s">
        <v>344</v>
      </c>
      <c r="G451" s="253"/>
      <c r="H451" s="253"/>
      <c r="I451" s="9582" t="s">
        <v>147</v>
      </c>
      <c r="J451" s="9583"/>
      <c r="K451" s="5732" t="s">
        <v>344</v>
      </c>
      <c r="L451" s="5592"/>
      <c r="M451" s="5656"/>
      <c r="N451" s="5593"/>
      <c r="O451" s="5593"/>
      <c r="P451" s="5593"/>
      <c r="Q451" s="5593"/>
      <c r="R451" s="2468"/>
      <c r="S451" s="276"/>
      <c r="T451" s="99"/>
      <c r="U451" s="138"/>
      <c r="V451" s="138"/>
      <c r="W451" s="299" t="s">
        <v>193</v>
      </c>
      <c r="X451" s="264"/>
      <c r="Y451" s="277"/>
      <c r="Z451" s="187"/>
      <c r="AA451" s="6301"/>
      <c r="AB451" s="139"/>
      <c r="AC451" s="139"/>
      <c r="AD451" s="139"/>
      <c r="AE451" s="139"/>
      <c r="AF451" s="139"/>
      <c r="AG451" s="139"/>
      <c r="AH451" s="139"/>
      <c r="AI451" s="139"/>
      <c r="AJ451" s="139"/>
      <c r="AK451" s="139"/>
      <c r="AL451" s="139"/>
      <c r="AM451" s="139"/>
      <c r="AN451" s="139"/>
      <c r="AO451" s="139"/>
      <c r="AP451" s="139"/>
      <c r="AQ451" s="139"/>
      <c r="AR451" s="139"/>
      <c r="AS451" s="139"/>
      <c r="AT451" s="139"/>
      <c r="AU451" s="139"/>
      <c r="AV451" s="139"/>
      <c r="AW451" s="139"/>
      <c r="AX451" s="139"/>
      <c r="AY451" s="139"/>
      <c r="AZ451" s="139"/>
      <c r="BA451" s="139"/>
      <c r="BB451" s="139"/>
      <c r="BC451" s="139"/>
      <c r="BD451" s="139"/>
      <c r="BE451" s="139"/>
      <c r="BF451" s="139"/>
      <c r="BG451" s="139"/>
      <c r="BH451" s="139"/>
    </row>
    <row r="452" spans="2:60" s="11" customFormat="1" ht="19.899999999999999" customHeight="1">
      <c r="B452" s="5590"/>
      <c r="C452" s="5598"/>
      <c r="D452" s="9598" t="s">
        <v>633</v>
      </c>
      <c r="E452" s="9600"/>
      <c r="F452" s="492" t="s">
        <v>344</v>
      </c>
      <c r="G452" s="253"/>
      <c r="H452" s="253"/>
      <c r="I452" s="9582" t="s">
        <v>150</v>
      </c>
      <c r="J452" s="9583"/>
      <c r="K452" s="5732" t="s">
        <v>344</v>
      </c>
      <c r="L452" s="5592"/>
      <c r="M452" s="5656"/>
      <c r="N452" s="5593"/>
      <c r="O452" s="5593"/>
      <c r="P452" s="5593"/>
      <c r="Q452" s="5593"/>
      <c r="R452" s="2468"/>
      <c r="S452" s="276"/>
      <c r="T452" s="99"/>
      <c r="U452" s="138"/>
      <c r="V452" s="138"/>
      <c r="W452" s="299" t="s">
        <v>193</v>
      </c>
      <c r="X452" s="264"/>
      <c r="Y452" s="277"/>
      <c r="Z452" s="187"/>
      <c r="AA452" s="6301"/>
      <c r="AB452" s="139"/>
      <c r="AC452" s="139"/>
      <c r="AD452" s="139"/>
      <c r="AE452" s="139"/>
      <c r="AF452" s="139"/>
      <c r="AG452" s="139"/>
      <c r="AH452" s="139"/>
      <c r="AI452" s="139"/>
      <c r="AJ452" s="139"/>
      <c r="AK452" s="139"/>
      <c r="AL452" s="139"/>
      <c r="AM452" s="139"/>
      <c r="AN452" s="139"/>
      <c r="AO452" s="139"/>
      <c r="AP452" s="139"/>
      <c r="AQ452" s="139"/>
      <c r="AR452" s="139"/>
      <c r="AS452" s="139"/>
      <c r="AT452" s="139"/>
      <c r="AU452" s="139"/>
      <c r="AV452" s="139"/>
      <c r="AW452" s="139"/>
      <c r="AX452" s="139"/>
      <c r="AY452" s="139"/>
      <c r="AZ452" s="139"/>
      <c r="BA452" s="139"/>
      <c r="BB452" s="139"/>
      <c r="BC452" s="139"/>
      <c r="BD452" s="139"/>
      <c r="BE452" s="139"/>
      <c r="BF452" s="139"/>
      <c r="BG452" s="139"/>
      <c r="BH452" s="139"/>
    </row>
    <row r="453" spans="2:60" s="11" customFormat="1" ht="20.100000000000001" customHeight="1">
      <c r="B453" s="1360"/>
      <c r="C453" s="5598"/>
      <c r="D453" s="9586" t="s">
        <v>362</v>
      </c>
      <c r="E453" s="9587"/>
      <c r="F453" s="492" t="s">
        <v>344</v>
      </c>
      <c r="G453" s="6158"/>
      <c r="H453" s="345"/>
      <c r="I453" s="9586" t="s">
        <v>363</v>
      </c>
      <c r="J453" s="9588"/>
      <c r="K453" s="5732" t="s">
        <v>344</v>
      </c>
      <c r="L453" s="5653" t="str">
        <f>IF(COUNTBLANK(L454:L459)&gt;0,"미취합법인有",SUM(L454:L459))</f>
        <v>미취합법인有</v>
      </c>
      <c r="M453" s="5657"/>
      <c r="N453" s="5654" t="str">
        <f>IF(COUNTBLANK(N454:N459)&gt;0,"미취합법인有",SUM(N454:N459))</f>
        <v>미취합법인有</v>
      </c>
      <c r="O453" s="5663"/>
      <c r="P453" s="5781" t="str">
        <f>IF(COUNTBLANK(P454:P459)&gt;0,"미취합법인有",SUM(P454:P459))</f>
        <v>미취합법인有</v>
      </c>
      <c r="Q453" s="785"/>
      <c r="R453" s="2472"/>
      <c r="S453" s="457"/>
      <c r="T453" s="99" t="s">
        <v>189</v>
      </c>
      <c r="U453" s="138"/>
      <c r="V453" s="138"/>
      <c r="W453" s="299" t="s">
        <v>193</v>
      </c>
      <c r="X453" s="265" t="s">
        <v>374</v>
      </c>
      <c r="Y453" s="265"/>
      <c r="Z453" s="187"/>
      <c r="AA453" s="6301"/>
      <c r="AB453" s="139"/>
      <c r="AC453" s="139"/>
      <c r="AD453" s="139"/>
      <c r="AE453" s="139"/>
      <c r="AF453" s="139"/>
      <c r="AG453" s="139"/>
      <c r="AH453" s="139"/>
      <c r="AI453" s="139"/>
      <c r="AJ453" s="139"/>
      <c r="AK453" s="139"/>
      <c r="AL453" s="139"/>
      <c r="AM453" s="139"/>
      <c r="AN453" s="139"/>
      <c r="AO453" s="139"/>
      <c r="AP453" s="139"/>
      <c r="AQ453" s="139"/>
      <c r="AR453" s="139"/>
      <c r="AS453" s="139"/>
      <c r="AT453" s="139"/>
      <c r="AU453" s="139"/>
      <c r="AV453" s="139"/>
      <c r="AW453" s="139"/>
      <c r="AX453" s="139"/>
      <c r="AY453" s="139"/>
      <c r="AZ453" s="139"/>
      <c r="BA453" s="139"/>
      <c r="BB453" s="139"/>
      <c r="BC453" s="139"/>
      <c r="BD453" s="139"/>
      <c r="BE453" s="139"/>
      <c r="BF453" s="139"/>
      <c r="BG453" s="139"/>
      <c r="BH453" s="139"/>
    </row>
    <row r="454" spans="2:60" s="11" customFormat="1" ht="19.899999999999999" customHeight="1">
      <c r="B454" s="5590"/>
      <c r="C454" s="5598"/>
      <c r="D454" s="9598" t="s">
        <v>134</v>
      </c>
      <c r="E454" s="9600"/>
      <c r="F454" s="492" t="s">
        <v>344</v>
      </c>
      <c r="G454" s="253"/>
      <c r="H454" s="253"/>
      <c r="I454" s="9579" t="s">
        <v>135</v>
      </c>
      <c r="J454" s="9581"/>
      <c r="K454" s="5732" t="s">
        <v>344</v>
      </c>
      <c r="L454" s="5670">
        <v>27681</v>
      </c>
      <c r="M454" s="5671" t="s">
        <v>681</v>
      </c>
      <c r="N454" s="5672">
        <v>664460</v>
      </c>
      <c r="O454" s="5673" t="s">
        <v>682</v>
      </c>
      <c r="P454" s="5672">
        <v>699683</v>
      </c>
      <c r="Q454" s="5672"/>
      <c r="R454" s="2468"/>
      <c r="S454" s="276"/>
      <c r="T454" s="99"/>
      <c r="U454" s="138"/>
      <c r="V454" s="138"/>
      <c r="W454" s="299" t="s">
        <v>193</v>
      </c>
      <c r="X454" s="264"/>
      <c r="Y454" s="277"/>
      <c r="Z454" s="187"/>
      <c r="AA454" s="6301"/>
      <c r="AB454" s="139"/>
      <c r="AC454" s="139"/>
      <c r="AD454" s="139"/>
      <c r="AE454" s="139"/>
      <c r="AF454" s="139"/>
      <c r="AG454" s="139"/>
      <c r="AH454" s="139"/>
      <c r="AI454" s="139"/>
      <c r="AJ454" s="139"/>
      <c r="AK454" s="139"/>
      <c r="AL454" s="139"/>
      <c r="AM454" s="139"/>
      <c r="AN454" s="139"/>
      <c r="AO454" s="139"/>
      <c r="AP454" s="139"/>
      <c r="AQ454" s="139"/>
      <c r="AR454" s="139"/>
      <c r="AS454" s="139"/>
      <c r="AT454" s="139"/>
      <c r="AU454" s="139"/>
      <c r="AV454" s="139"/>
      <c r="AW454" s="139"/>
      <c r="AX454" s="139"/>
      <c r="AY454" s="139"/>
      <c r="AZ454" s="139"/>
      <c r="BA454" s="139"/>
      <c r="BB454" s="139"/>
      <c r="BC454" s="139"/>
      <c r="BD454" s="139"/>
      <c r="BE454" s="139"/>
      <c r="BF454" s="139"/>
      <c r="BG454" s="139"/>
      <c r="BH454" s="139"/>
    </row>
    <row r="455" spans="2:60" s="11" customFormat="1" ht="19.899999999999999" customHeight="1">
      <c r="B455" s="5590"/>
      <c r="C455" s="5598"/>
      <c r="D455" s="9598" t="s">
        <v>137</v>
      </c>
      <c r="E455" s="9600"/>
      <c r="F455" s="492" t="s">
        <v>344</v>
      </c>
      <c r="G455" s="253"/>
      <c r="H455" s="253"/>
      <c r="I455" s="9579" t="s">
        <v>138</v>
      </c>
      <c r="J455" s="9581"/>
      <c r="K455" s="6406" t="s">
        <v>351</v>
      </c>
      <c r="L455" s="5889">
        <v>1256.0999999999999</v>
      </c>
      <c r="M455" s="5890"/>
      <c r="N455" s="5891">
        <v>1086.5</v>
      </c>
      <c r="O455" s="5892"/>
      <c r="P455" s="5679">
        <v>1081.2</v>
      </c>
      <c r="Q455" s="1814"/>
      <c r="R455" s="2468"/>
      <c r="S455" s="276"/>
      <c r="T455" s="99"/>
      <c r="U455" s="138"/>
      <c r="V455" s="138"/>
      <c r="W455" s="299" t="s">
        <v>193</v>
      </c>
      <c r="X455" s="264"/>
      <c r="Y455" s="277"/>
      <c r="Z455" s="187"/>
      <c r="AA455" s="6301"/>
      <c r="AB455" s="139" t="s">
        <v>683</v>
      </c>
      <c r="AC455" s="139"/>
      <c r="AD455" s="139"/>
      <c r="AE455" s="139"/>
      <c r="AF455" s="139"/>
      <c r="AG455" s="139"/>
      <c r="AH455" s="139"/>
      <c r="AI455" s="139"/>
      <c r="AJ455" s="139"/>
      <c r="AK455" s="139"/>
      <c r="AL455" s="139"/>
      <c r="AM455" s="139"/>
      <c r="AN455" s="139"/>
      <c r="AO455" s="139"/>
      <c r="AP455" s="139"/>
      <c r="AQ455" s="139"/>
      <c r="AR455" s="139"/>
      <c r="AS455" s="139"/>
      <c r="AT455" s="139"/>
      <c r="AU455" s="139"/>
      <c r="AV455" s="139"/>
      <c r="AW455" s="139"/>
      <c r="AX455" s="139"/>
      <c r="AY455" s="139"/>
      <c r="AZ455" s="139"/>
      <c r="BA455" s="139"/>
      <c r="BB455" s="139"/>
      <c r="BC455" s="139"/>
      <c r="BD455" s="139"/>
      <c r="BE455" s="139"/>
      <c r="BF455" s="139"/>
      <c r="BG455" s="139"/>
      <c r="BH455" s="139"/>
    </row>
    <row r="456" spans="2:60" s="11" customFormat="1" ht="19.899999999999999" customHeight="1">
      <c r="B456" s="5590"/>
      <c r="C456" s="5598"/>
      <c r="D456" s="9598" t="s">
        <v>140</v>
      </c>
      <c r="E456" s="9600"/>
      <c r="F456" s="492" t="s">
        <v>344</v>
      </c>
      <c r="G456" s="253"/>
      <c r="H456" s="286"/>
      <c r="I456" s="9582" t="s">
        <v>141</v>
      </c>
      <c r="J456" s="9583"/>
      <c r="K456" s="5732" t="s">
        <v>344</v>
      </c>
      <c r="L456" s="2557"/>
      <c r="M456" s="5610"/>
      <c r="N456" s="2554"/>
      <c r="O456" s="2815"/>
      <c r="P456" s="5666"/>
      <c r="Q456" s="2554"/>
      <c r="R456" s="2468"/>
      <c r="S456" s="276"/>
      <c r="T456" s="99"/>
      <c r="U456" s="138"/>
      <c r="V456" s="138"/>
      <c r="W456" s="299" t="s">
        <v>193</v>
      </c>
      <c r="X456" s="264"/>
      <c r="Y456" s="277"/>
      <c r="Z456" s="187"/>
      <c r="AA456" s="6301"/>
      <c r="AB456" s="139"/>
      <c r="AC456" s="139"/>
      <c r="AD456" s="139"/>
      <c r="AE456" s="139"/>
      <c r="AF456" s="139"/>
      <c r="AG456" s="139"/>
      <c r="AH456" s="139"/>
      <c r="AI456" s="139"/>
      <c r="AJ456" s="139"/>
      <c r="AK456" s="139"/>
      <c r="AL456" s="139"/>
      <c r="AM456" s="139"/>
      <c r="AN456" s="139"/>
      <c r="AO456" s="139"/>
      <c r="AP456" s="139"/>
      <c r="AQ456" s="139"/>
      <c r="AR456" s="139"/>
      <c r="AS456" s="139"/>
      <c r="AT456" s="139"/>
      <c r="AU456" s="139"/>
      <c r="AV456" s="139"/>
      <c r="AW456" s="139"/>
      <c r="AX456" s="139"/>
      <c r="AY456" s="139"/>
      <c r="AZ456" s="139"/>
      <c r="BA456" s="139"/>
      <c r="BB456" s="139"/>
      <c r="BC456" s="139"/>
      <c r="BD456" s="139"/>
      <c r="BE456" s="139"/>
      <c r="BF456" s="139"/>
      <c r="BG456" s="139"/>
      <c r="BH456" s="139"/>
    </row>
    <row r="457" spans="2:60" s="11" customFormat="1" ht="19.899999999999999" customHeight="1">
      <c r="B457" s="5590"/>
      <c r="C457" s="5598"/>
      <c r="D457" s="9598" t="s">
        <v>143</v>
      </c>
      <c r="E457" s="9600"/>
      <c r="F457" s="492" t="s">
        <v>344</v>
      </c>
      <c r="G457" s="253"/>
      <c r="H457" s="286"/>
      <c r="I457" s="9582" t="s">
        <v>144</v>
      </c>
      <c r="J457" s="9583"/>
      <c r="K457" s="5732" t="s">
        <v>344</v>
      </c>
      <c r="L457" s="5592"/>
      <c r="M457" s="5656"/>
      <c r="N457" s="5593"/>
      <c r="O457" s="5593"/>
      <c r="P457" s="5593"/>
      <c r="Q457" s="5593"/>
      <c r="R457" s="2468"/>
      <c r="S457" s="276"/>
      <c r="T457" s="99"/>
      <c r="U457" s="138"/>
      <c r="V457" s="138"/>
      <c r="W457" s="299" t="s">
        <v>193</v>
      </c>
      <c r="X457" s="264"/>
      <c r="Y457" s="277"/>
      <c r="Z457" s="187"/>
      <c r="AA457" s="6301"/>
      <c r="AB457" s="139"/>
      <c r="AC457" s="139"/>
      <c r="AD457" s="139"/>
      <c r="AE457" s="139"/>
      <c r="AF457" s="139"/>
      <c r="AG457" s="139"/>
      <c r="AH457" s="139"/>
      <c r="AI457" s="139"/>
      <c r="AJ457" s="139"/>
      <c r="AK457" s="139"/>
      <c r="AL457" s="139"/>
      <c r="AM457" s="139"/>
      <c r="AN457" s="139"/>
      <c r="AO457" s="139"/>
      <c r="AP457" s="139"/>
      <c r="AQ457" s="139"/>
      <c r="AR457" s="139"/>
      <c r="AS457" s="139"/>
      <c r="AT457" s="139"/>
      <c r="AU457" s="139"/>
      <c r="AV457" s="139"/>
      <c r="AW457" s="139"/>
      <c r="AX457" s="139"/>
      <c r="AY457" s="139"/>
      <c r="AZ457" s="139"/>
      <c r="BA457" s="139"/>
      <c r="BB457" s="139"/>
      <c r="BC457" s="139"/>
      <c r="BD457" s="139"/>
      <c r="BE457" s="139"/>
      <c r="BF457" s="139"/>
      <c r="BG457" s="139"/>
      <c r="BH457" s="139"/>
    </row>
    <row r="458" spans="2:60" s="11" customFormat="1" ht="19.899999999999999" customHeight="1">
      <c r="B458" s="5590"/>
      <c r="C458" s="5598"/>
      <c r="D458" s="9598" t="s">
        <v>631</v>
      </c>
      <c r="E458" s="9600"/>
      <c r="F458" s="492" t="s">
        <v>344</v>
      </c>
      <c r="G458" s="253"/>
      <c r="H458" s="286"/>
      <c r="I458" s="9582" t="s">
        <v>147</v>
      </c>
      <c r="J458" s="9583"/>
      <c r="K458" s="5732" t="s">
        <v>344</v>
      </c>
      <c r="L458" s="5592"/>
      <c r="M458" s="5656"/>
      <c r="N458" s="5593"/>
      <c r="O458" s="5593"/>
      <c r="P458" s="5593"/>
      <c r="Q458" s="5593"/>
      <c r="R458" s="2468"/>
      <c r="S458" s="276"/>
      <c r="T458" s="99"/>
      <c r="U458" s="138"/>
      <c r="V458" s="138"/>
      <c r="W458" s="299" t="s">
        <v>193</v>
      </c>
      <c r="X458" s="264"/>
      <c r="Y458" s="277"/>
      <c r="Z458" s="187"/>
      <c r="AA458" s="6301"/>
      <c r="AB458" s="139"/>
      <c r="AC458" s="139"/>
      <c r="AD458" s="139"/>
      <c r="AE458" s="139"/>
      <c r="AF458" s="139"/>
      <c r="AG458" s="139"/>
      <c r="AH458" s="139"/>
      <c r="AI458" s="139"/>
      <c r="AJ458" s="139"/>
      <c r="AK458" s="139"/>
      <c r="AL458" s="139"/>
      <c r="AM458" s="139"/>
      <c r="AN458" s="139"/>
      <c r="AO458" s="139"/>
      <c r="AP458" s="139"/>
      <c r="AQ458" s="139"/>
      <c r="AR458" s="139"/>
      <c r="AS458" s="139"/>
      <c r="AT458" s="139"/>
      <c r="AU458" s="139"/>
      <c r="AV458" s="139"/>
      <c r="AW458" s="139"/>
      <c r="AX458" s="139"/>
      <c r="AY458" s="139"/>
      <c r="AZ458" s="139"/>
      <c r="BA458" s="139"/>
      <c r="BB458" s="139"/>
      <c r="BC458" s="139"/>
      <c r="BD458" s="139"/>
      <c r="BE458" s="139"/>
      <c r="BF458" s="139"/>
      <c r="BG458" s="139"/>
      <c r="BH458" s="139"/>
    </row>
    <row r="459" spans="2:60" s="11" customFormat="1" ht="19.899999999999999" customHeight="1">
      <c r="B459" s="5590"/>
      <c r="C459" s="5598"/>
      <c r="D459" s="9598" t="s">
        <v>633</v>
      </c>
      <c r="E459" s="9600"/>
      <c r="F459" s="492" t="s">
        <v>344</v>
      </c>
      <c r="G459" s="253"/>
      <c r="H459" s="286"/>
      <c r="I459" s="9582" t="s">
        <v>150</v>
      </c>
      <c r="J459" s="9583"/>
      <c r="K459" s="5732" t="s">
        <v>344</v>
      </c>
      <c r="L459" s="5592"/>
      <c r="M459" s="5656"/>
      <c r="N459" s="5593"/>
      <c r="O459" s="5593"/>
      <c r="P459" s="5593"/>
      <c r="Q459" s="5593"/>
      <c r="R459" s="2468"/>
      <c r="S459" s="276"/>
      <c r="T459" s="99"/>
      <c r="U459" s="138"/>
      <c r="V459" s="138"/>
      <c r="W459" s="299" t="s">
        <v>193</v>
      </c>
      <c r="X459" s="264"/>
      <c r="Y459" s="277"/>
      <c r="Z459" s="187"/>
      <c r="AA459" s="6301"/>
      <c r="AB459" s="139"/>
      <c r="AC459" s="139"/>
      <c r="AD459" s="139"/>
      <c r="AE459" s="139"/>
      <c r="AF459" s="139"/>
      <c r="AG459" s="139"/>
      <c r="AH459" s="139"/>
      <c r="AI459" s="139"/>
      <c r="AJ459" s="139"/>
      <c r="AK459" s="139"/>
      <c r="AL459" s="139"/>
      <c r="AM459" s="139"/>
      <c r="AN459" s="139"/>
      <c r="AO459" s="139"/>
      <c r="AP459" s="139"/>
      <c r="AQ459" s="139"/>
      <c r="AR459" s="139"/>
      <c r="AS459" s="139"/>
      <c r="AT459" s="139"/>
      <c r="AU459" s="139"/>
      <c r="AV459" s="139"/>
      <c r="AW459" s="139"/>
      <c r="AX459" s="139"/>
      <c r="AY459" s="139"/>
      <c r="AZ459" s="139"/>
      <c r="BA459" s="139"/>
      <c r="BB459" s="139"/>
      <c r="BC459" s="139"/>
      <c r="BD459" s="139"/>
      <c r="BE459" s="139"/>
      <c r="BF459" s="139"/>
      <c r="BG459" s="139"/>
      <c r="BH459" s="139"/>
    </row>
    <row r="460" spans="2:60" s="481" customFormat="1" ht="20.100000000000001" customHeight="1">
      <c r="B460" s="1360"/>
      <c r="C460" s="9681" t="s">
        <v>362</v>
      </c>
      <c r="D460" s="9681"/>
      <c r="E460" s="9681"/>
      <c r="F460" s="492" t="s">
        <v>344</v>
      </c>
      <c r="G460" s="337"/>
      <c r="H460" s="9586" t="s">
        <v>363</v>
      </c>
      <c r="I460" s="9587"/>
      <c r="J460" s="9588"/>
      <c r="K460" s="5732" t="s">
        <v>344</v>
      </c>
      <c r="L460" s="5653" t="str">
        <f>IF(COUNTBLANK(L461:L466)&gt;0,"미취합법인有",SUM(L461:L466))</f>
        <v>미취합법인有</v>
      </c>
      <c r="M460" s="5657"/>
      <c r="N460" s="5654" t="str">
        <f>IF(COUNTBLANK(N461:N466)&gt;0,"미취합법인有",SUM(N461:N466))</f>
        <v>미취합법인有</v>
      </c>
      <c r="O460" s="5663"/>
      <c r="P460" s="5781" t="str">
        <f>IF(COUNTBLANK(P461:P466)&gt;0,"미취합법인有",SUM(P461:P466))</f>
        <v>미취합법인有</v>
      </c>
      <c r="Q460" s="785"/>
      <c r="R460" s="1285" t="s">
        <v>364</v>
      </c>
      <c r="S460" s="475" t="s">
        <v>365</v>
      </c>
      <c r="T460" s="1716" t="s">
        <v>206</v>
      </c>
      <c r="U460" s="477"/>
      <c r="V460" s="477"/>
      <c r="W460" s="299" t="s">
        <v>193</v>
      </c>
      <c r="X460" s="478" t="s">
        <v>366</v>
      </c>
      <c r="Y460" s="478"/>
      <c r="Z460" s="479"/>
      <c r="AA460" s="6304"/>
      <c r="AB460" s="6404"/>
      <c r="AC460" s="6404"/>
      <c r="AD460" s="6404"/>
      <c r="AE460" s="6404"/>
      <c r="AF460" s="6404"/>
      <c r="AG460" s="6404"/>
      <c r="AH460" s="6404"/>
      <c r="AI460" s="6404"/>
      <c r="AJ460" s="6404"/>
      <c r="AK460" s="6404"/>
      <c r="AL460" s="6404"/>
      <c r="AM460" s="6404"/>
      <c r="AN460" s="6404"/>
      <c r="AO460" s="6404"/>
      <c r="AP460" s="6404"/>
      <c r="AQ460" s="6404"/>
      <c r="AR460" s="6404"/>
      <c r="AS460" s="6404"/>
      <c r="AT460" s="6404"/>
      <c r="AU460" s="6404"/>
      <c r="AV460" s="6404"/>
      <c r="AW460" s="6404"/>
      <c r="AX460" s="6404"/>
      <c r="AY460" s="6404"/>
      <c r="AZ460" s="6404"/>
      <c r="BA460" s="6404"/>
      <c r="BB460" s="6404"/>
      <c r="BC460" s="6404"/>
      <c r="BD460" s="6404"/>
      <c r="BE460" s="6404"/>
      <c r="BF460" s="6404"/>
      <c r="BG460" s="6404"/>
      <c r="BH460" s="6404"/>
    </row>
    <row r="461" spans="2:60" s="11" customFormat="1" ht="19.899999999999999" customHeight="1">
      <c r="B461" s="5590"/>
      <c r="C461" s="9647" t="s">
        <v>134</v>
      </c>
      <c r="D461" s="9648"/>
      <c r="E461" s="9649"/>
      <c r="F461" s="492" t="s">
        <v>344</v>
      </c>
      <c r="G461" s="253"/>
      <c r="H461" s="9579" t="s">
        <v>135</v>
      </c>
      <c r="I461" s="9580"/>
      <c r="J461" s="9581"/>
      <c r="K461" s="5732" t="s">
        <v>344</v>
      </c>
      <c r="L461" s="5592">
        <v>27681</v>
      </c>
      <c r="M461" s="5674" t="s">
        <v>368</v>
      </c>
      <c r="N461" s="5593">
        <v>664460</v>
      </c>
      <c r="O461" s="5674" t="s">
        <v>684</v>
      </c>
      <c r="P461" s="5593">
        <v>699683</v>
      </c>
      <c r="Q461" s="5656"/>
      <c r="R461" s="1033"/>
      <c r="S461" s="263"/>
      <c r="T461" s="99"/>
      <c r="U461" s="138"/>
      <c r="V461" s="138"/>
      <c r="W461" s="299" t="s">
        <v>193</v>
      </c>
      <c r="X461" s="264"/>
      <c r="Y461" s="277"/>
      <c r="Z461" s="187"/>
      <c r="AA461" s="6301"/>
      <c r="AB461" s="139"/>
      <c r="AC461" s="139"/>
      <c r="AD461" s="139"/>
      <c r="AE461" s="139"/>
      <c r="AF461" s="139"/>
      <c r="AG461" s="139"/>
      <c r="AH461" s="139"/>
      <c r="AI461" s="139"/>
      <c r="AJ461" s="139"/>
      <c r="AK461" s="139"/>
      <c r="AL461" s="139"/>
      <c r="AM461" s="139"/>
      <c r="AN461" s="139"/>
      <c r="AO461" s="139"/>
      <c r="AP461" s="139"/>
      <c r="AQ461" s="139"/>
      <c r="AR461" s="139"/>
      <c r="AS461" s="139"/>
      <c r="AT461" s="139"/>
      <c r="AU461" s="139"/>
      <c r="AV461" s="139"/>
      <c r="AW461" s="139"/>
      <c r="AX461" s="139"/>
      <c r="AY461" s="139"/>
      <c r="AZ461" s="139"/>
      <c r="BA461" s="139"/>
      <c r="BB461" s="139"/>
      <c r="BC461" s="139"/>
      <c r="BD461" s="139"/>
      <c r="BE461" s="139"/>
      <c r="BF461" s="139"/>
      <c r="BG461" s="139"/>
      <c r="BH461" s="139"/>
    </row>
    <row r="462" spans="2:60" s="11" customFormat="1" ht="19.899999999999999" customHeight="1">
      <c r="B462" s="5590"/>
      <c r="C462" s="9647" t="s">
        <v>137</v>
      </c>
      <c r="D462" s="9648"/>
      <c r="E462" s="9649"/>
      <c r="F462" s="492" t="s">
        <v>344</v>
      </c>
      <c r="G462" s="253"/>
      <c r="H462" s="9579" t="s">
        <v>138</v>
      </c>
      <c r="I462" s="9580"/>
      <c r="J462" s="9581"/>
      <c r="K462" s="5732" t="s">
        <v>344</v>
      </c>
      <c r="L462" s="5592"/>
      <c r="M462" s="5656" t="s">
        <v>369</v>
      </c>
      <c r="N462" s="5593"/>
      <c r="O462" s="5656" t="s">
        <v>369</v>
      </c>
      <c r="P462" s="5593"/>
      <c r="Q462" s="5656" t="s">
        <v>369</v>
      </c>
      <c r="R462" s="1033"/>
      <c r="S462" s="263"/>
      <c r="T462" s="99"/>
      <c r="U462" s="138"/>
      <c r="V462" s="138"/>
      <c r="W462" s="299" t="s">
        <v>193</v>
      </c>
      <c r="X462" s="264"/>
      <c r="Y462" s="277"/>
      <c r="Z462" s="187"/>
      <c r="AA462" s="6301"/>
      <c r="AB462" s="139"/>
      <c r="AC462" s="139"/>
      <c r="AD462" s="139"/>
      <c r="AE462" s="139"/>
      <c r="AF462" s="139"/>
      <c r="AG462" s="139"/>
      <c r="AH462" s="139"/>
      <c r="AI462" s="139"/>
      <c r="AJ462" s="139"/>
      <c r="AK462" s="139"/>
      <c r="AL462" s="139"/>
      <c r="AM462" s="139"/>
      <c r="AN462" s="139"/>
      <c r="AO462" s="139"/>
      <c r="AP462" s="139"/>
      <c r="AQ462" s="139"/>
      <c r="AR462" s="139"/>
      <c r="AS462" s="139"/>
      <c r="AT462" s="139"/>
      <c r="AU462" s="139"/>
      <c r="AV462" s="139"/>
      <c r="AW462" s="139"/>
      <c r="AX462" s="139"/>
      <c r="AY462" s="139"/>
      <c r="AZ462" s="139"/>
      <c r="BA462" s="139"/>
      <c r="BB462" s="139"/>
      <c r="BC462" s="139"/>
      <c r="BD462" s="139"/>
      <c r="BE462" s="139"/>
      <c r="BF462" s="139"/>
      <c r="BG462" s="139"/>
      <c r="BH462" s="139"/>
    </row>
    <row r="463" spans="2:60" s="11" customFormat="1" ht="19.899999999999999" customHeight="1">
      <c r="B463" s="5590"/>
      <c r="C463" s="9647" t="s">
        <v>140</v>
      </c>
      <c r="D463" s="9648"/>
      <c r="E463" s="9649"/>
      <c r="F463" s="492" t="s">
        <v>344</v>
      </c>
      <c r="G463" s="253"/>
      <c r="H463" s="9579" t="s">
        <v>141</v>
      </c>
      <c r="I463" s="9580"/>
      <c r="J463" s="9581"/>
      <c r="K463" s="5732" t="s">
        <v>344</v>
      </c>
      <c r="L463" s="5592"/>
      <c r="M463" s="5656"/>
      <c r="N463" s="5593"/>
      <c r="O463" s="5593"/>
      <c r="P463" s="5593"/>
      <c r="Q463" s="5593"/>
      <c r="R463" s="1033"/>
      <c r="S463" s="263"/>
      <c r="T463" s="99"/>
      <c r="U463" s="138"/>
      <c r="V463" s="138"/>
      <c r="W463" s="299" t="s">
        <v>193</v>
      </c>
      <c r="X463" s="264"/>
      <c r="Y463" s="277"/>
      <c r="Z463" s="187"/>
      <c r="AA463" s="6301"/>
      <c r="AB463" s="139"/>
      <c r="AC463" s="139"/>
      <c r="AD463" s="139"/>
      <c r="AE463" s="139"/>
      <c r="AF463" s="139"/>
      <c r="AG463" s="139"/>
      <c r="AH463" s="139"/>
      <c r="AI463" s="139"/>
      <c r="AJ463" s="139"/>
      <c r="AK463" s="139"/>
      <c r="AL463" s="139"/>
      <c r="AM463" s="139"/>
      <c r="AN463" s="139"/>
      <c r="AO463" s="139"/>
      <c r="AP463" s="139"/>
      <c r="AQ463" s="139"/>
      <c r="AR463" s="139"/>
      <c r="AS463" s="139"/>
      <c r="AT463" s="139"/>
      <c r="AU463" s="139"/>
      <c r="AV463" s="139"/>
      <c r="AW463" s="139"/>
      <c r="AX463" s="139"/>
      <c r="AY463" s="139"/>
      <c r="AZ463" s="139"/>
      <c r="BA463" s="139"/>
      <c r="BB463" s="139"/>
      <c r="BC463" s="139"/>
      <c r="BD463" s="139"/>
      <c r="BE463" s="139"/>
      <c r="BF463" s="139"/>
      <c r="BG463" s="139"/>
      <c r="BH463" s="139"/>
    </row>
    <row r="464" spans="2:60" s="11" customFormat="1" ht="19.899999999999999" customHeight="1">
      <c r="B464" s="5590"/>
      <c r="C464" s="9647" t="s">
        <v>143</v>
      </c>
      <c r="D464" s="9648"/>
      <c r="E464" s="9649"/>
      <c r="F464" s="492" t="s">
        <v>344</v>
      </c>
      <c r="G464" s="253"/>
      <c r="H464" s="9579" t="s">
        <v>144</v>
      </c>
      <c r="I464" s="9580"/>
      <c r="J464" s="9581"/>
      <c r="K464" s="5732" t="s">
        <v>344</v>
      </c>
      <c r="L464" s="5592"/>
      <c r="M464" s="5656"/>
      <c r="N464" s="5593"/>
      <c r="O464" s="5593"/>
      <c r="P464" s="5593"/>
      <c r="Q464" s="5593"/>
      <c r="R464" s="1033"/>
      <c r="S464" s="263"/>
      <c r="T464" s="99"/>
      <c r="U464" s="138"/>
      <c r="V464" s="138"/>
      <c r="W464" s="299" t="s">
        <v>193</v>
      </c>
      <c r="X464" s="264"/>
      <c r="Y464" s="277"/>
      <c r="Z464" s="187"/>
      <c r="AA464" s="6301"/>
      <c r="AB464" s="139"/>
      <c r="AC464" s="139"/>
      <c r="AD464" s="139"/>
      <c r="AE464" s="139"/>
      <c r="AF464" s="139"/>
      <c r="AG464" s="139"/>
      <c r="AH464" s="139"/>
      <c r="AI464" s="139"/>
      <c r="AJ464" s="139"/>
      <c r="AK464" s="139"/>
      <c r="AL464" s="139"/>
      <c r="AM464" s="139"/>
      <c r="AN464" s="139"/>
      <c r="AO464" s="139"/>
      <c r="AP464" s="139"/>
      <c r="AQ464" s="139"/>
      <c r="AR464" s="139"/>
      <c r="AS464" s="139"/>
      <c r="AT464" s="139"/>
      <c r="AU464" s="139"/>
      <c r="AV464" s="139"/>
      <c r="AW464" s="139"/>
      <c r="AX464" s="139"/>
      <c r="AY464" s="139"/>
      <c r="AZ464" s="139"/>
      <c r="BA464" s="139"/>
      <c r="BB464" s="139"/>
      <c r="BC464" s="139"/>
      <c r="BD464" s="139"/>
      <c r="BE464" s="139"/>
      <c r="BF464" s="139"/>
      <c r="BG464" s="139"/>
      <c r="BH464" s="139"/>
    </row>
    <row r="465" spans="2:60" s="11" customFormat="1" ht="19.899999999999999" customHeight="1">
      <c r="B465" s="5590"/>
      <c r="C465" s="9647" t="s">
        <v>631</v>
      </c>
      <c r="D465" s="9648"/>
      <c r="E465" s="9649"/>
      <c r="F465" s="492" t="s">
        <v>344</v>
      </c>
      <c r="G465" s="253"/>
      <c r="H465" s="9579" t="s">
        <v>147</v>
      </c>
      <c r="I465" s="9580"/>
      <c r="J465" s="9581"/>
      <c r="K465" s="5732" t="s">
        <v>344</v>
      </c>
      <c r="L465" s="5592"/>
      <c r="M465" s="5656"/>
      <c r="N465" s="5593"/>
      <c r="O465" s="5593"/>
      <c r="P465" s="5593"/>
      <c r="Q465" s="5593"/>
      <c r="R465" s="1033"/>
      <c r="S465" s="263"/>
      <c r="T465" s="99"/>
      <c r="U465" s="138"/>
      <c r="V465" s="138"/>
      <c r="W465" s="299" t="s">
        <v>193</v>
      </c>
      <c r="X465" s="264"/>
      <c r="Y465" s="277"/>
      <c r="Z465" s="187"/>
      <c r="AA465" s="6301"/>
      <c r="AB465" s="139"/>
      <c r="AC465" s="139"/>
      <c r="AD465" s="139"/>
      <c r="AE465" s="139"/>
      <c r="AF465" s="139"/>
      <c r="AG465" s="139"/>
      <c r="AH465" s="139"/>
      <c r="AI465" s="139"/>
      <c r="AJ465" s="139"/>
      <c r="AK465" s="139"/>
      <c r="AL465" s="139"/>
      <c r="AM465" s="139"/>
      <c r="AN465" s="139"/>
      <c r="AO465" s="139"/>
      <c r="AP465" s="139"/>
      <c r="AQ465" s="139"/>
      <c r="AR465" s="139"/>
      <c r="AS465" s="139"/>
      <c r="AT465" s="139"/>
      <c r="AU465" s="139"/>
      <c r="AV465" s="139"/>
      <c r="AW465" s="139"/>
      <c r="AX465" s="139"/>
      <c r="AY465" s="139"/>
      <c r="AZ465" s="139"/>
      <c r="BA465" s="139"/>
      <c r="BB465" s="139"/>
      <c r="BC465" s="139"/>
      <c r="BD465" s="139"/>
      <c r="BE465" s="139"/>
      <c r="BF465" s="139"/>
      <c r="BG465" s="139"/>
      <c r="BH465" s="139"/>
    </row>
    <row r="466" spans="2:60" s="11" customFormat="1" ht="19.899999999999999" customHeight="1">
      <c r="B466" s="5590"/>
      <c r="C466" s="9647" t="s">
        <v>633</v>
      </c>
      <c r="D466" s="9648"/>
      <c r="E466" s="9649"/>
      <c r="F466" s="5732" t="s">
        <v>344</v>
      </c>
      <c r="G466" s="253"/>
      <c r="H466" s="9579" t="s">
        <v>150</v>
      </c>
      <c r="I466" s="9580"/>
      <c r="J466" s="9581"/>
      <c r="K466" s="5732" t="s">
        <v>344</v>
      </c>
      <c r="L466" s="5592"/>
      <c r="M466" s="5656"/>
      <c r="N466" s="5593"/>
      <c r="O466" s="5593"/>
      <c r="P466" s="5593"/>
      <c r="Q466" s="5593"/>
      <c r="R466" s="1033"/>
      <c r="S466" s="263"/>
      <c r="T466" s="99"/>
      <c r="U466" s="138"/>
      <c r="V466" s="138"/>
      <c r="W466" s="299" t="s">
        <v>193</v>
      </c>
      <c r="X466" s="264"/>
      <c r="Y466" s="277"/>
      <c r="Z466" s="187"/>
      <c r="AA466" s="6301"/>
      <c r="AB466" s="139"/>
      <c r="AC466" s="139"/>
      <c r="AD466" s="139"/>
      <c r="AE466" s="139"/>
      <c r="AF466" s="139"/>
      <c r="AG466" s="139"/>
      <c r="AH466" s="139"/>
      <c r="AI466" s="139"/>
      <c r="AJ466" s="139"/>
      <c r="AK466" s="139"/>
      <c r="AL466" s="139"/>
      <c r="AM466" s="139"/>
      <c r="AN466" s="139"/>
      <c r="AO466" s="139"/>
      <c r="AP466" s="139"/>
      <c r="AQ466" s="139"/>
      <c r="AR466" s="139"/>
      <c r="AS466" s="139"/>
      <c r="AT466" s="139"/>
      <c r="AU466" s="139"/>
      <c r="AV466" s="139"/>
      <c r="AW466" s="139"/>
      <c r="AX466" s="139"/>
      <c r="AY466" s="139"/>
      <c r="AZ466" s="139"/>
      <c r="BA466" s="139"/>
      <c r="BB466" s="139"/>
      <c r="BC466" s="139"/>
      <c r="BD466" s="139"/>
      <c r="BE466" s="139"/>
      <c r="BF466" s="139"/>
      <c r="BG466" s="139"/>
      <c r="BH466" s="139"/>
    </row>
    <row r="467" spans="2:60" s="11" customFormat="1" ht="20.100000000000001" customHeight="1">
      <c r="B467" s="1360"/>
      <c r="C467" s="9587" t="s">
        <v>376</v>
      </c>
      <c r="D467" s="9587"/>
      <c r="E467" s="9587"/>
      <c r="F467" s="492" t="s">
        <v>344</v>
      </c>
      <c r="G467" s="337"/>
      <c r="H467" s="9586" t="s">
        <v>377</v>
      </c>
      <c r="I467" s="9587"/>
      <c r="J467" s="9588"/>
      <c r="K467" s="5732" t="s">
        <v>344</v>
      </c>
      <c r="L467" s="5653" t="str">
        <f>IF(COUNTBLANK(L468:L473)&gt;0,"미취합법인有",SUM(L468:L473))</f>
        <v>미취합법인有</v>
      </c>
      <c r="M467" s="5657"/>
      <c r="N467" s="5654" t="str">
        <f>IF(COUNTBLANK(N468:N473)&gt;0,"미취합법인有",SUM(N468:N473))</f>
        <v>미취합법인有</v>
      </c>
      <c r="O467" s="5663"/>
      <c r="P467" s="5781" t="str">
        <f>IF(COUNTBLANK(P468:P473)&gt;0,"미취합법인有",SUM(P468:P473))</f>
        <v>미취합법인有</v>
      </c>
      <c r="Q467" s="785"/>
      <c r="R467" s="2474" t="s">
        <v>378</v>
      </c>
      <c r="S467" s="666" t="s">
        <v>365</v>
      </c>
      <c r="T467" s="99" t="s">
        <v>189</v>
      </c>
      <c r="U467" s="138"/>
      <c r="V467" s="138"/>
      <c r="W467" s="299" t="s">
        <v>193</v>
      </c>
      <c r="X467" s="265" t="s">
        <v>379</v>
      </c>
      <c r="Y467" s="265"/>
      <c r="Z467" s="187"/>
      <c r="AA467" s="6305"/>
      <c r="AB467" s="139"/>
      <c r="AC467" s="139"/>
      <c r="AD467" s="139"/>
      <c r="AE467" s="139"/>
      <c r="AF467" s="139"/>
      <c r="AG467" s="139"/>
      <c r="AH467" s="139"/>
      <c r="AI467" s="139"/>
      <c r="AJ467" s="139"/>
      <c r="AK467" s="139"/>
      <c r="AL467" s="139"/>
      <c r="AM467" s="139"/>
      <c r="AN467" s="139"/>
      <c r="AO467" s="139"/>
      <c r="AP467" s="139"/>
      <c r="AQ467" s="139"/>
      <c r="AR467" s="139"/>
      <c r="AS467" s="139"/>
      <c r="AT467" s="139"/>
      <c r="AU467" s="139"/>
      <c r="AV467" s="139"/>
      <c r="AW467" s="139"/>
      <c r="AX467" s="139"/>
      <c r="AY467" s="139"/>
      <c r="AZ467" s="139"/>
      <c r="BA467" s="139"/>
      <c r="BB467" s="139"/>
      <c r="BC467" s="139"/>
      <c r="BD467" s="139"/>
      <c r="BE467" s="139"/>
      <c r="BF467" s="139"/>
      <c r="BG467" s="139"/>
      <c r="BH467" s="139"/>
    </row>
    <row r="468" spans="2:60" s="11" customFormat="1" ht="19.899999999999999" customHeight="1">
      <c r="B468" s="5590"/>
      <c r="C468" s="9647" t="s">
        <v>134</v>
      </c>
      <c r="D468" s="9648"/>
      <c r="E468" s="9649"/>
      <c r="F468" s="492" t="s">
        <v>344</v>
      </c>
      <c r="G468" s="253"/>
      <c r="H468" s="9579" t="s">
        <v>135</v>
      </c>
      <c r="I468" s="9580"/>
      <c r="J468" s="9581"/>
      <c r="K468" s="5732" t="s">
        <v>344</v>
      </c>
      <c r="L468" s="5592"/>
      <c r="M468" s="5656" t="s">
        <v>369</v>
      </c>
      <c r="N468" s="5593"/>
      <c r="O468" s="5656" t="s">
        <v>369</v>
      </c>
      <c r="P468" s="5593"/>
      <c r="Q468" s="5656" t="s">
        <v>369</v>
      </c>
      <c r="R468" s="1033"/>
      <c r="S468" s="263"/>
      <c r="T468" s="99"/>
      <c r="U468" s="138"/>
      <c r="V468" s="138"/>
      <c r="W468" s="299" t="s">
        <v>193</v>
      </c>
      <c r="X468" s="264"/>
      <c r="Y468" s="277"/>
      <c r="Z468" s="187"/>
      <c r="AA468" s="6301"/>
      <c r="AB468" s="139"/>
      <c r="AC468" s="139"/>
      <c r="AD468" s="139"/>
      <c r="AE468" s="139"/>
      <c r="AF468" s="139"/>
      <c r="AG468" s="139"/>
      <c r="AH468" s="139"/>
      <c r="AI468" s="139"/>
      <c r="AJ468" s="139"/>
      <c r="AK468" s="139"/>
      <c r="AL468" s="139"/>
      <c r="AM468" s="139"/>
      <c r="AN468" s="139"/>
      <c r="AO468" s="139"/>
      <c r="AP468" s="139"/>
      <c r="AQ468" s="139"/>
      <c r="AR468" s="139"/>
      <c r="AS468" s="139"/>
      <c r="AT468" s="139"/>
      <c r="AU468" s="139"/>
      <c r="AV468" s="139"/>
      <c r="AW468" s="139"/>
      <c r="AX468" s="139"/>
      <c r="AY468" s="139"/>
      <c r="AZ468" s="139"/>
      <c r="BA468" s="139"/>
      <c r="BB468" s="139"/>
      <c r="BC468" s="139"/>
      <c r="BD468" s="139"/>
      <c r="BE468" s="139"/>
      <c r="BF468" s="139"/>
      <c r="BG468" s="139"/>
      <c r="BH468" s="139"/>
    </row>
    <row r="469" spans="2:60" s="11" customFormat="1" ht="19.899999999999999" customHeight="1">
      <c r="B469" s="5590"/>
      <c r="C469" s="9647" t="s">
        <v>137</v>
      </c>
      <c r="D469" s="9648"/>
      <c r="E469" s="9649"/>
      <c r="F469" s="492" t="s">
        <v>344</v>
      </c>
      <c r="G469" s="253"/>
      <c r="H469" s="9579" t="s">
        <v>138</v>
      </c>
      <c r="I469" s="9580"/>
      <c r="J469" s="9581"/>
      <c r="K469" s="5732" t="s">
        <v>344</v>
      </c>
      <c r="L469" s="5592"/>
      <c r="M469" s="5656"/>
      <c r="N469" s="5593"/>
      <c r="O469" s="5593"/>
      <c r="P469" s="5593"/>
      <c r="Q469" s="5593"/>
      <c r="R469" s="1033"/>
      <c r="S469" s="263"/>
      <c r="T469" s="99"/>
      <c r="U469" s="138"/>
      <c r="V469" s="138"/>
      <c r="W469" s="299" t="s">
        <v>193</v>
      </c>
      <c r="X469" s="264"/>
      <c r="Y469" s="277"/>
      <c r="Z469" s="187"/>
      <c r="AA469" s="6301"/>
      <c r="AB469" s="139"/>
      <c r="AC469" s="139"/>
      <c r="AD469" s="139"/>
      <c r="AE469" s="139"/>
      <c r="AF469" s="139"/>
      <c r="AG469" s="139"/>
      <c r="AH469" s="139"/>
      <c r="AI469" s="139"/>
      <c r="AJ469" s="139"/>
      <c r="AK469" s="139"/>
      <c r="AL469" s="139"/>
      <c r="AM469" s="139"/>
      <c r="AN469" s="139"/>
      <c r="AO469" s="139"/>
      <c r="AP469" s="139"/>
      <c r="AQ469" s="139"/>
      <c r="AR469" s="139"/>
      <c r="AS469" s="139"/>
      <c r="AT469" s="139"/>
      <c r="AU469" s="139"/>
      <c r="AV469" s="139"/>
      <c r="AW469" s="139"/>
      <c r="AX469" s="139"/>
      <c r="AY469" s="139"/>
      <c r="AZ469" s="139"/>
      <c r="BA469" s="139"/>
      <c r="BB469" s="139"/>
      <c r="BC469" s="139"/>
      <c r="BD469" s="139"/>
      <c r="BE469" s="139"/>
      <c r="BF469" s="139"/>
      <c r="BG469" s="139"/>
      <c r="BH469" s="139"/>
    </row>
    <row r="470" spans="2:60" s="11" customFormat="1" ht="19.899999999999999" customHeight="1">
      <c r="B470" s="5590"/>
      <c r="C470" s="9647" t="s">
        <v>140</v>
      </c>
      <c r="D470" s="9648"/>
      <c r="E470" s="9649"/>
      <c r="F470" s="492" t="s">
        <v>344</v>
      </c>
      <c r="G470" s="253"/>
      <c r="H470" s="9579" t="s">
        <v>141</v>
      </c>
      <c r="I470" s="9580"/>
      <c r="J470" s="9581"/>
      <c r="K470" s="5732" t="s">
        <v>344</v>
      </c>
      <c r="L470" s="5592"/>
      <c r="M470" s="5656"/>
      <c r="N470" s="5593"/>
      <c r="O470" s="5593"/>
      <c r="P470" s="5593"/>
      <c r="Q470" s="5593"/>
      <c r="R470" s="1033"/>
      <c r="S470" s="263"/>
      <c r="T470" s="99"/>
      <c r="U470" s="138"/>
      <c r="V470" s="138"/>
      <c r="W470" s="299" t="s">
        <v>193</v>
      </c>
      <c r="X470" s="264"/>
      <c r="Y470" s="277"/>
      <c r="Z470" s="187"/>
      <c r="AA470" s="6301"/>
      <c r="AB470" s="139"/>
      <c r="AC470" s="139"/>
      <c r="AD470" s="139"/>
      <c r="AE470" s="139"/>
      <c r="AF470" s="139"/>
      <c r="AG470" s="139"/>
      <c r="AH470" s="139"/>
      <c r="AI470" s="139"/>
      <c r="AJ470" s="139"/>
      <c r="AK470" s="139"/>
      <c r="AL470" s="139"/>
      <c r="AM470" s="139"/>
      <c r="AN470" s="139"/>
      <c r="AO470" s="139"/>
      <c r="AP470" s="139"/>
      <c r="AQ470" s="139"/>
      <c r="AR470" s="139"/>
      <c r="AS470" s="139"/>
      <c r="AT470" s="139"/>
      <c r="AU470" s="139"/>
      <c r="AV470" s="139"/>
      <c r="AW470" s="139"/>
      <c r="AX470" s="139"/>
      <c r="AY470" s="139"/>
      <c r="AZ470" s="139"/>
      <c r="BA470" s="139"/>
      <c r="BB470" s="139"/>
      <c r="BC470" s="139"/>
      <c r="BD470" s="139"/>
      <c r="BE470" s="139"/>
      <c r="BF470" s="139"/>
      <c r="BG470" s="139"/>
      <c r="BH470" s="139"/>
    </row>
    <row r="471" spans="2:60" s="11" customFormat="1" ht="19.899999999999999" customHeight="1">
      <c r="B471" s="5590"/>
      <c r="C471" s="9647" t="s">
        <v>143</v>
      </c>
      <c r="D471" s="9648"/>
      <c r="E471" s="9649"/>
      <c r="F471" s="492" t="s">
        <v>344</v>
      </c>
      <c r="G471" s="253"/>
      <c r="H471" s="9579" t="s">
        <v>144</v>
      </c>
      <c r="I471" s="9580"/>
      <c r="J471" s="9581"/>
      <c r="K471" s="5732" t="s">
        <v>344</v>
      </c>
      <c r="L471" s="5592"/>
      <c r="M471" s="5656"/>
      <c r="N471" s="5593"/>
      <c r="O471" s="5593"/>
      <c r="P471" s="5593"/>
      <c r="Q471" s="5593"/>
      <c r="R471" s="1033"/>
      <c r="S471" s="263"/>
      <c r="T471" s="99"/>
      <c r="U471" s="138"/>
      <c r="V471" s="138"/>
      <c r="W471" s="299" t="s">
        <v>193</v>
      </c>
      <c r="X471" s="264"/>
      <c r="Y471" s="277"/>
      <c r="Z471" s="187"/>
      <c r="AA471" s="6301"/>
      <c r="AB471" s="139"/>
      <c r="AC471" s="139"/>
      <c r="AD471" s="139"/>
      <c r="AE471" s="139"/>
      <c r="AF471" s="139"/>
      <c r="AG471" s="139"/>
      <c r="AH471" s="139"/>
      <c r="AI471" s="139"/>
      <c r="AJ471" s="139"/>
      <c r="AK471" s="139"/>
      <c r="AL471" s="139"/>
      <c r="AM471" s="139"/>
      <c r="AN471" s="139"/>
      <c r="AO471" s="139"/>
      <c r="AP471" s="139"/>
      <c r="AQ471" s="139"/>
      <c r="AR471" s="139"/>
      <c r="AS471" s="139"/>
      <c r="AT471" s="139"/>
      <c r="AU471" s="139"/>
      <c r="AV471" s="139"/>
      <c r="AW471" s="139"/>
      <c r="AX471" s="139"/>
      <c r="AY471" s="139"/>
      <c r="AZ471" s="139"/>
      <c r="BA471" s="139"/>
      <c r="BB471" s="139"/>
      <c r="BC471" s="139"/>
      <c r="BD471" s="139"/>
      <c r="BE471" s="139"/>
      <c r="BF471" s="139"/>
      <c r="BG471" s="139"/>
      <c r="BH471" s="139"/>
    </row>
    <row r="472" spans="2:60" s="11" customFormat="1" ht="19.899999999999999" customHeight="1">
      <c r="B472" s="5590"/>
      <c r="C472" s="9647" t="s">
        <v>631</v>
      </c>
      <c r="D472" s="9648"/>
      <c r="E472" s="9649"/>
      <c r="F472" s="492" t="s">
        <v>344</v>
      </c>
      <c r="G472" s="253"/>
      <c r="H472" s="9579" t="s">
        <v>147</v>
      </c>
      <c r="I472" s="9580"/>
      <c r="J472" s="9581"/>
      <c r="K472" s="5732" t="s">
        <v>344</v>
      </c>
      <c r="L472" s="5592"/>
      <c r="M472" s="5656"/>
      <c r="N472" s="5593"/>
      <c r="O472" s="5593"/>
      <c r="P472" s="5593"/>
      <c r="Q472" s="5593"/>
      <c r="R472" s="1033"/>
      <c r="S472" s="263"/>
      <c r="T472" s="99"/>
      <c r="U472" s="138"/>
      <c r="V472" s="138"/>
      <c r="W472" s="299" t="s">
        <v>193</v>
      </c>
      <c r="X472" s="264"/>
      <c r="Y472" s="277"/>
      <c r="Z472" s="187"/>
      <c r="AA472" s="6301"/>
      <c r="AB472" s="139"/>
      <c r="AC472" s="139"/>
      <c r="AD472" s="139"/>
      <c r="AE472" s="139"/>
      <c r="AF472" s="139"/>
      <c r="AG472" s="139"/>
      <c r="AH472" s="139"/>
      <c r="AI472" s="139"/>
      <c r="AJ472" s="139"/>
      <c r="AK472" s="139"/>
      <c r="AL472" s="139"/>
      <c r="AM472" s="139"/>
      <c r="AN472" s="139"/>
      <c r="AO472" s="139"/>
      <c r="AP472" s="139"/>
      <c r="AQ472" s="139"/>
      <c r="AR472" s="139"/>
      <c r="AS472" s="139"/>
      <c r="AT472" s="139"/>
      <c r="AU472" s="139"/>
      <c r="AV472" s="139"/>
      <c r="AW472" s="139"/>
      <c r="AX472" s="139"/>
      <c r="AY472" s="139"/>
      <c r="AZ472" s="139"/>
      <c r="BA472" s="139"/>
      <c r="BB472" s="139"/>
      <c r="BC472" s="139"/>
      <c r="BD472" s="139"/>
      <c r="BE472" s="139"/>
      <c r="BF472" s="139"/>
      <c r="BG472" s="139"/>
      <c r="BH472" s="139"/>
    </row>
    <row r="473" spans="2:60" s="11" customFormat="1" ht="19.899999999999999" customHeight="1">
      <c r="B473" s="5590"/>
      <c r="C473" s="9647" t="s">
        <v>633</v>
      </c>
      <c r="D473" s="9648"/>
      <c r="E473" s="9649"/>
      <c r="F473" s="492" t="s">
        <v>344</v>
      </c>
      <c r="G473" s="253"/>
      <c r="H473" s="9579" t="s">
        <v>150</v>
      </c>
      <c r="I473" s="9580"/>
      <c r="J473" s="9581"/>
      <c r="K473" s="5732" t="s">
        <v>344</v>
      </c>
      <c r="L473" s="5592"/>
      <c r="M473" s="5656"/>
      <c r="N473" s="5593"/>
      <c r="O473" s="5593"/>
      <c r="P473" s="5593"/>
      <c r="Q473" s="5593"/>
      <c r="R473" s="1033"/>
      <c r="S473" s="263"/>
      <c r="T473" s="99"/>
      <c r="U473" s="138"/>
      <c r="V473" s="138"/>
      <c r="W473" s="299" t="s">
        <v>193</v>
      </c>
      <c r="X473" s="264"/>
      <c r="Y473" s="277"/>
      <c r="Z473" s="187"/>
      <c r="AA473" s="6301"/>
      <c r="AB473" s="139"/>
      <c r="AC473" s="139"/>
      <c r="AD473" s="139"/>
      <c r="AE473" s="139"/>
      <c r="AF473" s="139"/>
      <c r="AG473" s="139"/>
      <c r="AH473" s="139"/>
      <c r="AI473" s="139"/>
      <c r="AJ473" s="139"/>
      <c r="AK473" s="139"/>
      <c r="AL473" s="139"/>
      <c r="AM473" s="139"/>
      <c r="AN473" s="139"/>
      <c r="AO473" s="139"/>
      <c r="AP473" s="139"/>
      <c r="AQ473" s="139"/>
      <c r="AR473" s="139"/>
      <c r="AS473" s="139"/>
      <c r="AT473" s="139"/>
      <c r="AU473" s="139"/>
      <c r="AV473" s="139"/>
      <c r="AW473" s="139"/>
      <c r="AX473" s="139"/>
      <c r="AY473" s="139"/>
      <c r="AZ473" s="139"/>
      <c r="BA473" s="139"/>
      <c r="BB473" s="139"/>
      <c r="BC473" s="139"/>
      <c r="BD473" s="139"/>
      <c r="BE473" s="139"/>
      <c r="BF473" s="139"/>
      <c r="BG473" s="139"/>
      <c r="BH473" s="139"/>
    </row>
    <row r="474" spans="2:60" s="11" customFormat="1" ht="20.100000000000001" customHeight="1">
      <c r="B474" s="1360"/>
      <c r="C474" s="9587" t="s">
        <v>380</v>
      </c>
      <c r="D474" s="9587"/>
      <c r="E474" s="9587"/>
      <c r="F474" s="132" t="s">
        <v>156</v>
      </c>
      <c r="G474" s="337"/>
      <c r="H474" s="9586" t="s">
        <v>381</v>
      </c>
      <c r="I474" s="9587"/>
      <c r="J474" s="9588"/>
      <c r="K474" s="492" t="s">
        <v>156</v>
      </c>
      <c r="L474" s="5653" t="str">
        <f>IF(COUNTBLANK(L475:L480)&gt;0,"미취합법인有",AVERAGE(L475:L480))</f>
        <v>미취합법인有</v>
      </c>
      <c r="M474" s="5657"/>
      <c r="N474" s="5654" t="str">
        <f>IF(COUNTBLANK(N475:N480)&gt;0,"미취합법인有",AVERAGE(N475:N480))</f>
        <v>미취합법인有</v>
      </c>
      <c r="O474" s="5663"/>
      <c r="P474" s="5781" t="str">
        <f>IF(COUNTBLANK(P475:P480)&gt;0,"미취합법인有",AVERAGE(P475:P480))</f>
        <v>미취합법인有</v>
      </c>
      <c r="Q474" s="785"/>
      <c r="R474" s="2474" t="s">
        <v>382</v>
      </c>
      <c r="S474" s="489" t="s">
        <v>383</v>
      </c>
      <c r="T474" s="99" t="s">
        <v>189</v>
      </c>
      <c r="U474" s="138"/>
      <c r="V474" s="138"/>
      <c r="W474" s="299" t="s">
        <v>193</v>
      </c>
      <c r="X474" s="265" t="s">
        <v>384</v>
      </c>
      <c r="Y474" s="265"/>
      <c r="Z474" s="187" t="s">
        <v>350</v>
      </c>
      <c r="AA474" s="6305"/>
      <c r="AB474" s="139"/>
      <c r="AC474" s="139"/>
      <c r="AD474" s="139"/>
      <c r="AE474" s="139"/>
      <c r="AF474" s="139"/>
      <c r="AG474" s="139"/>
      <c r="AH474" s="139"/>
      <c r="AI474" s="139"/>
      <c r="AJ474" s="139"/>
      <c r="AK474" s="139"/>
      <c r="AL474" s="139"/>
      <c r="AM474" s="139"/>
      <c r="AN474" s="139"/>
      <c r="AO474" s="139"/>
      <c r="AP474" s="139"/>
      <c r="AQ474" s="139"/>
      <c r="AR474" s="139"/>
      <c r="AS474" s="139"/>
      <c r="AT474" s="139"/>
      <c r="AU474" s="139"/>
      <c r="AV474" s="139"/>
      <c r="AW474" s="139"/>
      <c r="AX474" s="139"/>
      <c r="AY474" s="139"/>
      <c r="AZ474" s="139"/>
      <c r="BA474" s="139"/>
      <c r="BB474" s="139"/>
      <c r="BC474" s="139"/>
      <c r="BD474" s="139"/>
      <c r="BE474" s="139"/>
      <c r="BF474" s="139"/>
      <c r="BG474" s="139"/>
      <c r="BH474" s="139"/>
    </row>
    <row r="475" spans="2:60" s="11" customFormat="1" ht="19.899999999999999" customHeight="1">
      <c r="B475" s="5590"/>
      <c r="C475" s="9647" t="s">
        <v>134</v>
      </c>
      <c r="D475" s="9648"/>
      <c r="E475" s="9649"/>
      <c r="F475" s="132" t="s">
        <v>156</v>
      </c>
      <c r="G475" s="253"/>
      <c r="H475" s="9579" t="s">
        <v>135</v>
      </c>
      <c r="I475" s="9580"/>
      <c r="J475" s="9581"/>
      <c r="K475" s="492" t="s">
        <v>156</v>
      </c>
      <c r="L475" s="5592"/>
      <c r="M475" s="5656" t="s">
        <v>369</v>
      </c>
      <c r="N475" s="5593"/>
      <c r="O475" s="5656" t="s">
        <v>369</v>
      </c>
      <c r="P475" s="5593"/>
      <c r="Q475" s="5656" t="s">
        <v>369</v>
      </c>
      <c r="R475" s="1033"/>
      <c r="S475" s="263"/>
      <c r="T475" s="99"/>
      <c r="U475" s="138"/>
      <c r="V475" s="138"/>
      <c r="W475" s="299" t="s">
        <v>193</v>
      </c>
      <c r="X475" s="264"/>
      <c r="Y475" s="277"/>
      <c r="Z475" s="187"/>
      <c r="AA475" s="6301"/>
      <c r="AB475" s="139"/>
      <c r="AC475" s="139"/>
      <c r="AD475" s="139"/>
      <c r="AE475" s="139"/>
      <c r="AF475" s="139"/>
      <c r="AG475" s="139"/>
      <c r="AH475" s="139"/>
      <c r="AI475" s="139"/>
      <c r="AJ475" s="139"/>
      <c r="AK475" s="139"/>
      <c r="AL475" s="139"/>
      <c r="AM475" s="139"/>
      <c r="AN475" s="139"/>
      <c r="AO475" s="139"/>
      <c r="AP475" s="139"/>
      <c r="AQ475" s="139"/>
      <c r="AR475" s="139"/>
      <c r="AS475" s="139"/>
      <c r="AT475" s="139"/>
      <c r="AU475" s="139"/>
      <c r="AV475" s="139"/>
      <c r="AW475" s="139"/>
      <c r="AX475" s="139"/>
      <c r="AY475" s="139"/>
      <c r="AZ475" s="139"/>
      <c r="BA475" s="139"/>
      <c r="BB475" s="139"/>
      <c r="BC475" s="139"/>
      <c r="BD475" s="139"/>
      <c r="BE475" s="139"/>
      <c r="BF475" s="139"/>
      <c r="BG475" s="139"/>
      <c r="BH475" s="139"/>
    </row>
    <row r="476" spans="2:60" s="11" customFormat="1" ht="19.899999999999999" customHeight="1">
      <c r="B476" s="5590"/>
      <c r="C476" s="9647" t="s">
        <v>137</v>
      </c>
      <c r="D476" s="9648"/>
      <c r="E476" s="9649"/>
      <c r="F476" s="132" t="s">
        <v>156</v>
      </c>
      <c r="G476" s="253"/>
      <c r="H476" s="9579" t="s">
        <v>138</v>
      </c>
      <c r="I476" s="9580"/>
      <c r="J476" s="9581"/>
      <c r="K476" s="492" t="s">
        <v>156</v>
      </c>
      <c r="L476" s="5592"/>
      <c r="M476" s="5656"/>
      <c r="N476" s="5593"/>
      <c r="O476" s="5593"/>
      <c r="P476" s="5593"/>
      <c r="Q476" s="5593"/>
      <c r="R476" s="1033"/>
      <c r="S476" s="263"/>
      <c r="T476" s="99"/>
      <c r="U476" s="138"/>
      <c r="V476" s="138"/>
      <c r="W476" s="299" t="s">
        <v>193</v>
      </c>
      <c r="X476" s="264"/>
      <c r="Y476" s="277"/>
      <c r="Z476" s="187"/>
      <c r="AA476" s="6301"/>
      <c r="AB476" s="139"/>
      <c r="AC476" s="139"/>
      <c r="AD476" s="139"/>
      <c r="AE476" s="139"/>
      <c r="AF476" s="139"/>
      <c r="AG476" s="139"/>
      <c r="AH476" s="139"/>
      <c r="AI476" s="139"/>
      <c r="AJ476" s="139"/>
      <c r="AK476" s="139"/>
      <c r="AL476" s="139"/>
      <c r="AM476" s="139"/>
      <c r="AN476" s="139"/>
      <c r="AO476" s="139"/>
      <c r="AP476" s="139"/>
      <c r="AQ476" s="139"/>
      <c r="AR476" s="139"/>
      <c r="AS476" s="139"/>
      <c r="AT476" s="139"/>
      <c r="AU476" s="139"/>
      <c r="AV476" s="139"/>
      <c r="AW476" s="139"/>
      <c r="AX476" s="139"/>
      <c r="AY476" s="139"/>
      <c r="AZ476" s="139"/>
      <c r="BA476" s="139"/>
      <c r="BB476" s="139"/>
      <c r="BC476" s="139"/>
      <c r="BD476" s="139"/>
      <c r="BE476" s="139"/>
      <c r="BF476" s="139"/>
      <c r="BG476" s="139"/>
      <c r="BH476" s="139"/>
    </row>
    <row r="477" spans="2:60" s="11" customFormat="1" ht="19.899999999999999" customHeight="1">
      <c r="B477" s="5590"/>
      <c r="C477" s="9647" t="s">
        <v>140</v>
      </c>
      <c r="D477" s="9648"/>
      <c r="E477" s="9649"/>
      <c r="F477" s="132" t="s">
        <v>156</v>
      </c>
      <c r="G477" s="253"/>
      <c r="H477" s="9579" t="s">
        <v>141</v>
      </c>
      <c r="I477" s="9580"/>
      <c r="J477" s="9581"/>
      <c r="K477" s="492" t="s">
        <v>156</v>
      </c>
      <c r="L477" s="5592"/>
      <c r="M477" s="5656"/>
      <c r="N477" s="5593"/>
      <c r="O477" s="5593"/>
      <c r="P477" s="5593"/>
      <c r="Q477" s="5593"/>
      <c r="R477" s="1033"/>
      <c r="S477" s="263"/>
      <c r="T477" s="99"/>
      <c r="U477" s="138"/>
      <c r="V477" s="138"/>
      <c r="W477" s="299" t="s">
        <v>193</v>
      </c>
      <c r="X477" s="264"/>
      <c r="Y477" s="277"/>
      <c r="Z477" s="187"/>
      <c r="AA477" s="6301"/>
      <c r="AB477" s="139"/>
      <c r="AC477" s="139"/>
      <c r="AD477" s="139"/>
      <c r="AE477" s="139"/>
      <c r="AF477" s="139"/>
      <c r="AG477" s="139"/>
      <c r="AH477" s="139"/>
      <c r="AI477" s="139"/>
      <c r="AJ477" s="139"/>
      <c r="AK477" s="139"/>
      <c r="AL477" s="139"/>
      <c r="AM477" s="139"/>
      <c r="AN477" s="139"/>
      <c r="AO477" s="139"/>
      <c r="AP477" s="139"/>
      <c r="AQ477" s="139"/>
      <c r="AR477" s="139"/>
      <c r="AS477" s="139"/>
      <c r="AT477" s="139"/>
      <c r="AU477" s="139"/>
      <c r="AV477" s="139"/>
      <c r="AW477" s="139"/>
      <c r="AX477" s="139"/>
      <c r="AY477" s="139"/>
      <c r="AZ477" s="139"/>
      <c r="BA477" s="139"/>
      <c r="BB477" s="139"/>
      <c r="BC477" s="139"/>
      <c r="BD477" s="139"/>
      <c r="BE477" s="139"/>
      <c r="BF477" s="139"/>
      <c r="BG477" s="139"/>
      <c r="BH477" s="139"/>
    </row>
    <row r="478" spans="2:60" s="11" customFormat="1" ht="19.899999999999999" customHeight="1">
      <c r="B478" s="5590"/>
      <c r="C478" s="9647" t="s">
        <v>143</v>
      </c>
      <c r="D478" s="9648"/>
      <c r="E478" s="9649"/>
      <c r="F478" s="132" t="s">
        <v>156</v>
      </c>
      <c r="G478" s="253"/>
      <c r="H478" s="9579" t="s">
        <v>144</v>
      </c>
      <c r="I478" s="9580"/>
      <c r="J478" s="9581"/>
      <c r="K478" s="492" t="s">
        <v>156</v>
      </c>
      <c r="L478" s="5592"/>
      <c r="M478" s="5656"/>
      <c r="N478" s="5593"/>
      <c r="O478" s="5593"/>
      <c r="P478" s="5593"/>
      <c r="Q478" s="5593"/>
      <c r="R478" s="1033"/>
      <c r="S478" s="263"/>
      <c r="T478" s="99"/>
      <c r="U478" s="138"/>
      <c r="V478" s="138"/>
      <c r="W478" s="299" t="s">
        <v>193</v>
      </c>
      <c r="X478" s="264"/>
      <c r="Y478" s="277"/>
      <c r="Z478" s="187"/>
      <c r="AA478" s="6301"/>
      <c r="AB478" s="139"/>
      <c r="AC478" s="139"/>
      <c r="AD478" s="139"/>
      <c r="AE478" s="139"/>
      <c r="AF478" s="139"/>
      <c r="AG478" s="139"/>
      <c r="AH478" s="139"/>
      <c r="AI478" s="139"/>
      <c r="AJ478" s="139"/>
      <c r="AK478" s="139"/>
      <c r="AL478" s="139"/>
      <c r="AM478" s="139"/>
      <c r="AN478" s="139"/>
      <c r="AO478" s="139"/>
      <c r="AP478" s="139"/>
      <c r="AQ478" s="139"/>
      <c r="AR478" s="139"/>
      <c r="AS478" s="139"/>
      <c r="AT478" s="139"/>
      <c r="AU478" s="139"/>
      <c r="AV478" s="139"/>
      <c r="AW478" s="139"/>
      <c r="AX478" s="139"/>
      <c r="AY478" s="139"/>
      <c r="AZ478" s="139"/>
      <c r="BA478" s="139"/>
      <c r="BB478" s="139"/>
      <c r="BC478" s="139"/>
      <c r="BD478" s="139"/>
      <c r="BE478" s="139"/>
      <c r="BF478" s="139"/>
      <c r="BG478" s="139"/>
      <c r="BH478" s="139"/>
    </row>
    <row r="479" spans="2:60" s="11" customFormat="1" ht="19.899999999999999" customHeight="1">
      <c r="B479" s="5590"/>
      <c r="C479" s="9647" t="s">
        <v>631</v>
      </c>
      <c r="D479" s="9648"/>
      <c r="E479" s="9649"/>
      <c r="F479" s="132" t="s">
        <v>156</v>
      </c>
      <c r="G479" s="253"/>
      <c r="H479" s="9579" t="s">
        <v>147</v>
      </c>
      <c r="I479" s="9580"/>
      <c r="J479" s="9581"/>
      <c r="K479" s="492" t="s">
        <v>156</v>
      </c>
      <c r="L479" s="5592"/>
      <c r="M479" s="5656"/>
      <c r="N479" s="5593"/>
      <c r="O479" s="5593"/>
      <c r="P479" s="5593"/>
      <c r="Q479" s="5593"/>
      <c r="R479" s="1033"/>
      <c r="S479" s="263"/>
      <c r="T479" s="99"/>
      <c r="U479" s="138"/>
      <c r="V479" s="138"/>
      <c r="W479" s="299" t="s">
        <v>193</v>
      </c>
      <c r="X479" s="264"/>
      <c r="Y479" s="277"/>
      <c r="Z479" s="187"/>
      <c r="AA479" s="6301"/>
      <c r="AB479" s="139"/>
      <c r="AC479" s="139"/>
      <c r="AD479" s="139"/>
      <c r="AE479" s="139"/>
      <c r="AF479" s="139"/>
      <c r="AG479" s="139"/>
      <c r="AH479" s="139"/>
      <c r="AI479" s="139"/>
      <c r="AJ479" s="139"/>
      <c r="AK479" s="139"/>
      <c r="AL479" s="139"/>
      <c r="AM479" s="139"/>
      <c r="AN479" s="139"/>
      <c r="AO479" s="139"/>
      <c r="AP479" s="139"/>
      <c r="AQ479" s="139"/>
      <c r="AR479" s="139"/>
      <c r="AS479" s="139"/>
      <c r="AT479" s="139"/>
      <c r="AU479" s="139"/>
      <c r="AV479" s="139"/>
      <c r="AW479" s="139"/>
      <c r="AX479" s="139"/>
      <c r="AY479" s="139"/>
      <c r="AZ479" s="139"/>
      <c r="BA479" s="139"/>
      <c r="BB479" s="139"/>
      <c r="BC479" s="139"/>
      <c r="BD479" s="139"/>
      <c r="BE479" s="139"/>
      <c r="BF479" s="139"/>
      <c r="BG479" s="139"/>
      <c r="BH479" s="139"/>
    </row>
    <row r="480" spans="2:60" s="11" customFormat="1" ht="19.899999999999999" customHeight="1">
      <c r="B480" s="5590"/>
      <c r="C480" s="9647" t="s">
        <v>633</v>
      </c>
      <c r="D480" s="9648"/>
      <c r="E480" s="9649"/>
      <c r="F480" s="132" t="s">
        <v>156</v>
      </c>
      <c r="G480" s="253"/>
      <c r="H480" s="9579" t="s">
        <v>150</v>
      </c>
      <c r="I480" s="9580"/>
      <c r="J480" s="9581"/>
      <c r="K480" s="492" t="s">
        <v>156</v>
      </c>
      <c r="L480" s="5592"/>
      <c r="M480" s="5656"/>
      <c r="N480" s="5593"/>
      <c r="O480" s="5593"/>
      <c r="P480" s="5593"/>
      <c r="Q480" s="5593"/>
      <c r="R480" s="1033"/>
      <c r="S480" s="263"/>
      <c r="T480" s="99"/>
      <c r="U480" s="138"/>
      <c r="V480" s="138"/>
      <c r="W480" s="299" t="s">
        <v>193</v>
      </c>
      <c r="X480" s="264"/>
      <c r="Y480" s="277"/>
      <c r="Z480" s="187"/>
      <c r="AA480" s="6301"/>
      <c r="AB480" s="139"/>
      <c r="AC480" s="139"/>
      <c r="AD480" s="139"/>
      <c r="AE480" s="139"/>
      <c r="AF480" s="139"/>
      <c r="AG480" s="139"/>
      <c r="AH480" s="139"/>
      <c r="AI480" s="139"/>
      <c r="AJ480" s="139"/>
      <c r="AK480" s="139"/>
      <c r="AL480" s="139"/>
      <c r="AM480" s="139"/>
      <c r="AN480" s="139"/>
      <c r="AO480" s="139"/>
      <c r="AP480" s="139"/>
      <c r="AQ480" s="139"/>
      <c r="AR480" s="139"/>
      <c r="AS480" s="139"/>
      <c r="AT480" s="139"/>
      <c r="AU480" s="139"/>
      <c r="AV480" s="139"/>
      <c r="AW480" s="139"/>
      <c r="AX480" s="139"/>
      <c r="AY480" s="139"/>
      <c r="AZ480" s="139"/>
      <c r="BA480" s="139"/>
      <c r="BB480" s="139"/>
      <c r="BC480" s="139"/>
      <c r="BD480" s="139"/>
      <c r="BE480" s="139"/>
      <c r="BF480" s="139"/>
      <c r="BG480" s="139"/>
      <c r="BH480" s="139"/>
    </row>
    <row r="481" spans="2:60" s="11" customFormat="1" ht="20.100000000000001" customHeight="1">
      <c r="B481" s="1360"/>
      <c r="C481" s="5598"/>
      <c r="D481" s="9584" t="s">
        <v>385</v>
      </c>
      <c r="E481" s="9585"/>
      <c r="F481" s="492" t="s">
        <v>344</v>
      </c>
      <c r="G481" s="337"/>
      <c r="H481" s="358"/>
      <c r="I481" s="9584" t="s">
        <v>386</v>
      </c>
      <c r="J481" s="9585"/>
      <c r="K481" s="492" t="s">
        <v>344</v>
      </c>
      <c r="L481" s="5653" t="str">
        <f>IF(COUNTBLANK(L482:L487)&gt;0,"미취합법인有",SUM(L482:L487))</f>
        <v>미취합법인有</v>
      </c>
      <c r="M481" s="5657"/>
      <c r="N481" s="5654" t="str">
        <f>IF(COUNTBLANK(N482:N487)&gt;0,"미취합법인有",SUM(N482:N487))</f>
        <v>미취합법인有</v>
      </c>
      <c r="O481" s="5663"/>
      <c r="P481" s="5781" t="str">
        <f>IF(COUNTBLANK(P482:P487)&gt;0,"미취합법인有",SUM(P482:P487))</f>
        <v>미취합법인有</v>
      </c>
      <c r="Q481" s="785"/>
      <c r="R481" s="782"/>
      <c r="S481" s="24"/>
      <c r="T481" s="99" t="s">
        <v>189</v>
      </c>
      <c r="U481" s="138"/>
      <c r="V481" s="138"/>
      <c r="W481" s="299" t="s">
        <v>193</v>
      </c>
      <c r="X481" s="265" t="s">
        <v>384</v>
      </c>
      <c r="Y481" s="265"/>
      <c r="Z481" s="187"/>
      <c r="AA481" s="6305"/>
      <c r="AB481" s="139"/>
      <c r="AC481" s="139"/>
      <c r="AD481" s="139"/>
      <c r="AE481" s="139"/>
      <c r="AF481" s="139"/>
      <c r="AG481" s="139"/>
      <c r="AH481" s="139"/>
      <c r="AI481" s="139"/>
      <c r="AJ481" s="139"/>
      <c r="AK481" s="139"/>
      <c r="AL481" s="139"/>
      <c r="AM481" s="139"/>
      <c r="AN481" s="139"/>
      <c r="AO481" s="139"/>
      <c r="AP481" s="139"/>
      <c r="AQ481" s="139"/>
      <c r="AR481" s="139"/>
      <c r="AS481" s="139"/>
      <c r="AT481" s="139"/>
      <c r="AU481" s="139"/>
      <c r="AV481" s="139"/>
      <c r="AW481" s="139"/>
      <c r="AX481" s="139"/>
      <c r="AY481" s="139"/>
      <c r="AZ481" s="139"/>
      <c r="BA481" s="139"/>
      <c r="BB481" s="139"/>
      <c r="BC481" s="139"/>
      <c r="BD481" s="139"/>
      <c r="BE481" s="139"/>
      <c r="BF481" s="139"/>
      <c r="BG481" s="139"/>
      <c r="BH481" s="139"/>
    </row>
    <row r="482" spans="2:60" s="11" customFormat="1" ht="19.899999999999999" customHeight="1">
      <c r="B482" s="5590"/>
      <c r="C482" s="5598"/>
      <c r="D482" s="9598" t="s">
        <v>134</v>
      </c>
      <c r="E482" s="9600"/>
      <c r="F482" s="492" t="s">
        <v>344</v>
      </c>
      <c r="G482" s="253"/>
      <c r="H482" s="286"/>
      <c r="I482" s="9579" t="s">
        <v>135</v>
      </c>
      <c r="J482" s="9581"/>
      <c r="K482" s="492" t="s">
        <v>344</v>
      </c>
      <c r="L482" s="5592"/>
      <c r="M482" s="5656" t="s">
        <v>369</v>
      </c>
      <c r="N482" s="5593"/>
      <c r="O482" s="5656" t="s">
        <v>369</v>
      </c>
      <c r="P482" s="5593"/>
      <c r="Q482" s="5656" t="s">
        <v>369</v>
      </c>
      <c r="R482" s="2468"/>
      <c r="S482" s="276"/>
      <c r="T482" s="99"/>
      <c r="U482" s="138"/>
      <c r="V482" s="138"/>
      <c r="W482" s="299" t="s">
        <v>193</v>
      </c>
      <c r="X482" s="264"/>
      <c r="Y482" s="277"/>
      <c r="Z482" s="187"/>
      <c r="AA482" s="6301"/>
      <c r="AB482" s="139"/>
      <c r="AC482" s="139"/>
      <c r="AD482" s="139"/>
      <c r="AE482" s="139"/>
      <c r="AF482" s="139"/>
      <c r="AG482" s="139"/>
      <c r="AH482" s="139"/>
      <c r="AI482" s="139"/>
      <c r="AJ482" s="139"/>
      <c r="AK482" s="139"/>
      <c r="AL482" s="139"/>
      <c r="AM482" s="139"/>
      <c r="AN482" s="139"/>
      <c r="AO482" s="139"/>
      <c r="AP482" s="139"/>
      <c r="AQ482" s="139"/>
      <c r="AR482" s="139"/>
      <c r="AS482" s="139"/>
      <c r="AT482" s="139"/>
      <c r="AU482" s="139"/>
      <c r="AV482" s="139"/>
      <c r="AW482" s="139"/>
      <c r="AX482" s="139"/>
      <c r="AY482" s="139"/>
      <c r="AZ482" s="139"/>
      <c r="BA482" s="139"/>
      <c r="BB482" s="139"/>
      <c r="BC482" s="139"/>
      <c r="BD482" s="139"/>
      <c r="BE482" s="139"/>
      <c r="BF482" s="139"/>
      <c r="BG482" s="139"/>
      <c r="BH482" s="139"/>
    </row>
    <row r="483" spans="2:60" s="11" customFormat="1" ht="19.899999999999999" customHeight="1">
      <c r="B483" s="5590"/>
      <c r="C483" s="5598"/>
      <c r="D483" s="9598" t="s">
        <v>137</v>
      </c>
      <c r="E483" s="9600"/>
      <c r="F483" s="492" t="s">
        <v>344</v>
      </c>
      <c r="G483" s="253"/>
      <c r="H483" s="286"/>
      <c r="I483" s="9579" t="s">
        <v>138</v>
      </c>
      <c r="J483" s="9581"/>
      <c r="K483" s="492" t="s">
        <v>344</v>
      </c>
      <c r="L483" s="5594"/>
      <c r="M483" s="5658"/>
      <c r="N483" s="1814"/>
      <c r="O483" s="5302"/>
      <c r="P483" s="5595"/>
      <c r="Q483" s="1814"/>
      <c r="R483" s="2468"/>
      <c r="S483" s="276"/>
      <c r="T483" s="99"/>
      <c r="U483" s="138"/>
      <c r="V483" s="138"/>
      <c r="W483" s="299" t="s">
        <v>193</v>
      </c>
      <c r="X483" s="264"/>
      <c r="Y483" s="277"/>
      <c r="Z483" s="187"/>
      <c r="AA483" s="6301"/>
      <c r="AB483" s="139"/>
      <c r="AC483" s="139"/>
      <c r="AD483" s="139"/>
      <c r="AE483" s="139"/>
      <c r="AF483" s="139"/>
      <c r="AG483" s="139"/>
      <c r="AH483" s="139"/>
      <c r="AI483" s="139"/>
      <c r="AJ483" s="139"/>
      <c r="AK483" s="139"/>
      <c r="AL483" s="139"/>
      <c r="AM483" s="139"/>
      <c r="AN483" s="139"/>
      <c r="AO483" s="139"/>
      <c r="AP483" s="139"/>
      <c r="AQ483" s="139"/>
      <c r="AR483" s="139"/>
      <c r="AS483" s="139"/>
      <c r="AT483" s="139"/>
      <c r="AU483" s="139"/>
      <c r="AV483" s="139"/>
      <c r="AW483" s="139"/>
      <c r="AX483" s="139"/>
      <c r="AY483" s="139"/>
      <c r="AZ483" s="139"/>
      <c r="BA483" s="139"/>
      <c r="BB483" s="139"/>
      <c r="BC483" s="139"/>
      <c r="BD483" s="139"/>
      <c r="BE483" s="139"/>
      <c r="BF483" s="139"/>
      <c r="BG483" s="139"/>
      <c r="BH483" s="139"/>
    </row>
    <row r="484" spans="2:60" s="11" customFormat="1" ht="19.899999999999999" customHeight="1">
      <c r="B484" s="5590"/>
      <c r="C484" s="5598"/>
      <c r="D484" s="9598" t="s">
        <v>140</v>
      </c>
      <c r="E484" s="9600"/>
      <c r="F484" s="492" t="s">
        <v>344</v>
      </c>
      <c r="G484" s="253"/>
      <c r="H484" s="286"/>
      <c r="I484" s="9582" t="s">
        <v>141</v>
      </c>
      <c r="J484" s="9583"/>
      <c r="K484" s="492" t="s">
        <v>344</v>
      </c>
      <c r="L484" s="2557"/>
      <c r="M484" s="5610"/>
      <c r="N484" s="2554"/>
      <c r="O484" s="2815"/>
      <c r="P484" s="5666"/>
      <c r="Q484" s="2554"/>
      <c r="R484" s="2468"/>
      <c r="S484" s="276"/>
      <c r="T484" s="99"/>
      <c r="U484" s="138"/>
      <c r="V484" s="138"/>
      <c r="W484" s="299" t="s">
        <v>193</v>
      </c>
      <c r="X484" s="264"/>
      <c r="Y484" s="277"/>
      <c r="Z484" s="187"/>
      <c r="AA484" s="6301"/>
      <c r="AB484" s="139"/>
      <c r="AC484" s="139"/>
      <c r="AD484" s="139"/>
      <c r="AE484" s="139"/>
      <c r="AF484" s="139"/>
      <c r="AG484" s="139"/>
      <c r="AH484" s="139"/>
      <c r="AI484" s="139"/>
      <c r="AJ484" s="139"/>
      <c r="AK484" s="139"/>
      <c r="AL484" s="139"/>
      <c r="AM484" s="139"/>
      <c r="AN484" s="139"/>
      <c r="AO484" s="139"/>
      <c r="AP484" s="139"/>
      <c r="AQ484" s="139"/>
      <c r="AR484" s="139"/>
      <c r="AS484" s="139"/>
      <c r="AT484" s="139"/>
      <c r="AU484" s="139"/>
      <c r="AV484" s="139"/>
      <c r="AW484" s="139"/>
      <c r="AX484" s="139"/>
      <c r="AY484" s="139"/>
      <c r="AZ484" s="139"/>
      <c r="BA484" s="139"/>
      <c r="BB484" s="139"/>
      <c r="BC484" s="139"/>
      <c r="BD484" s="139"/>
      <c r="BE484" s="139"/>
      <c r="BF484" s="139"/>
      <c r="BG484" s="139"/>
      <c r="BH484" s="139"/>
    </row>
    <row r="485" spans="2:60" s="11" customFormat="1" ht="19.899999999999999" customHeight="1">
      <c r="B485" s="5590"/>
      <c r="C485" s="5598"/>
      <c r="D485" s="9598" t="s">
        <v>143</v>
      </c>
      <c r="E485" s="9600"/>
      <c r="F485" s="492" t="s">
        <v>344</v>
      </c>
      <c r="G485" s="253"/>
      <c r="H485" s="286"/>
      <c r="I485" s="9582" t="s">
        <v>144</v>
      </c>
      <c r="J485" s="9583"/>
      <c r="K485" s="492" t="s">
        <v>344</v>
      </c>
      <c r="L485" s="5592"/>
      <c r="M485" s="5656"/>
      <c r="N485" s="5593"/>
      <c r="O485" s="5593"/>
      <c r="P485" s="5593"/>
      <c r="Q485" s="5593"/>
      <c r="R485" s="2468"/>
      <c r="S485" s="276"/>
      <c r="T485" s="99"/>
      <c r="U485" s="138"/>
      <c r="V485" s="138"/>
      <c r="W485" s="299" t="s">
        <v>193</v>
      </c>
      <c r="X485" s="264"/>
      <c r="Y485" s="277"/>
      <c r="Z485" s="187"/>
      <c r="AA485" s="6301"/>
      <c r="AB485" s="139"/>
      <c r="AC485" s="139"/>
      <c r="AD485" s="139"/>
      <c r="AE485" s="139"/>
      <c r="AF485" s="139"/>
      <c r="AG485" s="139"/>
      <c r="AH485" s="139"/>
      <c r="AI485" s="139"/>
      <c r="AJ485" s="139"/>
      <c r="AK485" s="139"/>
      <c r="AL485" s="139"/>
      <c r="AM485" s="139"/>
      <c r="AN485" s="139"/>
      <c r="AO485" s="139"/>
      <c r="AP485" s="139"/>
      <c r="AQ485" s="139"/>
      <c r="AR485" s="139"/>
      <c r="AS485" s="139"/>
      <c r="AT485" s="139"/>
      <c r="AU485" s="139"/>
      <c r="AV485" s="139"/>
      <c r="AW485" s="139"/>
      <c r="AX485" s="139"/>
      <c r="AY485" s="139"/>
      <c r="AZ485" s="139"/>
      <c r="BA485" s="139"/>
      <c r="BB485" s="139"/>
      <c r="BC485" s="139"/>
      <c r="BD485" s="139"/>
      <c r="BE485" s="139"/>
      <c r="BF485" s="139"/>
      <c r="BG485" s="139"/>
      <c r="BH485" s="139"/>
    </row>
    <row r="486" spans="2:60" s="11" customFormat="1" ht="19.899999999999999" customHeight="1">
      <c r="B486" s="5590"/>
      <c r="C486" s="5598"/>
      <c r="D486" s="9598" t="s">
        <v>631</v>
      </c>
      <c r="E486" s="9600"/>
      <c r="F486" s="492" t="s">
        <v>344</v>
      </c>
      <c r="G486" s="253"/>
      <c r="H486" s="286"/>
      <c r="I486" s="9582" t="s">
        <v>147</v>
      </c>
      <c r="J486" s="9583"/>
      <c r="K486" s="492" t="s">
        <v>344</v>
      </c>
      <c r="L486" s="5592"/>
      <c r="M486" s="5656"/>
      <c r="N486" s="5593"/>
      <c r="O486" s="5593"/>
      <c r="P486" s="5593"/>
      <c r="Q486" s="5593"/>
      <c r="R486" s="2468"/>
      <c r="S486" s="276"/>
      <c r="T486" s="99"/>
      <c r="U486" s="138"/>
      <c r="V486" s="138"/>
      <c r="W486" s="299" t="s">
        <v>193</v>
      </c>
      <c r="X486" s="264"/>
      <c r="Y486" s="277"/>
      <c r="Z486" s="187"/>
      <c r="AA486" s="6301"/>
      <c r="AB486" s="139"/>
      <c r="AC486" s="139"/>
      <c r="AD486" s="139"/>
      <c r="AE486" s="139"/>
      <c r="AF486" s="139"/>
      <c r="AG486" s="139"/>
      <c r="AH486" s="139"/>
      <c r="AI486" s="139"/>
      <c r="AJ486" s="139"/>
      <c r="AK486" s="139"/>
      <c r="AL486" s="139"/>
      <c r="AM486" s="139"/>
      <c r="AN486" s="139"/>
      <c r="AO486" s="139"/>
      <c r="AP486" s="139"/>
      <c r="AQ486" s="139"/>
      <c r="AR486" s="139"/>
      <c r="AS486" s="139"/>
      <c r="AT486" s="139"/>
      <c r="AU486" s="139"/>
      <c r="AV486" s="139"/>
      <c r="AW486" s="139"/>
      <c r="AX486" s="139"/>
      <c r="AY486" s="139"/>
      <c r="AZ486" s="139"/>
      <c r="BA486" s="139"/>
      <c r="BB486" s="139"/>
      <c r="BC486" s="139"/>
      <c r="BD486" s="139"/>
      <c r="BE486" s="139"/>
      <c r="BF486" s="139"/>
      <c r="BG486" s="139"/>
      <c r="BH486" s="139"/>
    </row>
    <row r="487" spans="2:60" s="11" customFormat="1" ht="19.899999999999999" customHeight="1">
      <c r="B487" s="5590"/>
      <c r="C487" s="5598"/>
      <c r="D487" s="9598" t="s">
        <v>633</v>
      </c>
      <c r="E487" s="9600"/>
      <c r="F487" s="492" t="s">
        <v>344</v>
      </c>
      <c r="G487" s="253"/>
      <c r="H487" s="286"/>
      <c r="I487" s="9582" t="s">
        <v>150</v>
      </c>
      <c r="J487" s="9583"/>
      <c r="K487" s="492" t="s">
        <v>344</v>
      </c>
      <c r="L487" s="5592"/>
      <c r="M487" s="5656"/>
      <c r="N487" s="5593"/>
      <c r="O487" s="5593"/>
      <c r="P487" s="5593"/>
      <c r="Q487" s="5593"/>
      <c r="R487" s="2468"/>
      <c r="S487" s="276"/>
      <c r="T487" s="99"/>
      <c r="U487" s="138"/>
      <c r="V487" s="138"/>
      <c r="W487" s="299" t="s">
        <v>193</v>
      </c>
      <c r="X487" s="264"/>
      <c r="Y487" s="277"/>
      <c r="Z487" s="187"/>
      <c r="AA487" s="6301"/>
      <c r="AB487" s="139"/>
      <c r="AC487" s="139"/>
      <c r="AD487" s="139"/>
      <c r="AE487" s="139"/>
      <c r="AF487" s="139"/>
      <c r="AG487" s="139"/>
      <c r="AH487" s="139"/>
      <c r="AI487" s="139"/>
      <c r="AJ487" s="139"/>
      <c r="AK487" s="139"/>
      <c r="AL487" s="139"/>
      <c r="AM487" s="139"/>
      <c r="AN487" s="139"/>
      <c r="AO487" s="139"/>
      <c r="AP487" s="139"/>
      <c r="AQ487" s="139"/>
      <c r="AR487" s="139"/>
      <c r="AS487" s="139"/>
      <c r="AT487" s="139"/>
      <c r="AU487" s="139"/>
      <c r="AV487" s="139"/>
      <c r="AW487" s="139"/>
      <c r="AX487" s="139"/>
      <c r="AY487" s="139"/>
      <c r="AZ487" s="139"/>
      <c r="BA487" s="139"/>
      <c r="BB487" s="139"/>
      <c r="BC487" s="139"/>
      <c r="BD487" s="139"/>
      <c r="BE487" s="139"/>
      <c r="BF487" s="139"/>
      <c r="BG487" s="139"/>
      <c r="BH487" s="139"/>
    </row>
    <row r="488" spans="2:60" s="11" customFormat="1" ht="20.100000000000001" customHeight="1">
      <c r="B488" s="1360"/>
      <c r="C488" s="5598"/>
      <c r="D488" s="9584" t="s">
        <v>343</v>
      </c>
      <c r="E488" s="9585"/>
      <c r="F488" s="492" t="s">
        <v>344</v>
      </c>
      <c r="G488" s="337"/>
      <c r="H488" s="358"/>
      <c r="I488" s="9584" t="s">
        <v>685</v>
      </c>
      <c r="J488" s="9585"/>
      <c r="K488" s="492" t="s">
        <v>344</v>
      </c>
      <c r="L488" s="5653" t="str">
        <f>IF(COUNTBLANK(L489:L494)&gt;0,"미취합법인有",SUM(L489:L494))</f>
        <v>미취합법인有</v>
      </c>
      <c r="M488" s="5657"/>
      <c r="N488" s="5654" t="str">
        <f>IF(COUNTBLANK(N489:N494)&gt;0,"미취합법인有",SUM(N489:N494))</f>
        <v>미취합법인有</v>
      </c>
      <c r="O488" s="5663"/>
      <c r="P488" s="5781" t="str">
        <f>IF(COUNTBLANK(P489:P494)&gt;0,"미취합법인有",SUM(P489:P494))</f>
        <v>미취합법인有</v>
      </c>
      <c r="Q488" s="785"/>
      <c r="R488" s="24"/>
      <c r="S488" s="162"/>
      <c r="T488" s="99" t="s">
        <v>189</v>
      </c>
      <c r="U488" s="138"/>
      <c r="V488" s="138"/>
      <c r="W488" s="299" t="s">
        <v>193</v>
      </c>
      <c r="X488" s="265" t="s">
        <v>384</v>
      </c>
      <c r="Y488" s="265"/>
      <c r="Z488" s="187"/>
      <c r="AA488" s="6305"/>
      <c r="AB488" s="139"/>
      <c r="AC488" s="139"/>
      <c r="AD488" s="139"/>
      <c r="AE488" s="139"/>
      <c r="AF488" s="139"/>
      <c r="AG488" s="139"/>
      <c r="AH488" s="139"/>
      <c r="AI488" s="139"/>
      <c r="AJ488" s="139"/>
      <c r="AK488" s="139"/>
      <c r="AL488" s="139"/>
      <c r="AM488" s="139"/>
      <c r="AN488" s="139"/>
      <c r="AO488" s="139"/>
      <c r="AP488" s="139"/>
      <c r="AQ488" s="139"/>
      <c r="AR488" s="139"/>
      <c r="AS488" s="139"/>
      <c r="AT488" s="139"/>
      <c r="AU488" s="139"/>
      <c r="AV488" s="139"/>
      <c r="AW488" s="139"/>
      <c r="AX488" s="139"/>
      <c r="AY488" s="139"/>
      <c r="AZ488" s="139"/>
      <c r="BA488" s="139"/>
      <c r="BB488" s="139"/>
      <c r="BC488" s="139"/>
      <c r="BD488" s="139"/>
      <c r="BE488" s="139"/>
      <c r="BF488" s="139"/>
      <c r="BG488" s="139"/>
      <c r="BH488" s="139"/>
    </row>
    <row r="489" spans="2:60" s="11" customFormat="1" ht="19.899999999999999" customHeight="1">
      <c r="B489" s="5590"/>
      <c r="C489" s="5598"/>
      <c r="D489" s="9598" t="s">
        <v>134</v>
      </c>
      <c r="E489" s="9600"/>
      <c r="F489" s="492" t="s">
        <v>344</v>
      </c>
      <c r="G489" s="253"/>
      <c r="H489" s="286"/>
      <c r="I489" s="9579" t="s">
        <v>135</v>
      </c>
      <c r="J489" s="9581"/>
      <c r="K489" s="492" t="s">
        <v>344</v>
      </c>
      <c r="L489" s="5592"/>
      <c r="M489" s="5656" t="s">
        <v>369</v>
      </c>
      <c r="N489" s="5593"/>
      <c r="O489" s="5656" t="s">
        <v>369</v>
      </c>
      <c r="P489" s="5593"/>
      <c r="Q489" s="5656" t="s">
        <v>369</v>
      </c>
      <c r="R489" s="2468"/>
      <c r="S489" s="276"/>
      <c r="T489" s="99"/>
      <c r="U489" s="138"/>
      <c r="V489" s="138"/>
      <c r="W489" s="299" t="s">
        <v>193</v>
      </c>
      <c r="X489" s="264"/>
      <c r="Y489" s="277"/>
      <c r="Z489" s="187"/>
      <c r="AA489" s="6301"/>
      <c r="AB489" s="139"/>
      <c r="AC489" s="139"/>
      <c r="AD489" s="139"/>
      <c r="AE489" s="139"/>
      <c r="AF489" s="139"/>
      <c r="AG489" s="139"/>
      <c r="AH489" s="139"/>
      <c r="AI489" s="139"/>
      <c r="AJ489" s="139"/>
      <c r="AK489" s="139"/>
      <c r="AL489" s="139"/>
      <c r="AM489" s="139"/>
      <c r="AN489" s="139"/>
      <c r="AO489" s="139"/>
      <c r="AP489" s="139"/>
      <c r="AQ489" s="139"/>
      <c r="AR489" s="139"/>
      <c r="AS489" s="139"/>
      <c r="AT489" s="139"/>
      <c r="AU489" s="139"/>
      <c r="AV489" s="139"/>
      <c r="AW489" s="139"/>
      <c r="AX489" s="139"/>
      <c r="AY489" s="139"/>
      <c r="AZ489" s="139"/>
      <c r="BA489" s="139"/>
      <c r="BB489" s="139"/>
      <c r="BC489" s="139"/>
      <c r="BD489" s="139"/>
      <c r="BE489" s="139"/>
      <c r="BF489" s="139"/>
      <c r="BG489" s="139"/>
      <c r="BH489" s="139"/>
    </row>
    <row r="490" spans="2:60" s="11" customFormat="1" ht="19.899999999999999" customHeight="1">
      <c r="B490" s="5590"/>
      <c r="C490" s="5598"/>
      <c r="D490" s="9598" t="s">
        <v>137</v>
      </c>
      <c r="E490" s="9600"/>
      <c r="F490" s="492" t="s">
        <v>344</v>
      </c>
      <c r="G490" s="253"/>
      <c r="H490" s="286"/>
      <c r="I490" s="9579" t="s">
        <v>138</v>
      </c>
      <c r="J490" s="9581"/>
      <c r="K490" s="492" t="s">
        <v>344</v>
      </c>
      <c r="L490" s="5594"/>
      <c r="M490" s="5658"/>
      <c r="N490" s="1814"/>
      <c r="O490" s="5302"/>
      <c r="P490" s="5595"/>
      <c r="Q490" s="1814"/>
      <c r="R490" s="2468"/>
      <c r="S490" s="276"/>
      <c r="T490" s="99"/>
      <c r="U490" s="138"/>
      <c r="V490" s="138"/>
      <c r="W490" s="299" t="s">
        <v>193</v>
      </c>
      <c r="X490" s="264"/>
      <c r="Y490" s="277"/>
      <c r="Z490" s="187"/>
      <c r="AA490" s="6301"/>
      <c r="AB490" s="139"/>
      <c r="AC490" s="139"/>
      <c r="AD490" s="139"/>
      <c r="AE490" s="139"/>
      <c r="AF490" s="139"/>
      <c r="AG490" s="139"/>
      <c r="AH490" s="139"/>
      <c r="AI490" s="139"/>
      <c r="AJ490" s="139"/>
      <c r="AK490" s="139"/>
      <c r="AL490" s="139"/>
      <c r="AM490" s="139"/>
      <c r="AN490" s="139"/>
      <c r="AO490" s="139"/>
      <c r="AP490" s="139"/>
      <c r="AQ490" s="139"/>
      <c r="AR490" s="139"/>
      <c r="AS490" s="139"/>
      <c r="AT490" s="139"/>
      <c r="AU490" s="139"/>
      <c r="AV490" s="139"/>
      <c r="AW490" s="139"/>
      <c r="AX490" s="139"/>
      <c r="AY490" s="139"/>
      <c r="AZ490" s="139"/>
      <c r="BA490" s="139"/>
      <c r="BB490" s="139"/>
      <c r="BC490" s="139"/>
      <c r="BD490" s="139"/>
      <c r="BE490" s="139"/>
      <c r="BF490" s="139"/>
      <c r="BG490" s="139"/>
      <c r="BH490" s="139"/>
    </row>
    <row r="491" spans="2:60" s="11" customFormat="1" ht="19.899999999999999" customHeight="1">
      <c r="B491" s="5590"/>
      <c r="C491" s="5598"/>
      <c r="D491" s="9598" t="s">
        <v>140</v>
      </c>
      <c r="E491" s="9600"/>
      <c r="F491" s="492" t="s">
        <v>344</v>
      </c>
      <c r="G491" s="253"/>
      <c r="H491" s="286"/>
      <c r="I491" s="9582" t="s">
        <v>141</v>
      </c>
      <c r="J491" s="9583"/>
      <c r="K491" s="492" t="s">
        <v>344</v>
      </c>
      <c r="L491" s="2557"/>
      <c r="M491" s="5610"/>
      <c r="N491" s="2554"/>
      <c r="O491" s="2815"/>
      <c r="P491" s="5666"/>
      <c r="Q491" s="2554"/>
      <c r="R491" s="2468"/>
      <c r="S491" s="276"/>
      <c r="T491" s="99"/>
      <c r="U491" s="138"/>
      <c r="V491" s="138"/>
      <c r="W491" s="299" t="s">
        <v>193</v>
      </c>
      <c r="X491" s="264"/>
      <c r="Y491" s="277"/>
      <c r="Z491" s="187"/>
      <c r="AA491" s="6301"/>
      <c r="AB491" s="139"/>
      <c r="AC491" s="139"/>
      <c r="AD491" s="139"/>
      <c r="AE491" s="139"/>
      <c r="AF491" s="139"/>
      <c r="AG491" s="139"/>
      <c r="AH491" s="139"/>
      <c r="AI491" s="139"/>
      <c r="AJ491" s="139"/>
      <c r="AK491" s="139"/>
      <c r="AL491" s="139"/>
      <c r="AM491" s="139"/>
      <c r="AN491" s="139"/>
      <c r="AO491" s="139"/>
      <c r="AP491" s="139"/>
      <c r="AQ491" s="139"/>
      <c r="AR491" s="139"/>
      <c r="AS491" s="139"/>
      <c r="AT491" s="139"/>
      <c r="AU491" s="139"/>
      <c r="AV491" s="139"/>
      <c r="AW491" s="139"/>
      <c r="AX491" s="139"/>
      <c r="AY491" s="139"/>
      <c r="AZ491" s="139"/>
      <c r="BA491" s="139"/>
      <c r="BB491" s="139"/>
      <c r="BC491" s="139"/>
      <c r="BD491" s="139"/>
      <c r="BE491" s="139"/>
      <c r="BF491" s="139"/>
      <c r="BG491" s="139"/>
      <c r="BH491" s="139"/>
    </row>
    <row r="492" spans="2:60" s="11" customFormat="1" ht="19.899999999999999" customHeight="1">
      <c r="B492" s="5590"/>
      <c r="C492" s="5598"/>
      <c r="D492" s="9598" t="s">
        <v>143</v>
      </c>
      <c r="E492" s="9600"/>
      <c r="F492" s="492" t="s">
        <v>344</v>
      </c>
      <c r="G492" s="253"/>
      <c r="H492" s="286"/>
      <c r="I492" s="9582" t="s">
        <v>144</v>
      </c>
      <c r="J492" s="9583"/>
      <c r="K492" s="492" t="s">
        <v>344</v>
      </c>
      <c r="L492" s="5592"/>
      <c r="M492" s="5656"/>
      <c r="N492" s="5593"/>
      <c r="O492" s="5593"/>
      <c r="P492" s="5593"/>
      <c r="Q492" s="5593"/>
      <c r="R492" s="2468"/>
      <c r="S492" s="276"/>
      <c r="T492" s="99"/>
      <c r="U492" s="138"/>
      <c r="V492" s="138"/>
      <c r="W492" s="299" t="s">
        <v>193</v>
      </c>
      <c r="X492" s="264"/>
      <c r="Y492" s="277"/>
      <c r="Z492" s="187"/>
      <c r="AA492" s="6301"/>
      <c r="AB492" s="139"/>
      <c r="AC492" s="139"/>
      <c r="AD492" s="139"/>
      <c r="AE492" s="139"/>
      <c r="AF492" s="139"/>
      <c r="AG492" s="139"/>
      <c r="AH492" s="139"/>
      <c r="AI492" s="139"/>
      <c r="AJ492" s="139"/>
      <c r="AK492" s="139"/>
      <c r="AL492" s="139"/>
      <c r="AM492" s="139"/>
      <c r="AN492" s="139"/>
      <c r="AO492" s="139"/>
      <c r="AP492" s="139"/>
      <c r="AQ492" s="139"/>
      <c r="AR492" s="139"/>
      <c r="AS492" s="139"/>
      <c r="AT492" s="139"/>
      <c r="AU492" s="139"/>
      <c r="AV492" s="139"/>
      <c r="AW492" s="139"/>
      <c r="AX492" s="139"/>
      <c r="AY492" s="139"/>
      <c r="AZ492" s="139"/>
      <c r="BA492" s="139"/>
      <c r="BB492" s="139"/>
      <c r="BC492" s="139"/>
      <c r="BD492" s="139"/>
      <c r="BE492" s="139"/>
      <c r="BF492" s="139"/>
      <c r="BG492" s="139"/>
      <c r="BH492" s="139"/>
    </row>
    <row r="493" spans="2:60" s="11" customFormat="1" ht="19.899999999999999" customHeight="1">
      <c r="B493" s="5590"/>
      <c r="C493" s="5598"/>
      <c r="D493" s="9598" t="s">
        <v>631</v>
      </c>
      <c r="E493" s="9600"/>
      <c r="F493" s="492" t="s">
        <v>344</v>
      </c>
      <c r="G493" s="253"/>
      <c r="H493" s="286"/>
      <c r="I493" s="9582" t="s">
        <v>147</v>
      </c>
      <c r="J493" s="9583"/>
      <c r="K493" s="492" t="s">
        <v>344</v>
      </c>
      <c r="L493" s="5592"/>
      <c r="M493" s="5656"/>
      <c r="N493" s="5593"/>
      <c r="O493" s="5593"/>
      <c r="P493" s="5593"/>
      <c r="Q493" s="5593"/>
      <c r="R493" s="2468"/>
      <c r="S493" s="276"/>
      <c r="T493" s="99"/>
      <c r="U493" s="138"/>
      <c r="V493" s="138"/>
      <c r="W493" s="299" t="s">
        <v>193</v>
      </c>
      <c r="X493" s="264"/>
      <c r="Y493" s="277"/>
      <c r="Z493" s="187"/>
      <c r="AA493" s="6301"/>
      <c r="AB493" s="139"/>
      <c r="AC493" s="139"/>
      <c r="AD493" s="139"/>
      <c r="AE493" s="139"/>
      <c r="AF493" s="139"/>
      <c r="AG493" s="139"/>
      <c r="AH493" s="139"/>
      <c r="AI493" s="139"/>
      <c r="AJ493" s="139"/>
      <c r="AK493" s="139"/>
      <c r="AL493" s="139"/>
      <c r="AM493" s="139"/>
      <c r="AN493" s="139"/>
      <c r="AO493" s="139"/>
      <c r="AP493" s="139"/>
      <c r="AQ493" s="139"/>
      <c r="AR493" s="139"/>
      <c r="AS493" s="139"/>
      <c r="AT493" s="139"/>
      <c r="AU493" s="139"/>
      <c r="AV493" s="139"/>
      <c r="AW493" s="139"/>
      <c r="AX493" s="139"/>
      <c r="AY493" s="139"/>
      <c r="AZ493" s="139"/>
      <c r="BA493" s="139"/>
      <c r="BB493" s="139"/>
      <c r="BC493" s="139"/>
      <c r="BD493" s="139"/>
      <c r="BE493" s="139"/>
      <c r="BF493" s="139"/>
      <c r="BG493" s="139"/>
      <c r="BH493" s="139"/>
    </row>
    <row r="494" spans="2:60" s="11" customFormat="1" ht="19.899999999999999" customHeight="1">
      <c r="B494" s="5590"/>
      <c r="C494" s="5598"/>
      <c r="D494" s="9598" t="s">
        <v>633</v>
      </c>
      <c r="E494" s="9600"/>
      <c r="F494" s="492" t="s">
        <v>344</v>
      </c>
      <c r="G494" s="253"/>
      <c r="H494" s="286"/>
      <c r="I494" s="9582" t="s">
        <v>150</v>
      </c>
      <c r="J494" s="9583"/>
      <c r="K494" s="492" t="s">
        <v>344</v>
      </c>
      <c r="L494" s="5592"/>
      <c r="M494" s="5656"/>
      <c r="N494" s="5593"/>
      <c r="O494" s="5593"/>
      <c r="P494" s="5593"/>
      <c r="Q494" s="5593"/>
      <c r="R494" s="2468"/>
      <c r="S494" s="276"/>
      <c r="T494" s="99"/>
      <c r="U494" s="138"/>
      <c r="V494" s="138"/>
      <c r="W494" s="299" t="s">
        <v>193</v>
      </c>
      <c r="X494" s="264"/>
      <c r="Y494" s="277"/>
      <c r="Z494" s="187"/>
      <c r="AA494" s="6301"/>
      <c r="AB494" s="139"/>
      <c r="AC494" s="139"/>
      <c r="AD494" s="139"/>
      <c r="AE494" s="139"/>
      <c r="AF494" s="139"/>
      <c r="AG494" s="139"/>
      <c r="AH494" s="139"/>
      <c r="AI494" s="139"/>
      <c r="AJ494" s="139"/>
      <c r="AK494" s="139"/>
      <c r="AL494" s="139"/>
      <c r="AM494" s="139"/>
      <c r="AN494" s="139"/>
      <c r="AO494" s="139"/>
      <c r="AP494" s="139"/>
      <c r="AQ494" s="139"/>
      <c r="AR494" s="139"/>
      <c r="AS494" s="139"/>
      <c r="AT494" s="139"/>
      <c r="AU494" s="139"/>
      <c r="AV494" s="139"/>
      <c r="AW494" s="139"/>
      <c r="AX494" s="139"/>
      <c r="AY494" s="139"/>
      <c r="AZ494" s="139"/>
      <c r="BA494" s="139"/>
      <c r="BB494" s="139"/>
      <c r="BC494" s="139"/>
      <c r="BD494" s="139"/>
      <c r="BE494" s="139"/>
      <c r="BF494" s="139"/>
      <c r="BG494" s="139"/>
      <c r="BH494" s="139"/>
    </row>
    <row r="495" spans="2:60" s="11" customFormat="1" ht="20.100000000000001" customHeight="1">
      <c r="B495" s="1360"/>
      <c r="C495" s="9587" t="s">
        <v>387</v>
      </c>
      <c r="D495" s="9587"/>
      <c r="E495" s="9587"/>
      <c r="F495" s="492" t="s">
        <v>156</v>
      </c>
      <c r="G495" s="337"/>
      <c r="H495" s="9587" t="s">
        <v>388</v>
      </c>
      <c r="I495" s="9587"/>
      <c r="J495" s="9587"/>
      <c r="K495" s="492" t="s">
        <v>156</v>
      </c>
      <c r="L495" s="5653" t="str" cm="1">
        <f t="array" ref="L495">IF(COUNTBLANK(L496:L501)&gt;0,"미취합법인有",SAVERAGE(L496:L501))</f>
        <v>미취합법인有</v>
      </c>
      <c r="M495" s="5657"/>
      <c r="N495" s="5654" t="str">
        <f>IF(COUNTBLANK(N496:N501)&gt;0,"미취합법인有",AVERAGE(N496:N501))</f>
        <v>미취합법인有</v>
      </c>
      <c r="O495" s="5663"/>
      <c r="P495" s="5781" t="str">
        <f>IF(COUNTBLANK(P496:P501)&gt;0,"미취합법인有",AVERAGE(P496:P501))</f>
        <v>미취합법인有</v>
      </c>
      <c r="Q495" s="785"/>
      <c r="R495" s="2474" t="s">
        <v>382</v>
      </c>
      <c r="S495" s="489" t="s">
        <v>389</v>
      </c>
      <c r="T495" s="99" t="s">
        <v>189</v>
      </c>
      <c r="U495" s="138"/>
      <c r="V495" s="138"/>
      <c r="W495" s="299" t="s">
        <v>193</v>
      </c>
      <c r="X495" s="265" t="s">
        <v>390</v>
      </c>
      <c r="Y495" s="265"/>
      <c r="Z495" s="187"/>
      <c r="AA495" s="6305"/>
      <c r="AB495" s="139"/>
      <c r="AC495" s="139"/>
      <c r="AD495" s="139"/>
      <c r="AE495" s="139"/>
      <c r="AF495" s="139"/>
      <c r="AG495" s="139"/>
      <c r="AH495" s="139"/>
      <c r="AI495" s="139"/>
      <c r="AJ495" s="139"/>
      <c r="AK495" s="139"/>
      <c r="AL495" s="139"/>
      <c r="AM495" s="139"/>
      <c r="AN495" s="139"/>
      <c r="AO495" s="139"/>
      <c r="AP495" s="139"/>
      <c r="AQ495" s="139"/>
      <c r="AR495" s="139"/>
      <c r="AS495" s="139"/>
      <c r="AT495" s="139"/>
      <c r="AU495" s="139"/>
      <c r="AV495" s="139"/>
      <c r="AW495" s="139"/>
      <c r="AX495" s="139"/>
      <c r="AY495" s="139"/>
      <c r="AZ495" s="139"/>
      <c r="BA495" s="139"/>
      <c r="BB495" s="139"/>
      <c r="BC495" s="139"/>
      <c r="BD495" s="139"/>
      <c r="BE495" s="139"/>
      <c r="BF495" s="139"/>
      <c r="BG495" s="139"/>
      <c r="BH495" s="139"/>
    </row>
    <row r="496" spans="2:60" s="11" customFormat="1" ht="19.899999999999999" customHeight="1">
      <c r="B496" s="5590"/>
      <c r="C496" s="9647" t="s">
        <v>134</v>
      </c>
      <c r="D496" s="9648"/>
      <c r="E496" s="9649"/>
      <c r="F496" s="132" t="s">
        <v>156</v>
      </c>
      <c r="G496" s="253"/>
      <c r="H496" s="9579" t="s">
        <v>135</v>
      </c>
      <c r="I496" s="9580"/>
      <c r="J496" s="9581"/>
      <c r="K496" s="492" t="s">
        <v>156</v>
      </c>
      <c r="L496" s="5592"/>
      <c r="M496" s="5656" t="s">
        <v>369</v>
      </c>
      <c r="N496" s="5593"/>
      <c r="O496" s="5656" t="s">
        <v>369</v>
      </c>
      <c r="P496" s="5593"/>
      <c r="Q496" s="5656" t="s">
        <v>369</v>
      </c>
      <c r="R496" s="1033"/>
      <c r="S496" s="263"/>
      <c r="T496" s="99"/>
      <c r="U496" s="138"/>
      <c r="V496" s="138"/>
      <c r="W496" s="299" t="s">
        <v>193</v>
      </c>
      <c r="X496" s="264"/>
      <c r="Y496" s="277"/>
      <c r="Z496" s="187"/>
      <c r="AA496" s="6301"/>
      <c r="AB496" s="139"/>
      <c r="AC496" s="139"/>
      <c r="AD496" s="139"/>
      <c r="AE496" s="139"/>
      <c r="AF496" s="139"/>
      <c r="AG496" s="139"/>
      <c r="AH496" s="139"/>
      <c r="AI496" s="139"/>
      <c r="AJ496" s="139"/>
      <c r="AK496" s="139"/>
      <c r="AL496" s="139"/>
      <c r="AM496" s="139"/>
      <c r="AN496" s="139"/>
      <c r="AO496" s="139"/>
      <c r="AP496" s="139"/>
      <c r="AQ496" s="139"/>
      <c r="AR496" s="139"/>
      <c r="AS496" s="139"/>
      <c r="AT496" s="139"/>
      <c r="AU496" s="139"/>
      <c r="AV496" s="139"/>
      <c r="AW496" s="139"/>
      <c r="AX496" s="139"/>
      <c r="AY496" s="139"/>
      <c r="AZ496" s="139"/>
      <c r="BA496" s="139"/>
      <c r="BB496" s="139"/>
      <c r="BC496" s="139"/>
      <c r="BD496" s="139"/>
      <c r="BE496" s="139"/>
      <c r="BF496" s="139"/>
      <c r="BG496" s="139"/>
      <c r="BH496" s="139"/>
    </row>
    <row r="497" spans="2:60" s="11" customFormat="1" ht="19.899999999999999" customHeight="1">
      <c r="B497" s="5590"/>
      <c r="C497" s="9647" t="s">
        <v>137</v>
      </c>
      <c r="D497" s="9648"/>
      <c r="E497" s="9649"/>
      <c r="F497" s="132" t="s">
        <v>156</v>
      </c>
      <c r="G497" s="253"/>
      <c r="H497" s="9579" t="s">
        <v>138</v>
      </c>
      <c r="I497" s="9580"/>
      <c r="J497" s="9581"/>
      <c r="K497" s="492" t="s">
        <v>156</v>
      </c>
      <c r="L497" s="5592"/>
      <c r="M497" s="5656"/>
      <c r="N497" s="5593"/>
      <c r="O497" s="5593"/>
      <c r="P497" s="5593"/>
      <c r="Q497" s="5593"/>
      <c r="R497" s="1033"/>
      <c r="S497" s="263"/>
      <c r="T497" s="99"/>
      <c r="U497" s="138"/>
      <c r="V497" s="138"/>
      <c r="W497" s="299" t="s">
        <v>193</v>
      </c>
      <c r="X497" s="264"/>
      <c r="Y497" s="277"/>
      <c r="Z497" s="187"/>
      <c r="AA497" s="6301"/>
      <c r="AB497" s="139"/>
      <c r="AC497" s="139"/>
      <c r="AD497" s="139"/>
      <c r="AE497" s="139"/>
      <c r="AF497" s="139"/>
      <c r="AG497" s="139"/>
      <c r="AH497" s="139"/>
      <c r="AI497" s="139"/>
      <c r="AJ497" s="139"/>
      <c r="AK497" s="139"/>
      <c r="AL497" s="139"/>
      <c r="AM497" s="139"/>
      <c r="AN497" s="139"/>
      <c r="AO497" s="139"/>
      <c r="AP497" s="139"/>
      <c r="AQ497" s="139"/>
      <c r="AR497" s="139"/>
      <c r="AS497" s="139"/>
      <c r="AT497" s="139"/>
      <c r="AU497" s="139"/>
      <c r="AV497" s="139"/>
      <c r="AW497" s="139"/>
      <c r="AX497" s="139"/>
      <c r="AY497" s="139"/>
      <c r="AZ497" s="139"/>
      <c r="BA497" s="139"/>
      <c r="BB497" s="139"/>
      <c r="BC497" s="139"/>
      <c r="BD497" s="139"/>
      <c r="BE497" s="139"/>
      <c r="BF497" s="139"/>
      <c r="BG497" s="139"/>
      <c r="BH497" s="139"/>
    </row>
    <row r="498" spans="2:60" s="11" customFormat="1" ht="19.899999999999999" customHeight="1">
      <c r="B498" s="5590"/>
      <c r="C498" s="9647" t="s">
        <v>140</v>
      </c>
      <c r="D498" s="9648"/>
      <c r="E498" s="9649"/>
      <c r="F498" s="132" t="s">
        <v>156</v>
      </c>
      <c r="G498" s="253"/>
      <c r="H498" s="9579" t="s">
        <v>141</v>
      </c>
      <c r="I498" s="9580"/>
      <c r="J498" s="9581"/>
      <c r="K498" s="492" t="s">
        <v>156</v>
      </c>
      <c r="L498" s="5592"/>
      <c r="M498" s="5656"/>
      <c r="N498" s="5593"/>
      <c r="O498" s="5593"/>
      <c r="P498" s="5593"/>
      <c r="Q498" s="5593"/>
      <c r="R498" s="1033"/>
      <c r="S498" s="263"/>
      <c r="T498" s="99"/>
      <c r="U498" s="138"/>
      <c r="V498" s="138"/>
      <c r="W498" s="299" t="s">
        <v>193</v>
      </c>
      <c r="X498" s="264"/>
      <c r="Y498" s="277"/>
      <c r="Z498" s="187"/>
      <c r="AA498" s="6301"/>
      <c r="AB498" s="139"/>
      <c r="AC498" s="139"/>
      <c r="AD498" s="139"/>
      <c r="AE498" s="139"/>
      <c r="AF498" s="139"/>
      <c r="AG498" s="139"/>
      <c r="AH498" s="139"/>
      <c r="AI498" s="139"/>
      <c r="AJ498" s="139"/>
      <c r="AK498" s="139"/>
      <c r="AL498" s="139"/>
      <c r="AM498" s="139"/>
      <c r="AN498" s="139"/>
      <c r="AO498" s="139"/>
      <c r="AP498" s="139"/>
      <c r="AQ498" s="139"/>
      <c r="AR498" s="139"/>
      <c r="AS498" s="139"/>
      <c r="AT498" s="139"/>
      <c r="AU498" s="139"/>
      <c r="AV498" s="139"/>
      <c r="AW498" s="139"/>
      <c r="AX498" s="139"/>
      <c r="AY498" s="139"/>
      <c r="AZ498" s="139"/>
      <c r="BA498" s="139"/>
      <c r="BB498" s="139"/>
      <c r="BC498" s="139"/>
      <c r="BD498" s="139"/>
      <c r="BE498" s="139"/>
      <c r="BF498" s="139"/>
      <c r="BG498" s="139"/>
      <c r="BH498" s="139"/>
    </row>
    <row r="499" spans="2:60" s="11" customFormat="1" ht="19.899999999999999" customHeight="1">
      <c r="B499" s="5590"/>
      <c r="C499" s="9647" t="s">
        <v>143</v>
      </c>
      <c r="D499" s="9648"/>
      <c r="E499" s="9649"/>
      <c r="F499" s="132" t="s">
        <v>156</v>
      </c>
      <c r="G499" s="253"/>
      <c r="H499" s="9579" t="s">
        <v>144</v>
      </c>
      <c r="I499" s="9580"/>
      <c r="J499" s="9581"/>
      <c r="K499" s="492" t="s">
        <v>156</v>
      </c>
      <c r="L499" s="5592"/>
      <c r="M499" s="5656"/>
      <c r="N499" s="5593"/>
      <c r="O499" s="5593"/>
      <c r="P499" s="5593"/>
      <c r="Q499" s="5593"/>
      <c r="R499" s="1033"/>
      <c r="S499" s="263"/>
      <c r="T499" s="99"/>
      <c r="U499" s="138"/>
      <c r="V499" s="138"/>
      <c r="W499" s="299" t="s">
        <v>193</v>
      </c>
      <c r="X499" s="264"/>
      <c r="Y499" s="277"/>
      <c r="Z499" s="187"/>
      <c r="AA499" s="6301"/>
      <c r="AB499" s="139"/>
      <c r="AC499" s="139"/>
      <c r="AD499" s="139"/>
      <c r="AE499" s="139"/>
      <c r="AF499" s="139"/>
      <c r="AG499" s="139"/>
      <c r="AH499" s="139"/>
      <c r="AI499" s="139"/>
      <c r="AJ499" s="139"/>
      <c r="AK499" s="139"/>
      <c r="AL499" s="139"/>
      <c r="AM499" s="139"/>
      <c r="AN499" s="139"/>
      <c r="AO499" s="139"/>
      <c r="AP499" s="139"/>
      <c r="AQ499" s="139"/>
      <c r="AR499" s="139"/>
      <c r="AS499" s="139"/>
      <c r="AT499" s="139"/>
      <c r="AU499" s="139"/>
      <c r="AV499" s="139"/>
      <c r="AW499" s="139"/>
      <c r="AX499" s="139"/>
      <c r="AY499" s="139"/>
      <c r="AZ499" s="139"/>
      <c r="BA499" s="139"/>
      <c r="BB499" s="139"/>
      <c r="BC499" s="139"/>
      <c r="BD499" s="139"/>
      <c r="BE499" s="139"/>
      <c r="BF499" s="139"/>
      <c r="BG499" s="139"/>
      <c r="BH499" s="139"/>
    </row>
    <row r="500" spans="2:60" s="11" customFormat="1" ht="19.899999999999999" customHeight="1">
      <c r="B500" s="5590"/>
      <c r="C500" s="9647" t="s">
        <v>631</v>
      </c>
      <c r="D500" s="9648"/>
      <c r="E500" s="9649"/>
      <c r="F500" s="132" t="s">
        <v>156</v>
      </c>
      <c r="G500" s="253"/>
      <c r="H500" s="9579" t="s">
        <v>147</v>
      </c>
      <c r="I500" s="9580"/>
      <c r="J500" s="9581"/>
      <c r="K500" s="492" t="s">
        <v>156</v>
      </c>
      <c r="L500" s="5592"/>
      <c r="M500" s="5656"/>
      <c r="N500" s="5593"/>
      <c r="O500" s="5593"/>
      <c r="P500" s="5593"/>
      <c r="Q500" s="5593"/>
      <c r="R500" s="1033"/>
      <c r="S500" s="263"/>
      <c r="T500" s="99"/>
      <c r="U500" s="138"/>
      <c r="V500" s="138"/>
      <c r="W500" s="299" t="s">
        <v>193</v>
      </c>
      <c r="X500" s="264"/>
      <c r="Y500" s="277"/>
      <c r="Z500" s="187"/>
      <c r="AA500" s="6301"/>
      <c r="AB500" s="139"/>
      <c r="AC500" s="139"/>
      <c r="AD500" s="139"/>
      <c r="AE500" s="139"/>
      <c r="AF500" s="139"/>
      <c r="AG500" s="139"/>
      <c r="AH500" s="139"/>
      <c r="AI500" s="139"/>
      <c r="AJ500" s="139"/>
      <c r="AK500" s="139"/>
      <c r="AL500" s="139"/>
      <c r="AM500" s="139"/>
      <c r="AN500" s="139"/>
      <c r="AO500" s="139"/>
      <c r="AP500" s="139"/>
      <c r="AQ500" s="139"/>
      <c r="AR500" s="139"/>
      <c r="AS500" s="139"/>
      <c r="AT500" s="139"/>
      <c r="AU500" s="139"/>
      <c r="AV500" s="139"/>
      <c r="AW500" s="139"/>
      <c r="AX500" s="139"/>
      <c r="AY500" s="139"/>
      <c r="AZ500" s="139"/>
      <c r="BA500" s="139"/>
      <c r="BB500" s="139"/>
      <c r="BC500" s="139"/>
      <c r="BD500" s="139"/>
      <c r="BE500" s="139"/>
      <c r="BF500" s="139"/>
      <c r="BG500" s="139"/>
      <c r="BH500" s="139"/>
    </row>
    <row r="501" spans="2:60" s="11" customFormat="1" ht="19.899999999999999" customHeight="1">
      <c r="B501" s="5590"/>
      <c r="C501" s="9647" t="s">
        <v>633</v>
      </c>
      <c r="D501" s="9648"/>
      <c r="E501" s="9649"/>
      <c r="F501" s="132" t="s">
        <v>156</v>
      </c>
      <c r="G501" s="253"/>
      <c r="H501" s="9579" t="s">
        <v>150</v>
      </c>
      <c r="I501" s="9580"/>
      <c r="J501" s="9581"/>
      <c r="K501" s="492" t="s">
        <v>156</v>
      </c>
      <c r="L501" s="5592"/>
      <c r="M501" s="5656"/>
      <c r="N501" s="5593"/>
      <c r="O501" s="5593"/>
      <c r="P501" s="5593"/>
      <c r="Q501" s="5593"/>
      <c r="R501" s="1033"/>
      <c r="S501" s="263"/>
      <c r="T501" s="99"/>
      <c r="U501" s="138"/>
      <c r="V501" s="138"/>
      <c r="W501" s="299" t="s">
        <v>193</v>
      </c>
      <c r="X501" s="264"/>
      <c r="Y501" s="277"/>
      <c r="Z501" s="187"/>
      <c r="AA501" s="6301"/>
      <c r="AB501" s="139"/>
      <c r="AC501" s="139"/>
      <c r="AD501" s="139"/>
      <c r="AE501" s="139"/>
      <c r="AF501" s="139"/>
      <c r="AG501" s="139"/>
      <c r="AH501" s="139"/>
      <c r="AI501" s="139"/>
      <c r="AJ501" s="139"/>
      <c r="AK501" s="139"/>
      <c r="AL501" s="139"/>
      <c r="AM501" s="139"/>
      <c r="AN501" s="139"/>
      <c r="AO501" s="139"/>
      <c r="AP501" s="139"/>
      <c r="AQ501" s="139"/>
      <c r="AR501" s="139"/>
      <c r="AS501" s="139"/>
      <c r="AT501" s="139"/>
      <c r="AU501" s="139"/>
      <c r="AV501" s="139"/>
      <c r="AW501" s="139"/>
      <c r="AX501" s="139"/>
      <c r="AY501" s="139"/>
      <c r="AZ501" s="139"/>
      <c r="BA501" s="139"/>
      <c r="BB501" s="139"/>
      <c r="BC501" s="139"/>
      <c r="BD501" s="139"/>
      <c r="BE501" s="139"/>
      <c r="BF501" s="139"/>
      <c r="BG501" s="139"/>
      <c r="BH501" s="139"/>
    </row>
    <row r="502" spans="2:60" s="11" customFormat="1" ht="20.100000000000001" customHeight="1">
      <c r="B502" s="1360"/>
      <c r="C502" s="5598"/>
      <c r="D502" s="9584" t="s">
        <v>391</v>
      </c>
      <c r="E502" s="9585"/>
      <c r="F502" s="492" t="s">
        <v>344</v>
      </c>
      <c r="G502" s="337"/>
      <c r="H502" s="358"/>
      <c r="I502" s="9584" t="s">
        <v>392</v>
      </c>
      <c r="J502" s="9585"/>
      <c r="K502" s="492" t="s">
        <v>344</v>
      </c>
      <c r="L502" s="5653" t="str">
        <f>IF(COUNTBLANK(L503:L508)&gt;0,"미취합법인有",SUM(L503:L508))</f>
        <v>미취합법인有</v>
      </c>
      <c r="M502" s="5657"/>
      <c r="N502" s="5654" t="str">
        <f>IF(COUNTBLANK(N503:N508)&gt;0,"미취합법인有",SUM(N503:N508))</f>
        <v>미취합법인有</v>
      </c>
      <c r="O502" s="5663"/>
      <c r="P502" s="5781" t="str">
        <f>IF(COUNTBLANK(P503:P508)&gt;0,"미취합법인有",SUM(P503:P508))</f>
        <v>미취합법인有</v>
      </c>
      <c r="Q502" s="785"/>
      <c r="R502" s="782"/>
      <c r="S502" s="162"/>
      <c r="T502" s="99" t="s">
        <v>189</v>
      </c>
      <c r="U502" s="138"/>
      <c r="V502" s="138"/>
      <c r="W502" s="299" t="s">
        <v>193</v>
      </c>
      <c r="X502" s="265" t="s">
        <v>390</v>
      </c>
      <c r="Y502" s="265"/>
      <c r="Z502" s="187"/>
      <c r="AA502" s="6305"/>
      <c r="AB502" s="139"/>
      <c r="AC502" s="139"/>
      <c r="AD502" s="139"/>
      <c r="AE502" s="139"/>
      <c r="AF502" s="139"/>
      <c r="AG502" s="139"/>
      <c r="AH502" s="139"/>
      <c r="AI502" s="139"/>
      <c r="AJ502" s="139"/>
      <c r="AK502" s="139"/>
      <c r="AL502" s="139"/>
      <c r="AM502" s="139"/>
      <c r="AN502" s="139"/>
      <c r="AO502" s="139"/>
      <c r="AP502" s="139"/>
      <c r="AQ502" s="139"/>
      <c r="AR502" s="139"/>
      <c r="AS502" s="139"/>
      <c r="AT502" s="139"/>
      <c r="AU502" s="139"/>
      <c r="AV502" s="139"/>
      <c r="AW502" s="139"/>
      <c r="AX502" s="139"/>
      <c r="AY502" s="139"/>
      <c r="AZ502" s="139"/>
      <c r="BA502" s="139"/>
      <c r="BB502" s="139"/>
      <c r="BC502" s="139"/>
      <c r="BD502" s="139"/>
      <c r="BE502" s="139"/>
      <c r="BF502" s="139"/>
      <c r="BG502" s="139"/>
      <c r="BH502" s="139"/>
    </row>
    <row r="503" spans="2:60" s="11" customFormat="1" ht="19.899999999999999" customHeight="1">
      <c r="B503" s="5590"/>
      <c r="C503" s="5598"/>
      <c r="D503" s="9598" t="s">
        <v>134</v>
      </c>
      <c r="E503" s="9600"/>
      <c r="F503" s="492" t="s">
        <v>344</v>
      </c>
      <c r="G503" s="253"/>
      <c r="H503" s="286"/>
      <c r="I503" s="9579" t="s">
        <v>135</v>
      </c>
      <c r="J503" s="9581"/>
      <c r="K503" s="492" t="s">
        <v>344</v>
      </c>
      <c r="L503" s="5592"/>
      <c r="M503" s="5656" t="s">
        <v>369</v>
      </c>
      <c r="N503" s="5593"/>
      <c r="O503" s="5656" t="s">
        <v>369</v>
      </c>
      <c r="P503" s="5593"/>
      <c r="Q503" s="5656" t="s">
        <v>369</v>
      </c>
      <c r="R503" s="2468"/>
      <c r="S503" s="276"/>
      <c r="T503" s="99"/>
      <c r="U503" s="138"/>
      <c r="V503" s="138"/>
      <c r="W503" s="299" t="s">
        <v>193</v>
      </c>
      <c r="X503" s="264"/>
      <c r="Y503" s="277"/>
      <c r="Z503" s="187"/>
      <c r="AA503" s="6301"/>
      <c r="AB503" s="139"/>
      <c r="AC503" s="139"/>
      <c r="AD503" s="139"/>
      <c r="AE503" s="139"/>
      <c r="AF503" s="139"/>
      <c r="AG503" s="139"/>
      <c r="AH503" s="139"/>
      <c r="AI503" s="139"/>
      <c r="AJ503" s="139"/>
      <c r="AK503" s="139"/>
      <c r="AL503" s="139"/>
      <c r="AM503" s="139"/>
      <c r="AN503" s="139"/>
      <c r="AO503" s="139"/>
      <c r="AP503" s="139"/>
      <c r="AQ503" s="139"/>
      <c r="AR503" s="139"/>
      <c r="AS503" s="139"/>
      <c r="AT503" s="139"/>
      <c r="AU503" s="139"/>
      <c r="AV503" s="139"/>
      <c r="AW503" s="139"/>
      <c r="AX503" s="139"/>
      <c r="AY503" s="139"/>
      <c r="AZ503" s="139"/>
      <c r="BA503" s="139"/>
      <c r="BB503" s="139"/>
      <c r="BC503" s="139"/>
      <c r="BD503" s="139"/>
      <c r="BE503" s="139"/>
      <c r="BF503" s="139"/>
      <c r="BG503" s="139"/>
      <c r="BH503" s="139"/>
    </row>
    <row r="504" spans="2:60" s="11" customFormat="1" ht="19.899999999999999" customHeight="1">
      <c r="B504" s="5590"/>
      <c r="C504" s="5598"/>
      <c r="D504" s="9598" t="s">
        <v>137</v>
      </c>
      <c r="E504" s="9600"/>
      <c r="F504" s="492" t="s">
        <v>344</v>
      </c>
      <c r="G504" s="253"/>
      <c r="H504" s="286"/>
      <c r="I504" s="9579" t="s">
        <v>138</v>
      </c>
      <c r="J504" s="9581"/>
      <c r="K504" s="492" t="s">
        <v>344</v>
      </c>
      <c r="L504" s="5594"/>
      <c r="M504" s="5658"/>
      <c r="N504" s="1814"/>
      <c r="O504" s="5302"/>
      <c r="P504" s="5595"/>
      <c r="Q504" s="1814"/>
      <c r="R504" s="2468"/>
      <c r="S504" s="276"/>
      <c r="T504" s="99"/>
      <c r="U504" s="138"/>
      <c r="V504" s="138"/>
      <c r="W504" s="299" t="s">
        <v>193</v>
      </c>
      <c r="X504" s="264"/>
      <c r="Y504" s="277"/>
      <c r="Z504" s="187"/>
      <c r="AA504" s="6301"/>
      <c r="AB504" s="139"/>
      <c r="AC504" s="139"/>
      <c r="AD504" s="139"/>
      <c r="AE504" s="139"/>
      <c r="AF504" s="139"/>
      <c r="AG504" s="139"/>
      <c r="AH504" s="139"/>
      <c r="AI504" s="139"/>
      <c r="AJ504" s="139"/>
      <c r="AK504" s="139"/>
      <c r="AL504" s="139"/>
      <c r="AM504" s="139"/>
      <c r="AN504" s="139"/>
      <c r="AO504" s="139"/>
      <c r="AP504" s="139"/>
      <c r="AQ504" s="139"/>
      <c r="AR504" s="139"/>
      <c r="AS504" s="139"/>
      <c r="AT504" s="139"/>
      <c r="AU504" s="139"/>
      <c r="AV504" s="139"/>
      <c r="AW504" s="139"/>
      <c r="AX504" s="139"/>
      <c r="AY504" s="139"/>
      <c r="AZ504" s="139"/>
      <c r="BA504" s="139"/>
      <c r="BB504" s="139"/>
      <c r="BC504" s="139"/>
      <c r="BD504" s="139"/>
      <c r="BE504" s="139"/>
      <c r="BF504" s="139"/>
      <c r="BG504" s="139"/>
      <c r="BH504" s="139"/>
    </row>
    <row r="505" spans="2:60" s="11" customFormat="1" ht="19.899999999999999" customHeight="1">
      <c r="B505" s="5590"/>
      <c r="C505" s="5598"/>
      <c r="D505" s="9598" t="s">
        <v>140</v>
      </c>
      <c r="E505" s="9600"/>
      <c r="F505" s="492" t="s">
        <v>344</v>
      </c>
      <c r="G505" s="253"/>
      <c r="H505" s="286"/>
      <c r="I505" s="9582" t="s">
        <v>141</v>
      </c>
      <c r="J505" s="9583"/>
      <c r="K505" s="492" t="s">
        <v>344</v>
      </c>
      <c r="L505" s="2557"/>
      <c r="M505" s="5610"/>
      <c r="N505" s="2554"/>
      <c r="O505" s="2815"/>
      <c r="P505" s="5666"/>
      <c r="Q505" s="2554"/>
      <c r="R505" s="2468"/>
      <c r="S505" s="276"/>
      <c r="T505" s="99"/>
      <c r="U505" s="138"/>
      <c r="V505" s="138"/>
      <c r="W505" s="299" t="s">
        <v>193</v>
      </c>
      <c r="X505" s="264"/>
      <c r="Y505" s="277"/>
      <c r="Z505" s="187"/>
      <c r="AA505" s="6301"/>
      <c r="AB505" s="139"/>
      <c r="AC505" s="139"/>
      <c r="AD505" s="139"/>
      <c r="AE505" s="139"/>
      <c r="AF505" s="139"/>
      <c r="AG505" s="139"/>
      <c r="AH505" s="139"/>
      <c r="AI505" s="139"/>
      <c r="AJ505" s="139"/>
      <c r="AK505" s="139"/>
      <c r="AL505" s="139"/>
      <c r="AM505" s="139"/>
      <c r="AN505" s="139"/>
      <c r="AO505" s="139"/>
      <c r="AP505" s="139"/>
      <c r="AQ505" s="139"/>
      <c r="AR505" s="139"/>
      <c r="AS505" s="139"/>
      <c r="AT505" s="139"/>
      <c r="AU505" s="139"/>
      <c r="AV505" s="139"/>
      <c r="AW505" s="139"/>
      <c r="AX505" s="139"/>
      <c r="AY505" s="139"/>
      <c r="AZ505" s="139"/>
      <c r="BA505" s="139"/>
      <c r="BB505" s="139"/>
      <c r="BC505" s="139"/>
      <c r="BD505" s="139"/>
      <c r="BE505" s="139"/>
      <c r="BF505" s="139"/>
      <c r="BG505" s="139"/>
      <c r="BH505" s="139"/>
    </row>
    <row r="506" spans="2:60" s="11" customFormat="1" ht="19.899999999999999" customHeight="1">
      <c r="B506" s="5590"/>
      <c r="C506" s="5598"/>
      <c r="D506" s="9598" t="s">
        <v>143</v>
      </c>
      <c r="E506" s="9600"/>
      <c r="F506" s="492" t="s">
        <v>344</v>
      </c>
      <c r="G506" s="253"/>
      <c r="H506" s="286"/>
      <c r="I506" s="9582" t="s">
        <v>144</v>
      </c>
      <c r="J506" s="9583"/>
      <c r="K506" s="492" t="s">
        <v>344</v>
      </c>
      <c r="L506" s="5592"/>
      <c r="M506" s="5656"/>
      <c r="N506" s="5593"/>
      <c r="O506" s="5593"/>
      <c r="P506" s="5593"/>
      <c r="Q506" s="5593"/>
      <c r="R506" s="2468"/>
      <c r="S506" s="276"/>
      <c r="T506" s="99"/>
      <c r="U506" s="138"/>
      <c r="V506" s="138"/>
      <c r="W506" s="299" t="s">
        <v>193</v>
      </c>
      <c r="X506" s="264"/>
      <c r="Y506" s="277"/>
      <c r="Z506" s="187"/>
      <c r="AA506" s="6301"/>
      <c r="AB506" s="139"/>
      <c r="AC506" s="139"/>
      <c r="AD506" s="139"/>
      <c r="AE506" s="139"/>
      <c r="AF506" s="139"/>
      <c r="AG506" s="139"/>
      <c r="AH506" s="139"/>
      <c r="AI506" s="139"/>
      <c r="AJ506" s="139"/>
      <c r="AK506" s="139"/>
      <c r="AL506" s="139"/>
      <c r="AM506" s="139"/>
      <c r="AN506" s="139"/>
      <c r="AO506" s="139"/>
      <c r="AP506" s="139"/>
      <c r="AQ506" s="139"/>
      <c r="AR506" s="139"/>
      <c r="AS506" s="139"/>
      <c r="AT506" s="139"/>
      <c r="AU506" s="139"/>
      <c r="AV506" s="139"/>
      <c r="AW506" s="139"/>
      <c r="AX506" s="139"/>
      <c r="AY506" s="139"/>
      <c r="AZ506" s="139"/>
      <c r="BA506" s="139"/>
      <c r="BB506" s="139"/>
      <c r="BC506" s="139"/>
      <c r="BD506" s="139"/>
      <c r="BE506" s="139"/>
      <c r="BF506" s="139"/>
      <c r="BG506" s="139"/>
      <c r="BH506" s="139"/>
    </row>
    <row r="507" spans="2:60" s="11" customFormat="1" ht="19.899999999999999" customHeight="1">
      <c r="B507" s="5590"/>
      <c r="C507" s="5598"/>
      <c r="D507" s="9598" t="s">
        <v>631</v>
      </c>
      <c r="E507" s="9600"/>
      <c r="F507" s="492" t="s">
        <v>344</v>
      </c>
      <c r="G507" s="253"/>
      <c r="H507" s="286"/>
      <c r="I507" s="9582" t="s">
        <v>147</v>
      </c>
      <c r="J507" s="9583"/>
      <c r="K507" s="492" t="s">
        <v>344</v>
      </c>
      <c r="L507" s="5592"/>
      <c r="M507" s="5656"/>
      <c r="N507" s="5593"/>
      <c r="O507" s="5593"/>
      <c r="P507" s="5593"/>
      <c r="Q507" s="5593"/>
      <c r="R507" s="2468"/>
      <c r="S507" s="276"/>
      <c r="T507" s="99"/>
      <c r="U507" s="138"/>
      <c r="V507" s="138"/>
      <c r="W507" s="299" t="s">
        <v>193</v>
      </c>
      <c r="X507" s="264"/>
      <c r="Y507" s="277"/>
      <c r="Z507" s="187"/>
      <c r="AA507" s="6301"/>
      <c r="AB507" s="139"/>
      <c r="AC507" s="139"/>
      <c r="AD507" s="139"/>
      <c r="AE507" s="139"/>
      <c r="AF507" s="139"/>
      <c r="AG507" s="139"/>
      <c r="AH507" s="139"/>
      <c r="AI507" s="139"/>
      <c r="AJ507" s="139"/>
      <c r="AK507" s="139"/>
      <c r="AL507" s="139"/>
      <c r="AM507" s="139"/>
      <c r="AN507" s="139"/>
      <c r="AO507" s="139"/>
      <c r="AP507" s="139"/>
      <c r="AQ507" s="139"/>
      <c r="AR507" s="139"/>
      <c r="AS507" s="139"/>
      <c r="AT507" s="139"/>
      <c r="AU507" s="139"/>
      <c r="AV507" s="139"/>
      <c r="AW507" s="139"/>
      <c r="AX507" s="139"/>
      <c r="AY507" s="139"/>
      <c r="AZ507" s="139"/>
      <c r="BA507" s="139"/>
      <c r="BB507" s="139"/>
      <c r="BC507" s="139"/>
      <c r="BD507" s="139"/>
      <c r="BE507" s="139"/>
      <c r="BF507" s="139"/>
      <c r="BG507" s="139"/>
      <c r="BH507" s="139"/>
    </row>
    <row r="508" spans="2:60" s="11" customFormat="1" ht="19.899999999999999" customHeight="1">
      <c r="B508" s="5590"/>
      <c r="C508" s="5598"/>
      <c r="D508" s="9598" t="s">
        <v>633</v>
      </c>
      <c r="E508" s="9600"/>
      <c r="F508" s="492" t="s">
        <v>344</v>
      </c>
      <c r="G508" s="253"/>
      <c r="H508" s="286"/>
      <c r="I508" s="9582" t="s">
        <v>150</v>
      </c>
      <c r="J508" s="9583"/>
      <c r="K508" s="492" t="s">
        <v>344</v>
      </c>
      <c r="L508" s="5592"/>
      <c r="M508" s="5656"/>
      <c r="N508" s="5593"/>
      <c r="O508" s="5593"/>
      <c r="P508" s="5593"/>
      <c r="Q508" s="5593"/>
      <c r="R508" s="2468"/>
      <c r="S508" s="276"/>
      <c r="T508" s="99"/>
      <c r="U508" s="138"/>
      <c r="V508" s="138"/>
      <c r="W508" s="299" t="s">
        <v>193</v>
      </c>
      <c r="X508" s="264"/>
      <c r="Y508" s="277"/>
      <c r="Z508" s="187"/>
      <c r="AA508" s="6301"/>
      <c r="AB508" s="139"/>
      <c r="AC508" s="139"/>
      <c r="AD508" s="139"/>
      <c r="AE508" s="139"/>
      <c r="AF508" s="139"/>
      <c r="AG508" s="139"/>
      <c r="AH508" s="139"/>
      <c r="AI508" s="139"/>
      <c r="AJ508" s="139"/>
      <c r="AK508" s="139"/>
      <c r="AL508" s="139"/>
      <c r="AM508" s="139"/>
      <c r="AN508" s="139"/>
      <c r="AO508" s="139"/>
      <c r="AP508" s="139"/>
      <c r="AQ508" s="139"/>
      <c r="AR508" s="139"/>
      <c r="AS508" s="139"/>
      <c r="AT508" s="139"/>
      <c r="AU508" s="139"/>
      <c r="AV508" s="139"/>
      <c r="AW508" s="139"/>
      <c r="AX508" s="139"/>
      <c r="AY508" s="139"/>
      <c r="AZ508" s="139"/>
      <c r="BA508" s="139"/>
      <c r="BB508" s="139"/>
      <c r="BC508" s="139"/>
      <c r="BD508" s="139"/>
      <c r="BE508" s="139"/>
      <c r="BF508" s="139"/>
      <c r="BG508" s="139"/>
      <c r="BH508" s="139"/>
    </row>
    <row r="509" spans="2:60" s="11" customFormat="1" ht="20.100000000000001" customHeight="1">
      <c r="B509" s="1360"/>
      <c r="C509" s="5598"/>
      <c r="D509" s="9584" t="s">
        <v>370</v>
      </c>
      <c r="E509" s="9585"/>
      <c r="F509" s="492" t="s">
        <v>344</v>
      </c>
      <c r="G509" s="337"/>
      <c r="H509" s="358"/>
      <c r="I509" s="9584" t="s">
        <v>686</v>
      </c>
      <c r="J509" s="9585"/>
      <c r="K509" s="492" t="s">
        <v>344</v>
      </c>
      <c r="L509" s="5653" t="str">
        <f>IF(COUNTBLANK(L510:L515)&gt;0,"미취합법인有",SUM(L510:L515))</f>
        <v>미취합법인有</v>
      </c>
      <c r="M509" s="5657"/>
      <c r="N509" s="5654" t="str">
        <f>IF(COUNTBLANK(N510:N515)&gt;0,"미취합법인有",SUM(N510:N515))</f>
        <v>미취합법인有</v>
      </c>
      <c r="O509" s="5663"/>
      <c r="P509" s="5781" t="str">
        <f>IF(COUNTBLANK(P510:P515)&gt;0,"미취합법인有",SUM(P510:P515))</f>
        <v>미취합법인有</v>
      </c>
      <c r="Q509" s="785"/>
      <c r="R509" s="782"/>
      <c r="S509" s="367"/>
      <c r="T509" s="99" t="s">
        <v>189</v>
      </c>
      <c r="U509" s="138"/>
      <c r="V509" s="138"/>
      <c r="W509" s="299" t="s">
        <v>193</v>
      </c>
      <c r="X509" s="265" t="s">
        <v>390</v>
      </c>
      <c r="Y509" s="265"/>
      <c r="Z509" s="187"/>
      <c r="AA509" s="6305"/>
      <c r="AB509" s="139"/>
      <c r="AC509" s="139"/>
      <c r="AD509" s="139"/>
      <c r="AE509" s="139"/>
      <c r="AF509" s="139"/>
      <c r="AG509" s="139"/>
      <c r="AH509" s="139"/>
      <c r="AI509" s="139"/>
      <c r="AJ509" s="139"/>
      <c r="AK509" s="139"/>
      <c r="AL509" s="139"/>
      <c r="AM509" s="139"/>
      <c r="AN509" s="139"/>
      <c r="AO509" s="139"/>
      <c r="AP509" s="139"/>
      <c r="AQ509" s="139"/>
      <c r="AR509" s="139"/>
      <c r="AS509" s="139"/>
      <c r="AT509" s="139"/>
      <c r="AU509" s="139"/>
      <c r="AV509" s="139"/>
      <c r="AW509" s="139"/>
      <c r="AX509" s="139"/>
      <c r="AY509" s="139"/>
      <c r="AZ509" s="139"/>
      <c r="BA509" s="139"/>
      <c r="BB509" s="139"/>
      <c r="BC509" s="139"/>
      <c r="BD509" s="139"/>
      <c r="BE509" s="139"/>
      <c r="BF509" s="139"/>
      <c r="BG509" s="139"/>
      <c r="BH509" s="139"/>
    </row>
    <row r="510" spans="2:60" s="11" customFormat="1" ht="19.899999999999999" customHeight="1">
      <c r="B510" s="5590"/>
      <c r="C510" s="5598"/>
      <c r="D510" s="9598" t="s">
        <v>134</v>
      </c>
      <c r="E510" s="9600"/>
      <c r="F510" s="492" t="s">
        <v>344</v>
      </c>
      <c r="G510" s="253"/>
      <c r="H510" s="286"/>
      <c r="I510" s="9579" t="s">
        <v>135</v>
      </c>
      <c r="J510" s="9581"/>
      <c r="K510" s="492" t="s">
        <v>344</v>
      </c>
      <c r="L510" s="5592"/>
      <c r="M510" s="5656" t="s">
        <v>369</v>
      </c>
      <c r="N510" s="5593"/>
      <c r="O510" s="5656" t="s">
        <v>369</v>
      </c>
      <c r="P510" s="5593"/>
      <c r="Q510" s="5656" t="s">
        <v>369</v>
      </c>
      <c r="R510" s="2468"/>
      <c r="S510" s="276"/>
      <c r="T510" s="99"/>
      <c r="U510" s="138"/>
      <c r="V510" s="138"/>
      <c r="W510" s="299" t="s">
        <v>193</v>
      </c>
      <c r="X510" s="264"/>
      <c r="Y510" s="277"/>
      <c r="Z510" s="187"/>
      <c r="AA510" s="6301"/>
      <c r="AB510" s="139"/>
      <c r="AC510" s="139"/>
      <c r="AD510" s="139"/>
      <c r="AE510" s="139"/>
      <c r="AF510" s="139"/>
      <c r="AG510" s="139"/>
      <c r="AH510" s="139"/>
      <c r="AI510" s="139"/>
      <c r="AJ510" s="139"/>
      <c r="AK510" s="139"/>
      <c r="AL510" s="139"/>
      <c r="AM510" s="139"/>
      <c r="AN510" s="139"/>
      <c r="AO510" s="139"/>
      <c r="AP510" s="139"/>
      <c r="AQ510" s="139"/>
      <c r="AR510" s="139"/>
      <c r="AS510" s="139"/>
      <c r="AT510" s="139"/>
      <c r="AU510" s="139"/>
      <c r="AV510" s="139"/>
      <c r="AW510" s="139"/>
      <c r="AX510" s="139"/>
      <c r="AY510" s="139"/>
      <c r="AZ510" s="139"/>
      <c r="BA510" s="139"/>
      <c r="BB510" s="139"/>
      <c r="BC510" s="139"/>
      <c r="BD510" s="139"/>
      <c r="BE510" s="139"/>
      <c r="BF510" s="139"/>
      <c r="BG510" s="139"/>
      <c r="BH510" s="139"/>
    </row>
    <row r="511" spans="2:60" s="11" customFormat="1" ht="19.899999999999999" customHeight="1">
      <c r="B511" s="5590"/>
      <c r="C511" s="5598"/>
      <c r="D511" s="9598" t="s">
        <v>137</v>
      </c>
      <c r="E511" s="9600"/>
      <c r="F511" s="492" t="s">
        <v>344</v>
      </c>
      <c r="G511" s="253"/>
      <c r="H511" s="286"/>
      <c r="I511" s="9579" t="s">
        <v>138</v>
      </c>
      <c r="J511" s="9581"/>
      <c r="K511" s="492" t="s">
        <v>344</v>
      </c>
      <c r="L511" s="5594"/>
      <c r="M511" s="5658"/>
      <c r="N511" s="1814"/>
      <c r="O511" s="5302"/>
      <c r="P511" s="5595"/>
      <c r="Q511" s="1814"/>
      <c r="R511" s="2468"/>
      <c r="S511" s="276"/>
      <c r="T511" s="99"/>
      <c r="U511" s="138"/>
      <c r="V511" s="138"/>
      <c r="W511" s="299" t="s">
        <v>193</v>
      </c>
      <c r="X511" s="264"/>
      <c r="Y511" s="277"/>
      <c r="Z511" s="187"/>
      <c r="AA511" s="6301"/>
      <c r="AB511" s="139"/>
      <c r="AC511" s="139"/>
      <c r="AD511" s="139"/>
      <c r="AE511" s="139"/>
      <c r="AF511" s="139"/>
      <c r="AG511" s="139"/>
      <c r="AH511" s="139"/>
      <c r="AI511" s="139"/>
      <c r="AJ511" s="139"/>
      <c r="AK511" s="139"/>
      <c r="AL511" s="139"/>
      <c r="AM511" s="139"/>
      <c r="AN511" s="139"/>
      <c r="AO511" s="139"/>
      <c r="AP511" s="139"/>
      <c r="AQ511" s="139"/>
      <c r="AR511" s="139"/>
      <c r="AS511" s="139"/>
      <c r="AT511" s="139"/>
      <c r="AU511" s="139"/>
      <c r="AV511" s="139"/>
      <c r="AW511" s="139"/>
      <c r="AX511" s="139"/>
      <c r="AY511" s="139"/>
      <c r="AZ511" s="139"/>
      <c r="BA511" s="139"/>
      <c r="BB511" s="139"/>
      <c r="BC511" s="139"/>
      <c r="BD511" s="139"/>
      <c r="BE511" s="139"/>
      <c r="BF511" s="139"/>
      <c r="BG511" s="139"/>
      <c r="BH511" s="139"/>
    </row>
    <row r="512" spans="2:60" s="11" customFormat="1" ht="19.899999999999999" customHeight="1">
      <c r="B512" s="5590"/>
      <c r="C512" s="5598"/>
      <c r="D512" s="9598" t="s">
        <v>140</v>
      </c>
      <c r="E512" s="9600"/>
      <c r="F512" s="492" t="s">
        <v>344</v>
      </c>
      <c r="G512" s="253"/>
      <c r="H512" s="286"/>
      <c r="I512" s="9582" t="s">
        <v>141</v>
      </c>
      <c r="J512" s="9583"/>
      <c r="K512" s="492" t="s">
        <v>344</v>
      </c>
      <c r="L512" s="2557"/>
      <c r="M512" s="5610"/>
      <c r="N512" s="2554"/>
      <c r="O512" s="2815"/>
      <c r="P512" s="5666"/>
      <c r="Q512" s="2554"/>
      <c r="R512" s="2468"/>
      <c r="S512" s="276"/>
      <c r="T512" s="99"/>
      <c r="U512" s="138"/>
      <c r="V512" s="138"/>
      <c r="W512" s="299" t="s">
        <v>193</v>
      </c>
      <c r="X512" s="264"/>
      <c r="Y512" s="277"/>
      <c r="Z512" s="187"/>
      <c r="AA512" s="6301"/>
      <c r="AB512" s="139"/>
      <c r="AC512" s="139"/>
      <c r="AD512" s="139"/>
      <c r="AE512" s="139"/>
      <c r="AF512" s="139"/>
      <c r="AG512" s="139"/>
      <c r="AH512" s="139"/>
      <c r="AI512" s="139"/>
      <c r="AJ512" s="139"/>
      <c r="AK512" s="139"/>
      <c r="AL512" s="139"/>
      <c r="AM512" s="139"/>
      <c r="AN512" s="139"/>
      <c r="AO512" s="139"/>
      <c r="AP512" s="139"/>
      <c r="AQ512" s="139"/>
      <c r="AR512" s="139"/>
      <c r="AS512" s="139"/>
      <c r="AT512" s="139"/>
      <c r="AU512" s="139"/>
      <c r="AV512" s="139"/>
      <c r="AW512" s="139"/>
      <c r="AX512" s="139"/>
      <c r="AY512" s="139"/>
      <c r="AZ512" s="139"/>
      <c r="BA512" s="139"/>
      <c r="BB512" s="139"/>
      <c r="BC512" s="139"/>
      <c r="BD512" s="139"/>
      <c r="BE512" s="139"/>
      <c r="BF512" s="139"/>
      <c r="BG512" s="139"/>
      <c r="BH512" s="139"/>
    </row>
    <row r="513" spans="2:60" s="11" customFormat="1" ht="19.899999999999999" customHeight="1">
      <c r="B513" s="5590"/>
      <c r="C513" s="5598"/>
      <c r="D513" s="9598" t="s">
        <v>143</v>
      </c>
      <c r="E513" s="9600"/>
      <c r="F513" s="492" t="s">
        <v>344</v>
      </c>
      <c r="G513" s="253"/>
      <c r="H513" s="286"/>
      <c r="I513" s="9582" t="s">
        <v>144</v>
      </c>
      <c r="J513" s="9583"/>
      <c r="K513" s="492" t="s">
        <v>344</v>
      </c>
      <c r="L513" s="5592"/>
      <c r="M513" s="5656"/>
      <c r="N513" s="5593"/>
      <c r="O513" s="5593"/>
      <c r="P513" s="5593"/>
      <c r="Q513" s="5593"/>
      <c r="R513" s="2468"/>
      <c r="S513" s="276"/>
      <c r="T513" s="99"/>
      <c r="U513" s="138"/>
      <c r="V513" s="138"/>
      <c r="W513" s="299" t="s">
        <v>193</v>
      </c>
      <c r="X513" s="264"/>
      <c r="Y513" s="277"/>
      <c r="Z513" s="187"/>
      <c r="AA513" s="6301"/>
      <c r="AB513" s="139"/>
      <c r="AC513" s="139"/>
      <c r="AD513" s="139"/>
      <c r="AE513" s="139"/>
      <c r="AF513" s="139"/>
      <c r="AG513" s="139"/>
      <c r="AH513" s="139"/>
      <c r="AI513" s="139"/>
      <c r="AJ513" s="139"/>
      <c r="AK513" s="139"/>
      <c r="AL513" s="139"/>
      <c r="AM513" s="139"/>
      <c r="AN513" s="139"/>
      <c r="AO513" s="139"/>
      <c r="AP513" s="139"/>
      <c r="AQ513" s="139"/>
      <c r="AR513" s="139"/>
      <c r="AS513" s="139"/>
      <c r="AT513" s="139"/>
      <c r="AU513" s="139"/>
      <c r="AV513" s="139"/>
      <c r="AW513" s="139"/>
      <c r="AX513" s="139"/>
      <c r="AY513" s="139"/>
      <c r="AZ513" s="139"/>
      <c r="BA513" s="139"/>
      <c r="BB513" s="139"/>
      <c r="BC513" s="139"/>
      <c r="BD513" s="139"/>
      <c r="BE513" s="139"/>
      <c r="BF513" s="139"/>
      <c r="BG513" s="139"/>
      <c r="BH513" s="139"/>
    </row>
    <row r="514" spans="2:60" s="11" customFormat="1" ht="19.899999999999999" customHeight="1">
      <c r="B514" s="5590"/>
      <c r="C514" s="5598"/>
      <c r="D514" s="9598" t="s">
        <v>631</v>
      </c>
      <c r="E514" s="9600"/>
      <c r="F514" s="492" t="s">
        <v>344</v>
      </c>
      <c r="G514" s="253"/>
      <c r="H514" s="286"/>
      <c r="I514" s="9582" t="s">
        <v>147</v>
      </c>
      <c r="J514" s="9583"/>
      <c r="K514" s="492" t="s">
        <v>344</v>
      </c>
      <c r="L514" s="5592"/>
      <c r="M514" s="5656"/>
      <c r="N514" s="5593"/>
      <c r="O514" s="5593"/>
      <c r="P514" s="5593"/>
      <c r="Q514" s="5593"/>
      <c r="R514" s="2468"/>
      <c r="S514" s="276"/>
      <c r="T514" s="99"/>
      <c r="U514" s="138"/>
      <c r="V514" s="138"/>
      <c r="W514" s="299" t="s">
        <v>193</v>
      </c>
      <c r="X514" s="264"/>
      <c r="Y514" s="277"/>
      <c r="Z514" s="187"/>
      <c r="AA514" s="6301"/>
      <c r="AB514" s="139"/>
      <c r="AC514" s="139"/>
      <c r="AD514" s="139"/>
      <c r="AE514" s="139"/>
      <c r="AF514" s="139"/>
      <c r="AG514" s="139"/>
      <c r="AH514" s="139"/>
      <c r="AI514" s="139"/>
      <c r="AJ514" s="139"/>
      <c r="AK514" s="139"/>
      <c r="AL514" s="139"/>
      <c r="AM514" s="139"/>
      <c r="AN514" s="139"/>
      <c r="AO514" s="139"/>
      <c r="AP514" s="139"/>
      <c r="AQ514" s="139"/>
      <c r="AR514" s="139"/>
      <c r="AS514" s="139"/>
      <c r="AT514" s="139"/>
      <c r="AU514" s="139"/>
      <c r="AV514" s="139"/>
      <c r="AW514" s="139"/>
      <c r="AX514" s="139"/>
      <c r="AY514" s="139"/>
      <c r="AZ514" s="139"/>
      <c r="BA514" s="139"/>
      <c r="BB514" s="139"/>
      <c r="BC514" s="139"/>
      <c r="BD514" s="139"/>
      <c r="BE514" s="139"/>
      <c r="BF514" s="139"/>
      <c r="BG514" s="139"/>
      <c r="BH514" s="139"/>
    </row>
    <row r="515" spans="2:60" s="11" customFormat="1" ht="19.899999999999999" customHeight="1">
      <c r="B515" s="5590"/>
      <c r="C515" s="5598"/>
      <c r="D515" s="9598" t="s">
        <v>633</v>
      </c>
      <c r="E515" s="9600"/>
      <c r="F515" s="492" t="s">
        <v>344</v>
      </c>
      <c r="G515" s="253"/>
      <c r="H515" s="286"/>
      <c r="I515" s="9582" t="s">
        <v>150</v>
      </c>
      <c r="J515" s="9583"/>
      <c r="K515" s="492" t="s">
        <v>344</v>
      </c>
      <c r="L515" s="5592"/>
      <c r="M515" s="5656"/>
      <c r="N515" s="5593"/>
      <c r="O515" s="5593"/>
      <c r="P515" s="5593"/>
      <c r="Q515" s="5593"/>
      <c r="R515" s="2468"/>
      <c r="S515" s="276"/>
      <c r="T515" s="99"/>
      <c r="U515" s="138"/>
      <c r="V515" s="138"/>
      <c r="W515" s="299" t="s">
        <v>193</v>
      </c>
      <c r="X515" s="264"/>
      <c r="Y515" s="277"/>
      <c r="Z515" s="187"/>
      <c r="AA515" s="6301"/>
      <c r="AB515" s="139"/>
      <c r="AC515" s="139"/>
      <c r="AD515" s="139"/>
      <c r="AE515" s="139"/>
      <c r="AF515" s="139"/>
      <c r="AG515" s="139"/>
      <c r="AH515" s="139"/>
      <c r="AI515" s="139"/>
      <c r="AJ515" s="139"/>
      <c r="AK515" s="139"/>
      <c r="AL515" s="139"/>
      <c r="AM515" s="139"/>
      <c r="AN515" s="139"/>
      <c r="AO515" s="139"/>
      <c r="AP515" s="139"/>
      <c r="AQ515" s="139"/>
      <c r="AR515" s="139"/>
      <c r="AS515" s="139"/>
      <c r="AT515" s="139"/>
      <c r="AU515" s="139"/>
      <c r="AV515" s="139"/>
      <c r="AW515" s="139"/>
      <c r="AX515" s="139"/>
      <c r="AY515" s="139"/>
      <c r="AZ515" s="139"/>
      <c r="BA515" s="139"/>
      <c r="BB515" s="139"/>
      <c r="BC515" s="139"/>
      <c r="BD515" s="139"/>
      <c r="BE515" s="139"/>
      <c r="BF515" s="139"/>
      <c r="BG515" s="139"/>
      <c r="BH515" s="139"/>
    </row>
    <row r="516" spans="2:60" s="11" customFormat="1" ht="20.100000000000001" customHeight="1">
      <c r="B516" s="1360"/>
      <c r="C516" s="9587" t="s">
        <v>393</v>
      </c>
      <c r="D516" s="9587"/>
      <c r="E516" s="9587"/>
      <c r="F516" s="492" t="s">
        <v>344</v>
      </c>
      <c r="G516" s="337"/>
      <c r="H516" s="9587" t="s">
        <v>394</v>
      </c>
      <c r="I516" s="9587"/>
      <c r="J516" s="9587"/>
      <c r="K516" s="492" t="s">
        <v>344</v>
      </c>
      <c r="L516" s="5653" t="str">
        <f>IF(COUNTBLANK(L517:L522)&gt;0,"미취합법인有",SUM(L517:L522))</f>
        <v>미취합법인有</v>
      </c>
      <c r="M516" s="5657"/>
      <c r="N516" s="5654" t="str">
        <f>IF(COUNTBLANK(N517:N522)&gt;0,"미취합법인有",SUM(N517:N522))</f>
        <v>미취합법인有</v>
      </c>
      <c r="O516" s="5663"/>
      <c r="P516" s="5781" t="str">
        <f>IF(COUNTBLANK(P517:P522)&gt;0,"미취합법인有",SUM(P517:P522))</f>
        <v>미취합법인有</v>
      </c>
      <c r="Q516" s="785"/>
      <c r="R516" s="498" t="s">
        <v>395</v>
      </c>
      <c r="S516" s="367" t="s">
        <v>396</v>
      </c>
      <c r="T516" s="99" t="s">
        <v>189</v>
      </c>
      <c r="U516" s="138"/>
      <c r="V516" s="138"/>
      <c r="W516" s="299" t="s">
        <v>193</v>
      </c>
      <c r="X516" s="265" t="s">
        <v>397</v>
      </c>
      <c r="Y516" s="265"/>
      <c r="Z516" s="187"/>
      <c r="AA516" s="6305"/>
      <c r="AB516" s="139"/>
      <c r="AC516" s="139"/>
      <c r="AD516" s="139"/>
      <c r="AE516" s="139"/>
      <c r="AF516" s="139"/>
      <c r="AG516" s="139"/>
      <c r="AH516" s="139"/>
      <c r="AI516" s="139"/>
      <c r="AJ516" s="139"/>
      <c r="AK516" s="139"/>
      <c r="AL516" s="139"/>
      <c r="AM516" s="139"/>
      <c r="AN516" s="139"/>
      <c r="AO516" s="139"/>
      <c r="AP516" s="139"/>
      <c r="AQ516" s="139"/>
      <c r="AR516" s="139"/>
      <c r="AS516" s="139"/>
      <c r="AT516" s="139"/>
      <c r="AU516" s="139"/>
      <c r="AV516" s="139"/>
      <c r="AW516" s="139"/>
      <c r="AX516" s="139"/>
      <c r="AY516" s="139"/>
      <c r="AZ516" s="139"/>
      <c r="BA516" s="139"/>
      <c r="BB516" s="139"/>
      <c r="BC516" s="139"/>
      <c r="BD516" s="139"/>
      <c r="BE516" s="139"/>
      <c r="BF516" s="139"/>
      <c r="BG516" s="139"/>
      <c r="BH516" s="139"/>
    </row>
    <row r="517" spans="2:60" s="11" customFormat="1" ht="19.899999999999999" customHeight="1">
      <c r="B517" s="5590"/>
      <c r="C517" s="9647" t="s">
        <v>134</v>
      </c>
      <c r="D517" s="9648"/>
      <c r="E517" s="9649"/>
      <c r="F517" s="492" t="s">
        <v>344</v>
      </c>
      <c r="G517" s="253"/>
      <c r="H517" s="9579" t="s">
        <v>135</v>
      </c>
      <c r="I517" s="9580"/>
      <c r="J517" s="9581"/>
      <c r="K517" s="492" t="s">
        <v>344</v>
      </c>
      <c r="L517" s="5592"/>
      <c r="M517" s="5656" t="s">
        <v>369</v>
      </c>
      <c r="N517" s="5593"/>
      <c r="O517" s="5656" t="s">
        <v>369</v>
      </c>
      <c r="P517" s="5593"/>
      <c r="Q517" s="5656" t="s">
        <v>369</v>
      </c>
      <c r="R517" s="1033"/>
      <c r="S517" s="263"/>
      <c r="T517" s="99"/>
      <c r="U517" s="138"/>
      <c r="V517" s="138"/>
      <c r="W517" s="299" t="s">
        <v>193</v>
      </c>
      <c r="X517" s="264"/>
      <c r="Y517" s="277"/>
      <c r="Z517" s="187"/>
      <c r="AA517" s="6301"/>
      <c r="AB517" s="139"/>
      <c r="AC517" s="139"/>
      <c r="AD517" s="139"/>
      <c r="AE517" s="139"/>
      <c r="AF517" s="139"/>
      <c r="AG517" s="139"/>
      <c r="AH517" s="139"/>
      <c r="AI517" s="139"/>
      <c r="AJ517" s="139"/>
      <c r="AK517" s="139"/>
      <c r="AL517" s="139"/>
      <c r="AM517" s="139"/>
      <c r="AN517" s="139"/>
      <c r="AO517" s="139"/>
      <c r="AP517" s="139"/>
      <c r="AQ517" s="139"/>
      <c r="AR517" s="139"/>
      <c r="AS517" s="139"/>
      <c r="AT517" s="139"/>
      <c r="AU517" s="139"/>
      <c r="AV517" s="139"/>
      <c r="AW517" s="139"/>
      <c r="AX517" s="139"/>
      <c r="AY517" s="139"/>
      <c r="AZ517" s="139"/>
      <c r="BA517" s="139"/>
      <c r="BB517" s="139"/>
      <c r="BC517" s="139"/>
      <c r="BD517" s="139"/>
      <c r="BE517" s="139"/>
      <c r="BF517" s="139"/>
      <c r="BG517" s="139"/>
      <c r="BH517" s="139"/>
    </row>
    <row r="518" spans="2:60" s="11" customFormat="1" ht="19.899999999999999" customHeight="1">
      <c r="B518" s="5590"/>
      <c r="C518" s="9647" t="s">
        <v>137</v>
      </c>
      <c r="D518" s="9648"/>
      <c r="E518" s="9649"/>
      <c r="F518" s="492" t="s">
        <v>344</v>
      </c>
      <c r="G518" s="253"/>
      <c r="H518" s="9579" t="s">
        <v>138</v>
      </c>
      <c r="I518" s="9580"/>
      <c r="J518" s="9581"/>
      <c r="K518" s="492" t="s">
        <v>344</v>
      </c>
      <c r="L518" s="5592"/>
      <c r="M518" s="5656"/>
      <c r="N518" s="5593"/>
      <c r="O518" s="5593"/>
      <c r="P518" s="5593"/>
      <c r="Q518" s="5593"/>
      <c r="R518" s="1033"/>
      <c r="S518" s="263"/>
      <c r="T518" s="99"/>
      <c r="U518" s="138"/>
      <c r="V518" s="138"/>
      <c r="W518" s="299" t="s">
        <v>193</v>
      </c>
      <c r="X518" s="264"/>
      <c r="Y518" s="277"/>
      <c r="Z518" s="187"/>
      <c r="AA518" s="6301"/>
      <c r="AB518" s="139"/>
      <c r="AC518" s="139"/>
      <c r="AD518" s="139"/>
      <c r="AE518" s="139"/>
      <c r="AF518" s="139"/>
      <c r="AG518" s="139"/>
      <c r="AH518" s="139"/>
      <c r="AI518" s="139"/>
      <c r="AJ518" s="139"/>
      <c r="AK518" s="139"/>
      <c r="AL518" s="139"/>
      <c r="AM518" s="139"/>
      <c r="AN518" s="139"/>
      <c r="AO518" s="139"/>
      <c r="AP518" s="139"/>
      <c r="AQ518" s="139"/>
      <c r="AR518" s="139"/>
      <c r="AS518" s="139"/>
      <c r="AT518" s="139"/>
      <c r="AU518" s="139"/>
      <c r="AV518" s="139"/>
      <c r="AW518" s="139"/>
      <c r="AX518" s="139"/>
      <c r="AY518" s="139"/>
      <c r="AZ518" s="139"/>
      <c r="BA518" s="139"/>
      <c r="BB518" s="139"/>
      <c r="BC518" s="139"/>
      <c r="BD518" s="139"/>
      <c r="BE518" s="139"/>
      <c r="BF518" s="139"/>
      <c r="BG518" s="139"/>
      <c r="BH518" s="139"/>
    </row>
    <row r="519" spans="2:60" s="11" customFormat="1" ht="19.899999999999999" customHeight="1">
      <c r="B519" s="5590"/>
      <c r="C519" s="9647" t="s">
        <v>140</v>
      </c>
      <c r="D519" s="9648"/>
      <c r="E519" s="9649"/>
      <c r="F519" s="492" t="s">
        <v>344</v>
      </c>
      <c r="G519" s="253"/>
      <c r="H519" s="9579" t="s">
        <v>141</v>
      </c>
      <c r="I519" s="9580"/>
      <c r="J519" s="9581"/>
      <c r="K519" s="492" t="s">
        <v>344</v>
      </c>
      <c r="L519" s="5592"/>
      <c r="M519" s="5656"/>
      <c r="N519" s="5593"/>
      <c r="O519" s="5593"/>
      <c r="P519" s="5593"/>
      <c r="Q519" s="5593"/>
      <c r="R519" s="1033"/>
      <c r="S519" s="263"/>
      <c r="T519" s="99"/>
      <c r="U519" s="138"/>
      <c r="V519" s="138"/>
      <c r="W519" s="299" t="s">
        <v>193</v>
      </c>
      <c r="X519" s="264"/>
      <c r="Y519" s="277"/>
      <c r="Z519" s="187"/>
      <c r="AA519" s="6301"/>
      <c r="AB519" s="139"/>
      <c r="AC519" s="139"/>
      <c r="AD519" s="139"/>
      <c r="AE519" s="139"/>
      <c r="AF519" s="139"/>
      <c r="AG519" s="139"/>
      <c r="AH519" s="139"/>
      <c r="AI519" s="139"/>
      <c r="AJ519" s="139"/>
      <c r="AK519" s="139"/>
      <c r="AL519" s="139"/>
      <c r="AM519" s="139"/>
      <c r="AN519" s="139"/>
      <c r="AO519" s="139"/>
      <c r="AP519" s="139"/>
      <c r="AQ519" s="139"/>
      <c r="AR519" s="139"/>
      <c r="AS519" s="139"/>
      <c r="AT519" s="139"/>
      <c r="AU519" s="139"/>
      <c r="AV519" s="139"/>
      <c r="AW519" s="139"/>
      <c r="AX519" s="139"/>
      <c r="AY519" s="139"/>
      <c r="AZ519" s="139"/>
      <c r="BA519" s="139"/>
      <c r="BB519" s="139"/>
      <c r="BC519" s="139"/>
      <c r="BD519" s="139"/>
      <c r="BE519" s="139"/>
      <c r="BF519" s="139"/>
      <c r="BG519" s="139"/>
      <c r="BH519" s="139"/>
    </row>
    <row r="520" spans="2:60" s="11" customFormat="1" ht="19.899999999999999" customHeight="1">
      <c r="B520" s="5590"/>
      <c r="C520" s="9647" t="s">
        <v>143</v>
      </c>
      <c r="D520" s="9648"/>
      <c r="E520" s="9649"/>
      <c r="F520" s="492" t="s">
        <v>344</v>
      </c>
      <c r="G520" s="253"/>
      <c r="H520" s="9579" t="s">
        <v>144</v>
      </c>
      <c r="I520" s="9580"/>
      <c r="J520" s="9581"/>
      <c r="K520" s="492" t="s">
        <v>344</v>
      </c>
      <c r="L520" s="5592"/>
      <c r="M520" s="5656"/>
      <c r="N520" s="5593"/>
      <c r="O520" s="5593"/>
      <c r="P520" s="5593"/>
      <c r="Q520" s="5593"/>
      <c r="R520" s="1033"/>
      <c r="S520" s="263"/>
      <c r="T520" s="99"/>
      <c r="U520" s="138"/>
      <c r="V520" s="138"/>
      <c r="W520" s="299" t="s">
        <v>193</v>
      </c>
      <c r="X520" s="264"/>
      <c r="Y520" s="277"/>
      <c r="Z520" s="187"/>
      <c r="AA520" s="6301"/>
      <c r="AB520" s="139"/>
      <c r="AC520" s="139"/>
      <c r="AD520" s="139"/>
      <c r="AE520" s="139"/>
      <c r="AF520" s="139"/>
      <c r="AG520" s="139"/>
      <c r="AH520" s="139"/>
      <c r="AI520" s="139"/>
      <c r="AJ520" s="139"/>
      <c r="AK520" s="139"/>
      <c r="AL520" s="139"/>
      <c r="AM520" s="139"/>
      <c r="AN520" s="139"/>
      <c r="AO520" s="139"/>
      <c r="AP520" s="139"/>
      <c r="AQ520" s="139"/>
      <c r="AR520" s="139"/>
      <c r="AS520" s="139"/>
      <c r="AT520" s="139"/>
      <c r="AU520" s="139"/>
      <c r="AV520" s="139"/>
      <c r="AW520" s="139"/>
      <c r="AX520" s="139"/>
      <c r="AY520" s="139"/>
      <c r="AZ520" s="139"/>
      <c r="BA520" s="139"/>
      <c r="BB520" s="139"/>
      <c r="BC520" s="139"/>
      <c r="BD520" s="139"/>
      <c r="BE520" s="139"/>
      <c r="BF520" s="139"/>
      <c r="BG520" s="139"/>
      <c r="BH520" s="139"/>
    </row>
    <row r="521" spans="2:60" s="11" customFormat="1" ht="19.899999999999999" customHeight="1">
      <c r="B521" s="5590"/>
      <c r="C521" s="9647" t="s">
        <v>631</v>
      </c>
      <c r="D521" s="9648"/>
      <c r="E521" s="9649"/>
      <c r="F521" s="492" t="s">
        <v>344</v>
      </c>
      <c r="G521" s="253"/>
      <c r="H521" s="9579" t="s">
        <v>147</v>
      </c>
      <c r="I521" s="9580"/>
      <c r="J521" s="9581"/>
      <c r="K521" s="492" t="s">
        <v>344</v>
      </c>
      <c r="L521" s="5592"/>
      <c r="M521" s="5656"/>
      <c r="N521" s="5593"/>
      <c r="O521" s="5593"/>
      <c r="P521" s="5593"/>
      <c r="Q521" s="5593"/>
      <c r="R521" s="1033"/>
      <c r="S521" s="263"/>
      <c r="T521" s="99"/>
      <c r="U521" s="138"/>
      <c r="V521" s="138"/>
      <c r="W521" s="299" t="s">
        <v>193</v>
      </c>
      <c r="X521" s="264"/>
      <c r="Y521" s="277"/>
      <c r="Z521" s="187"/>
      <c r="AA521" s="6301"/>
      <c r="AB521" s="139"/>
      <c r="AC521" s="139"/>
      <c r="AD521" s="139"/>
      <c r="AE521" s="139"/>
      <c r="AF521" s="139"/>
      <c r="AG521" s="139"/>
      <c r="AH521" s="139"/>
      <c r="AI521" s="139"/>
      <c r="AJ521" s="139"/>
      <c r="AK521" s="139"/>
      <c r="AL521" s="139"/>
      <c r="AM521" s="139"/>
      <c r="AN521" s="139"/>
      <c r="AO521" s="139"/>
      <c r="AP521" s="139"/>
      <c r="AQ521" s="139"/>
      <c r="AR521" s="139"/>
      <c r="AS521" s="139"/>
      <c r="AT521" s="139"/>
      <c r="AU521" s="139"/>
      <c r="AV521" s="139"/>
      <c r="AW521" s="139"/>
      <c r="AX521" s="139"/>
      <c r="AY521" s="139"/>
      <c r="AZ521" s="139"/>
      <c r="BA521" s="139"/>
      <c r="BB521" s="139"/>
      <c r="BC521" s="139"/>
      <c r="BD521" s="139"/>
      <c r="BE521" s="139"/>
      <c r="BF521" s="139"/>
      <c r="BG521" s="139"/>
      <c r="BH521" s="139"/>
    </row>
    <row r="522" spans="2:60" s="11" customFormat="1" ht="19.899999999999999" customHeight="1">
      <c r="B522" s="5590"/>
      <c r="C522" s="9647" t="s">
        <v>633</v>
      </c>
      <c r="D522" s="9648"/>
      <c r="E522" s="9649"/>
      <c r="F522" s="492" t="s">
        <v>344</v>
      </c>
      <c r="G522" s="253"/>
      <c r="H522" s="9579" t="s">
        <v>150</v>
      </c>
      <c r="I522" s="9580"/>
      <c r="J522" s="9581"/>
      <c r="K522" s="492" t="s">
        <v>344</v>
      </c>
      <c r="L522" s="5592"/>
      <c r="M522" s="5656"/>
      <c r="N522" s="5593"/>
      <c r="O522" s="5593"/>
      <c r="P522" s="5593"/>
      <c r="Q522" s="5593"/>
      <c r="R522" s="1033"/>
      <c r="S522" s="263"/>
      <c r="T522" s="99"/>
      <c r="U522" s="138"/>
      <c r="V522" s="138"/>
      <c r="W522" s="299" t="s">
        <v>193</v>
      </c>
      <c r="X522" s="264"/>
      <c r="Y522" s="277"/>
      <c r="Z522" s="187"/>
      <c r="AA522" s="6301"/>
      <c r="AB522" s="139"/>
      <c r="AC522" s="139"/>
      <c r="AD522" s="139"/>
      <c r="AE522" s="139"/>
      <c r="AF522" s="139"/>
      <c r="AG522" s="139"/>
      <c r="AH522" s="139"/>
      <c r="AI522" s="139"/>
      <c r="AJ522" s="139"/>
      <c r="AK522" s="139"/>
      <c r="AL522" s="139"/>
      <c r="AM522" s="139"/>
      <c r="AN522" s="139"/>
      <c r="AO522" s="139"/>
      <c r="AP522" s="139"/>
      <c r="AQ522" s="139"/>
      <c r="AR522" s="139"/>
      <c r="AS522" s="139"/>
      <c r="AT522" s="139"/>
      <c r="AU522" s="139"/>
      <c r="AV522" s="139"/>
      <c r="AW522" s="139"/>
      <c r="AX522" s="139"/>
      <c r="AY522" s="139"/>
      <c r="AZ522" s="139"/>
      <c r="BA522" s="139"/>
      <c r="BB522" s="139"/>
      <c r="BC522" s="139"/>
      <c r="BD522" s="139"/>
      <c r="BE522" s="139"/>
      <c r="BF522" s="139"/>
      <c r="BG522" s="139"/>
      <c r="BH522" s="139"/>
    </row>
    <row r="523" spans="2:60" s="11" customFormat="1" ht="20.100000000000001" customHeight="1">
      <c r="B523" s="1360"/>
      <c r="C523" s="5598"/>
      <c r="D523" s="9637" t="s">
        <v>687</v>
      </c>
      <c r="E523" s="9640"/>
      <c r="F523" s="492" t="s">
        <v>344</v>
      </c>
      <c r="G523" s="337"/>
      <c r="H523" s="358"/>
      <c r="I523" s="9637" t="s">
        <v>399</v>
      </c>
      <c r="J523" s="9640"/>
      <c r="K523" s="492" t="s">
        <v>344</v>
      </c>
      <c r="L523" s="5653" t="str">
        <f>IF(COUNTBLANK(L524:L529)&gt;0,"미취합법인有",SUM(L524:L529))</f>
        <v>미취합법인有</v>
      </c>
      <c r="M523" s="5657"/>
      <c r="N523" s="5654" t="str">
        <f>IF(COUNTBLANK(N524:N529)&gt;0,"미취합법인有",SUM(N524:N529))</f>
        <v>미취합법인有</v>
      </c>
      <c r="O523" s="5663"/>
      <c r="P523" s="5781" t="str">
        <f>IF(COUNTBLANK(P524:P529)&gt;0,"미취합법인有",SUM(P524:P529))</f>
        <v>미취합법인有</v>
      </c>
      <c r="Q523" s="785"/>
      <c r="R523" s="2475"/>
      <c r="S523" s="162"/>
      <c r="T523" s="99" t="s">
        <v>189</v>
      </c>
      <c r="U523" s="138"/>
      <c r="V523" s="138"/>
      <c r="W523" s="299" t="s">
        <v>193</v>
      </c>
      <c r="X523" s="265" t="s">
        <v>397</v>
      </c>
      <c r="Y523" s="265"/>
      <c r="Z523" s="187"/>
      <c r="AA523" s="6305"/>
      <c r="AB523" s="139"/>
      <c r="AC523" s="139"/>
      <c r="AD523" s="139"/>
      <c r="AE523" s="139"/>
      <c r="AF523" s="139"/>
      <c r="AG523" s="139"/>
      <c r="AH523" s="139"/>
      <c r="AI523" s="139"/>
      <c r="AJ523" s="139"/>
      <c r="AK523" s="139"/>
      <c r="AL523" s="139"/>
      <c r="AM523" s="139"/>
      <c r="AN523" s="139"/>
      <c r="AO523" s="139"/>
      <c r="AP523" s="139"/>
      <c r="AQ523" s="139"/>
      <c r="AR523" s="139"/>
      <c r="AS523" s="139"/>
      <c r="AT523" s="139"/>
      <c r="AU523" s="139"/>
      <c r="AV523" s="139"/>
      <c r="AW523" s="139"/>
      <c r="AX523" s="139"/>
      <c r="AY523" s="139"/>
      <c r="AZ523" s="139"/>
      <c r="BA523" s="139"/>
      <c r="BB523" s="139"/>
      <c r="BC523" s="139"/>
      <c r="BD523" s="139"/>
      <c r="BE523" s="139"/>
      <c r="BF523" s="139"/>
      <c r="BG523" s="139"/>
      <c r="BH523" s="139"/>
    </row>
    <row r="524" spans="2:60" s="11" customFormat="1" ht="19.899999999999999" customHeight="1">
      <c r="B524" s="5590"/>
      <c r="C524" s="5598"/>
      <c r="D524" s="9598" t="s">
        <v>134</v>
      </c>
      <c r="E524" s="9600"/>
      <c r="F524" s="492" t="s">
        <v>344</v>
      </c>
      <c r="G524" s="253"/>
      <c r="H524" s="286"/>
      <c r="I524" s="9579" t="s">
        <v>135</v>
      </c>
      <c r="J524" s="9581"/>
      <c r="K524" s="492" t="s">
        <v>344</v>
      </c>
      <c r="L524" s="5592"/>
      <c r="M524" s="5656" t="s">
        <v>369</v>
      </c>
      <c r="N524" s="5593"/>
      <c r="O524" s="5656" t="s">
        <v>369</v>
      </c>
      <c r="P524" s="5593"/>
      <c r="Q524" s="5656" t="s">
        <v>369</v>
      </c>
      <c r="R524" s="2468"/>
      <c r="S524" s="276"/>
      <c r="T524" s="99"/>
      <c r="U524" s="138"/>
      <c r="V524" s="138"/>
      <c r="W524" s="299" t="s">
        <v>193</v>
      </c>
      <c r="X524" s="264"/>
      <c r="Y524" s="277"/>
      <c r="Z524" s="187"/>
      <c r="AA524" s="6301"/>
      <c r="AB524" s="139"/>
      <c r="AC524" s="139"/>
      <c r="AD524" s="139"/>
      <c r="AE524" s="139"/>
      <c r="AF524" s="139"/>
      <c r="AG524" s="139"/>
      <c r="AH524" s="139"/>
      <c r="AI524" s="139"/>
      <c r="AJ524" s="139"/>
      <c r="AK524" s="139"/>
      <c r="AL524" s="139"/>
      <c r="AM524" s="139"/>
      <c r="AN524" s="139"/>
      <c r="AO524" s="139"/>
      <c r="AP524" s="139"/>
      <c r="AQ524" s="139"/>
      <c r="AR524" s="139"/>
      <c r="AS524" s="139"/>
      <c r="AT524" s="139"/>
      <c r="AU524" s="139"/>
      <c r="AV524" s="139"/>
      <c r="AW524" s="139"/>
      <c r="AX524" s="139"/>
      <c r="AY524" s="139"/>
      <c r="AZ524" s="139"/>
      <c r="BA524" s="139"/>
      <c r="BB524" s="139"/>
      <c r="BC524" s="139"/>
      <c r="BD524" s="139"/>
      <c r="BE524" s="139"/>
      <c r="BF524" s="139"/>
      <c r="BG524" s="139"/>
      <c r="BH524" s="139"/>
    </row>
    <row r="525" spans="2:60" s="11" customFormat="1" ht="19.899999999999999" customHeight="1">
      <c r="B525" s="5590"/>
      <c r="C525" s="5598"/>
      <c r="D525" s="9598" t="s">
        <v>137</v>
      </c>
      <c r="E525" s="9600"/>
      <c r="F525" s="492" t="s">
        <v>344</v>
      </c>
      <c r="G525" s="253"/>
      <c r="H525" s="286"/>
      <c r="I525" s="9579" t="s">
        <v>138</v>
      </c>
      <c r="J525" s="9581"/>
      <c r="K525" s="492" t="s">
        <v>344</v>
      </c>
      <c r="L525" s="5594"/>
      <c r="M525" s="5658"/>
      <c r="N525" s="1814"/>
      <c r="O525" s="5302"/>
      <c r="P525" s="5595"/>
      <c r="Q525" s="1814"/>
      <c r="R525" s="2468"/>
      <c r="S525" s="276"/>
      <c r="T525" s="99"/>
      <c r="U525" s="138"/>
      <c r="V525" s="138"/>
      <c r="W525" s="299" t="s">
        <v>193</v>
      </c>
      <c r="X525" s="264"/>
      <c r="Y525" s="277"/>
      <c r="Z525" s="187"/>
      <c r="AA525" s="6301"/>
      <c r="AB525" s="139"/>
      <c r="AC525" s="139"/>
      <c r="AD525" s="139"/>
      <c r="AE525" s="139"/>
      <c r="AF525" s="139"/>
      <c r="AG525" s="139"/>
      <c r="AH525" s="139"/>
      <c r="AI525" s="139"/>
      <c r="AJ525" s="139"/>
      <c r="AK525" s="139"/>
      <c r="AL525" s="139"/>
      <c r="AM525" s="139"/>
      <c r="AN525" s="139"/>
      <c r="AO525" s="139"/>
      <c r="AP525" s="139"/>
      <c r="AQ525" s="139"/>
      <c r="AR525" s="139"/>
      <c r="AS525" s="139"/>
      <c r="AT525" s="139"/>
      <c r="AU525" s="139"/>
      <c r="AV525" s="139"/>
      <c r="AW525" s="139"/>
      <c r="AX525" s="139"/>
      <c r="AY525" s="139"/>
      <c r="AZ525" s="139"/>
      <c r="BA525" s="139"/>
      <c r="BB525" s="139"/>
      <c r="BC525" s="139"/>
      <c r="BD525" s="139"/>
      <c r="BE525" s="139"/>
      <c r="BF525" s="139"/>
      <c r="BG525" s="139"/>
      <c r="BH525" s="139"/>
    </row>
    <row r="526" spans="2:60" s="11" customFormat="1" ht="19.899999999999999" customHeight="1">
      <c r="B526" s="5590"/>
      <c r="C526" s="5598"/>
      <c r="D526" s="9598" t="s">
        <v>140</v>
      </c>
      <c r="E526" s="9600"/>
      <c r="F526" s="492" t="s">
        <v>344</v>
      </c>
      <c r="G526" s="253"/>
      <c r="H526" s="286"/>
      <c r="I526" s="9582" t="s">
        <v>141</v>
      </c>
      <c r="J526" s="9583"/>
      <c r="K526" s="492" t="s">
        <v>344</v>
      </c>
      <c r="L526" s="2557"/>
      <c r="M526" s="5610"/>
      <c r="N526" s="2554"/>
      <c r="O526" s="2815"/>
      <c r="P526" s="5666"/>
      <c r="Q526" s="2554"/>
      <c r="R526" s="2468"/>
      <c r="S526" s="276"/>
      <c r="T526" s="99"/>
      <c r="U526" s="138"/>
      <c r="V526" s="138"/>
      <c r="W526" s="299" t="s">
        <v>193</v>
      </c>
      <c r="X526" s="264"/>
      <c r="Y526" s="277"/>
      <c r="Z526" s="187"/>
      <c r="AA526" s="6301"/>
      <c r="AB526" s="139"/>
      <c r="AC526" s="139"/>
      <c r="AD526" s="139"/>
      <c r="AE526" s="139"/>
      <c r="AF526" s="139"/>
      <c r="AG526" s="139"/>
      <c r="AH526" s="139"/>
      <c r="AI526" s="139"/>
      <c r="AJ526" s="139"/>
      <c r="AK526" s="139"/>
      <c r="AL526" s="139"/>
      <c r="AM526" s="139"/>
      <c r="AN526" s="139"/>
      <c r="AO526" s="139"/>
      <c r="AP526" s="139"/>
      <c r="AQ526" s="139"/>
      <c r="AR526" s="139"/>
      <c r="AS526" s="139"/>
      <c r="AT526" s="139"/>
      <c r="AU526" s="139"/>
      <c r="AV526" s="139"/>
      <c r="AW526" s="139"/>
      <c r="AX526" s="139"/>
      <c r="AY526" s="139"/>
      <c r="AZ526" s="139"/>
      <c r="BA526" s="139"/>
      <c r="BB526" s="139"/>
      <c r="BC526" s="139"/>
      <c r="BD526" s="139"/>
      <c r="BE526" s="139"/>
      <c r="BF526" s="139"/>
      <c r="BG526" s="139"/>
      <c r="BH526" s="139"/>
    </row>
    <row r="527" spans="2:60" s="11" customFormat="1" ht="19.899999999999999" customHeight="1">
      <c r="B527" s="5590"/>
      <c r="C527" s="5598"/>
      <c r="D527" s="9598" t="s">
        <v>143</v>
      </c>
      <c r="E527" s="9600"/>
      <c r="F527" s="492" t="s">
        <v>344</v>
      </c>
      <c r="G527" s="253"/>
      <c r="H527" s="286"/>
      <c r="I527" s="9582" t="s">
        <v>144</v>
      </c>
      <c r="J527" s="9583"/>
      <c r="K527" s="492" t="s">
        <v>344</v>
      </c>
      <c r="L527" s="5592"/>
      <c r="M527" s="5656"/>
      <c r="N527" s="5593"/>
      <c r="O527" s="5593"/>
      <c r="P527" s="5593"/>
      <c r="Q527" s="5593"/>
      <c r="R527" s="2468"/>
      <c r="S527" s="276"/>
      <c r="T527" s="99"/>
      <c r="U527" s="138"/>
      <c r="V527" s="138"/>
      <c r="W527" s="299" t="s">
        <v>193</v>
      </c>
      <c r="X527" s="264"/>
      <c r="Y527" s="277"/>
      <c r="Z527" s="187"/>
      <c r="AA527" s="6301"/>
      <c r="AB527" s="139"/>
      <c r="AC527" s="139"/>
      <c r="AD527" s="139"/>
      <c r="AE527" s="139"/>
      <c r="AF527" s="139"/>
      <c r="AG527" s="139"/>
      <c r="AH527" s="139"/>
      <c r="AI527" s="139"/>
      <c r="AJ527" s="139"/>
      <c r="AK527" s="139"/>
      <c r="AL527" s="139"/>
      <c r="AM527" s="139"/>
      <c r="AN527" s="139"/>
      <c r="AO527" s="139"/>
      <c r="AP527" s="139"/>
      <c r="AQ527" s="139"/>
      <c r="AR527" s="139"/>
      <c r="AS527" s="139"/>
      <c r="AT527" s="139"/>
      <c r="AU527" s="139"/>
      <c r="AV527" s="139"/>
      <c r="AW527" s="139"/>
      <c r="AX527" s="139"/>
      <c r="AY527" s="139"/>
      <c r="AZ527" s="139"/>
      <c r="BA527" s="139"/>
      <c r="BB527" s="139"/>
      <c r="BC527" s="139"/>
      <c r="BD527" s="139"/>
      <c r="BE527" s="139"/>
      <c r="BF527" s="139"/>
      <c r="BG527" s="139"/>
      <c r="BH527" s="139"/>
    </row>
    <row r="528" spans="2:60" s="11" customFormat="1" ht="19.899999999999999" customHeight="1">
      <c r="B528" s="5590"/>
      <c r="C528" s="5598"/>
      <c r="D528" s="9598" t="s">
        <v>631</v>
      </c>
      <c r="E528" s="9600"/>
      <c r="F528" s="492" t="s">
        <v>344</v>
      </c>
      <c r="G528" s="253"/>
      <c r="H528" s="286"/>
      <c r="I528" s="9582" t="s">
        <v>147</v>
      </c>
      <c r="J528" s="9583"/>
      <c r="K528" s="492" t="s">
        <v>344</v>
      </c>
      <c r="L528" s="5592"/>
      <c r="M528" s="5656"/>
      <c r="N528" s="5593"/>
      <c r="O528" s="5593"/>
      <c r="P528" s="5593"/>
      <c r="Q528" s="5593"/>
      <c r="R528" s="2468"/>
      <c r="S528" s="276"/>
      <c r="T528" s="99"/>
      <c r="U528" s="138"/>
      <c r="V528" s="138"/>
      <c r="W528" s="299" t="s">
        <v>193</v>
      </c>
      <c r="X528" s="264"/>
      <c r="Y528" s="277"/>
      <c r="Z528" s="187"/>
      <c r="AA528" s="6301"/>
      <c r="AB528" s="139"/>
      <c r="AC528" s="139"/>
      <c r="AD528" s="139"/>
      <c r="AE528" s="139"/>
      <c r="AF528" s="139"/>
      <c r="AG528" s="139"/>
      <c r="AH528" s="139"/>
      <c r="AI528" s="139"/>
      <c r="AJ528" s="139"/>
      <c r="AK528" s="139"/>
      <c r="AL528" s="139"/>
      <c r="AM528" s="139"/>
      <c r="AN528" s="139"/>
      <c r="AO528" s="139"/>
      <c r="AP528" s="139"/>
      <c r="AQ528" s="139"/>
      <c r="AR528" s="139"/>
      <c r="AS528" s="139"/>
      <c r="AT528" s="139"/>
      <c r="AU528" s="139"/>
      <c r="AV528" s="139"/>
      <c r="AW528" s="139"/>
      <c r="AX528" s="139"/>
      <c r="AY528" s="139"/>
      <c r="AZ528" s="139"/>
      <c r="BA528" s="139"/>
      <c r="BB528" s="139"/>
      <c r="BC528" s="139"/>
      <c r="BD528" s="139"/>
      <c r="BE528" s="139"/>
      <c r="BF528" s="139"/>
      <c r="BG528" s="139"/>
      <c r="BH528" s="139"/>
    </row>
    <row r="529" spans="2:60" s="11" customFormat="1" ht="19.899999999999999" customHeight="1">
      <c r="B529" s="5590"/>
      <c r="C529" s="5598"/>
      <c r="D529" s="9598" t="s">
        <v>633</v>
      </c>
      <c r="E529" s="9600"/>
      <c r="F529" s="492" t="s">
        <v>344</v>
      </c>
      <c r="G529" s="253"/>
      <c r="H529" s="286"/>
      <c r="I529" s="9582" t="s">
        <v>150</v>
      </c>
      <c r="J529" s="9583"/>
      <c r="K529" s="492" t="s">
        <v>344</v>
      </c>
      <c r="L529" s="5592"/>
      <c r="M529" s="5656"/>
      <c r="N529" s="5593"/>
      <c r="O529" s="5593"/>
      <c r="P529" s="5593"/>
      <c r="Q529" s="5593"/>
      <c r="R529" s="2468"/>
      <c r="S529" s="276"/>
      <c r="T529" s="99"/>
      <c r="U529" s="138"/>
      <c r="V529" s="138"/>
      <c r="W529" s="299" t="s">
        <v>193</v>
      </c>
      <c r="X529" s="264"/>
      <c r="Y529" s="277"/>
      <c r="Z529" s="187"/>
      <c r="AA529" s="6301"/>
      <c r="AB529" s="139"/>
      <c r="AC529" s="139"/>
      <c r="AD529" s="139"/>
      <c r="AE529" s="139"/>
      <c r="AF529" s="139"/>
      <c r="AG529" s="139"/>
      <c r="AH529" s="139"/>
      <c r="AI529" s="139"/>
      <c r="AJ529" s="139"/>
      <c r="AK529" s="139"/>
      <c r="AL529" s="139"/>
      <c r="AM529" s="139"/>
      <c r="AN529" s="139"/>
      <c r="AO529" s="139"/>
      <c r="AP529" s="139"/>
      <c r="AQ529" s="139"/>
      <c r="AR529" s="139"/>
      <c r="AS529" s="139"/>
      <c r="AT529" s="139"/>
      <c r="AU529" s="139"/>
      <c r="AV529" s="139"/>
      <c r="AW529" s="139"/>
      <c r="AX529" s="139"/>
      <c r="AY529" s="139"/>
      <c r="AZ529" s="139"/>
      <c r="BA529" s="139"/>
      <c r="BB529" s="139"/>
      <c r="BC529" s="139"/>
      <c r="BD529" s="139"/>
      <c r="BE529" s="139"/>
      <c r="BF529" s="139"/>
      <c r="BG529" s="139"/>
      <c r="BH529" s="139"/>
    </row>
    <row r="530" spans="2:60" s="11" customFormat="1" ht="20.100000000000001" customHeight="1">
      <c r="B530" s="1360"/>
      <c r="C530" s="5598"/>
      <c r="D530" s="9637" t="s">
        <v>400</v>
      </c>
      <c r="E530" s="9640"/>
      <c r="F530" s="492" t="s">
        <v>344</v>
      </c>
      <c r="G530" s="337"/>
      <c r="H530" s="358"/>
      <c r="I530" s="9637" t="s">
        <v>401</v>
      </c>
      <c r="J530" s="9640"/>
      <c r="K530" s="492" t="s">
        <v>344</v>
      </c>
      <c r="L530" s="5653" t="str">
        <f>IF(COUNTBLANK(L531:L536)&gt;0,"미취합법인有",SUM(L531:L536))</f>
        <v>미취합법인有</v>
      </c>
      <c r="M530" s="5657"/>
      <c r="N530" s="5654" t="str">
        <f>IF(COUNTBLANK(N531:N536)&gt;0,"미취합법인有",SUM(N531:N536))</f>
        <v>미취합법인有</v>
      </c>
      <c r="O530" s="5663"/>
      <c r="P530" s="5781" t="str">
        <f>IF(COUNTBLANK(P531:P536)&gt;0,"미취합법인有",SUM(P531:P536))</f>
        <v>미취합법인有</v>
      </c>
      <c r="Q530" s="785"/>
      <c r="R530" s="782"/>
      <c r="S530" s="162"/>
      <c r="T530" s="99" t="s">
        <v>189</v>
      </c>
      <c r="U530" s="138"/>
      <c r="V530" s="138"/>
      <c r="W530" s="299" t="s">
        <v>193</v>
      </c>
      <c r="X530" s="265" t="s">
        <v>397</v>
      </c>
      <c r="Y530" s="265"/>
      <c r="Z530" s="187"/>
      <c r="AA530" s="6305"/>
      <c r="AB530" s="139"/>
      <c r="AC530" s="139"/>
      <c r="AD530" s="139"/>
      <c r="AE530" s="139"/>
      <c r="AF530" s="139"/>
      <c r="AG530" s="139"/>
      <c r="AH530" s="139"/>
      <c r="AI530" s="139"/>
      <c r="AJ530" s="139"/>
      <c r="AK530" s="139"/>
      <c r="AL530" s="139"/>
      <c r="AM530" s="139"/>
      <c r="AN530" s="139"/>
      <c r="AO530" s="139"/>
      <c r="AP530" s="139"/>
      <c r="AQ530" s="139"/>
      <c r="AR530" s="139"/>
      <c r="AS530" s="139"/>
      <c r="AT530" s="139"/>
      <c r="AU530" s="139"/>
      <c r="AV530" s="139"/>
      <c r="AW530" s="139"/>
      <c r="AX530" s="139"/>
      <c r="AY530" s="139"/>
      <c r="AZ530" s="139"/>
      <c r="BA530" s="139"/>
      <c r="BB530" s="139"/>
      <c r="BC530" s="139"/>
      <c r="BD530" s="139"/>
      <c r="BE530" s="139"/>
      <c r="BF530" s="139"/>
      <c r="BG530" s="139"/>
      <c r="BH530" s="139"/>
    </row>
    <row r="531" spans="2:60" s="11" customFormat="1" ht="19.899999999999999" customHeight="1">
      <c r="B531" s="5590"/>
      <c r="C531" s="5598"/>
      <c r="D531" s="9598" t="s">
        <v>134</v>
      </c>
      <c r="E531" s="9600"/>
      <c r="F531" s="492" t="s">
        <v>344</v>
      </c>
      <c r="G531" s="253"/>
      <c r="H531" s="286"/>
      <c r="I531" s="9579" t="s">
        <v>135</v>
      </c>
      <c r="J531" s="9581"/>
      <c r="K531" s="492" t="s">
        <v>344</v>
      </c>
      <c r="L531" s="5592"/>
      <c r="M531" s="5656" t="s">
        <v>369</v>
      </c>
      <c r="N531" s="5593"/>
      <c r="O531" s="5656" t="s">
        <v>369</v>
      </c>
      <c r="P531" s="5593"/>
      <c r="Q531" s="5656" t="s">
        <v>369</v>
      </c>
      <c r="R531" s="2468"/>
      <c r="S531" s="276"/>
      <c r="T531" s="99"/>
      <c r="U531" s="138"/>
      <c r="V531" s="138"/>
      <c r="W531" s="299" t="s">
        <v>193</v>
      </c>
      <c r="X531" s="264"/>
      <c r="Y531" s="277"/>
      <c r="Z531" s="187"/>
      <c r="AA531" s="6301"/>
      <c r="AB531" s="139"/>
      <c r="AC531" s="139"/>
      <c r="AD531" s="139"/>
      <c r="AE531" s="139"/>
      <c r="AF531" s="139"/>
      <c r="AG531" s="139"/>
      <c r="AH531" s="139"/>
      <c r="AI531" s="139"/>
      <c r="AJ531" s="139"/>
      <c r="AK531" s="139"/>
      <c r="AL531" s="139"/>
      <c r="AM531" s="139"/>
      <c r="AN531" s="139"/>
      <c r="AO531" s="139"/>
      <c r="AP531" s="139"/>
      <c r="AQ531" s="139"/>
      <c r="AR531" s="139"/>
      <c r="AS531" s="139"/>
      <c r="AT531" s="139"/>
      <c r="AU531" s="139"/>
      <c r="AV531" s="139"/>
      <c r="AW531" s="139"/>
      <c r="AX531" s="139"/>
      <c r="AY531" s="139"/>
      <c r="AZ531" s="139"/>
      <c r="BA531" s="139"/>
      <c r="BB531" s="139"/>
      <c r="BC531" s="139"/>
      <c r="BD531" s="139"/>
      <c r="BE531" s="139"/>
      <c r="BF531" s="139"/>
      <c r="BG531" s="139"/>
      <c r="BH531" s="139"/>
    </row>
    <row r="532" spans="2:60" s="11" customFormat="1" ht="19.899999999999999" customHeight="1">
      <c r="B532" s="5590"/>
      <c r="C532" s="5598"/>
      <c r="D532" s="9598" t="s">
        <v>137</v>
      </c>
      <c r="E532" s="9600"/>
      <c r="F532" s="492" t="s">
        <v>344</v>
      </c>
      <c r="G532" s="253"/>
      <c r="H532" s="286"/>
      <c r="I532" s="9579" t="s">
        <v>138</v>
      </c>
      <c r="J532" s="9581"/>
      <c r="K532" s="492" t="s">
        <v>344</v>
      </c>
      <c r="L532" s="5594"/>
      <c r="M532" s="5658"/>
      <c r="N532" s="1814"/>
      <c r="O532" s="5302"/>
      <c r="P532" s="5595"/>
      <c r="Q532" s="1814"/>
      <c r="R532" s="2468"/>
      <c r="S532" s="276"/>
      <c r="T532" s="99"/>
      <c r="U532" s="138"/>
      <c r="V532" s="138"/>
      <c r="W532" s="299" t="s">
        <v>193</v>
      </c>
      <c r="X532" s="264"/>
      <c r="Y532" s="277"/>
      <c r="Z532" s="187"/>
      <c r="AA532" s="6301"/>
      <c r="AB532" s="139"/>
      <c r="AC532" s="139"/>
      <c r="AD532" s="139"/>
      <c r="AE532" s="139"/>
      <c r="AF532" s="139"/>
      <c r="AG532" s="139"/>
      <c r="AH532" s="139"/>
      <c r="AI532" s="139"/>
      <c r="AJ532" s="139"/>
      <c r="AK532" s="139"/>
      <c r="AL532" s="139"/>
      <c r="AM532" s="139"/>
      <c r="AN532" s="139"/>
      <c r="AO532" s="139"/>
      <c r="AP532" s="139"/>
      <c r="AQ532" s="139"/>
      <c r="AR532" s="139"/>
      <c r="AS532" s="139"/>
      <c r="AT532" s="139"/>
      <c r="AU532" s="139"/>
      <c r="AV532" s="139"/>
      <c r="AW532" s="139"/>
      <c r="AX532" s="139"/>
      <c r="AY532" s="139"/>
      <c r="AZ532" s="139"/>
      <c r="BA532" s="139"/>
      <c r="BB532" s="139"/>
      <c r="BC532" s="139"/>
      <c r="BD532" s="139"/>
      <c r="BE532" s="139"/>
      <c r="BF532" s="139"/>
      <c r="BG532" s="139"/>
      <c r="BH532" s="139"/>
    </row>
    <row r="533" spans="2:60" s="11" customFormat="1" ht="19.899999999999999" customHeight="1">
      <c r="B533" s="5590"/>
      <c r="C533" s="5598"/>
      <c r="D533" s="9598" t="s">
        <v>140</v>
      </c>
      <c r="E533" s="9600"/>
      <c r="F533" s="492" t="s">
        <v>344</v>
      </c>
      <c r="G533" s="253"/>
      <c r="H533" s="286"/>
      <c r="I533" s="9582" t="s">
        <v>141</v>
      </c>
      <c r="J533" s="9583"/>
      <c r="K533" s="492" t="s">
        <v>344</v>
      </c>
      <c r="L533" s="2557"/>
      <c r="M533" s="5610"/>
      <c r="N533" s="2554"/>
      <c r="O533" s="2815"/>
      <c r="P533" s="5666"/>
      <c r="Q533" s="2554"/>
      <c r="R533" s="2468"/>
      <c r="S533" s="276"/>
      <c r="T533" s="99"/>
      <c r="U533" s="138"/>
      <c r="V533" s="138"/>
      <c r="W533" s="299" t="s">
        <v>193</v>
      </c>
      <c r="X533" s="264"/>
      <c r="Y533" s="277"/>
      <c r="Z533" s="187"/>
      <c r="AA533" s="6301"/>
      <c r="AB533" s="139"/>
      <c r="AC533" s="139"/>
      <c r="AD533" s="139"/>
      <c r="AE533" s="139"/>
      <c r="AF533" s="139"/>
      <c r="AG533" s="139"/>
      <c r="AH533" s="139"/>
      <c r="AI533" s="139"/>
      <c r="AJ533" s="139"/>
      <c r="AK533" s="139"/>
      <c r="AL533" s="139"/>
      <c r="AM533" s="139"/>
      <c r="AN533" s="139"/>
      <c r="AO533" s="139"/>
      <c r="AP533" s="139"/>
      <c r="AQ533" s="139"/>
      <c r="AR533" s="139"/>
      <c r="AS533" s="139"/>
      <c r="AT533" s="139"/>
      <c r="AU533" s="139"/>
      <c r="AV533" s="139"/>
      <c r="AW533" s="139"/>
      <c r="AX533" s="139"/>
      <c r="AY533" s="139"/>
      <c r="AZ533" s="139"/>
      <c r="BA533" s="139"/>
      <c r="BB533" s="139"/>
      <c r="BC533" s="139"/>
      <c r="BD533" s="139"/>
      <c r="BE533" s="139"/>
      <c r="BF533" s="139"/>
      <c r="BG533" s="139"/>
      <c r="BH533" s="139"/>
    </row>
    <row r="534" spans="2:60" s="11" customFormat="1" ht="19.899999999999999" customHeight="1">
      <c r="B534" s="5590"/>
      <c r="C534" s="5598"/>
      <c r="D534" s="9598" t="s">
        <v>143</v>
      </c>
      <c r="E534" s="9600"/>
      <c r="F534" s="492" t="s">
        <v>344</v>
      </c>
      <c r="G534" s="253"/>
      <c r="H534" s="286"/>
      <c r="I534" s="9582" t="s">
        <v>144</v>
      </c>
      <c r="J534" s="9583"/>
      <c r="K534" s="492" t="s">
        <v>344</v>
      </c>
      <c r="L534" s="5592"/>
      <c r="M534" s="5656"/>
      <c r="N534" s="5593"/>
      <c r="O534" s="5593"/>
      <c r="P534" s="5593"/>
      <c r="Q534" s="5593"/>
      <c r="R534" s="2468"/>
      <c r="S534" s="276"/>
      <c r="T534" s="99"/>
      <c r="U534" s="138"/>
      <c r="V534" s="138"/>
      <c r="W534" s="299" t="s">
        <v>193</v>
      </c>
      <c r="X534" s="264"/>
      <c r="Y534" s="277"/>
      <c r="Z534" s="187"/>
      <c r="AA534" s="6301"/>
      <c r="AB534" s="139"/>
      <c r="AC534" s="139"/>
      <c r="AD534" s="139"/>
      <c r="AE534" s="139"/>
      <c r="AF534" s="139"/>
      <c r="AG534" s="139"/>
      <c r="AH534" s="139"/>
      <c r="AI534" s="139"/>
      <c r="AJ534" s="139"/>
      <c r="AK534" s="139"/>
      <c r="AL534" s="139"/>
      <c r="AM534" s="139"/>
      <c r="AN534" s="139"/>
      <c r="AO534" s="139"/>
      <c r="AP534" s="139"/>
      <c r="AQ534" s="139"/>
      <c r="AR534" s="139"/>
      <c r="AS534" s="139"/>
      <c r="AT534" s="139"/>
      <c r="AU534" s="139"/>
      <c r="AV534" s="139"/>
      <c r="AW534" s="139"/>
      <c r="AX534" s="139"/>
      <c r="AY534" s="139"/>
      <c r="AZ534" s="139"/>
      <c r="BA534" s="139"/>
      <c r="BB534" s="139"/>
      <c r="BC534" s="139"/>
      <c r="BD534" s="139"/>
      <c r="BE534" s="139"/>
      <c r="BF534" s="139"/>
      <c r="BG534" s="139"/>
      <c r="BH534" s="139"/>
    </row>
    <row r="535" spans="2:60" s="11" customFormat="1" ht="19.899999999999999" customHeight="1">
      <c r="B535" s="5590"/>
      <c r="C535" s="5598"/>
      <c r="D535" s="9598" t="s">
        <v>631</v>
      </c>
      <c r="E535" s="9600"/>
      <c r="F535" s="492" t="s">
        <v>344</v>
      </c>
      <c r="G535" s="253"/>
      <c r="H535" s="286"/>
      <c r="I535" s="9582" t="s">
        <v>147</v>
      </c>
      <c r="J535" s="9583"/>
      <c r="K535" s="492" t="s">
        <v>344</v>
      </c>
      <c r="L535" s="5592"/>
      <c r="M535" s="5656"/>
      <c r="N535" s="5593"/>
      <c r="O535" s="5593"/>
      <c r="P535" s="5593"/>
      <c r="Q535" s="5593"/>
      <c r="R535" s="2468"/>
      <c r="S535" s="276"/>
      <c r="T535" s="99"/>
      <c r="U535" s="138"/>
      <c r="V535" s="138"/>
      <c r="W535" s="299" t="s">
        <v>193</v>
      </c>
      <c r="X535" s="264"/>
      <c r="Y535" s="277"/>
      <c r="Z535" s="187"/>
      <c r="AA535" s="6301"/>
      <c r="AB535" s="139"/>
      <c r="AC535" s="139"/>
      <c r="AD535" s="139"/>
      <c r="AE535" s="139"/>
      <c r="AF535" s="139"/>
      <c r="AG535" s="139"/>
      <c r="AH535" s="139"/>
      <c r="AI535" s="139"/>
      <c r="AJ535" s="139"/>
      <c r="AK535" s="139"/>
      <c r="AL535" s="139"/>
      <c r="AM535" s="139"/>
      <c r="AN535" s="139"/>
      <c r="AO535" s="139"/>
      <c r="AP535" s="139"/>
      <c r="AQ535" s="139"/>
      <c r="AR535" s="139"/>
      <c r="AS535" s="139"/>
      <c r="AT535" s="139"/>
      <c r="AU535" s="139"/>
      <c r="AV535" s="139"/>
      <c r="AW535" s="139"/>
      <c r="AX535" s="139"/>
      <c r="AY535" s="139"/>
      <c r="AZ535" s="139"/>
      <c r="BA535" s="139"/>
      <c r="BB535" s="139"/>
      <c r="BC535" s="139"/>
      <c r="BD535" s="139"/>
      <c r="BE535" s="139"/>
      <c r="BF535" s="139"/>
      <c r="BG535" s="139"/>
      <c r="BH535" s="139"/>
    </row>
    <row r="536" spans="2:60" s="11" customFormat="1" ht="19.899999999999999" customHeight="1">
      <c r="B536" s="5590"/>
      <c r="C536" s="5598"/>
      <c r="D536" s="9598" t="s">
        <v>633</v>
      </c>
      <c r="E536" s="9600"/>
      <c r="F536" s="492" t="s">
        <v>344</v>
      </c>
      <c r="G536" s="253"/>
      <c r="H536" s="286"/>
      <c r="I536" s="9582" t="s">
        <v>150</v>
      </c>
      <c r="J536" s="9583"/>
      <c r="K536" s="492" t="s">
        <v>344</v>
      </c>
      <c r="L536" s="5592"/>
      <c r="M536" s="5656"/>
      <c r="N536" s="5593"/>
      <c r="O536" s="5593"/>
      <c r="P536" s="5593"/>
      <c r="Q536" s="5593"/>
      <c r="R536" s="2468"/>
      <c r="S536" s="276"/>
      <c r="T536" s="99"/>
      <c r="U536" s="138"/>
      <c r="V536" s="138"/>
      <c r="W536" s="299" t="s">
        <v>193</v>
      </c>
      <c r="X536" s="264"/>
      <c r="Y536" s="277"/>
      <c r="Z536" s="187"/>
      <c r="AA536" s="6301"/>
      <c r="AB536" s="139"/>
      <c r="AC536" s="139"/>
      <c r="AD536" s="139"/>
      <c r="AE536" s="139"/>
      <c r="AF536" s="139"/>
      <c r="AG536" s="139"/>
      <c r="AH536" s="139"/>
      <c r="AI536" s="139"/>
      <c r="AJ536" s="139"/>
      <c r="AK536" s="139"/>
      <c r="AL536" s="139"/>
      <c r="AM536" s="139"/>
      <c r="AN536" s="139"/>
      <c r="AO536" s="139"/>
      <c r="AP536" s="139"/>
      <c r="AQ536" s="139"/>
      <c r="AR536" s="139"/>
      <c r="AS536" s="139"/>
      <c r="AT536" s="139"/>
      <c r="AU536" s="139"/>
      <c r="AV536" s="139"/>
      <c r="AW536" s="139"/>
      <c r="AX536" s="139"/>
      <c r="AY536" s="139"/>
      <c r="AZ536" s="139"/>
      <c r="BA536" s="139"/>
      <c r="BB536" s="139"/>
      <c r="BC536" s="139"/>
      <c r="BD536" s="139"/>
      <c r="BE536" s="139"/>
      <c r="BF536" s="139"/>
      <c r="BG536" s="139"/>
      <c r="BH536" s="139"/>
    </row>
    <row r="537" spans="2:60" s="11" customFormat="1" ht="20.100000000000001" customHeight="1">
      <c r="B537" s="1360"/>
      <c r="C537" s="5598"/>
      <c r="D537" s="9637" t="s">
        <v>402</v>
      </c>
      <c r="E537" s="9640"/>
      <c r="F537" s="492" t="s">
        <v>344</v>
      </c>
      <c r="G537" s="337"/>
      <c r="H537" s="358"/>
      <c r="I537" s="9637" t="s">
        <v>403</v>
      </c>
      <c r="J537" s="9640"/>
      <c r="K537" s="492" t="s">
        <v>344</v>
      </c>
      <c r="L537" s="5653" t="str">
        <f>IF(COUNTBLANK(L538:L543)&gt;0,"미취합법인有",SUM(L538:L543))</f>
        <v>미취합법인有</v>
      </c>
      <c r="M537" s="5657"/>
      <c r="N537" s="5654" t="str">
        <f>IF(COUNTBLANK(N538:N543)&gt;0,"미취합법인有",SUM(N538:N543))</f>
        <v>미취합법인有</v>
      </c>
      <c r="O537" s="5663"/>
      <c r="P537" s="5781" t="str">
        <f>IF(COUNTBLANK(P538:P543)&gt;0,"미취합법인有",SUM(P538:P543))</f>
        <v>미취합법인有</v>
      </c>
      <c r="Q537" s="785"/>
      <c r="R537" s="24"/>
      <c r="S537" s="162"/>
      <c r="T537" s="99" t="s">
        <v>189</v>
      </c>
      <c r="U537" s="138"/>
      <c r="V537" s="138"/>
      <c r="W537" s="299" t="s">
        <v>193</v>
      </c>
      <c r="X537" s="265" t="s">
        <v>397</v>
      </c>
      <c r="Y537" s="265"/>
      <c r="Z537" s="187"/>
      <c r="AA537" s="6305"/>
      <c r="AB537" s="139"/>
      <c r="AC537" s="139"/>
      <c r="AD537" s="139"/>
      <c r="AE537" s="139"/>
      <c r="AF537" s="139"/>
      <c r="AG537" s="139"/>
      <c r="AH537" s="139"/>
      <c r="AI537" s="139"/>
      <c r="AJ537" s="139"/>
      <c r="AK537" s="139"/>
      <c r="AL537" s="139"/>
      <c r="AM537" s="139"/>
      <c r="AN537" s="139"/>
      <c r="AO537" s="139"/>
      <c r="AP537" s="139"/>
      <c r="AQ537" s="139"/>
      <c r="AR537" s="139"/>
      <c r="AS537" s="139"/>
      <c r="AT537" s="139"/>
      <c r="AU537" s="139"/>
      <c r="AV537" s="139"/>
      <c r="AW537" s="139"/>
      <c r="AX537" s="139"/>
      <c r="AY537" s="139"/>
      <c r="AZ537" s="139"/>
      <c r="BA537" s="139"/>
      <c r="BB537" s="139"/>
      <c r="BC537" s="139"/>
      <c r="BD537" s="139"/>
      <c r="BE537" s="139"/>
      <c r="BF537" s="139"/>
      <c r="BG537" s="139"/>
      <c r="BH537" s="139"/>
    </row>
    <row r="538" spans="2:60" s="11" customFormat="1" ht="19.899999999999999" customHeight="1">
      <c r="B538" s="5590"/>
      <c r="C538" s="5598"/>
      <c r="D538" s="9598" t="s">
        <v>134</v>
      </c>
      <c r="E538" s="9600"/>
      <c r="F538" s="492" t="s">
        <v>344</v>
      </c>
      <c r="G538" s="253"/>
      <c r="H538" s="286"/>
      <c r="I538" s="9579" t="s">
        <v>135</v>
      </c>
      <c r="J538" s="9581"/>
      <c r="K538" s="492" t="s">
        <v>344</v>
      </c>
      <c r="L538" s="5592"/>
      <c r="M538" s="5656" t="s">
        <v>369</v>
      </c>
      <c r="N538" s="5593"/>
      <c r="O538" s="5656" t="s">
        <v>369</v>
      </c>
      <c r="P538" s="5593"/>
      <c r="Q538" s="5656" t="s">
        <v>369</v>
      </c>
      <c r="R538" s="2468"/>
      <c r="S538" s="276"/>
      <c r="T538" s="99"/>
      <c r="U538" s="138"/>
      <c r="V538" s="138"/>
      <c r="W538" s="299" t="s">
        <v>193</v>
      </c>
      <c r="X538" s="264"/>
      <c r="Y538" s="277"/>
      <c r="Z538" s="187"/>
      <c r="AA538" s="6301"/>
      <c r="AB538" s="139"/>
      <c r="AC538" s="139"/>
      <c r="AD538" s="139"/>
      <c r="AE538" s="139"/>
      <c r="AF538" s="139"/>
      <c r="AG538" s="139"/>
      <c r="AH538" s="139"/>
      <c r="AI538" s="139"/>
      <c r="AJ538" s="139"/>
      <c r="AK538" s="139"/>
      <c r="AL538" s="139"/>
      <c r="AM538" s="139"/>
      <c r="AN538" s="139"/>
      <c r="AO538" s="139"/>
      <c r="AP538" s="139"/>
      <c r="AQ538" s="139"/>
      <c r="AR538" s="139"/>
      <c r="AS538" s="139"/>
      <c r="AT538" s="139"/>
      <c r="AU538" s="139"/>
      <c r="AV538" s="139"/>
      <c r="AW538" s="139"/>
      <c r="AX538" s="139"/>
      <c r="AY538" s="139"/>
      <c r="AZ538" s="139"/>
      <c r="BA538" s="139"/>
      <c r="BB538" s="139"/>
      <c r="BC538" s="139"/>
      <c r="BD538" s="139"/>
      <c r="BE538" s="139"/>
      <c r="BF538" s="139"/>
      <c r="BG538" s="139"/>
      <c r="BH538" s="139"/>
    </row>
    <row r="539" spans="2:60" s="11" customFormat="1" ht="19.899999999999999" customHeight="1">
      <c r="B539" s="5590"/>
      <c r="C539" s="5598"/>
      <c r="D539" s="9598" t="s">
        <v>137</v>
      </c>
      <c r="E539" s="9600"/>
      <c r="F539" s="492" t="s">
        <v>344</v>
      </c>
      <c r="G539" s="253"/>
      <c r="H539" s="286"/>
      <c r="I539" s="9579" t="s">
        <v>138</v>
      </c>
      <c r="J539" s="9581"/>
      <c r="K539" s="492" t="s">
        <v>344</v>
      </c>
      <c r="L539" s="5594"/>
      <c r="M539" s="5658"/>
      <c r="N539" s="1814"/>
      <c r="O539" s="5302"/>
      <c r="P539" s="5595"/>
      <c r="Q539" s="1814"/>
      <c r="R539" s="2468"/>
      <c r="S539" s="276"/>
      <c r="T539" s="99"/>
      <c r="U539" s="138"/>
      <c r="V539" s="138"/>
      <c r="W539" s="299" t="s">
        <v>193</v>
      </c>
      <c r="X539" s="264"/>
      <c r="Y539" s="277"/>
      <c r="Z539" s="187"/>
      <c r="AA539" s="6301"/>
      <c r="AB539" s="139"/>
      <c r="AC539" s="139"/>
      <c r="AD539" s="139"/>
      <c r="AE539" s="139"/>
      <c r="AF539" s="139"/>
      <c r="AG539" s="139"/>
      <c r="AH539" s="139"/>
      <c r="AI539" s="139"/>
      <c r="AJ539" s="139"/>
      <c r="AK539" s="139"/>
      <c r="AL539" s="139"/>
      <c r="AM539" s="139"/>
      <c r="AN539" s="139"/>
      <c r="AO539" s="139"/>
      <c r="AP539" s="139"/>
      <c r="AQ539" s="139"/>
      <c r="AR539" s="139"/>
      <c r="AS539" s="139"/>
      <c r="AT539" s="139"/>
      <c r="AU539" s="139"/>
      <c r="AV539" s="139"/>
      <c r="AW539" s="139"/>
      <c r="AX539" s="139"/>
      <c r="AY539" s="139"/>
      <c r="AZ539" s="139"/>
      <c r="BA539" s="139"/>
      <c r="BB539" s="139"/>
      <c r="BC539" s="139"/>
      <c r="BD539" s="139"/>
      <c r="BE539" s="139"/>
      <c r="BF539" s="139"/>
      <c r="BG539" s="139"/>
      <c r="BH539" s="139"/>
    </row>
    <row r="540" spans="2:60" s="11" customFormat="1" ht="19.899999999999999" customHeight="1">
      <c r="B540" s="5590"/>
      <c r="C540" s="5598"/>
      <c r="D540" s="9598" t="s">
        <v>140</v>
      </c>
      <c r="E540" s="9600"/>
      <c r="F540" s="492" t="s">
        <v>344</v>
      </c>
      <c r="G540" s="253"/>
      <c r="H540" s="286"/>
      <c r="I540" s="9582" t="s">
        <v>141</v>
      </c>
      <c r="J540" s="9583"/>
      <c r="K540" s="492" t="s">
        <v>344</v>
      </c>
      <c r="L540" s="2557"/>
      <c r="M540" s="5610"/>
      <c r="N540" s="2554"/>
      <c r="O540" s="2815"/>
      <c r="P540" s="5666"/>
      <c r="Q540" s="2554"/>
      <c r="R540" s="2468"/>
      <c r="S540" s="276"/>
      <c r="T540" s="99"/>
      <c r="U540" s="138"/>
      <c r="V540" s="138"/>
      <c r="W540" s="299" t="s">
        <v>193</v>
      </c>
      <c r="X540" s="264"/>
      <c r="Y540" s="277"/>
      <c r="Z540" s="187"/>
      <c r="AA540" s="6301"/>
      <c r="AB540" s="139"/>
      <c r="AC540" s="139"/>
      <c r="AD540" s="139"/>
      <c r="AE540" s="139"/>
      <c r="AF540" s="139"/>
      <c r="AG540" s="139"/>
      <c r="AH540" s="139"/>
      <c r="AI540" s="139"/>
      <c r="AJ540" s="139"/>
      <c r="AK540" s="139"/>
      <c r="AL540" s="139"/>
      <c r="AM540" s="139"/>
      <c r="AN540" s="139"/>
      <c r="AO540" s="139"/>
      <c r="AP540" s="139"/>
      <c r="AQ540" s="139"/>
      <c r="AR540" s="139"/>
      <c r="AS540" s="139"/>
      <c r="AT540" s="139"/>
      <c r="AU540" s="139"/>
      <c r="AV540" s="139"/>
      <c r="AW540" s="139"/>
      <c r="AX540" s="139"/>
      <c r="AY540" s="139"/>
      <c r="AZ540" s="139"/>
      <c r="BA540" s="139"/>
      <c r="BB540" s="139"/>
      <c r="BC540" s="139"/>
      <c r="BD540" s="139"/>
      <c r="BE540" s="139"/>
      <c r="BF540" s="139"/>
      <c r="BG540" s="139"/>
      <c r="BH540" s="139"/>
    </row>
    <row r="541" spans="2:60" s="11" customFormat="1" ht="19.899999999999999" customHeight="1">
      <c r="B541" s="5590"/>
      <c r="C541" s="5598"/>
      <c r="D541" s="9598" t="s">
        <v>143</v>
      </c>
      <c r="E541" s="9600"/>
      <c r="F541" s="492" t="s">
        <v>344</v>
      </c>
      <c r="G541" s="253"/>
      <c r="H541" s="286"/>
      <c r="I541" s="9582" t="s">
        <v>144</v>
      </c>
      <c r="J541" s="9583"/>
      <c r="K541" s="492" t="s">
        <v>344</v>
      </c>
      <c r="L541" s="5592"/>
      <c r="M541" s="5656"/>
      <c r="N541" s="5593"/>
      <c r="O541" s="5593"/>
      <c r="P541" s="5593"/>
      <c r="Q541" s="5593"/>
      <c r="R541" s="2468"/>
      <c r="S541" s="276"/>
      <c r="T541" s="99"/>
      <c r="U541" s="138"/>
      <c r="V541" s="138"/>
      <c r="W541" s="299" t="s">
        <v>193</v>
      </c>
      <c r="X541" s="264"/>
      <c r="Y541" s="277"/>
      <c r="Z541" s="187"/>
      <c r="AA541" s="6301"/>
      <c r="AB541" s="139"/>
      <c r="AC541" s="139"/>
      <c r="AD541" s="139"/>
      <c r="AE541" s="139"/>
      <c r="AF541" s="139"/>
      <c r="AG541" s="139"/>
      <c r="AH541" s="139"/>
      <c r="AI541" s="139"/>
      <c r="AJ541" s="139"/>
      <c r="AK541" s="139"/>
      <c r="AL541" s="139"/>
      <c r="AM541" s="139"/>
      <c r="AN541" s="139"/>
      <c r="AO541" s="139"/>
      <c r="AP541" s="139"/>
      <c r="AQ541" s="139"/>
      <c r="AR541" s="139"/>
      <c r="AS541" s="139"/>
      <c r="AT541" s="139"/>
      <c r="AU541" s="139"/>
      <c r="AV541" s="139"/>
      <c r="AW541" s="139"/>
      <c r="AX541" s="139"/>
      <c r="AY541" s="139"/>
      <c r="AZ541" s="139"/>
      <c r="BA541" s="139"/>
      <c r="BB541" s="139"/>
      <c r="BC541" s="139"/>
      <c r="BD541" s="139"/>
      <c r="BE541" s="139"/>
      <c r="BF541" s="139"/>
      <c r="BG541" s="139"/>
      <c r="BH541" s="139"/>
    </row>
    <row r="542" spans="2:60" s="11" customFormat="1" ht="19.899999999999999" customHeight="1">
      <c r="B542" s="5590"/>
      <c r="C542" s="5598"/>
      <c r="D542" s="9598" t="s">
        <v>631</v>
      </c>
      <c r="E542" s="9600"/>
      <c r="F542" s="492" t="s">
        <v>344</v>
      </c>
      <c r="G542" s="253"/>
      <c r="H542" s="286"/>
      <c r="I542" s="9582" t="s">
        <v>147</v>
      </c>
      <c r="J542" s="9583"/>
      <c r="K542" s="492" t="s">
        <v>344</v>
      </c>
      <c r="L542" s="5592"/>
      <c r="M542" s="5656"/>
      <c r="N542" s="5593"/>
      <c r="O542" s="5593"/>
      <c r="P542" s="5593"/>
      <c r="Q542" s="5593"/>
      <c r="R542" s="2468"/>
      <c r="S542" s="276"/>
      <c r="T542" s="99"/>
      <c r="U542" s="138"/>
      <c r="V542" s="138"/>
      <c r="W542" s="299" t="s">
        <v>193</v>
      </c>
      <c r="X542" s="264"/>
      <c r="Y542" s="277"/>
      <c r="Z542" s="187"/>
      <c r="AA542" s="6301"/>
      <c r="AB542" s="139"/>
      <c r="AC542" s="139"/>
      <c r="AD542" s="139"/>
      <c r="AE542" s="139"/>
      <c r="AF542" s="139"/>
      <c r="AG542" s="139"/>
      <c r="AH542" s="139"/>
      <c r="AI542" s="139"/>
      <c r="AJ542" s="139"/>
      <c r="AK542" s="139"/>
      <c r="AL542" s="139"/>
      <c r="AM542" s="139"/>
      <c r="AN542" s="139"/>
      <c r="AO542" s="139"/>
      <c r="AP542" s="139"/>
      <c r="AQ542" s="139"/>
      <c r="AR542" s="139"/>
      <c r="AS542" s="139"/>
      <c r="AT542" s="139"/>
      <c r="AU542" s="139"/>
      <c r="AV542" s="139"/>
      <c r="AW542" s="139"/>
      <c r="AX542" s="139"/>
      <c r="AY542" s="139"/>
      <c r="AZ542" s="139"/>
      <c r="BA542" s="139"/>
      <c r="BB542" s="139"/>
      <c r="BC542" s="139"/>
      <c r="BD542" s="139"/>
      <c r="BE542" s="139"/>
      <c r="BF542" s="139"/>
      <c r="BG542" s="139"/>
      <c r="BH542" s="139"/>
    </row>
    <row r="543" spans="2:60" s="11" customFormat="1" ht="19.899999999999999" customHeight="1">
      <c r="B543" s="5590"/>
      <c r="C543" s="5598"/>
      <c r="D543" s="9598" t="s">
        <v>633</v>
      </c>
      <c r="E543" s="9600"/>
      <c r="F543" s="492" t="s">
        <v>344</v>
      </c>
      <c r="G543" s="253"/>
      <c r="H543" s="286"/>
      <c r="I543" s="9582" t="s">
        <v>150</v>
      </c>
      <c r="J543" s="9583"/>
      <c r="K543" s="492" t="s">
        <v>344</v>
      </c>
      <c r="L543" s="5592"/>
      <c r="M543" s="5656"/>
      <c r="N543" s="5593"/>
      <c r="O543" s="5593"/>
      <c r="P543" s="5593"/>
      <c r="Q543" s="5593"/>
      <c r="R543" s="2468"/>
      <c r="S543" s="276"/>
      <c r="T543" s="99"/>
      <c r="U543" s="138"/>
      <c r="V543" s="138"/>
      <c r="W543" s="299" t="s">
        <v>193</v>
      </c>
      <c r="X543" s="264"/>
      <c r="Y543" s="277"/>
      <c r="Z543" s="187"/>
      <c r="AA543" s="6301"/>
      <c r="AB543" s="139"/>
      <c r="AC543" s="139"/>
      <c r="AD543" s="139"/>
      <c r="AE543" s="139"/>
      <c r="AF543" s="139"/>
      <c r="AG543" s="139"/>
      <c r="AH543" s="139"/>
      <c r="AI543" s="139"/>
      <c r="AJ543" s="139"/>
      <c r="AK543" s="139"/>
      <c r="AL543" s="139"/>
      <c r="AM543" s="139"/>
      <c r="AN543" s="139"/>
      <c r="AO543" s="139"/>
      <c r="AP543" s="139"/>
      <c r="AQ543" s="139"/>
      <c r="AR543" s="139"/>
      <c r="AS543" s="139"/>
      <c r="AT543" s="139"/>
      <c r="AU543" s="139"/>
      <c r="AV543" s="139"/>
      <c r="AW543" s="139"/>
      <c r="AX543" s="139"/>
      <c r="AY543" s="139"/>
      <c r="AZ543" s="139"/>
      <c r="BA543" s="139"/>
      <c r="BB543" s="139"/>
      <c r="BC543" s="139"/>
      <c r="BD543" s="139"/>
      <c r="BE543" s="139"/>
      <c r="BF543" s="139"/>
      <c r="BG543" s="139"/>
      <c r="BH543" s="139"/>
    </row>
    <row r="544" spans="2:60" s="11" customFormat="1" ht="20.100000000000001" customHeight="1">
      <c r="B544" s="1360"/>
      <c r="C544" s="5598"/>
      <c r="D544" s="9637" t="s">
        <v>404</v>
      </c>
      <c r="E544" s="9640"/>
      <c r="F544" s="492" t="s">
        <v>344</v>
      </c>
      <c r="G544" s="337"/>
      <c r="H544" s="358"/>
      <c r="I544" s="9637" t="s">
        <v>405</v>
      </c>
      <c r="J544" s="9640"/>
      <c r="K544" s="492" t="s">
        <v>344</v>
      </c>
      <c r="L544" s="5653" t="str">
        <f>IF(COUNTBLANK(L545:L550)&gt;0,"미취합법인有",SUM(L545:L550))</f>
        <v>미취합법인有</v>
      </c>
      <c r="M544" s="5657"/>
      <c r="N544" s="5654" t="str">
        <f>IF(COUNTBLANK(N545:N550)&gt;0,"미취합법인有",SUM(N545:N550))</f>
        <v>미취합법인有</v>
      </c>
      <c r="O544" s="5663"/>
      <c r="P544" s="5781" t="str">
        <f>IF(COUNTBLANK(P545:P550)&gt;0,"미취합법인有",SUM(P545:P550))</f>
        <v>미취합법인有</v>
      </c>
      <c r="Q544" s="785"/>
      <c r="R544" s="782"/>
      <c r="S544" s="162"/>
      <c r="T544" s="99" t="s">
        <v>189</v>
      </c>
      <c r="U544" s="138"/>
      <c r="V544" s="138"/>
      <c r="W544" s="299" t="s">
        <v>193</v>
      </c>
      <c r="X544" s="265" t="s">
        <v>397</v>
      </c>
      <c r="Y544" s="265"/>
      <c r="Z544" s="187"/>
      <c r="AA544" s="6305"/>
      <c r="AB544" s="139"/>
      <c r="AC544" s="139"/>
      <c r="AD544" s="139"/>
      <c r="AE544" s="139"/>
      <c r="AF544" s="139"/>
      <c r="AG544" s="139"/>
      <c r="AH544" s="139"/>
      <c r="AI544" s="139"/>
      <c r="AJ544" s="139"/>
      <c r="AK544" s="139"/>
      <c r="AL544" s="139"/>
      <c r="AM544" s="139"/>
      <c r="AN544" s="139"/>
      <c r="AO544" s="139"/>
      <c r="AP544" s="139"/>
      <c r="AQ544" s="139"/>
      <c r="AR544" s="139"/>
      <c r="AS544" s="139"/>
      <c r="AT544" s="139"/>
      <c r="AU544" s="139"/>
      <c r="AV544" s="139"/>
      <c r="AW544" s="139"/>
      <c r="AX544" s="139"/>
      <c r="AY544" s="139"/>
      <c r="AZ544" s="139"/>
      <c r="BA544" s="139"/>
      <c r="BB544" s="139"/>
      <c r="BC544" s="139"/>
      <c r="BD544" s="139"/>
      <c r="BE544" s="139"/>
      <c r="BF544" s="139"/>
      <c r="BG544" s="139"/>
      <c r="BH544" s="139"/>
    </row>
    <row r="545" spans="2:60" s="11" customFormat="1" ht="19.899999999999999" customHeight="1">
      <c r="B545" s="5590"/>
      <c r="C545" s="5598"/>
      <c r="D545" s="9598" t="s">
        <v>134</v>
      </c>
      <c r="E545" s="9600"/>
      <c r="F545" s="492" t="s">
        <v>344</v>
      </c>
      <c r="G545" s="253"/>
      <c r="H545" s="286"/>
      <c r="I545" s="9579" t="s">
        <v>135</v>
      </c>
      <c r="J545" s="9581"/>
      <c r="K545" s="492" t="s">
        <v>344</v>
      </c>
      <c r="L545" s="5592"/>
      <c r="M545" s="5656" t="s">
        <v>369</v>
      </c>
      <c r="N545" s="5593"/>
      <c r="O545" s="5656" t="s">
        <v>369</v>
      </c>
      <c r="P545" s="5593"/>
      <c r="Q545" s="5656" t="s">
        <v>369</v>
      </c>
      <c r="R545" s="2468"/>
      <c r="S545" s="276"/>
      <c r="T545" s="99"/>
      <c r="U545" s="138"/>
      <c r="V545" s="138"/>
      <c r="W545" s="299" t="s">
        <v>193</v>
      </c>
      <c r="X545" s="264"/>
      <c r="Y545" s="277"/>
      <c r="Z545" s="187"/>
      <c r="AA545" s="6301"/>
      <c r="AB545" s="139"/>
      <c r="AC545" s="139"/>
      <c r="AD545" s="139"/>
      <c r="AE545" s="139"/>
      <c r="AF545" s="139"/>
      <c r="AG545" s="139"/>
      <c r="AH545" s="139"/>
      <c r="AI545" s="139"/>
      <c r="AJ545" s="139"/>
      <c r="AK545" s="139"/>
      <c r="AL545" s="139"/>
      <c r="AM545" s="139"/>
      <c r="AN545" s="139"/>
      <c r="AO545" s="139"/>
      <c r="AP545" s="139"/>
      <c r="AQ545" s="139"/>
      <c r="AR545" s="139"/>
      <c r="AS545" s="139"/>
      <c r="AT545" s="139"/>
      <c r="AU545" s="139"/>
      <c r="AV545" s="139"/>
      <c r="AW545" s="139"/>
      <c r="AX545" s="139"/>
      <c r="AY545" s="139"/>
      <c r="AZ545" s="139"/>
      <c r="BA545" s="139"/>
      <c r="BB545" s="139"/>
      <c r="BC545" s="139"/>
      <c r="BD545" s="139"/>
      <c r="BE545" s="139"/>
      <c r="BF545" s="139"/>
      <c r="BG545" s="139"/>
      <c r="BH545" s="139"/>
    </row>
    <row r="546" spans="2:60" s="11" customFormat="1" ht="19.899999999999999" customHeight="1">
      <c r="B546" s="5590"/>
      <c r="C546" s="5598"/>
      <c r="D546" s="9598" t="s">
        <v>137</v>
      </c>
      <c r="E546" s="9600"/>
      <c r="F546" s="492" t="s">
        <v>344</v>
      </c>
      <c r="G546" s="253"/>
      <c r="H546" s="286"/>
      <c r="I546" s="9579" t="s">
        <v>138</v>
      </c>
      <c r="J546" s="9581"/>
      <c r="K546" s="492" t="s">
        <v>344</v>
      </c>
      <c r="L546" s="5594"/>
      <c r="M546" s="5658"/>
      <c r="N546" s="1814"/>
      <c r="O546" s="5302"/>
      <c r="P546" s="5595"/>
      <c r="Q546" s="1814"/>
      <c r="R546" s="2468"/>
      <c r="S546" s="276"/>
      <c r="T546" s="99"/>
      <c r="U546" s="138"/>
      <c r="V546" s="138"/>
      <c r="W546" s="299" t="s">
        <v>193</v>
      </c>
      <c r="X546" s="264"/>
      <c r="Y546" s="277"/>
      <c r="Z546" s="187"/>
      <c r="AA546" s="6301"/>
      <c r="AB546" s="139"/>
      <c r="AC546" s="139"/>
      <c r="AD546" s="139"/>
      <c r="AE546" s="139"/>
      <c r="AF546" s="139"/>
      <c r="AG546" s="139"/>
      <c r="AH546" s="139"/>
      <c r="AI546" s="139"/>
      <c r="AJ546" s="139"/>
      <c r="AK546" s="139"/>
      <c r="AL546" s="139"/>
      <c r="AM546" s="139"/>
      <c r="AN546" s="139"/>
      <c r="AO546" s="139"/>
      <c r="AP546" s="139"/>
      <c r="AQ546" s="139"/>
      <c r="AR546" s="139"/>
      <c r="AS546" s="139"/>
      <c r="AT546" s="139"/>
      <c r="AU546" s="139"/>
      <c r="AV546" s="139"/>
      <c r="AW546" s="139"/>
      <c r="AX546" s="139"/>
      <c r="AY546" s="139"/>
      <c r="AZ546" s="139"/>
      <c r="BA546" s="139"/>
      <c r="BB546" s="139"/>
      <c r="BC546" s="139"/>
      <c r="BD546" s="139"/>
      <c r="BE546" s="139"/>
      <c r="BF546" s="139"/>
      <c r="BG546" s="139"/>
      <c r="BH546" s="139"/>
    </row>
    <row r="547" spans="2:60" s="11" customFormat="1" ht="19.899999999999999" customHeight="1">
      <c r="B547" s="5590"/>
      <c r="C547" s="5598"/>
      <c r="D547" s="9598" t="s">
        <v>140</v>
      </c>
      <c r="E547" s="9600"/>
      <c r="F547" s="492" t="s">
        <v>344</v>
      </c>
      <c r="G547" s="253"/>
      <c r="H547" s="286"/>
      <c r="I547" s="9582" t="s">
        <v>141</v>
      </c>
      <c r="J547" s="9583"/>
      <c r="K547" s="492" t="s">
        <v>344</v>
      </c>
      <c r="L547" s="2557"/>
      <c r="M547" s="5610"/>
      <c r="N547" s="2554"/>
      <c r="O547" s="2815"/>
      <c r="P547" s="5666"/>
      <c r="Q547" s="2554"/>
      <c r="R547" s="2468"/>
      <c r="S547" s="276"/>
      <c r="T547" s="99"/>
      <c r="U547" s="138"/>
      <c r="V547" s="138"/>
      <c r="W547" s="299" t="s">
        <v>193</v>
      </c>
      <c r="X547" s="264"/>
      <c r="Y547" s="277"/>
      <c r="Z547" s="187"/>
      <c r="AA547" s="6301"/>
      <c r="AB547" s="139"/>
      <c r="AC547" s="139"/>
      <c r="AD547" s="139"/>
      <c r="AE547" s="139"/>
      <c r="AF547" s="139"/>
      <c r="AG547" s="139"/>
      <c r="AH547" s="139"/>
      <c r="AI547" s="139"/>
      <c r="AJ547" s="139"/>
      <c r="AK547" s="139"/>
      <c r="AL547" s="139"/>
      <c r="AM547" s="139"/>
      <c r="AN547" s="139"/>
      <c r="AO547" s="139"/>
      <c r="AP547" s="139"/>
      <c r="AQ547" s="139"/>
      <c r="AR547" s="139"/>
      <c r="AS547" s="139"/>
      <c r="AT547" s="139"/>
      <c r="AU547" s="139"/>
      <c r="AV547" s="139"/>
      <c r="AW547" s="139"/>
      <c r="AX547" s="139"/>
      <c r="AY547" s="139"/>
      <c r="AZ547" s="139"/>
      <c r="BA547" s="139"/>
      <c r="BB547" s="139"/>
      <c r="BC547" s="139"/>
      <c r="BD547" s="139"/>
      <c r="BE547" s="139"/>
      <c r="BF547" s="139"/>
      <c r="BG547" s="139"/>
      <c r="BH547" s="139"/>
    </row>
    <row r="548" spans="2:60" s="11" customFormat="1" ht="19.899999999999999" customHeight="1">
      <c r="B548" s="5590"/>
      <c r="C548" s="5598"/>
      <c r="D548" s="9598" t="s">
        <v>143</v>
      </c>
      <c r="E548" s="9600"/>
      <c r="F548" s="492" t="s">
        <v>344</v>
      </c>
      <c r="G548" s="253"/>
      <c r="H548" s="286"/>
      <c r="I548" s="9582" t="s">
        <v>144</v>
      </c>
      <c r="J548" s="9583"/>
      <c r="K548" s="492" t="s">
        <v>344</v>
      </c>
      <c r="L548" s="5592"/>
      <c r="M548" s="5656"/>
      <c r="N548" s="5593"/>
      <c r="O548" s="5593"/>
      <c r="P548" s="5593"/>
      <c r="Q548" s="5593"/>
      <c r="R548" s="2468"/>
      <c r="S548" s="276"/>
      <c r="T548" s="99"/>
      <c r="U548" s="138"/>
      <c r="V548" s="138"/>
      <c r="W548" s="299" t="s">
        <v>193</v>
      </c>
      <c r="X548" s="264"/>
      <c r="Y548" s="277"/>
      <c r="Z548" s="187"/>
      <c r="AA548" s="6301"/>
      <c r="AB548" s="139"/>
      <c r="AC548" s="139"/>
      <c r="AD548" s="139"/>
      <c r="AE548" s="139"/>
      <c r="AF548" s="139"/>
      <c r="AG548" s="139"/>
      <c r="AH548" s="139"/>
      <c r="AI548" s="139"/>
      <c r="AJ548" s="139"/>
      <c r="AK548" s="139"/>
      <c r="AL548" s="139"/>
      <c r="AM548" s="139"/>
      <c r="AN548" s="139"/>
      <c r="AO548" s="139"/>
      <c r="AP548" s="139"/>
      <c r="AQ548" s="139"/>
      <c r="AR548" s="139"/>
      <c r="AS548" s="139"/>
      <c r="AT548" s="139"/>
      <c r="AU548" s="139"/>
      <c r="AV548" s="139"/>
      <c r="AW548" s="139"/>
      <c r="AX548" s="139"/>
      <c r="AY548" s="139"/>
      <c r="AZ548" s="139"/>
      <c r="BA548" s="139"/>
      <c r="BB548" s="139"/>
      <c r="BC548" s="139"/>
      <c r="BD548" s="139"/>
      <c r="BE548" s="139"/>
      <c r="BF548" s="139"/>
      <c r="BG548" s="139"/>
      <c r="BH548" s="139"/>
    </row>
    <row r="549" spans="2:60" s="11" customFormat="1" ht="19.899999999999999" customHeight="1">
      <c r="B549" s="5590"/>
      <c r="C549" s="5598"/>
      <c r="D549" s="9598" t="s">
        <v>631</v>
      </c>
      <c r="E549" s="9600"/>
      <c r="F549" s="492" t="s">
        <v>344</v>
      </c>
      <c r="G549" s="253"/>
      <c r="H549" s="286"/>
      <c r="I549" s="9582" t="s">
        <v>147</v>
      </c>
      <c r="J549" s="9583"/>
      <c r="K549" s="492" t="s">
        <v>344</v>
      </c>
      <c r="L549" s="5592"/>
      <c r="M549" s="5656"/>
      <c r="N549" s="5593"/>
      <c r="O549" s="5593"/>
      <c r="P549" s="5593"/>
      <c r="Q549" s="5593"/>
      <c r="R549" s="2468"/>
      <c r="S549" s="276"/>
      <c r="T549" s="99"/>
      <c r="U549" s="138"/>
      <c r="V549" s="138"/>
      <c r="W549" s="299" t="s">
        <v>193</v>
      </c>
      <c r="X549" s="264"/>
      <c r="Y549" s="277"/>
      <c r="Z549" s="187"/>
      <c r="AA549" s="6301"/>
      <c r="AB549" s="139"/>
      <c r="AC549" s="139"/>
      <c r="AD549" s="139"/>
      <c r="AE549" s="139"/>
      <c r="AF549" s="139"/>
      <c r="AG549" s="139"/>
      <c r="AH549" s="139"/>
      <c r="AI549" s="139"/>
      <c r="AJ549" s="139"/>
      <c r="AK549" s="139"/>
      <c r="AL549" s="139"/>
      <c r="AM549" s="139"/>
      <c r="AN549" s="139"/>
      <c r="AO549" s="139"/>
      <c r="AP549" s="139"/>
      <c r="AQ549" s="139"/>
      <c r="AR549" s="139"/>
      <c r="AS549" s="139"/>
      <c r="AT549" s="139"/>
      <c r="AU549" s="139"/>
      <c r="AV549" s="139"/>
      <c r="AW549" s="139"/>
      <c r="AX549" s="139"/>
      <c r="AY549" s="139"/>
      <c r="AZ549" s="139"/>
      <c r="BA549" s="139"/>
      <c r="BB549" s="139"/>
      <c r="BC549" s="139"/>
      <c r="BD549" s="139"/>
      <c r="BE549" s="139"/>
      <c r="BF549" s="139"/>
      <c r="BG549" s="139"/>
      <c r="BH549" s="139"/>
    </row>
    <row r="550" spans="2:60" s="11" customFormat="1" ht="19.899999999999999" customHeight="1">
      <c r="B550" s="5590"/>
      <c r="C550" s="5598"/>
      <c r="D550" s="9598" t="s">
        <v>633</v>
      </c>
      <c r="E550" s="9600"/>
      <c r="F550" s="492" t="s">
        <v>344</v>
      </c>
      <c r="G550" s="253"/>
      <c r="H550" s="286"/>
      <c r="I550" s="9582" t="s">
        <v>150</v>
      </c>
      <c r="J550" s="9583"/>
      <c r="K550" s="492" t="s">
        <v>344</v>
      </c>
      <c r="L550" s="5592"/>
      <c r="M550" s="5656"/>
      <c r="N550" s="5593"/>
      <c r="O550" s="5593"/>
      <c r="P550" s="5593"/>
      <c r="Q550" s="5593"/>
      <c r="R550" s="2468"/>
      <c r="S550" s="276"/>
      <c r="T550" s="99"/>
      <c r="U550" s="138"/>
      <c r="V550" s="138"/>
      <c r="W550" s="299" t="s">
        <v>193</v>
      </c>
      <c r="X550" s="264"/>
      <c r="Y550" s="277"/>
      <c r="Z550" s="187"/>
      <c r="AA550" s="6301"/>
      <c r="AB550" s="139"/>
      <c r="AC550" s="139"/>
      <c r="AD550" s="139"/>
      <c r="AE550" s="139"/>
      <c r="AF550" s="139"/>
      <c r="AG550" s="139"/>
      <c r="AH550" s="139"/>
      <c r="AI550" s="139"/>
      <c r="AJ550" s="139"/>
      <c r="AK550" s="139"/>
      <c r="AL550" s="139"/>
      <c r="AM550" s="139"/>
      <c r="AN550" s="139"/>
      <c r="AO550" s="139"/>
      <c r="AP550" s="139"/>
      <c r="AQ550" s="139"/>
      <c r="AR550" s="139"/>
      <c r="AS550" s="139"/>
      <c r="AT550" s="139"/>
      <c r="AU550" s="139"/>
      <c r="AV550" s="139"/>
      <c r="AW550" s="139"/>
      <c r="AX550" s="139"/>
      <c r="AY550" s="139"/>
      <c r="AZ550" s="139"/>
      <c r="BA550" s="139"/>
      <c r="BB550" s="139"/>
      <c r="BC550" s="139"/>
      <c r="BD550" s="139"/>
      <c r="BE550" s="139"/>
      <c r="BF550" s="139"/>
      <c r="BG550" s="139"/>
      <c r="BH550" s="139"/>
    </row>
    <row r="551" spans="2:60" s="11" customFormat="1" ht="20.100000000000001" customHeight="1">
      <c r="B551" s="1360"/>
      <c r="C551" s="5598"/>
      <c r="D551" s="9637" t="s">
        <v>406</v>
      </c>
      <c r="E551" s="9638"/>
      <c r="F551" s="492" t="s">
        <v>344</v>
      </c>
      <c r="G551" s="337"/>
      <c r="H551" s="358"/>
      <c r="I551" s="9637" t="s">
        <v>407</v>
      </c>
      <c r="J551" s="9638"/>
      <c r="K551" s="492" t="s">
        <v>344</v>
      </c>
      <c r="L551" s="5653" t="str">
        <f>IF(COUNTBLANK(L552:L557)&gt;0,"미취합법인有",SUM(L552:L557))</f>
        <v>미취합법인有</v>
      </c>
      <c r="M551" s="5657"/>
      <c r="N551" s="5654" t="str">
        <f>IF(COUNTBLANK(N552:N557)&gt;0,"미취합법인有",SUM(N552:N557))</f>
        <v>미취합법인有</v>
      </c>
      <c r="O551" s="5663"/>
      <c r="P551" s="5781" t="str">
        <f>IF(COUNTBLANK(P552:P557)&gt;0,"미취합법인有",SUM(P552:P557))</f>
        <v>미취합법인有</v>
      </c>
      <c r="Q551" s="785"/>
      <c r="R551" s="782"/>
      <c r="S551" s="162"/>
      <c r="T551" s="99" t="s">
        <v>189</v>
      </c>
      <c r="U551" s="138"/>
      <c r="V551" s="138"/>
      <c r="W551" s="299" t="s">
        <v>193</v>
      </c>
      <c r="X551" s="265" t="s">
        <v>397</v>
      </c>
      <c r="Y551" s="265"/>
      <c r="Z551" s="187"/>
      <c r="AA551" s="6305"/>
      <c r="AB551" s="139"/>
      <c r="AC551" s="139"/>
      <c r="AD551" s="139"/>
      <c r="AE551" s="139"/>
      <c r="AF551" s="139"/>
      <c r="AG551" s="139"/>
      <c r="AH551" s="139"/>
      <c r="AI551" s="139"/>
      <c r="AJ551" s="139"/>
      <c r="AK551" s="139"/>
      <c r="AL551" s="139"/>
      <c r="AM551" s="139"/>
      <c r="AN551" s="139"/>
      <c r="AO551" s="139"/>
      <c r="AP551" s="139"/>
      <c r="AQ551" s="139"/>
      <c r="AR551" s="139"/>
      <c r="AS551" s="139"/>
      <c r="AT551" s="139"/>
      <c r="AU551" s="139"/>
      <c r="AV551" s="139"/>
      <c r="AW551" s="139"/>
      <c r="AX551" s="139"/>
      <c r="AY551" s="139"/>
      <c r="AZ551" s="139"/>
      <c r="BA551" s="139"/>
      <c r="BB551" s="139"/>
      <c r="BC551" s="139"/>
      <c r="BD551" s="139"/>
      <c r="BE551" s="139"/>
      <c r="BF551" s="139"/>
      <c r="BG551" s="139"/>
      <c r="BH551" s="139"/>
    </row>
    <row r="552" spans="2:60" s="11" customFormat="1" ht="19.899999999999999" customHeight="1">
      <c r="B552" s="5590"/>
      <c r="C552" s="5598"/>
      <c r="D552" s="9598" t="s">
        <v>134</v>
      </c>
      <c r="E552" s="9600"/>
      <c r="F552" s="492" t="s">
        <v>344</v>
      </c>
      <c r="G552" s="253"/>
      <c r="H552" s="286"/>
      <c r="I552" s="9579" t="s">
        <v>135</v>
      </c>
      <c r="J552" s="9581"/>
      <c r="K552" s="492" t="s">
        <v>344</v>
      </c>
      <c r="L552" s="5592"/>
      <c r="M552" s="5656" t="s">
        <v>369</v>
      </c>
      <c r="N552" s="5593"/>
      <c r="O552" s="5656" t="s">
        <v>369</v>
      </c>
      <c r="P552" s="5593"/>
      <c r="Q552" s="5656" t="s">
        <v>369</v>
      </c>
      <c r="R552" s="2468"/>
      <c r="S552" s="276"/>
      <c r="T552" s="99"/>
      <c r="U552" s="138"/>
      <c r="V552" s="138"/>
      <c r="W552" s="299" t="s">
        <v>193</v>
      </c>
      <c r="X552" s="264"/>
      <c r="Y552" s="277"/>
      <c r="Z552" s="187"/>
      <c r="AA552" s="6301"/>
      <c r="AB552" s="139"/>
      <c r="AC552" s="139"/>
      <c r="AD552" s="139"/>
      <c r="AE552" s="139"/>
      <c r="AF552" s="139"/>
      <c r="AG552" s="139"/>
      <c r="AH552" s="139"/>
      <c r="AI552" s="139"/>
      <c r="AJ552" s="139"/>
      <c r="AK552" s="139"/>
      <c r="AL552" s="139"/>
      <c r="AM552" s="139"/>
      <c r="AN552" s="139"/>
      <c r="AO552" s="139"/>
      <c r="AP552" s="139"/>
      <c r="AQ552" s="139"/>
      <c r="AR552" s="139"/>
      <c r="AS552" s="139"/>
      <c r="AT552" s="139"/>
      <c r="AU552" s="139"/>
      <c r="AV552" s="139"/>
      <c r="AW552" s="139"/>
      <c r="AX552" s="139"/>
      <c r="AY552" s="139"/>
      <c r="AZ552" s="139"/>
      <c r="BA552" s="139"/>
      <c r="BB552" s="139"/>
      <c r="BC552" s="139"/>
      <c r="BD552" s="139"/>
      <c r="BE552" s="139"/>
      <c r="BF552" s="139"/>
      <c r="BG552" s="139"/>
      <c r="BH552" s="139"/>
    </row>
    <row r="553" spans="2:60" s="11" customFormat="1" ht="19.899999999999999" customHeight="1">
      <c r="B553" s="5590"/>
      <c r="C553" s="5598"/>
      <c r="D553" s="9598" t="s">
        <v>137</v>
      </c>
      <c r="E553" s="9600"/>
      <c r="F553" s="492" t="s">
        <v>344</v>
      </c>
      <c r="G553" s="253"/>
      <c r="H553" s="286"/>
      <c r="I553" s="9579" t="s">
        <v>138</v>
      </c>
      <c r="J553" s="9581"/>
      <c r="K553" s="492" t="s">
        <v>344</v>
      </c>
      <c r="L553" s="5594"/>
      <c r="M553" s="5658"/>
      <c r="N553" s="1814"/>
      <c r="O553" s="5302"/>
      <c r="P553" s="5595"/>
      <c r="Q553" s="1814"/>
      <c r="R553" s="2468"/>
      <c r="S553" s="276"/>
      <c r="T553" s="99"/>
      <c r="U553" s="138"/>
      <c r="V553" s="138"/>
      <c r="W553" s="299" t="s">
        <v>193</v>
      </c>
      <c r="X553" s="264"/>
      <c r="Y553" s="277"/>
      <c r="Z553" s="187"/>
      <c r="AA553" s="6301"/>
      <c r="AB553" s="139"/>
      <c r="AC553" s="139"/>
      <c r="AD553" s="139"/>
      <c r="AE553" s="139"/>
      <c r="AF553" s="139"/>
      <c r="AG553" s="139"/>
      <c r="AH553" s="139"/>
      <c r="AI553" s="139"/>
      <c r="AJ553" s="139"/>
      <c r="AK553" s="139"/>
      <c r="AL553" s="139"/>
      <c r="AM553" s="139"/>
      <c r="AN553" s="139"/>
      <c r="AO553" s="139"/>
      <c r="AP553" s="139"/>
      <c r="AQ553" s="139"/>
      <c r="AR553" s="139"/>
      <c r="AS553" s="139"/>
      <c r="AT553" s="139"/>
      <c r="AU553" s="139"/>
      <c r="AV553" s="139"/>
      <c r="AW553" s="139"/>
      <c r="AX553" s="139"/>
      <c r="AY553" s="139"/>
      <c r="AZ553" s="139"/>
      <c r="BA553" s="139"/>
      <c r="BB553" s="139"/>
      <c r="BC553" s="139"/>
      <c r="BD553" s="139"/>
      <c r="BE553" s="139"/>
      <c r="BF553" s="139"/>
      <c r="BG553" s="139"/>
      <c r="BH553" s="139"/>
    </row>
    <row r="554" spans="2:60" s="11" customFormat="1" ht="19.899999999999999" customHeight="1">
      <c r="B554" s="5590"/>
      <c r="C554" s="5598"/>
      <c r="D554" s="9598" t="s">
        <v>140</v>
      </c>
      <c r="E554" s="9600"/>
      <c r="F554" s="492" t="s">
        <v>344</v>
      </c>
      <c r="G554" s="253"/>
      <c r="H554" s="286"/>
      <c r="I554" s="9582" t="s">
        <v>141</v>
      </c>
      <c r="J554" s="9583"/>
      <c r="K554" s="492" t="s">
        <v>344</v>
      </c>
      <c r="L554" s="2557"/>
      <c r="M554" s="5610"/>
      <c r="N554" s="2554"/>
      <c r="O554" s="2815"/>
      <c r="P554" s="5666"/>
      <c r="Q554" s="2554"/>
      <c r="R554" s="2468"/>
      <c r="S554" s="276"/>
      <c r="T554" s="99"/>
      <c r="U554" s="138"/>
      <c r="V554" s="138"/>
      <c r="W554" s="299" t="s">
        <v>193</v>
      </c>
      <c r="X554" s="264"/>
      <c r="Y554" s="277"/>
      <c r="Z554" s="187"/>
      <c r="AA554" s="6301"/>
      <c r="AB554" s="139"/>
      <c r="AC554" s="139"/>
      <c r="AD554" s="139"/>
      <c r="AE554" s="139"/>
      <c r="AF554" s="139"/>
      <c r="AG554" s="139"/>
      <c r="AH554" s="139"/>
      <c r="AI554" s="139"/>
      <c r="AJ554" s="139"/>
      <c r="AK554" s="139"/>
      <c r="AL554" s="139"/>
      <c r="AM554" s="139"/>
      <c r="AN554" s="139"/>
      <c r="AO554" s="139"/>
      <c r="AP554" s="139"/>
      <c r="AQ554" s="139"/>
      <c r="AR554" s="139"/>
      <c r="AS554" s="139"/>
      <c r="AT554" s="139"/>
      <c r="AU554" s="139"/>
      <c r="AV554" s="139"/>
      <c r="AW554" s="139"/>
      <c r="AX554" s="139"/>
      <c r="AY554" s="139"/>
      <c r="AZ554" s="139"/>
      <c r="BA554" s="139"/>
      <c r="BB554" s="139"/>
      <c r="BC554" s="139"/>
      <c r="BD554" s="139"/>
      <c r="BE554" s="139"/>
      <c r="BF554" s="139"/>
      <c r="BG554" s="139"/>
      <c r="BH554" s="139"/>
    </row>
    <row r="555" spans="2:60" s="11" customFormat="1" ht="19.899999999999999" customHeight="1">
      <c r="B555" s="5590"/>
      <c r="C555" s="5598"/>
      <c r="D555" s="9598" t="s">
        <v>143</v>
      </c>
      <c r="E555" s="9600"/>
      <c r="F555" s="492" t="s">
        <v>344</v>
      </c>
      <c r="G555" s="253"/>
      <c r="H555" s="286"/>
      <c r="I555" s="9582" t="s">
        <v>144</v>
      </c>
      <c r="J555" s="9583"/>
      <c r="K555" s="492" t="s">
        <v>344</v>
      </c>
      <c r="L555" s="5592"/>
      <c r="M555" s="5656"/>
      <c r="N555" s="5593"/>
      <c r="O555" s="5593"/>
      <c r="P555" s="5593"/>
      <c r="Q555" s="5593"/>
      <c r="R555" s="2468"/>
      <c r="S555" s="276"/>
      <c r="T555" s="99"/>
      <c r="U555" s="138"/>
      <c r="V555" s="138"/>
      <c r="W555" s="299" t="s">
        <v>193</v>
      </c>
      <c r="X555" s="264"/>
      <c r="Y555" s="277"/>
      <c r="Z555" s="187"/>
      <c r="AA555" s="6301"/>
      <c r="AB555" s="139"/>
      <c r="AC555" s="139"/>
      <c r="AD555" s="139"/>
      <c r="AE555" s="139"/>
      <c r="AF555" s="139"/>
      <c r="AG555" s="139"/>
      <c r="AH555" s="139"/>
      <c r="AI555" s="139"/>
      <c r="AJ555" s="139"/>
      <c r="AK555" s="139"/>
      <c r="AL555" s="139"/>
      <c r="AM555" s="139"/>
      <c r="AN555" s="139"/>
      <c r="AO555" s="139"/>
      <c r="AP555" s="139"/>
      <c r="AQ555" s="139"/>
      <c r="AR555" s="139"/>
      <c r="AS555" s="139"/>
      <c r="AT555" s="139"/>
      <c r="AU555" s="139"/>
      <c r="AV555" s="139"/>
      <c r="AW555" s="139"/>
      <c r="AX555" s="139"/>
      <c r="AY555" s="139"/>
      <c r="AZ555" s="139"/>
      <c r="BA555" s="139"/>
      <c r="BB555" s="139"/>
      <c r="BC555" s="139"/>
      <c r="BD555" s="139"/>
      <c r="BE555" s="139"/>
      <c r="BF555" s="139"/>
      <c r="BG555" s="139"/>
      <c r="BH555" s="139"/>
    </row>
    <row r="556" spans="2:60" s="11" customFormat="1" ht="19.899999999999999" customHeight="1">
      <c r="B556" s="5590"/>
      <c r="C556" s="5598"/>
      <c r="D556" s="9598" t="s">
        <v>631</v>
      </c>
      <c r="E556" s="9600"/>
      <c r="F556" s="492" t="s">
        <v>344</v>
      </c>
      <c r="G556" s="253"/>
      <c r="H556" s="286"/>
      <c r="I556" s="9582" t="s">
        <v>147</v>
      </c>
      <c r="J556" s="9583"/>
      <c r="K556" s="492" t="s">
        <v>344</v>
      </c>
      <c r="L556" s="5592"/>
      <c r="M556" s="5656"/>
      <c r="N556" s="5593"/>
      <c r="O556" s="5593"/>
      <c r="P556" s="5593"/>
      <c r="Q556" s="5593"/>
      <c r="R556" s="2468"/>
      <c r="S556" s="276"/>
      <c r="T556" s="99"/>
      <c r="U556" s="138"/>
      <c r="V556" s="138"/>
      <c r="W556" s="299" t="s">
        <v>193</v>
      </c>
      <c r="X556" s="264"/>
      <c r="Y556" s="277"/>
      <c r="Z556" s="187"/>
      <c r="AA556" s="6301"/>
      <c r="AB556" s="139"/>
      <c r="AC556" s="139"/>
      <c r="AD556" s="139"/>
      <c r="AE556" s="139"/>
      <c r="AF556" s="139"/>
      <c r="AG556" s="139"/>
      <c r="AH556" s="139"/>
      <c r="AI556" s="139"/>
      <c r="AJ556" s="139"/>
      <c r="AK556" s="139"/>
      <c r="AL556" s="139"/>
      <c r="AM556" s="139"/>
      <c r="AN556" s="139"/>
      <c r="AO556" s="139"/>
      <c r="AP556" s="139"/>
      <c r="AQ556" s="139"/>
      <c r="AR556" s="139"/>
      <c r="AS556" s="139"/>
      <c r="AT556" s="139"/>
      <c r="AU556" s="139"/>
      <c r="AV556" s="139"/>
      <c r="AW556" s="139"/>
      <c r="AX556" s="139"/>
      <c r="AY556" s="139"/>
      <c r="AZ556" s="139"/>
      <c r="BA556" s="139"/>
      <c r="BB556" s="139"/>
      <c r="BC556" s="139"/>
      <c r="BD556" s="139"/>
      <c r="BE556" s="139"/>
      <c r="BF556" s="139"/>
      <c r="BG556" s="139"/>
      <c r="BH556" s="139"/>
    </row>
    <row r="557" spans="2:60" s="11" customFormat="1" ht="19.899999999999999" customHeight="1">
      <c r="B557" s="5590"/>
      <c r="C557" s="5598"/>
      <c r="D557" s="9598" t="s">
        <v>633</v>
      </c>
      <c r="E557" s="9600"/>
      <c r="F557" s="492" t="s">
        <v>344</v>
      </c>
      <c r="G557" s="253"/>
      <c r="H557" s="286"/>
      <c r="I557" s="9582" t="s">
        <v>150</v>
      </c>
      <c r="J557" s="9583"/>
      <c r="K557" s="492" t="s">
        <v>344</v>
      </c>
      <c r="L557" s="5592"/>
      <c r="M557" s="5656"/>
      <c r="N557" s="5593"/>
      <c r="O557" s="5593"/>
      <c r="P557" s="5593"/>
      <c r="Q557" s="5593"/>
      <c r="R557" s="2468"/>
      <c r="S557" s="276"/>
      <c r="T557" s="99"/>
      <c r="U557" s="138"/>
      <c r="V557" s="138"/>
      <c r="W557" s="299" t="s">
        <v>193</v>
      </c>
      <c r="X557" s="264"/>
      <c r="Y557" s="277"/>
      <c r="Z557" s="187"/>
      <c r="AA557" s="6301"/>
      <c r="AB557" s="139"/>
      <c r="AC557" s="139"/>
      <c r="AD557" s="139"/>
      <c r="AE557" s="139"/>
      <c r="AF557" s="139"/>
      <c r="AG557" s="139"/>
      <c r="AH557" s="139"/>
      <c r="AI557" s="139"/>
      <c r="AJ557" s="139"/>
      <c r="AK557" s="139"/>
      <c r="AL557" s="139"/>
      <c r="AM557" s="139"/>
      <c r="AN557" s="139"/>
      <c r="AO557" s="139"/>
      <c r="AP557" s="139"/>
      <c r="AQ557" s="139"/>
      <c r="AR557" s="139"/>
      <c r="AS557" s="139"/>
      <c r="AT557" s="139"/>
      <c r="AU557" s="139"/>
      <c r="AV557" s="139"/>
      <c r="AW557" s="139"/>
      <c r="AX557" s="139"/>
      <c r="AY557" s="139"/>
      <c r="AZ557" s="139"/>
      <c r="BA557" s="139"/>
      <c r="BB557" s="139"/>
      <c r="BC557" s="139"/>
      <c r="BD557" s="139"/>
      <c r="BE557" s="139"/>
      <c r="BF557" s="139"/>
      <c r="BG557" s="139"/>
      <c r="BH557" s="139"/>
    </row>
    <row r="558" spans="2:60" s="11" customFormat="1" ht="20.100000000000001" customHeight="1">
      <c r="B558" s="1360"/>
      <c r="C558" s="5598"/>
      <c r="D558" s="9637" t="s">
        <v>408</v>
      </c>
      <c r="E558" s="9638"/>
      <c r="F558" s="492" t="s">
        <v>344</v>
      </c>
      <c r="G558" s="384"/>
      <c r="H558" s="358"/>
      <c r="I558" s="9637" t="s">
        <v>409</v>
      </c>
      <c r="J558" s="9638"/>
      <c r="K558" s="6131" t="s">
        <v>344</v>
      </c>
      <c r="L558" s="5657" t="str">
        <f>IF(COUNTBLANK(L559:L564)&gt;0,"미취합법인有",SUM(L559:L564))</f>
        <v>미취합법인有</v>
      </c>
      <c r="M558" s="5657"/>
      <c r="N558" s="5654" t="str">
        <f>IF(COUNTBLANK(N559:N564)&gt;0,"미취합법인有",SUM(N559:N564))</f>
        <v>미취합법인有</v>
      </c>
      <c r="O558" s="5663"/>
      <c r="P558" s="5781" t="str">
        <f>IF(COUNTBLANK(P559:P564)&gt;0,"미취합법인有",SUM(P559:P564))</f>
        <v>미취합법인有</v>
      </c>
      <c r="Q558" s="785"/>
      <c r="R558" s="782"/>
      <c r="S558" s="162"/>
      <c r="T558" s="99" t="s">
        <v>189</v>
      </c>
      <c r="U558" s="138"/>
      <c r="V558" s="138"/>
      <c r="W558" s="299" t="s">
        <v>193</v>
      </c>
      <c r="X558" s="265" t="s">
        <v>397</v>
      </c>
      <c r="Y558" s="265"/>
      <c r="Z558" s="187"/>
      <c r="AA558" s="6305"/>
      <c r="AB558" s="139"/>
      <c r="AC558" s="139"/>
      <c r="AD558" s="139"/>
      <c r="AE558" s="139"/>
      <c r="AF558" s="139"/>
      <c r="AG558" s="139"/>
      <c r="AH558" s="139"/>
      <c r="AI558" s="139"/>
      <c r="AJ558" s="139"/>
      <c r="AK558" s="139"/>
      <c r="AL558" s="139"/>
      <c r="AM558" s="139"/>
      <c r="AN558" s="139"/>
      <c r="AO558" s="139"/>
      <c r="AP558" s="139"/>
      <c r="AQ558" s="139"/>
      <c r="AR558" s="139"/>
      <c r="AS558" s="139"/>
      <c r="AT558" s="139"/>
      <c r="AU558" s="139"/>
      <c r="AV558" s="139"/>
      <c r="AW558" s="139"/>
      <c r="AX558" s="139"/>
      <c r="AY558" s="139"/>
      <c r="AZ558" s="139"/>
      <c r="BA558" s="139"/>
      <c r="BB558" s="139"/>
      <c r="BC558" s="139"/>
      <c r="BD558" s="139"/>
      <c r="BE558" s="139"/>
      <c r="BF558" s="139"/>
      <c r="BG558" s="139"/>
      <c r="BH558" s="139"/>
    </row>
    <row r="559" spans="2:60" s="11" customFormat="1" ht="19.899999999999999" customHeight="1">
      <c r="B559" s="5590"/>
      <c r="C559" s="5598"/>
      <c r="D559" s="9598" t="s">
        <v>134</v>
      </c>
      <c r="E559" s="9600"/>
      <c r="F559" s="492" t="s">
        <v>344</v>
      </c>
      <c r="G559" s="1918"/>
      <c r="H559" s="286"/>
      <c r="I559" s="9627" t="s">
        <v>135</v>
      </c>
      <c r="J559" s="9629"/>
      <c r="K559" s="492" t="s">
        <v>344</v>
      </c>
      <c r="L559" s="5592"/>
      <c r="M559" s="5656" t="s">
        <v>369</v>
      </c>
      <c r="N559" s="5593"/>
      <c r="O559" s="5656" t="s">
        <v>369</v>
      </c>
      <c r="P559" s="5593"/>
      <c r="Q559" s="5656" t="s">
        <v>369</v>
      </c>
      <c r="R559" s="2468"/>
      <c r="S559" s="276"/>
      <c r="T559" s="99"/>
      <c r="U559" s="138"/>
      <c r="V559" s="138"/>
      <c r="W559" s="299" t="s">
        <v>193</v>
      </c>
      <c r="X559" s="264"/>
      <c r="Y559" s="277"/>
      <c r="Z559" s="187"/>
      <c r="AA559" s="6301"/>
      <c r="AB559" s="139"/>
      <c r="AC559" s="139"/>
      <c r="AD559" s="139"/>
      <c r="AE559" s="139"/>
      <c r="AF559" s="139"/>
      <c r="AG559" s="139"/>
      <c r="AH559" s="139"/>
      <c r="AI559" s="139"/>
      <c r="AJ559" s="139"/>
      <c r="AK559" s="139"/>
      <c r="AL559" s="139"/>
      <c r="AM559" s="139"/>
      <c r="AN559" s="139"/>
      <c r="AO559" s="139"/>
      <c r="AP559" s="139"/>
      <c r="AQ559" s="139"/>
      <c r="AR559" s="139"/>
      <c r="AS559" s="139"/>
      <c r="AT559" s="139"/>
      <c r="AU559" s="139"/>
      <c r="AV559" s="139"/>
      <c r="AW559" s="139"/>
      <c r="AX559" s="139"/>
      <c r="AY559" s="139"/>
      <c r="AZ559" s="139"/>
      <c r="BA559" s="139"/>
      <c r="BB559" s="139"/>
      <c r="BC559" s="139"/>
      <c r="BD559" s="139"/>
      <c r="BE559" s="139"/>
      <c r="BF559" s="139"/>
      <c r="BG559" s="139"/>
      <c r="BH559" s="139"/>
    </row>
    <row r="560" spans="2:60" s="11" customFormat="1" ht="19.899999999999999" customHeight="1">
      <c r="B560" s="5590"/>
      <c r="C560" s="5598"/>
      <c r="D560" s="9598" t="s">
        <v>137</v>
      </c>
      <c r="E560" s="9600"/>
      <c r="F560" s="492" t="s">
        <v>344</v>
      </c>
      <c r="G560" s="253"/>
      <c r="H560" s="286"/>
      <c r="I560" s="9579" t="s">
        <v>138</v>
      </c>
      <c r="J560" s="9581"/>
      <c r="K560" s="492" t="s">
        <v>344</v>
      </c>
      <c r="L560" s="5594"/>
      <c r="M560" s="5658"/>
      <c r="N560" s="1814"/>
      <c r="O560" s="5302"/>
      <c r="P560" s="5595"/>
      <c r="Q560" s="1814"/>
      <c r="R560" s="2468"/>
      <c r="S560" s="276"/>
      <c r="T560" s="99"/>
      <c r="U560" s="138"/>
      <c r="V560" s="138"/>
      <c r="W560" s="299" t="s">
        <v>193</v>
      </c>
      <c r="X560" s="264"/>
      <c r="Y560" s="277"/>
      <c r="Z560" s="187"/>
      <c r="AA560" s="6301"/>
      <c r="AB560" s="139"/>
      <c r="AC560" s="139"/>
      <c r="AD560" s="139"/>
      <c r="AE560" s="139"/>
      <c r="AF560" s="139"/>
      <c r="AG560" s="139"/>
      <c r="AH560" s="139"/>
      <c r="AI560" s="139"/>
      <c r="AJ560" s="139"/>
      <c r="AK560" s="139"/>
      <c r="AL560" s="139"/>
      <c r="AM560" s="139"/>
      <c r="AN560" s="139"/>
      <c r="AO560" s="139"/>
      <c r="AP560" s="139"/>
      <c r="AQ560" s="139"/>
      <c r="AR560" s="139"/>
      <c r="AS560" s="139"/>
      <c r="AT560" s="139"/>
      <c r="AU560" s="139"/>
      <c r="AV560" s="139"/>
      <c r="AW560" s="139"/>
      <c r="AX560" s="139"/>
      <c r="AY560" s="139"/>
      <c r="AZ560" s="139"/>
      <c r="BA560" s="139"/>
      <c r="BB560" s="139"/>
      <c r="BC560" s="139"/>
      <c r="BD560" s="139"/>
      <c r="BE560" s="139"/>
      <c r="BF560" s="139"/>
      <c r="BG560" s="139"/>
      <c r="BH560" s="139"/>
    </row>
    <row r="561" spans="2:60" s="11" customFormat="1" ht="19.899999999999999" customHeight="1">
      <c r="B561" s="5590"/>
      <c r="C561" s="5598"/>
      <c r="D561" s="9598" t="s">
        <v>140</v>
      </c>
      <c r="E561" s="9600"/>
      <c r="F561" s="492" t="s">
        <v>344</v>
      </c>
      <c r="G561" s="253"/>
      <c r="H561" s="286"/>
      <c r="I561" s="9582" t="s">
        <v>141</v>
      </c>
      <c r="J561" s="9583"/>
      <c r="K561" s="492" t="s">
        <v>344</v>
      </c>
      <c r="L561" s="2557"/>
      <c r="M561" s="5610"/>
      <c r="N561" s="2554"/>
      <c r="O561" s="2815"/>
      <c r="P561" s="5666"/>
      <c r="Q561" s="2554"/>
      <c r="R561" s="2468"/>
      <c r="S561" s="276"/>
      <c r="T561" s="99"/>
      <c r="U561" s="138"/>
      <c r="V561" s="138"/>
      <c r="W561" s="299" t="s">
        <v>193</v>
      </c>
      <c r="X561" s="264"/>
      <c r="Y561" s="277"/>
      <c r="Z561" s="187"/>
      <c r="AA561" s="6301"/>
      <c r="AB561" s="139"/>
      <c r="AC561" s="139"/>
      <c r="AD561" s="139"/>
      <c r="AE561" s="139"/>
      <c r="AF561" s="139"/>
      <c r="AG561" s="139"/>
      <c r="AH561" s="139"/>
      <c r="AI561" s="139"/>
      <c r="AJ561" s="139"/>
      <c r="AK561" s="139"/>
      <c r="AL561" s="139"/>
      <c r="AM561" s="139"/>
      <c r="AN561" s="139"/>
      <c r="AO561" s="139"/>
      <c r="AP561" s="139"/>
      <c r="AQ561" s="139"/>
      <c r="AR561" s="139"/>
      <c r="AS561" s="139"/>
      <c r="AT561" s="139"/>
      <c r="AU561" s="139"/>
      <c r="AV561" s="139"/>
      <c r="AW561" s="139"/>
      <c r="AX561" s="139"/>
      <c r="AY561" s="139"/>
      <c r="AZ561" s="139"/>
      <c r="BA561" s="139"/>
      <c r="BB561" s="139"/>
      <c r="BC561" s="139"/>
      <c r="BD561" s="139"/>
      <c r="BE561" s="139"/>
      <c r="BF561" s="139"/>
      <c r="BG561" s="139"/>
      <c r="BH561" s="139"/>
    </row>
    <row r="562" spans="2:60" s="11" customFormat="1" ht="19.899999999999999" customHeight="1">
      <c r="B562" s="5590"/>
      <c r="C562" s="5598"/>
      <c r="D562" s="9598" t="s">
        <v>143</v>
      </c>
      <c r="E562" s="9600"/>
      <c r="F562" s="492" t="s">
        <v>344</v>
      </c>
      <c r="G562" s="253"/>
      <c r="H562" s="286"/>
      <c r="I562" s="9582" t="s">
        <v>144</v>
      </c>
      <c r="J562" s="9583"/>
      <c r="K562" s="492" t="s">
        <v>344</v>
      </c>
      <c r="L562" s="5592"/>
      <c r="M562" s="5656"/>
      <c r="N562" s="5593"/>
      <c r="O562" s="5593"/>
      <c r="P562" s="5593"/>
      <c r="Q562" s="5593"/>
      <c r="R562" s="2468"/>
      <c r="S562" s="276"/>
      <c r="T562" s="99"/>
      <c r="U562" s="138"/>
      <c r="V562" s="138"/>
      <c r="W562" s="299" t="s">
        <v>193</v>
      </c>
      <c r="X562" s="264"/>
      <c r="Y562" s="277"/>
      <c r="Z562" s="187"/>
      <c r="AA562" s="6301"/>
      <c r="AB562" s="139"/>
      <c r="AC562" s="139"/>
      <c r="AD562" s="139"/>
      <c r="AE562" s="139"/>
      <c r="AF562" s="139"/>
      <c r="AG562" s="139"/>
      <c r="AH562" s="139"/>
      <c r="AI562" s="139"/>
      <c r="AJ562" s="139"/>
      <c r="AK562" s="139"/>
      <c r="AL562" s="139"/>
      <c r="AM562" s="139"/>
      <c r="AN562" s="139"/>
      <c r="AO562" s="139"/>
      <c r="AP562" s="139"/>
      <c r="AQ562" s="139"/>
      <c r="AR562" s="139"/>
      <c r="AS562" s="139"/>
      <c r="AT562" s="139"/>
      <c r="AU562" s="139"/>
      <c r="AV562" s="139"/>
      <c r="AW562" s="139"/>
      <c r="AX562" s="139"/>
      <c r="AY562" s="139"/>
      <c r="AZ562" s="139"/>
      <c r="BA562" s="139"/>
      <c r="BB562" s="139"/>
      <c r="BC562" s="139"/>
      <c r="BD562" s="139"/>
      <c r="BE562" s="139"/>
      <c r="BF562" s="139"/>
      <c r="BG562" s="139"/>
      <c r="BH562" s="139"/>
    </row>
    <row r="563" spans="2:60" s="11" customFormat="1" ht="19.899999999999999" customHeight="1">
      <c r="B563" s="5590"/>
      <c r="C563" s="5598"/>
      <c r="D563" s="9598" t="s">
        <v>631</v>
      </c>
      <c r="E563" s="9600"/>
      <c r="F563" s="492" t="s">
        <v>344</v>
      </c>
      <c r="G563" s="253"/>
      <c r="H563" s="286"/>
      <c r="I563" s="9582" t="s">
        <v>147</v>
      </c>
      <c r="J563" s="9583"/>
      <c r="K563" s="492" t="s">
        <v>344</v>
      </c>
      <c r="L563" s="5592"/>
      <c r="M563" s="5656"/>
      <c r="N563" s="5593"/>
      <c r="O563" s="5593"/>
      <c r="P563" s="5593"/>
      <c r="Q563" s="5593"/>
      <c r="R563" s="2468"/>
      <c r="S563" s="276"/>
      <c r="T563" s="99"/>
      <c r="U563" s="138"/>
      <c r="V563" s="138"/>
      <c r="W563" s="299" t="s">
        <v>193</v>
      </c>
      <c r="X563" s="264"/>
      <c r="Y563" s="277"/>
      <c r="Z563" s="187"/>
      <c r="AA563" s="6301"/>
      <c r="AB563" s="139"/>
      <c r="AC563" s="139"/>
      <c r="AD563" s="139"/>
      <c r="AE563" s="139"/>
      <c r="AF563" s="139"/>
      <c r="AG563" s="139"/>
      <c r="AH563" s="139"/>
      <c r="AI563" s="139"/>
      <c r="AJ563" s="139"/>
      <c r="AK563" s="139"/>
      <c r="AL563" s="139"/>
      <c r="AM563" s="139"/>
      <c r="AN563" s="139"/>
      <c r="AO563" s="139"/>
      <c r="AP563" s="139"/>
      <c r="AQ563" s="139"/>
      <c r="AR563" s="139"/>
      <c r="AS563" s="139"/>
      <c r="AT563" s="139"/>
      <c r="AU563" s="139"/>
      <c r="AV563" s="139"/>
      <c r="AW563" s="139"/>
      <c r="AX563" s="139"/>
      <c r="AY563" s="139"/>
      <c r="AZ563" s="139"/>
      <c r="BA563" s="139"/>
      <c r="BB563" s="139"/>
      <c r="BC563" s="139"/>
      <c r="BD563" s="139"/>
      <c r="BE563" s="139"/>
      <c r="BF563" s="139"/>
      <c r="BG563" s="139"/>
      <c r="BH563" s="139"/>
    </row>
    <row r="564" spans="2:60" s="11" customFormat="1" ht="19.899999999999999" customHeight="1" thickBot="1">
      <c r="B564" s="5590"/>
      <c r="C564" s="5598"/>
      <c r="D564" s="9598" t="s">
        <v>633</v>
      </c>
      <c r="E564" s="9600"/>
      <c r="F564" s="492" t="s">
        <v>344</v>
      </c>
      <c r="G564" s="1863"/>
      <c r="H564" s="1988"/>
      <c r="I564" s="9589" t="s">
        <v>150</v>
      </c>
      <c r="J564" s="9590"/>
      <c r="K564" s="492" t="s">
        <v>344</v>
      </c>
      <c r="L564" s="5592"/>
      <c r="M564" s="5656"/>
      <c r="N564" s="5593"/>
      <c r="O564" s="5593"/>
      <c r="P564" s="5593"/>
      <c r="Q564" s="5593"/>
      <c r="R564" s="2468"/>
      <c r="S564" s="276"/>
      <c r="T564" s="99"/>
      <c r="U564" s="138"/>
      <c r="V564" s="138"/>
      <c r="W564" s="299" t="s">
        <v>193</v>
      </c>
      <c r="X564" s="264"/>
      <c r="Y564" s="277"/>
      <c r="Z564" s="187"/>
      <c r="AA564" s="6301"/>
      <c r="AB564" s="139"/>
      <c r="AC564" s="139"/>
      <c r="AD564" s="139"/>
      <c r="AE564" s="139"/>
      <c r="AF564" s="139"/>
      <c r="AG564" s="139"/>
      <c r="AH564" s="139"/>
      <c r="AI564" s="139"/>
      <c r="AJ564" s="139"/>
      <c r="AK564" s="139"/>
      <c r="AL564" s="139"/>
      <c r="AM564" s="139"/>
      <c r="AN564" s="139"/>
      <c r="AO564" s="139"/>
      <c r="AP564" s="139"/>
      <c r="AQ564" s="139"/>
      <c r="AR564" s="139"/>
      <c r="AS564" s="139"/>
      <c r="AT564" s="139"/>
      <c r="AU564" s="139"/>
      <c r="AV564" s="139"/>
      <c r="AW564" s="139"/>
      <c r="AX564" s="139"/>
      <c r="AY564" s="139"/>
      <c r="AZ564" s="139"/>
      <c r="BA564" s="139"/>
      <c r="BB564" s="139"/>
      <c r="BC564" s="139"/>
      <c r="BD564" s="139"/>
      <c r="BE564" s="139"/>
      <c r="BF564" s="139"/>
      <c r="BG564" s="139"/>
      <c r="BH564" s="139"/>
    </row>
    <row r="565" spans="2:60" s="11" customFormat="1" ht="27" thickBot="1">
      <c r="B565" s="123" t="s">
        <v>410</v>
      </c>
      <c r="C565" s="124"/>
      <c r="D565" s="124"/>
      <c r="E565" s="124"/>
      <c r="F565" s="124"/>
      <c r="G565" s="519" t="s">
        <v>411</v>
      </c>
      <c r="H565" s="520"/>
      <c r="I565" s="521"/>
      <c r="J565" s="1979"/>
      <c r="K565" s="148"/>
      <c r="L565" s="5611"/>
      <c r="M565" s="5612"/>
      <c r="N565" s="5612"/>
      <c r="O565" s="5612"/>
      <c r="P565" s="5612"/>
      <c r="Q565" s="6109"/>
      <c r="R565" s="80"/>
      <c r="S565" s="432"/>
      <c r="T565" s="1641"/>
      <c r="U565" s="1641"/>
      <c r="V565" s="1641"/>
      <c r="W565" s="1641"/>
      <c r="X565" s="328"/>
      <c r="Y565" s="328"/>
      <c r="Z565" s="329"/>
      <c r="AA565" s="6301"/>
      <c r="AB565" s="139"/>
      <c r="AC565" s="139"/>
      <c r="AD565" s="139"/>
      <c r="AE565" s="139"/>
      <c r="AF565" s="139"/>
      <c r="AG565" s="139"/>
      <c r="AH565" s="139"/>
      <c r="AI565" s="139"/>
      <c r="AJ565" s="139"/>
      <c r="AK565" s="139"/>
      <c r="AL565" s="139"/>
      <c r="AM565" s="139"/>
      <c r="AN565" s="139"/>
      <c r="AO565" s="139"/>
      <c r="AP565" s="139"/>
      <c r="AQ565" s="139"/>
      <c r="AR565" s="139"/>
      <c r="AS565" s="139"/>
      <c r="AT565" s="139"/>
      <c r="AU565" s="139"/>
      <c r="AV565" s="139"/>
      <c r="AW565" s="139"/>
      <c r="AX565" s="139"/>
      <c r="AY565" s="139"/>
      <c r="AZ565" s="139"/>
      <c r="BA565" s="139"/>
      <c r="BB565" s="139"/>
      <c r="BC565" s="139"/>
      <c r="BD565" s="139"/>
      <c r="BE565" s="139"/>
      <c r="BF565" s="139"/>
      <c r="BG565" s="139"/>
      <c r="BH565" s="139"/>
    </row>
    <row r="566" spans="2:60" s="11" customFormat="1" ht="20.100000000000001" customHeight="1">
      <c r="B566" s="1359"/>
      <c r="C566" s="9639" t="s">
        <v>412</v>
      </c>
      <c r="D566" s="9639"/>
      <c r="E566" s="9639"/>
      <c r="F566" s="492" t="s">
        <v>344</v>
      </c>
      <c r="G566" s="522"/>
      <c r="H566" s="9639" t="s">
        <v>414</v>
      </c>
      <c r="I566" s="9639"/>
      <c r="J566" s="9639"/>
      <c r="K566" s="492" t="s">
        <v>344</v>
      </c>
      <c r="L566" s="5653">
        <f>IF(COUNTBLANK(L567:L572)&gt;0,"미취합법인有",SUM(L567:L572))</f>
        <v>540305.82537453051</v>
      </c>
      <c r="M566" s="5657"/>
      <c r="N566" s="5654">
        <f>IF(COUNTBLANK(N567:N572)&gt;0,"미취합법인有",SUM(N567:N572))</f>
        <v>252545.40715395333</v>
      </c>
      <c r="O566" s="5663"/>
      <c r="P566" s="5781">
        <f>IF(COUNTBLANK(P567:P572)&gt;0,"미취합법인有",SUM(P567:P572))</f>
        <v>522633.56588403165</v>
      </c>
      <c r="Q566" s="785"/>
      <c r="R566" s="2476" t="s">
        <v>415</v>
      </c>
      <c r="S566" s="533" t="s">
        <v>416</v>
      </c>
      <c r="T566" s="545" t="s">
        <v>417</v>
      </c>
      <c r="U566" s="1693"/>
      <c r="V566" s="878"/>
      <c r="W566" s="548"/>
      <c r="X566" s="277" t="s">
        <v>418</v>
      </c>
      <c r="Y566" s="277" t="s">
        <v>419</v>
      </c>
      <c r="Z566" s="187"/>
      <c r="AA566" s="6301"/>
      <c r="AB566" s="139"/>
      <c r="AC566" s="139"/>
      <c r="AD566" s="139"/>
      <c r="AE566" s="139"/>
      <c r="AF566" s="139"/>
      <c r="AG566" s="139"/>
      <c r="AH566" s="139"/>
      <c r="AI566" s="139"/>
      <c r="AJ566" s="139"/>
      <c r="AK566" s="139"/>
      <c r="AL566" s="139"/>
      <c r="AM566" s="139"/>
      <c r="AN566" s="139"/>
      <c r="AO566" s="139"/>
      <c r="AP566" s="139"/>
      <c r="AQ566" s="139"/>
      <c r="AR566" s="139"/>
      <c r="AS566" s="139"/>
      <c r="AT566" s="139"/>
      <c r="AU566" s="139"/>
      <c r="AV566" s="139"/>
      <c r="AW566" s="139"/>
      <c r="AX566" s="139"/>
      <c r="AY566" s="139"/>
      <c r="AZ566" s="139"/>
      <c r="BA566" s="139"/>
      <c r="BB566" s="139"/>
      <c r="BC566" s="139"/>
      <c r="BD566" s="139"/>
      <c r="BE566" s="139"/>
      <c r="BF566" s="139"/>
      <c r="BG566" s="139"/>
      <c r="BH566" s="139"/>
    </row>
    <row r="567" spans="2:60" s="11" customFormat="1" ht="19.899999999999999" customHeight="1">
      <c r="B567" s="5590"/>
      <c r="C567" s="9647" t="s">
        <v>134</v>
      </c>
      <c r="D567" s="9648"/>
      <c r="E567" s="9649"/>
      <c r="F567" s="492" t="s">
        <v>344</v>
      </c>
      <c r="G567" s="253"/>
      <c r="H567" s="9579" t="s">
        <v>135</v>
      </c>
      <c r="I567" s="9580"/>
      <c r="J567" s="9581"/>
      <c r="K567" s="492" t="s">
        <v>344</v>
      </c>
      <c r="L567" s="5592">
        <v>87.38000000000001</v>
      </c>
      <c r="M567" s="5656"/>
      <c r="N567" s="5593">
        <v>96.2</v>
      </c>
      <c r="O567" s="5656"/>
      <c r="P567" s="6484">
        <v>1056.499</v>
      </c>
      <c r="Q567" s="5674" t="s">
        <v>688</v>
      </c>
      <c r="R567" s="1033"/>
      <c r="S567" s="263"/>
      <c r="T567" s="99"/>
      <c r="U567" s="138"/>
      <c r="V567" s="138"/>
      <c r="W567" s="99"/>
      <c r="X567" s="264"/>
      <c r="Y567" s="277"/>
      <c r="Z567" s="187"/>
      <c r="AA567" s="6301"/>
      <c r="AB567" s="139"/>
      <c r="AC567" s="139"/>
      <c r="AD567" s="139"/>
      <c r="AE567" s="139"/>
      <c r="AF567" s="139"/>
      <c r="AG567" s="139"/>
      <c r="AH567" s="139"/>
      <c r="AI567" s="139"/>
      <c r="AJ567" s="139"/>
      <c r="AK567" s="139"/>
      <c r="AL567" s="139"/>
      <c r="AM567" s="139"/>
      <c r="AN567" s="139"/>
      <c r="AO567" s="139"/>
      <c r="AP567" s="139"/>
      <c r="AQ567" s="139"/>
      <c r="AR567" s="139"/>
      <c r="AS567" s="139"/>
      <c r="AT567" s="139"/>
      <c r="AU567" s="139"/>
      <c r="AV567" s="139"/>
      <c r="AW567" s="139"/>
      <c r="AX567" s="139"/>
      <c r="AY567" s="139"/>
      <c r="AZ567" s="139"/>
      <c r="BA567" s="139"/>
      <c r="BB567" s="139"/>
      <c r="BC567" s="139"/>
      <c r="BD567" s="139"/>
      <c r="BE567" s="139"/>
      <c r="BF567" s="139"/>
      <c r="BG567" s="139"/>
      <c r="BH567" s="139"/>
    </row>
    <row r="568" spans="2:60" s="11" customFormat="1" ht="19.899999999999999" customHeight="1">
      <c r="B568" s="5590"/>
      <c r="C568" s="9647" t="s">
        <v>137</v>
      </c>
      <c r="D568" s="9648"/>
      <c r="E568" s="9649"/>
      <c r="F568" s="5782" t="s">
        <v>421</v>
      </c>
      <c r="G568" s="5893"/>
      <c r="H568" s="9579" t="s">
        <v>138</v>
      </c>
      <c r="I568" s="9580"/>
      <c r="J568" s="9581"/>
      <c r="K568" s="5782" t="s">
        <v>421</v>
      </c>
      <c r="L568" s="5928">
        <v>265.31</v>
      </c>
      <c r="M568" s="5929"/>
      <c r="N568" s="5930">
        <v>522.23</v>
      </c>
      <c r="O568" s="5929"/>
      <c r="P568" s="5929">
        <v>654.22</v>
      </c>
      <c r="Q568" s="5929"/>
      <c r="R568" s="1033"/>
      <c r="S568" s="263"/>
      <c r="T568" s="99"/>
      <c r="U568" s="138"/>
      <c r="V568" s="138"/>
      <c r="W568" s="99"/>
      <c r="X568" s="264"/>
      <c r="Y568" s="277"/>
      <c r="Z568" s="187"/>
      <c r="AA568" s="6159" t="s">
        <v>422</v>
      </c>
      <c r="AB568" s="139"/>
      <c r="AC568" s="139"/>
      <c r="AD568" s="139"/>
      <c r="AE568" s="139"/>
      <c r="AF568" s="139"/>
      <c r="AG568" s="139"/>
      <c r="AH568" s="139"/>
      <c r="AI568" s="139"/>
      <c r="AJ568" s="139"/>
      <c r="AK568" s="139"/>
      <c r="AL568" s="139"/>
      <c r="AM568" s="139"/>
      <c r="AN568" s="139"/>
      <c r="AO568" s="139"/>
      <c r="AP568" s="139"/>
      <c r="AQ568" s="139"/>
      <c r="AR568" s="139"/>
      <c r="AS568" s="139"/>
      <c r="AT568" s="139"/>
      <c r="AU568" s="139"/>
      <c r="AV568" s="139"/>
      <c r="AW568" s="139"/>
      <c r="AX568" s="139"/>
      <c r="AY568" s="139"/>
      <c r="AZ568" s="139"/>
      <c r="BA568" s="139"/>
      <c r="BB568" s="139"/>
      <c r="BC568" s="139"/>
      <c r="BD568" s="139"/>
      <c r="BE568" s="139"/>
      <c r="BF568" s="139"/>
      <c r="BG568" s="139"/>
      <c r="BH568" s="139"/>
    </row>
    <row r="569" spans="2:60" s="11" customFormat="1" ht="19.899999999999999" customHeight="1">
      <c r="B569" s="5590"/>
      <c r="C569" s="9647" t="s">
        <v>140</v>
      </c>
      <c r="D569" s="9648"/>
      <c r="E569" s="9649"/>
      <c r="F569" s="492" t="s">
        <v>344</v>
      </c>
      <c r="G569" s="253"/>
      <c r="H569" s="9579" t="s">
        <v>141</v>
      </c>
      <c r="I569" s="9580"/>
      <c r="J569" s="9581"/>
      <c r="K569" s="492" t="s">
        <v>344</v>
      </c>
      <c r="L569" s="5592">
        <v>539711.13537453057</v>
      </c>
      <c r="M569" s="5656"/>
      <c r="N569" s="5593">
        <v>251596.97715395334</v>
      </c>
      <c r="O569" s="5669"/>
      <c r="P569" s="5669">
        <v>520678.84688403166</v>
      </c>
      <c r="Q569" s="5669"/>
      <c r="R569" s="1033"/>
      <c r="S569" s="263"/>
      <c r="T569" s="99"/>
      <c r="U569" s="138"/>
      <c r="V569" s="138"/>
      <c r="W569" s="99"/>
      <c r="X569" s="264"/>
      <c r="Y569" s="277"/>
      <c r="Z569" s="187"/>
      <c r="AA569" s="6301"/>
      <c r="AB569" s="139"/>
      <c r="AC569" s="139"/>
      <c r="AD569" s="139"/>
      <c r="AE569" s="139"/>
      <c r="AF569" s="139"/>
      <c r="AG569" s="139"/>
      <c r="AH569" s="139"/>
      <c r="AI569" s="139"/>
      <c r="AJ569" s="139"/>
      <c r="AK569" s="139"/>
      <c r="AL569" s="139"/>
      <c r="AM569" s="139"/>
      <c r="AN569" s="139"/>
      <c r="AO569" s="139"/>
      <c r="AP569" s="139"/>
      <c r="AQ569" s="139"/>
      <c r="AR569" s="139"/>
      <c r="AS569" s="139"/>
      <c r="AT569" s="139"/>
      <c r="AU569" s="139"/>
      <c r="AV569" s="139"/>
      <c r="AW569" s="139"/>
      <c r="AX569" s="139"/>
      <c r="AY569" s="139"/>
      <c r="AZ569" s="139"/>
      <c r="BA569" s="139"/>
      <c r="BB569" s="139"/>
      <c r="BC569" s="139"/>
      <c r="BD569" s="139"/>
      <c r="BE569" s="139"/>
      <c r="BF569" s="139"/>
      <c r="BG569" s="139"/>
      <c r="BH569" s="139"/>
    </row>
    <row r="570" spans="2:60" s="11" customFormat="1" ht="19.899999999999999" customHeight="1">
      <c r="B570" s="5590"/>
      <c r="C570" s="9647" t="s">
        <v>143</v>
      </c>
      <c r="D570" s="9648"/>
      <c r="E570" s="9649"/>
      <c r="F570" s="492" t="s">
        <v>344</v>
      </c>
      <c r="G570" s="253"/>
      <c r="H570" s="9579" t="s">
        <v>144</v>
      </c>
      <c r="I570" s="9580"/>
      <c r="J570" s="9581"/>
      <c r="K570" s="492" t="s">
        <v>344</v>
      </c>
      <c r="L570" s="5592">
        <v>0</v>
      </c>
      <c r="M570" s="5656"/>
      <c r="N570" s="5593">
        <v>0</v>
      </c>
      <c r="O570" s="5593"/>
      <c r="P570" s="5593">
        <v>0</v>
      </c>
      <c r="Q570" s="5593"/>
      <c r="R570" s="1033"/>
      <c r="S570" s="263"/>
      <c r="T570" s="99"/>
      <c r="U570" s="138"/>
      <c r="V570" s="138"/>
      <c r="W570" s="99"/>
      <c r="X570" s="264"/>
      <c r="Y570" s="277"/>
      <c r="Z570" s="187"/>
      <c r="AA570" s="6301"/>
      <c r="AB570" s="139"/>
      <c r="AC570" s="139"/>
      <c r="AD570" s="139"/>
      <c r="AE570" s="139"/>
      <c r="AF570" s="139"/>
      <c r="AG570" s="139"/>
      <c r="AH570" s="139"/>
      <c r="AI570" s="139"/>
      <c r="AJ570" s="139"/>
      <c r="AK570" s="139"/>
      <c r="AL570" s="139"/>
      <c r="AM570" s="139"/>
      <c r="AN570" s="139"/>
      <c r="AO570" s="139"/>
      <c r="AP570" s="139"/>
      <c r="AQ570" s="139"/>
      <c r="AR570" s="139"/>
      <c r="AS570" s="139"/>
      <c r="AT570" s="139"/>
      <c r="AU570" s="139"/>
      <c r="AV570" s="139"/>
      <c r="AW570" s="139"/>
      <c r="AX570" s="139"/>
      <c r="AY570" s="139"/>
      <c r="AZ570" s="139"/>
      <c r="BA570" s="139"/>
      <c r="BB570" s="139"/>
      <c r="BC570" s="139"/>
      <c r="BD570" s="139"/>
      <c r="BE570" s="139"/>
      <c r="BF570" s="139"/>
      <c r="BG570" s="139"/>
      <c r="BH570" s="139"/>
    </row>
    <row r="571" spans="2:60" s="11" customFormat="1" ht="19.899999999999999" customHeight="1">
      <c r="B571" s="5590"/>
      <c r="C571" s="9647" t="s">
        <v>631</v>
      </c>
      <c r="D571" s="9648"/>
      <c r="E571" s="9649"/>
      <c r="F571" s="492" t="s">
        <v>344</v>
      </c>
      <c r="G571" s="253"/>
      <c r="H571" s="9579" t="s">
        <v>147</v>
      </c>
      <c r="I571" s="9580"/>
      <c r="J571" s="9581"/>
      <c r="K571" s="492" t="s">
        <v>344</v>
      </c>
      <c r="L571" s="5967" t="s">
        <v>168</v>
      </c>
      <c r="M571" s="5656" t="s">
        <v>641</v>
      </c>
      <c r="N571" s="5593" t="s">
        <v>168</v>
      </c>
      <c r="O571" s="5593" t="s">
        <v>641</v>
      </c>
      <c r="P571" s="5593" t="s">
        <v>168</v>
      </c>
      <c r="Q571" s="5593" t="s">
        <v>641</v>
      </c>
      <c r="R571" s="1033"/>
      <c r="S571" s="263"/>
      <c r="T571" s="99"/>
      <c r="U571" s="138"/>
      <c r="V571" s="138"/>
      <c r="W571" s="99"/>
      <c r="X571" s="264"/>
      <c r="Y571" s="277"/>
      <c r="Z571" s="187"/>
      <c r="AA571" s="6301"/>
      <c r="AB571" s="139"/>
      <c r="AC571" s="139"/>
      <c r="AD571" s="139"/>
      <c r="AE571" s="139"/>
      <c r="AF571" s="139"/>
      <c r="AG571" s="139"/>
      <c r="AH571" s="139"/>
      <c r="AI571" s="139"/>
      <c r="AJ571" s="139"/>
      <c r="AK571" s="139"/>
      <c r="AL571" s="139"/>
      <c r="AM571" s="139"/>
      <c r="AN571" s="139"/>
      <c r="AO571" s="139"/>
      <c r="AP571" s="139"/>
      <c r="AQ571" s="139"/>
      <c r="AR571" s="139"/>
      <c r="AS571" s="139"/>
      <c r="AT571" s="139"/>
      <c r="AU571" s="139"/>
      <c r="AV571" s="139"/>
      <c r="AW571" s="139"/>
      <c r="AX571" s="139"/>
      <c r="AY571" s="139"/>
      <c r="AZ571" s="139"/>
      <c r="BA571" s="139"/>
      <c r="BB571" s="139"/>
      <c r="BC571" s="139"/>
      <c r="BD571" s="139"/>
      <c r="BE571" s="139"/>
      <c r="BF571" s="139"/>
      <c r="BG571" s="139"/>
      <c r="BH571" s="139"/>
    </row>
    <row r="572" spans="2:60" s="11" customFormat="1" ht="19.899999999999999" customHeight="1">
      <c r="B572" s="5590"/>
      <c r="C572" s="9647" t="s">
        <v>633</v>
      </c>
      <c r="D572" s="9648"/>
      <c r="E572" s="9649"/>
      <c r="F572" s="492" t="s">
        <v>344</v>
      </c>
      <c r="G572" s="253"/>
      <c r="H572" s="9579" t="s">
        <v>150</v>
      </c>
      <c r="I572" s="9580"/>
      <c r="J572" s="9581"/>
      <c r="K572" s="492" t="s">
        <v>344</v>
      </c>
      <c r="L572" s="5592">
        <v>242</v>
      </c>
      <c r="M572" s="5674" t="s">
        <v>689</v>
      </c>
      <c r="N572" s="5593">
        <v>330</v>
      </c>
      <c r="O572" s="5949" t="s">
        <v>689</v>
      </c>
      <c r="P572" s="5948">
        <v>244</v>
      </c>
      <c r="Q572" s="5948"/>
      <c r="R572" s="1033"/>
      <c r="S572" s="263"/>
      <c r="T572" s="99"/>
      <c r="U572" s="138"/>
      <c r="V572" s="138"/>
      <c r="W572" s="99"/>
      <c r="X572" s="264"/>
      <c r="Y572" s="277"/>
      <c r="Z572" s="187"/>
      <c r="AA572" s="6301"/>
      <c r="AB572" s="139"/>
      <c r="AC572" s="139"/>
      <c r="AD572" s="139"/>
      <c r="AE572" s="139"/>
      <c r="AF572" s="139"/>
      <c r="AG572" s="139"/>
      <c r="AH572" s="139"/>
      <c r="AI572" s="139"/>
      <c r="AJ572" s="139"/>
      <c r="AK572" s="139"/>
      <c r="AL572" s="139"/>
      <c r="AM572" s="139"/>
      <c r="AN572" s="139"/>
      <c r="AO572" s="139"/>
      <c r="AP572" s="139"/>
      <c r="AQ572" s="139"/>
      <c r="AR572" s="139"/>
      <c r="AS572" s="139"/>
      <c r="AT572" s="139"/>
      <c r="AU572" s="139"/>
      <c r="AV572" s="139"/>
      <c r="AW572" s="139"/>
      <c r="AX572" s="139"/>
      <c r="AY572" s="139"/>
      <c r="AZ572" s="139"/>
      <c r="BA572" s="139"/>
      <c r="BB572" s="139"/>
      <c r="BC572" s="139"/>
      <c r="BD572" s="139"/>
      <c r="BE572" s="139"/>
      <c r="BF572" s="139"/>
      <c r="BG572" s="139"/>
      <c r="BH572" s="139"/>
    </row>
    <row r="573" spans="2:60" s="11" customFormat="1" ht="20.100000000000001" customHeight="1">
      <c r="B573" s="1360"/>
      <c r="C573" s="5598"/>
      <c r="D573" s="9591" t="s">
        <v>423</v>
      </c>
      <c r="E573" s="9592"/>
      <c r="F573" s="492" t="s">
        <v>344</v>
      </c>
      <c r="G573" s="666"/>
      <c r="H573" s="6192"/>
      <c r="I573" s="9591" t="s">
        <v>424</v>
      </c>
      <c r="J573" s="9592"/>
      <c r="K573" s="492" t="s">
        <v>344</v>
      </c>
      <c r="L573" s="5653" t="str">
        <f>IF(COUNTBLANK(L574:L579)&gt;0,"미취합법인有",SUM(L574:L579))</f>
        <v>미취합법인有</v>
      </c>
      <c r="M573" s="5657"/>
      <c r="N573" s="5654" t="str">
        <f>IF(COUNTBLANK(N574:N579)&gt;0,"미취합법인有",SUM(N574:N579))</f>
        <v>미취합법인有</v>
      </c>
      <c r="O573" s="5945"/>
      <c r="P573" s="5946" t="str">
        <f>IF(COUNTBLANK(P574:P579)&gt;0,"미취합법인有",SUM(P574:P579))</f>
        <v>미취합법인有</v>
      </c>
      <c r="Q573" s="785"/>
      <c r="R573" s="2468"/>
      <c r="S573" s="544"/>
      <c r="T573" s="545" t="s">
        <v>417</v>
      </c>
      <c r="U573" s="546"/>
      <c r="V573" s="547"/>
      <c r="W573" s="548"/>
      <c r="X573" s="277" t="s">
        <v>418</v>
      </c>
      <c r="Y573" s="277" t="s">
        <v>419</v>
      </c>
      <c r="Z573" s="187"/>
      <c r="AA573" s="6301"/>
      <c r="AB573" s="139"/>
      <c r="AC573" s="139"/>
      <c r="AD573" s="139"/>
      <c r="AE573" s="139"/>
      <c r="AF573" s="139"/>
      <c r="AG573" s="139"/>
      <c r="AH573" s="139"/>
      <c r="AI573" s="139"/>
      <c r="AJ573" s="139"/>
      <c r="AK573" s="139"/>
      <c r="AL573" s="139"/>
      <c r="AM573" s="139"/>
      <c r="AN573" s="139"/>
      <c r="AO573" s="139"/>
      <c r="AP573" s="139"/>
      <c r="AQ573" s="139"/>
      <c r="AR573" s="139"/>
      <c r="AS573" s="139"/>
      <c r="AT573" s="139"/>
      <c r="AU573" s="139"/>
      <c r="AV573" s="139"/>
      <c r="AW573" s="139"/>
      <c r="AX573" s="139"/>
      <c r="AY573" s="139"/>
      <c r="AZ573" s="139"/>
      <c r="BA573" s="139"/>
      <c r="BB573" s="139"/>
      <c r="BC573" s="139"/>
      <c r="BD573" s="139"/>
      <c r="BE573" s="139"/>
      <c r="BF573" s="139"/>
      <c r="BG573" s="139"/>
      <c r="BH573" s="139"/>
    </row>
    <row r="574" spans="2:60" s="11" customFormat="1" ht="20.100000000000001" customHeight="1">
      <c r="B574" s="1360"/>
      <c r="C574" s="5598"/>
      <c r="D574" s="9598" t="s">
        <v>134</v>
      </c>
      <c r="E574" s="9600"/>
      <c r="F574" s="492" t="s">
        <v>344</v>
      </c>
      <c r="G574" s="666"/>
      <c r="H574" s="6192"/>
      <c r="I574" s="9579" t="s">
        <v>135</v>
      </c>
      <c r="J574" s="9581"/>
      <c r="K574" s="492" t="s">
        <v>344</v>
      </c>
      <c r="L574" s="5594">
        <v>86.43</v>
      </c>
      <c r="M574" s="5669" t="s">
        <v>690</v>
      </c>
      <c r="N574" s="5601">
        <v>96.2</v>
      </c>
      <c r="O574" s="5724" t="s">
        <v>691</v>
      </c>
      <c r="P574" s="6474">
        <v>1056.499</v>
      </c>
      <c r="Q574" s="5724" t="s">
        <v>692</v>
      </c>
      <c r="R574" s="2468"/>
      <c r="S574" s="544"/>
      <c r="T574" s="545"/>
      <c r="U574" s="546"/>
      <c r="V574" s="547"/>
      <c r="W574" s="548"/>
      <c r="X574" s="277"/>
      <c r="Y574" s="277"/>
      <c r="Z574" s="187"/>
      <c r="AA574" s="6301"/>
      <c r="AB574" s="139"/>
      <c r="AC574" s="139"/>
      <c r="AD574" s="139"/>
      <c r="AE574" s="139"/>
      <c r="AF574" s="139"/>
      <c r="AG574" s="139"/>
      <c r="AH574" s="139"/>
      <c r="AI574" s="139"/>
      <c r="AJ574" s="139"/>
      <c r="AK574" s="139"/>
      <c r="AL574" s="139"/>
      <c r="AM574" s="139"/>
      <c r="AN574" s="139"/>
      <c r="AO574" s="139"/>
      <c r="AP574" s="139"/>
      <c r="AQ574" s="139"/>
      <c r="AR574" s="139"/>
      <c r="AS574" s="139"/>
      <c r="AT574" s="139"/>
      <c r="AU574" s="139"/>
      <c r="AV574" s="139"/>
      <c r="AW574" s="139"/>
      <c r="AX574" s="139"/>
      <c r="AY574" s="139"/>
      <c r="AZ574" s="139"/>
      <c r="BA574" s="139"/>
      <c r="BB574" s="139"/>
      <c r="BC574" s="139"/>
      <c r="BD574" s="139"/>
      <c r="BE574" s="139"/>
      <c r="BF574" s="139"/>
      <c r="BG574" s="139"/>
      <c r="BH574" s="139"/>
    </row>
    <row r="575" spans="2:60" s="11" customFormat="1" ht="20.100000000000001" customHeight="1">
      <c r="B575" s="1360"/>
      <c r="C575" s="5598"/>
      <c r="D575" s="9598" t="s">
        <v>137</v>
      </c>
      <c r="E575" s="9600"/>
      <c r="F575" s="5782" t="s">
        <v>421</v>
      </c>
      <c r="G575" s="6160"/>
      <c r="H575" s="6192"/>
      <c r="I575" s="9579" t="s">
        <v>138</v>
      </c>
      <c r="J575" s="9581"/>
      <c r="K575" s="5782" t="s">
        <v>421</v>
      </c>
      <c r="L575" s="5928">
        <v>0.58054704595185991</v>
      </c>
      <c r="M575" s="5929"/>
      <c r="N575" s="5930">
        <v>0.56153763440860216</v>
      </c>
      <c r="O575" s="6049"/>
      <c r="P575" s="6049">
        <v>0.55395427603725655</v>
      </c>
      <c r="Q575" s="6049"/>
      <c r="R575" s="2468"/>
      <c r="S575" s="544"/>
      <c r="T575" s="545"/>
      <c r="U575" s="546"/>
      <c r="V575" s="547"/>
      <c r="W575" s="548"/>
      <c r="X575" s="277"/>
      <c r="Y575" s="277"/>
      <c r="Z575" s="187"/>
      <c r="AA575" s="6159" t="s">
        <v>422</v>
      </c>
      <c r="AB575" s="139"/>
      <c r="AC575" s="139"/>
      <c r="AD575" s="139"/>
      <c r="AE575" s="139"/>
      <c r="AF575" s="139"/>
      <c r="AG575" s="139"/>
      <c r="AH575" s="139"/>
      <c r="AI575" s="139"/>
      <c r="AJ575" s="139"/>
      <c r="AK575" s="139"/>
      <c r="AL575" s="139"/>
      <c r="AM575" s="139"/>
      <c r="AN575" s="139"/>
      <c r="AO575" s="139"/>
      <c r="AP575" s="139"/>
      <c r="AQ575" s="139"/>
      <c r="AR575" s="139"/>
      <c r="AS575" s="139"/>
      <c r="AT575" s="139"/>
      <c r="AU575" s="139"/>
      <c r="AV575" s="139"/>
      <c r="AW575" s="139"/>
      <c r="AX575" s="139"/>
      <c r="AY575" s="139"/>
      <c r="AZ575" s="139"/>
      <c r="BA575" s="139"/>
      <c r="BB575" s="139"/>
      <c r="BC575" s="139"/>
      <c r="BD575" s="139"/>
      <c r="BE575" s="139"/>
      <c r="BF575" s="139"/>
      <c r="BG575" s="139"/>
      <c r="BH575" s="139"/>
    </row>
    <row r="576" spans="2:60" s="11" customFormat="1" ht="20.100000000000001" customHeight="1">
      <c r="B576" s="1360"/>
      <c r="C576" s="5598"/>
      <c r="D576" s="9598" t="s">
        <v>140</v>
      </c>
      <c r="E576" s="9600"/>
      <c r="F576" s="492" t="s">
        <v>344</v>
      </c>
      <c r="G576" s="666"/>
      <c r="H576" s="6192"/>
      <c r="I576" s="9582" t="s">
        <v>141</v>
      </c>
      <c r="J576" s="9583"/>
      <c r="K576" s="492" t="s">
        <v>344</v>
      </c>
      <c r="L576" s="5594">
        <v>539711.13537453057</v>
      </c>
      <c r="M576" s="5658"/>
      <c r="N576" s="5601">
        <v>251596.97715395334</v>
      </c>
      <c r="O576" s="5601"/>
      <c r="P576" s="1814">
        <v>520678.84688403166</v>
      </c>
      <c r="Q576" s="5601"/>
      <c r="R576" s="2468"/>
      <c r="S576" s="544"/>
      <c r="T576" s="545"/>
      <c r="U576" s="546"/>
      <c r="V576" s="547"/>
      <c r="W576" s="548"/>
      <c r="X576" s="277"/>
      <c r="Y576" s="277"/>
      <c r="Z576" s="187"/>
      <c r="AA576" s="6301"/>
      <c r="AB576" s="139"/>
      <c r="AC576" s="139"/>
      <c r="AD576" s="139"/>
      <c r="AE576" s="139"/>
      <c r="AF576" s="139"/>
      <c r="AG576" s="139"/>
      <c r="AH576" s="139"/>
      <c r="AI576" s="139"/>
      <c r="AJ576" s="139"/>
      <c r="AK576" s="139"/>
      <c r="AL576" s="139"/>
      <c r="AM576" s="139"/>
      <c r="AN576" s="139"/>
      <c r="AO576" s="139"/>
      <c r="AP576" s="139"/>
      <c r="AQ576" s="139"/>
      <c r="AR576" s="139"/>
      <c r="AS576" s="139"/>
      <c r="AT576" s="139"/>
      <c r="AU576" s="139"/>
      <c r="AV576" s="139"/>
      <c r="AW576" s="139"/>
      <c r="AX576" s="139"/>
      <c r="AY576" s="139"/>
      <c r="AZ576" s="139"/>
      <c r="BA576" s="139"/>
      <c r="BB576" s="139"/>
      <c r="BC576" s="139"/>
      <c r="BD576" s="139"/>
      <c r="BE576" s="139"/>
      <c r="BF576" s="139"/>
      <c r="BG576" s="139"/>
      <c r="BH576" s="139"/>
    </row>
    <row r="577" spans="1:29" ht="20.100000000000001" customHeight="1">
      <c r="A577" s="11"/>
      <c r="B577" s="1360"/>
      <c r="C577" s="5598"/>
      <c r="D577" s="9598" t="s">
        <v>143</v>
      </c>
      <c r="E577" s="9600"/>
      <c r="F577" s="492" t="s">
        <v>344</v>
      </c>
      <c r="G577" s="666"/>
      <c r="H577" s="6192"/>
      <c r="I577" s="9582" t="s">
        <v>144</v>
      </c>
      <c r="J577" s="9583"/>
      <c r="K577" s="492" t="s">
        <v>344</v>
      </c>
      <c r="L577" s="5594"/>
      <c r="M577" s="5658"/>
      <c r="N577" s="5601"/>
      <c r="O577" s="1814"/>
      <c r="P577" s="5601"/>
      <c r="Q577" s="5601"/>
      <c r="R577" s="2468"/>
      <c r="S577" s="544"/>
      <c r="T577" s="545"/>
      <c r="U577" s="546"/>
      <c r="V577" s="547"/>
      <c r="W577" s="548"/>
      <c r="X577" s="277"/>
      <c r="Y577" s="277"/>
      <c r="Z577" s="187"/>
    </row>
    <row r="578" spans="1:29" ht="20.100000000000001" customHeight="1">
      <c r="A578" s="11"/>
      <c r="B578" s="1360"/>
      <c r="C578" s="5598"/>
      <c r="D578" s="9598" t="s">
        <v>631</v>
      </c>
      <c r="E578" s="9600"/>
      <c r="F578" s="492" t="s">
        <v>344</v>
      </c>
      <c r="G578" s="666"/>
      <c r="H578" s="6192"/>
      <c r="I578" s="9582" t="s">
        <v>147</v>
      </c>
      <c r="J578" s="9583"/>
      <c r="K578" s="492" t="s">
        <v>344</v>
      </c>
      <c r="L578" s="5967" t="s">
        <v>168</v>
      </c>
      <c r="M578" s="5656" t="s">
        <v>641</v>
      </c>
      <c r="N578" s="5593" t="s">
        <v>168</v>
      </c>
      <c r="O578" s="5948" t="s">
        <v>641</v>
      </c>
      <c r="P578" s="5948" t="s">
        <v>168</v>
      </c>
      <c r="Q578" s="5948" t="s">
        <v>641</v>
      </c>
      <c r="R578" s="2468"/>
      <c r="S578" s="544"/>
      <c r="T578" s="545"/>
      <c r="U578" s="546"/>
      <c r="V578" s="547"/>
      <c r="W578" s="548"/>
      <c r="X578" s="277"/>
      <c r="Y578" s="277"/>
      <c r="Z578" s="187"/>
    </row>
    <row r="579" spans="1:29" ht="20.100000000000001" customHeight="1">
      <c r="A579" s="11"/>
      <c r="B579" s="1360"/>
      <c r="C579" s="5598"/>
      <c r="D579" s="9598" t="s">
        <v>633</v>
      </c>
      <c r="E579" s="9600"/>
      <c r="F579" s="492" t="s">
        <v>344</v>
      </c>
      <c r="G579" s="666"/>
      <c r="H579" s="6192"/>
      <c r="I579" s="9582" t="s">
        <v>150</v>
      </c>
      <c r="J579" s="9583"/>
      <c r="K579" s="492" t="s">
        <v>344</v>
      </c>
      <c r="L579" s="5594">
        <v>242</v>
      </c>
      <c r="M579" s="5658"/>
      <c r="N579" s="5601">
        <v>330</v>
      </c>
      <c r="O579" s="5601"/>
      <c r="P579" s="1814">
        <v>244</v>
      </c>
      <c r="Q579" s="5601"/>
      <c r="R579" s="2468"/>
      <c r="S579" s="544"/>
      <c r="T579" s="545"/>
      <c r="U579" s="546"/>
      <c r="V579" s="547"/>
      <c r="W579" s="548"/>
      <c r="X579" s="277"/>
      <c r="Y579" s="277"/>
      <c r="Z579" s="187"/>
    </row>
    <row r="580" spans="1:29" ht="20.100000000000001" customHeight="1">
      <c r="A580" s="11"/>
      <c r="B580" s="1360"/>
      <c r="C580" s="6182"/>
      <c r="D580" s="6174"/>
      <c r="E580" s="5606" t="s">
        <v>425</v>
      </c>
      <c r="F580" s="492" t="s">
        <v>344</v>
      </c>
      <c r="G580" s="666"/>
      <c r="H580" s="6132"/>
      <c r="I580" s="1545"/>
      <c r="J580" s="5606" t="s">
        <v>426</v>
      </c>
      <c r="K580" s="492" t="s">
        <v>344</v>
      </c>
      <c r="L580" s="5653" t="str">
        <f>IF(COUNTBLANK(L581:L586)&gt;0,"미취합법인有",SUM(L581:L586))</f>
        <v>미취합법인有</v>
      </c>
      <c r="M580" s="5657"/>
      <c r="N580" s="5654" t="str">
        <f>IF(COUNTBLANK(N581:N586)&gt;0,"미취합법인有",SUM(N581:N586))</f>
        <v>미취합법인有</v>
      </c>
      <c r="O580" s="5945"/>
      <c r="P580" s="5946" t="str">
        <f>IF(COUNTBLANK(P581:P586)&gt;0,"미취합법인有",SUM(P581:P586))</f>
        <v>미취합법인有</v>
      </c>
      <c r="Q580" s="785"/>
      <c r="R580" s="2468" t="s">
        <v>427</v>
      </c>
      <c r="S580" s="544" t="s">
        <v>428</v>
      </c>
      <c r="T580" s="545" t="s">
        <v>417</v>
      </c>
      <c r="U580" s="547"/>
      <c r="V580" s="547"/>
      <c r="W580" s="545"/>
      <c r="X580" s="277" t="s">
        <v>429</v>
      </c>
      <c r="Y580" s="265"/>
      <c r="Z580" s="187"/>
      <c r="AC580" s="1377" t="s">
        <v>430</v>
      </c>
    </row>
    <row r="581" spans="1:29" ht="20.100000000000001" customHeight="1">
      <c r="A581" s="11"/>
      <c r="B581" s="1360"/>
      <c r="C581" s="6246"/>
      <c r="D581" s="6174"/>
      <c r="E581" s="357" t="s">
        <v>134</v>
      </c>
      <c r="F581" s="492" t="s">
        <v>344</v>
      </c>
      <c r="G581" s="666"/>
      <c r="H581" s="6173"/>
      <c r="I581" s="1545"/>
      <c r="J581" s="551" t="s">
        <v>431</v>
      </c>
      <c r="K581" s="492" t="s">
        <v>344</v>
      </c>
      <c r="L581" s="5594">
        <v>78.3</v>
      </c>
      <c r="M581" s="5669" t="s">
        <v>693</v>
      </c>
      <c r="N581" s="5601">
        <v>85</v>
      </c>
      <c r="O581" s="5724" t="s">
        <v>693</v>
      </c>
      <c r="P581" s="1814">
        <v>0</v>
      </c>
      <c r="Q581" s="5601"/>
      <c r="R581" s="2468"/>
      <c r="S581" s="544"/>
      <c r="T581" s="545"/>
      <c r="U581" s="547"/>
      <c r="V581" s="547"/>
      <c r="W581" s="545"/>
      <c r="X581" s="277"/>
      <c r="Y581" s="277"/>
      <c r="Z581" s="187"/>
      <c r="AC581" s="1377" t="s">
        <v>432</v>
      </c>
    </row>
    <row r="582" spans="1:29" ht="20.100000000000001" customHeight="1">
      <c r="A582" s="11"/>
      <c r="B582" s="1360"/>
      <c r="C582" s="6246"/>
      <c r="D582" s="6174"/>
      <c r="E582" s="357" t="s">
        <v>137</v>
      </c>
      <c r="F582" s="5782" t="s">
        <v>413</v>
      </c>
      <c r="G582" s="6160"/>
      <c r="H582" s="6173"/>
      <c r="I582" s="1545"/>
      <c r="J582" s="6245" t="s">
        <v>138</v>
      </c>
      <c r="K582" s="5782" t="s">
        <v>413</v>
      </c>
      <c r="L582" s="5894">
        <v>2.81</v>
      </c>
      <c r="M582" s="5895"/>
      <c r="N582" s="5896">
        <v>15.73</v>
      </c>
      <c r="O582" s="5896"/>
      <c r="P582" s="6048">
        <v>6.7199999999999989</v>
      </c>
      <c r="Q582" s="5896"/>
      <c r="R582" s="2468"/>
      <c r="S582" s="544"/>
      <c r="T582" s="545"/>
      <c r="U582" s="547"/>
      <c r="V582" s="547"/>
      <c r="W582" s="545"/>
      <c r="X582" s="277"/>
      <c r="Y582" s="277"/>
      <c r="Z582" s="187"/>
      <c r="AA582" s="6159" t="s">
        <v>422</v>
      </c>
      <c r="AC582" s="1377" t="s">
        <v>433</v>
      </c>
    </row>
    <row r="583" spans="1:29" ht="20.100000000000001" customHeight="1">
      <c r="A583" s="11"/>
      <c r="B583" s="1360"/>
      <c r="C583" s="6246"/>
      <c r="D583" s="6174"/>
      <c r="E583" s="357" t="s">
        <v>140</v>
      </c>
      <c r="F583" s="492" t="s">
        <v>344</v>
      </c>
      <c r="G583" s="666"/>
      <c r="H583" s="6173"/>
      <c r="I583" s="1545"/>
      <c r="J583" s="551" t="s">
        <v>141</v>
      </c>
      <c r="K583" s="492" t="s">
        <v>344</v>
      </c>
      <c r="L583" s="5594">
        <v>539711.13537453057</v>
      </c>
      <c r="M583" s="5658"/>
      <c r="N583" s="5601">
        <v>251596.97715395334</v>
      </c>
      <c r="O583" s="5601"/>
      <c r="P583" s="1814">
        <v>520678.84688403166</v>
      </c>
      <c r="Q583" s="5601"/>
      <c r="R583" s="2468"/>
      <c r="S583" s="544"/>
      <c r="T583" s="545"/>
      <c r="U583" s="547"/>
      <c r="V583" s="547"/>
      <c r="W583" s="545"/>
      <c r="X583" s="277"/>
      <c r="Y583" s="277"/>
      <c r="Z583" s="187"/>
      <c r="AC583" s="1377" t="s">
        <v>434</v>
      </c>
    </row>
    <row r="584" spans="1:29" ht="20.100000000000001" customHeight="1">
      <c r="A584" s="11"/>
      <c r="B584" s="1360"/>
      <c r="C584" s="6246"/>
      <c r="D584" s="6174"/>
      <c r="E584" s="357" t="s">
        <v>143</v>
      </c>
      <c r="F584" s="492" t="s">
        <v>344</v>
      </c>
      <c r="G584" s="666"/>
      <c r="H584" s="6173"/>
      <c r="I584" s="1545"/>
      <c r="J584" s="551" t="s">
        <v>144</v>
      </c>
      <c r="K584" s="492" t="s">
        <v>344</v>
      </c>
      <c r="L584" s="5594"/>
      <c r="M584" s="5658"/>
      <c r="N584" s="5601"/>
      <c r="O584" s="5601"/>
      <c r="P584" s="1814"/>
      <c r="Q584" s="5601"/>
      <c r="R584" s="2468"/>
      <c r="S584" s="544"/>
      <c r="T584" s="545"/>
      <c r="U584" s="547"/>
      <c r="V584" s="547"/>
      <c r="W584" s="545"/>
      <c r="X584" s="277"/>
      <c r="Y584" s="277"/>
      <c r="Z584" s="187"/>
      <c r="AC584" s="1377" t="s">
        <v>435</v>
      </c>
    </row>
    <row r="585" spans="1:29" ht="20.100000000000001" customHeight="1">
      <c r="A585" s="11"/>
      <c r="B585" s="1360"/>
      <c r="C585" s="6246"/>
      <c r="D585" s="6174"/>
      <c r="E585" s="357" t="s">
        <v>631</v>
      </c>
      <c r="F585" s="492" t="s">
        <v>344</v>
      </c>
      <c r="G585" s="666"/>
      <c r="H585" s="6173"/>
      <c r="I585" s="1545"/>
      <c r="J585" s="551" t="s">
        <v>147</v>
      </c>
      <c r="K585" s="492" t="s">
        <v>344</v>
      </c>
      <c r="L585" s="5967" t="s">
        <v>168</v>
      </c>
      <c r="M585" s="5656" t="s">
        <v>641</v>
      </c>
      <c r="N585" s="5593" t="s">
        <v>168</v>
      </c>
      <c r="O585" s="5948" t="s">
        <v>641</v>
      </c>
      <c r="P585" s="5948" t="s">
        <v>168</v>
      </c>
      <c r="Q585" s="5948" t="s">
        <v>641</v>
      </c>
      <c r="R585" s="2468"/>
      <c r="S585" s="544"/>
      <c r="T585" s="545"/>
      <c r="U585" s="547"/>
      <c r="V585" s="547"/>
      <c r="W585" s="545"/>
      <c r="X585" s="277"/>
      <c r="Y585" s="277"/>
      <c r="Z585" s="187"/>
      <c r="AC585" s="1377" t="s">
        <v>436</v>
      </c>
    </row>
    <row r="586" spans="1:29" ht="20.100000000000001" customHeight="1">
      <c r="A586" s="11"/>
      <c r="B586" s="1360"/>
      <c r="C586" s="6246"/>
      <c r="D586" s="6174"/>
      <c r="E586" s="357" t="s">
        <v>633</v>
      </c>
      <c r="F586" s="492" t="s">
        <v>344</v>
      </c>
      <c r="G586" s="666"/>
      <c r="H586" s="6173"/>
      <c r="I586" s="1545"/>
      <c r="J586" s="551" t="s">
        <v>150</v>
      </c>
      <c r="K586" s="492" t="s">
        <v>344</v>
      </c>
      <c r="L586" s="5594">
        <v>0</v>
      </c>
      <c r="M586" s="5658"/>
      <c r="N586" s="5601">
        <v>0</v>
      </c>
      <c r="O586" s="5601"/>
      <c r="P586" s="1814">
        <v>0</v>
      </c>
      <c r="Q586" s="5601"/>
      <c r="R586" s="2468"/>
      <c r="S586" s="544"/>
      <c r="T586" s="545"/>
      <c r="U586" s="547"/>
      <c r="V586" s="547"/>
      <c r="W586" s="545"/>
      <c r="X586" s="277"/>
      <c r="Y586" s="277"/>
      <c r="Z586" s="187"/>
      <c r="AC586" s="1377" t="s">
        <v>437</v>
      </c>
    </row>
    <row r="587" spans="1:29" ht="20.100000000000001" customHeight="1">
      <c r="A587" s="11"/>
      <c r="B587" s="1360"/>
      <c r="C587" s="6182"/>
      <c r="D587" s="6174"/>
      <c r="E587" s="5606" t="s">
        <v>694</v>
      </c>
      <c r="F587" s="492" t="s">
        <v>344</v>
      </c>
      <c r="G587" s="666"/>
      <c r="H587" s="6132"/>
      <c r="I587" s="1545"/>
      <c r="J587" s="5606" t="s">
        <v>438</v>
      </c>
      <c r="K587" s="492" t="s">
        <v>344</v>
      </c>
      <c r="L587" s="5653" t="str">
        <f>IF(COUNTBLANK(L588:L593)&gt;0,"미취합법인有",SUM(L588:L593))</f>
        <v>미취합법인有</v>
      </c>
      <c r="M587" s="5657"/>
      <c r="N587" s="5654" t="str">
        <f>IF(COUNTBLANK(N588:N593)&gt;0,"미취합법인有",SUM(N588:N593))</f>
        <v>미취합법인有</v>
      </c>
      <c r="O587" s="5945"/>
      <c r="P587" s="5946" t="str">
        <f>IF(COUNTBLANK(P588:P593)&gt;0,"미취합법인有",SUM(P588:P593))</f>
        <v>미취합법인有</v>
      </c>
      <c r="Q587" s="785"/>
      <c r="R587" s="993" t="s">
        <v>439</v>
      </c>
      <c r="S587" s="276" t="s">
        <v>440</v>
      </c>
      <c r="T587" s="545" t="s">
        <v>417</v>
      </c>
      <c r="U587" s="547"/>
      <c r="V587" s="547"/>
      <c r="W587" s="545"/>
      <c r="X587" s="277" t="s">
        <v>489</v>
      </c>
      <c r="Y587" s="277" t="s">
        <v>442</v>
      </c>
      <c r="Z587" s="187"/>
    </row>
    <row r="588" spans="1:29" ht="20.100000000000001" customHeight="1">
      <c r="A588" s="11" t="s">
        <v>695</v>
      </c>
      <c r="B588" s="1360"/>
      <c r="C588" s="6246"/>
      <c r="D588" s="6174"/>
      <c r="E588" s="357" t="s">
        <v>134</v>
      </c>
      <c r="F588" s="492" t="s">
        <v>344</v>
      </c>
      <c r="G588" s="666"/>
      <c r="H588" s="6173"/>
      <c r="I588" s="1545"/>
      <c r="J588" s="551" t="s">
        <v>431</v>
      </c>
      <c r="K588" s="492" t="s">
        <v>344</v>
      </c>
      <c r="L588" s="5594">
        <v>8.1</v>
      </c>
      <c r="M588" s="5658"/>
      <c r="N588" s="5601">
        <v>11.2</v>
      </c>
      <c r="O588" s="5601"/>
      <c r="P588" s="6474">
        <v>0</v>
      </c>
      <c r="Q588" s="6495" t="s">
        <v>696</v>
      </c>
      <c r="R588" s="2468"/>
      <c r="S588" s="544"/>
      <c r="T588" s="545"/>
      <c r="U588" s="547"/>
      <c r="V588" s="547"/>
      <c r="W588" s="545"/>
      <c r="X588" s="277"/>
      <c r="Y588" s="277"/>
      <c r="Z588" s="187"/>
    </row>
    <row r="589" spans="1:29" ht="20.100000000000001" customHeight="1">
      <c r="A589" s="11"/>
      <c r="B589" s="1360"/>
      <c r="C589" s="6246"/>
      <c r="D589" s="6174"/>
      <c r="E589" s="357" t="s">
        <v>137</v>
      </c>
      <c r="F589" s="5782" t="s">
        <v>443</v>
      </c>
      <c r="G589" s="6173"/>
      <c r="H589" s="6173"/>
      <c r="I589" s="1545"/>
      <c r="J589" s="1545" t="s">
        <v>138</v>
      </c>
      <c r="K589" s="5782" t="s">
        <v>443</v>
      </c>
      <c r="L589" s="5894">
        <v>262.5</v>
      </c>
      <c r="M589" s="5895"/>
      <c r="N589" s="5896">
        <v>506.5</v>
      </c>
      <c r="O589" s="5896"/>
      <c r="P589" s="6048">
        <v>647.5</v>
      </c>
      <c r="Q589" s="5896"/>
      <c r="R589" s="2468"/>
      <c r="S589" s="544"/>
      <c r="T589" s="545"/>
      <c r="U589" s="547"/>
      <c r="V589" s="547"/>
      <c r="W589" s="545"/>
      <c r="X589" s="277"/>
      <c r="Y589" s="277"/>
      <c r="Z589" s="187"/>
      <c r="AA589" s="6159" t="s">
        <v>422</v>
      </c>
    </row>
    <row r="590" spans="1:29" ht="20.100000000000001" customHeight="1">
      <c r="A590" s="11"/>
      <c r="B590" s="1360"/>
      <c r="C590" s="6246"/>
      <c r="D590" s="6174"/>
      <c r="E590" s="357" t="s">
        <v>140</v>
      </c>
      <c r="F590" s="492" t="s">
        <v>344</v>
      </c>
      <c r="G590" s="666"/>
      <c r="H590" s="6173"/>
      <c r="I590" s="1545"/>
      <c r="J590" s="551" t="s">
        <v>141</v>
      </c>
      <c r="K590" s="492" t="s">
        <v>344</v>
      </c>
      <c r="L590" s="5967" t="s">
        <v>168</v>
      </c>
      <c r="M590" s="5656" t="s">
        <v>641</v>
      </c>
      <c r="N590" s="5593" t="s">
        <v>168</v>
      </c>
      <c r="O590" s="5948" t="s">
        <v>641</v>
      </c>
      <c r="P590" s="5948" t="s">
        <v>168</v>
      </c>
      <c r="Q590" s="5948" t="s">
        <v>641</v>
      </c>
      <c r="R590" s="2468"/>
      <c r="S590" s="544"/>
      <c r="T590" s="545"/>
      <c r="U590" s="547"/>
      <c r="V590" s="547"/>
      <c r="W590" s="545"/>
      <c r="X590" s="277"/>
      <c r="Y590" s="277"/>
      <c r="Z590" s="187"/>
    </row>
    <row r="591" spans="1:29" ht="20.100000000000001" customHeight="1">
      <c r="A591" s="11"/>
      <c r="B591" s="1360"/>
      <c r="C591" s="6246"/>
      <c r="D591" s="6174"/>
      <c r="E591" s="357" t="s">
        <v>143</v>
      </c>
      <c r="F591" s="492" t="s">
        <v>344</v>
      </c>
      <c r="G591" s="666"/>
      <c r="H591" s="6173"/>
      <c r="I591" s="1545"/>
      <c r="J591" s="551" t="s">
        <v>144</v>
      </c>
      <c r="K591" s="492" t="s">
        <v>344</v>
      </c>
      <c r="L591" s="5594"/>
      <c r="M591" s="5658"/>
      <c r="N591" s="5601"/>
      <c r="O591" s="5977"/>
      <c r="P591" s="1814"/>
      <c r="Q591" s="5601"/>
      <c r="R591" s="2468"/>
      <c r="S591" s="544"/>
      <c r="T591" s="545"/>
      <c r="U591" s="547"/>
      <c r="V591" s="547"/>
      <c r="W591" s="545"/>
      <c r="X591" s="277"/>
      <c r="Y591" s="277"/>
      <c r="Z591" s="187"/>
    </row>
    <row r="592" spans="1:29" ht="20.100000000000001" customHeight="1">
      <c r="A592" s="11"/>
      <c r="B592" s="1360"/>
      <c r="C592" s="6246"/>
      <c r="D592" s="6174"/>
      <c r="E592" s="357" t="s">
        <v>631</v>
      </c>
      <c r="F592" s="492" t="s">
        <v>344</v>
      </c>
      <c r="G592" s="666"/>
      <c r="H592" s="6173"/>
      <c r="I592" s="1545"/>
      <c r="J592" s="551" t="s">
        <v>147</v>
      </c>
      <c r="K592" s="492" t="s">
        <v>344</v>
      </c>
      <c r="L592" s="5967" t="s">
        <v>168</v>
      </c>
      <c r="M592" s="5656" t="s">
        <v>641</v>
      </c>
      <c r="N592" s="5593" t="s">
        <v>168</v>
      </c>
      <c r="O592" s="5948" t="s">
        <v>641</v>
      </c>
      <c r="P592" s="5948" t="s">
        <v>168</v>
      </c>
      <c r="Q592" s="5948" t="s">
        <v>641</v>
      </c>
      <c r="R592" s="2468"/>
      <c r="S592" s="544"/>
      <c r="T592" s="545"/>
      <c r="U592" s="547"/>
      <c r="V592" s="547"/>
      <c r="W592" s="545"/>
      <c r="X592" s="277"/>
      <c r="Y592" s="277"/>
      <c r="Z592" s="187"/>
    </row>
    <row r="593" spans="2:60" s="11" customFormat="1" ht="20.100000000000001" customHeight="1">
      <c r="B593" s="1360"/>
      <c r="C593" s="6246"/>
      <c r="D593" s="6174"/>
      <c r="E593" s="357" t="s">
        <v>633</v>
      </c>
      <c r="F593" s="492" t="s">
        <v>344</v>
      </c>
      <c r="G593" s="666"/>
      <c r="H593" s="6173"/>
      <c r="I593" s="1545"/>
      <c r="J593" s="551" t="s">
        <v>150</v>
      </c>
      <c r="K593" s="492" t="s">
        <v>344</v>
      </c>
      <c r="L593" s="5594">
        <v>242</v>
      </c>
      <c r="M593" s="5658"/>
      <c r="N593" s="5601">
        <v>330</v>
      </c>
      <c r="O593" s="5601"/>
      <c r="P593" s="1814">
        <v>244</v>
      </c>
      <c r="Q593" s="5601"/>
      <c r="R593" s="2468"/>
      <c r="S593" s="544"/>
      <c r="T593" s="545"/>
      <c r="U593" s="547"/>
      <c r="V593" s="547"/>
      <c r="W593" s="545"/>
      <c r="X593" s="277"/>
      <c r="Y593" s="277"/>
      <c r="Z593" s="187"/>
      <c r="AA593" s="6301"/>
      <c r="AB593" s="139"/>
      <c r="AC593" s="139"/>
      <c r="AD593" s="139"/>
      <c r="AE593" s="139"/>
      <c r="AF593" s="139"/>
      <c r="AG593" s="139"/>
      <c r="AH593" s="139"/>
      <c r="AI593" s="139"/>
      <c r="AJ593" s="139"/>
      <c r="AK593" s="139"/>
      <c r="AL593" s="139"/>
      <c r="AM593" s="139"/>
      <c r="AN593" s="139"/>
      <c r="AO593" s="139"/>
      <c r="AP593" s="139"/>
      <c r="AQ593" s="139"/>
      <c r="AR593" s="139"/>
      <c r="AS593" s="139"/>
      <c r="AT593" s="139"/>
      <c r="AU593" s="139"/>
      <c r="AV593" s="139"/>
      <c r="AW593" s="139"/>
      <c r="AX593" s="139"/>
      <c r="AY593" s="139"/>
      <c r="AZ593" s="139"/>
      <c r="BA593" s="139"/>
      <c r="BB593" s="139"/>
      <c r="BC593" s="139"/>
      <c r="BD593" s="139"/>
      <c r="BE593" s="139"/>
      <c r="BF593" s="139"/>
      <c r="BG593" s="139"/>
      <c r="BH593" s="139"/>
    </row>
    <row r="594" spans="2:60" s="11" customFormat="1" ht="20.100000000000001" customHeight="1">
      <c r="B594" s="1360"/>
      <c r="C594" s="5598"/>
      <c r="D594" s="9586" t="s">
        <v>444</v>
      </c>
      <c r="E594" s="9588"/>
      <c r="F594" s="492" t="s">
        <v>344</v>
      </c>
      <c r="G594" s="666"/>
      <c r="H594" s="666"/>
      <c r="I594" s="9586" t="s">
        <v>445</v>
      </c>
      <c r="J594" s="9588"/>
      <c r="K594" s="492" t="s">
        <v>344</v>
      </c>
      <c r="L594" s="5653" t="str">
        <f>IF(COUNTBLANK(L595:L600)&gt;0,"미취합법인有",SUM(L595:L600))</f>
        <v>미취합법인有</v>
      </c>
      <c r="M594" s="5657"/>
      <c r="N594" s="5654" t="str">
        <f>IF(COUNTBLANK(N595:N600)&gt;0,"미취합법인有",SUM(N595:N600))</f>
        <v>미취합법인有</v>
      </c>
      <c r="O594" s="5945"/>
      <c r="P594" s="5946" t="str">
        <f>IF(COUNTBLANK(P595:P600)&gt;0,"미취합법인有",SUM(P595:P600))</f>
        <v>미취합법인有</v>
      </c>
      <c r="Q594" s="785"/>
      <c r="R594" s="2468"/>
      <c r="S594" s="544"/>
      <c r="T594" s="545" t="s">
        <v>417</v>
      </c>
      <c r="U594" s="546"/>
      <c r="V594" s="547"/>
      <c r="W594" s="548"/>
      <c r="X594" s="277" t="s">
        <v>418</v>
      </c>
      <c r="Y594" s="277" t="s">
        <v>419</v>
      </c>
      <c r="Z594" s="187"/>
      <c r="AA594" s="6301"/>
      <c r="AB594" s="139"/>
      <c r="AC594" s="139"/>
      <c r="AD594" s="139"/>
      <c r="AE594" s="139"/>
      <c r="AF594" s="139"/>
      <c r="AG594" s="139"/>
      <c r="AH594" s="139"/>
      <c r="AI594" s="139"/>
      <c r="AJ594" s="139"/>
      <c r="AK594" s="139"/>
      <c r="AL594" s="139"/>
      <c r="AM594" s="139"/>
      <c r="AN594" s="139"/>
      <c r="AO594" s="139"/>
      <c r="AP594" s="139"/>
      <c r="AQ594" s="139"/>
      <c r="AR594" s="139"/>
      <c r="AS594" s="139"/>
      <c r="AT594" s="139"/>
      <c r="AU594" s="139"/>
      <c r="AV594" s="139"/>
      <c r="AW594" s="139"/>
      <c r="AX594" s="139"/>
      <c r="AY594" s="139"/>
      <c r="AZ594" s="139"/>
      <c r="BA594" s="139"/>
      <c r="BB594" s="139"/>
      <c r="BC594" s="139"/>
      <c r="BD594" s="139"/>
      <c r="BE594" s="139"/>
      <c r="BF594" s="139"/>
      <c r="BG594" s="139"/>
      <c r="BH594" s="139"/>
    </row>
    <row r="595" spans="2:60" s="11" customFormat="1" ht="20.100000000000001" customHeight="1">
      <c r="B595" s="1360"/>
      <c r="C595" s="5598"/>
      <c r="D595" s="9598" t="s">
        <v>134</v>
      </c>
      <c r="E595" s="9600"/>
      <c r="F595" s="492" t="s">
        <v>344</v>
      </c>
      <c r="G595" s="666"/>
      <c r="H595" s="666"/>
      <c r="I595" s="9579" t="s">
        <v>135</v>
      </c>
      <c r="J595" s="9581"/>
      <c r="K595" s="492" t="s">
        <v>344</v>
      </c>
      <c r="L595" s="5594">
        <v>0</v>
      </c>
      <c r="M595" s="5669"/>
      <c r="N595" s="6491">
        <v>0.95</v>
      </c>
      <c r="O595" s="6495" t="s">
        <v>697</v>
      </c>
      <c r="P595" s="1814">
        <v>0</v>
      </c>
      <c r="Q595" s="5601"/>
      <c r="R595" s="2468"/>
      <c r="S595" s="544"/>
      <c r="T595" s="545"/>
      <c r="U595" s="546"/>
      <c r="V595" s="547"/>
      <c r="W595" s="548"/>
      <c r="X595" s="277"/>
      <c r="Y595" s="277"/>
      <c r="Z595" s="187"/>
      <c r="AA595" s="6301"/>
      <c r="AB595" s="139"/>
      <c r="AC595" s="139"/>
      <c r="AD595" s="139"/>
      <c r="AE595" s="139"/>
      <c r="AF595" s="139"/>
      <c r="AG595" s="139"/>
      <c r="AH595" s="139"/>
      <c r="AI595" s="139"/>
      <c r="AJ595" s="139"/>
      <c r="AK595" s="139"/>
      <c r="AL595" s="139"/>
      <c r="AM595" s="139"/>
      <c r="AN595" s="139"/>
      <c r="AO595" s="139"/>
      <c r="AP595" s="139"/>
      <c r="AQ595" s="139"/>
      <c r="AR595" s="139"/>
      <c r="AS595" s="139"/>
      <c r="AT595" s="139"/>
      <c r="AU595" s="139"/>
      <c r="AV595" s="139"/>
      <c r="AW595" s="139"/>
      <c r="AX595" s="139"/>
      <c r="AY595" s="139"/>
      <c r="AZ595" s="139"/>
      <c r="BA595" s="139"/>
      <c r="BB595" s="139"/>
      <c r="BC595" s="139"/>
      <c r="BD595" s="139"/>
      <c r="BE595" s="139"/>
      <c r="BF595" s="139"/>
      <c r="BG595" s="139"/>
      <c r="BH595" s="139"/>
    </row>
    <row r="596" spans="2:60" s="11" customFormat="1" ht="20.100000000000001" customHeight="1">
      <c r="B596" s="1360"/>
      <c r="C596" s="5598"/>
      <c r="D596" s="9598" t="s">
        <v>137</v>
      </c>
      <c r="E596" s="9600"/>
      <c r="F596" s="492" t="s">
        <v>344</v>
      </c>
      <c r="G596" s="666"/>
      <c r="H596" s="666"/>
      <c r="I596" s="9579" t="s">
        <v>138</v>
      </c>
      <c r="J596" s="9581"/>
      <c r="K596" s="492" t="s">
        <v>344</v>
      </c>
      <c r="L596" s="5594"/>
      <c r="M596" s="5658"/>
      <c r="N596" s="5601"/>
      <c r="O596" s="5601"/>
      <c r="P596" s="1814"/>
      <c r="Q596" s="5601"/>
      <c r="R596" s="2468"/>
      <c r="S596" s="544"/>
      <c r="T596" s="545"/>
      <c r="U596" s="546"/>
      <c r="V596" s="547"/>
      <c r="W596" s="548"/>
      <c r="X596" s="277"/>
      <c r="Y596" s="277"/>
      <c r="Z596" s="187"/>
      <c r="AA596" s="6301"/>
      <c r="AB596" s="139"/>
      <c r="AC596" s="139"/>
      <c r="AD596" s="139"/>
      <c r="AE596" s="139"/>
      <c r="AF596" s="139"/>
      <c r="AG596" s="139"/>
      <c r="AH596" s="139"/>
      <c r="AI596" s="139"/>
      <c r="AJ596" s="139"/>
      <c r="AK596" s="139"/>
      <c r="AL596" s="139"/>
      <c r="AM596" s="139"/>
      <c r="AN596" s="139"/>
      <c r="AO596" s="139"/>
      <c r="AP596" s="139"/>
      <c r="AQ596" s="139"/>
      <c r="AR596" s="139"/>
      <c r="AS596" s="139"/>
      <c r="AT596" s="139"/>
      <c r="AU596" s="139"/>
      <c r="AV596" s="139"/>
      <c r="AW596" s="139"/>
      <c r="AX596" s="139"/>
      <c r="AY596" s="139"/>
      <c r="AZ596" s="139"/>
      <c r="BA596" s="139"/>
      <c r="BB596" s="139"/>
      <c r="BC596" s="139"/>
      <c r="BD596" s="139"/>
      <c r="BE596" s="139"/>
      <c r="BF596" s="139"/>
      <c r="BG596" s="139"/>
      <c r="BH596" s="139"/>
    </row>
    <row r="597" spans="2:60" s="11" customFormat="1" ht="20.100000000000001" customHeight="1">
      <c r="B597" s="1360"/>
      <c r="C597" s="5598"/>
      <c r="D597" s="9598" t="s">
        <v>140</v>
      </c>
      <c r="E597" s="9600"/>
      <c r="F597" s="492" t="s">
        <v>344</v>
      </c>
      <c r="G597" s="666"/>
      <c r="H597" s="666"/>
      <c r="I597" s="9582" t="s">
        <v>141</v>
      </c>
      <c r="J597" s="9583"/>
      <c r="K597" s="492" t="s">
        <v>344</v>
      </c>
      <c r="L597" s="5967" t="s">
        <v>168</v>
      </c>
      <c r="M597" s="5656" t="s">
        <v>641</v>
      </c>
      <c r="N597" s="5593" t="s">
        <v>168</v>
      </c>
      <c r="O597" s="5948" t="s">
        <v>641</v>
      </c>
      <c r="P597" s="5948" t="s">
        <v>168</v>
      </c>
      <c r="Q597" s="5948" t="s">
        <v>641</v>
      </c>
      <c r="R597" s="2468"/>
      <c r="S597" s="544"/>
      <c r="T597" s="545"/>
      <c r="U597" s="546"/>
      <c r="V597" s="547"/>
      <c r="W597" s="548"/>
      <c r="X597" s="277"/>
      <c r="Y597" s="277"/>
      <c r="Z597" s="187"/>
      <c r="AA597" s="6301"/>
      <c r="AB597" s="139"/>
      <c r="AC597" s="139"/>
      <c r="AD597" s="139"/>
      <c r="AE597" s="139"/>
      <c r="AF597" s="139"/>
      <c r="AG597" s="139"/>
      <c r="AH597" s="139"/>
      <c r="AI597" s="139"/>
      <c r="AJ597" s="139"/>
      <c r="AK597" s="139"/>
      <c r="AL597" s="139"/>
      <c r="AM597" s="139"/>
      <c r="AN597" s="139"/>
      <c r="AO597" s="139"/>
      <c r="AP597" s="139"/>
      <c r="AQ597" s="139"/>
      <c r="AR597" s="139"/>
      <c r="AS597" s="139"/>
      <c r="AT597" s="139"/>
      <c r="AU597" s="139"/>
      <c r="AV597" s="139"/>
      <c r="AW597" s="139"/>
      <c r="AX597" s="139"/>
      <c r="AY597" s="139"/>
      <c r="AZ597" s="139"/>
      <c r="BA597" s="139"/>
      <c r="BB597" s="139"/>
      <c r="BC597" s="139"/>
      <c r="BD597" s="139"/>
      <c r="BE597" s="139"/>
      <c r="BF597" s="139"/>
      <c r="BG597" s="139"/>
      <c r="BH597" s="139"/>
    </row>
    <row r="598" spans="2:60" s="11" customFormat="1" ht="20.100000000000001" customHeight="1">
      <c r="B598" s="1360"/>
      <c r="C598" s="5598"/>
      <c r="D598" s="9598" t="s">
        <v>143</v>
      </c>
      <c r="E598" s="9600"/>
      <c r="F598" s="492" t="s">
        <v>344</v>
      </c>
      <c r="G598" s="666"/>
      <c r="H598" s="666"/>
      <c r="I598" s="9582" t="s">
        <v>144</v>
      </c>
      <c r="J598" s="9583"/>
      <c r="K598" s="492" t="s">
        <v>344</v>
      </c>
      <c r="L598" s="5594"/>
      <c r="M598" s="5658"/>
      <c r="N598" s="5601"/>
      <c r="O598" s="5601"/>
      <c r="P598" s="5601"/>
      <c r="Q598" s="5601"/>
      <c r="R598" s="2468"/>
      <c r="S598" s="544"/>
      <c r="T598" s="545"/>
      <c r="U598" s="546"/>
      <c r="V598" s="547"/>
      <c r="W598" s="548"/>
      <c r="X598" s="277"/>
      <c r="Y598" s="277"/>
      <c r="Z598" s="187"/>
      <c r="AA598" s="6301"/>
      <c r="AB598" s="139"/>
      <c r="AC598" s="139"/>
      <c r="AD598" s="139"/>
      <c r="AE598" s="139"/>
      <c r="AF598" s="139"/>
      <c r="AG598" s="139"/>
      <c r="AH598" s="139"/>
      <c r="AI598" s="139"/>
      <c r="AJ598" s="139"/>
      <c r="AK598" s="139"/>
      <c r="AL598" s="139"/>
      <c r="AM598" s="139"/>
      <c r="AN598" s="139"/>
      <c r="AO598" s="139"/>
      <c r="AP598" s="139"/>
      <c r="AQ598" s="139"/>
      <c r="AR598" s="139"/>
      <c r="AS598" s="139"/>
      <c r="AT598" s="139"/>
      <c r="AU598" s="139"/>
      <c r="AV598" s="139"/>
      <c r="AW598" s="139"/>
      <c r="AX598" s="139"/>
      <c r="AY598" s="139"/>
      <c r="AZ598" s="139"/>
      <c r="BA598" s="139"/>
      <c r="BB598" s="139"/>
      <c r="BC598" s="139"/>
      <c r="BD598" s="139"/>
      <c r="BE598" s="139"/>
      <c r="BF598" s="139"/>
      <c r="BG598" s="139"/>
      <c r="BH598" s="139"/>
    </row>
    <row r="599" spans="2:60" s="11" customFormat="1" ht="20.100000000000001" customHeight="1">
      <c r="B599" s="1360"/>
      <c r="C599" s="5598"/>
      <c r="D599" s="9598" t="s">
        <v>631</v>
      </c>
      <c r="E599" s="9600"/>
      <c r="F599" s="492" t="s">
        <v>344</v>
      </c>
      <c r="G599" s="666"/>
      <c r="H599" s="666"/>
      <c r="I599" s="9582" t="s">
        <v>147</v>
      </c>
      <c r="J599" s="9583"/>
      <c r="K599" s="492" t="s">
        <v>344</v>
      </c>
      <c r="L599" s="5967" t="s">
        <v>168</v>
      </c>
      <c r="M599" s="5656" t="s">
        <v>641</v>
      </c>
      <c r="N599" s="5593" t="s">
        <v>168</v>
      </c>
      <c r="O599" s="5948" t="s">
        <v>641</v>
      </c>
      <c r="P599" s="5948" t="s">
        <v>168</v>
      </c>
      <c r="Q599" s="5948" t="s">
        <v>641</v>
      </c>
      <c r="R599" s="2468"/>
      <c r="S599" s="544"/>
      <c r="T599" s="545"/>
      <c r="U599" s="546"/>
      <c r="V599" s="547"/>
      <c r="W599" s="548"/>
      <c r="X599" s="277"/>
      <c r="Y599" s="277"/>
      <c r="Z599" s="187"/>
      <c r="AA599" s="6301"/>
      <c r="AB599" s="139"/>
      <c r="AC599" s="139"/>
      <c r="AD599" s="139"/>
      <c r="AE599" s="139"/>
      <c r="AF599" s="139"/>
      <c r="AG599" s="139"/>
      <c r="AH599" s="139"/>
      <c r="AI599" s="139"/>
      <c r="AJ599" s="139"/>
      <c r="AK599" s="139"/>
      <c r="AL599" s="139"/>
      <c r="AM599" s="139"/>
      <c r="AN599" s="139"/>
      <c r="AO599" s="139"/>
      <c r="AP599" s="139"/>
      <c r="AQ599" s="139"/>
      <c r="AR599" s="139"/>
      <c r="AS599" s="139"/>
      <c r="AT599" s="139"/>
      <c r="AU599" s="139"/>
      <c r="AV599" s="139"/>
      <c r="AW599" s="139"/>
      <c r="AX599" s="139"/>
      <c r="AY599" s="139"/>
      <c r="AZ599" s="139"/>
      <c r="BA599" s="139"/>
      <c r="BB599" s="139"/>
      <c r="BC599" s="139"/>
      <c r="BD599" s="139"/>
      <c r="BE599" s="139"/>
      <c r="BF599" s="139"/>
      <c r="BG599" s="139"/>
      <c r="BH599" s="139"/>
    </row>
    <row r="600" spans="2:60" s="11" customFormat="1" ht="20.100000000000001" customHeight="1">
      <c r="B600" s="1360"/>
      <c r="C600" s="5598"/>
      <c r="D600" s="9598" t="s">
        <v>633</v>
      </c>
      <c r="E600" s="9600"/>
      <c r="F600" s="492" t="s">
        <v>344</v>
      </c>
      <c r="G600" s="666"/>
      <c r="H600" s="666"/>
      <c r="I600" s="9582" t="s">
        <v>150</v>
      </c>
      <c r="J600" s="9583"/>
      <c r="K600" s="492" t="s">
        <v>344</v>
      </c>
      <c r="L600" s="5594">
        <v>0</v>
      </c>
      <c r="M600" s="5658"/>
      <c r="N600" s="5601">
        <v>0</v>
      </c>
      <c r="O600" s="5601"/>
      <c r="P600" s="1814">
        <v>0</v>
      </c>
      <c r="Q600" s="5601"/>
      <c r="R600" s="2468"/>
      <c r="S600" s="544"/>
      <c r="T600" s="545"/>
      <c r="U600" s="546"/>
      <c r="V600" s="547"/>
      <c r="W600" s="548"/>
      <c r="X600" s="277"/>
      <c r="Y600" s="277"/>
      <c r="Z600" s="187"/>
      <c r="AA600" s="6301"/>
      <c r="AB600" s="139"/>
      <c r="AC600" s="139"/>
      <c r="AD600" s="139"/>
      <c r="AE600" s="139"/>
      <c r="AF600" s="139"/>
      <c r="AG600" s="139"/>
      <c r="AH600" s="139"/>
      <c r="AI600" s="139"/>
      <c r="AJ600" s="139"/>
      <c r="AK600" s="139"/>
      <c r="AL600" s="139"/>
      <c r="AM600" s="139"/>
      <c r="AN600" s="139"/>
      <c r="AO600" s="139"/>
      <c r="AP600" s="139"/>
      <c r="AQ600" s="139"/>
      <c r="AR600" s="139"/>
      <c r="AS600" s="139"/>
      <c r="AT600" s="139"/>
      <c r="AU600" s="139"/>
      <c r="AV600" s="139"/>
      <c r="AW600" s="139"/>
      <c r="AX600" s="139"/>
      <c r="AY600" s="139"/>
      <c r="AZ600" s="139"/>
      <c r="BA600" s="139"/>
      <c r="BB600" s="139"/>
      <c r="BC600" s="139"/>
      <c r="BD600" s="139"/>
      <c r="BE600" s="139"/>
      <c r="BF600" s="139"/>
      <c r="BG600" s="139"/>
      <c r="BH600" s="139"/>
    </row>
    <row r="601" spans="2:60" s="11" customFormat="1" ht="20.100000000000001" customHeight="1">
      <c r="B601" s="1360"/>
      <c r="C601" s="6182"/>
      <c r="D601" s="6174"/>
      <c r="E601" s="5604" t="s">
        <v>446</v>
      </c>
      <c r="F601" s="492" t="s">
        <v>344</v>
      </c>
      <c r="G601" s="358"/>
      <c r="H601" s="6132"/>
      <c r="I601" s="1545"/>
      <c r="J601" s="5604" t="s">
        <v>426</v>
      </c>
      <c r="K601" s="492" t="s">
        <v>344</v>
      </c>
      <c r="L601" s="5653" t="str">
        <f>IF(COUNTBLANK(L602:L607)&gt;0,"미취합법인有",SUM(L602:L607))</f>
        <v>미취합법인有</v>
      </c>
      <c r="M601" s="5657"/>
      <c r="N601" s="5654" t="str">
        <f>IF(COUNTBLANK(N602:N607)&gt;0,"미취합법인有",SUM(N602:N607))</f>
        <v>미취합법인有</v>
      </c>
      <c r="O601" s="5945"/>
      <c r="P601" s="5946" t="str">
        <f>IF(COUNTBLANK(P602:P607)&gt;0,"미취합법인有",SUM(P602:P607))</f>
        <v>미취합법인有</v>
      </c>
      <c r="Q601" s="785"/>
      <c r="R601" s="2468" t="s">
        <v>427</v>
      </c>
      <c r="S601" s="544" t="s">
        <v>447</v>
      </c>
      <c r="T601" s="545" t="s">
        <v>417</v>
      </c>
      <c r="U601" s="547"/>
      <c r="V601" s="547"/>
      <c r="W601" s="545"/>
      <c r="X601" s="277" t="s">
        <v>429</v>
      </c>
      <c r="Y601" s="265"/>
      <c r="Z601" s="187"/>
      <c r="AA601" s="6301"/>
      <c r="AB601" s="139"/>
      <c r="AC601" s="139"/>
      <c r="AD601" s="139"/>
      <c r="AE601" s="139"/>
      <c r="AF601" s="139"/>
      <c r="AG601" s="139"/>
      <c r="AH601" s="139"/>
      <c r="AI601" s="139"/>
      <c r="AJ601" s="139"/>
      <c r="AK601" s="139"/>
      <c r="AL601" s="139"/>
      <c r="AM601" s="139"/>
      <c r="AN601" s="139"/>
      <c r="AO601" s="139"/>
      <c r="AP601" s="139"/>
      <c r="AQ601" s="139"/>
      <c r="AR601" s="139"/>
      <c r="AS601" s="139"/>
      <c r="AT601" s="139"/>
      <c r="AU601" s="139"/>
      <c r="AV601" s="139"/>
      <c r="AW601" s="139"/>
      <c r="AX601" s="139"/>
      <c r="AY601" s="139"/>
      <c r="AZ601" s="139"/>
      <c r="BA601" s="139"/>
      <c r="BB601" s="139"/>
      <c r="BC601" s="139"/>
      <c r="BD601" s="139"/>
      <c r="BE601" s="139"/>
      <c r="BF601" s="139"/>
      <c r="BG601" s="139"/>
      <c r="BH601" s="139"/>
    </row>
    <row r="602" spans="2:60" s="11" customFormat="1" ht="20.100000000000001" customHeight="1">
      <c r="B602" s="1360"/>
      <c r="C602" s="6246"/>
      <c r="D602" s="6174"/>
      <c r="E602" s="357" t="s">
        <v>134</v>
      </c>
      <c r="F602" s="492" t="s">
        <v>344</v>
      </c>
      <c r="G602" s="666"/>
      <c r="H602" s="6173"/>
      <c r="I602" s="1545"/>
      <c r="J602" s="551" t="s">
        <v>431</v>
      </c>
      <c r="K602" s="492" t="s">
        <v>344</v>
      </c>
      <c r="L602" s="5594">
        <v>0</v>
      </c>
      <c r="M602" s="5658"/>
      <c r="N602" s="5601">
        <v>0</v>
      </c>
      <c r="O602" s="5601"/>
      <c r="P602" s="1814">
        <v>0</v>
      </c>
      <c r="Q602" s="5601"/>
      <c r="R602" s="2468"/>
      <c r="S602" s="544"/>
      <c r="T602" s="545"/>
      <c r="U602" s="547"/>
      <c r="V602" s="547"/>
      <c r="W602" s="545"/>
      <c r="X602" s="277"/>
      <c r="Y602" s="277"/>
      <c r="Z602" s="187"/>
      <c r="AA602" s="6301"/>
      <c r="AB602" s="139"/>
      <c r="AC602" s="139"/>
      <c r="AD602" s="139"/>
      <c r="AE602" s="139"/>
      <c r="AF602" s="139"/>
      <c r="AG602" s="139"/>
      <c r="AH602" s="139"/>
      <c r="AI602" s="139"/>
      <c r="AJ602" s="139"/>
      <c r="AK602" s="139"/>
      <c r="AL602" s="139"/>
      <c r="AM602" s="139"/>
      <c r="AN602" s="139"/>
      <c r="AO602" s="139"/>
      <c r="AP602" s="139"/>
      <c r="AQ602" s="139"/>
      <c r="AR602" s="139"/>
      <c r="AS602" s="139"/>
      <c r="AT602" s="139"/>
      <c r="AU602" s="139"/>
      <c r="AV602" s="139"/>
      <c r="AW602" s="139"/>
      <c r="AX602" s="139"/>
      <c r="AY602" s="139"/>
      <c r="AZ602" s="139"/>
      <c r="BA602" s="139"/>
      <c r="BB602" s="139"/>
      <c r="BC602" s="139"/>
      <c r="BD602" s="139"/>
      <c r="BE602" s="139"/>
      <c r="BF602" s="139"/>
      <c r="BG602" s="139"/>
      <c r="BH602" s="139"/>
    </row>
    <row r="603" spans="2:60" s="11" customFormat="1" ht="20.100000000000001" customHeight="1">
      <c r="B603" s="1360"/>
      <c r="C603" s="6246"/>
      <c r="D603" s="6174"/>
      <c r="E603" s="357" t="s">
        <v>137</v>
      </c>
      <c r="F603" s="492" t="s">
        <v>344</v>
      </c>
      <c r="G603" s="666"/>
      <c r="H603" s="6173"/>
      <c r="I603" s="1545"/>
      <c r="J603" s="551" t="s">
        <v>449</v>
      </c>
      <c r="K603" s="492" t="s">
        <v>344</v>
      </c>
      <c r="L603" s="5594"/>
      <c r="M603" s="5658"/>
      <c r="N603" s="5601"/>
      <c r="O603" s="5667"/>
      <c r="P603" s="5602"/>
      <c r="Q603" s="5758"/>
      <c r="R603" s="2468"/>
      <c r="S603" s="544"/>
      <c r="T603" s="545"/>
      <c r="U603" s="547"/>
      <c r="V603" s="547"/>
      <c r="W603" s="545"/>
      <c r="X603" s="277"/>
      <c r="Y603" s="277"/>
      <c r="Z603" s="187"/>
      <c r="AA603" s="6301"/>
      <c r="AB603" s="139"/>
      <c r="AC603" s="139"/>
      <c r="AD603" s="139"/>
      <c r="AE603" s="139"/>
      <c r="AF603" s="139"/>
      <c r="AG603" s="139"/>
      <c r="AH603" s="139"/>
      <c r="AI603" s="139"/>
      <c r="AJ603" s="139"/>
      <c r="AK603" s="139"/>
      <c r="AL603" s="139"/>
      <c r="AM603" s="139"/>
      <c r="AN603" s="139"/>
      <c r="AO603" s="139"/>
      <c r="AP603" s="139"/>
      <c r="AQ603" s="139"/>
      <c r="AR603" s="139"/>
      <c r="AS603" s="139"/>
      <c r="AT603" s="139"/>
      <c r="AU603" s="139"/>
      <c r="AV603" s="139"/>
      <c r="AW603" s="139"/>
      <c r="AX603" s="139"/>
      <c r="AY603" s="139"/>
      <c r="AZ603" s="139"/>
      <c r="BA603" s="139"/>
      <c r="BB603" s="139"/>
      <c r="BC603" s="139"/>
      <c r="BD603" s="139"/>
      <c r="BE603" s="139"/>
      <c r="BF603" s="139"/>
      <c r="BG603" s="139"/>
      <c r="BH603" s="139"/>
    </row>
    <row r="604" spans="2:60" s="11" customFormat="1" ht="20.100000000000001" customHeight="1">
      <c r="B604" s="1360"/>
      <c r="C604" s="6246"/>
      <c r="D604" s="6174"/>
      <c r="E604" s="357" t="s">
        <v>140</v>
      </c>
      <c r="F604" s="492" t="s">
        <v>344</v>
      </c>
      <c r="G604" s="666"/>
      <c r="H604" s="6173"/>
      <c r="I604" s="1545"/>
      <c r="J604" s="551" t="s">
        <v>450</v>
      </c>
      <c r="K604" s="492" t="s">
        <v>344</v>
      </c>
      <c r="L604" s="5967" t="s">
        <v>168</v>
      </c>
      <c r="M604" s="5656" t="s">
        <v>641</v>
      </c>
      <c r="N604" s="5593" t="s">
        <v>168</v>
      </c>
      <c r="O604" s="5948" t="s">
        <v>641</v>
      </c>
      <c r="P604" s="5948" t="s">
        <v>168</v>
      </c>
      <c r="Q604" s="5948" t="s">
        <v>641</v>
      </c>
      <c r="R604" s="2468"/>
      <c r="S604" s="544"/>
      <c r="T604" s="545"/>
      <c r="U604" s="547"/>
      <c r="V604" s="547"/>
      <c r="W604" s="545"/>
      <c r="X604" s="277"/>
      <c r="Y604" s="277"/>
      <c r="Z604" s="187"/>
      <c r="AA604" s="6301"/>
      <c r="AB604" s="139"/>
      <c r="AC604" s="139"/>
      <c r="AD604" s="139"/>
      <c r="AE604" s="139"/>
      <c r="AF604" s="139"/>
      <c r="AG604" s="139"/>
      <c r="AH604" s="139"/>
      <c r="AI604" s="139"/>
      <c r="AJ604" s="139"/>
      <c r="AK604" s="139"/>
      <c r="AL604" s="139"/>
      <c r="AM604" s="139"/>
      <c r="AN604" s="139"/>
      <c r="AO604" s="139"/>
      <c r="AP604" s="139"/>
      <c r="AQ604" s="139"/>
      <c r="AR604" s="139"/>
      <c r="AS604" s="139"/>
      <c r="AT604" s="139"/>
      <c r="AU604" s="139"/>
      <c r="AV604" s="139"/>
      <c r="AW604" s="139"/>
      <c r="AX604" s="139"/>
      <c r="AY604" s="139"/>
      <c r="AZ604" s="139"/>
      <c r="BA604" s="139"/>
      <c r="BB604" s="139"/>
      <c r="BC604" s="139"/>
      <c r="BD604" s="139"/>
      <c r="BE604" s="139"/>
      <c r="BF604" s="139"/>
      <c r="BG604" s="139"/>
      <c r="BH604" s="139"/>
    </row>
    <row r="605" spans="2:60" s="11" customFormat="1" ht="20.100000000000001" customHeight="1">
      <c r="B605" s="1360"/>
      <c r="C605" s="6246"/>
      <c r="D605" s="6174"/>
      <c r="E605" s="357" t="s">
        <v>143</v>
      </c>
      <c r="F605" s="492" t="s">
        <v>344</v>
      </c>
      <c r="G605" s="666"/>
      <c r="H605" s="6173"/>
      <c r="I605" s="1545"/>
      <c r="J605" s="551" t="s">
        <v>451</v>
      </c>
      <c r="K605" s="492" t="s">
        <v>344</v>
      </c>
      <c r="L605" s="5594"/>
      <c r="M605" s="5658"/>
      <c r="N605" s="5601"/>
      <c r="O605" s="5658"/>
      <c r="P605" s="5601"/>
      <c r="Q605" s="5758"/>
      <c r="R605" s="2468"/>
      <c r="S605" s="544"/>
      <c r="T605" s="545"/>
      <c r="U605" s="547"/>
      <c r="V605" s="547"/>
      <c r="W605" s="545"/>
      <c r="X605" s="277"/>
      <c r="Y605" s="277"/>
      <c r="Z605" s="187"/>
      <c r="AA605" s="6301"/>
      <c r="AB605" s="139"/>
      <c r="AC605" s="139"/>
      <c r="AD605" s="139"/>
      <c r="AE605" s="139"/>
      <c r="AF605" s="139"/>
      <c r="AG605" s="139"/>
      <c r="AH605" s="139"/>
      <c r="AI605" s="139"/>
      <c r="AJ605" s="139"/>
      <c r="AK605" s="139"/>
      <c r="AL605" s="139"/>
      <c r="AM605" s="139"/>
      <c r="AN605" s="139"/>
      <c r="AO605" s="139"/>
      <c r="AP605" s="139"/>
      <c r="AQ605" s="139"/>
      <c r="AR605" s="139"/>
      <c r="AS605" s="139"/>
      <c r="AT605" s="139"/>
      <c r="AU605" s="139"/>
      <c r="AV605" s="139"/>
      <c r="AW605" s="139"/>
      <c r="AX605" s="139"/>
      <c r="AY605" s="139"/>
      <c r="AZ605" s="139"/>
      <c r="BA605" s="139"/>
      <c r="BB605" s="139"/>
      <c r="BC605" s="139"/>
      <c r="BD605" s="139"/>
      <c r="BE605" s="139"/>
      <c r="BF605" s="139"/>
      <c r="BG605" s="139"/>
      <c r="BH605" s="139"/>
    </row>
    <row r="606" spans="2:60" s="11" customFormat="1" ht="20.100000000000001" customHeight="1">
      <c r="B606" s="1360"/>
      <c r="C606" s="6246"/>
      <c r="D606" s="6174"/>
      <c r="E606" s="357" t="s">
        <v>631</v>
      </c>
      <c r="F606" s="492" t="s">
        <v>344</v>
      </c>
      <c r="G606" s="666"/>
      <c r="H606" s="6173"/>
      <c r="I606" s="1545"/>
      <c r="J606" s="551" t="s">
        <v>452</v>
      </c>
      <c r="K606" s="492" t="s">
        <v>344</v>
      </c>
      <c r="L606" s="5967" t="s">
        <v>168</v>
      </c>
      <c r="M606" s="5656" t="s">
        <v>641</v>
      </c>
      <c r="N606" s="5593" t="s">
        <v>168</v>
      </c>
      <c r="O606" s="5593" t="s">
        <v>641</v>
      </c>
      <c r="P606" s="5593" t="s">
        <v>168</v>
      </c>
      <c r="Q606" s="5948" t="s">
        <v>641</v>
      </c>
      <c r="R606" s="2468"/>
      <c r="S606" s="544"/>
      <c r="T606" s="545"/>
      <c r="U606" s="547"/>
      <c r="V606" s="547"/>
      <c r="W606" s="545"/>
      <c r="X606" s="277"/>
      <c r="Y606" s="277"/>
      <c r="Z606" s="187"/>
      <c r="AA606" s="6301"/>
      <c r="AB606" s="139"/>
      <c r="AC606" s="139"/>
      <c r="AD606" s="139"/>
      <c r="AE606" s="139"/>
      <c r="AF606" s="139"/>
      <c r="AG606" s="139"/>
      <c r="AH606" s="139"/>
      <c r="AI606" s="139"/>
      <c r="AJ606" s="139"/>
      <c r="AK606" s="139"/>
      <c r="AL606" s="139"/>
      <c r="AM606" s="139"/>
      <c r="AN606" s="139"/>
      <c r="AO606" s="139"/>
      <c r="AP606" s="139"/>
      <c r="AQ606" s="139"/>
      <c r="AR606" s="139"/>
      <c r="AS606" s="139"/>
      <c r="AT606" s="139"/>
      <c r="AU606" s="139"/>
      <c r="AV606" s="139"/>
      <c r="AW606" s="139"/>
      <c r="AX606" s="139"/>
      <c r="AY606" s="139"/>
      <c r="AZ606" s="139"/>
      <c r="BA606" s="139"/>
      <c r="BB606" s="139"/>
      <c r="BC606" s="139"/>
      <c r="BD606" s="139"/>
      <c r="BE606" s="139"/>
      <c r="BF606" s="139"/>
      <c r="BG606" s="139"/>
      <c r="BH606" s="139"/>
    </row>
    <row r="607" spans="2:60" s="11" customFormat="1" ht="20.100000000000001" customHeight="1">
      <c r="B607" s="1360"/>
      <c r="C607" s="6246"/>
      <c r="D607" s="6174"/>
      <c r="E607" s="357" t="s">
        <v>633</v>
      </c>
      <c r="F607" s="492" t="s">
        <v>344</v>
      </c>
      <c r="G607" s="666"/>
      <c r="H607" s="6173"/>
      <c r="I607" s="1545"/>
      <c r="J607" s="551" t="s">
        <v>453</v>
      </c>
      <c r="K607" s="492" t="s">
        <v>344</v>
      </c>
      <c r="L607" s="5594">
        <v>0</v>
      </c>
      <c r="M607" s="5658"/>
      <c r="N607" s="5601">
        <v>0</v>
      </c>
      <c r="O607" s="5667"/>
      <c r="P607" s="5602">
        <v>0</v>
      </c>
      <c r="Q607" s="5758"/>
      <c r="R607" s="2468"/>
      <c r="S607" s="544"/>
      <c r="T607" s="545"/>
      <c r="U607" s="547"/>
      <c r="V607" s="547"/>
      <c r="W607" s="545"/>
      <c r="X607" s="277"/>
      <c r="Y607" s="277"/>
      <c r="Z607" s="187"/>
      <c r="AA607" s="6301"/>
      <c r="AB607" s="139"/>
      <c r="AC607" s="139"/>
      <c r="AD607" s="139"/>
      <c r="AE607" s="139"/>
      <c r="AF607" s="139"/>
      <c r="AG607" s="139"/>
      <c r="AH607" s="139"/>
      <c r="AI607" s="139"/>
      <c r="AJ607" s="139"/>
      <c r="AK607" s="139"/>
      <c r="AL607" s="139"/>
      <c r="AM607" s="139"/>
      <c r="AN607" s="139"/>
      <c r="AO607" s="139"/>
      <c r="AP607" s="139"/>
      <c r="AQ607" s="139"/>
      <c r="AR607" s="139"/>
      <c r="AS607" s="139"/>
      <c r="AT607" s="139"/>
      <c r="AU607" s="139"/>
      <c r="AV607" s="139"/>
      <c r="AW607" s="139"/>
      <c r="AX607" s="139"/>
      <c r="AY607" s="139"/>
      <c r="AZ607" s="139"/>
      <c r="BA607" s="139"/>
      <c r="BB607" s="139"/>
      <c r="BC607" s="139"/>
      <c r="BD607" s="139"/>
      <c r="BE607" s="139"/>
      <c r="BF607" s="139"/>
      <c r="BG607" s="139"/>
      <c r="BH607" s="139"/>
    </row>
    <row r="608" spans="2:60" s="11" customFormat="1" ht="20.100000000000001" customHeight="1">
      <c r="B608" s="1360"/>
      <c r="C608" s="6182"/>
      <c r="D608" s="6174"/>
      <c r="E608" s="5604" t="s">
        <v>454</v>
      </c>
      <c r="F608" s="492" t="s">
        <v>344</v>
      </c>
      <c r="G608" s="358"/>
      <c r="H608" s="6132"/>
      <c r="I608" s="1545"/>
      <c r="J608" s="5604" t="s">
        <v>455</v>
      </c>
      <c r="K608" s="492" t="s">
        <v>344</v>
      </c>
      <c r="L608" s="5653" t="str">
        <f>IF(COUNTBLANK(L609:L614)&gt;0,"미취합법인有",SUM(L609:L614))</f>
        <v>미취합법인有</v>
      </c>
      <c r="M608" s="5657"/>
      <c r="N608" s="5654" t="str">
        <f>IF(COUNTBLANK(N609:N614)&gt;0,"미취합법인有",SUM(N609:N614))</f>
        <v>미취합법인有</v>
      </c>
      <c r="O608" s="5945"/>
      <c r="P608" s="5781" t="str">
        <f>IF(COUNTBLANK(P609:P614)&gt;0,"미취합법인有",SUM(P609:P614))</f>
        <v>미취합법인有</v>
      </c>
      <c r="Q608" s="785"/>
      <c r="R608" s="2468"/>
      <c r="S608" s="276"/>
      <c r="T608" s="99" t="s">
        <v>189</v>
      </c>
      <c r="U608" s="547"/>
      <c r="V608" s="547"/>
      <c r="W608" s="99"/>
      <c r="X608" s="277" t="s">
        <v>418</v>
      </c>
      <c r="Y608" s="277" t="s">
        <v>419</v>
      </c>
      <c r="Z608" s="187"/>
      <c r="AA608" s="6301"/>
      <c r="AB608" s="139"/>
      <c r="AC608" s="139"/>
      <c r="AD608" s="139"/>
      <c r="AE608" s="139"/>
      <c r="AF608" s="139"/>
      <c r="AG608" s="139"/>
      <c r="AH608" s="139"/>
      <c r="AI608" s="139"/>
      <c r="AJ608" s="139"/>
      <c r="AK608" s="139"/>
      <c r="AL608" s="139"/>
      <c r="AM608" s="139"/>
      <c r="AN608" s="139"/>
      <c r="AO608" s="139"/>
      <c r="AP608" s="139"/>
      <c r="AQ608" s="139"/>
      <c r="AR608" s="139"/>
      <c r="AS608" s="139"/>
      <c r="AT608" s="139"/>
      <c r="AU608" s="139"/>
      <c r="AV608" s="139"/>
      <c r="AW608" s="139"/>
      <c r="AX608" s="139"/>
      <c r="AY608" s="139"/>
      <c r="AZ608" s="139"/>
      <c r="BA608" s="139"/>
      <c r="BB608" s="139"/>
      <c r="BC608" s="139"/>
      <c r="BD608" s="139"/>
      <c r="BE608" s="139"/>
      <c r="BF608" s="139"/>
      <c r="BG608" s="139"/>
      <c r="BH608" s="139"/>
    </row>
    <row r="609" spans="2:60" s="11" customFormat="1" ht="20.100000000000001" customHeight="1">
      <c r="B609" s="1360"/>
      <c r="C609" s="6246"/>
      <c r="D609" s="6174"/>
      <c r="E609" s="357" t="s">
        <v>134</v>
      </c>
      <c r="F609" s="492" t="s">
        <v>344</v>
      </c>
      <c r="G609" s="666"/>
      <c r="H609" s="6173"/>
      <c r="I609" s="1545"/>
      <c r="J609" s="551" t="s">
        <v>431</v>
      </c>
      <c r="K609" s="492" t="s">
        <v>344</v>
      </c>
      <c r="L609" s="5594">
        <v>0</v>
      </c>
      <c r="M609" s="5658"/>
      <c r="N609" s="6491">
        <v>0.95</v>
      </c>
      <c r="O609" s="5667"/>
      <c r="P609" s="6494">
        <v>0</v>
      </c>
      <c r="Q609" s="5758"/>
      <c r="R609" s="2468"/>
      <c r="S609" s="544"/>
      <c r="T609" s="545"/>
      <c r="U609" s="547"/>
      <c r="V609" s="547"/>
      <c r="W609" s="545"/>
      <c r="X609" s="277"/>
      <c r="Y609" s="277"/>
      <c r="Z609" s="187"/>
      <c r="AA609" s="6301"/>
      <c r="AB609" s="139"/>
      <c r="AC609" s="139"/>
      <c r="AD609" s="139"/>
      <c r="AE609" s="139"/>
      <c r="AF609" s="139"/>
      <c r="AG609" s="139"/>
      <c r="AH609" s="139"/>
      <c r="AI609" s="139"/>
      <c r="AJ609" s="139"/>
      <c r="AK609" s="139"/>
      <c r="AL609" s="139"/>
      <c r="AM609" s="139"/>
      <c r="AN609" s="139"/>
      <c r="AO609" s="139"/>
      <c r="AP609" s="139"/>
      <c r="AQ609" s="139"/>
      <c r="AR609" s="139"/>
      <c r="AS609" s="139"/>
      <c r="AT609" s="139"/>
      <c r="AU609" s="139"/>
      <c r="AV609" s="139"/>
      <c r="AW609" s="139"/>
      <c r="AX609" s="139"/>
      <c r="AY609" s="139"/>
      <c r="AZ609" s="139"/>
      <c r="BA609" s="139"/>
      <c r="BB609" s="139"/>
      <c r="BC609" s="139"/>
      <c r="BD609" s="139"/>
      <c r="BE609" s="139"/>
      <c r="BF609" s="139"/>
      <c r="BG609" s="139"/>
      <c r="BH609" s="139"/>
    </row>
    <row r="610" spans="2:60" s="11" customFormat="1" ht="20.100000000000001" customHeight="1">
      <c r="B610" s="1360"/>
      <c r="C610" s="6246"/>
      <c r="D610" s="6174"/>
      <c r="E610" s="357" t="s">
        <v>137</v>
      </c>
      <c r="F610" s="492" t="s">
        <v>344</v>
      </c>
      <c r="G610" s="666"/>
      <c r="H610" s="6173"/>
      <c r="I610" s="1545"/>
      <c r="J610" s="551" t="s">
        <v>449</v>
      </c>
      <c r="K610" s="492" t="s">
        <v>344</v>
      </c>
      <c r="L610" s="5594"/>
      <c r="M610" s="5658"/>
      <c r="N610" s="5601"/>
      <c r="O610" s="5667"/>
      <c r="P610" s="5602"/>
      <c r="Q610" s="5758"/>
      <c r="R610" s="2468"/>
      <c r="S610" s="544"/>
      <c r="T610" s="545"/>
      <c r="U610" s="547"/>
      <c r="V610" s="547"/>
      <c r="W610" s="545"/>
      <c r="X610" s="277"/>
      <c r="Y610" s="277"/>
      <c r="Z610" s="187"/>
      <c r="AA610" s="6301"/>
      <c r="AB610" s="139"/>
      <c r="AC610" s="139"/>
      <c r="AD610" s="139"/>
      <c r="AE610" s="139"/>
      <c r="AF610" s="139"/>
      <c r="AG610" s="139"/>
      <c r="AH610" s="139"/>
      <c r="AI610" s="139"/>
      <c r="AJ610" s="139"/>
      <c r="AK610" s="139"/>
      <c r="AL610" s="139"/>
      <c r="AM610" s="139"/>
      <c r="AN610" s="139"/>
      <c r="AO610" s="139"/>
      <c r="AP610" s="139"/>
      <c r="AQ610" s="139"/>
      <c r="AR610" s="139"/>
      <c r="AS610" s="139"/>
      <c r="AT610" s="139"/>
      <c r="AU610" s="139"/>
      <c r="AV610" s="139"/>
      <c r="AW610" s="139"/>
      <c r="AX610" s="139"/>
      <c r="AY610" s="139"/>
      <c r="AZ610" s="139"/>
      <c r="BA610" s="139"/>
      <c r="BB610" s="139"/>
      <c r="BC610" s="139"/>
      <c r="BD610" s="139"/>
      <c r="BE610" s="139"/>
      <c r="BF610" s="139"/>
      <c r="BG610" s="139"/>
      <c r="BH610" s="139"/>
    </row>
    <row r="611" spans="2:60" s="11" customFormat="1" ht="20.100000000000001" customHeight="1">
      <c r="B611" s="1360"/>
      <c r="C611" s="6246"/>
      <c r="D611" s="6174"/>
      <c r="E611" s="357" t="s">
        <v>140</v>
      </c>
      <c r="F611" s="492" t="s">
        <v>344</v>
      </c>
      <c r="G611" s="666"/>
      <c r="H611" s="6173"/>
      <c r="I611" s="1545"/>
      <c r="J611" s="551" t="s">
        <v>450</v>
      </c>
      <c r="K611" s="492" t="s">
        <v>344</v>
      </c>
      <c r="L611" s="5967" t="s">
        <v>168</v>
      </c>
      <c r="M611" s="5656" t="s">
        <v>641</v>
      </c>
      <c r="N611" s="5593" t="s">
        <v>168</v>
      </c>
      <c r="O611" s="5948" t="s">
        <v>641</v>
      </c>
      <c r="P611" s="5948" t="s">
        <v>168</v>
      </c>
      <c r="Q611" s="5948" t="s">
        <v>641</v>
      </c>
      <c r="R611" s="2468"/>
      <c r="S611" s="544"/>
      <c r="T611" s="545"/>
      <c r="U611" s="547"/>
      <c r="V611" s="547"/>
      <c r="W611" s="545"/>
      <c r="X611" s="277"/>
      <c r="Y611" s="277"/>
      <c r="Z611" s="187"/>
      <c r="AA611" s="6301"/>
      <c r="AB611" s="139"/>
      <c r="AC611" s="139"/>
      <c r="AD611" s="139"/>
      <c r="AE611" s="139"/>
      <c r="AF611" s="139"/>
      <c r="AG611" s="139"/>
      <c r="AH611" s="139"/>
      <c r="AI611" s="139"/>
      <c r="AJ611" s="139"/>
      <c r="AK611" s="139"/>
      <c r="AL611" s="139"/>
      <c r="AM611" s="139"/>
      <c r="AN611" s="139"/>
      <c r="AO611" s="139"/>
      <c r="AP611" s="139"/>
      <c r="AQ611" s="139"/>
      <c r="AR611" s="139"/>
      <c r="AS611" s="139"/>
      <c r="AT611" s="139"/>
      <c r="AU611" s="139"/>
      <c r="AV611" s="139"/>
      <c r="AW611" s="139"/>
      <c r="AX611" s="139"/>
      <c r="AY611" s="139"/>
      <c r="AZ611" s="139"/>
      <c r="BA611" s="139"/>
      <c r="BB611" s="139"/>
      <c r="BC611" s="139"/>
      <c r="BD611" s="139"/>
      <c r="BE611" s="139"/>
      <c r="BF611" s="139"/>
      <c r="BG611" s="139"/>
      <c r="BH611" s="139"/>
    </row>
    <row r="612" spans="2:60" s="11" customFormat="1" ht="20.100000000000001" customHeight="1">
      <c r="B612" s="1360"/>
      <c r="C612" s="6246"/>
      <c r="D612" s="6174"/>
      <c r="E612" s="357" t="s">
        <v>143</v>
      </c>
      <c r="F612" s="492" t="s">
        <v>344</v>
      </c>
      <c r="G612" s="666"/>
      <c r="H612" s="6173"/>
      <c r="I612" s="1545"/>
      <c r="J612" s="551" t="s">
        <v>451</v>
      </c>
      <c r="K612" s="492" t="s">
        <v>344</v>
      </c>
      <c r="L612" s="5594"/>
      <c r="M612" s="5658"/>
      <c r="N612" s="5601"/>
      <c r="O612" s="5658"/>
      <c r="P612" s="5601"/>
      <c r="Q612" s="5758"/>
      <c r="R612" s="2468"/>
      <c r="S612" s="544"/>
      <c r="T612" s="545"/>
      <c r="U612" s="547"/>
      <c r="V612" s="547"/>
      <c r="W612" s="545"/>
      <c r="X612" s="277"/>
      <c r="Y612" s="277"/>
      <c r="Z612" s="187"/>
      <c r="AA612" s="6301"/>
      <c r="AB612" s="139"/>
      <c r="AC612" s="139"/>
      <c r="AD612" s="139"/>
      <c r="AE612" s="139"/>
      <c r="AF612" s="139"/>
      <c r="AG612" s="139"/>
      <c r="AH612" s="139"/>
      <c r="AI612" s="139"/>
      <c r="AJ612" s="139"/>
      <c r="AK612" s="139"/>
      <c r="AL612" s="139"/>
      <c r="AM612" s="139"/>
      <c r="AN612" s="139"/>
      <c r="AO612" s="139"/>
      <c r="AP612" s="139"/>
      <c r="AQ612" s="139"/>
      <c r="AR612" s="139"/>
      <c r="AS612" s="139"/>
      <c r="AT612" s="139"/>
      <c r="AU612" s="139"/>
      <c r="AV612" s="139"/>
      <c r="AW612" s="139"/>
      <c r="AX612" s="139"/>
      <c r="AY612" s="139"/>
      <c r="AZ612" s="139"/>
      <c r="BA612" s="139"/>
      <c r="BB612" s="139"/>
      <c r="BC612" s="139"/>
      <c r="BD612" s="139"/>
      <c r="BE612" s="139"/>
      <c r="BF612" s="139"/>
      <c r="BG612" s="139"/>
      <c r="BH612" s="139"/>
    </row>
    <row r="613" spans="2:60" s="11" customFormat="1" ht="20.100000000000001" customHeight="1">
      <c r="B613" s="1360"/>
      <c r="C613" s="6246"/>
      <c r="D613" s="6174"/>
      <c r="E613" s="357" t="s">
        <v>631</v>
      </c>
      <c r="F613" s="492" t="s">
        <v>344</v>
      </c>
      <c r="G613" s="666"/>
      <c r="H613" s="6173"/>
      <c r="I613" s="1545"/>
      <c r="J613" s="551" t="s">
        <v>452</v>
      </c>
      <c r="K613" s="492" t="s">
        <v>344</v>
      </c>
      <c r="L613" s="5967" t="s">
        <v>168</v>
      </c>
      <c r="M613" s="5656" t="s">
        <v>641</v>
      </c>
      <c r="N613" s="5593" t="s">
        <v>168</v>
      </c>
      <c r="O613" s="5593" t="s">
        <v>641</v>
      </c>
      <c r="P613" s="5593" t="s">
        <v>168</v>
      </c>
      <c r="Q613" s="5948" t="s">
        <v>641</v>
      </c>
      <c r="R613" s="2468"/>
      <c r="S613" s="544"/>
      <c r="T613" s="545"/>
      <c r="U613" s="547"/>
      <c r="V613" s="547"/>
      <c r="W613" s="545"/>
      <c r="X613" s="277"/>
      <c r="Y613" s="277"/>
      <c r="Z613" s="187"/>
      <c r="AA613" s="6301"/>
      <c r="AB613" s="139"/>
      <c r="AC613" s="139"/>
      <c r="AD613" s="139"/>
      <c r="AE613" s="139"/>
      <c r="AF613" s="139"/>
      <c r="AG613" s="139"/>
      <c r="AH613" s="139"/>
      <c r="AI613" s="139"/>
      <c r="AJ613" s="139"/>
      <c r="AK613" s="139"/>
      <c r="AL613" s="139"/>
      <c r="AM613" s="139"/>
      <c r="AN613" s="139"/>
      <c r="AO613" s="139"/>
      <c r="AP613" s="139"/>
      <c r="AQ613" s="139"/>
      <c r="AR613" s="139"/>
      <c r="AS613" s="139"/>
      <c r="AT613" s="139"/>
      <c r="AU613" s="139"/>
      <c r="AV613" s="139"/>
      <c r="AW613" s="139"/>
      <c r="AX613" s="139"/>
      <c r="AY613" s="139"/>
      <c r="AZ613" s="139"/>
      <c r="BA613" s="139"/>
      <c r="BB613" s="139"/>
      <c r="BC613" s="139"/>
      <c r="BD613" s="139"/>
      <c r="BE613" s="139"/>
      <c r="BF613" s="139"/>
      <c r="BG613" s="139"/>
      <c r="BH613" s="139"/>
    </row>
    <row r="614" spans="2:60" s="11" customFormat="1" ht="20.100000000000001" customHeight="1">
      <c r="B614" s="1360"/>
      <c r="C614" s="6246"/>
      <c r="D614" s="6174"/>
      <c r="E614" s="357" t="s">
        <v>633</v>
      </c>
      <c r="F614" s="492" t="s">
        <v>344</v>
      </c>
      <c r="G614" s="666"/>
      <c r="H614" s="6173"/>
      <c r="I614" s="1545"/>
      <c r="J614" s="551" t="s">
        <v>453</v>
      </c>
      <c r="K614" s="492" t="s">
        <v>344</v>
      </c>
      <c r="L614" s="5594">
        <v>0</v>
      </c>
      <c r="M614" s="5658"/>
      <c r="N614" s="5601">
        <v>0</v>
      </c>
      <c r="O614" s="5667"/>
      <c r="P614" s="5602">
        <v>0</v>
      </c>
      <c r="Q614" s="5758"/>
      <c r="R614" s="2468"/>
      <c r="S614" s="544"/>
      <c r="T614" s="545"/>
      <c r="U614" s="547"/>
      <c r="V614" s="547"/>
      <c r="W614" s="545"/>
      <c r="X614" s="277"/>
      <c r="Y614" s="277"/>
      <c r="Z614" s="187"/>
      <c r="AA614" s="6301"/>
      <c r="AB614" s="139"/>
      <c r="AC614" s="139"/>
      <c r="AD614" s="139"/>
      <c r="AE614" s="139"/>
      <c r="AF614" s="139"/>
      <c r="AG614" s="139"/>
      <c r="AH614" s="139"/>
      <c r="AI614" s="139"/>
      <c r="AJ614" s="139"/>
      <c r="AK614" s="139"/>
      <c r="AL614" s="139"/>
      <c r="AM614" s="139"/>
      <c r="AN614" s="139"/>
      <c r="AO614" s="139"/>
      <c r="AP614" s="139"/>
      <c r="AQ614" s="139"/>
      <c r="AR614" s="139"/>
      <c r="AS614" s="139"/>
      <c r="AT614" s="139"/>
      <c r="AU614" s="139"/>
      <c r="AV614" s="139"/>
      <c r="AW614" s="139"/>
      <c r="AX614" s="139"/>
      <c r="AY614" s="139"/>
      <c r="AZ614" s="139"/>
      <c r="BA614" s="139"/>
      <c r="BB614" s="139"/>
      <c r="BC614" s="139"/>
      <c r="BD614" s="139"/>
      <c r="BE614" s="139"/>
      <c r="BF614" s="139"/>
      <c r="BG614" s="139"/>
      <c r="BH614" s="139"/>
    </row>
    <row r="615" spans="2:60" s="11" customFormat="1" ht="20.100000000000001" customHeight="1">
      <c r="B615" s="1360"/>
      <c r="C615" s="9656" t="s">
        <v>456</v>
      </c>
      <c r="D615" s="9587"/>
      <c r="E615" s="9588"/>
      <c r="F615" s="492" t="s">
        <v>698</v>
      </c>
      <c r="G615" s="571"/>
      <c r="H615" s="9586" t="s">
        <v>458</v>
      </c>
      <c r="I615" s="9587"/>
      <c r="J615" s="9588"/>
      <c r="K615" s="285" t="s">
        <v>459</v>
      </c>
      <c r="L615" s="5653" t="str">
        <f>IF(COUNTBLANK(L616:L621)&gt;0,"미취합법인有",SUM(L616:L621))</f>
        <v>미취합법인有</v>
      </c>
      <c r="M615" s="5657"/>
      <c r="N615" s="5654" t="str">
        <f>IF(COUNTBLANK(N616:N621)&gt;0,"미취합법인有",SUM(N616:N621))</f>
        <v>미취합법인有</v>
      </c>
      <c r="O615" s="5945"/>
      <c r="P615" s="5781" t="str">
        <f>IF(COUNTBLANK(P616:P621)&gt;0,"미취합법인有",SUM(P616:P621))</f>
        <v>미취합법인有</v>
      </c>
      <c r="Q615" s="785"/>
      <c r="R615" s="2468" t="s">
        <v>460</v>
      </c>
      <c r="S615" s="276" t="s">
        <v>461</v>
      </c>
      <c r="T615" s="99" t="s">
        <v>189</v>
      </c>
      <c r="U615" s="547"/>
      <c r="V615" s="547"/>
      <c r="W615" s="99"/>
      <c r="X615" s="277" t="s">
        <v>462</v>
      </c>
      <c r="Y615" s="265"/>
      <c r="Z615" s="187"/>
      <c r="AA615" s="6301"/>
      <c r="AB615" s="139"/>
      <c r="AC615" s="1377" t="s">
        <v>463</v>
      </c>
      <c r="AD615" s="139"/>
      <c r="AE615" s="139"/>
      <c r="AF615" s="139"/>
      <c r="AG615" s="139"/>
      <c r="AH615" s="139"/>
      <c r="AI615" s="139"/>
      <c r="AJ615" s="139"/>
      <c r="AK615" s="139"/>
      <c r="AL615" s="139"/>
      <c r="AM615" s="139"/>
      <c r="AN615" s="139"/>
      <c r="AO615" s="139"/>
      <c r="AP615" s="139"/>
      <c r="AQ615" s="139"/>
      <c r="AR615" s="139"/>
      <c r="AS615" s="139"/>
      <c r="AT615" s="139"/>
      <c r="AU615" s="139"/>
      <c r="AV615" s="139"/>
      <c r="AW615" s="139"/>
      <c r="AX615" s="139"/>
      <c r="AY615" s="139"/>
      <c r="AZ615" s="139"/>
      <c r="BA615" s="139"/>
      <c r="BB615" s="139"/>
      <c r="BC615" s="139"/>
      <c r="BD615" s="139"/>
      <c r="BE615" s="139"/>
      <c r="BF615" s="139"/>
      <c r="BG615" s="139"/>
      <c r="BH615" s="139"/>
    </row>
    <row r="616" spans="2:60" s="11" customFormat="1" ht="19.5" customHeight="1">
      <c r="B616" s="5590"/>
      <c r="C616" s="9647" t="s">
        <v>134</v>
      </c>
      <c r="D616" s="9648"/>
      <c r="E616" s="9649"/>
      <c r="F616" s="492" t="s">
        <v>698</v>
      </c>
      <c r="G616" s="253"/>
      <c r="H616" s="9579" t="s">
        <v>135</v>
      </c>
      <c r="I616" s="9580"/>
      <c r="J616" s="9581"/>
      <c r="K616" s="285" t="s">
        <v>459</v>
      </c>
      <c r="L616" s="5592">
        <v>2.6590548761004588E-2</v>
      </c>
      <c r="M616" s="5674" t="s">
        <v>699</v>
      </c>
      <c r="N616" s="5593">
        <v>1.3614241458903248E-2</v>
      </c>
      <c r="O616" s="5674" t="s">
        <v>700</v>
      </c>
      <c r="P616" s="6496">
        <v>0.13600000000000001</v>
      </c>
      <c r="Q616" s="6497" t="s">
        <v>701</v>
      </c>
      <c r="R616" s="1033"/>
      <c r="S616" s="263"/>
      <c r="T616" s="99"/>
      <c r="U616" s="138"/>
      <c r="V616" s="138"/>
      <c r="W616" s="99"/>
      <c r="X616" s="264"/>
      <c r="Y616" s="277"/>
      <c r="Z616" s="187"/>
      <c r="AA616" s="6301"/>
      <c r="AB616" s="139" t="s">
        <v>464</v>
      </c>
      <c r="AC616" s="139"/>
      <c r="AD616" s="139"/>
      <c r="AE616" s="139"/>
      <c r="AF616" s="139"/>
      <c r="AG616" s="139"/>
      <c r="AH616" s="139"/>
      <c r="AI616" s="139"/>
      <c r="AJ616" s="139"/>
      <c r="AK616" s="139"/>
      <c r="AL616" s="139"/>
      <c r="AM616" s="139"/>
      <c r="AN616" s="139"/>
      <c r="AO616" s="139"/>
      <c r="AP616" s="139"/>
      <c r="AQ616" s="139"/>
      <c r="AR616" s="139"/>
      <c r="AS616" s="139"/>
      <c r="AT616" s="139"/>
      <c r="AU616" s="139"/>
      <c r="AV616" s="139"/>
      <c r="AW616" s="139"/>
      <c r="AX616" s="139"/>
      <c r="AY616" s="139"/>
      <c r="AZ616" s="139"/>
      <c r="BA616" s="139"/>
      <c r="BB616" s="139"/>
      <c r="BC616" s="139"/>
      <c r="BD616" s="139"/>
      <c r="BE616" s="139"/>
      <c r="BF616" s="139"/>
      <c r="BG616" s="139"/>
      <c r="BH616" s="139"/>
    </row>
    <row r="617" spans="2:60" s="11" customFormat="1" ht="19.899999999999999" customHeight="1">
      <c r="B617" s="5590"/>
      <c r="C617" s="9647" t="s">
        <v>137</v>
      </c>
      <c r="D617" s="9648"/>
      <c r="E617" s="9649"/>
      <c r="F617" s="492" t="s">
        <v>698</v>
      </c>
      <c r="G617" s="253"/>
      <c r="H617" s="9579" t="s">
        <v>138</v>
      </c>
      <c r="I617" s="9580"/>
      <c r="J617" s="9581"/>
      <c r="K617" s="285" t="s">
        <v>459</v>
      </c>
      <c r="L617" s="5592"/>
      <c r="M617" s="5656"/>
      <c r="N617" s="5593"/>
      <c r="O617" s="5593"/>
      <c r="P617" s="5593"/>
      <c r="Q617" s="5593"/>
      <c r="R617" s="1033"/>
      <c r="S617" s="263"/>
      <c r="T617" s="99"/>
      <c r="U617" s="138"/>
      <c r="V617" s="138"/>
      <c r="W617" s="99"/>
      <c r="X617" s="264"/>
      <c r="Y617" s="277"/>
      <c r="Z617" s="187"/>
      <c r="AA617" s="6301"/>
      <c r="AB617" s="139"/>
      <c r="AC617" s="139"/>
      <c r="AD617" s="139"/>
      <c r="AE617" s="139"/>
      <c r="AF617" s="139"/>
      <c r="AG617" s="139"/>
      <c r="AH617" s="139"/>
      <c r="AI617" s="139"/>
      <c r="AJ617" s="139"/>
      <c r="AK617" s="139"/>
      <c r="AL617" s="139"/>
      <c r="AM617" s="139"/>
      <c r="AN617" s="139"/>
      <c r="AO617" s="139"/>
      <c r="AP617" s="139"/>
      <c r="AQ617" s="139"/>
      <c r="AR617" s="139"/>
      <c r="AS617" s="139"/>
      <c r="AT617" s="139"/>
      <c r="AU617" s="139"/>
      <c r="AV617" s="139"/>
      <c r="AW617" s="139"/>
      <c r="AX617" s="139"/>
      <c r="AY617" s="139"/>
      <c r="AZ617" s="139"/>
      <c r="BA617" s="139"/>
      <c r="BB617" s="139"/>
      <c r="BC617" s="139"/>
      <c r="BD617" s="139"/>
      <c r="BE617" s="139"/>
      <c r="BF617" s="139"/>
      <c r="BG617" s="139"/>
      <c r="BH617" s="139"/>
    </row>
    <row r="618" spans="2:60" s="11" customFormat="1" ht="19.899999999999999" customHeight="1">
      <c r="B618" s="5590"/>
      <c r="C618" s="9647" t="s">
        <v>140</v>
      </c>
      <c r="D618" s="9648"/>
      <c r="E618" s="9649"/>
      <c r="F618" s="492" t="s">
        <v>698</v>
      </c>
      <c r="G618" s="253"/>
      <c r="H618" s="9579" t="s">
        <v>141</v>
      </c>
      <c r="I618" s="9580"/>
      <c r="J618" s="9581"/>
      <c r="K618" s="285" t="s">
        <v>459</v>
      </c>
      <c r="L618" s="5592">
        <v>206.70276207795806</v>
      </c>
      <c r="M618" s="5656"/>
      <c r="N618" s="5593">
        <v>150.78601462757095</v>
      </c>
      <c r="O618" s="5593"/>
      <c r="P618" s="5593">
        <v>174.47029858641284</v>
      </c>
      <c r="Q618" s="5593"/>
      <c r="R618" s="1033"/>
      <c r="S618" s="263"/>
      <c r="T618" s="99"/>
      <c r="U618" s="138"/>
      <c r="V618" s="138"/>
      <c r="W618" s="99"/>
      <c r="X618" s="264"/>
      <c r="Y618" s="277"/>
      <c r="Z618" s="187"/>
      <c r="AA618" s="6301"/>
      <c r="AB618" s="139"/>
      <c r="AC618" s="1377" t="s">
        <v>463</v>
      </c>
      <c r="AD618" s="139"/>
      <c r="AE618" s="139"/>
      <c r="AF618" s="139"/>
      <c r="AG618" s="139"/>
      <c r="AH618" s="139"/>
      <c r="AI618" s="139"/>
      <c r="AJ618" s="139"/>
      <c r="AK618" s="139"/>
      <c r="AL618" s="139"/>
      <c r="AM618" s="139"/>
      <c r="AN618" s="139"/>
      <c r="AO618" s="139"/>
      <c r="AP618" s="139"/>
      <c r="AQ618" s="139"/>
      <c r="AR618" s="139"/>
      <c r="AS618" s="139"/>
      <c r="AT618" s="139"/>
      <c r="AU618" s="139"/>
      <c r="AV618" s="139"/>
      <c r="AW618" s="139"/>
      <c r="AX618" s="139"/>
      <c r="AY618" s="139"/>
      <c r="AZ618" s="139"/>
      <c r="BA618" s="139"/>
      <c r="BB618" s="139"/>
      <c r="BC618" s="139"/>
      <c r="BD618" s="139"/>
      <c r="BE618" s="139"/>
      <c r="BF618" s="139"/>
      <c r="BG618" s="139"/>
      <c r="BH618" s="139"/>
    </row>
    <row r="619" spans="2:60" s="11" customFormat="1" ht="19.899999999999999" customHeight="1">
      <c r="B619" s="5590"/>
      <c r="C619" s="9647" t="s">
        <v>143</v>
      </c>
      <c r="D619" s="9648"/>
      <c r="E619" s="9649"/>
      <c r="F619" s="492" t="s">
        <v>698</v>
      </c>
      <c r="G619" s="253"/>
      <c r="H619" s="9579" t="s">
        <v>144</v>
      </c>
      <c r="I619" s="9580"/>
      <c r="J619" s="9581"/>
      <c r="K619" s="285" t="s">
        <v>459</v>
      </c>
      <c r="L619" s="5592" t="s">
        <v>169</v>
      </c>
      <c r="M619" s="5656"/>
      <c r="N619" s="5593" t="s">
        <v>169</v>
      </c>
      <c r="O619" s="5593"/>
      <c r="P619" s="5593" t="s">
        <v>169</v>
      </c>
      <c r="Q619" s="5593"/>
      <c r="R619" s="1033"/>
      <c r="S619" s="263"/>
      <c r="T619" s="99"/>
      <c r="U619" s="138"/>
      <c r="V619" s="138"/>
      <c r="W619" s="99"/>
      <c r="X619" s="264"/>
      <c r="Y619" s="277"/>
      <c r="Z619" s="187"/>
      <c r="AA619" s="6301"/>
      <c r="AB619" s="139"/>
      <c r="AC619" s="1377" t="s">
        <v>463</v>
      </c>
      <c r="AD619" s="139"/>
      <c r="AE619" s="139"/>
      <c r="AF619" s="139"/>
      <c r="AG619" s="139"/>
      <c r="AH619" s="139"/>
      <c r="AI619" s="139"/>
      <c r="AJ619" s="139"/>
      <c r="AK619" s="139"/>
      <c r="AL619" s="139"/>
      <c r="AM619" s="139"/>
      <c r="AN619" s="139"/>
      <c r="AO619" s="139"/>
      <c r="AP619" s="139"/>
      <c r="AQ619" s="139"/>
      <c r="AR619" s="139"/>
      <c r="AS619" s="139"/>
      <c r="AT619" s="139"/>
      <c r="AU619" s="139"/>
      <c r="AV619" s="139"/>
      <c r="AW619" s="139"/>
      <c r="AX619" s="139"/>
      <c r="AY619" s="139"/>
      <c r="AZ619" s="139"/>
      <c r="BA619" s="139"/>
      <c r="BB619" s="139"/>
      <c r="BC619" s="139"/>
      <c r="BD619" s="139"/>
      <c r="BE619" s="139"/>
      <c r="BF619" s="139"/>
      <c r="BG619" s="139"/>
      <c r="BH619" s="139"/>
    </row>
    <row r="620" spans="2:60" s="11" customFormat="1" ht="19.899999999999999" customHeight="1">
      <c r="B620" s="5590"/>
      <c r="C620" s="9647" t="s">
        <v>631</v>
      </c>
      <c r="D620" s="9648"/>
      <c r="E620" s="9649"/>
      <c r="F620" s="492" t="s">
        <v>698</v>
      </c>
      <c r="G620" s="253"/>
      <c r="H620" s="9579" t="s">
        <v>147</v>
      </c>
      <c r="I620" s="9580"/>
      <c r="J620" s="9581"/>
      <c r="K620" s="285" t="s">
        <v>459</v>
      </c>
      <c r="L620" s="5675" t="s">
        <v>169</v>
      </c>
      <c r="M620" s="5676"/>
      <c r="N620" s="5677" t="s">
        <v>169</v>
      </c>
      <c r="O620" s="5677"/>
      <c r="P620" s="5677" t="s">
        <v>169</v>
      </c>
      <c r="Q620" s="5593"/>
      <c r="R620" s="1033"/>
      <c r="S620" s="263"/>
      <c r="T620" s="99"/>
      <c r="U620" s="138"/>
      <c r="V620" s="138"/>
      <c r="W620" s="99"/>
      <c r="X620" s="264"/>
      <c r="Y620" s="277"/>
      <c r="Z620" s="187"/>
      <c r="AA620" s="6301"/>
      <c r="AB620" s="139"/>
      <c r="AC620" s="1377" t="s">
        <v>463</v>
      </c>
      <c r="AD620" s="139"/>
      <c r="AE620" s="139"/>
      <c r="AF620" s="139"/>
      <c r="AG620" s="139"/>
      <c r="AH620" s="139"/>
      <c r="AI620" s="139"/>
      <c r="AJ620" s="139"/>
      <c r="AK620" s="139"/>
      <c r="AL620" s="139"/>
      <c r="AM620" s="139"/>
      <c r="AN620" s="139"/>
      <c r="AO620" s="139"/>
      <c r="AP620" s="139"/>
      <c r="AQ620" s="139"/>
      <c r="AR620" s="139"/>
      <c r="AS620" s="139"/>
      <c r="AT620" s="139"/>
      <c r="AU620" s="139"/>
      <c r="AV620" s="139"/>
      <c r="AW620" s="139"/>
      <c r="AX620" s="139"/>
      <c r="AY620" s="139"/>
      <c r="AZ620" s="139"/>
      <c r="BA620" s="139"/>
      <c r="BB620" s="139"/>
      <c r="BC620" s="139"/>
      <c r="BD620" s="139"/>
      <c r="BE620" s="139"/>
      <c r="BF620" s="139"/>
      <c r="BG620" s="139"/>
      <c r="BH620" s="139"/>
    </row>
    <row r="621" spans="2:60" s="11" customFormat="1" ht="19.899999999999999" customHeight="1">
      <c r="B621" s="5590"/>
      <c r="C621" s="9647" t="s">
        <v>633</v>
      </c>
      <c r="D621" s="9648"/>
      <c r="E621" s="9649"/>
      <c r="F621" s="492" t="s">
        <v>698</v>
      </c>
      <c r="G621" s="253"/>
      <c r="H621" s="9579" t="s">
        <v>150</v>
      </c>
      <c r="I621" s="9580"/>
      <c r="J621" s="9581"/>
      <c r="K621" s="285" t="s">
        <v>459</v>
      </c>
      <c r="L621" s="5592">
        <v>6.8936048995869538E-3</v>
      </c>
      <c r="M621" s="5656"/>
      <c r="N621" s="5593">
        <v>3.8243133619191099E-3</v>
      </c>
      <c r="O621" s="5593"/>
      <c r="P621" s="5593">
        <v>1.9741898944132044E-3</v>
      </c>
      <c r="Q621" s="5593"/>
      <c r="R621" s="1033"/>
      <c r="S621" s="263"/>
      <c r="T621" s="99"/>
      <c r="U621" s="138"/>
      <c r="V621" s="138"/>
      <c r="W621" s="99"/>
      <c r="X621" s="264"/>
      <c r="Y621" s="277"/>
      <c r="Z621" s="187"/>
      <c r="AA621" s="6301"/>
      <c r="AB621" s="139"/>
      <c r="AC621" s="1377" t="s">
        <v>463</v>
      </c>
      <c r="AD621" s="139"/>
      <c r="AE621" s="139"/>
      <c r="AF621" s="139"/>
      <c r="AG621" s="139"/>
      <c r="AH621" s="139"/>
      <c r="AI621" s="139"/>
      <c r="AJ621" s="139"/>
      <c r="AK621" s="139"/>
      <c r="AL621" s="139"/>
      <c r="AM621" s="139"/>
      <c r="AN621" s="139"/>
      <c r="AO621" s="139"/>
      <c r="AP621" s="139"/>
      <c r="AQ621" s="139"/>
      <c r="AR621" s="139"/>
      <c r="AS621" s="139"/>
      <c r="AT621" s="139"/>
      <c r="AU621" s="139"/>
      <c r="AV621" s="139"/>
      <c r="AW621" s="139"/>
      <c r="AX621" s="139"/>
      <c r="AY621" s="139"/>
      <c r="AZ621" s="139"/>
      <c r="BA621" s="139"/>
      <c r="BB621" s="139"/>
      <c r="BC621" s="139"/>
      <c r="BD621" s="139"/>
      <c r="BE621" s="139"/>
      <c r="BF621" s="139"/>
      <c r="BG621" s="139"/>
      <c r="BH621" s="139"/>
    </row>
    <row r="622" spans="2:60" s="11" customFormat="1" ht="20.100000000000001" customHeight="1">
      <c r="B622" s="1360"/>
      <c r="C622" s="5598"/>
      <c r="D622" s="9635" t="s">
        <v>412</v>
      </c>
      <c r="E622" s="9636"/>
      <c r="F622" s="492" t="s">
        <v>344</v>
      </c>
      <c r="G622" s="198"/>
      <c r="H622" s="177"/>
      <c r="I622" s="9635" t="s">
        <v>702</v>
      </c>
      <c r="J622" s="9636"/>
      <c r="K622" s="285" t="s">
        <v>703</v>
      </c>
      <c r="L622" s="5653" t="str">
        <f>IF(COUNTBLANK(L623:L628)&gt;0,"미취합법인有",SUM(L623:L628))</f>
        <v>미취합법인有</v>
      </c>
      <c r="M622" s="5657"/>
      <c r="N622" s="5654" t="str">
        <f>IF(COUNTBLANK(N623:N628)&gt;0,"미취합법인有",SUM(N623:N628))</f>
        <v>미취합법인有</v>
      </c>
      <c r="O622" s="5663"/>
      <c r="P622" s="5781" t="str">
        <f>IF(COUNTBLANK(P623:P628)&gt;0,"미취합법인有",SUM(P623:P628))</f>
        <v>미취합법인有</v>
      </c>
      <c r="Q622" s="785"/>
      <c r="R622" s="2468"/>
      <c r="S622" s="24"/>
      <c r="T622" s="99" t="s">
        <v>189</v>
      </c>
      <c r="U622" s="547"/>
      <c r="V622" s="547"/>
      <c r="W622" s="99"/>
      <c r="X622" s="277" t="s">
        <v>462</v>
      </c>
      <c r="Y622" s="277"/>
      <c r="Z622" s="187"/>
      <c r="AA622" s="6301"/>
      <c r="AB622" s="139"/>
      <c r="AC622" s="1377" t="s">
        <v>465</v>
      </c>
      <c r="AD622" s="139"/>
      <c r="AE622" s="139"/>
      <c r="AF622" s="139"/>
      <c r="AG622" s="139"/>
      <c r="AH622" s="139"/>
      <c r="AI622" s="139"/>
      <c r="AJ622" s="139"/>
      <c r="AK622" s="139"/>
      <c r="AL622" s="139"/>
      <c r="AM622" s="139"/>
      <c r="AN622" s="139"/>
      <c r="AO622" s="139"/>
      <c r="AP622" s="139"/>
      <c r="AQ622" s="139"/>
      <c r="AR622" s="139"/>
      <c r="AS622" s="139"/>
      <c r="AT622" s="139"/>
      <c r="AU622" s="139"/>
      <c r="AV622" s="139"/>
      <c r="AW622" s="139"/>
      <c r="AX622" s="139"/>
      <c r="AY622" s="139"/>
      <c r="AZ622" s="139"/>
      <c r="BA622" s="139"/>
      <c r="BB622" s="139"/>
      <c r="BC622" s="139"/>
      <c r="BD622" s="139"/>
      <c r="BE622" s="139"/>
      <c r="BF622" s="139"/>
      <c r="BG622" s="139"/>
      <c r="BH622" s="139"/>
    </row>
    <row r="623" spans="2:60" s="11" customFormat="1" ht="19.5" customHeight="1">
      <c r="B623" s="1360"/>
      <c r="C623" s="5598"/>
      <c r="D623" s="9598" t="s">
        <v>134</v>
      </c>
      <c r="E623" s="9600"/>
      <c r="F623" s="492" t="s">
        <v>344</v>
      </c>
      <c r="G623" s="666"/>
      <c r="H623" s="684"/>
      <c r="I623" s="9579" t="s">
        <v>135</v>
      </c>
      <c r="J623" s="9581"/>
      <c r="K623" s="285" t="s">
        <v>703</v>
      </c>
      <c r="L623" s="5592">
        <v>87.38000000000001</v>
      </c>
      <c r="M623" s="5656"/>
      <c r="N623" s="5593">
        <v>96.2</v>
      </c>
      <c r="O623" s="5656"/>
      <c r="P623" s="6484">
        <v>1056.499</v>
      </c>
      <c r="Q623" s="5674" t="s">
        <v>688</v>
      </c>
      <c r="R623" s="2468"/>
      <c r="S623" s="544"/>
      <c r="T623" s="545"/>
      <c r="U623" s="546"/>
      <c r="V623" s="547"/>
      <c r="W623" s="548"/>
      <c r="X623" s="277"/>
      <c r="Y623" s="277"/>
      <c r="Z623" s="187"/>
      <c r="AA623" s="6301"/>
      <c r="AB623" s="139"/>
      <c r="AC623" s="139"/>
      <c r="AD623" s="139"/>
      <c r="AE623" s="139"/>
      <c r="AF623" s="139"/>
      <c r="AG623" s="139"/>
      <c r="AH623" s="139"/>
      <c r="AI623" s="139"/>
      <c r="AJ623" s="139"/>
      <c r="AK623" s="139"/>
      <c r="AL623" s="139"/>
      <c r="AM623" s="139"/>
      <c r="AN623" s="139"/>
      <c r="AO623" s="139"/>
      <c r="AP623" s="139"/>
      <c r="AQ623" s="139"/>
      <c r="AR623" s="139"/>
      <c r="AS623" s="139"/>
      <c r="AT623" s="139"/>
      <c r="AU623" s="139"/>
      <c r="AV623" s="139"/>
      <c r="AW623" s="139"/>
      <c r="AX623" s="139"/>
      <c r="AY623" s="139"/>
      <c r="AZ623" s="139"/>
      <c r="BA623" s="139"/>
      <c r="BB623" s="139"/>
      <c r="BC623" s="139"/>
      <c r="BD623" s="139"/>
      <c r="BE623" s="139"/>
      <c r="BF623" s="139"/>
      <c r="BG623" s="139"/>
      <c r="BH623" s="139"/>
    </row>
    <row r="624" spans="2:60" s="11" customFormat="1" ht="20.100000000000001" customHeight="1">
      <c r="B624" s="1360"/>
      <c r="C624" s="5598"/>
      <c r="D624" s="9598" t="s">
        <v>137</v>
      </c>
      <c r="E624" s="9600"/>
      <c r="F624" s="492" t="s">
        <v>344</v>
      </c>
      <c r="G624" s="666"/>
      <c r="H624" s="684"/>
      <c r="I624" s="9579" t="s">
        <v>138</v>
      </c>
      <c r="J624" s="9581"/>
      <c r="K624" s="285" t="s">
        <v>703</v>
      </c>
      <c r="L624" s="5594"/>
      <c r="M624" s="5669"/>
      <c r="N624" s="5601"/>
      <c r="O624" s="5680"/>
      <c r="P624" s="5602"/>
      <c r="Q624" s="6110"/>
      <c r="R624" s="2468"/>
      <c r="S624" s="544"/>
      <c r="T624" s="545"/>
      <c r="U624" s="546"/>
      <c r="V624" s="547"/>
      <c r="W624" s="548"/>
      <c r="X624" s="277"/>
      <c r="Y624" s="277"/>
      <c r="Z624" s="187"/>
      <c r="AA624" s="6301"/>
      <c r="AB624" s="139"/>
      <c r="AC624" s="139"/>
      <c r="AD624" s="139"/>
      <c r="AE624" s="139"/>
      <c r="AF624" s="139"/>
      <c r="AG624" s="139"/>
      <c r="AH624" s="139"/>
      <c r="AI624" s="139"/>
      <c r="AJ624" s="139"/>
      <c r="AK624" s="139"/>
      <c r="AL624" s="139"/>
      <c r="AM624" s="139"/>
      <c r="AN624" s="139"/>
      <c r="AO624" s="139"/>
      <c r="AP624" s="139"/>
      <c r="AQ624" s="139"/>
      <c r="AR624" s="139"/>
      <c r="AS624" s="139"/>
      <c r="AT624" s="139"/>
      <c r="AU624" s="139"/>
      <c r="AV624" s="139"/>
      <c r="AW624" s="139"/>
      <c r="AX624" s="139"/>
      <c r="AY624" s="139"/>
      <c r="AZ624" s="139"/>
      <c r="BA624" s="139"/>
      <c r="BB624" s="139"/>
      <c r="BC624" s="139"/>
      <c r="BD624" s="139"/>
      <c r="BE624" s="139"/>
      <c r="BF624" s="139"/>
      <c r="BG624" s="139"/>
      <c r="BH624" s="139"/>
    </row>
    <row r="625" spans="2:60" s="11" customFormat="1" ht="20.100000000000001" customHeight="1">
      <c r="B625" s="1360"/>
      <c r="C625" s="5598"/>
      <c r="D625" s="9598" t="s">
        <v>140</v>
      </c>
      <c r="E625" s="9600"/>
      <c r="F625" s="492" t="s">
        <v>344</v>
      </c>
      <c r="G625" s="666"/>
      <c r="H625" s="684"/>
      <c r="I625" s="9582" t="s">
        <v>141</v>
      </c>
      <c r="J625" s="9583"/>
      <c r="K625" s="285" t="s">
        <v>703</v>
      </c>
      <c r="L625" s="5592">
        <v>539711.13537453057</v>
      </c>
      <c r="M625" s="5656"/>
      <c r="N625" s="5593">
        <v>251596.97715395334</v>
      </c>
      <c r="O625" s="5948"/>
      <c r="P625" s="5948">
        <v>520678.84688403166</v>
      </c>
      <c r="Q625" s="5948"/>
      <c r="R625" s="2468"/>
      <c r="S625" s="544"/>
      <c r="T625" s="545"/>
      <c r="U625" s="546"/>
      <c r="V625" s="547"/>
      <c r="W625" s="548"/>
      <c r="X625" s="277"/>
      <c r="Y625" s="277"/>
      <c r="Z625" s="187"/>
      <c r="AA625" s="6301"/>
      <c r="AB625" s="139"/>
      <c r="AC625" s="1377" t="s">
        <v>465</v>
      </c>
      <c r="AD625" s="139"/>
      <c r="AE625" s="139"/>
      <c r="AF625" s="139"/>
      <c r="AG625" s="139"/>
      <c r="AH625" s="139"/>
      <c r="AI625" s="139"/>
      <c r="AJ625" s="139"/>
      <c r="AK625" s="139"/>
      <c r="AL625" s="139"/>
      <c r="AM625" s="139"/>
      <c r="AN625" s="139"/>
      <c r="AO625" s="139"/>
      <c r="AP625" s="139"/>
      <c r="AQ625" s="139"/>
      <c r="AR625" s="139"/>
      <c r="AS625" s="139"/>
      <c r="AT625" s="139"/>
      <c r="AU625" s="139"/>
      <c r="AV625" s="139"/>
      <c r="AW625" s="139"/>
      <c r="AX625" s="139"/>
      <c r="AY625" s="139"/>
      <c r="AZ625" s="139"/>
      <c r="BA625" s="139"/>
      <c r="BB625" s="139"/>
      <c r="BC625" s="139"/>
      <c r="BD625" s="139"/>
      <c r="BE625" s="139"/>
      <c r="BF625" s="139"/>
      <c r="BG625" s="139"/>
      <c r="BH625" s="139"/>
    </row>
    <row r="626" spans="2:60" s="11" customFormat="1" ht="20.100000000000001" customHeight="1">
      <c r="B626" s="1360"/>
      <c r="C626" s="5598"/>
      <c r="D626" s="9598" t="s">
        <v>143</v>
      </c>
      <c r="E626" s="9600"/>
      <c r="F626" s="492" t="s">
        <v>344</v>
      </c>
      <c r="G626" s="666"/>
      <c r="H626" s="684"/>
      <c r="I626" s="9582" t="s">
        <v>144</v>
      </c>
      <c r="J626" s="9583"/>
      <c r="K626" s="285" t="s">
        <v>703</v>
      </c>
      <c r="L626" s="5592"/>
      <c r="M626" s="5656"/>
      <c r="N626" s="5593"/>
      <c r="O626" s="5593"/>
      <c r="P626" s="5593"/>
      <c r="Q626" s="5593"/>
      <c r="R626" s="2468"/>
      <c r="S626" s="544"/>
      <c r="T626" s="545"/>
      <c r="U626" s="546"/>
      <c r="V626" s="547"/>
      <c r="W626" s="548"/>
      <c r="X626" s="277"/>
      <c r="Y626" s="277"/>
      <c r="Z626" s="187"/>
      <c r="AA626" s="6301"/>
      <c r="AB626" s="139"/>
      <c r="AC626" s="1377" t="s">
        <v>465</v>
      </c>
      <c r="AD626" s="139"/>
      <c r="AE626" s="139"/>
      <c r="AF626" s="139"/>
      <c r="AG626" s="139"/>
      <c r="AH626" s="139"/>
      <c r="AI626" s="139"/>
      <c r="AJ626" s="139"/>
      <c r="AK626" s="139"/>
      <c r="AL626" s="139"/>
      <c r="AM626" s="139"/>
      <c r="AN626" s="139"/>
      <c r="AO626" s="139"/>
      <c r="AP626" s="139"/>
      <c r="AQ626" s="139"/>
      <c r="AR626" s="139"/>
      <c r="AS626" s="139"/>
      <c r="AT626" s="139"/>
      <c r="AU626" s="139"/>
      <c r="AV626" s="139"/>
      <c r="AW626" s="139"/>
      <c r="AX626" s="139"/>
      <c r="AY626" s="139"/>
      <c r="AZ626" s="139"/>
      <c r="BA626" s="139"/>
      <c r="BB626" s="139"/>
      <c r="BC626" s="139"/>
      <c r="BD626" s="139"/>
      <c r="BE626" s="139"/>
      <c r="BF626" s="139"/>
      <c r="BG626" s="139"/>
      <c r="BH626" s="139"/>
    </row>
    <row r="627" spans="2:60" s="11" customFormat="1" ht="20.100000000000001" customHeight="1">
      <c r="B627" s="1360"/>
      <c r="C627" s="5598"/>
      <c r="D627" s="9598" t="s">
        <v>631</v>
      </c>
      <c r="E627" s="9600"/>
      <c r="F627" s="492" t="s">
        <v>344</v>
      </c>
      <c r="G627" s="666"/>
      <c r="H627" s="684"/>
      <c r="I627" s="9582" t="s">
        <v>147</v>
      </c>
      <c r="J627" s="9583"/>
      <c r="K627" s="285" t="s">
        <v>703</v>
      </c>
      <c r="L627" s="5592"/>
      <c r="M627" s="5656"/>
      <c r="N627" s="5593"/>
      <c r="O627" s="5593"/>
      <c r="P627" s="5593"/>
      <c r="Q627" s="5593"/>
      <c r="R627" s="2468"/>
      <c r="S627" s="544"/>
      <c r="T627" s="545"/>
      <c r="U627" s="546"/>
      <c r="V627" s="547"/>
      <c r="W627" s="548"/>
      <c r="X627" s="277"/>
      <c r="Y627" s="277"/>
      <c r="Z627" s="187"/>
      <c r="AA627" s="6301"/>
      <c r="AB627" s="139"/>
      <c r="AC627" s="1377" t="s">
        <v>465</v>
      </c>
      <c r="AD627" s="139"/>
      <c r="AE627" s="139"/>
      <c r="AF627" s="139"/>
      <c r="AG627" s="139"/>
      <c r="AH627" s="139"/>
      <c r="AI627" s="139"/>
      <c r="AJ627" s="139"/>
      <c r="AK627" s="139"/>
      <c r="AL627" s="139"/>
      <c r="AM627" s="139"/>
      <c r="AN627" s="139"/>
      <c r="AO627" s="139"/>
      <c r="AP627" s="139"/>
      <c r="AQ627" s="139"/>
      <c r="AR627" s="139"/>
      <c r="AS627" s="139"/>
      <c r="AT627" s="139"/>
      <c r="AU627" s="139"/>
      <c r="AV627" s="139"/>
      <c r="AW627" s="139"/>
      <c r="AX627" s="139"/>
      <c r="AY627" s="139"/>
      <c r="AZ627" s="139"/>
      <c r="BA627" s="139"/>
      <c r="BB627" s="139"/>
      <c r="BC627" s="139"/>
      <c r="BD627" s="139"/>
      <c r="BE627" s="139"/>
      <c r="BF627" s="139"/>
      <c r="BG627" s="139"/>
      <c r="BH627" s="139"/>
    </row>
    <row r="628" spans="2:60" s="11" customFormat="1" ht="20.100000000000001" customHeight="1">
      <c r="B628" s="1360"/>
      <c r="C628" s="5598"/>
      <c r="D628" s="9598" t="s">
        <v>633</v>
      </c>
      <c r="E628" s="9600"/>
      <c r="F628" s="492" t="s">
        <v>344</v>
      </c>
      <c r="G628" s="666"/>
      <c r="H628" s="684"/>
      <c r="I628" s="9582" t="s">
        <v>150</v>
      </c>
      <c r="J628" s="9583"/>
      <c r="K628" s="285" t="s">
        <v>703</v>
      </c>
      <c r="L628" s="5592">
        <v>242</v>
      </c>
      <c r="M628" s="5674" t="s">
        <v>689</v>
      </c>
      <c r="N628" s="5593">
        <v>330</v>
      </c>
      <c r="O628" s="5678" t="s">
        <v>689</v>
      </c>
      <c r="P628" s="5593">
        <v>244</v>
      </c>
      <c r="Q628" s="5593"/>
      <c r="R628" s="2468"/>
      <c r="S628" s="544"/>
      <c r="T628" s="545"/>
      <c r="U628" s="546"/>
      <c r="V628" s="547"/>
      <c r="W628" s="548"/>
      <c r="X628" s="277"/>
      <c r="Y628" s="277"/>
      <c r="Z628" s="187"/>
      <c r="AA628" s="6301"/>
      <c r="AB628" s="139"/>
      <c r="AC628" s="1377" t="s">
        <v>465</v>
      </c>
      <c r="AD628" s="139"/>
      <c r="AE628" s="139"/>
      <c r="AF628" s="139"/>
      <c r="AG628" s="139"/>
      <c r="AH628" s="139"/>
      <c r="AI628" s="139"/>
      <c r="AJ628" s="139"/>
      <c r="AK628" s="139"/>
      <c r="AL628" s="139"/>
      <c r="AM628" s="139"/>
      <c r="AN628" s="139"/>
      <c r="AO628" s="139"/>
      <c r="AP628" s="139"/>
      <c r="AQ628" s="139"/>
      <c r="AR628" s="139"/>
      <c r="AS628" s="139"/>
      <c r="AT628" s="139"/>
      <c r="AU628" s="139"/>
      <c r="AV628" s="139"/>
      <c r="AW628" s="139"/>
      <c r="AX628" s="139"/>
      <c r="AY628" s="139"/>
      <c r="AZ628" s="139"/>
      <c r="BA628" s="139"/>
      <c r="BB628" s="139"/>
      <c r="BC628" s="139"/>
      <c r="BD628" s="139"/>
      <c r="BE628" s="139"/>
      <c r="BF628" s="139"/>
      <c r="BG628" s="139"/>
      <c r="BH628" s="139"/>
    </row>
    <row r="629" spans="2:60" s="11" customFormat="1" ht="20.100000000000001" customHeight="1">
      <c r="B629" s="1360"/>
      <c r="C629" s="5598"/>
      <c r="D629" s="9635" t="s">
        <v>232</v>
      </c>
      <c r="E629" s="9636"/>
      <c r="F629" s="492" t="s">
        <v>233</v>
      </c>
      <c r="G629" s="198"/>
      <c r="H629" s="177"/>
      <c r="I629" s="9635" t="s">
        <v>234</v>
      </c>
      <c r="J629" s="9636"/>
      <c r="K629" s="285" t="s">
        <v>235</v>
      </c>
      <c r="L629" s="5653" t="str">
        <f>IF(COUNTBLANK(L630:L635)&gt;0,"미취합법인有",SUM(L630:L635))</f>
        <v>미취합법인有</v>
      </c>
      <c r="M629" s="5657"/>
      <c r="N629" s="5654" t="str">
        <f>IF(COUNTBLANK(N630:N635)&gt;0,"미취합법인有",SUM(N630:N635))</f>
        <v>미취합법인有</v>
      </c>
      <c r="O629" s="5663"/>
      <c r="P629" s="5781" t="str">
        <f>IF(COUNTBLANK(P630:P635)&gt;0,"미취합법인有",SUM(P630:P635))</f>
        <v>미취합법인有</v>
      </c>
      <c r="Q629" s="785"/>
      <c r="R629" s="2468"/>
      <c r="S629" s="276"/>
      <c r="T629" s="99" t="s">
        <v>189</v>
      </c>
      <c r="U629" s="547"/>
      <c r="V629" s="547"/>
      <c r="W629" s="99"/>
      <c r="X629" s="277" t="s">
        <v>462</v>
      </c>
      <c r="Y629" s="277"/>
      <c r="Z629" s="187"/>
      <c r="AA629" s="6301"/>
      <c r="AB629" s="139"/>
      <c r="AC629" s="1377" t="s">
        <v>465</v>
      </c>
      <c r="AD629" s="139"/>
      <c r="AE629" s="139"/>
      <c r="AF629" s="139"/>
      <c r="AG629" s="139"/>
      <c r="AH629" s="139"/>
      <c r="AI629" s="139"/>
      <c r="AJ629" s="139"/>
      <c r="AK629" s="139"/>
      <c r="AL629" s="139"/>
      <c r="AM629" s="139"/>
      <c r="AN629" s="139"/>
      <c r="AO629" s="139"/>
      <c r="AP629" s="139"/>
      <c r="AQ629" s="139"/>
      <c r="AR629" s="139"/>
      <c r="AS629" s="139"/>
      <c r="AT629" s="139"/>
      <c r="AU629" s="139"/>
      <c r="AV629" s="139"/>
      <c r="AW629" s="139"/>
      <c r="AX629" s="139"/>
      <c r="AY629" s="139"/>
      <c r="AZ629" s="139"/>
      <c r="BA629" s="139"/>
      <c r="BB629" s="139"/>
      <c r="BC629" s="139"/>
      <c r="BD629" s="139"/>
      <c r="BE629" s="139"/>
      <c r="BF629" s="139"/>
      <c r="BG629" s="139"/>
      <c r="BH629" s="139"/>
    </row>
    <row r="630" spans="2:60" s="11" customFormat="1" ht="20.100000000000001" customHeight="1">
      <c r="B630" s="1360"/>
      <c r="C630" s="5598"/>
      <c r="D630" s="9598" t="s">
        <v>134</v>
      </c>
      <c r="E630" s="9600"/>
      <c r="F630" s="492" t="s">
        <v>233</v>
      </c>
      <c r="G630" s="666"/>
      <c r="H630" s="684"/>
      <c r="I630" s="9579" t="s">
        <v>135</v>
      </c>
      <c r="J630" s="9581"/>
      <c r="K630" s="285" t="s">
        <v>235</v>
      </c>
      <c r="L630" s="5594">
        <v>3286.13</v>
      </c>
      <c r="M630" s="5658" t="s">
        <v>704</v>
      </c>
      <c r="N630" s="1814">
        <v>7066.13</v>
      </c>
      <c r="O630" s="5665" t="s">
        <v>704</v>
      </c>
      <c r="P630" s="5593">
        <v>7733.26</v>
      </c>
      <c r="Q630" s="5665" t="s">
        <v>704</v>
      </c>
      <c r="R630" s="2468"/>
      <c r="S630" s="544"/>
      <c r="T630" s="545"/>
      <c r="U630" s="546"/>
      <c r="V630" s="547"/>
      <c r="W630" s="548"/>
      <c r="X630" s="277"/>
      <c r="Y630" s="277"/>
      <c r="Z630" s="187"/>
      <c r="AA630" s="6301"/>
      <c r="AB630" s="139"/>
      <c r="AC630" s="139"/>
      <c r="AD630" s="139"/>
      <c r="AE630" s="139"/>
      <c r="AF630" s="139"/>
      <c r="AG630" s="139"/>
      <c r="AH630" s="139"/>
      <c r="AI630" s="139"/>
      <c r="AJ630" s="139"/>
      <c r="AK630" s="139"/>
      <c r="AL630" s="139"/>
      <c r="AM630" s="139"/>
      <c r="AN630" s="139"/>
      <c r="AO630" s="139"/>
      <c r="AP630" s="139"/>
      <c r="AQ630" s="139"/>
      <c r="AR630" s="139"/>
      <c r="AS630" s="139"/>
      <c r="AT630" s="139"/>
      <c r="AU630" s="139"/>
      <c r="AV630" s="139"/>
      <c r="AW630" s="139"/>
      <c r="AX630" s="139"/>
      <c r="AY630" s="139"/>
      <c r="AZ630" s="139"/>
      <c r="BA630" s="139"/>
      <c r="BB630" s="139"/>
      <c r="BC630" s="139"/>
      <c r="BD630" s="139"/>
      <c r="BE630" s="139"/>
      <c r="BF630" s="139"/>
      <c r="BG630" s="139"/>
      <c r="BH630" s="139"/>
    </row>
    <row r="631" spans="2:60" s="11" customFormat="1" ht="20.100000000000001" customHeight="1">
      <c r="B631" s="1360"/>
      <c r="C631" s="5598"/>
      <c r="D631" s="9598" t="s">
        <v>137</v>
      </c>
      <c r="E631" s="9600"/>
      <c r="F631" s="492" t="s">
        <v>233</v>
      </c>
      <c r="G631" s="666"/>
      <c r="H631" s="684"/>
      <c r="I631" s="9579" t="s">
        <v>138</v>
      </c>
      <c r="J631" s="9581"/>
      <c r="K631" s="285" t="s">
        <v>235</v>
      </c>
      <c r="L631" s="5594"/>
      <c r="M631" s="5658"/>
      <c r="N631" s="1814"/>
      <c r="O631" s="5302"/>
      <c r="P631" s="5595"/>
      <c r="Q631" s="1514"/>
      <c r="R631" s="2468"/>
      <c r="S631" s="544"/>
      <c r="T631" s="545"/>
      <c r="U631" s="546"/>
      <c r="V631" s="547"/>
      <c r="W631" s="548"/>
      <c r="X631" s="277"/>
      <c r="Y631" s="277"/>
      <c r="Z631" s="187"/>
      <c r="AA631" s="6301"/>
      <c r="AB631" s="139"/>
      <c r="AC631" s="139"/>
      <c r="AD631" s="139"/>
      <c r="AE631" s="139"/>
      <c r="AF631" s="139"/>
      <c r="AG631" s="139"/>
      <c r="AH631" s="139"/>
      <c r="AI631" s="139"/>
      <c r="AJ631" s="139"/>
      <c r="AK631" s="139"/>
      <c r="AL631" s="139"/>
      <c r="AM631" s="139"/>
      <c r="AN631" s="139"/>
      <c r="AO631" s="139"/>
      <c r="AP631" s="139"/>
      <c r="AQ631" s="139"/>
      <c r="AR631" s="139"/>
      <c r="AS631" s="139"/>
      <c r="AT631" s="139"/>
      <c r="AU631" s="139"/>
      <c r="AV631" s="139"/>
      <c r="AW631" s="139"/>
      <c r="AX631" s="139"/>
      <c r="AY631" s="139"/>
      <c r="AZ631" s="139"/>
      <c r="BA631" s="139"/>
      <c r="BB631" s="139"/>
      <c r="BC631" s="139"/>
      <c r="BD631" s="139"/>
      <c r="BE631" s="139"/>
      <c r="BF631" s="139"/>
      <c r="BG631" s="139"/>
      <c r="BH631" s="139"/>
    </row>
    <row r="632" spans="2:60" s="11" customFormat="1" ht="20.100000000000001" customHeight="1">
      <c r="B632" s="1360"/>
      <c r="C632" s="5598"/>
      <c r="D632" s="9598" t="s">
        <v>140</v>
      </c>
      <c r="E632" s="9600"/>
      <c r="F632" s="492" t="s">
        <v>233</v>
      </c>
      <c r="G632" s="666"/>
      <c r="H632" s="684"/>
      <c r="I632" s="9582" t="s">
        <v>141</v>
      </c>
      <c r="J632" s="9583"/>
      <c r="K632" s="285" t="s">
        <v>235</v>
      </c>
      <c r="L632" s="6364">
        <v>2611.0494603404391</v>
      </c>
      <c r="M632" s="5597"/>
      <c r="N632" s="2567">
        <v>1668.5697130160061</v>
      </c>
      <c r="O632" s="2559"/>
      <c r="P632" s="5595">
        <v>2984.3408941387597</v>
      </c>
      <c r="Q632" s="1514"/>
      <c r="R632" s="2468"/>
      <c r="S632" s="544"/>
      <c r="T632" s="545"/>
      <c r="U632" s="546"/>
      <c r="V632" s="547"/>
      <c r="W632" s="548"/>
      <c r="X632" s="277"/>
      <c r="Y632" s="277"/>
      <c r="Z632" s="187"/>
      <c r="AA632" s="6301"/>
      <c r="AB632" s="139"/>
      <c r="AC632" s="1377" t="s">
        <v>465</v>
      </c>
      <c r="AD632" s="139"/>
      <c r="AE632" s="139"/>
      <c r="AF632" s="139"/>
      <c r="AG632" s="139"/>
      <c r="AH632" s="139"/>
      <c r="AI632" s="139"/>
      <c r="AJ632" s="139"/>
      <c r="AK632" s="139"/>
      <c r="AL632" s="139"/>
      <c r="AM632" s="139"/>
      <c r="AN632" s="139"/>
      <c r="AO632" s="139"/>
      <c r="AP632" s="139"/>
      <c r="AQ632" s="139"/>
      <c r="AR632" s="139"/>
      <c r="AS632" s="139"/>
      <c r="AT632" s="139"/>
      <c r="AU632" s="139"/>
      <c r="AV632" s="139"/>
      <c r="AW632" s="139"/>
      <c r="AX632" s="139"/>
      <c r="AY632" s="139"/>
      <c r="AZ632" s="139"/>
      <c r="BA632" s="139"/>
      <c r="BB632" s="139"/>
      <c r="BC632" s="139"/>
      <c r="BD632" s="139"/>
      <c r="BE632" s="139"/>
      <c r="BF632" s="139"/>
      <c r="BG632" s="139"/>
      <c r="BH632" s="139"/>
    </row>
    <row r="633" spans="2:60" s="11" customFormat="1" ht="20.100000000000001" customHeight="1">
      <c r="B633" s="1360"/>
      <c r="C633" s="5598"/>
      <c r="D633" s="9598" t="s">
        <v>143</v>
      </c>
      <c r="E633" s="9600"/>
      <c r="F633" s="492" t="s">
        <v>233</v>
      </c>
      <c r="G633" s="666"/>
      <c r="H633" s="684"/>
      <c r="I633" s="9582" t="s">
        <v>144</v>
      </c>
      <c r="J633" s="9583"/>
      <c r="K633" s="285" t="s">
        <v>235</v>
      </c>
      <c r="L633" s="5675"/>
      <c r="M633" s="5676"/>
      <c r="N633" s="5677"/>
      <c r="O633" s="5677"/>
      <c r="P633" s="5677"/>
      <c r="Q633" s="5593"/>
      <c r="R633" s="2468"/>
      <c r="S633" s="544"/>
      <c r="T633" s="545"/>
      <c r="U633" s="546"/>
      <c r="V633" s="547"/>
      <c r="W633" s="548"/>
      <c r="X633" s="277"/>
      <c r="Y633" s="277"/>
      <c r="Z633" s="187"/>
      <c r="AA633" s="6301"/>
      <c r="AB633" s="139"/>
      <c r="AC633" s="1377" t="s">
        <v>465</v>
      </c>
      <c r="AD633" s="139"/>
      <c r="AE633" s="139"/>
      <c r="AF633" s="139"/>
      <c r="AG633" s="139"/>
      <c r="AH633" s="139"/>
      <c r="AI633" s="139"/>
      <c r="AJ633" s="139"/>
      <c r="AK633" s="139"/>
      <c r="AL633" s="139"/>
      <c r="AM633" s="139"/>
      <c r="AN633" s="139"/>
      <c r="AO633" s="139"/>
      <c r="AP633" s="139"/>
      <c r="AQ633" s="139"/>
      <c r="AR633" s="139"/>
      <c r="AS633" s="139"/>
      <c r="AT633" s="139"/>
      <c r="AU633" s="139"/>
      <c r="AV633" s="139"/>
      <c r="AW633" s="139"/>
      <c r="AX633" s="139"/>
      <c r="AY633" s="139"/>
      <c r="AZ633" s="139"/>
      <c r="BA633" s="139"/>
      <c r="BB633" s="139"/>
      <c r="BC633" s="139"/>
      <c r="BD633" s="139"/>
      <c r="BE633" s="139"/>
      <c r="BF633" s="139"/>
      <c r="BG633" s="139"/>
      <c r="BH633" s="139"/>
    </row>
    <row r="634" spans="2:60" s="11" customFormat="1" ht="20.100000000000001" customHeight="1">
      <c r="B634" s="1360"/>
      <c r="C634" s="5598"/>
      <c r="D634" s="9598" t="s">
        <v>631</v>
      </c>
      <c r="E634" s="9600"/>
      <c r="F634" s="492" t="s">
        <v>233</v>
      </c>
      <c r="G634" s="666"/>
      <c r="H634" s="684"/>
      <c r="I634" s="9582" t="s">
        <v>147</v>
      </c>
      <c r="J634" s="9583"/>
      <c r="K634" s="285" t="s">
        <v>235</v>
      </c>
      <c r="L634" s="5592"/>
      <c r="M634" s="5656"/>
      <c r="N634" s="5593"/>
      <c r="O634" s="5593"/>
      <c r="P634" s="5593"/>
      <c r="Q634" s="5593"/>
      <c r="R634" s="2468"/>
      <c r="S634" s="544"/>
      <c r="T634" s="545"/>
      <c r="U634" s="546"/>
      <c r="V634" s="547"/>
      <c r="W634" s="548"/>
      <c r="X634" s="277"/>
      <c r="Y634" s="277"/>
      <c r="Z634" s="187"/>
      <c r="AA634" s="6301"/>
      <c r="AB634" s="139"/>
      <c r="AC634" s="1377" t="s">
        <v>465</v>
      </c>
      <c r="AD634" s="139"/>
      <c r="AE634" s="139"/>
      <c r="AF634" s="139"/>
      <c r="AG634" s="139"/>
      <c r="AH634" s="139"/>
      <c r="AI634" s="139"/>
      <c r="AJ634" s="139"/>
      <c r="AK634" s="139"/>
      <c r="AL634" s="139"/>
      <c r="AM634" s="139"/>
      <c r="AN634" s="139"/>
      <c r="AO634" s="139"/>
      <c r="AP634" s="139"/>
      <c r="AQ634" s="139"/>
      <c r="AR634" s="139"/>
      <c r="AS634" s="139"/>
      <c r="AT634" s="139"/>
      <c r="AU634" s="139"/>
      <c r="AV634" s="139"/>
      <c r="AW634" s="139"/>
      <c r="AX634" s="139"/>
      <c r="AY634" s="139"/>
      <c r="AZ634" s="139"/>
      <c r="BA634" s="139"/>
      <c r="BB634" s="139"/>
      <c r="BC634" s="139"/>
      <c r="BD634" s="139"/>
      <c r="BE634" s="139"/>
      <c r="BF634" s="139"/>
      <c r="BG634" s="139"/>
      <c r="BH634" s="139"/>
    </row>
    <row r="635" spans="2:60" s="11" customFormat="1" ht="20.100000000000001" customHeight="1">
      <c r="B635" s="1360"/>
      <c r="C635" s="5598"/>
      <c r="D635" s="9598" t="s">
        <v>633</v>
      </c>
      <c r="E635" s="9600"/>
      <c r="F635" s="492" t="s">
        <v>233</v>
      </c>
      <c r="G635" s="666"/>
      <c r="H635" s="684"/>
      <c r="I635" s="9582" t="s">
        <v>150</v>
      </c>
      <c r="J635" s="9583"/>
      <c r="K635" s="285" t="s">
        <v>235</v>
      </c>
      <c r="L635" s="6498">
        <v>30280</v>
      </c>
      <c r="M635" s="6081"/>
      <c r="N635" s="6493">
        <v>84381</v>
      </c>
      <c r="O635" s="6081"/>
      <c r="P635" s="6493">
        <v>117191</v>
      </c>
      <c r="Q635" s="5593"/>
      <c r="R635" s="2468"/>
      <c r="S635" s="544"/>
      <c r="T635" s="545"/>
      <c r="U635" s="546"/>
      <c r="V635" s="547"/>
      <c r="W635" s="548"/>
      <c r="X635" s="277"/>
      <c r="Y635" s="277"/>
      <c r="Z635" s="187"/>
      <c r="AA635" s="6301"/>
      <c r="AB635" s="139"/>
      <c r="AC635" s="1377" t="s">
        <v>465</v>
      </c>
      <c r="AD635" s="139"/>
      <c r="AE635" s="139"/>
      <c r="AF635" s="139"/>
      <c r="AG635" s="139"/>
      <c r="AH635" s="139"/>
      <c r="AI635" s="139"/>
      <c r="AJ635" s="139"/>
      <c r="AK635" s="139"/>
      <c r="AL635" s="139"/>
      <c r="AM635" s="139"/>
      <c r="AN635" s="139"/>
      <c r="AO635" s="139"/>
      <c r="AP635" s="139"/>
      <c r="AQ635" s="139"/>
      <c r="AR635" s="139"/>
      <c r="AS635" s="139"/>
      <c r="AT635" s="139"/>
      <c r="AU635" s="139"/>
      <c r="AV635" s="139"/>
      <c r="AW635" s="139"/>
      <c r="AX635" s="139"/>
      <c r="AY635" s="139"/>
      <c r="AZ635" s="139"/>
      <c r="BA635" s="139"/>
      <c r="BB635" s="139"/>
      <c r="BC635" s="139"/>
      <c r="BD635" s="139"/>
      <c r="BE635" s="139"/>
      <c r="BF635" s="139"/>
      <c r="BG635" s="139"/>
      <c r="BH635" s="139"/>
    </row>
    <row r="636" spans="2:60" s="11" customFormat="1" ht="20.100000000000001" customHeight="1">
      <c r="B636" s="1360"/>
      <c r="C636" s="9656" t="s">
        <v>466</v>
      </c>
      <c r="D636" s="9587"/>
      <c r="E636" s="9588"/>
      <c r="F636" s="492" t="s">
        <v>344</v>
      </c>
      <c r="G636" s="386"/>
      <c r="H636" s="9587" t="s">
        <v>467</v>
      </c>
      <c r="I636" s="9587"/>
      <c r="J636" s="9588"/>
      <c r="K636" s="492" t="s">
        <v>344</v>
      </c>
      <c r="L636" s="5653" t="str">
        <f>IF(COUNTBLANK(L637:L642)&gt;0,"미취합법인有",SUM(L637:L642))</f>
        <v>미취합법인有</v>
      </c>
      <c r="M636" s="5657"/>
      <c r="N636" s="5654" t="str">
        <f>IF(COUNTBLANK(N637:N642)&gt;0,"미취합법인有",SUM(N637:N642))</f>
        <v>미취합법인有</v>
      </c>
      <c r="O636" s="5663"/>
      <c r="P636" s="5781" t="str">
        <f>IF(COUNTBLANK(P637:P642)&gt;0,"미취합법인有",SUM(P637:P642))</f>
        <v>미취합법인有</v>
      </c>
      <c r="Q636" s="785"/>
      <c r="R636" s="2468" t="s">
        <v>468</v>
      </c>
      <c r="S636" s="276" t="s">
        <v>469</v>
      </c>
      <c r="T636" s="99" t="s">
        <v>189</v>
      </c>
      <c r="U636" s="547"/>
      <c r="V636" s="547"/>
      <c r="W636" s="299" t="s">
        <v>193</v>
      </c>
      <c r="X636" s="277" t="s">
        <v>470</v>
      </c>
      <c r="Y636" s="277" t="s">
        <v>442</v>
      </c>
      <c r="Z636" s="187"/>
      <c r="AA636" s="6301"/>
      <c r="AB636" s="139"/>
      <c r="AC636" s="1377" t="s">
        <v>465</v>
      </c>
      <c r="AD636" s="139"/>
      <c r="AE636" s="139"/>
      <c r="AF636" s="139"/>
      <c r="AG636" s="139"/>
      <c r="AH636" s="139"/>
      <c r="AI636" s="139"/>
      <c r="AJ636" s="139"/>
      <c r="AK636" s="139"/>
      <c r="AL636" s="139"/>
      <c r="AM636" s="139"/>
      <c r="AN636" s="139"/>
      <c r="AO636" s="139"/>
      <c r="AP636" s="139"/>
      <c r="AQ636" s="139"/>
      <c r="AR636" s="139"/>
      <c r="AS636" s="139"/>
      <c r="AT636" s="139"/>
      <c r="AU636" s="139"/>
      <c r="AV636" s="139"/>
      <c r="AW636" s="139"/>
      <c r="AX636" s="139"/>
      <c r="AY636" s="139"/>
      <c r="AZ636" s="139"/>
      <c r="BA636" s="139"/>
      <c r="BB636" s="139"/>
      <c r="BC636" s="139"/>
      <c r="BD636" s="139"/>
      <c r="BE636" s="139"/>
      <c r="BF636" s="139"/>
      <c r="BG636" s="139"/>
      <c r="BH636" s="139"/>
    </row>
    <row r="637" spans="2:60" s="11" customFormat="1" ht="19.899999999999999" customHeight="1">
      <c r="B637" s="5590"/>
      <c r="C637" s="9647" t="s">
        <v>134</v>
      </c>
      <c r="D637" s="9648"/>
      <c r="E637" s="9649"/>
      <c r="F637" s="492" t="s">
        <v>344</v>
      </c>
      <c r="G637" s="253"/>
      <c r="H637" s="9579" t="s">
        <v>135</v>
      </c>
      <c r="I637" s="9580"/>
      <c r="J637" s="9581"/>
      <c r="K637" s="492" t="s">
        <v>344</v>
      </c>
      <c r="L637" s="5592">
        <v>0</v>
      </c>
      <c r="M637" s="5656"/>
      <c r="N637" s="5593">
        <v>0</v>
      </c>
      <c r="O637" s="5656"/>
      <c r="P637" s="5593"/>
      <c r="Q637" s="5656"/>
      <c r="R637" s="1033"/>
      <c r="S637" s="263"/>
      <c r="T637" s="99"/>
      <c r="U637" s="138"/>
      <c r="V637" s="138"/>
      <c r="W637" s="299" t="s">
        <v>193</v>
      </c>
      <c r="X637" s="264"/>
      <c r="Y637" s="277"/>
      <c r="Z637" s="187"/>
      <c r="AA637" s="6301"/>
      <c r="AB637" s="139"/>
      <c r="AC637" s="139"/>
      <c r="AD637" s="139"/>
      <c r="AE637" s="139"/>
      <c r="AF637" s="139"/>
      <c r="AG637" s="139"/>
      <c r="AH637" s="139"/>
      <c r="AI637" s="139"/>
      <c r="AJ637" s="139"/>
      <c r="AK637" s="139"/>
      <c r="AL637" s="139"/>
      <c r="AM637" s="139"/>
      <c r="AN637" s="139"/>
      <c r="AO637" s="139"/>
      <c r="AP637" s="139"/>
      <c r="AQ637" s="139"/>
      <c r="AR637" s="139"/>
      <c r="AS637" s="139"/>
      <c r="AT637" s="139"/>
      <c r="AU637" s="139"/>
      <c r="AV637" s="139"/>
      <c r="AW637" s="139"/>
      <c r="AX637" s="139"/>
      <c r="AY637" s="139"/>
      <c r="AZ637" s="139"/>
      <c r="BA637" s="139"/>
      <c r="BB637" s="139"/>
      <c r="BC637" s="139"/>
      <c r="BD637" s="139"/>
      <c r="BE637" s="139"/>
      <c r="BF637" s="139"/>
      <c r="BG637" s="139"/>
      <c r="BH637" s="139"/>
    </row>
    <row r="638" spans="2:60" s="11" customFormat="1" ht="19.899999999999999" customHeight="1">
      <c r="B638" s="5590"/>
      <c r="C638" s="9647" t="s">
        <v>137</v>
      </c>
      <c r="D638" s="9648"/>
      <c r="E638" s="9649"/>
      <c r="F638" s="492" t="s">
        <v>344</v>
      </c>
      <c r="G638" s="253"/>
      <c r="H638" s="9579" t="s">
        <v>138</v>
      </c>
      <c r="I638" s="9580"/>
      <c r="J638" s="9581"/>
      <c r="K638" s="492" t="s">
        <v>344</v>
      </c>
      <c r="L638" s="5592"/>
      <c r="M638" s="5656"/>
      <c r="N638" s="5593"/>
      <c r="O638" s="5593"/>
      <c r="P638" s="5593"/>
      <c r="Q638" s="5593"/>
      <c r="R638" s="1033"/>
      <c r="S638" s="263"/>
      <c r="T638" s="99"/>
      <c r="U638" s="138"/>
      <c r="V638" s="138"/>
      <c r="W638" s="299" t="s">
        <v>193</v>
      </c>
      <c r="X638" s="264"/>
      <c r="Y638" s="277"/>
      <c r="Z638" s="187"/>
      <c r="AA638" s="6301"/>
      <c r="AB638" s="139"/>
      <c r="AC638" s="139"/>
      <c r="AD638" s="139"/>
      <c r="AE638" s="139"/>
      <c r="AF638" s="139"/>
      <c r="AG638" s="139"/>
      <c r="AH638" s="139"/>
      <c r="AI638" s="139"/>
      <c r="AJ638" s="139"/>
      <c r="AK638" s="139"/>
      <c r="AL638" s="139"/>
      <c r="AM638" s="139"/>
      <c r="AN638" s="139"/>
      <c r="AO638" s="139"/>
      <c r="AP638" s="139"/>
      <c r="AQ638" s="139"/>
      <c r="AR638" s="139"/>
      <c r="AS638" s="139"/>
      <c r="AT638" s="139"/>
      <c r="AU638" s="139"/>
      <c r="AV638" s="139"/>
      <c r="AW638" s="139"/>
      <c r="AX638" s="139"/>
      <c r="AY638" s="139"/>
      <c r="AZ638" s="139"/>
      <c r="BA638" s="139"/>
      <c r="BB638" s="139"/>
      <c r="BC638" s="139"/>
      <c r="BD638" s="139"/>
      <c r="BE638" s="139"/>
      <c r="BF638" s="139"/>
      <c r="BG638" s="139"/>
      <c r="BH638" s="139"/>
    </row>
    <row r="639" spans="2:60" s="11" customFormat="1" ht="19.899999999999999" customHeight="1">
      <c r="B639" s="5590"/>
      <c r="C639" s="9647" t="s">
        <v>140</v>
      </c>
      <c r="D639" s="9648"/>
      <c r="E639" s="9649"/>
      <c r="F639" s="492" t="s">
        <v>344</v>
      </c>
      <c r="G639" s="253"/>
      <c r="H639" s="9579" t="s">
        <v>141</v>
      </c>
      <c r="I639" s="9580"/>
      <c r="J639" s="9581"/>
      <c r="K639" s="492" t="s">
        <v>344</v>
      </c>
      <c r="L639" s="5592"/>
      <c r="M639" s="5656"/>
      <c r="N639" s="5593"/>
      <c r="O639" s="5593"/>
      <c r="P639" s="5593"/>
      <c r="Q639" s="5593"/>
      <c r="R639" s="1033"/>
      <c r="S639" s="263"/>
      <c r="T639" s="99"/>
      <c r="U639" s="138"/>
      <c r="V639" s="138"/>
      <c r="W639" s="299" t="s">
        <v>193</v>
      </c>
      <c r="X639" s="264"/>
      <c r="Y639" s="277"/>
      <c r="Z639" s="187"/>
      <c r="AA639" s="6301"/>
      <c r="AB639" s="139"/>
      <c r="AC639" s="1377" t="s">
        <v>465</v>
      </c>
      <c r="AD639" s="139"/>
      <c r="AE639" s="139"/>
      <c r="AF639" s="139"/>
      <c r="AG639" s="139"/>
      <c r="AH639" s="139"/>
      <c r="AI639" s="139"/>
      <c r="AJ639" s="139"/>
      <c r="AK639" s="139"/>
      <c r="AL639" s="139"/>
      <c r="AM639" s="139"/>
      <c r="AN639" s="139"/>
      <c r="AO639" s="139"/>
      <c r="AP639" s="139"/>
      <c r="AQ639" s="139"/>
      <c r="AR639" s="139"/>
      <c r="AS639" s="139"/>
      <c r="AT639" s="139"/>
      <c r="AU639" s="139"/>
      <c r="AV639" s="139"/>
      <c r="AW639" s="139"/>
      <c r="AX639" s="139"/>
      <c r="AY639" s="139"/>
      <c r="AZ639" s="139"/>
      <c r="BA639" s="139"/>
      <c r="BB639" s="139"/>
      <c r="BC639" s="139"/>
      <c r="BD639" s="139"/>
      <c r="BE639" s="139"/>
      <c r="BF639" s="139"/>
      <c r="BG639" s="139"/>
      <c r="BH639" s="139"/>
    </row>
    <row r="640" spans="2:60" s="11" customFormat="1" ht="19.899999999999999" customHeight="1">
      <c r="B640" s="5590"/>
      <c r="C640" s="9647" t="s">
        <v>143</v>
      </c>
      <c r="D640" s="9648"/>
      <c r="E640" s="9649"/>
      <c r="F640" s="492" t="s">
        <v>344</v>
      </c>
      <c r="G640" s="253"/>
      <c r="H640" s="9579" t="s">
        <v>144</v>
      </c>
      <c r="I640" s="9580"/>
      <c r="J640" s="9581"/>
      <c r="K640" s="492" t="s">
        <v>344</v>
      </c>
      <c r="L640" s="5592"/>
      <c r="M640" s="5656"/>
      <c r="N640" s="5593"/>
      <c r="O640" s="5593"/>
      <c r="P640" s="5593"/>
      <c r="Q640" s="5593"/>
      <c r="R640" s="1033"/>
      <c r="S640" s="263"/>
      <c r="T640" s="99"/>
      <c r="U640" s="138"/>
      <c r="V640" s="138"/>
      <c r="W640" s="299" t="s">
        <v>193</v>
      </c>
      <c r="X640" s="264"/>
      <c r="Y640" s="277"/>
      <c r="Z640" s="187"/>
      <c r="AA640" s="6301"/>
      <c r="AB640" s="139"/>
      <c r="AC640" s="1377" t="s">
        <v>465</v>
      </c>
      <c r="AD640" s="139"/>
      <c r="AE640" s="139"/>
      <c r="AF640" s="139"/>
      <c r="AG640" s="139"/>
      <c r="AH640" s="139"/>
      <c r="AI640" s="139"/>
      <c r="AJ640" s="139"/>
      <c r="AK640" s="139"/>
      <c r="AL640" s="139"/>
      <c r="AM640" s="139"/>
      <c r="AN640" s="139"/>
      <c r="AO640" s="139"/>
      <c r="AP640" s="139"/>
      <c r="AQ640" s="139"/>
      <c r="AR640" s="139"/>
      <c r="AS640" s="139"/>
      <c r="AT640" s="139"/>
      <c r="AU640" s="139"/>
      <c r="AV640" s="139"/>
      <c r="AW640" s="139"/>
      <c r="AX640" s="139"/>
      <c r="AY640" s="139"/>
      <c r="AZ640" s="139"/>
      <c r="BA640" s="139"/>
      <c r="BB640" s="139"/>
      <c r="BC640" s="139"/>
      <c r="BD640" s="139"/>
      <c r="BE640" s="139"/>
      <c r="BF640" s="139"/>
      <c r="BG640" s="139"/>
      <c r="BH640" s="139"/>
    </row>
    <row r="641" spans="2:60" s="11" customFormat="1" ht="19.899999999999999" customHeight="1">
      <c r="B641" s="5590"/>
      <c r="C641" s="9647" t="s">
        <v>631</v>
      </c>
      <c r="D641" s="9648"/>
      <c r="E641" s="9649"/>
      <c r="F641" s="492" t="s">
        <v>344</v>
      </c>
      <c r="G641" s="253"/>
      <c r="H641" s="9579" t="s">
        <v>147</v>
      </c>
      <c r="I641" s="9580"/>
      <c r="J641" s="9581"/>
      <c r="K641" s="492" t="s">
        <v>344</v>
      </c>
      <c r="L641" s="5967" t="s">
        <v>168</v>
      </c>
      <c r="M641" s="5656" t="s">
        <v>641</v>
      </c>
      <c r="N641" s="5593" t="s">
        <v>168</v>
      </c>
      <c r="O641" s="5593" t="s">
        <v>641</v>
      </c>
      <c r="P641" s="5593" t="s">
        <v>168</v>
      </c>
      <c r="Q641" s="5593" t="s">
        <v>641</v>
      </c>
      <c r="R641" s="1033"/>
      <c r="S641" s="263"/>
      <c r="T641" s="99"/>
      <c r="U641" s="138"/>
      <c r="V641" s="138"/>
      <c r="W641" s="299" t="s">
        <v>193</v>
      </c>
      <c r="X641" s="264"/>
      <c r="Y641" s="277"/>
      <c r="Z641" s="187"/>
      <c r="AA641" s="6301"/>
      <c r="AB641" s="139"/>
      <c r="AC641" s="1377" t="s">
        <v>465</v>
      </c>
      <c r="AD641" s="139"/>
      <c r="AE641" s="139"/>
      <c r="AF641" s="139"/>
      <c r="AG641" s="139"/>
      <c r="AH641" s="139"/>
      <c r="AI641" s="139"/>
      <c r="AJ641" s="139"/>
      <c r="AK641" s="139"/>
      <c r="AL641" s="139"/>
      <c r="AM641" s="139"/>
      <c r="AN641" s="139"/>
      <c r="AO641" s="139"/>
      <c r="AP641" s="139"/>
      <c r="AQ641" s="139"/>
      <c r="AR641" s="139"/>
      <c r="AS641" s="139"/>
      <c r="AT641" s="139"/>
      <c r="AU641" s="139"/>
      <c r="AV641" s="139"/>
      <c r="AW641" s="139"/>
      <c r="AX641" s="139"/>
      <c r="AY641" s="139"/>
      <c r="AZ641" s="139"/>
      <c r="BA641" s="139"/>
      <c r="BB641" s="139"/>
      <c r="BC641" s="139"/>
      <c r="BD641" s="139"/>
      <c r="BE641" s="139"/>
      <c r="BF641" s="139"/>
      <c r="BG641" s="139"/>
      <c r="BH641" s="139"/>
    </row>
    <row r="642" spans="2:60" s="11" customFormat="1" ht="19.899999999999999" customHeight="1">
      <c r="B642" s="5590"/>
      <c r="C642" s="9647" t="s">
        <v>633</v>
      </c>
      <c r="D642" s="9648"/>
      <c r="E642" s="9649"/>
      <c r="F642" s="492" t="s">
        <v>344</v>
      </c>
      <c r="G642" s="253"/>
      <c r="H642" s="9579" t="s">
        <v>150</v>
      </c>
      <c r="I642" s="9580"/>
      <c r="J642" s="9581"/>
      <c r="K642" s="492" t="s">
        <v>344</v>
      </c>
      <c r="L642" s="5592"/>
      <c r="M642" s="5656"/>
      <c r="N642" s="5593"/>
      <c r="O642" s="5593"/>
      <c r="P642" s="5593"/>
      <c r="Q642" s="5593"/>
      <c r="R642" s="1033"/>
      <c r="S642" s="263"/>
      <c r="T642" s="99"/>
      <c r="U642" s="138"/>
      <c r="V642" s="138"/>
      <c r="W642" s="299" t="s">
        <v>193</v>
      </c>
      <c r="X642" s="264"/>
      <c r="Y642" s="277"/>
      <c r="Z642" s="187"/>
      <c r="AA642" s="6301"/>
      <c r="AB642" s="139"/>
      <c r="AC642" s="1377" t="s">
        <v>465</v>
      </c>
      <c r="AD642" s="139"/>
      <c r="AE642" s="139"/>
      <c r="AF642" s="139"/>
      <c r="AG642" s="139"/>
      <c r="AH642" s="139"/>
      <c r="AI642" s="139"/>
      <c r="AJ642" s="139"/>
      <c r="AK642" s="139"/>
      <c r="AL642" s="139"/>
      <c r="AM642" s="139"/>
      <c r="AN642" s="139"/>
      <c r="AO642" s="139"/>
      <c r="AP642" s="139"/>
      <c r="AQ642" s="139"/>
      <c r="AR642" s="139"/>
      <c r="AS642" s="139"/>
      <c r="AT642" s="139"/>
      <c r="AU642" s="139"/>
      <c r="AV642" s="139"/>
      <c r="AW642" s="139"/>
      <c r="AX642" s="139"/>
      <c r="AY642" s="139"/>
      <c r="AZ642" s="139"/>
      <c r="BA642" s="139"/>
      <c r="BB642" s="139"/>
      <c r="BC642" s="139"/>
      <c r="BD642" s="139"/>
      <c r="BE642" s="139"/>
      <c r="BF642" s="139"/>
      <c r="BG642" s="139"/>
      <c r="BH642" s="139"/>
    </row>
    <row r="643" spans="2:60" s="11" customFormat="1" ht="20.100000000000001" customHeight="1">
      <c r="B643" s="1360"/>
      <c r="C643" s="5598"/>
      <c r="D643" s="9586" t="s">
        <v>471</v>
      </c>
      <c r="E643" s="9588"/>
      <c r="F643" s="492" t="s">
        <v>344</v>
      </c>
      <c r="G643" s="386"/>
      <c r="H643" s="386"/>
      <c r="I643" s="9586" t="s">
        <v>472</v>
      </c>
      <c r="J643" s="9588"/>
      <c r="K643" s="492" t="s">
        <v>344</v>
      </c>
      <c r="L643" s="5653" t="str">
        <f>IF(COUNTBLANK(L644:L649)&gt;0,"미취합법인有",SUM(L644:L649))</f>
        <v>미취합법인有</v>
      </c>
      <c r="M643" s="5657"/>
      <c r="N643" s="5654" t="str">
        <f>IF(COUNTBLANK(N644:N649)&gt;0,"미취합법인有",SUM(N644:N649))</f>
        <v>미취합법인有</v>
      </c>
      <c r="O643" s="5663"/>
      <c r="P643" s="5781" t="str">
        <f>IF(COUNTBLANK(P644:P649)&gt;0,"미취합법인有",SUM(P644:P649))</f>
        <v>미취합법인有</v>
      </c>
      <c r="Q643" s="785"/>
      <c r="R643" s="2468"/>
      <c r="S643" s="276"/>
      <c r="T643" s="99" t="s">
        <v>189</v>
      </c>
      <c r="U643" s="547"/>
      <c r="V643" s="547"/>
      <c r="W643" s="299" t="s">
        <v>193</v>
      </c>
      <c r="X643" s="277" t="s">
        <v>470</v>
      </c>
      <c r="Y643" s="277" t="s">
        <v>442</v>
      </c>
      <c r="Z643" s="187"/>
      <c r="AA643" s="6301"/>
      <c r="AB643" s="139"/>
      <c r="AC643" s="1377" t="s">
        <v>465</v>
      </c>
      <c r="AD643" s="139"/>
      <c r="AE643" s="139"/>
      <c r="AF643" s="139"/>
      <c r="AG643" s="139"/>
      <c r="AH643" s="139"/>
      <c r="AI643" s="139"/>
      <c r="AJ643" s="139"/>
      <c r="AK643" s="139"/>
      <c r="AL643" s="139"/>
      <c r="AM643" s="139"/>
      <c r="AN643" s="139"/>
      <c r="AO643" s="139"/>
      <c r="AP643" s="139"/>
      <c r="AQ643" s="139"/>
      <c r="AR643" s="139"/>
      <c r="AS643" s="139"/>
      <c r="AT643" s="139"/>
      <c r="AU643" s="139"/>
      <c r="AV643" s="139"/>
      <c r="AW643" s="139"/>
      <c r="AX643" s="139"/>
      <c r="AY643" s="139"/>
      <c r="AZ643" s="139"/>
      <c r="BA643" s="139"/>
      <c r="BB643" s="139"/>
      <c r="BC643" s="139"/>
      <c r="BD643" s="139"/>
      <c r="BE643" s="139"/>
      <c r="BF643" s="139"/>
      <c r="BG643" s="139"/>
      <c r="BH643" s="139"/>
    </row>
    <row r="644" spans="2:60" s="11" customFormat="1" ht="20.100000000000001" customHeight="1">
      <c r="B644" s="1360"/>
      <c r="C644" s="5598"/>
      <c r="D644" s="9598" t="s">
        <v>134</v>
      </c>
      <c r="E644" s="9600"/>
      <c r="F644" s="492" t="s">
        <v>344</v>
      </c>
      <c r="G644" s="666"/>
      <c r="H644" s="666"/>
      <c r="I644" s="9579" t="s">
        <v>135</v>
      </c>
      <c r="J644" s="9581"/>
      <c r="K644" s="492" t="s">
        <v>344</v>
      </c>
      <c r="L644" s="5594"/>
      <c r="M644" s="5658"/>
      <c r="N644" s="5601"/>
      <c r="O644" s="5667"/>
      <c r="P644" s="5602"/>
      <c r="Q644" s="5758"/>
      <c r="R644" s="2468"/>
      <c r="S644" s="544"/>
      <c r="T644" s="545"/>
      <c r="U644" s="546"/>
      <c r="V644" s="547"/>
      <c r="W644" s="299" t="s">
        <v>193</v>
      </c>
      <c r="X644" s="277"/>
      <c r="Y644" s="277"/>
      <c r="Z644" s="187"/>
      <c r="AA644" s="6301"/>
      <c r="AB644" s="139"/>
      <c r="AC644" s="139"/>
      <c r="AD644" s="139"/>
      <c r="AE644" s="139"/>
      <c r="AF644" s="139"/>
      <c r="AG644" s="139"/>
      <c r="AH644" s="139"/>
      <c r="AI644" s="139"/>
      <c r="AJ644" s="139"/>
      <c r="AK644" s="139"/>
      <c r="AL644" s="139"/>
      <c r="AM644" s="139"/>
      <c r="AN644" s="139"/>
      <c r="AO644" s="139"/>
      <c r="AP644" s="139"/>
      <c r="AQ644" s="139"/>
      <c r="AR644" s="139"/>
      <c r="AS644" s="139"/>
      <c r="AT644" s="139"/>
      <c r="AU644" s="139"/>
      <c r="AV644" s="139"/>
      <c r="AW644" s="139"/>
      <c r="AX644" s="139"/>
      <c r="AY644" s="139"/>
      <c r="AZ644" s="139"/>
      <c r="BA644" s="139"/>
      <c r="BB644" s="139"/>
      <c r="BC644" s="139"/>
      <c r="BD644" s="139"/>
      <c r="BE644" s="139"/>
      <c r="BF644" s="139"/>
      <c r="BG644" s="139"/>
      <c r="BH644" s="139"/>
    </row>
    <row r="645" spans="2:60" s="11" customFormat="1" ht="20.100000000000001" customHeight="1">
      <c r="B645" s="1360"/>
      <c r="C645" s="5598"/>
      <c r="D645" s="9598" t="s">
        <v>137</v>
      </c>
      <c r="E645" s="9600"/>
      <c r="F645" s="492" t="s">
        <v>344</v>
      </c>
      <c r="G645" s="666"/>
      <c r="H645" s="666"/>
      <c r="I645" s="9579" t="s">
        <v>138</v>
      </c>
      <c r="J645" s="9581"/>
      <c r="K645" s="492" t="s">
        <v>344</v>
      </c>
      <c r="L645" s="5594"/>
      <c r="M645" s="5658"/>
      <c r="N645" s="5601"/>
      <c r="O645" s="5667"/>
      <c r="P645" s="5602"/>
      <c r="Q645" s="5758"/>
      <c r="R645" s="2468"/>
      <c r="S645" s="544"/>
      <c r="T645" s="545"/>
      <c r="U645" s="546"/>
      <c r="V645" s="547"/>
      <c r="W645" s="299" t="s">
        <v>193</v>
      </c>
      <c r="X645" s="277"/>
      <c r="Y645" s="277"/>
      <c r="Z645" s="187"/>
      <c r="AA645" s="6301"/>
      <c r="AB645" s="139"/>
      <c r="AC645" s="139"/>
      <c r="AD645" s="139"/>
      <c r="AE645" s="139"/>
      <c r="AF645" s="139"/>
      <c r="AG645" s="139"/>
      <c r="AH645" s="139"/>
      <c r="AI645" s="139"/>
      <c r="AJ645" s="139"/>
      <c r="AK645" s="139"/>
      <c r="AL645" s="139"/>
      <c r="AM645" s="139"/>
      <c r="AN645" s="139"/>
      <c r="AO645" s="139"/>
      <c r="AP645" s="139"/>
      <c r="AQ645" s="139"/>
      <c r="AR645" s="139"/>
      <c r="AS645" s="139"/>
      <c r="AT645" s="139"/>
      <c r="AU645" s="139"/>
      <c r="AV645" s="139"/>
      <c r="AW645" s="139"/>
      <c r="AX645" s="139"/>
      <c r="AY645" s="139"/>
      <c r="AZ645" s="139"/>
      <c r="BA645" s="139"/>
      <c r="BB645" s="139"/>
      <c r="BC645" s="139"/>
      <c r="BD645" s="139"/>
      <c r="BE645" s="139"/>
      <c r="BF645" s="139"/>
      <c r="BG645" s="139"/>
      <c r="BH645" s="139"/>
    </row>
    <row r="646" spans="2:60" s="11" customFormat="1" ht="20.100000000000001" customHeight="1">
      <c r="B646" s="1360"/>
      <c r="C646" s="5598"/>
      <c r="D646" s="9598" t="s">
        <v>140</v>
      </c>
      <c r="E646" s="9600"/>
      <c r="F646" s="492" t="s">
        <v>344</v>
      </c>
      <c r="G646" s="666"/>
      <c r="H646" s="666"/>
      <c r="I646" s="9582" t="s">
        <v>141</v>
      </c>
      <c r="J646" s="9583"/>
      <c r="K646" s="492" t="s">
        <v>344</v>
      </c>
      <c r="L646" s="5594"/>
      <c r="M646" s="5658"/>
      <c r="N646" s="5601"/>
      <c r="O646" s="5667"/>
      <c r="P646" s="5602"/>
      <c r="Q646" s="5758"/>
      <c r="R646" s="2468"/>
      <c r="S646" s="544"/>
      <c r="T646" s="545"/>
      <c r="U646" s="546"/>
      <c r="V646" s="547"/>
      <c r="W646" s="299" t="s">
        <v>193</v>
      </c>
      <c r="X646" s="277"/>
      <c r="Y646" s="277"/>
      <c r="Z646" s="187"/>
      <c r="AA646" s="6301"/>
      <c r="AB646" s="139"/>
      <c r="AC646" s="1377" t="s">
        <v>465</v>
      </c>
      <c r="AD646" s="139"/>
      <c r="AE646" s="139"/>
      <c r="AF646" s="139"/>
      <c r="AG646" s="139"/>
      <c r="AH646" s="139"/>
      <c r="AI646" s="139"/>
      <c r="AJ646" s="139"/>
      <c r="AK646" s="139"/>
      <c r="AL646" s="139"/>
      <c r="AM646" s="139"/>
      <c r="AN646" s="139"/>
      <c r="AO646" s="139"/>
      <c r="AP646" s="139"/>
      <c r="AQ646" s="139"/>
      <c r="AR646" s="139"/>
      <c r="AS646" s="139"/>
      <c r="AT646" s="139"/>
      <c r="AU646" s="139"/>
      <c r="AV646" s="139"/>
      <c r="AW646" s="139"/>
      <c r="AX646" s="139"/>
      <c r="AY646" s="139"/>
      <c r="AZ646" s="139"/>
      <c r="BA646" s="139"/>
      <c r="BB646" s="139"/>
      <c r="BC646" s="139"/>
      <c r="BD646" s="139"/>
      <c r="BE646" s="139"/>
      <c r="BF646" s="139"/>
      <c r="BG646" s="139"/>
      <c r="BH646" s="139"/>
    </row>
    <row r="647" spans="2:60" s="11" customFormat="1" ht="20.100000000000001" customHeight="1">
      <c r="B647" s="1360"/>
      <c r="C647" s="5598"/>
      <c r="D647" s="9598" t="s">
        <v>143</v>
      </c>
      <c r="E647" s="9600"/>
      <c r="F647" s="492" t="s">
        <v>344</v>
      </c>
      <c r="G647" s="666"/>
      <c r="H647" s="666"/>
      <c r="I647" s="9582" t="s">
        <v>144</v>
      </c>
      <c r="J647" s="9583"/>
      <c r="K647" s="492" t="s">
        <v>344</v>
      </c>
      <c r="L647" s="5594"/>
      <c r="M647" s="5658"/>
      <c r="N647" s="5601"/>
      <c r="O647" s="5667"/>
      <c r="P647" s="5602"/>
      <c r="Q647" s="5758"/>
      <c r="R647" s="2468"/>
      <c r="S647" s="544"/>
      <c r="T647" s="545"/>
      <c r="U647" s="546"/>
      <c r="V647" s="547"/>
      <c r="W647" s="299" t="s">
        <v>193</v>
      </c>
      <c r="X647" s="277"/>
      <c r="Y647" s="277"/>
      <c r="Z647" s="187"/>
      <c r="AA647" s="6301"/>
      <c r="AB647" s="139"/>
      <c r="AC647" s="1377" t="s">
        <v>465</v>
      </c>
      <c r="AD647" s="139"/>
      <c r="AE647" s="139"/>
      <c r="AF647" s="139"/>
      <c r="AG647" s="139"/>
      <c r="AH647" s="139"/>
      <c r="AI647" s="139"/>
      <c r="AJ647" s="139"/>
      <c r="AK647" s="139"/>
      <c r="AL647" s="139"/>
      <c r="AM647" s="139"/>
      <c r="AN647" s="139"/>
      <c r="AO647" s="139"/>
      <c r="AP647" s="139"/>
      <c r="AQ647" s="139"/>
      <c r="AR647" s="139"/>
      <c r="AS647" s="139"/>
      <c r="AT647" s="139"/>
      <c r="AU647" s="139"/>
      <c r="AV647" s="139"/>
      <c r="AW647" s="139"/>
      <c r="AX647" s="139"/>
      <c r="AY647" s="139"/>
      <c r="AZ647" s="139"/>
      <c r="BA647" s="139"/>
      <c r="BB647" s="139"/>
      <c r="BC647" s="139"/>
      <c r="BD647" s="139"/>
      <c r="BE647" s="139"/>
      <c r="BF647" s="139"/>
      <c r="BG647" s="139"/>
      <c r="BH647" s="139"/>
    </row>
    <row r="648" spans="2:60" s="11" customFormat="1" ht="20.100000000000001" customHeight="1">
      <c r="B648" s="1360"/>
      <c r="C648" s="5598"/>
      <c r="D648" s="9598" t="s">
        <v>631</v>
      </c>
      <c r="E648" s="9600"/>
      <c r="F648" s="492" t="s">
        <v>344</v>
      </c>
      <c r="G648" s="666"/>
      <c r="H648" s="666"/>
      <c r="I648" s="9582" t="s">
        <v>147</v>
      </c>
      <c r="J648" s="9583"/>
      <c r="K648" s="492" t="s">
        <v>344</v>
      </c>
      <c r="L648" s="5967" t="s">
        <v>168</v>
      </c>
      <c r="M648" s="5656" t="s">
        <v>641</v>
      </c>
      <c r="N648" s="5593" t="s">
        <v>168</v>
      </c>
      <c r="O648" s="5948" t="s">
        <v>641</v>
      </c>
      <c r="P648" s="5948" t="s">
        <v>168</v>
      </c>
      <c r="Q648" s="5948" t="s">
        <v>641</v>
      </c>
      <c r="R648" s="2468"/>
      <c r="S648" s="544"/>
      <c r="T648" s="545"/>
      <c r="U648" s="546"/>
      <c r="V648" s="547"/>
      <c r="W648" s="299" t="s">
        <v>193</v>
      </c>
      <c r="X648" s="277"/>
      <c r="Y648" s="277"/>
      <c r="Z648" s="187"/>
      <c r="AA648" s="6301"/>
      <c r="AB648" s="139"/>
      <c r="AC648" s="1377" t="s">
        <v>465</v>
      </c>
      <c r="AD648" s="139"/>
      <c r="AE648" s="139"/>
      <c r="AF648" s="139"/>
      <c r="AG648" s="139"/>
      <c r="AH648" s="139"/>
      <c r="AI648" s="139"/>
      <c r="AJ648" s="139"/>
      <c r="AK648" s="139"/>
      <c r="AL648" s="139"/>
      <c r="AM648" s="139"/>
      <c r="AN648" s="139"/>
      <c r="AO648" s="139"/>
      <c r="AP648" s="139"/>
      <c r="AQ648" s="139"/>
      <c r="AR648" s="139"/>
      <c r="AS648" s="139"/>
      <c r="AT648" s="139"/>
      <c r="AU648" s="139"/>
      <c r="AV648" s="139"/>
      <c r="AW648" s="139"/>
      <c r="AX648" s="139"/>
      <c r="AY648" s="139"/>
      <c r="AZ648" s="139"/>
      <c r="BA648" s="139"/>
      <c r="BB648" s="139"/>
      <c r="BC648" s="139"/>
      <c r="BD648" s="139"/>
      <c r="BE648" s="139"/>
      <c r="BF648" s="139"/>
      <c r="BG648" s="139"/>
      <c r="BH648" s="139"/>
    </row>
    <row r="649" spans="2:60" s="11" customFormat="1" ht="20.100000000000001" customHeight="1">
      <c r="B649" s="1360"/>
      <c r="C649" s="5598"/>
      <c r="D649" s="9598" t="s">
        <v>633</v>
      </c>
      <c r="E649" s="9600"/>
      <c r="F649" s="492" t="s">
        <v>344</v>
      </c>
      <c r="G649" s="666"/>
      <c r="H649" s="666"/>
      <c r="I649" s="9582" t="s">
        <v>150</v>
      </c>
      <c r="J649" s="9583"/>
      <c r="K649" s="492" t="s">
        <v>344</v>
      </c>
      <c r="L649" s="5594"/>
      <c r="M649" s="5658"/>
      <c r="N649" s="5601"/>
      <c r="O649" s="5667"/>
      <c r="P649" s="5602"/>
      <c r="Q649" s="5758"/>
      <c r="R649" s="2468"/>
      <c r="S649" s="544"/>
      <c r="T649" s="545"/>
      <c r="U649" s="546"/>
      <c r="V649" s="547"/>
      <c r="W649" s="299" t="s">
        <v>193</v>
      </c>
      <c r="X649" s="277"/>
      <c r="Y649" s="277"/>
      <c r="Z649" s="187"/>
      <c r="AA649" s="6301"/>
      <c r="AB649" s="139"/>
      <c r="AC649" s="1377" t="s">
        <v>465</v>
      </c>
      <c r="AD649" s="139"/>
      <c r="AE649" s="139"/>
      <c r="AF649" s="139"/>
      <c r="AG649" s="139"/>
      <c r="AH649" s="139"/>
      <c r="AI649" s="139"/>
      <c r="AJ649" s="139"/>
      <c r="AK649" s="139"/>
      <c r="AL649" s="139"/>
      <c r="AM649" s="139"/>
      <c r="AN649" s="139"/>
      <c r="AO649" s="139"/>
      <c r="AP649" s="139"/>
      <c r="AQ649" s="139"/>
      <c r="AR649" s="139"/>
      <c r="AS649" s="139"/>
      <c r="AT649" s="139"/>
      <c r="AU649" s="139"/>
      <c r="AV649" s="139"/>
      <c r="AW649" s="139"/>
      <c r="AX649" s="139"/>
      <c r="AY649" s="139"/>
      <c r="AZ649" s="139"/>
      <c r="BA649" s="139"/>
      <c r="BB649" s="139"/>
      <c r="BC649" s="139"/>
      <c r="BD649" s="139"/>
      <c r="BE649" s="139"/>
      <c r="BF649" s="139"/>
      <c r="BG649" s="139"/>
      <c r="BH649" s="139"/>
    </row>
    <row r="650" spans="2:60" s="11" customFormat="1" ht="20.100000000000001" customHeight="1">
      <c r="B650" s="1360"/>
      <c r="C650" s="5598"/>
      <c r="D650" s="9586" t="s">
        <v>473</v>
      </c>
      <c r="E650" s="9588"/>
      <c r="F650" s="492" t="s">
        <v>344</v>
      </c>
      <c r="G650" s="386"/>
      <c r="H650" s="386"/>
      <c r="I650" s="9586" t="s">
        <v>474</v>
      </c>
      <c r="J650" s="9588"/>
      <c r="K650" s="492" t="s">
        <v>344</v>
      </c>
      <c r="L650" s="5653" t="str">
        <f>IF(COUNTBLANK(L651:L656)&gt;0,"미취합법인有",SUM(L651:L656))</f>
        <v>미취합법인有</v>
      </c>
      <c r="M650" s="5657"/>
      <c r="N650" s="5654" t="str">
        <f>IF(COUNTBLANK(N651:N656)&gt;0,"미취합법인有",SUM(N651:N656))</f>
        <v>미취합법인有</v>
      </c>
      <c r="O650" s="5945"/>
      <c r="P650" s="5781" t="str">
        <f>IF(COUNTBLANK(P651:P656)&gt;0,"미취합법인有",SUM(P651:P656))</f>
        <v>미취합법인有</v>
      </c>
      <c r="Q650" s="785"/>
      <c r="R650" s="2468"/>
      <c r="S650" s="276"/>
      <c r="T650" s="99" t="s">
        <v>189</v>
      </c>
      <c r="U650" s="547"/>
      <c r="V650" s="547"/>
      <c r="W650" s="299" t="s">
        <v>193</v>
      </c>
      <c r="X650" s="277" t="s">
        <v>475</v>
      </c>
      <c r="Y650" s="277" t="s">
        <v>442</v>
      </c>
      <c r="Z650" s="187"/>
      <c r="AA650" s="6301"/>
      <c r="AB650" s="139"/>
      <c r="AC650" s="1377" t="s">
        <v>465</v>
      </c>
      <c r="AD650" s="139"/>
      <c r="AE650" s="139"/>
      <c r="AF650" s="139"/>
      <c r="AG650" s="139"/>
      <c r="AH650" s="139"/>
      <c r="AI650" s="139"/>
      <c r="AJ650" s="139"/>
      <c r="AK650" s="139"/>
      <c r="AL650" s="139"/>
      <c r="AM650" s="139"/>
      <c r="AN650" s="139"/>
      <c r="AO650" s="139"/>
      <c r="AP650" s="139"/>
      <c r="AQ650" s="139"/>
      <c r="AR650" s="139"/>
      <c r="AS650" s="139"/>
      <c r="AT650" s="139"/>
      <c r="AU650" s="139"/>
      <c r="AV650" s="139"/>
      <c r="AW650" s="139"/>
      <c r="AX650" s="139"/>
      <c r="AY650" s="139"/>
      <c r="AZ650" s="139"/>
      <c r="BA650" s="139"/>
      <c r="BB650" s="139"/>
      <c r="BC650" s="139"/>
      <c r="BD650" s="139"/>
      <c r="BE650" s="139"/>
      <c r="BF650" s="139"/>
      <c r="BG650" s="139"/>
      <c r="BH650" s="139"/>
    </row>
    <row r="651" spans="2:60" s="11" customFormat="1" ht="20.100000000000001" customHeight="1">
      <c r="B651" s="1360"/>
      <c r="C651" s="5598"/>
      <c r="D651" s="9598" t="s">
        <v>134</v>
      </c>
      <c r="E651" s="9600"/>
      <c r="F651" s="492" t="s">
        <v>344</v>
      </c>
      <c r="G651" s="666"/>
      <c r="H651" s="666"/>
      <c r="I651" s="9579" t="s">
        <v>135</v>
      </c>
      <c r="J651" s="9581"/>
      <c r="K651" s="492" t="s">
        <v>344</v>
      </c>
      <c r="L651" s="5594"/>
      <c r="M651" s="5658"/>
      <c r="N651" s="5601"/>
      <c r="O651" s="5667"/>
      <c r="P651" s="5602"/>
      <c r="Q651" s="5758"/>
      <c r="R651" s="2468"/>
      <c r="S651" s="544"/>
      <c r="T651" s="545"/>
      <c r="U651" s="546"/>
      <c r="V651" s="547"/>
      <c r="W651" s="299" t="s">
        <v>193</v>
      </c>
      <c r="X651" s="277"/>
      <c r="Y651" s="277"/>
      <c r="Z651" s="187"/>
      <c r="AA651" s="6301"/>
      <c r="AB651" s="139"/>
      <c r="AC651" s="139"/>
      <c r="AD651" s="139"/>
      <c r="AE651" s="139"/>
      <c r="AF651" s="139"/>
      <c r="AG651" s="139"/>
      <c r="AH651" s="139"/>
      <c r="AI651" s="139"/>
      <c r="AJ651" s="139"/>
      <c r="AK651" s="139"/>
      <c r="AL651" s="139"/>
      <c r="AM651" s="139"/>
      <c r="AN651" s="139"/>
      <c r="AO651" s="139"/>
      <c r="AP651" s="139"/>
      <c r="AQ651" s="139"/>
      <c r="AR651" s="139"/>
      <c r="AS651" s="139"/>
      <c r="AT651" s="139"/>
      <c r="AU651" s="139"/>
      <c r="AV651" s="139"/>
      <c r="AW651" s="139"/>
      <c r="AX651" s="139"/>
      <c r="AY651" s="139"/>
      <c r="AZ651" s="139"/>
      <c r="BA651" s="139"/>
      <c r="BB651" s="139"/>
      <c r="BC651" s="139"/>
      <c r="BD651" s="139"/>
      <c r="BE651" s="139"/>
      <c r="BF651" s="139"/>
      <c r="BG651" s="139"/>
      <c r="BH651" s="139"/>
    </row>
    <row r="652" spans="2:60" s="11" customFormat="1" ht="20.100000000000001" customHeight="1">
      <c r="B652" s="1360"/>
      <c r="C652" s="5598"/>
      <c r="D652" s="9598" t="s">
        <v>137</v>
      </c>
      <c r="E652" s="9600"/>
      <c r="F652" s="492" t="s">
        <v>344</v>
      </c>
      <c r="G652" s="666"/>
      <c r="H652" s="666"/>
      <c r="I652" s="9579" t="s">
        <v>138</v>
      </c>
      <c r="J652" s="9581"/>
      <c r="K652" s="492" t="s">
        <v>344</v>
      </c>
      <c r="L652" s="5594"/>
      <c r="M652" s="5658"/>
      <c r="N652" s="5601"/>
      <c r="O652" s="5667"/>
      <c r="P652" s="5602"/>
      <c r="Q652" s="5758"/>
      <c r="R652" s="2468"/>
      <c r="S652" s="544"/>
      <c r="T652" s="545"/>
      <c r="U652" s="546"/>
      <c r="V652" s="547"/>
      <c r="W652" s="299" t="s">
        <v>193</v>
      </c>
      <c r="X652" s="277"/>
      <c r="Y652" s="277"/>
      <c r="Z652" s="187"/>
      <c r="AA652" s="6301"/>
      <c r="AB652" s="139"/>
      <c r="AC652" s="139"/>
      <c r="AD652" s="139"/>
      <c r="AE652" s="139"/>
      <c r="AF652" s="139"/>
      <c r="AG652" s="139"/>
      <c r="AH652" s="139"/>
      <c r="AI652" s="139"/>
      <c r="AJ652" s="139"/>
      <c r="AK652" s="139"/>
      <c r="AL652" s="139"/>
      <c r="AM652" s="139"/>
      <c r="AN652" s="139"/>
      <c r="AO652" s="139"/>
      <c r="AP652" s="139"/>
      <c r="AQ652" s="139"/>
      <c r="AR652" s="139"/>
      <c r="AS652" s="139"/>
      <c r="AT652" s="139"/>
      <c r="AU652" s="139"/>
      <c r="AV652" s="139"/>
      <c r="AW652" s="139"/>
      <c r="AX652" s="139"/>
      <c r="AY652" s="139"/>
      <c r="AZ652" s="139"/>
      <c r="BA652" s="139"/>
      <c r="BB652" s="139"/>
      <c r="BC652" s="139"/>
      <c r="BD652" s="139"/>
      <c r="BE652" s="139"/>
      <c r="BF652" s="139"/>
      <c r="BG652" s="139"/>
      <c r="BH652" s="139"/>
    </row>
    <row r="653" spans="2:60" s="11" customFormat="1" ht="20.100000000000001" customHeight="1">
      <c r="B653" s="1360"/>
      <c r="C653" s="5598"/>
      <c r="D653" s="9598" t="s">
        <v>140</v>
      </c>
      <c r="E653" s="9600"/>
      <c r="F653" s="492" t="s">
        <v>344</v>
      </c>
      <c r="G653" s="666"/>
      <c r="H653" s="666"/>
      <c r="I653" s="9582" t="s">
        <v>141</v>
      </c>
      <c r="J653" s="9583"/>
      <c r="K653" s="492" t="s">
        <v>344</v>
      </c>
      <c r="L653" s="5594"/>
      <c r="M653" s="5658"/>
      <c r="N653" s="5601"/>
      <c r="O653" s="5667"/>
      <c r="P653" s="5602"/>
      <c r="Q653" s="5758"/>
      <c r="R653" s="2468"/>
      <c r="S653" s="544"/>
      <c r="T653" s="545"/>
      <c r="U653" s="546"/>
      <c r="V653" s="547"/>
      <c r="W653" s="299" t="s">
        <v>193</v>
      </c>
      <c r="X653" s="277"/>
      <c r="Y653" s="277"/>
      <c r="Z653" s="187"/>
      <c r="AA653" s="6301"/>
      <c r="AB653" s="139"/>
      <c r="AC653" s="1377" t="s">
        <v>465</v>
      </c>
      <c r="AD653" s="139"/>
      <c r="AE653" s="139"/>
      <c r="AF653" s="139"/>
      <c r="AG653" s="139"/>
      <c r="AH653" s="139"/>
      <c r="AI653" s="139"/>
      <c r="AJ653" s="139"/>
      <c r="AK653" s="139"/>
      <c r="AL653" s="139"/>
      <c r="AM653" s="139"/>
      <c r="AN653" s="139"/>
      <c r="AO653" s="139"/>
      <c r="AP653" s="139"/>
      <c r="AQ653" s="139"/>
      <c r="AR653" s="139"/>
      <c r="AS653" s="139"/>
      <c r="AT653" s="139"/>
      <c r="AU653" s="139"/>
      <c r="AV653" s="139"/>
      <c r="AW653" s="139"/>
      <c r="AX653" s="139"/>
      <c r="AY653" s="139"/>
      <c r="AZ653" s="139"/>
      <c r="BA653" s="139"/>
      <c r="BB653" s="139"/>
      <c r="BC653" s="139"/>
      <c r="BD653" s="139"/>
      <c r="BE653" s="139"/>
      <c r="BF653" s="139"/>
      <c r="BG653" s="139"/>
      <c r="BH653" s="139"/>
    </row>
    <row r="654" spans="2:60" s="11" customFormat="1" ht="20.100000000000001" customHeight="1">
      <c r="B654" s="1360"/>
      <c r="C654" s="5598"/>
      <c r="D654" s="9598" t="s">
        <v>143</v>
      </c>
      <c r="E654" s="9600"/>
      <c r="F654" s="492" t="s">
        <v>344</v>
      </c>
      <c r="G654" s="666"/>
      <c r="H654" s="666"/>
      <c r="I654" s="9582" t="s">
        <v>144</v>
      </c>
      <c r="J654" s="9583"/>
      <c r="K654" s="492" t="s">
        <v>344</v>
      </c>
      <c r="L654" s="5594"/>
      <c r="M654" s="5658"/>
      <c r="N654" s="5601"/>
      <c r="O654" s="5667"/>
      <c r="P654" s="5602"/>
      <c r="Q654" s="5758"/>
      <c r="R654" s="2468"/>
      <c r="S654" s="544"/>
      <c r="T654" s="545"/>
      <c r="U654" s="546"/>
      <c r="V654" s="547"/>
      <c r="W654" s="299" t="s">
        <v>193</v>
      </c>
      <c r="X654" s="277"/>
      <c r="Y654" s="277"/>
      <c r="Z654" s="187"/>
      <c r="AA654" s="6301"/>
      <c r="AB654" s="139"/>
      <c r="AC654" s="1377" t="s">
        <v>465</v>
      </c>
      <c r="AD654" s="139"/>
      <c r="AE654" s="139"/>
      <c r="AF654" s="139"/>
      <c r="AG654" s="139"/>
      <c r="AH654" s="139"/>
      <c r="AI654" s="139"/>
      <c r="AJ654" s="139"/>
      <c r="AK654" s="139"/>
      <c r="AL654" s="139"/>
      <c r="AM654" s="139"/>
      <c r="AN654" s="139"/>
      <c r="AO654" s="139"/>
      <c r="AP654" s="139"/>
      <c r="AQ654" s="139"/>
      <c r="AR654" s="139"/>
      <c r="AS654" s="139"/>
      <c r="AT654" s="139"/>
      <c r="AU654" s="139"/>
      <c r="AV654" s="139"/>
      <c r="AW654" s="139"/>
      <c r="AX654" s="139"/>
      <c r="AY654" s="139"/>
      <c r="AZ654" s="139"/>
      <c r="BA654" s="139"/>
      <c r="BB654" s="139"/>
      <c r="BC654" s="139"/>
      <c r="BD654" s="139"/>
      <c r="BE654" s="139"/>
      <c r="BF654" s="139"/>
      <c r="BG654" s="139"/>
      <c r="BH654" s="139"/>
    </row>
    <row r="655" spans="2:60" s="11" customFormat="1" ht="20.100000000000001" customHeight="1">
      <c r="B655" s="1360"/>
      <c r="C655" s="5598"/>
      <c r="D655" s="9598" t="s">
        <v>631</v>
      </c>
      <c r="E655" s="9600"/>
      <c r="F655" s="492" t="s">
        <v>344</v>
      </c>
      <c r="G655" s="666"/>
      <c r="H655" s="666"/>
      <c r="I655" s="9582" t="s">
        <v>147</v>
      </c>
      <c r="J655" s="9583"/>
      <c r="K655" s="492" t="s">
        <v>344</v>
      </c>
      <c r="L655" s="5967" t="s">
        <v>168</v>
      </c>
      <c r="M655" s="5656" t="s">
        <v>641</v>
      </c>
      <c r="N655" s="5593" t="s">
        <v>168</v>
      </c>
      <c r="O655" s="5948" t="s">
        <v>641</v>
      </c>
      <c r="P655" s="5948" t="s">
        <v>168</v>
      </c>
      <c r="Q655" s="5948" t="s">
        <v>641</v>
      </c>
      <c r="R655" s="2468"/>
      <c r="S655" s="544"/>
      <c r="T655" s="545"/>
      <c r="U655" s="546"/>
      <c r="V655" s="547"/>
      <c r="W655" s="299" t="s">
        <v>193</v>
      </c>
      <c r="X655" s="277"/>
      <c r="Y655" s="277"/>
      <c r="Z655" s="187"/>
      <c r="AA655" s="6301"/>
      <c r="AB655" s="139"/>
      <c r="AC655" s="1377" t="s">
        <v>465</v>
      </c>
      <c r="AD655" s="139"/>
      <c r="AE655" s="139"/>
      <c r="AF655" s="139"/>
      <c r="AG655" s="139"/>
      <c r="AH655" s="139"/>
      <c r="AI655" s="139"/>
      <c r="AJ655" s="139"/>
      <c r="AK655" s="139"/>
      <c r="AL655" s="139"/>
      <c r="AM655" s="139"/>
      <c r="AN655" s="139"/>
      <c r="AO655" s="139"/>
      <c r="AP655" s="139"/>
      <c r="AQ655" s="139"/>
      <c r="AR655" s="139"/>
      <c r="AS655" s="139"/>
      <c r="AT655" s="139"/>
      <c r="AU655" s="139"/>
      <c r="AV655" s="139"/>
      <c r="AW655" s="139"/>
      <c r="AX655" s="139"/>
      <c r="AY655" s="139"/>
      <c r="AZ655" s="139"/>
      <c r="BA655" s="139"/>
      <c r="BB655" s="139"/>
      <c r="BC655" s="139"/>
      <c r="BD655" s="139"/>
      <c r="BE655" s="139"/>
      <c r="BF655" s="139"/>
      <c r="BG655" s="139"/>
      <c r="BH655" s="139"/>
    </row>
    <row r="656" spans="2:60" s="11" customFormat="1" ht="20.100000000000001" customHeight="1">
      <c r="B656" s="1360"/>
      <c r="C656" s="5598"/>
      <c r="D656" s="9598" t="s">
        <v>633</v>
      </c>
      <c r="E656" s="9600"/>
      <c r="F656" s="492" t="s">
        <v>344</v>
      </c>
      <c r="G656" s="666"/>
      <c r="H656" s="666"/>
      <c r="I656" s="9582" t="s">
        <v>150</v>
      </c>
      <c r="J656" s="9583"/>
      <c r="K656" s="492" t="s">
        <v>344</v>
      </c>
      <c r="L656" s="5594"/>
      <c r="M656" s="5658"/>
      <c r="N656" s="5601"/>
      <c r="O656" s="5853"/>
      <c r="P656" s="5602"/>
      <c r="Q656" s="5758"/>
      <c r="R656" s="2468"/>
      <c r="S656" s="544"/>
      <c r="T656" s="545"/>
      <c r="U656" s="546"/>
      <c r="V656" s="547"/>
      <c r="W656" s="299" t="s">
        <v>193</v>
      </c>
      <c r="X656" s="277"/>
      <c r="Y656" s="277"/>
      <c r="Z656" s="187"/>
      <c r="AA656" s="6301"/>
      <c r="AB656" s="139"/>
      <c r="AC656" s="1377" t="s">
        <v>465</v>
      </c>
      <c r="AD656" s="139"/>
      <c r="AE656" s="139"/>
      <c r="AF656" s="139"/>
      <c r="AG656" s="139"/>
      <c r="AH656" s="139"/>
      <c r="AI656" s="139"/>
      <c r="AJ656" s="139"/>
      <c r="AK656" s="139"/>
      <c r="AL656" s="139"/>
      <c r="AM656" s="139"/>
      <c r="AN656" s="139"/>
      <c r="AO656" s="139"/>
      <c r="AP656" s="139"/>
      <c r="AQ656" s="139"/>
      <c r="AR656" s="139"/>
      <c r="AS656" s="139"/>
      <c r="AT656" s="139"/>
      <c r="AU656" s="139"/>
      <c r="AV656" s="139"/>
      <c r="AW656" s="139"/>
      <c r="AX656" s="139"/>
      <c r="AY656" s="139"/>
      <c r="AZ656" s="139"/>
      <c r="BA656" s="139"/>
      <c r="BB656" s="139"/>
      <c r="BC656" s="139"/>
      <c r="BD656" s="139"/>
      <c r="BE656" s="139"/>
      <c r="BF656" s="139"/>
      <c r="BG656" s="139"/>
      <c r="BH656" s="139"/>
    </row>
    <row r="657" spans="2:60" s="11" customFormat="1" ht="20.100000000000001" customHeight="1">
      <c r="B657" s="1360"/>
      <c r="C657" s="9656" t="s">
        <v>476</v>
      </c>
      <c r="D657" s="9587"/>
      <c r="E657" s="9588"/>
      <c r="F657" s="492" t="s">
        <v>344</v>
      </c>
      <c r="G657" s="184"/>
      <c r="H657" s="9586" t="s">
        <v>477</v>
      </c>
      <c r="I657" s="9587"/>
      <c r="J657" s="9588"/>
      <c r="K657" s="492" t="s">
        <v>344</v>
      </c>
      <c r="L657" s="5653" t="str">
        <f>IF(COUNTBLANK(L658:L663)&gt;0,"미취합법인有",SUM(L658:L663))</f>
        <v>미취합법인有</v>
      </c>
      <c r="M657" s="5657"/>
      <c r="N657" s="5654" t="str">
        <f>IF(COUNTBLANK(N658:N663)&gt;0,"미취합법인有",SUM(N658:N663))</f>
        <v>미취합법인有</v>
      </c>
      <c r="O657" s="5663"/>
      <c r="P657" s="5781" t="str">
        <f>IF(COUNTBLANK(P658:P663)&gt;0,"미취합법인有",SUM(P658:P663))</f>
        <v>미취합법인有</v>
      </c>
      <c r="Q657" s="785"/>
      <c r="R657" s="2468" t="s">
        <v>478</v>
      </c>
      <c r="S657" s="276" t="s">
        <v>479</v>
      </c>
      <c r="T657" s="99" t="s">
        <v>189</v>
      </c>
      <c r="U657" s="547"/>
      <c r="V657" s="547"/>
      <c r="W657" s="299" t="s">
        <v>193</v>
      </c>
      <c r="X657" s="277" t="s">
        <v>480</v>
      </c>
      <c r="Y657" s="277"/>
      <c r="Z657" s="187"/>
      <c r="AA657" s="6301"/>
      <c r="AB657" s="139"/>
      <c r="AC657" s="1377" t="s">
        <v>465</v>
      </c>
      <c r="AD657" s="139"/>
      <c r="AE657" s="139"/>
      <c r="AF657" s="139"/>
      <c r="AG657" s="139"/>
      <c r="AH657" s="139"/>
      <c r="AI657" s="139"/>
      <c r="AJ657" s="139"/>
      <c r="AK657" s="139"/>
      <c r="AL657" s="139"/>
      <c r="AM657" s="139"/>
      <c r="AN657" s="139"/>
      <c r="AO657" s="139"/>
      <c r="AP657" s="139"/>
      <c r="AQ657" s="139"/>
      <c r="AR657" s="139"/>
      <c r="AS657" s="139"/>
      <c r="AT657" s="139"/>
      <c r="AU657" s="139"/>
      <c r="AV657" s="139"/>
      <c r="AW657" s="139"/>
      <c r="AX657" s="139"/>
      <c r="AY657" s="139"/>
      <c r="AZ657" s="139"/>
      <c r="BA657" s="139"/>
      <c r="BB657" s="139"/>
      <c r="BC657" s="139"/>
      <c r="BD657" s="139"/>
      <c r="BE657" s="139"/>
      <c r="BF657" s="139"/>
      <c r="BG657" s="139"/>
      <c r="BH657" s="139"/>
    </row>
    <row r="658" spans="2:60" s="11" customFormat="1" ht="19.899999999999999" customHeight="1">
      <c r="B658" s="5590"/>
      <c r="C658" s="9647" t="s">
        <v>134</v>
      </c>
      <c r="D658" s="9648"/>
      <c r="E658" s="9649"/>
      <c r="F658" s="492" t="s">
        <v>344</v>
      </c>
      <c r="G658" s="253"/>
      <c r="H658" s="9579" t="s">
        <v>135</v>
      </c>
      <c r="I658" s="9580"/>
      <c r="J658" s="9581"/>
      <c r="K658" s="492" t="s">
        <v>344</v>
      </c>
      <c r="L658" s="5592"/>
      <c r="M658" s="5656"/>
      <c r="N658" s="5593"/>
      <c r="O658" s="5656"/>
      <c r="P658" s="5593"/>
      <c r="Q658" s="5656"/>
      <c r="R658" s="1033"/>
      <c r="S658" s="263"/>
      <c r="T658" s="99"/>
      <c r="U658" s="138"/>
      <c r="V658" s="138"/>
      <c r="W658" s="299" t="s">
        <v>193</v>
      </c>
      <c r="X658" s="264"/>
      <c r="Y658" s="277"/>
      <c r="Z658" s="187"/>
      <c r="AA658" s="6301"/>
      <c r="AB658" s="139"/>
      <c r="AC658" s="139"/>
      <c r="AD658" s="139"/>
      <c r="AE658" s="139"/>
      <c r="AF658" s="139"/>
      <c r="AG658" s="139"/>
      <c r="AH658" s="139"/>
      <c r="AI658" s="139"/>
      <c r="AJ658" s="139"/>
      <c r="AK658" s="139"/>
      <c r="AL658" s="139"/>
      <c r="AM658" s="139"/>
      <c r="AN658" s="139"/>
      <c r="AO658" s="139"/>
      <c r="AP658" s="139"/>
      <c r="AQ658" s="139"/>
      <c r="AR658" s="139"/>
      <c r="AS658" s="139"/>
      <c r="AT658" s="139"/>
      <c r="AU658" s="139"/>
      <c r="AV658" s="139"/>
      <c r="AW658" s="139"/>
      <c r="AX658" s="139"/>
      <c r="AY658" s="139"/>
      <c r="AZ658" s="139"/>
      <c r="BA658" s="139"/>
      <c r="BB658" s="139"/>
      <c r="BC658" s="139"/>
      <c r="BD658" s="139"/>
      <c r="BE658" s="139"/>
      <c r="BF658" s="139"/>
      <c r="BG658" s="139"/>
      <c r="BH658" s="139"/>
    </row>
    <row r="659" spans="2:60" s="11" customFormat="1" ht="19.899999999999999" customHeight="1">
      <c r="B659" s="5590"/>
      <c r="C659" s="9647" t="s">
        <v>137</v>
      </c>
      <c r="D659" s="9648"/>
      <c r="E659" s="9649"/>
      <c r="F659" s="492" t="s">
        <v>344</v>
      </c>
      <c r="G659" s="253"/>
      <c r="H659" s="9579" t="s">
        <v>138</v>
      </c>
      <c r="I659" s="9580"/>
      <c r="J659" s="9581"/>
      <c r="K659" s="492" t="s">
        <v>344</v>
      </c>
      <c r="L659" s="5592"/>
      <c r="M659" s="5656"/>
      <c r="N659" s="5593"/>
      <c r="O659" s="5593"/>
      <c r="P659" s="5593"/>
      <c r="Q659" s="5593"/>
      <c r="R659" s="1033"/>
      <c r="S659" s="263"/>
      <c r="T659" s="99"/>
      <c r="U659" s="138"/>
      <c r="V659" s="138"/>
      <c r="W659" s="299" t="s">
        <v>193</v>
      </c>
      <c r="X659" s="264"/>
      <c r="Y659" s="277"/>
      <c r="Z659" s="187"/>
      <c r="AA659" s="6301"/>
      <c r="AB659" s="139"/>
      <c r="AC659" s="139"/>
      <c r="AD659" s="139"/>
      <c r="AE659" s="139"/>
      <c r="AF659" s="139"/>
      <c r="AG659" s="139"/>
      <c r="AH659" s="139"/>
      <c r="AI659" s="139"/>
      <c r="AJ659" s="139"/>
      <c r="AK659" s="139"/>
      <c r="AL659" s="139"/>
      <c r="AM659" s="139"/>
      <c r="AN659" s="139"/>
      <c r="AO659" s="139"/>
      <c r="AP659" s="139"/>
      <c r="AQ659" s="139"/>
      <c r="AR659" s="139"/>
      <c r="AS659" s="139"/>
      <c r="AT659" s="139"/>
      <c r="AU659" s="139"/>
      <c r="AV659" s="139"/>
      <c r="AW659" s="139"/>
      <c r="AX659" s="139"/>
      <c r="AY659" s="139"/>
      <c r="AZ659" s="139"/>
      <c r="BA659" s="139"/>
      <c r="BB659" s="139"/>
      <c r="BC659" s="139"/>
      <c r="BD659" s="139"/>
      <c r="BE659" s="139"/>
      <c r="BF659" s="139"/>
      <c r="BG659" s="139"/>
      <c r="BH659" s="139"/>
    </row>
    <row r="660" spans="2:60" s="11" customFormat="1" ht="19.899999999999999" customHeight="1">
      <c r="B660" s="5590"/>
      <c r="C660" s="9647" t="s">
        <v>140</v>
      </c>
      <c r="D660" s="9648"/>
      <c r="E660" s="9649"/>
      <c r="F660" s="492" t="s">
        <v>344</v>
      </c>
      <c r="G660" s="253"/>
      <c r="H660" s="9579" t="s">
        <v>141</v>
      </c>
      <c r="I660" s="9580"/>
      <c r="J660" s="9581"/>
      <c r="K660" s="492" t="s">
        <v>344</v>
      </c>
      <c r="L660" s="5592">
        <v>0</v>
      </c>
      <c r="M660" s="5656"/>
      <c r="N660" s="5593">
        <v>0</v>
      </c>
      <c r="O660" s="5593"/>
      <c r="P660" s="5593">
        <v>0</v>
      </c>
      <c r="Q660" s="5593"/>
      <c r="R660" s="1033"/>
      <c r="S660" s="263"/>
      <c r="T660" s="99"/>
      <c r="U660" s="138"/>
      <c r="V660" s="138"/>
      <c r="W660" s="299" t="s">
        <v>193</v>
      </c>
      <c r="X660" s="264"/>
      <c r="Y660" s="277"/>
      <c r="Z660" s="187"/>
      <c r="AA660" s="6301"/>
      <c r="AB660" s="139"/>
      <c r="AC660" s="1377" t="s">
        <v>465</v>
      </c>
      <c r="AD660" s="139"/>
      <c r="AE660" s="139"/>
      <c r="AF660" s="139"/>
      <c r="AG660" s="139"/>
      <c r="AH660" s="139"/>
      <c r="AI660" s="139"/>
      <c r="AJ660" s="139"/>
      <c r="AK660" s="139"/>
      <c r="AL660" s="139"/>
      <c r="AM660" s="139"/>
      <c r="AN660" s="139"/>
      <c r="AO660" s="139"/>
      <c r="AP660" s="139"/>
      <c r="AQ660" s="139"/>
      <c r="AR660" s="139"/>
      <c r="AS660" s="139"/>
      <c r="AT660" s="139"/>
      <c r="AU660" s="139"/>
      <c r="AV660" s="139"/>
      <c r="AW660" s="139"/>
      <c r="AX660" s="139"/>
      <c r="AY660" s="139"/>
      <c r="AZ660" s="139"/>
      <c r="BA660" s="139"/>
      <c r="BB660" s="139"/>
      <c r="BC660" s="139"/>
      <c r="BD660" s="139"/>
      <c r="BE660" s="139"/>
      <c r="BF660" s="139"/>
      <c r="BG660" s="139"/>
      <c r="BH660" s="139"/>
    </row>
    <row r="661" spans="2:60" s="11" customFormat="1" ht="19.899999999999999" customHeight="1">
      <c r="B661" s="5590"/>
      <c r="C661" s="9647" t="s">
        <v>143</v>
      </c>
      <c r="D661" s="9648"/>
      <c r="E661" s="9649"/>
      <c r="F661" s="492" t="s">
        <v>344</v>
      </c>
      <c r="G661" s="253"/>
      <c r="H661" s="9579" t="s">
        <v>144</v>
      </c>
      <c r="I661" s="9580"/>
      <c r="J661" s="9581"/>
      <c r="K661" s="492" t="s">
        <v>344</v>
      </c>
      <c r="L661" s="5592">
        <v>0</v>
      </c>
      <c r="M661" s="5656"/>
      <c r="N661" s="5593">
        <v>0</v>
      </c>
      <c r="O661" s="5593"/>
      <c r="P661" s="5593">
        <v>0</v>
      </c>
      <c r="Q661" s="5593"/>
      <c r="R661" s="1033"/>
      <c r="S661" s="263"/>
      <c r="T661" s="99"/>
      <c r="U661" s="138"/>
      <c r="V661" s="138"/>
      <c r="W661" s="299" t="s">
        <v>193</v>
      </c>
      <c r="X661" s="264"/>
      <c r="Y661" s="277"/>
      <c r="Z661" s="187"/>
      <c r="AA661" s="6301"/>
      <c r="AB661" s="139"/>
      <c r="AC661" s="1377" t="s">
        <v>465</v>
      </c>
      <c r="AD661" s="139"/>
      <c r="AE661" s="139"/>
      <c r="AF661" s="139"/>
      <c r="AG661" s="139"/>
      <c r="AH661" s="139"/>
      <c r="AI661" s="139"/>
      <c r="AJ661" s="139"/>
      <c r="AK661" s="139"/>
      <c r="AL661" s="139"/>
      <c r="AM661" s="139"/>
      <c r="AN661" s="139"/>
      <c r="AO661" s="139"/>
      <c r="AP661" s="139"/>
      <c r="AQ661" s="139"/>
      <c r="AR661" s="139"/>
      <c r="AS661" s="139"/>
      <c r="AT661" s="139"/>
      <c r="AU661" s="139"/>
      <c r="AV661" s="139"/>
      <c r="AW661" s="139"/>
      <c r="AX661" s="139"/>
      <c r="AY661" s="139"/>
      <c r="AZ661" s="139"/>
      <c r="BA661" s="139"/>
      <c r="BB661" s="139"/>
      <c r="BC661" s="139"/>
      <c r="BD661" s="139"/>
      <c r="BE661" s="139"/>
      <c r="BF661" s="139"/>
      <c r="BG661" s="139"/>
      <c r="BH661" s="139"/>
    </row>
    <row r="662" spans="2:60" s="11" customFormat="1" ht="19.899999999999999" customHeight="1">
      <c r="B662" s="5590"/>
      <c r="C662" s="9647" t="s">
        <v>631</v>
      </c>
      <c r="D662" s="9648"/>
      <c r="E662" s="9649"/>
      <c r="F662" s="492" t="s">
        <v>344</v>
      </c>
      <c r="G662" s="253"/>
      <c r="H662" s="9579" t="s">
        <v>147</v>
      </c>
      <c r="I662" s="9580"/>
      <c r="J662" s="9581"/>
      <c r="K662" s="492" t="s">
        <v>344</v>
      </c>
      <c r="L662" s="5967" t="s">
        <v>168</v>
      </c>
      <c r="M662" s="5656" t="s">
        <v>641</v>
      </c>
      <c r="N662" s="5593" t="s">
        <v>168</v>
      </c>
      <c r="O662" s="5593" t="s">
        <v>641</v>
      </c>
      <c r="P662" s="5593" t="s">
        <v>168</v>
      </c>
      <c r="Q662" s="5593" t="s">
        <v>641</v>
      </c>
      <c r="R662" s="1033"/>
      <c r="S662" s="263"/>
      <c r="T662" s="99"/>
      <c r="U662" s="138"/>
      <c r="V662" s="138"/>
      <c r="W662" s="299" t="s">
        <v>193</v>
      </c>
      <c r="X662" s="264"/>
      <c r="Y662" s="277"/>
      <c r="Z662" s="187"/>
      <c r="AA662" s="6301"/>
      <c r="AB662" s="139"/>
      <c r="AC662" s="1377" t="s">
        <v>465</v>
      </c>
      <c r="AD662" s="139"/>
      <c r="AE662" s="139"/>
      <c r="AF662" s="139"/>
      <c r="AG662" s="139"/>
      <c r="AH662" s="139"/>
      <c r="AI662" s="139"/>
      <c r="AJ662" s="139"/>
      <c r="AK662" s="139"/>
      <c r="AL662" s="139"/>
      <c r="AM662" s="139"/>
      <c r="AN662" s="139"/>
      <c r="AO662" s="139"/>
      <c r="AP662" s="139"/>
      <c r="AQ662" s="139"/>
      <c r="AR662" s="139"/>
      <c r="AS662" s="139"/>
      <c r="AT662" s="139"/>
      <c r="AU662" s="139"/>
      <c r="AV662" s="139"/>
      <c r="AW662" s="139"/>
      <c r="AX662" s="139"/>
      <c r="AY662" s="139"/>
      <c r="AZ662" s="139"/>
      <c r="BA662" s="139"/>
      <c r="BB662" s="139"/>
      <c r="BC662" s="139"/>
      <c r="BD662" s="139"/>
      <c r="BE662" s="139"/>
      <c r="BF662" s="139"/>
      <c r="BG662" s="139"/>
      <c r="BH662" s="139"/>
    </row>
    <row r="663" spans="2:60" s="11" customFormat="1" ht="19.899999999999999" customHeight="1">
      <c r="B663" s="5590"/>
      <c r="C663" s="9647" t="s">
        <v>633</v>
      </c>
      <c r="D663" s="9648"/>
      <c r="E663" s="9649"/>
      <c r="F663" s="492" t="s">
        <v>344</v>
      </c>
      <c r="G663" s="253"/>
      <c r="H663" s="9579" t="s">
        <v>150</v>
      </c>
      <c r="I663" s="9580"/>
      <c r="J663" s="9581"/>
      <c r="K663" s="492" t="s">
        <v>344</v>
      </c>
      <c r="L663" s="5592"/>
      <c r="M663" s="5656"/>
      <c r="N663" s="5593"/>
      <c r="O663" s="5593"/>
      <c r="P663" s="5593"/>
      <c r="Q663" s="5593"/>
      <c r="R663" s="1033"/>
      <c r="S663" s="263"/>
      <c r="T663" s="99"/>
      <c r="U663" s="138"/>
      <c r="V663" s="138"/>
      <c r="W663" s="299" t="s">
        <v>193</v>
      </c>
      <c r="X663" s="264"/>
      <c r="Y663" s="277"/>
      <c r="Z663" s="187"/>
      <c r="AA663" s="6301"/>
      <c r="AB663" s="139"/>
      <c r="AC663" s="1377" t="s">
        <v>465</v>
      </c>
      <c r="AD663" s="139"/>
      <c r="AE663" s="139"/>
      <c r="AF663" s="139"/>
      <c r="AG663" s="139"/>
      <c r="AH663" s="139"/>
      <c r="AI663" s="139"/>
      <c r="AJ663" s="139"/>
      <c r="AK663" s="139"/>
      <c r="AL663" s="139"/>
      <c r="AM663" s="139"/>
      <c r="AN663" s="139"/>
      <c r="AO663" s="139"/>
      <c r="AP663" s="139"/>
      <c r="AQ663" s="139"/>
      <c r="AR663" s="139"/>
      <c r="AS663" s="139"/>
      <c r="AT663" s="139"/>
      <c r="AU663" s="139"/>
      <c r="AV663" s="139"/>
      <c r="AW663" s="139"/>
      <c r="AX663" s="139"/>
      <c r="AY663" s="139"/>
      <c r="AZ663" s="139"/>
      <c r="BA663" s="139"/>
      <c r="BB663" s="139"/>
      <c r="BC663" s="139"/>
      <c r="BD663" s="139"/>
      <c r="BE663" s="139"/>
      <c r="BF663" s="139"/>
      <c r="BG663" s="139"/>
      <c r="BH663" s="139"/>
    </row>
    <row r="664" spans="2:60" s="11" customFormat="1" ht="20.100000000000001" customHeight="1">
      <c r="B664" s="1360"/>
      <c r="C664" s="5598"/>
      <c r="D664" s="9594" t="s">
        <v>481</v>
      </c>
      <c r="E664" s="9595"/>
      <c r="F664" s="492" t="s">
        <v>344</v>
      </c>
      <c r="G664" s="345"/>
      <c r="H664" s="345"/>
      <c r="I664" s="9594" t="s">
        <v>482</v>
      </c>
      <c r="J664" s="9595"/>
      <c r="K664" s="492" t="s">
        <v>344</v>
      </c>
      <c r="L664" s="5653" t="str">
        <f>IF(COUNTBLANK(L665:L670)&gt;0,"미취합법인有",SUM(L665:L670))</f>
        <v>미취합법인有</v>
      </c>
      <c r="M664" s="5657"/>
      <c r="N664" s="5654" t="str">
        <f>IF(COUNTBLANK(N665:N670)&gt;0,"미취합법인有",SUM(N665:N670))</f>
        <v>미취합법인有</v>
      </c>
      <c r="O664" s="5663"/>
      <c r="P664" s="5781" t="str">
        <f>IF(COUNTBLANK(P665:P670)&gt;0,"미취합법인有",SUM(P665:P670))</f>
        <v>미취합법인有</v>
      </c>
      <c r="Q664" s="785"/>
      <c r="R664" s="2468"/>
      <c r="S664" s="276"/>
      <c r="T664" s="99" t="s">
        <v>189</v>
      </c>
      <c r="U664" s="547"/>
      <c r="V664" s="547"/>
      <c r="W664" s="299" t="s">
        <v>193</v>
      </c>
      <c r="X664" s="277" t="s">
        <v>480</v>
      </c>
      <c r="Y664" s="277"/>
      <c r="Z664" s="187"/>
      <c r="AA664" s="6301"/>
      <c r="AB664" s="139"/>
      <c r="AC664" s="1377" t="s">
        <v>465</v>
      </c>
      <c r="AD664" s="139"/>
      <c r="AE664" s="139"/>
      <c r="AF664" s="139"/>
      <c r="AG664" s="139"/>
      <c r="AH664" s="139"/>
      <c r="AI664" s="139"/>
      <c r="AJ664" s="139"/>
      <c r="AK664" s="139"/>
      <c r="AL664" s="139"/>
      <c r="AM664" s="139"/>
      <c r="AN664" s="139"/>
      <c r="AO664" s="139"/>
      <c r="AP664" s="139"/>
      <c r="AQ664" s="139"/>
      <c r="AR664" s="139"/>
      <c r="AS664" s="139"/>
      <c r="AT664" s="139"/>
      <c r="AU664" s="139"/>
      <c r="AV664" s="139"/>
      <c r="AW664" s="139"/>
      <c r="AX664" s="139"/>
      <c r="AY664" s="139"/>
      <c r="AZ664" s="139"/>
      <c r="BA664" s="139"/>
      <c r="BB664" s="139"/>
      <c r="BC664" s="139"/>
      <c r="BD664" s="139"/>
      <c r="BE664" s="139"/>
      <c r="BF664" s="139"/>
      <c r="BG664" s="139"/>
      <c r="BH664" s="139"/>
    </row>
    <row r="665" spans="2:60" s="11" customFormat="1" ht="20.100000000000001" customHeight="1">
      <c r="B665" s="1360"/>
      <c r="C665" s="5598"/>
      <c r="D665" s="9598" t="s">
        <v>134</v>
      </c>
      <c r="E665" s="9600"/>
      <c r="F665" s="492" t="s">
        <v>344</v>
      </c>
      <c r="G665" s="666"/>
      <c r="H665" s="666"/>
      <c r="I665" s="9579" t="s">
        <v>135</v>
      </c>
      <c r="J665" s="9581"/>
      <c r="K665" s="492" t="s">
        <v>344</v>
      </c>
      <c r="L665" s="5594"/>
      <c r="M665" s="5658"/>
      <c r="N665" s="5601"/>
      <c r="O665" s="5667"/>
      <c r="P665" s="5602"/>
      <c r="Q665" s="5758"/>
      <c r="R665" s="2468"/>
      <c r="S665" s="544"/>
      <c r="T665" s="545"/>
      <c r="U665" s="546"/>
      <c r="V665" s="547"/>
      <c r="W665" s="299" t="s">
        <v>193</v>
      </c>
      <c r="X665" s="277"/>
      <c r="Y665" s="277"/>
      <c r="Z665" s="187"/>
      <c r="AA665" s="6301"/>
      <c r="AB665" s="139"/>
      <c r="AC665" s="139"/>
      <c r="AD665" s="139"/>
      <c r="AE665" s="139"/>
      <c r="AF665" s="139"/>
      <c r="AG665" s="139"/>
      <c r="AH665" s="139"/>
      <c r="AI665" s="139"/>
      <c r="AJ665" s="139"/>
      <c r="AK665" s="139"/>
      <c r="AL665" s="139"/>
      <c r="AM665" s="139"/>
      <c r="AN665" s="139"/>
      <c r="AO665" s="139"/>
      <c r="AP665" s="139"/>
      <c r="AQ665" s="139"/>
      <c r="AR665" s="139"/>
      <c r="AS665" s="139"/>
      <c r="AT665" s="139"/>
      <c r="AU665" s="139"/>
      <c r="AV665" s="139"/>
      <c r="AW665" s="139"/>
      <c r="AX665" s="139"/>
      <c r="AY665" s="139"/>
      <c r="AZ665" s="139"/>
      <c r="BA665" s="139"/>
      <c r="BB665" s="139"/>
      <c r="BC665" s="139"/>
      <c r="BD665" s="139"/>
      <c r="BE665" s="139"/>
      <c r="BF665" s="139"/>
      <c r="BG665" s="139"/>
      <c r="BH665" s="139"/>
    </row>
    <row r="666" spans="2:60" s="11" customFormat="1" ht="20.100000000000001" customHeight="1">
      <c r="B666" s="1360"/>
      <c r="C666" s="5598"/>
      <c r="D666" s="9598" t="s">
        <v>137</v>
      </c>
      <c r="E666" s="9600"/>
      <c r="F666" s="492" t="s">
        <v>344</v>
      </c>
      <c r="G666" s="666"/>
      <c r="H666" s="666"/>
      <c r="I666" s="9579" t="s">
        <v>138</v>
      </c>
      <c r="J666" s="9581"/>
      <c r="K666" s="492" t="s">
        <v>344</v>
      </c>
      <c r="L666" s="5594"/>
      <c r="M666" s="5658"/>
      <c r="N666" s="5601"/>
      <c r="O666" s="5667"/>
      <c r="P666" s="5602"/>
      <c r="Q666" s="5758"/>
      <c r="R666" s="2468"/>
      <c r="S666" s="544"/>
      <c r="T666" s="545"/>
      <c r="U666" s="546"/>
      <c r="V666" s="547"/>
      <c r="W666" s="299" t="s">
        <v>193</v>
      </c>
      <c r="X666" s="277"/>
      <c r="Y666" s="277"/>
      <c r="Z666" s="187"/>
      <c r="AA666" s="6301"/>
      <c r="AB666" s="139"/>
      <c r="AC666" s="139"/>
      <c r="AD666" s="139"/>
      <c r="AE666" s="139"/>
      <c r="AF666" s="139"/>
      <c r="AG666" s="139"/>
      <c r="AH666" s="139"/>
      <c r="AI666" s="139"/>
      <c r="AJ666" s="139"/>
      <c r="AK666" s="139"/>
      <c r="AL666" s="139"/>
      <c r="AM666" s="139"/>
      <c r="AN666" s="139"/>
      <c r="AO666" s="139"/>
      <c r="AP666" s="139"/>
      <c r="AQ666" s="139"/>
      <c r="AR666" s="139"/>
      <c r="AS666" s="139"/>
      <c r="AT666" s="139"/>
      <c r="AU666" s="139"/>
      <c r="AV666" s="139"/>
      <c r="AW666" s="139"/>
      <c r="AX666" s="139"/>
      <c r="AY666" s="139"/>
      <c r="AZ666" s="139"/>
      <c r="BA666" s="139"/>
      <c r="BB666" s="139"/>
      <c r="BC666" s="139"/>
      <c r="BD666" s="139"/>
      <c r="BE666" s="139"/>
      <c r="BF666" s="139"/>
      <c r="BG666" s="139"/>
      <c r="BH666" s="139"/>
    </row>
    <row r="667" spans="2:60" s="11" customFormat="1" ht="20.100000000000001" customHeight="1">
      <c r="B667" s="1360"/>
      <c r="C667" s="5598"/>
      <c r="D667" s="9598" t="s">
        <v>140</v>
      </c>
      <c r="E667" s="9600"/>
      <c r="F667" s="492" t="s">
        <v>344</v>
      </c>
      <c r="G667" s="666"/>
      <c r="H667" s="666"/>
      <c r="I667" s="9582" t="s">
        <v>141</v>
      </c>
      <c r="J667" s="9583"/>
      <c r="K667" s="492" t="s">
        <v>344</v>
      </c>
      <c r="L667" s="5594"/>
      <c r="M667" s="5658"/>
      <c r="N667" s="5601"/>
      <c r="O667" s="5667"/>
      <c r="P667" s="5602"/>
      <c r="Q667" s="5758"/>
      <c r="R667" s="2468"/>
      <c r="S667" s="544"/>
      <c r="T667" s="545"/>
      <c r="U667" s="546"/>
      <c r="V667" s="547"/>
      <c r="W667" s="299" t="s">
        <v>193</v>
      </c>
      <c r="X667" s="277"/>
      <c r="Y667" s="277"/>
      <c r="Z667" s="187"/>
      <c r="AA667" s="6301"/>
      <c r="AB667" s="139"/>
      <c r="AC667" s="1377" t="s">
        <v>465</v>
      </c>
      <c r="AD667" s="139"/>
      <c r="AE667" s="139"/>
      <c r="AF667" s="139"/>
      <c r="AG667" s="139"/>
      <c r="AH667" s="139"/>
      <c r="AI667" s="139"/>
      <c r="AJ667" s="139"/>
      <c r="AK667" s="139"/>
      <c r="AL667" s="139"/>
      <c r="AM667" s="139"/>
      <c r="AN667" s="139"/>
      <c r="AO667" s="139"/>
      <c r="AP667" s="139"/>
      <c r="AQ667" s="139"/>
      <c r="AR667" s="139"/>
      <c r="AS667" s="139"/>
      <c r="AT667" s="139"/>
      <c r="AU667" s="139"/>
      <c r="AV667" s="139"/>
      <c r="AW667" s="139"/>
      <c r="AX667" s="139"/>
      <c r="AY667" s="139"/>
      <c r="AZ667" s="139"/>
      <c r="BA667" s="139"/>
      <c r="BB667" s="139"/>
      <c r="BC667" s="139"/>
      <c r="BD667" s="139"/>
      <c r="BE667" s="139"/>
      <c r="BF667" s="139"/>
      <c r="BG667" s="139"/>
      <c r="BH667" s="139"/>
    </row>
    <row r="668" spans="2:60" s="11" customFormat="1" ht="20.100000000000001" customHeight="1">
      <c r="B668" s="1360"/>
      <c r="C668" s="5598"/>
      <c r="D668" s="9598" t="s">
        <v>143</v>
      </c>
      <c r="E668" s="9600"/>
      <c r="F668" s="492" t="s">
        <v>344</v>
      </c>
      <c r="G668" s="666"/>
      <c r="H668" s="666"/>
      <c r="I668" s="9582" t="s">
        <v>144</v>
      </c>
      <c r="J668" s="9583"/>
      <c r="K668" s="492" t="s">
        <v>344</v>
      </c>
      <c r="L668" s="5594"/>
      <c r="M668" s="5658"/>
      <c r="N668" s="5601"/>
      <c r="O668" s="5667"/>
      <c r="P668" s="5602"/>
      <c r="Q668" s="5758"/>
      <c r="R668" s="2468"/>
      <c r="S668" s="544"/>
      <c r="T668" s="545"/>
      <c r="U668" s="546"/>
      <c r="V668" s="547"/>
      <c r="W668" s="299" t="s">
        <v>193</v>
      </c>
      <c r="X668" s="277"/>
      <c r="Y668" s="277"/>
      <c r="Z668" s="187"/>
      <c r="AA668" s="6301"/>
      <c r="AB668" s="139"/>
      <c r="AC668" s="1377" t="s">
        <v>465</v>
      </c>
      <c r="AD668" s="139"/>
      <c r="AE668" s="139"/>
      <c r="AF668" s="139"/>
      <c r="AG668" s="139"/>
      <c r="AH668" s="139"/>
      <c r="AI668" s="139"/>
      <c r="AJ668" s="139"/>
      <c r="AK668" s="139"/>
      <c r="AL668" s="139"/>
      <c r="AM668" s="139"/>
      <c r="AN668" s="139"/>
      <c r="AO668" s="139"/>
      <c r="AP668" s="139"/>
      <c r="AQ668" s="139"/>
      <c r="AR668" s="139"/>
      <c r="AS668" s="139"/>
      <c r="AT668" s="139"/>
      <c r="AU668" s="139"/>
      <c r="AV668" s="139"/>
      <c r="AW668" s="139"/>
      <c r="AX668" s="139"/>
      <c r="AY668" s="139"/>
      <c r="AZ668" s="139"/>
      <c r="BA668" s="139"/>
      <c r="BB668" s="139"/>
      <c r="BC668" s="139"/>
      <c r="BD668" s="139"/>
      <c r="BE668" s="139"/>
      <c r="BF668" s="139"/>
      <c r="BG668" s="139"/>
      <c r="BH668" s="139"/>
    </row>
    <row r="669" spans="2:60" s="11" customFormat="1" ht="20.100000000000001" customHeight="1">
      <c r="B669" s="1360"/>
      <c r="C669" s="5598"/>
      <c r="D669" s="9598" t="s">
        <v>631</v>
      </c>
      <c r="E669" s="9600"/>
      <c r="F669" s="492" t="s">
        <v>344</v>
      </c>
      <c r="G669" s="666"/>
      <c r="H669" s="666"/>
      <c r="I669" s="9582" t="s">
        <v>147</v>
      </c>
      <c r="J669" s="9583"/>
      <c r="K669" s="492" t="s">
        <v>344</v>
      </c>
      <c r="L669" s="5967" t="s">
        <v>168</v>
      </c>
      <c r="M669" s="5656" t="s">
        <v>641</v>
      </c>
      <c r="N669" s="5593" t="s">
        <v>168</v>
      </c>
      <c r="O669" s="5948" t="s">
        <v>641</v>
      </c>
      <c r="P669" s="5948" t="s">
        <v>168</v>
      </c>
      <c r="Q669" s="5948" t="s">
        <v>641</v>
      </c>
      <c r="R669" s="2468"/>
      <c r="S669" s="544"/>
      <c r="T669" s="545"/>
      <c r="U669" s="546"/>
      <c r="V669" s="547"/>
      <c r="W669" s="299" t="s">
        <v>193</v>
      </c>
      <c r="X669" s="277"/>
      <c r="Y669" s="277"/>
      <c r="Z669" s="187"/>
      <c r="AA669" s="6301"/>
      <c r="AB669" s="139"/>
      <c r="AC669" s="1377" t="s">
        <v>465</v>
      </c>
      <c r="AD669" s="139"/>
      <c r="AE669" s="139"/>
      <c r="AF669" s="139"/>
      <c r="AG669" s="139"/>
      <c r="AH669" s="139"/>
      <c r="AI669" s="139"/>
      <c r="AJ669" s="139"/>
      <c r="AK669" s="139"/>
      <c r="AL669" s="139"/>
      <c r="AM669" s="139"/>
      <c r="AN669" s="139"/>
      <c r="AO669" s="139"/>
      <c r="AP669" s="139"/>
      <c r="AQ669" s="139"/>
      <c r="AR669" s="139"/>
      <c r="AS669" s="139"/>
      <c r="AT669" s="139"/>
      <c r="AU669" s="139"/>
      <c r="AV669" s="139"/>
      <c r="AW669" s="139"/>
      <c r="AX669" s="139"/>
      <c r="AY669" s="139"/>
      <c r="AZ669" s="139"/>
      <c r="BA669" s="139"/>
      <c r="BB669" s="139"/>
      <c r="BC669" s="139"/>
      <c r="BD669" s="139"/>
      <c r="BE669" s="139"/>
      <c r="BF669" s="139"/>
      <c r="BG669" s="139"/>
      <c r="BH669" s="139"/>
    </row>
    <row r="670" spans="2:60" s="11" customFormat="1" ht="20.100000000000001" customHeight="1">
      <c r="B670" s="1360"/>
      <c r="C670" s="5598"/>
      <c r="D670" s="9598" t="s">
        <v>633</v>
      </c>
      <c r="E670" s="9600"/>
      <c r="F670" s="492" t="s">
        <v>344</v>
      </c>
      <c r="G670" s="666"/>
      <c r="H670" s="666"/>
      <c r="I670" s="9582" t="s">
        <v>150</v>
      </c>
      <c r="J670" s="9583"/>
      <c r="K670" s="492" t="s">
        <v>344</v>
      </c>
      <c r="L670" s="5594"/>
      <c r="M670" s="5682"/>
      <c r="N670" s="5601"/>
      <c r="O670" s="5667"/>
      <c r="P670" s="5602"/>
      <c r="Q670" s="5758"/>
      <c r="R670" s="2468"/>
      <c r="S670" s="544"/>
      <c r="T670" s="545"/>
      <c r="U670" s="546"/>
      <c r="V670" s="547"/>
      <c r="W670" s="299" t="s">
        <v>193</v>
      </c>
      <c r="X670" s="277"/>
      <c r="Y670" s="277"/>
      <c r="Z670" s="187"/>
      <c r="AA670" s="6301"/>
      <c r="AB670" s="139"/>
      <c r="AC670" s="1377" t="s">
        <v>465</v>
      </c>
      <c r="AD670" s="139"/>
      <c r="AE670" s="139"/>
      <c r="AF670" s="139"/>
      <c r="AG670" s="139"/>
      <c r="AH670" s="139"/>
      <c r="AI670" s="139"/>
      <c r="AJ670" s="139"/>
      <c r="AK670" s="139"/>
      <c r="AL670" s="139"/>
      <c r="AM670" s="139"/>
      <c r="AN670" s="139"/>
      <c r="AO670" s="139"/>
      <c r="AP670" s="139"/>
      <c r="AQ670" s="139"/>
      <c r="AR670" s="139"/>
      <c r="AS670" s="139"/>
      <c r="AT670" s="139"/>
      <c r="AU670" s="139"/>
      <c r="AV670" s="139"/>
      <c r="AW670" s="139"/>
      <c r="AX670" s="139"/>
      <c r="AY670" s="139"/>
      <c r="AZ670" s="139"/>
      <c r="BA670" s="139"/>
      <c r="BB670" s="139"/>
      <c r="BC670" s="139"/>
      <c r="BD670" s="139"/>
      <c r="BE670" s="139"/>
      <c r="BF670" s="139"/>
      <c r="BG670" s="139"/>
      <c r="BH670" s="139"/>
    </row>
    <row r="671" spans="2:60" s="11" customFormat="1" ht="20.100000000000001" customHeight="1">
      <c r="B671" s="1360"/>
      <c r="C671" s="5598"/>
      <c r="D671" s="9593" t="s">
        <v>483</v>
      </c>
      <c r="E671" s="9595"/>
      <c r="F671" s="492" t="s">
        <v>344</v>
      </c>
      <c r="G671" s="345"/>
      <c r="H671" s="345"/>
      <c r="I671" s="9593" t="s">
        <v>484</v>
      </c>
      <c r="J671" s="9595"/>
      <c r="K671" s="492" t="s">
        <v>344</v>
      </c>
      <c r="L671" s="5653" t="str">
        <f>IF(COUNTBLANK(L672:L677)&gt;0,"미취합법인有",SUM(L672:L677))</f>
        <v>미취합법인有</v>
      </c>
      <c r="M671" s="5657"/>
      <c r="N671" s="5654" t="str">
        <f>IF(COUNTBLANK(N672:N677)&gt;0,"미취합법인有",SUM(N672:N677))</f>
        <v>미취합법인有</v>
      </c>
      <c r="O671" s="5945"/>
      <c r="P671" s="5781" t="str">
        <f>IF(COUNTBLANK(P672:P677)&gt;0,"미취합법인有",SUM(P672:P677))</f>
        <v>미취합법인有</v>
      </c>
      <c r="Q671" s="785"/>
      <c r="R671" s="2468"/>
      <c r="S671" s="276"/>
      <c r="T671" s="99" t="s">
        <v>189</v>
      </c>
      <c r="U671" s="547"/>
      <c r="V671" s="547"/>
      <c r="W671" s="299" t="s">
        <v>193</v>
      </c>
      <c r="X671" s="277" t="s">
        <v>480</v>
      </c>
      <c r="Y671" s="277"/>
      <c r="Z671" s="187"/>
      <c r="AA671" s="6301"/>
      <c r="AB671" s="139"/>
      <c r="AC671" s="1377" t="s">
        <v>465</v>
      </c>
      <c r="AD671" s="139"/>
      <c r="AE671" s="139"/>
      <c r="AF671" s="139"/>
      <c r="AG671" s="139"/>
      <c r="AH671" s="139"/>
      <c r="AI671" s="139"/>
      <c r="AJ671" s="139"/>
      <c r="AK671" s="139"/>
      <c r="AL671" s="139"/>
      <c r="AM671" s="139"/>
      <c r="AN671" s="139"/>
      <c r="AO671" s="139"/>
      <c r="AP671" s="139"/>
      <c r="AQ671" s="139"/>
      <c r="AR671" s="139"/>
      <c r="AS671" s="139"/>
      <c r="AT671" s="139"/>
      <c r="AU671" s="139"/>
      <c r="AV671" s="139"/>
      <c r="AW671" s="139"/>
      <c r="AX671" s="139"/>
      <c r="AY671" s="139"/>
      <c r="AZ671" s="139"/>
      <c r="BA671" s="139"/>
      <c r="BB671" s="139"/>
      <c r="BC671" s="139"/>
      <c r="BD671" s="139"/>
      <c r="BE671" s="139"/>
      <c r="BF671" s="139"/>
      <c r="BG671" s="139"/>
      <c r="BH671" s="139"/>
    </row>
    <row r="672" spans="2:60" s="11" customFormat="1" ht="20.100000000000001" customHeight="1">
      <c r="B672" s="1360"/>
      <c r="C672" s="5598"/>
      <c r="D672" s="9598" t="s">
        <v>134</v>
      </c>
      <c r="E672" s="9600"/>
      <c r="F672" s="492" t="s">
        <v>344</v>
      </c>
      <c r="G672" s="666"/>
      <c r="H672" s="666"/>
      <c r="I672" s="9579" t="s">
        <v>135</v>
      </c>
      <c r="J672" s="9581"/>
      <c r="K672" s="492" t="s">
        <v>344</v>
      </c>
      <c r="L672" s="5594"/>
      <c r="M672" s="5682"/>
      <c r="N672" s="5601"/>
      <c r="O672" s="5667"/>
      <c r="P672" s="5602"/>
      <c r="Q672" s="5758"/>
      <c r="R672" s="2468"/>
      <c r="S672" s="544"/>
      <c r="T672" s="545"/>
      <c r="U672" s="546"/>
      <c r="V672" s="547"/>
      <c r="W672" s="299" t="s">
        <v>193</v>
      </c>
      <c r="X672" s="277"/>
      <c r="Y672" s="277"/>
      <c r="Z672" s="187"/>
      <c r="AA672" s="6301"/>
      <c r="AB672" s="139"/>
      <c r="AC672" s="139"/>
      <c r="AD672" s="139"/>
      <c r="AE672" s="139"/>
      <c r="AF672" s="139"/>
      <c r="AG672" s="139"/>
      <c r="AH672" s="139"/>
      <c r="AI672" s="139"/>
      <c r="AJ672" s="139"/>
      <c r="AK672" s="139"/>
      <c r="AL672" s="139"/>
      <c r="AM672" s="139"/>
      <c r="AN672" s="139"/>
      <c r="AO672" s="139"/>
      <c r="AP672" s="139"/>
      <c r="AQ672" s="139"/>
      <c r="AR672" s="139"/>
      <c r="AS672" s="139"/>
      <c r="AT672" s="139"/>
      <c r="AU672" s="139"/>
      <c r="AV672" s="139"/>
      <c r="AW672" s="139"/>
      <c r="AX672" s="139"/>
      <c r="AY672" s="139"/>
      <c r="AZ672" s="139"/>
      <c r="BA672" s="139"/>
      <c r="BB672" s="139"/>
      <c r="BC672" s="139"/>
      <c r="BD672" s="139"/>
      <c r="BE672" s="139"/>
      <c r="BF672" s="139"/>
      <c r="BG672" s="139"/>
      <c r="BH672" s="139"/>
    </row>
    <row r="673" spans="2:60" s="11" customFormat="1" ht="20.100000000000001" customHeight="1">
      <c r="B673" s="1360"/>
      <c r="C673" s="5598"/>
      <c r="D673" s="9598" t="s">
        <v>137</v>
      </c>
      <c r="E673" s="9600"/>
      <c r="F673" s="492" t="s">
        <v>344</v>
      </c>
      <c r="G673" s="666"/>
      <c r="H673" s="666"/>
      <c r="I673" s="9579" t="s">
        <v>138</v>
      </c>
      <c r="J673" s="9581"/>
      <c r="K673" s="492" t="s">
        <v>344</v>
      </c>
      <c r="L673" s="5594"/>
      <c r="M673" s="5682"/>
      <c r="N673" s="5601"/>
      <c r="O673" s="5667"/>
      <c r="P673" s="5602"/>
      <c r="Q673" s="5758"/>
      <c r="R673" s="2468"/>
      <c r="S673" s="544"/>
      <c r="T673" s="545"/>
      <c r="U673" s="546"/>
      <c r="V673" s="547"/>
      <c r="W673" s="299" t="s">
        <v>193</v>
      </c>
      <c r="X673" s="277"/>
      <c r="Y673" s="277"/>
      <c r="Z673" s="187"/>
      <c r="AA673" s="6301"/>
      <c r="AB673" s="139"/>
      <c r="AC673" s="139"/>
      <c r="AD673" s="139"/>
      <c r="AE673" s="139"/>
      <c r="AF673" s="139"/>
      <c r="AG673" s="139"/>
      <c r="AH673" s="139"/>
      <c r="AI673" s="139"/>
      <c r="AJ673" s="139"/>
      <c r="AK673" s="139"/>
      <c r="AL673" s="139"/>
      <c r="AM673" s="139"/>
      <c r="AN673" s="139"/>
      <c r="AO673" s="139"/>
      <c r="AP673" s="139"/>
      <c r="AQ673" s="139"/>
      <c r="AR673" s="139"/>
      <c r="AS673" s="139"/>
      <c r="AT673" s="139"/>
      <c r="AU673" s="139"/>
      <c r="AV673" s="139"/>
      <c r="AW673" s="139"/>
      <c r="AX673" s="139"/>
      <c r="AY673" s="139"/>
      <c r="AZ673" s="139"/>
      <c r="BA673" s="139"/>
      <c r="BB673" s="139"/>
      <c r="BC673" s="139"/>
      <c r="BD673" s="139"/>
      <c r="BE673" s="139"/>
      <c r="BF673" s="139"/>
      <c r="BG673" s="139"/>
      <c r="BH673" s="139"/>
    </row>
    <row r="674" spans="2:60" s="11" customFormat="1" ht="20.100000000000001" customHeight="1">
      <c r="B674" s="1360"/>
      <c r="C674" s="5598"/>
      <c r="D674" s="9598" t="s">
        <v>140</v>
      </c>
      <c r="E674" s="9600"/>
      <c r="F674" s="492" t="s">
        <v>344</v>
      </c>
      <c r="G674" s="666"/>
      <c r="H674" s="666"/>
      <c r="I674" s="9582" t="s">
        <v>141</v>
      </c>
      <c r="J674" s="9583"/>
      <c r="K674" s="492" t="s">
        <v>344</v>
      </c>
      <c r="L674" s="5594"/>
      <c r="M674" s="5682"/>
      <c r="N674" s="5601"/>
      <c r="O674" s="5667"/>
      <c r="P674" s="5602"/>
      <c r="Q674" s="5758"/>
      <c r="R674" s="2468"/>
      <c r="S674" s="544"/>
      <c r="T674" s="545"/>
      <c r="U674" s="546"/>
      <c r="V674" s="547"/>
      <c r="W674" s="299" t="s">
        <v>193</v>
      </c>
      <c r="X674" s="277"/>
      <c r="Y674" s="277"/>
      <c r="Z674" s="187"/>
      <c r="AA674" s="6301"/>
      <c r="AB674" s="139"/>
      <c r="AC674" s="1377" t="s">
        <v>465</v>
      </c>
      <c r="AD674" s="139"/>
      <c r="AE674" s="139"/>
      <c r="AF674" s="139"/>
      <c r="AG674" s="139"/>
      <c r="AH674" s="139"/>
      <c r="AI674" s="139"/>
      <c r="AJ674" s="139"/>
      <c r="AK674" s="139"/>
      <c r="AL674" s="139"/>
      <c r="AM674" s="139"/>
      <c r="AN674" s="139"/>
      <c r="AO674" s="139"/>
      <c r="AP674" s="139"/>
      <c r="AQ674" s="139"/>
      <c r="AR674" s="139"/>
      <c r="AS674" s="139"/>
      <c r="AT674" s="139"/>
      <c r="AU674" s="139"/>
      <c r="AV674" s="139"/>
      <c r="AW674" s="139"/>
      <c r="AX674" s="139"/>
      <c r="AY674" s="139"/>
      <c r="AZ674" s="139"/>
      <c r="BA674" s="139"/>
      <c r="BB674" s="139"/>
      <c r="BC674" s="139"/>
      <c r="BD674" s="139"/>
      <c r="BE674" s="139"/>
      <c r="BF674" s="139"/>
      <c r="BG674" s="139"/>
      <c r="BH674" s="139"/>
    </row>
    <row r="675" spans="2:60" s="11" customFormat="1" ht="20.100000000000001" customHeight="1">
      <c r="B675" s="1360"/>
      <c r="C675" s="5598"/>
      <c r="D675" s="9598" t="s">
        <v>143</v>
      </c>
      <c r="E675" s="9600"/>
      <c r="F675" s="492" t="s">
        <v>344</v>
      </c>
      <c r="G675" s="666"/>
      <c r="H675" s="666"/>
      <c r="I675" s="9582" t="s">
        <v>144</v>
      </c>
      <c r="J675" s="9583"/>
      <c r="K675" s="492" t="s">
        <v>344</v>
      </c>
      <c r="L675" s="5594"/>
      <c r="M675" s="5682"/>
      <c r="N675" s="5601"/>
      <c r="O675" s="5667"/>
      <c r="P675" s="5602"/>
      <c r="Q675" s="5758"/>
      <c r="R675" s="2468"/>
      <c r="S675" s="544"/>
      <c r="T675" s="545"/>
      <c r="U675" s="546"/>
      <c r="V675" s="547"/>
      <c r="W675" s="299" t="s">
        <v>193</v>
      </c>
      <c r="X675" s="277"/>
      <c r="Y675" s="277"/>
      <c r="Z675" s="187"/>
      <c r="AA675" s="6301"/>
      <c r="AB675" s="139"/>
      <c r="AC675" s="1377" t="s">
        <v>465</v>
      </c>
      <c r="AD675" s="139"/>
      <c r="AE675" s="139"/>
      <c r="AF675" s="139"/>
      <c r="AG675" s="139"/>
      <c r="AH675" s="139"/>
      <c r="AI675" s="139"/>
      <c r="AJ675" s="139"/>
      <c r="AK675" s="139"/>
      <c r="AL675" s="139"/>
      <c r="AM675" s="139"/>
      <c r="AN675" s="139"/>
      <c r="AO675" s="139"/>
      <c r="AP675" s="139"/>
      <c r="AQ675" s="139"/>
      <c r="AR675" s="139"/>
      <c r="AS675" s="139"/>
      <c r="AT675" s="139"/>
      <c r="AU675" s="139"/>
      <c r="AV675" s="139"/>
      <c r="AW675" s="139"/>
      <c r="AX675" s="139"/>
      <c r="AY675" s="139"/>
      <c r="AZ675" s="139"/>
      <c r="BA675" s="139"/>
      <c r="BB675" s="139"/>
      <c r="BC675" s="139"/>
      <c r="BD675" s="139"/>
      <c r="BE675" s="139"/>
      <c r="BF675" s="139"/>
      <c r="BG675" s="139"/>
      <c r="BH675" s="139"/>
    </row>
    <row r="676" spans="2:60" s="11" customFormat="1" ht="20.100000000000001" customHeight="1">
      <c r="B676" s="1360"/>
      <c r="C676" s="5598"/>
      <c r="D676" s="9598" t="s">
        <v>631</v>
      </c>
      <c r="E676" s="9600"/>
      <c r="F676" s="492" t="s">
        <v>344</v>
      </c>
      <c r="G676" s="666"/>
      <c r="H676" s="666"/>
      <c r="I676" s="9582" t="s">
        <v>147</v>
      </c>
      <c r="J676" s="9583"/>
      <c r="K676" s="492" t="s">
        <v>344</v>
      </c>
      <c r="L676" s="5967" t="s">
        <v>168</v>
      </c>
      <c r="M676" s="5656" t="s">
        <v>641</v>
      </c>
      <c r="N676" s="5593" t="s">
        <v>168</v>
      </c>
      <c r="O676" s="5948" t="s">
        <v>641</v>
      </c>
      <c r="P676" s="5948" t="s">
        <v>168</v>
      </c>
      <c r="Q676" s="5948" t="s">
        <v>641</v>
      </c>
      <c r="R676" s="2468"/>
      <c r="S676" s="544"/>
      <c r="T676" s="545"/>
      <c r="U676" s="546"/>
      <c r="V676" s="547"/>
      <c r="W676" s="299" t="s">
        <v>193</v>
      </c>
      <c r="X676" s="277"/>
      <c r="Y676" s="277"/>
      <c r="Z676" s="187"/>
      <c r="AA676" s="6301"/>
      <c r="AB676" s="139"/>
      <c r="AC676" s="1377" t="s">
        <v>465</v>
      </c>
      <c r="AD676" s="139"/>
      <c r="AE676" s="139"/>
      <c r="AF676" s="139"/>
      <c r="AG676" s="139"/>
      <c r="AH676" s="139"/>
      <c r="AI676" s="139"/>
      <c r="AJ676" s="139"/>
      <c r="AK676" s="139"/>
      <c r="AL676" s="139"/>
      <c r="AM676" s="139"/>
      <c r="AN676" s="139"/>
      <c r="AO676" s="139"/>
      <c r="AP676" s="139"/>
      <c r="AQ676" s="139"/>
      <c r="AR676" s="139"/>
      <c r="AS676" s="139"/>
      <c r="AT676" s="139"/>
      <c r="AU676" s="139"/>
      <c r="AV676" s="139"/>
      <c r="AW676" s="139"/>
      <c r="AX676" s="139"/>
      <c r="AY676" s="139"/>
      <c r="AZ676" s="139"/>
      <c r="BA676" s="139"/>
      <c r="BB676" s="139"/>
      <c r="BC676" s="139"/>
      <c r="BD676" s="139"/>
      <c r="BE676" s="139"/>
      <c r="BF676" s="139"/>
      <c r="BG676" s="139"/>
      <c r="BH676" s="139"/>
    </row>
    <row r="677" spans="2:60" s="11" customFormat="1" ht="20.100000000000001" customHeight="1">
      <c r="B677" s="1360"/>
      <c r="C677" s="5598"/>
      <c r="D677" s="9598" t="s">
        <v>633</v>
      </c>
      <c r="E677" s="9600"/>
      <c r="F677" s="492" t="s">
        <v>344</v>
      </c>
      <c r="G677" s="666"/>
      <c r="H677" s="666"/>
      <c r="I677" s="9582" t="s">
        <v>150</v>
      </c>
      <c r="J677" s="9583"/>
      <c r="K677" s="492" t="s">
        <v>344</v>
      </c>
      <c r="L677" s="5594"/>
      <c r="M677" s="5682"/>
      <c r="N677" s="5601"/>
      <c r="O677" s="5667"/>
      <c r="P677" s="5602"/>
      <c r="Q677" s="5758"/>
      <c r="R677" s="2468"/>
      <c r="S677" s="544"/>
      <c r="T677" s="545"/>
      <c r="U677" s="546"/>
      <c r="V677" s="547"/>
      <c r="W677" s="299" t="s">
        <v>193</v>
      </c>
      <c r="X677" s="277"/>
      <c r="Y677" s="277"/>
      <c r="Z677" s="187"/>
      <c r="AA677" s="6301"/>
      <c r="AB677" s="139"/>
      <c r="AC677" s="1377" t="s">
        <v>465</v>
      </c>
      <c r="AD677" s="139"/>
      <c r="AE677" s="139"/>
      <c r="AF677" s="139"/>
      <c r="AG677" s="139"/>
      <c r="AH677" s="139"/>
      <c r="AI677" s="139"/>
      <c r="AJ677" s="139"/>
      <c r="AK677" s="139"/>
      <c r="AL677" s="139"/>
      <c r="AM677" s="139"/>
      <c r="AN677" s="139"/>
      <c r="AO677" s="139"/>
      <c r="AP677" s="139"/>
      <c r="AQ677" s="139"/>
      <c r="AR677" s="139"/>
      <c r="AS677" s="139"/>
      <c r="AT677" s="139"/>
      <c r="AU677" s="139"/>
      <c r="AV677" s="139"/>
      <c r="AW677" s="139"/>
      <c r="AX677" s="139"/>
      <c r="AY677" s="139"/>
      <c r="AZ677" s="139"/>
      <c r="BA677" s="139"/>
      <c r="BB677" s="139"/>
      <c r="BC677" s="139"/>
      <c r="BD677" s="139"/>
      <c r="BE677" s="139"/>
      <c r="BF677" s="139"/>
      <c r="BG677" s="139"/>
      <c r="BH677" s="139"/>
    </row>
    <row r="678" spans="2:60" s="11" customFormat="1" ht="20.100000000000001" customHeight="1">
      <c r="B678" s="1360"/>
      <c r="C678" s="9596" t="s">
        <v>485</v>
      </c>
      <c r="D678" s="9597"/>
      <c r="E678" s="9592"/>
      <c r="F678" s="492" t="s">
        <v>344</v>
      </c>
      <c r="G678" s="349"/>
      <c r="H678" s="9591" t="s">
        <v>486</v>
      </c>
      <c r="I678" s="9597"/>
      <c r="J678" s="9592"/>
      <c r="K678" s="492" t="s">
        <v>344</v>
      </c>
      <c r="L678" s="5653" t="str">
        <f>IF(COUNTBLANK(L679:L684)&gt;0,"미취합법인有",SUM(L679:L684))</f>
        <v>미취합법인有</v>
      </c>
      <c r="M678" s="5657"/>
      <c r="N678" s="5654" t="str">
        <f>IF(COUNTBLANK(N679:N684)&gt;0,"미취합법인有",SUM(N679:N684))</f>
        <v>미취합법인有</v>
      </c>
      <c r="O678" s="5945"/>
      <c r="P678" s="5781" t="str">
        <f>IF(COUNTBLANK(P679:P684)&gt;0,"미취합법인有",SUM(P679:P684))</f>
        <v>미취합법인有</v>
      </c>
      <c r="Q678" s="785"/>
      <c r="R678" s="2468" t="s">
        <v>487</v>
      </c>
      <c r="S678" s="276" t="s">
        <v>488</v>
      </c>
      <c r="T678" s="99" t="s">
        <v>189</v>
      </c>
      <c r="U678" s="547"/>
      <c r="V678" s="547"/>
      <c r="W678" s="299" t="s">
        <v>193</v>
      </c>
      <c r="X678" s="277" t="s">
        <v>489</v>
      </c>
      <c r="Y678" s="277" t="s">
        <v>442</v>
      </c>
      <c r="Z678" s="187"/>
      <c r="AA678" s="6301"/>
      <c r="AB678" s="139"/>
      <c r="AC678" s="1377" t="s">
        <v>490</v>
      </c>
      <c r="AD678" s="139"/>
      <c r="AE678" s="139"/>
      <c r="AF678" s="139"/>
      <c r="AG678" s="139"/>
      <c r="AH678" s="139"/>
      <c r="AI678" s="139"/>
      <c r="AJ678" s="139"/>
      <c r="AK678" s="139"/>
      <c r="AL678" s="139"/>
      <c r="AM678" s="139"/>
      <c r="AN678" s="139"/>
      <c r="AO678" s="139"/>
      <c r="AP678" s="139"/>
      <c r="AQ678" s="139"/>
      <c r="AR678" s="139"/>
      <c r="AS678" s="139"/>
      <c r="AT678" s="139"/>
      <c r="AU678" s="139"/>
      <c r="AV678" s="139"/>
      <c r="AW678" s="139"/>
      <c r="AX678" s="139"/>
      <c r="AY678" s="139"/>
      <c r="AZ678" s="139"/>
      <c r="BA678" s="139"/>
      <c r="BB678" s="139"/>
      <c r="BC678" s="139"/>
      <c r="BD678" s="139"/>
      <c r="BE678" s="139"/>
      <c r="BF678" s="139"/>
      <c r="BG678" s="139"/>
      <c r="BH678" s="139"/>
    </row>
    <row r="679" spans="2:60" s="11" customFormat="1" ht="19.899999999999999" customHeight="1">
      <c r="B679" s="5590"/>
      <c r="C679" s="9647" t="s">
        <v>134</v>
      </c>
      <c r="D679" s="9648"/>
      <c r="E679" s="9649"/>
      <c r="F679" s="492" t="s">
        <v>344</v>
      </c>
      <c r="G679" s="253"/>
      <c r="H679" s="9579" t="s">
        <v>135</v>
      </c>
      <c r="I679" s="9580"/>
      <c r="J679" s="9581"/>
      <c r="K679" s="492" t="s">
        <v>344</v>
      </c>
      <c r="L679" s="5592">
        <v>0.95</v>
      </c>
      <c r="M679" s="5656"/>
      <c r="N679" s="5593">
        <v>0</v>
      </c>
      <c r="O679" s="5593"/>
      <c r="P679" s="5593">
        <v>0</v>
      </c>
      <c r="Q679" s="5593"/>
      <c r="R679" s="1033"/>
      <c r="S679" s="263"/>
      <c r="T679" s="99"/>
      <c r="U679" s="138"/>
      <c r="V679" s="138"/>
      <c r="W679" s="299" t="s">
        <v>193</v>
      </c>
      <c r="X679" s="264"/>
      <c r="Y679" s="277"/>
      <c r="Z679" s="187"/>
      <c r="AA679" s="6301"/>
      <c r="AB679" s="139"/>
      <c r="AC679" s="1377" t="s">
        <v>491</v>
      </c>
      <c r="AD679" s="139"/>
      <c r="AE679" s="139"/>
      <c r="AF679" s="139"/>
      <c r="AG679" s="139"/>
      <c r="AH679" s="139"/>
      <c r="AI679" s="139"/>
      <c r="AJ679" s="139"/>
      <c r="AK679" s="139"/>
      <c r="AL679" s="139"/>
      <c r="AM679" s="139"/>
      <c r="AN679" s="139"/>
      <c r="AO679" s="139"/>
      <c r="AP679" s="139"/>
      <c r="AQ679" s="139"/>
      <c r="AR679" s="139"/>
      <c r="AS679" s="139"/>
      <c r="AT679" s="139"/>
      <c r="AU679" s="139"/>
      <c r="AV679" s="139"/>
      <c r="AW679" s="139"/>
      <c r="AX679" s="139"/>
      <c r="AY679" s="139"/>
      <c r="AZ679" s="139"/>
      <c r="BA679" s="139"/>
      <c r="BB679" s="139"/>
      <c r="BC679" s="139"/>
      <c r="BD679" s="139"/>
      <c r="BE679" s="139"/>
      <c r="BF679" s="139"/>
      <c r="BG679" s="139"/>
      <c r="BH679" s="139"/>
    </row>
    <row r="680" spans="2:60" s="11" customFormat="1" ht="19.899999999999999" customHeight="1">
      <c r="B680" s="5590"/>
      <c r="C680" s="9647" t="s">
        <v>137</v>
      </c>
      <c r="D680" s="9648"/>
      <c r="E680" s="9649"/>
      <c r="F680" s="492" t="s">
        <v>344</v>
      </c>
      <c r="G680" s="253"/>
      <c r="H680" s="9579" t="s">
        <v>138</v>
      </c>
      <c r="I680" s="9580"/>
      <c r="J680" s="9581"/>
      <c r="K680" s="492" t="s">
        <v>344</v>
      </c>
      <c r="L680" s="5592"/>
      <c r="M680" s="5656"/>
      <c r="N680" s="5593"/>
      <c r="O680" s="5593"/>
      <c r="P680" s="5593"/>
      <c r="Q680" s="5593"/>
      <c r="R680" s="1033"/>
      <c r="S680" s="263"/>
      <c r="T680" s="99"/>
      <c r="U680" s="138"/>
      <c r="V680" s="138"/>
      <c r="W680" s="299" t="s">
        <v>193</v>
      </c>
      <c r="X680" s="264"/>
      <c r="Y680" s="277"/>
      <c r="Z680" s="187"/>
      <c r="AA680" s="6301"/>
      <c r="AB680" s="139"/>
      <c r="AC680" s="1377" t="s">
        <v>492</v>
      </c>
      <c r="AD680" s="139"/>
      <c r="AE680" s="139"/>
      <c r="AF680" s="139"/>
      <c r="AG680" s="139"/>
      <c r="AH680" s="139"/>
      <c r="AI680" s="139"/>
      <c r="AJ680" s="139"/>
      <c r="AK680" s="139"/>
      <c r="AL680" s="139"/>
      <c r="AM680" s="139"/>
      <c r="AN680" s="139"/>
      <c r="AO680" s="139"/>
      <c r="AP680" s="139"/>
      <c r="AQ680" s="139"/>
      <c r="AR680" s="139"/>
      <c r="AS680" s="139"/>
      <c r="AT680" s="139"/>
      <c r="AU680" s="139"/>
      <c r="AV680" s="139"/>
      <c r="AW680" s="139"/>
      <c r="AX680" s="139"/>
      <c r="AY680" s="139"/>
      <c r="AZ680" s="139"/>
      <c r="BA680" s="139"/>
      <c r="BB680" s="139"/>
      <c r="BC680" s="139"/>
      <c r="BD680" s="139"/>
      <c r="BE680" s="139"/>
      <c r="BF680" s="139"/>
      <c r="BG680" s="139"/>
      <c r="BH680" s="139"/>
    </row>
    <row r="681" spans="2:60" s="11" customFormat="1" ht="19.899999999999999" customHeight="1">
      <c r="B681" s="5590"/>
      <c r="C681" s="9647" t="s">
        <v>140</v>
      </c>
      <c r="D681" s="9648"/>
      <c r="E681" s="9649"/>
      <c r="F681" s="492" t="s">
        <v>344</v>
      </c>
      <c r="G681" s="253"/>
      <c r="H681" s="9579" t="s">
        <v>141</v>
      </c>
      <c r="I681" s="9580"/>
      <c r="J681" s="9581"/>
      <c r="K681" s="492" t="s">
        <v>344</v>
      </c>
      <c r="L681" s="5592">
        <v>0</v>
      </c>
      <c r="M681" s="5656"/>
      <c r="N681" s="5593">
        <v>0</v>
      </c>
      <c r="O681" s="5593"/>
      <c r="P681" s="5593">
        <v>0</v>
      </c>
      <c r="Q681" s="5593"/>
      <c r="R681" s="1033"/>
      <c r="S681" s="263"/>
      <c r="T681" s="99"/>
      <c r="U681" s="138"/>
      <c r="V681" s="138"/>
      <c r="W681" s="299" t="s">
        <v>193</v>
      </c>
      <c r="X681" s="264"/>
      <c r="Y681" s="277"/>
      <c r="Z681" s="187"/>
      <c r="AA681" s="6301"/>
      <c r="AB681" s="139"/>
      <c r="AC681" s="1377" t="s">
        <v>493</v>
      </c>
      <c r="AD681" s="139"/>
      <c r="AE681" s="139"/>
      <c r="AF681" s="139"/>
      <c r="AG681" s="139"/>
      <c r="AH681" s="139"/>
      <c r="AI681" s="139"/>
      <c r="AJ681" s="139"/>
      <c r="AK681" s="139"/>
      <c r="AL681" s="139"/>
      <c r="AM681" s="139"/>
      <c r="AN681" s="139"/>
      <c r="AO681" s="139"/>
      <c r="AP681" s="139"/>
      <c r="AQ681" s="139"/>
      <c r="AR681" s="139"/>
      <c r="AS681" s="139"/>
      <c r="AT681" s="139"/>
      <c r="AU681" s="139"/>
      <c r="AV681" s="139"/>
      <c r="AW681" s="139"/>
      <c r="AX681" s="139"/>
      <c r="AY681" s="139"/>
      <c r="AZ681" s="139"/>
      <c r="BA681" s="139"/>
      <c r="BB681" s="139"/>
      <c r="BC681" s="139"/>
      <c r="BD681" s="139"/>
      <c r="BE681" s="139"/>
      <c r="BF681" s="139"/>
      <c r="BG681" s="139"/>
      <c r="BH681" s="139"/>
    </row>
    <row r="682" spans="2:60" s="11" customFormat="1" ht="19.899999999999999" customHeight="1">
      <c r="B682" s="5590"/>
      <c r="C682" s="9647" t="s">
        <v>143</v>
      </c>
      <c r="D682" s="9648"/>
      <c r="E682" s="9649"/>
      <c r="F682" s="492" t="s">
        <v>344</v>
      </c>
      <c r="G682" s="253"/>
      <c r="H682" s="9579" t="s">
        <v>144</v>
      </c>
      <c r="I682" s="9580"/>
      <c r="J682" s="9581"/>
      <c r="K682" s="492" t="s">
        <v>344</v>
      </c>
      <c r="L682" s="5592">
        <v>0</v>
      </c>
      <c r="M682" s="5656"/>
      <c r="N682" s="5593">
        <v>0</v>
      </c>
      <c r="O682" s="5593"/>
      <c r="P682" s="5593">
        <v>0</v>
      </c>
      <c r="Q682" s="5593"/>
      <c r="R682" s="1033"/>
      <c r="S682" s="263"/>
      <c r="T682" s="99"/>
      <c r="U682" s="138"/>
      <c r="V682" s="138"/>
      <c r="W682" s="299" t="s">
        <v>193</v>
      </c>
      <c r="X682" s="264"/>
      <c r="Y682" s="277"/>
      <c r="Z682" s="187"/>
      <c r="AA682" s="6301"/>
      <c r="AB682" s="139"/>
      <c r="AC682" s="1377" t="s">
        <v>494</v>
      </c>
      <c r="AD682" s="139"/>
      <c r="AE682" s="139"/>
      <c r="AF682" s="139"/>
      <c r="AG682" s="139"/>
      <c r="AH682" s="139"/>
      <c r="AI682" s="139"/>
      <c r="AJ682" s="139"/>
      <c r="AK682" s="139"/>
      <c r="AL682" s="139"/>
      <c r="AM682" s="139"/>
      <c r="AN682" s="139"/>
      <c r="AO682" s="139"/>
      <c r="AP682" s="139"/>
      <c r="AQ682" s="139"/>
      <c r="AR682" s="139"/>
      <c r="AS682" s="139"/>
      <c r="AT682" s="139"/>
      <c r="AU682" s="139"/>
      <c r="AV682" s="139"/>
      <c r="AW682" s="139"/>
      <c r="AX682" s="139"/>
      <c r="AY682" s="139"/>
      <c r="AZ682" s="139"/>
      <c r="BA682" s="139"/>
      <c r="BB682" s="139"/>
      <c r="BC682" s="139"/>
      <c r="BD682" s="139"/>
      <c r="BE682" s="139"/>
      <c r="BF682" s="139"/>
      <c r="BG682" s="139"/>
      <c r="BH682" s="139"/>
    </row>
    <row r="683" spans="2:60" s="11" customFormat="1" ht="19.899999999999999" customHeight="1">
      <c r="B683" s="5590"/>
      <c r="C683" s="9647" t="s">
        <v>631</v>
      </c>
      <c r="D683" s="9648"/>
      <c r="E683" s="9649"/>
      <c r="F683" s="492" t="s">
        <v>344</v>
      </c>
      <c r="G683" s="253"/>
      <c r="H683" s="9579" t="s">
        <v>147</v>
      </c>
      <c r="I683" s="9580"/>
      <c r="J683" s="9581"/>
      <c r="K683" s="492" t="s">
        <v>344</v>
      </c>
      <c r="L683" s="5967" t="s">
        <v>168</v>
      </c>
      <c r="M683" s="5656" t="s">
        <v>641</v>
      </c>
      <c r="N683" s="5593" t="s">
        <v>168</v>
      </c>
      <c r="O683" s="5593" t="s">
        <v>641</v>
      </c>
      <c r="P683" s="5593" t="s">
        <v>168</v>
      </c>
      <c r="Q683" s="5593" t="s">
        <v>641</v>
      </c>
      <c r="R683" s="1033"/>
      <c r="S683" s="263"/>
      <c r="T683" s="99"/>
      <c r="U683" s="138"/>
      <c r="V683" s="138"/>
      <c r="W683" s="299" t="s">
        <v>193</v>
      </c>
      <c r="X683" s="264"/>
      <c r="Y683" s="277"/>
      <c r="Z683" s="187"/>
      <c r="AA683" s="6301"/>
      <c r="AB683" s="139"/>
      <c r="AC683" s="1377" t="s">
        <v>495</v>
      </c>
      <c r="AD683" s="139"/>
      <c r="AE683" s="139"/>
      <c r="AF683" s="139"/>
      <c r="AG683" s="139"/>
      <c r="AH683" s="139"/>
      <c r="AI683" s="139"/>
      <c r="AJ683" s="139"/>
      <c r="AK683" s="139"/>
      <c r="AL683" s="139"/>
      <c r="AM683" s="139"/>
      <c r="AN683" s="139"/>
      <c r="AO683" s="139"/>
      <c r="AP683" s="139"/>
      <c r="AQ683" s="139"/>
      <c r="AR683" s="139"/>
      <c r="AS683" s="139"/>
      <c r="AT683" s="139"/>
      <c r="AU683" s="139"/>
      <c r="AV683" s="139"/>
      <c r="AW683" s="139"/>
      <c r="AX683" s="139"/>
      <c r="AY683" s="139"/>
      <c r="AZ683" s="139"/>
      <c r="BA683" s="139"/>
      <c r="BB683" s="139"/>
      <c r="BC683" s="139"/>
      <c r="BD683" s="139"/>
      <c r="BE683" s="139"/>
      <c r="BF683" s="139"/>
      <c r="BG683" s="139"/>
      <c r="BH683" s="139"/>
    </row>
    <row r="684" spans="2:60" s="11" customFormat="1" ht="19.899999999999999" customHeight="1">
      <c r="B684" s="5590"/>
      <c r="C684" s="9647" t="s">
        <v>633</v>
      </c>
      <c r="D684" s="9648"/>
      <c r="E684" s="9649"/>
      <c r="F684" s="492" t="s">
        <v>344</v>
      </c>
      <c r="G684" s="253"/>
      <c r="H684" s="9579" t="s">
        <v>150</v>
      </c>
      <c r="I684" s="9580"/>
      <c r="J684" s="9581"/>
      <c r="K684" s="492" t="s">
        <v>344</v>
      </c>
      <c r="L684" s="5592"/>
      <c r="M684" s="5656"/>
      <c r="N684" s="5593"/>
      <c r="O684" s="5593"/>
      <c r="P684" s="5593"/>
      <c r="Q684" s="5593"/>
      <c r="R684" s="1033"/>
      <c r="S684" s="263"/>
      <c r="T684" s="99"/>
      <c r="U684" s="138"/>
      <c r="V684" s="138"/>
      <c r="W684" s="299" t="s">
        <v>193</v>
      </c>
      <c r="X684" s="264"/>
      <c r="Y684" s="277"/>
      <c r="Z684" s="187"/>
      <c r="AA684" s="6301"/>
      <c r="AB684" s="139"/>
      <c r="AC684" s="1377" t="s">
        <v>496</v>
      </c>
      <c r="AD684" s="139"/>
      <c r="AE684" s="139"/>
      <c r="AF684" s="139"/>
      <c r="AG684" s="139"/>
      <c r="AH684" s="139"/>
      <c r="AI684" s="139"/>
      <c r="AJ684" s="139"/>
      <c r="AK684" s="139"/>
      <c r="AL684" s="139"/>
      <c r="AM684" s="139"/>
      <c r="AN684" s="139"/>
      <c r="AO684" s="139"/>
      <c r="AP684" s="139"/>
      <c r="AQ684" s="139"/>
      <c r="AR684" s="139"/>
      <c r="AS684" s="139"/>
      <c r="AT684" s="139"/>
      <c r="AU684" s="139"/>
      <c r="AV684" s="139"/>
      <c r="AW684" s="139"/>
      <c r="AX684" s="139"/>
      <c r="AY684" s="139"/>
      <c r="AZ684" s="139"/>
      <c r="BA684" s="139"/>
      <c r="BB684" s="139"/>
      <c r="BC684" s="139"/>
      <c r="BD684" s="139"/>
      <c r="BE684" s="139"/>
      <c r="BF684" s="139"/>
      <c r="BG684" s="139"/>
      <c r="BH684" s="139"/>
    </row>
    <row r="685" spans="2:60" s="11" customFormat="1" ht="20.100000000000001" customHeight="1">
      <c r="B685" s="1360"/>
      <c r="C685" s="5598"/>
      <c r="D685" s="9591" t="s">
        <v>497</v>
      </c>
      <c r="E685" s="9592"/>
      <c r="F685" s="492" t="s">
        <v>344</v>
      </c>
      <c r="G685" s="345"/>
      <c r="H685" s="144"/>
      <c r="I685" s="9591" t="s">
        <v>498</v>
      </c>
      <c r="J685" s="9592"/>
      <c r="K685" s="492" t="s">
        <v>344</v>
      </c>
      <c r="L685" s="5653" t="str">
        <f>IF(COUNTBLANK(L686:L691)&gt;0,"미취합법인有",SUM(L686:L691))</f>
        <v>미취합법인有</v>
      </c>
      <c r="M685" s="5657"/>
      <c r="N685" s="5654" t="str">
        <f>IF(COUNTBLANK(N686:N691)&gt;0,"미취합법인有",SUM(N686:N691))</f>
        <v>미취합법인有</v>
      </c>
      <c r="O685" s="5663"/>
      <c r="P685" s="5781" t="str">
        <f>IF(COUNTBLANK(P686:P691)&gt;0,"미취합법인有",SUM(P686:P691))</f>
        <v>미취합법인有</v>
      </c>
      <c r="Q685" s="785"/>
      <c r="R685" s="2468"/>
      <c r="S685" s="276"/>
      <c r="T685" s="99" t="s">
        <v>189</v>
      </c>
      <c r="U685" s="547"/>
      <c r="V685" s="547"/>
      <c r="W685" s="299" t="s">
        <v>193</v>
      </c>
      <c r="X685" s="277" t="s">
        <v>499</v>
      </c>
      <c r="Y685" s="277" t="s">
        <v>442</v>
      </c>
      <c r="Z685" s="187"/>
      <c r="AA685" s="6301"/>
      <c r="AB685" s="139"/>
      <c r="AC685" s="1377" t="s">
        <v>500</v>
      </c>
      <c r="AD685" s="139"/>
      <c r="AE685" s="139"/>
      <c r="AF685" s="139"/>
      <c r="AG685" s="139"/>
      <c r="AH685" s="139"/>
      <c r="AI685" s="139"/>
      <c r="AJ685" s="139"/>
      <c r="AK685" s="139"/>
      <c r="AL685" s="139"/>
      <c r="AM685" s="139"/>
      <c r="AN685" s="139"/>
      <c r="AO685" s="139"/>
      <c r="AP685" s="139"/>
      <c r="AQ685" s="139"/>
      <c r="AR685" s="139"/>
      <c r="AS685" s="139"/>
      <c r="AT685" s="139"/>
      <c r="AU685" s="139"/>
      <c r="AV685" s="139"/>
      <c r="AW685" s="139"/>
      <c r="AX685" s="139"/>
      <c r="AY685" s="139"/>
      <c r="AZ685" s="139"/>
      <c r="BA685" s="139"/>
      <c r="BB685" s="139"/>
      <c r="BC685" s="139"/>
      <c r="BD685" s="139"/>
      <c r="BE685" s="139"/>
      <c r="BF685" s="139"/>
      <c r="BG685" s="139"/>
      <c r="BH685" s="139"/>
    </row>
    <row r="686" spans="2:60" s="11" customFormat="1" ht="20.100000000000001" customHeight="1">
      <c r="B686" s="1360"/>
      <c r="C686" s="5598"/>
      <c r="D686" s="9598" t="s">
        <v>134</v>
      </c>
      <c r="E686" s="9600"/>
      <c r="F686" s="492" t="s">
        <v>344</v>
      </c>
      <c r="G686" s="666"/>
      <c r="H686" s="684"/>
      <c r="I686" s="9579" t="s">
        <v>135</v>
      </c>
      <c r="J686" s="9581"/>
      <c r="K686" s="492" t="s">
        <v>344</v>
      </c>
      <c r="L686" s="5594"/>
      <c r="M686" s="5658"/>
      <c r="N686" s="5601"/>
      <c r="O686" s="5667"/>
      <c r="P686" s="5602"/>
      <c r="Q686" s="5758"/>
      <c r="R686" s="2468"/>
      <c r="S686" s="544"/>
      <c r="T686" s="545"/>
      <c r="U686" s="546"/>
      <c r="V686" s="547"/>
      <c r="W686" s="299" t="s">
        <v>193</v>
      </c>
      <c r="X686" s="277"/>
      <c r="Y686" s="277"/>
      <c r="Z686" s="187"/>
      <c r="AA686" s="6301"/>
      <c r="AB686" s="139"/>
      <c r="AC686" s="1377" t="s">
        <v>501</v>
      </c>
      <c r="AD686" s="139"/>
      <c r="AE686" s="139"/>
      <c r="AF686" s="139"/>
      <c r="AG686" s="139"/>
      <c r="AH686" s="139"/>
      <c r="AI686" s="139"/>
      <c r="AJ686" s="139"/>
      <c r="AK686" s="139"/>
      <c r="AL686" s="139"/>
      <c r="AM686" s="139"/>
      <c r="AN686" s="139"/>
      <c r="AO686" s="139"/>
      <c r="AP686" s="139"/>
      <c r="AQ686" s="139"/>
      <c r="AR686" s="139"/>
      <c r="AS686" s="139"/>
      <c r="AT686" s="139"/>
      <c r="AU686" s="139"/>
      <c r="AV686" s="139"/>
      <c r="AW686" s="139"/>
      <c r="AX686" s="139"/>
      <c r="AY686" s="139"/>
      <c r="AZ686" s="139"/>
      <c r="BA686" s="139"/>
      <c r="BB686" s="139"/>
      <c r="BC686" s="139"/>
      <c r="BD686" s="139"/>
      <c r="BE686" s="139"/>
      <c r="BF686" s="139"/>
      <c r="BG686" s="139"/>
      <c r="BH686" s="139"/>
    </row>
    <row r="687" spans="2:60" s="11" customFormat="1" ht="20.100000000000001" customHeight="1">
      <c r="B687" s="1360"/>
      <c r="C687" s="5598"/>
      <c r="D687" s="9598" t="s">
        <v>137</v>
      </c>
      <c r="E687" s="9600"/>
      <c r="F687" s="492" t="s">
        <v>344</v>
      </c>
      <c r="G687" s="666"/>
      <c r="H687" s="684"/>
      <c r="I687" s="9579" t="s">
        <v>138</v>
      </c>
      <c r="J687" s="9581"/>
      <c r="K687" s="492" t="s">
        <v>344</v>
      </c>
      <c r="L687" s="5594"/>
      <c r="M687" s="5658"/>
      <c r="N687" s="5601"/>
      <c r="O687" s="5667"/>
      <c r="P687" s="5602"/>
      <c r="Q687" s="5758"/>
      <c r="R687" s="2468"/>
      <c r="S687" s="544"/>
      <c r="T687" s="545"/>
      <c r="U687" s="546"/>
      <c r="V687" s="547"/>
      <c r="W687" s="299" t="s">
        <v>193</v>
      </c>
      <c r="X687" s="277"/>
      <c r="Y687" s="277"/>
      <c r="Z687" s="187"/>
      <c r="AA687" s="6301"/>
      <c r="AB687" s="139"/>
      <c r="AC687" s="1377" t="s">
        <v>502</v>
      </c>
      <c r="AD687" s="139"/>
      <c r="AE687" s="139"/>
      <c r="AF687" s="139"/>
      <c r="AG687" s="139"/>
      <c r="AH687" s="139"/>
      <c r="AI687" s="139"/>
      <c r="AJ687" s="139"/>
      <c r="AK687" s="139"/>
      <c r="AL687" s="139"/>
      <c r="AM687" s="139"/>
      <c r="AN687" s="139"/>
      <c r="AO687" s="139"/>
      <c r="AP687" s="139"/>
      <c r="AQ687" s="139"/>
      <c r="AR687" s="139"/>
      <c r="AS687" s="139"/>
      <c r="AT687" s="139"/>
      <c r="AU687" s="139"/>
      <c r="AV687" s="139"/>
      <c r="AW687" s="139"/>
      <c r="AX687" s="139"/>
      <c r="AY687" s="139"/>
      <c r="AZ687" s="139"/>
      <c r="BA687" s="139"/>
      <c r="BB687" s="139"/>
      <c r="BC687" s="139"/>
      <c r="BD687" s="139"/>
      <c r="BE687" s="139"/>
      <c r="BF687" s="139"/>
      <c r="BG687" s="139"/>
      <c r="BH687" s="139"/>
    </row>
    <row r="688" spans="2:60" s="11" customFormat="1" ht="20.100000000000001" customHeight="1">
      <c r="B688" s="1360"/>
      <c r="C688" s="5598"/>
      <c r="D688" s="9598" t="s">
        <v>140</v>
      </c>
      <c r="E688" s="9600"/>
      <c r="F688" s="492" t="s">
        <v>344</v>
      </c>
      <c r="G688" s="666"/>
      <c r="H688" s="684"/>
      <c r="I688" s="9582" t="s">
        <v>141</v>
      </c>
      <c r="J688" s="9583"/>
      <c r="K688" s="492" t="s">
        <v>344</v>
      </c>
      <c r="L688" s="5594"/>
      <c r="M688" s="5658"/>
      <c r="N688" s="5601"/>
      <c r="O688" s="5667"/>
      <c r="P688" s="5602"/>
      <c r="Q688" s="5758"/>
      <c r="R688" s="2468"/>
      <c r="S688" s="544"/>
      <c r="T688" s="545"/>
      <c r="U688" s="546"/>
      <c r="V688" s="547"/>
      <c r="W688" s="299" t="s">
        <v>193</v>
      </c>
      <c r="X688" s="277"/>
      <c r="Y688" s="277"/>
      <c r="Z688" s="187"/>
      <c r="AA688" s="6301"/>
      <c r="AB688" s="139"/>
      <c r="AC688" s="1377" t="s">
        <v>503</v>
      </c>
      <c r="AD688" s="139"/>
      <c r="AE688" s="139"/>
      <c r="AF688" s="139"/>
      <c r="AG688" s="139"/>
      <c r="AH688" s="139"/>
      <c r="AI688" s="139"/>
      <c r="AJ688" s="139"/>
      <c r="AK688" s="139"/>
      <c r="AL688" s="139"/>
      <c r="AM688" s="139"/>
      <c r="AN688" s="139"/>
      <c r="AO688" s="139"/>
      <c r="AP688" s="139"/>
      <c r="AQ688" s="139"/>
      <c r="AR688" s="139"/>
      <c r="AS688" s="139"/>
      <c r="AT688" s="139"/>
      <c r="AU688" s="139"/>
      <c r="AV688" s="139"/>
      <c r="AW688" s="139"/>
      <c r="AX688" s="139"/>
      <c r="AY688" s="139"/>
      <c r="AZ688" s="139"/>
      <c r="BA688" s="139"/>
      <c r="BB688" s="139"/>
      <c r="BC688" s="139"/>
      <c r="BD688" s="139"/>
      <c r="BE688" s="139"/>
      <c r="BF688" s="139"/>
      <c r="BG688" s="139"/>
      <c r="BH688" s="139"/>
    </row>
    <row r="689" spans="2:60" s="11" customFormat="1" ht="20.100000000000001" customHeight="1">
      <c r="B689" s="1360"/>
      <c r="C689" s="5598"/>
      <c r="D689" s="9598" t="s">
        <v>143</v>
      </c>
      <c r="E689" s="9600"/>
      <c r="F689" s="492" t="s">
        <v>344</v>
      </c>
      <c r="G689" s="666"/>
      <c r="H689" s="684"/>
      <c r="I689" s="9582" t="s">
        <v>144</v>
      </c>
      <c r="J689" s="9583"/>
      <c r="K689" s="492" t="s">
        <v>344</v>
      </c>
      <c r="L689" s="5594"/>
      <c r="M689" s="5658"/>
      <c r="N689" s="5601"/>
      <c r="O689" s="5667"/>
      <c r="P689" s="5602"/>
      <c r="Q689" s="5758"/>
      <c r="R689" s="2468"/>
      <c r="S689" s="544"/>
      <c r="T689" s="545"/>
      <c r="U689" s="546"/>
      <c r="V689" s="547"/>
      <c r="W689" s="299" t="s">
        <v>193</v>
      </c>
      <c r="X689" s="277"/>
      <c r="Y689" s="277"/>
      <c r="Z689" s="187"/>
      <c r="AA689" s="6301"/>
      <c r="AB689" s="139"/>
      <c r="AC689" s="1377" t="s">
        <v>504</v>
      </c>
      <c r="AD689" s="139"/>
      <c r="AE689" s="139"/>
      <c r="AF689" s="139"/>
      <c r="AG689" s="139"/>
      <c r="AH689" s="139"/>
      <c r="AI689" s="139"/>
      <c r="AJ689" s="139"/>
      <c r="AK689" s="139"/>
      <c r="AL689" s="139"/>
      <c r="AM689" s="139"/>
      <c r="AN689" s="139"/>
      <c r="AO689" s="139"/>
      <c r="AP689" s="139"/>
      <c r="AQ689" s="139"/>
      <c r="AR689" s="139"/>
      <c r="AS689" s="139"/>
      <c r="AT689" s="139"/>
      <c r="AU689" s="139"/>
      <c r="AV689" s="139"/>
      <c r="AW689" s="139"/>
      <c r="AX689" s="139"/>
      <c r="AY689" s="139"/>
      <c r="AZ689" s="139"/>
      <c r="BA689" s="139"/>
      <c r="BB689" s="139"/>
      <c r="BC689" s="139"/>
      <c r="BD689" s="139"/>
      <c r="BE689" s="139"/>
      <c r="BF689" s="139"/>
      <c r="BG689" s="139"/>
      <c r="BH689" s="139"/>
    </row>
    <row r="690" spans="2:60" s="11" customFormat="1" ht="20.100000000000001" customHeight="1">
      <c r="B690" s="1360"/>
      <c r="C690" s="5598"/>
      <c r="D690" s="9598" t="s">
        <v>631</v>
      </c>
      <c r="E690" s="9600"/>
      <c r="F690" s="492" t="s">
        <v>344</v>
      </c>
      <c r="G690" s="666"/>
      <c r="H690" s="684"/>
      <c r="I690" s="9582" t="s">
        <v>147</v>
      </c>
      <c r="J690" s="9583"/>
      <c r="K690" s="492" t="s">
        <v>344</v>
      </c>
      <c r="L690" s="5967" t="s">
        <v>168</v>
      </c>
      <c r="M690" s="5656" t="s">
        <v>641</v>
      </c>
      <c r="N690" s="5593" t="s">
        <v>168</v>
      </c>
      <c r="O690" s="5948" t="s">
        <v>641</v>
      </c>
      <c r="P690" s="5948" t="s">
        <v>168</v>
      </c>
      <c r="Q690" s="5948" t="s">
        <v>641</v>
      </c>
      <c r="R690" s="2468"/>
      <c r="S690" s="544"/>
      <c r="T690" s="545"/>
      <c r="U690" s="546"/>
      <c r="V690" s="547"/>
      <c r="W690" s="299" t="s">
        <v>193</v>
      </c>
      <c r="X690" s="277"/>
      <c r="Y690" s="277"/>
      <c r="Z690" s="187"/>
      <c r="AA690" s="6301"/>
      <c r="AB690" s="139"/>
      <c r="AC690" s="1377" t="s">
        <v>505</v>
      </c>
      <c r="AD690" s="139"/>
      <c r="AE690" s="139"/>
      <c r="AF690" s="139"/>
      <c r="AG690" s="139"/>
      <c r="AH690" s="139"/>
      <c r="AI690" s="139"/>
      <c r="AJ690" s="139"/>
      <c r="AK690" s="139"/>
      <c r="AL690" s="139"/>
      <c r="AM690" s="139"/>
      <c r="AN690" s="139"/>
      <c r="AO690" s="139"/>
      <c r="AP690" s="139"/>
      <c r="AQ690" s="139"/>
      <c r="AR690" s="139"/>
      <c r="AS690" s="139"/>
      <c r="AT690" s="139"/>
      <c r="AU690" s="139"/>
      <c r="AV690" s="139"/>
      <c r="AW690" s="139"/>
      <c r="AX690" s="139"/>
      <c r="AY690" s="139"/>
      <c r="AZ690" s="139"/>
      <c r="BA690" s="139"/>
      <c r="BB690" s="139"/>
      <c r="BC690" s="139"/>
      <c r="BD690" s="139"/>
      <c r="BE690" s="139"/>
      <c r="BF690" s="139"/>
      <c r="BG690" s="139"/>
      <c r="BH690" s="139"/>
    </row>
    <row r="691" spans="2:60" s="11" customFormat="1" ht="20.100000000000001" customHeight="1">
      <c r="B691" s="1360"/>
      <c r="C691" s="5598"/>
      <c r="D691" s="9598" t="s">
        <v>633</v>
      </c>
      <c r="E691" s="9600"/>
      <c r="F691" s="492" t="s">
        <v>344</v>
      </c>
      <c r="G691" s="666"/>
      <c r="H691" s="684"/>
      <c r="I691" s="9582" t="s">
        <v>150</v>
      </c>
      <c r="J691" s="9583"/>
      <c r="K691" s="492" t="s">
        <v>344</v>
      </c>
      <c r="L691" s="5594"/>
      <c r="M691" s="5658"/>
      <c r="N691" s="5601"/>
      <c r="O691" s="5667"/>
      <c r="P691" s="5602"/>
      <c r="Q691" s="5758"/>
      <c r="R691" s="2468"/>
      <c r="S691" s="544"/>
      <c r="T691" s="545"/>
      <c r="U691" s="546"/>
      <c r="V691" s="547"/>
      <c r="W691" s="299" t="s">
        <v>193</v>
      </c>
      <c r="X691" s="277"/>
      <c r="Y691" s="277"/>
      <c r="Z691" s="187"/>
      <c r="AA691" s="6301"/>
      <c r="AB691" s="139"/>
      <c r="AC691" s="1377" t="s">
        <v>506</v>
      </c>
      <c r="AD691" s="139"/>
      <c r="AE691" s="139"/>
      <c r="AF691" s="139"/>
      <c r="AG691" s="139"/>
      <c r="AH691" s="139"/>
      <c r="AI691" s="139"/>
      <c r="AJ691" s="139"/>
      <c r="AK691" s="139"/>
      <c r="AL691" s="139"/>
      <c r="AM691" s="139"/>
      <c r="AN691" s="139"/>
      <c r="AO691" s="139"/>
      <c r="AP691" s="139"/>
      <c r="AQ691" s="139"/>
      <c r="AR691" s="139"/>
      <c r="AS691" s="139"/>
      <c r="AT691" s="139"/>
      <c r="AU691" s="139"/>
      <c r="AV691" s="139"/>
      <c r="AW691" s="139"/>
      <c r="AX691" s="139"/>
      <c r="AY691" s="139"/>
      <c r="AZ691" s="139"/>
      <c r="BA691" s="139"/>
      <c r="BB691" s="139"/>
      <c r="BC691" s="139"/>
      <c r="BD691" s="139"/>
      <c r="BE691" s="139"/>
      <c r="BF691" s="139"/>
      <c r="BG691" s="139"/>
      <c r="BH691" s="139"/>
    </row>
    <row r="692" spans="2:60" s="11" customFormat="1" ht="20.100000000000001" customHeight="1">
      <c r="B692" s="1360"/>
      <c r="C692" s="5598"/>
      <c r="D692" s="9591" t="s">
        <v>507</v>
      </c>
      <c r="E692" s="9592"/>
      <c r="F692" s="492" t="s">
        <v>344</v>
      </c>
      <c r="G692" s="345"/>
      <c r="H692" s="144"/>
      <c r="I692" s="9591" t="s">
        <v>508</v>
      </c>
      <c r="J692" s="9592"/>
      <c r="K692" s="492" t="s">
        <v>344</v>
      </c>
      <c r="L692" s="5653" t="str">
        <f>IF(COUNTBLANK(L693:L698)&gt;0,"미취합법인有",SUM(L693:L698))</f>
        <v>미취합법인有</v>
      </c>
      <c r="M692" s="5657"/>
      <c r="N692" s="5654" t="str">
        <f>IF(COUNTBLANK(N693:N698)&gt;0,"미취합법인有",SUM(N693:N698))</f>
        <v>미취합법인有</v>
      </c>
      <c r="O692" s="5945"/>
      <c r="P692" s="5781" t="str">
        <f>IF(COUNTBLANK(P693:P698)&gt;0,"미취합법인有",SUM(P693:P698))</f>
        <v>미취합법인有</v>
      </c>
      <c r="Q692" s="785"/>
      <c r="R692" s="2468"/>
      <c r="S692" s="276"/>
      <c r="T692" s="99" t="s">
        <v>189</v>
      </c>
      <c r="U692" s="547"/>
      <c r="V692" s="547"/>
      <c r="W692" s="299" t="s">
        <v>193</v>
      </c>
      <c r="X692" s="277" t="s">
        <v>499</v>
      </c>
      <c r="Y692" s="277" t="s">
        <v>442</v>
      </c>
      <c r="Z692" s="187"/>
      <c r="AA692" s="6301"/>
      <c r="AB692" s="139"/>
      <c r="AC692" s="1377" t="s">
        <v>509</v>
      </c>
      <c r="AD692" s="139"/>
      <c r="AE692" s="139"/>
      <c r="AF692" s="139"/>
      <c r="AG692" s="139"/>
      <c r="AH692" s="139"/>
      <c r="AI692" s="139"/>
      <c r="AJ692" s="139"/>
      <c r="AK692" s="139"/>
      <c r="AL692" s="139"/>
      <c r="AM692" s="139"/>
      <c r="AN692" s="139"/>
      <c r="AO692" s="139"/>
      <c r="AP692" s="139"/>
      <c r="AQ692" s="139"/>
      <c r="AR692" s="139"/>
      <c r="AS692" s="139"/>
      <c r="AT692" s="139"/>
      <c r="AU692" s="139"/>
      <c r="AV692" s="139"/>
      <c r="AW692" s="139"/>
      <c r="AX692" s="139"/>
      <c r="AY692" s="139"/>
      <c r="AZ692" s="139"/>
      <c r="BA692" s="139"/>
      <c r="BB692" s="139"/>
      <c r="BC692" s="139"/>
      <c r="BD692" s="139"/>
      <c r="BE692" s="139"/>
      <c r="BF692" s="139"/>
      <c r="BG692" s="139"/>
      <c r="BH692" s="139"/>
    </row>
    <row r="693" spans="2:60" s="11" customFormat="1" ht="20.100000000000001" customHeight="1">
      <c r="B693" s="1360"/>
      <c r="C693" s="5598"/>
      <c r="D693" s="9598" t="s">
        <v>134</v>
      </c>
      <c r="E693" s="9600"/>
      <c r="F693" s="492" t="s">
        <v>344</v>
      </c>
      <c r="G693" s="666"/>
      <c r="H693" s="684"/>
      <c r="I693" s="9579" t="s">
        <v>135</v>
      </c>
      <c r="J693" s="9581"/>
      <c r="K693" s="492" t="s">
        <v>344</v>
      </c>
      <c r="L693" s="5594">
        <v>0.95</v>
      </c>
      <c r="M693" s="5658"/>
      <c r="N693" s="5681">
        <v>0</v>
      </c>
      <c r="O693" s="5667"/>
      <c r="P693" s="5681">
        <v>0</v>
      </c>
      <c r="Q693" s="5758"/>
      <c r="R693" s="2468"/>
      <c r="S693" s="544"/>
      <c r="T693" s="545"/>
      <c r="U693" s="546"/>
      <c r="V693" s="547"/>
      <c r="W693" s="299" t="s">
        <v>193</v>
      </c>
      <c r="X693" s="277"/>
      <c r="Y693" s="277"/>
      <c r="Z693" s="187"/>
      <c r="AA693" s="6301"/>
      <c r="AB693" s="139"/>
      <c r="AC693" s="1377" t="s">
        <v>510</v>
      </c>
      <c r="AD693" s="139"/>
      <c r="AE693" s="139"/>
      <c r="AF693" s="139"/>
      <c r="AG693" s="139"/>
      <c r="AH693" s="139"/>
      <c r="AI693" s="139"/>
      <c r="AJ693" s="139"/>
      <c r="AK693" s="139"/>
      <c r="AL693" s="139"/>
      <c r="AM693" s="139"/>
      <c r="AN693" s="139"/>
      <c r="AO693" s="139"/>
      <c r="AP693" s="139"/>
      <c r="AQ693" s="139"/>
      <c r="AR693" s="139"/>
      <c r="AS693" s="139"/>
      <c r="AT693" s="139"/>
      <c r="AU693" s="139"/>
      <c r="AV693" s="139"/>
      <c r="AW693" s="139"/>
      <c r="AX693" s="139"/>
      <c r="AY693" s="139"/>
      <c r="AZ693" s="139"/>
      <c r="BA693" s="139"/>
      <c r="BB693" s="139"/>
      <c r="BC693" s="139"/>
      <c r="BD693" s="139"/>
      <c r="BE693" s="139"/>
      <c r="BF693" s="139"/>
      <c r="BG693" s="139"/>
      <c r="BH693" s="139"/>
    </row>
    <row r="694" spans="2:60" s="11" customFormat="1" ht="20.100000000000001" customHeight="1">
      <c r="B694" s="1360"/>
      <c r="C694" s="5598"/>
      <c r="D694" s="9598" t="s">
        <v>137</v>
      </c>
      <c r="E694" s="9600"/>
      <c r="F694" s="492" t="s">
        <v>344</v>
      </c>
      <c r="G694" s="666"/>
      <c r="H694" s="684"/>
      <c r="I694" s="9579" t="s">
        <v>138</v>
      </c>
      <c r="J694" s="9581"/>
      <c r="K694" s="492" t="s">
        <v>344</v>
      </c>
      <c r="L694" s="5594"/>
      <c r="M694" s="5658"/>
      <c r="N694" s="5601"/>
      <c r="O694" s="5667"/>
      <c r="P694" s="5602"/>
      <c r="Q694" s="5758"/>
      <c r="R694" s="2468"/>
      <c r="S694" s="544"/>
      <c r="T694" s="545"/>
      <c r="U694" s="546"/>
      <c r="V694" s="547"/>
      <c r="W694" s="299" t="s">
        <v>193</v>
      </c>
      <c r="X694" s="277"/>
      <c r="Y694" s="277"/>
      <c r="Z694" s="187"/>
      <c r="AA694" s="6301"/>
      <c r="AB694" s="139"/>
      <c r="AC694" s="1377" t="s">
        <v>511</v>
      </c>
      <c r="AD694" s="139"/>
      <c r="AE694" s="139"/>
      <c r="AF694" s="139"/>
      <c r="AG694" s="139"/>
      <c r="AH694" s="139"/>
      <c r="AI694" s="139"/>
      <c r="AJ694" s="139"/>
      <c r="AK694" s="139"/>
      <c r="AL694" s="139"/>
      <c r="AM694" s="139"/>
      <c r="AN694" s="139"/>
      <c r="AO694" s="139"/>
      <c r="AP694" s="139"/>
      <c r="AQ694" s="139"/>
      <c r="AR694" s="139"/>
      <c r="AS694" s="139"/>
      <c r="AT694" s="139"/>
      <c r="AU694" s="139"/>
      <c r="AV694" s="139"/>
      <c r="AW694" s="139"/>
      <c r="AX694" s="139"/>
      <c r="AY694" s="139"/>
      <c r="AZ694" s="139"/>
      <c r="BA694" s="139"/>
      <c r="BB694" s="139"/>
      <c r="BC694" s="139"/>
      <c r="BD694" s="139"/>
      <c r="BE694" s="139"/>
      <c r="BF694" s="139"/>
      <c r="BG694" s="139"/>
      <c r="BH694" s="139"/>
    </row>
    <row r="695" spans="2:60" s="11" customFormat="1" ht="20.100000000000001" customHeight="1">
      <c r="B695" s="1360"/>
      <c r="C695" s="5598"/>
      <c r="D695" s="9598" t="s">
        <v>140</v>
      </c>
      <c r="E695" s="9600"/>
      <c r="F695" s="492" t="s">
        <v>344</v>
      </c>
      <c r="G695" s="666"/>
      <c r="H695" s="684"/>
      <c r="I695" s="9582" t="s">
        <v>141</v>
      </c>
      <c r="J695" s="9583"/>
      <c r="K695" s="492" t="s">
        <v>344</v>
      </c>
      <c r="L695" s="5594"/>
      <c r="M695" s="5658"/>
      <c r="N695" s="5601"/>
      <c r="O695" s="5667"/>
      <c r="P695" s="5602"/>
      <c r="Q695" s="5758"/>
      <c r="R695" s="2468"/>
      <c r="S695" s="544"/>
      <c r="T695" s="545"/>
      <c r="U695" s="546"/>
      <c r="V695" s="547"/>
      <c r="W695" s="299" t="s">
        <v>193</v>
      </c>
      <c r="X695" s="277"/>
      <c r="Y695" s="277"/>
      <c r="Z695" s="187"/>
      <c r="AA695" s="6301"/>
      <c r="AB695" s="139"/>
      <c r="AC695" s="1377" t="s">
        <v>512</v>
      </c>
      <c r="AD695" s="139"/>
      <c r="AE695" s="139"/>
      <c r="AF695" s="139"/>
      <c r="AG695" s="139"/>
      <c r="AH695" s="139"/>
      <c r="AI695" s="139"/>
      <c r="AJ695" s="139"/>
      <c r="AK695" s="139"/>
      <c r="AL695" s="139"/>
      <c r="AM695" s="139"/>
      <c r="AN695" s="139"/>
      <c r="AO695" s="139"/>
      <c r="AP695" s="139"/>
      <c r="AQ695" s="139"/>
      <c r="AR695" s="139"/>
      <c r="AS695" s="139"/>
      <c r="AT695" s="139"/>
      <c r="AU695" s="139"/>
      <c r="AV695" s="139"/>
      <c r="AW695" s="139"/>
      <c r="AX695" s="139"/>
      <c r="AY695" s="139"/>
      <c r="AZ695" s="139"/>
      <c r="BA695" s="139"/>
      <c r="BB695" s="139"/>
      <c r="BC695" s="139"/>
      <c r="BD695" s="139"/>
      <c r="BE695" s="139"/>
      <c r="BF695" s="139"/>
      <c r="BG695" s="139"/>
      <c r="BH695" s="139"/>
    </row>
    <row r="696" spans="2:60" s="11" customFormat="1" ht="20.100000000000001" customHeight="1">
      <c r="B696" s="1360"/>
      <c r="C696" s="5598"/>
      <c r="D696" s="9598" t="s">
        <v>143</v>
      </c>
      <c r="E696" s="9600"/>
      <c r="F696" s="492" t="s">
        <v>344</v>
      </c>
      <c r="G696" s="666"/>
      <c r="H696" s="684"/>
      <c r="I696" s="9582" t="s">
        <v>144</v>
      </c>
      <c r="J696" s="9583"/>
      <c r="K696" s="492" t="s">
        <v>344</v>
      </c>
      <c r="L696" s="5594"/>
      <c r="M696" s="5658"/>
      <c r="N696" s="5601"/>
      <c r="O696" s="5667"/>
      <c r="P696" s="5602"/>
      <c r="Q696" s="5758"/>
      <c r="R696" s="2468"/>
      <c r="S696" s="544"/>
      <c r="T696" s="545"/>
      <c r="U696" s="546"/>
      <c r="V696" s="547"/>
      <c r="W696" s="299" t="s">
        <v>193</v>
      </c>
      <c r="X696" s="277"/>
      <c r="Y696" s="277"/>
      <c r="Z696" s="187"/>
      <c r="AA696" s="6301"/>
      <c r="AB696" s="139"/>
      <c r="AC696" s="1377" t="s">
        <v>513</v>
      </c>
      <c r="AD696" s="139"/>
      <c r="AE696" s="139"/>
      <c r="AF696" s="139"/>
      <c r="AG696" s="139"/>
      <c r="AH696" s="139"/>
      <c r="AI696" s="139"/>
      <c r="AJ696" s="139"/>
      <c r="AK696" s="139"/>
      <c r="AL696" s="139"/>
      <c r="AM696" s="139"/>
      <c r="AN696" s="139"/>
      <c r="AO696" s="139"/>
      <c r="AP696" s="139"/>
      <c r="AQ696" s="139"/>
      <c r="AR696" s="139"/>
      <c r="AS696" s="139"/>
      <c r="AT696" s="139"/>
      <c r="AU696" s="139"/>
      <c r="AV696" s="139"/>
      <c r="AW696" s="139"/>
      <c r="AX696" s="139"/>
      <c r="AY696" s="139"/>
      <c r="AZ696" s="139"/>
      <c r="BA696" s="139"/>
      <c r="BB696" s="139"/>
      <c r="BC696" s="139"/>
      <c r="BD696" s="139"/>
      <c r="BE696" s="139"/>
      <c r="BF696" s="139"/>
      <c r="BG696" s="139"/>
      <c r="BH696" s="139"/>
    </row>
    <row r="697" spans="2:60" s="11" customFormat="1" ht="20.100000000000001" customHeight="1">
      <c r="B697" s="1360"/>
      <c r="C697" s="5598"/>
      <c r="D697" s="9598" t="s">
        <v>631</v>
      </c>
      <c r="E697" s="9600"/>
      <c r="F697" s="492" t="s">
        <v>344</v>
      </c>
      <c r="G697" s="666"/>
      <c r="H697" s="684"/>
      <c r="I697" s="9582" t="s">
        <v>147</v>
      </c>
      <c r="J697" s="9583"/>
      <c r="K697" s="492" t="s">
        <v>344</v>
      </c>
      <c r="L697" s="5967" t="s">
        <v>168</v>
      </c>
      <c r="M697" s="5656" t="s">
        <v>641</v>
      </c>
      <c r="N697" s="5593" t="s">
        <v>168</v>
      </c>
      <c r="O697" s="5948" t="s">
        <v>641</v>
      </c>
      <c r="P697" s="5948" t="s">
        <v>168</v>
      </c>
      <c r="Q697" s="5948" t="s">
        <v>641</v>
      </c>
      <c r="R697" s="2468"/>
      <c r="S697" s="544"/>
      <c r="T697" s="545"/>
      <c r="U697" s="546"/>
      <c r="V697" s="547"/>
      <c r="W697" s="299" t="s">
        <v>193</v>
      </c>
      <c r="X697" s="277"/>
      <c r="Y697" s="277"/>
      <c r="Z697" s="187"/>
      <c r="AA697" s="6301"/>
      <c r="AB697" s="139"/>
      <c r="AC697" s="1377" t="s">
        <v>514</v>
      </c>
      <c r="AD697" s="139"/>
      <c r="AE697" s="139"/>
      <c r="AF697" s="139"/>
      <c r="AG697" s="139"/>
      <c r="AH697" s="139"/>
      <c r="AI697" s="139"/>
      <c r="AJ697" s="139"/>
      <c r="AK697" s="139"/>
      <c r="AL697" s="139"/>
      <c r="AM697" s="139"/>
      <c r="AN697" s="139"/>
      <c r="AO697" s="139"/>
      <c r="AP697" s="139"/>
      <c r="AQ697" s="139"/>
      <c r="AR697" s="139"/>
      <c r="AS697" s="139"/>
      <c r="AT697" s="139"/>
      <c r="AU697" s="139"/>
      <c r="AV697" s="139"/>
      <c r="AW697" s="139"/>
      <c r="AX697" s="139"/>
      <c r="AY697" s="139"/>
      <c r="AZ697" s="139"/>
      <c r="BA697" s="139"/>
      <c r="BB697" s="139"/>
      <c r="BC697" s="139"/>
      <c r="BD697" s="139"/>
      <c r="BE697" s="139"/>
      <c r="BF697" s="139"/>
      <c r="BG697" s="139"/>
      <c r="BH697" s="139"/>
    </row>
    <row r="698" spans="2:60" s="11" customFormat="1" ht="20.100000000000001" customHeight="1">
      <c r="B698" s="1360"/>
      <c r="C698" s="5598"/>
      <c r="D698" s="9598" t="s">
        <v>633</v>
      </c>
      <c r="E698" s="9600"/>
      <c r="F698" s="492" t="s">
        <v>344</v>
      </c>
      <c r="G698" s="666"/>
      <c r="H698" s="684"/>
      <c r="I698" s="9582" t="s">
        <v>150</v>
      </c>
      <c r="J698" s="9583"/>
      <c r="K698" s="492" t="s">
        <v>344</v>
      </c>
      <c r="L698" s="5594"/>
      <c r="M698" s="5658"/>
      <c r="N698" s="5601"/>
      <c r="O698" s="5667"/>
      <c r="P698" s="5602"/>
      <c r="Q698" s="5758"/>
      <c r="R698" s="2468"/>
      <c r="S698" s="544"/>
      <c r="T698" s="545"/>
      <c r="U698" s="546"/>
      <c r="V698" s="547"/>
      <c r="W698" s="299" t="s">
        <v>193</v>
      </c>
      <c r="X698" s="277"/>
      <c r="Y698" s="277"/>
      <c r="Z698" s="187"/>
      <c r="AA698" s="6301"/>
      <c r="AB698" s="139"/>
      <c r="AC698" s="1377" t="s">
        <v>515</v>
      </c>
      <c r="AD698" s="139"/>
      <c r="AE698" s="139"/>
      <c r="AF698" s="139"/>
      <c r="AG698" s="139"/>
      <c r="AH698" s="139"/>
      <c r="AI698" s="139"/>
      <c r="AJ698" s="139"/>
      <c r="AK698" s="139"/>
      <c r="AL698" s="139"/>
      <c r="AM698" s="139"/>
      <c r="AN698" s="139"/>
      <c r="AO698" s="139"/>
      <c r="AP698" s="139"/>
      <c r="AQ698" s="139"/>
      <c r="AR698" s="139"/>
      <c r="AS698" s="139"/>
      <c r="AT698" s="139"/>
      <c r="AU698" s="139"/>
      <c r="AV698" s="139"/>
      <c r="AW698" s="139"/>
      <c r="AX698" s="139"/>
      <c r="AY698" s="139"/>
      <c r="AZ698" s="139"/>
      <c r="BA698" s="139"/>
      <c r="BB698" s="139"/>
      <c r="BC698" s="139"/>
      <c r="BD698" s="139"/>
      <c r="BE698" s="139"/>
      <c r="BF698" s="139"/>
      <c r="BG698" s="139"/>
      <c r="BH698" s="139"/>
    </row>
    <row r="699" spans="2:60" s="11" customFormat="1" ht="20.100000000000001" customHeight="1">
      <c r="B699" s="1360"/>
      <c r="C699" s="9596" t="s">
        <v>516</v>
      </c>
      <c r="D699" s="9597"/>
      <c r="E699" s="9592"/>
      <c r="F699" s="492" t="s">
        <v>344</v>
      </c>
      <c r="G699" s="349"/>
      <c r="H699" s="9591" t="s">
        <v>517</v>
      </c>
      <c r="I699" s="9597"/>
      <c r="J699" s="9592"/>
      <c r="K699" s="492" t="s">
        <v>344</v>
      </c>
      <c r="L699" s="5653" t="str">
        <f>IF(COUNTBLANK(L700:L705)&gt;0,"미취합법인有",SUM(L700:L705))</f>
        <v>미취합법인有</v>
      </c>
      <c r="M699" s="5657"/>
      <c r="N699" s="5654" t="str">
        <f>IF(COUNTBLANK(N700:N705)&gt;0,"미취합법인有",SUM(N700:N705))</f>
        <v>미취합법인有</v>
      </c>
      <c r="O699" s="5945"/>
      <c r="P699" s="5781" t="str">
        <f>IF(COUNTBLANK(P700:P705)&gt;0,"미취합법인有",SUM(P700:P705))</f>
        <v>미취합법인有</v>
      </c>
      <c r="Q699" s="785"/>
      <c r="R699" s="2468" t="s">
        <v>439</v>
      </c>
      <c r="S699" s="276" t="s">
        <v>440</v>
      </c>
      <c r="T699" s="99" t="s">
        <v>189</v>
      </c>
      <c r="U699" s="547"/>
      <c r="V699" s="547"/>
      <c r="W699" s="582"/>
      <c r="X699" s="277" t="s">
        <v>518</v>
      </c>
      <c r="Y699" s="265" t="s">
        <v>519</v>
      </c>
      <c r="Z699" s="187"/>
      <c r="AA699" s="6301"/>
      <c r="AB699" s="139"/>
      <c r="AC699" s="139"/>
      <c r="AD699" s="139"/>
      <c r="AE699" s="139"/>
      <c r="AF699" s="139"/>
      <c r="AG699" s="139"/>
      <c r="AH699" s="139"/>
      <c r="AI699" s="139"/>
      <c r="AJ699" s="139"/>
      <c r="AK699" s="139"/>
      <c r="AL699" s="139"/>
      <c r="AM699" s="139"/>
      <c r="AN699" s="139"/>
      <c r="AO699" s="139"/>
      <c r="AP699" s="139"/>
      <c r="AQ699" s="139"/>
      <c r="AR699" s="139"/>
      <c r="AS699" s="139"/>
      <c r="AT699" s="139"/>
      <c r="AU699" s="139"/>
      <c r="AV699" s="139"/>
      <c r="AW699" s="139"/>
      <c r="AX699" s="139"/>
      <c r="AY699" s="139"/>
      <c r="AZ699" s="139"/>
      <c r="BA699" s="139"/>
      <c r="BB699" s="139"/>
      <c r="BC699" s="139"/>
      <c r="BD699" s="139"/>
      <c r="BE699" s="139"/>
      <c r="BF699" s="139"/>
      <c r="BG699" s="139"/>
      <c r="BH699" s="139"/>
    </row>
    <row r="700" spans="2:60" s="11" customFormat="1" ht="19.899999999999999" customHeight="1">
      <c r="B700" s="5590"/>
      <c r="C700" s="9647" t="s">
        <v>134</v>
      </c>
      <c r="D700" s="9648"/>
      <c r="E700" s="9649"/>
      <c r="F700" s="492" t="s">
        <v>344</v>
      </c>
      <c r="G700" s="253"/>
      <c r="H700" s="9579" t="s">
        <v>135</v>
      </c>
      <c r="I700" s="9580"/>
      <c r="J700" s="9581"/>
      <c r="K700" s="492" t="s">
        <v>344</v>
      </c>
      <c r="L700" s="5592">
        <v>8.1</v>
      </c>
      <c r="M700" s="5674" t="s">
        <v>691</v>
      </c>
      <c r="N700" s="5593">
        <v>11.2</v>
      </c>
      <c r="O700" s="5674" t="s">
        <v>705</v>
      </c>
      <c r="P700" s="6484">
        <v>493.59</v>
      </c>
      <c r="Q700" s="6497" t="s">
        <v>706</v>
      </c>
      <c r="R700" s="1033"/>
      <c r="S700" s="263"/>
      <c r="T700" s="99"/>
      <c r="U700" s="138"/>
      <c r="V700" s="138"/>
      <c r="W700" s="99"/>
      <c r="X700" s="264"/>
      <c r="Y700" s="277"/>
      <c r="Z700" s="187"/>
      <c r="AA700" s="6301"/>
      <c r="AB700" s="139" t="s">
        <v>520</v>
      </c>
      <c r="AC700" s="139"/>
      <c r="AD700" s="139"/>
      <c r="AE700" s="139"/>
      <c r="AF700" s="139"/>
      <c r="AG700" s="139"/>
      <c r="AH700" s="139"/>
      <c r="AI700" s="139"/>
      <c r="AJ700" s="139"/>
      <c r="AK700" s="139"/>
      <c r="AL700" s="139"/>
      <c r="AM700" s="139"/>
      <c r="AN700" s="139"/>
      <c r="AO700" s="139"/>
      <c r="AP700" s="139"/>
      <c r="AQ700" s="139"/>
      <c r="AR700" s="139"/>
      <c r="AS700" s="139"/>
      <c r="AT700" s="139"/>
      <c r="AU700" s="139"/>
      <c r="AV700" s="139"/>
      <c r="AW700" s="139"/>
      <c r="AX700" s="139"/>
      <c r="AY700" s="139"/>
      <c r="AZ700" s="139"/>
      <c r="BA700" s="139"/>
      <c r="BB700" s="139"/>
      <c r="BC700" s="139"/>
      <c r="BD700" s="139"/>
      <c r="BE700" s="139"/>
      <c r="BF700" s="139"/>
      <c r="BG700" s="139"/>
      <c r="BH700" s="139"/>
    </row>
    <row r="701" spans="2:60" s="11" customFormat="1" ht="19.899999999999999" customHeight="1">
      <c r="B701" s="5590"/>
      <c r="C701" s="9647" t="s">
        <v>137</v>
      </c>
      <c r="D701" s="9648"/>
      <c r="E701" s="9649"/>
      <c r="F701" s="492" t="s">
        <v>344</v>
      </c>
      <c r="G701" s="253"/>
      <c r="H701" s="9579" t="s">
        <v>138</v>
      </c>
      <c r="I701" s="9580"/>
      <c r="J701" s="9581"/>
      <c r="K701" s="492" t="s">
        <v>344</v>
      </c>
      <c r="L701" s="5592"/>
      <c r="M701" s="5656"/>
      <c r="N701" s="5593"/>
      <c r="O701" s="5593"/>
      <c r="P701" s="5593"/>
      <c r="Q701" s="5593"/>
      <c r="R701" s="1033"/>
      <c r="S701" s="263"/>
      <c r="T701" s="99"/>
      <c r="U701" s="138"/>
      <c r="V701" s="138"/>
      <c r="W701" s="99"/>
      <c r="X701" s="264"/>
      <c r="Y701" s="277"/>
      <c r="Z701" s="187"/>
      <c r="AA701" s="6301"/>
      <c r="AB701" s="139"/>
      <c r="AC701" s="139"/>
      <c r="AD701" s="139"/>
      <c r="AE701" s="139"/>
      <c r="AF701" s="139"/>
      <c r="AG701" s="139"/>
      <c r="AH701" s="139"/>
      <c r="AI701" s="139"/>
      <c r="AJ701" s="139"/>
      <c r="AK701" s="139"/>
      <c r="AL701" s="139"/>
      <c r="AM701" s="139"/>
      <c r="AN701" s="139"/>
      <c r="AO701" s="139"/>
      <c r="AP701" s="139"/>
      <c r="AQ701" s="139"/>
      <c r="AR701" s="139"/>
      <c r="AS701" s="139"/>
      <c r="AT701" s="139"/>
      <c r="AU701" s="139"/>
      <c r="AV701" s="139"/>
      <c r="AW701" s="139"/>
      <c r="AX701" s="139"/>
      <c r="AY701" s="139"/>
      <c r="AZ701" s="139"/>
      <c r="BA701" s="139"/>
      <c r="BB701" s="139"/>
      <c r="BC701" s="139"/>
      <c r="BD701" s="139"/>
      <c r="BE701" s="139"/>
      <c r="BF701" s="139"/>
      <c r="BG701" s="139"/>
      <c r="BH701" s="139"/>
    </row>
    <row r="702" spans="2:60" s="11" customFormat="1" ht="19.899999999999999" customHeight="1">
      <c r="B702" s="5590"/>
      <c r="C702" s="9647" t="s">
        <v>140</v>
      </c>
      <c r="D702" s="9648"/>
      <c r="E702" s="9649"/>
      <c r="F702" s="492" t="s">
        <v>344</v>
      </c>
      <c r="G702" s="253"/>
      <c r="H702" s="9579" t="s">
        <v>141</v>
      </c>
      <c r="I702" s="9580"/>
      <c r="J702" s="9581"/>
      <c r="K702" s="492" t="s">
        <v>344</v>
      </c>
      <c r="L702" s="5592">
        <v>2976.7058823529414</v>
      </c>
      <c r="M702" s="5656" t="s">
        <v>707</v>
      </c>
      <c r="N702" s="5593">
        <v>3928.2352941176473</v>
      </c>
      <c r="O702" s="5593" t="s">
        <v>707</v>
      </c>
      <c r="P702" s="5593">
        <v>21810.352941176472</v>
      </c>
      <c r="Q702" s="5593" t="s">
        <v>707</v>
      </c>
      <c r="R702" s="1033"/>
      <c r="S702" s="263"/>
      <c r="T702" s="99"/>
      <c r="U702" s="138"/>
      <c r="V702" s="138"/>
      <c r="W702" s="99"/>
      <c r="X702" s="264"/>
      <c r="Y702" s="277"/>
      <c r="Z702" s="187"/>
      <c r="AA702" s="6301"/>
      <c r="AB702" s="139"/>
      <c r="AC702" s="139"/>
      <c r="AD702" s="139"/>
      <c r="AE702" s="139"/>
      <c r="AF702" s="139"/>
      <c r="AG702" s="139"/>
      <c r="AH702" s="139"/>
      <c r="AI702" s="139"/>
      <c r="AJ702" s="139"/>
      <c r="AK702" s="139"/>
      <c r="AL702" s="139"/>
      <c r="AM702" s="139"/>
      <c r="AN702" s="139"/>
      <c r="AO702" s="139"/>
      <c r="AP702" s="139"/>
      <c r="AQ702" s="139"/>
      <c r="AR702" s="139"/>
      <c r="AS702" s="139"/>
      <c r="AT702" s="139"/>
      <c r="AU702" s="139"/>
      <c r="AV702" s="139"/>
      <c r="AW702" s="139"/>
      <c r="AX702" s="139"/>
      <c r="AY702" s="139"/>
      <c r="AZ702" s="139"/>
      <c r="BA702" s="139"/>
      <c r="BB702" s="139"/>
      <c r="BC702" s="139"/>
      <c r="BD702" s="139"/>
      <c r="BE702" s="139"/>
      <c r="BF702" s="139"/>
      <c r="BG702" s="139"/>
      <c r="BH702" s="139"/>
    </row>
    <row r="703" spans="2:60" s="11" customFormat="1" ht="19.899999999999999" customHeight="1">
      <c r="B703" s="5590"/>
      <c r="C703" s="9647" t="s">
        <v>143</v>
      </c>
      <c r="D703" s="9648"/>
      <c r="E703" s="9649"/>
      <c r="F703" s="492" t="s">
        <v>344</v>
      </c>
      <c r="G703" s="253"/>
      <c r="H703" s="9579" t="s">
        <v>144</v>
      </c>
      <c r="I703" s="9580"/>
      <c r="J703" s="9581"/>
      <c r="K703" s="492" t="s">
        <v>344</v>
      </c>
      <c r="L703" s="5592"/>
      <c r="M703" s="5656"/>
      <c r="N703" s="5593"/>
      <c r="O703" s="5593"/>
      <c r="P703" s="5593"/>
      <c r="Q703" s="5593"/>
      <c r="R703" s="1033"/>
      <c r="S703" s="263"/>
      <c r="T703" s="99"/>
      <c r="U703" s="138"/>
      <c r="V703" s="138"/>
      <c r="W703" s="99"/>
      <c r="X703" s="264"/>
      <c r="Y703" s="277"/>
      <c r="Z703" s="187"/>
      <c r="AA703" s="6301"/>
      <c r="AB703" s="139"/>
      <c r="AC703" s="139"/>
      <c r="AD703" s="139"/>
      <c r="AE703" s="139"/>
      <c r="AF703" s="139"/>
      <c r="AG703" s="139"/>
      <c r="AH703" s="139"/>
      <c r="AI703" s="139"/>
      <c r="AJ703" s="139"/>
      <c r="AK703" s="139"/>
      <c r="AL703" s="139"/>
      <c r="AM703" s="139"/>
      <c r="AN703" s="139"/>
      <c r="AO703" s="139"/>
      <c r="AP703" s="139"/>
      <c r="AQ703" s="139"/>
      <c r="AR703" s="139"/>
      <c r="AS703" s="139"/>
      <c r="AT703" s="139"/>
      <c r="AU703" s="139"/>
      <c r="AV703" s="139"/>
      <c r="AW703" s="139"/>
      <c r="AX703" s="139"/>
      <c r="AY703" s="139"/>
      <c r="AZ703" s="139"/>
      <c r="BA703" s="139"/>
      <c r="BB703" s="139"/>
      <c r="BC703" s="139"/>
      <c r="BD703" s="139"/>
      <c r="BE703" s="139"/>
      <c r="BF703" s="139"/>
      <c r="BG703" s="139"/>
      <c r="BH703" s="139"/>
    </row>
    <row r="704" spans="2:60" s="11" customFormat="1" ht="19.899999999999999" customHeight="1">
      <c r="B704" s="5590"/>
      <c r="C704" s="9647" t="s">
        <v>631</v>
      </c>
      <c r="D704" s="9648"/>
      <c r="E704" s="9649"/>
      <c r="F704" s="492" t="s">
        <v>344</v>
      </c>
      <c r="G704" s="253"/>
      <c r="H704" s="9579" t="s">
        <v>147</v>
      </c>
      <c r="I704" s="9580"/>
      <c r="J704" s="9581"/>
      <c r="K704" s="492" t="s">
        <v>344</v>
      </c>
      <c r="L704" s="5967" t="s">
        <v>168</v>
      </c>
      <c r="M704" s="5656" t="s">
        <v>641</v>
      </c>
      <c r="N704" s="5593" t="s">
        <v>168</v>
      </c>
      <c r="O704" s="5593" t="s">
        <v>641</v>
      </c>
      <c r="P704" s="5593" t="s">
        <v>168</v>
      </c>
      <c r="Q704" s="5593" t="s">
        <v>641</v>
      </c>
      <c r="R704" s="1033"/>
      <c r="S704" s="263"/>
      <c r="T704" s="99"/>
      <c r="U704" s="138"/>
      <c r="V704" s="138"/>
      <c r="W704" s="99"/>
      <c r="X704" s="264"/>
      <c r="Y704" s="277"/>
      <c r="Z704" s="187"/>
      <c r="AA704" s="6301"/>
      <c r="AB704" s="139"/>
      <c r="AC704" s="139"/>
      <c r="AD704" s="139"/>
      <c r="AE704" s="139"/>
      <c r="AF704" s="139"/>
      <c r="AG704" s="139"/>
      <c r="AH704" s="139"/>
      <c r="AI704" s="139"/>
      <c r="AJ704" s="139"/>
      <c r="AK704" s="139"/>
      <c r="AL704" s="139"/>
      <c r="AM704" s="139"/>
      <c r="AN704" s="139"/>
      <c r="AO704" s="139"/>
      <c r="AP704" s="139"/>
      <c r="AQ704" s="139"/>
      <c r="AR704" s="139"/>
      <c r="AS704" s="139"/>
      <c r="AT704" s="139"/>
      <c r="AU704" s="139"/>
      <c r="AV704" s="139"/>
      <c r="AW704" s="139"/>
      <c r="AX704" s="139"/>
      <c r="AY704" s="139"/>
      <c r="AZ704" s="139"/>
      <c r="BA704" s="139"/>
      <c r="BB704" s="139"/>
      <c r="BC704" s="139"/>
      <c r="BD704" s="139"/>
      <c r="BE704" s="139"/>
      <c r="BF704" s="139"/>
      <c r="BG704" s="139"/>
      <c r="BH704" s="139"/>
    </row>
    <row r="705" spans="2:60" s="11" customFormat="1" ht="19.899999999999999" customHeight="1">
      <c r="B705" s="5590"/>
      <c r="C705" s="9647" t="s">
        <v>633</v>
      </c>
      <c r="D705" s="9648"/>
      <c r="E705" s="9649"/>
      <c r="F705" s="492" t="s">
        <v>344</v>
      </c>
      <c r="G705" s="253"/>
      <c r="H705" s="9579" t="s">
        <v>150</v>
      </c>
      <c r="I705" s="9580"/>
      <c r="J705" s="9581"/>
      <c r="K705" s="492" t="s">
        <v>344</v>
      </c>
      <c r="L705" s="5592">
        <v>0</v>
      </c>
      <c r="M705" s="5656"/>
      <c r="N705" s="5593">
        <v>0</v>
      </c>
      <c r="O705" s="5593"/>
      <c r="P705" s="5593">
        <v>0</v>
      </c>
      <c r="Q705" s="5593"/>
      <c r="R705" s="1033"/>
      <c r="S705" s="263"/>
      <c r="T705" s="99"/>
      <c r="U705" s="138"/>
      <c r="V705" s="138"/>
      <c r="W705" s="99"/>
      <c r="X705" s="264"/>
      <c r="Y705" s="277"/>
      <c r="Z705" s="187"/>
      <c r="AA705" s="6301"/>
      <c r="AB705" s="139"/>
      <c r="AC705" s="139"/>
      <c r="AD705" s="139"/>
      <c r="AE705" s="139"/>
      <c r="AF705" s="139"/>
      <c r="AG705" s="139"/>
      <c r="AH705" s="139"/>
      <c r="AI705" s="139"/>
      <c r="AJ705" s="139"/>
      <c r="AK705" s="139"/>
      <c r="AL705" s="139"/>
      <c r="AM705" s="139"/>
      <c r="AN705" s="139"/>
      <c r="AO705" s="139"/>
      <c r="AP705" s="139"/>
      <c r="AQ705" s="139"/>
      <c r="AR705" s="139"/>
      <c r="AS705" s="139"/>
      <c r="AT705" s="139"/>
      <c r="AU705" s="139"/>
      <c r="AV705" s="139"/>
      <c r="AW705" s="139"/>
      <c r="AX705" s="139"/>
      <c r="AY705" s="139"/>
      <c r="AZ705" s="139"/>
      <c r="BA705" s="139"/>
      <c r="BB705" s="139"/>
      <c r="BC705" s="139"/>
      <c r="BD705" s="139"/>
      <c r="BE705" s="139"/>
      <c r="BF705" s="139"/>
      <c r="BG705" s="139"/>
      <c r="BH705" s="139"/>
    </row>
    <row r="706" spans="2:60" s="11" customFormat="1" ht="20.100000000000001" customHeight="1">
      <c r="B706" s="1360"/>
      <c r="C706" s="9656" t="s">
        <v>522</v>
      </c>
      <c r="D706" s="9587"/>
      <c r="E706" s="9588"/>
      <c r="F706" s="492" t="s">
        <v>344</v>
      </c>
      <c r="G706" s="184"/>
      <c r="H706" s="9586" t="s">
        <v>523</v>
      </c>
      <c r="I706" s="9587"/>
      <c r="J706" s="9588"/>
      <c r="K706" s="492" t="s">
        <v>344</v>
      </c>
      <c r="L706" s="5653" t="str">
        <f>IF(COUNTBLANK(L707:L712)&gt;0,"미취합법인有",SUM(L707:L712))</f>
        <v>미취합법인有</v>
      </c>
      <c r="M706" s="5657"/>
      <c r="N706" s="5654" t="str">
        <f>IF(COUNTBLANK(N707:N712)&gt;0,"미취합법인有",SUM(N707:N712))</f>
        <v>미취합법인有</v>
      </c>
      <c r="O706" s="5663"/>
      <c r="P706" s="5781" t="str">
        <f>IF(COUNTBLANK(P707:P712)&gt;0,"미취합법인有",SUM(P707:P712))</f>
        <v>미취합법인有</v>
      </c>
      <c r="Q706" s="785"/>
      <c r="R706" s="2468"/>
      <c r="S706" s="544"/>
      <c r="T706" s="99" t="s">
        <v>189</v>
      </c>
      <c r="U706" s="547"/>
      <c r="V706" s="547"/>
      <c r="W706" s="299" t="s">
        <v>193</v>
      </c>
      <c r="X706" s="277" t="s">
        <v>524</v>
      </c>
      <c r="Y706" s="265"/>
      <c r="Z706" s="187"/>
      <c r="AA706" s="6305"/>
      <c r="AB706" s="139"/>
      <c r="AC706" s="139"/>
      <c r="AD706" s="139"/>
      <c r="AE706" s="139"/>
      <c r="AF706" s="139"/>
      <c r="AG706" s="139"/>
      <c r="AH706" s="139"/>
      <c r="AI706" s="139"/>
      <c r="AJ706" s="139"/>
      <c r="AK706" s="139"/>
      <c r="AL706" s="139"/>
      <c r="AM706" s="139"/>
      <c r="AN706" s="139"/>
      <c r="AO706" s="139"/>
      <c r="AP706" s="139"/>
      <c r="AQ706" s="139"/>
      <c r="AR706" s="139"/>
      <c r="AS706" s="139"/>
      <c r="AT706" s="139"/>
      <c r="AU706" s="139"/>
      <c r="AV706" s="139"/>
      <c r="AW706" s="139"/>
      <c r="AX706" s="139"/>
      <c r="AY706" s="139"/>
      <c r="AZ706" s="139"/>
      <c r="BA706" s="139"/>
      <c r="BB706" s="139"/>
      <c r="BC706" s="139"/>
      <c r="BD706" s="139"/>
      <c r="BE706" s="139"/>
      <c r="BF706" s="139"/>
      <c r="BG706" s="139"/>
      <c r="BH706" s="139"/>
    </row>
    <row r="707" spans="2:60" s="11" customFormat="1" ht="19.899999999999999" customHeight="1">
      <c r="B707" s="5590"/>
      <c r="C707" s="9647" t="s">
        <v>134</v>
      </c>
      <c r="D707" s="9648"/>
      <c r="E707" s="9649"/>
      <c r="F707" s="492" t="s">
        <v>344</v>
      </c>
      <c r="G707" s="253"/>
      <c r="H707" s="9579" t="s">
        <v>135</v>
      </c>
      <c r="I707" s="9580"/>
      <c r="J707" s="9581"/>
      <c r="K707" s="492" t="s">
        <v>344</v>
      </c>
      <c r="L707" s="5592"/>
      <c r="M707" s="5656" t="s">
        <v>369</v>
      </c>
      <c r="N707" s="5593"/>
      <c r="O707" s="5656" t="s">
        <v>369</v>
      </c>
      <c r="P707" s="5593"/>
      <c r="Q707" s="5656" t="s">
        <v>369</v>
      </c>
      <c r="R707" s="1033"/>
      <c r="S707" s="263"/>
      <c r="T707" s="99"/>
      <c r="U707" s="138"/>
      <c r="V707" s="138"/>
      <c r="W707" s="299" t="s">
        <v>193</v>
      </c>
      <c r="X707" s="264"/>
      <c r="Y707" s="277"/>
      <c r="Z707" s="187"/>
      <c r="AA707" s="6301"/>
      <c r="AB707" s="139"/>
      <c r="AC707" s="139"/>
      <c r="AD707" s="139"/>
      <c r="AE707" s="139"/>
      <c r="AF707" s="139"/>
      <c r="AG707" s="139"/>
      <c r="AH707" s="139"/>
      <c r="AI707" s="139"/>
      <c r="AJ707" s="139"/>
      <c r="AK707" s="139"/>
      <c r="AL707" s="139"/>
      <c r="AM707" s="139"/>
      <c r="AN707" s="139"/>
      <c r="AO707" s="139"/>
      <c r="AP707" s="139"/>
      <c r="AQ707" s="139"/>
      <c r="AR707" s="139"/>
      <c r="AS707" s="139"/>
      <c r="AT707" s="139"/>
      <c r="AU707" s="139"/>
      <c r="AV707" s="139"/>
      <c r="AW707" s="139"/>
      <c r="AX707" s="139"/>
      <c r="AY707" s="139"/>
      <c r="AZ707" s="139"/>
      <c r="BA707" s="139"/>
      <c r="BB707" s="139"/>
      <c r="BC707" s="139"/>
      <c r="BD707" s="139"/>
      <c r="BE707" s="139"/>
      <c r="BF707" s="139"/>
      <c r="BG707" s="139"/>
      <c r="BH707" s="139"/>
    </row>
    <row r="708" spans="2:60" s="11" customFormat="1" ht="19.899999999999999" customHeight="1">
      <c r="B708" s="5590"/>
      <c r="C708" s="9647" t="s">
        <v>137</v>
      </c>
      <c r="D708" s="9648"/>
      <c r="E708" s="9649"/>
      <c r="F708" s="492" t="s">
        <v>344</v>
      </c>
      <c r="G708" s="253"/>
      <c r="H708" s="9579" t="s">
        <v>138</v>
      </c>
      <c r="I708" s="9580"/>
      <c r="J708" s="9581"/>
      <c r="K708" s="492" t="s">
        <v>344</v>
      </c>
      <c r="L708" s="5592"/>
      <c r="M708" s="5656"/>
      <c r="N708" s="5593"/>
      <c r="O708" s="5593"/>
      <c r="P708" s="5593"/>
      <c r="Q708" s="5593"/>
      <c r="R708" s="1033"/>
      <c r="S708" s="263"/>
      <c r="T708" s="99"/>
      <c r="U708" s="138"/>
      <c r="V708" s="138"/>
      <c r="W708" s="299" t="s">
        <v>193</v>
      </c>
      <c r="X708" s="264"/>
      <c r="Y708" s="277"/>
      <c r="Z708" s="187"/>
      <c r="AA708" s="6301"/>
      <c r="AB708" s="139"/>
      <c r="AC708" s="139"/>
      <c r="AD708" s="139"/>
      <c r="AE708" s="139"/>
      <c r="AF708" s="139"/>
      <c r="AG708" s="139"/>
      <c r="AH708" s="139"/>
      <c r="AI708" s="139"/>
      <c r="AJ708" s="139"/>
      <c r="AK708" s="139"/>
      <c r="AL708" s="139"/>
      <c r="AM708" s="139"/>
      <c r="AN708" s="139"/>
      <c r="AO708" s="139"/>
      <c r="AP708" s="139"/>
      <c r="AQ708" s="139"/>
      <c r="AR708" s="139"/>
      <c r="AS708" s="139"/>
      <c r="AT708" s="139"/>
      <c r="AU708" s="139"/>
      <c r="AV708" s="139"/>
      <c r="AW708" s="139"/>
      <c r="AX708" s="139"/>
      <c r="AY708" s="139"/>
      <c r="AZ708" s="139"/>
      <c r="BA708" s="139"/>
      <c r="BB708" s="139"/>
      <c r="BC708" s="139"/>
      <c r="BD708" s="139"/>
      <c r="BE708" s="139"/>
      <c r="BF708" s="139"/>
      <c r="BG708" s="139"/>
      <c r="BH708" s="139"/>
    </row>
    <row r="709" spans="2:60" s="11" customFormat="1" ht="19.899999999999999" customHeight="1">
      <c r="B709" s="5590"/>
      <c r="C709" s="9647" t="s">
        <v>140</v>
      </c>
      <c r="D709" s="9648"/>
      <c r="E709" s="9649"/>
      <c r="F709" s="492" t="s">
        <v>344</v>
      </c>
      <c r="G709" s="253"/>
      <c r="H709" s="9579" t="s">
        <v>141</v>
      </c>
      <c r="I709" s="9580"/>
      <c r="J709" s="9581"/>
      <c r="K709" s="492" t="s">
        <v>344</v>
      </c>
      <c r="L709" s="5592"/>
      <c r="M709" s="5656"/>
      <c r="N709" s="5593"/>
      <c r="O709" s="5593"/>
      <c r="P709" s="5593"/>
      <c r="Q709" s="5593"/>
      <c r="R709" s="1033"/>
      <c r="S709" s="263"/>
      <c r="T709" s="99"/>
      <c r="U709" s="138"/>
      <c r="V709" s="138"/>
      <c r="W709" s="299" t="s">
        <v>193</v>
      </c>
      <c r="X709" s="264"/>
      <c r="Y709" s="277"/>
      <c r="Z709" s="187"/>
      <c r="AA709" s="6301"/>
      <c r="AB709" s="139"/>
      <c r="AC709" s="139"/>
      <c r="AD709" s="139"/>
      <c r="AE709" s="139"/>
      <c r="AF709" s="139"/>
      <c r="AG709" s="139"/>
      <c r="AH709" s="139"/>
      <c r="AI709" s="139"/>
      <c r="AJ709" s="139"/>
      <c r="AK709" s="139"/>
      <c r="AL709" s="139"/>
      <c r="AM709" s="139"/>
      <c r="AN709" s="139"/>
      <c r="AO709" s="139"/>
      <c r="AP709" s="139"/>
      <c r="AQ709" s="139"/>
      <c r="AR709" s="139"/>
      <c r="AS709" s="139"/>
      <c r="AT709" s="139"/>
      <c r="AU709" s="139"/>
      <c r="AV709" s="139"/>
      <c r="AW709" s="139"/>
      <c r="AX709" s="139"/>
      <c r="AY709" s="139"/>
      <c r="AZ709" s="139"/>
      <c r="BA709" s="139"/>
      <c r="BB709" s="139"/>
      <c r="BC709" s="139"/>
      <c r="BD709" s="139"/>
      <c r="BE709" s="139"/>
      <c r="BF709" s="139"/>
      <c r="BG709" s="139"/>
      <c r="BH709" s="139"/>
    </row>
    <row r="710" spans="2:60" s="11" customFormat="1" ht="19.899999999999999" customHeight="1">
      <c r="B710" s="5590"/>
      <c r="C710" s="9647" t="s">
        <v>143</v>
      </c>
      <c r="D710" s="9648"/>
      <c r="E710" s="9649"/>
      <c r="F710" s="492" t="s">
        <v>344</v>
      </c>
      <c r="G710" s="253"/>
      <c r="H710" s="9579" t="s">
        <v>144</v>
      </c>
      <c r="I710" s="9580"/>
      <c r="J710" s="9581"/>
      <c r="K710" s="492" t="s">
        <v>344</v>
      </c>
      <c r="L710" s="5592"/>
      <c r="M710" s="5656"/>
      <c r="N710" s="5593"/>
      <c r="O710" s="5593"/>
      <c r="P710" s="5593"/>
      <c r="Q710" s="5593"/>
      <c r="R710" s="1033"/>
      <c r="S710" s="263"/>
      <c r="T710" s="99"/>
      <c r="U710" s="138"/>
      <c r="V710" s="138"/>
      <c r="W710" s="299" t="s">
        <v>193</v>
      </c>
      <c r="X710" s="264"/>
      <c r="Y710" s="277"/>
      <c r="Z710" s="187"/>
      <c r="AA710" s="6301"/>
      <c r="AB710" s="139"/>
      <c r="AC710" s="139"/>
      <c r="AD710" s="139"/>
      <c r="AE710" s="139"/>
      <c r="AF710" s="139"/>
      <c r="AG710" s="139"/>
      <c r="AH710" s="139"/>
      <c r="AI710" s="139"/>
      <c r="AJ710" s="139"/>
      <c r="AK710" s="139"/>
      <c r="AL710" s="139"/>
      <c r="AM710" s="139"/>
      <c r="AN710" s="139"/>
      <c r="AO710" s="139"/>
      <c r="AP710" s="139"/>
      <c r="AQ710" s="139"/>
      <c r="AR710" s="139"/>
      <c r="AS710" s="139"/>
      <c r="AT710" s="139"/>
      <c r="AU710" s="139"/>
      <c r="AV710" s="139"/>
      <c r="AW710" s="139"/>
      <c r="AX710" s="139"/>
      <c r="AY710" s="139"/>
      <c r="AZ710" s="139"/>
      <c r="BA710" s="139"/>
      <c r="BB710" s="139"/>
      <c r="BC710" s="139"/>
      <c r="BD710" s="139"/>
      <c r="BE710" s="139"/>
      <c r="BF710" s="139"/>
      <c r="BG710" s="139"/>
      <c r="BH710" s="139"/>
    </row>
    <row r="711" spans="2:60" s="11" customFormat="1" ht="19.899999999999999" customHeight="1">
      <c r="B711" s="5590"/>
      <c r="C711" s="9647" t="s">
        <v>631</v>
      </c>
      <c r="D711" s="9648"/>
      <c r="E711" s="9649"/>
      <c r="F711" s="492" t="s">
        <v>344</v>
      </c>
      <c r="G711" s="253"/>
      <c r="H711" s="9579" t="s">
        <v>147</v>
      </c>
      <c r="I711" s="9580"/>
      <c r="J711" s="9581"/>
      <c r="K711" s="492" t="s">
        <v>344</v>
      </c>
      <c r="L711" s="5967" t="s">
        <v>168</v>
      </c>
      <c r="M711" s="5656" t="s">
        <v>641</v>
      </c>
      <c r="N711" s="5593" t="s">
        <v>168</v>
      </c>
      <c r="O711" s="5593" t="s">
        <v>641</v>
      </c>
      <c r="P711" s="5593" t="s">
        <v>168</v>
      </c>
      <c r="Q711" s="5593" t="s">
        <v>641</v>
      </c>
      <c r="R711" s="1033"/>
      <c r="S711" s="263"/>
      <c r="T711" s="99"/>
      <c r="U711" s="138"/>
      <c r="V711" s="138"/>
      <c r="W711" s="299" t="s">
        <v>193</v>
      </c>
      <c r="X711" s="264"/>
      <c r="Y711" s="277"/>
      <c r="Z711" s="187"/>
      <c r="AA711" s="6301"/>
      <c r="AB711" s="139"/>
      <c r="AC711" s="139"/>
      <c r="AD711" s="139"/>
      <c r="AE711" s="139"/>
      <c r="AF711" s="139"/>
      <c r="AG711" s="139"/>
      <c r="AH711" s="139"/>
      <c r="AI711" s="139"/>
      <c r="AJ711" s="139"/>
      <c r="AK711" s="139"/>
      <c r="AL711" s="139"/>
      <c r="AM711" s="139"/>
      <c r="AN711" s="139"/>
      <c r="AO711" s="139"/>
      <c r="AP711" s="139"/>
      <c r="AQ711" s="139"/>
      <c r="AR711" s="139"/>
      <c r="AS711" s="139"/>
      <c r="AT711" s="139"/>
      <c r="AU711" s="139"/>
      <c r="AV711" s="139"/>
      <c r="AW711" s="139"/>
      <c r="AX711" s="139"/>
      <c r="AY711" s="139"/>
      <c r="AZ711" s="139"/>
      <c r="BA711" s="139"/>
      <c r="BB711" s="139"/>
      <c r="BC711" s="139"/>
      <c r="BD711" s="139"/>
      <c r="BE711" s="139"/>
      <c r="BF711" s="139"/>
      <c r="BG711" s="139"/>
      <c r="BH711" s="139"/>
    </row>
    <row r="712" spans="2:60" s="11" customFormat="1" ht="19.899999999999999" customHeight="1">
      <c r="B712" s="5590"/>
      <c r="C712" s="9647" t="s">
        <v>633</v>
      </c>
      <c r="D712" s="9648"/>
      <c r="E712" s="9649"/>
      <c r="F712" s="492" t="s">
        <v>344</v>
      </c>
      <c r="G712" s="253"/>
      <c r="H712" s="9579" t="s">
        <v>150</v>
      </c>
      <c r="I712" s="9580"/>
      <c r="J712" s="9581"/>
      <c r="K712" s="492" t="s">
        <v>344</v>
      </c>
      <c r="L712" s="5592"/>
      <c r="M712" s="5656"/>
      <c r="N712" s="5593"/>
      <c r="O712" s="5593"/>
      <c r="P712" s="5593"/>
      <c r="Q712" s="5593"/>
      <c r="R712" s="1033"/>
      <c r="S712" s="263"/>
      <c r="T712" s="99"/>
      <c r="U712" s="138"/>
      <c r="V712" s="138"/>
      <c r="W712" s="299" t="s">
        <v>193</v>
      </c>
      <c r="X712" s="264"/>
      <c r="Y712" s="277"/>
      <c r="Z712" s="187"/>
      <c r="AA712" s="6301"/>
      <c r="AB712" s="139"/>
      <c r="AC712" s="139"/>
      <c r="AD712" s="139"/>
      <c r="AE712" s="139"/>
      <c r="AF712" s="139"/>
      <c r="AG712" s="139"/>
      <c r="AH712" s="139"/>
      <c r="AI712" s="139"/>
      <c r="AJ712" s="139"/>
      <c r="AK712" s="139"/>
      <c r="AL712" s="139"/>
      <c r="AM712" s="139"/>
      <c r="AN712" s="139"/>
      <c r="AO712" s="139"/>
      <c r="AP712" s="139"/>
      <c r="AQ712" s="139"/>
      <c r="AR712" s="139"/>
      <c r="AS712" s="139"/>
      <c r="AT712" s="139"/>
      <c r="AU712" s="139"/>
      <c r="AV712" s="139"/>
      <c r="AW712" s="139"/>
      <c r="AX712" s="139"/>
      <c r="AY712" s="139"/>
      <c r="AZ712" s="139"/>
      <c r="BA712" s="139"/>
      <c r="BB712" s="139"/>
      <c r="BC712" s="139"/>
      <c r="BD712" s="139"/>
      <c r="BE712" s="139"/>
      <c r="BF712" s="139"/>
      <c r="BG712" s="139"/>
      <c r="BH712" s="139"/>
    </row>
    <row r="713" spans="2:60" s="11" customFormat="1" ht="20.100000000000001" customHeight="1">
      <c r="B713" s="1360"/>
      <c r="C713" s="5598"/>
      <c r="D713" s="9584" t="s">
        <v>708</v>
      </c>
      <c r="E713" s="9585"/>
      <c r="F713" s="492" t="s">
        <v>344</v>
      </c>
      <c r="G713" s="358"/>
      <c r="H713" s="643" t="s">
        <v>527</v>
      </c>
      <c r="I713" s="9584" t="s">
        <v>528</v>
      </c>
      <c r="J713" s="9585"/>
      <c r="K713" s="492" t="s">
        <v>344</v>
      </c>
      <c r="L713" s="5653" t="str">
        <f>IF(COUNTBLANK(L714:L719)&gt;0,"미취합법인有",SUM(L714:L719))</f>
        <v>미취합법인有</v>
      </c>
      <c r="M713" s="5657"/>
      <c r="N713" s="5654" t="str">
        <f>IF(COUNTBLANK(N714:N719)&gt;0,"미취합법인有",SUM(N714:N719))</f>
        <v>미취합법인有</v>
      </c>
      <c r="O713" s="5663"/>
      <c r="P713" s="5781" t="str">
        <f>IF(COUNTBLANK(P714:P719)&gt;0,"미취합법인有",SUM(P714:P719))</f>
        <v>미취합법인有</v>
      </c>
      <c r="Q713" s="785"/>
      <c r="R713" s="2468"/>
      <c r="S713" s="544"/>
      <c r="T713" s="545" t="s">
        <v>189</v>
      </c>
      <c r="U713" s="547"/>
      <c r="V713" s="547"/>
      <c r="W713" s="299" t="s">
        <v>193</v>
      </c>
      <c r="X713" s="277" t="s">
        <v>524</v>
      </c>
      <c r="Y713" s="265"/>
      <c r="Z713" s="187"/>
      <c r="AA713" s="6305"/>
      <c r="AB713" s="139"/>
      <c r="AC713" s="139"/>
      <c r="AD713" s="139"/>
      <c r="AE713" s="139"/>
      <c r="AF713" s="139"/>
      <c r="AG713" s="139"/>
      <c r="AH713" s="139"/>
      <c r="AI713" s="139"/>
      <c r="AJ713" s="139"/>
      <c r="AK713" s="139"/>
      <c r="AL713" s="139"/>
      <c r="AM713" s="139"/>
      <c r="AN713" s="139"/>
      <c r="AO713" s="139"/>
      <c r="AP713" s="139"/>
      <c r="AQ713" s="139"/>
      <c r="AR713" s="139"/>
      <c r="AS713" s="139"/>
      <c r="AT713" s="139"/>
      <c r="AU713" s="139"/>
      <c r="AV713" s="139"/>
      <c r="AW713" s="139"/>
      <c r="AX713" s="139"/>
      <c r="AY713" s="139"/>
      <c r="AZ713" s="139"/>
      <c r="BA713" s="139"/>
      <c r="BB713" s="139"/>
      <c r="BC713" s="139"/>
      <c r="BD713" s="139"/>
      <c r="BE713" s="139"/>
      <c r="BF713" s="139"/>
      <c r="BG713" s="139"/>
      <c r="BH713" s="139"/>
    </row>
    <row r="714" spans="2:60" s="11" customFormat="1" ht="20.100000000000001" customHeight="1">
      <c r="B714" s="1360"/>
      <c r="C714" s="5598"/>
      <c r="D714" s="9598" t="s">
        <v>134</v>
      </c>
      <c r="E714" s="9600"/>
      <c r="F714" s="492" t="s">
        <v>344</v>
      </c>
      <c r="G714" s="666"/>
      <c r="H714" s="684"/>
      <c r="I714" s="9579" t="s">
        <v>135</v>
      </c>
      <c r="J714" s="9581"/>
      <c r="K714" s="492" t="s">
        <v>344</v>
      </c>
      <c r="L714" s="5592"/>
      <c r="M714" s="5656" t="s">
        <v>369</v>
      </c>
      <c r="N714" s="5593"/>
      <c r="O714" s="5656" t="s">
        <v>369</v>
      </c>
      <c r="P714" s="5593"/>
      <c r="Q714" s="5656" t="s">
        <v>369</v>
      </c>
      <c r="R714" s="2468"/>
      <c r="S714" s="544"/>
      <c r="T714" s="545"/>
      <c r="U714" s="546"/>
      <c r="V714" s="547"/>
      <c r="W714" s="299" t="s">
        <v>193</v>
      </c>
      <c r="X714" s="277"/>
      <c r="Y714" s="277"/>
      <c r="Z714" s="187"/>
      <c r="AA714" s="6301"/>
      <c r="AB714" s="139"/>
      <c r="AC714" s="139"/>
      <c r="AD714" s="139"/>
      <c r="AE714" s="139"/>
      <c r="AF714" s="139"/>
      <c r="AG714" s="139"/>
      <c r="AH714" s="139"/>
      <c r="AI714" s="139"/>
      <c r="AJ714" s="139"/>
      <c r="AK714" s="139"/>
      <c r="AL714" s="139"/>
      <c r="AM714" s="139"/>
      <c r="AN714" s="139"/>
      <c r="AO714" s="139"/>
      <c r="AP714" s="139"/>
      <c r="AQ714" s="139"/>
      <c r="AR714" s="139"/>
      <c r="AS714" s="139"/>
      <c r="AT714" s="139"/>
      <c r="AU714" s="139"/>
      <c r="AV714" s="139"/>
      <c r="AW714" s="139"/>
      <c r="AX714" s="139"/>
      <c r="AY714" s="139"/>
      <c r="AZ714" s="139"/>
      <c r="BA714" s="139"/>
      <c r="BB714" s="139"/>
      <c r="BC714" s="139"/>
      <c r="BD714" s="139"/>
      <c r="BE714" s="139"/>
      <c r="BF714" s="139"/>
      <c r="BG714" s="139"/>
      <c r="BH714" s="139"/>
    </row>
    <row r="715" spans="2:60" s="11" customFormat="1" ht="20.100000000000001" customHeight="1">
      <c r="B715" s="1360"/>
      <c r="C715" s="5598"/>
      <c r="D715" s="9598" t="s">
        <v>137</v>
      </c>
      <c r="E715" s="9600"/>
      <c r="F715" s="492" t="s">
        <v>344</v>
      </c>
      <c r="G715" s="666"/>
      <c r="H715" s="684"/>
      <c r="I715" s="9579" t="s">
        <v>138</v>
      </c>
      <c r="J715" s="9581"/>
      <c r="K715" s="492" t="s">
        <v>344</v>
      </c>
      <c r="L715" s="5594"/>
      <c r="M715" s="5658"/>
      <c r="N715" s="5601"/>
      <c r="O715" s="5667"/>
      <c r="P715" s="5602"/>
      <c r="Q715" s="5758"/>
      <c r="R715" s="2468"/>
      <c r="S715" s="544"/>
      <c r="T715" s="545"/>
      <c r="U715" s="546"/>
      <c r="V715" s="547"/>
      <c r="W715" s="299" t="s">
        <v>193</v>
      </c>
      <c r="X715" s="277"/>
      <c r="Y715" s="277"/>
      <c r="Z715" s="187"/>
      <c r="AA715" s="6301"/>
      <c r="AB715" s="139"/>
      <c r="AC715" s="139"/>
      <c r="AD715" s="139"/>
      <c r="AE715" s="139"/>
      <c r="AF715" s="139"/>
      <c r="AG715" s="139"/>
      <c r="AH715" s="139"/>
      <c r="AI715" s="139"/>
      <c r="AJ715" s="139"/>
      <c r="AK715" s="139"/>
      <c r="AL715" s="139"/>
      <c r="AM715" s="139"/>
      <c r="AN715" s="139"/>
      <c r="AO715" s="139"/>
      <c r="AP715" s="139"/>
      <c r="AQ715" s="139"/>
      <c r="AR715" s="139"/>
      <c r="AS715" s="139"/>
      <c r="AT715" s="139"/>
      <c r="AU715" s="139"/>
      <c r="AV715" s="139"/>
      <c r="AW715" s="139"/>
      <c r="AX715" s="139"/>
      <c r="AY715" s="139"/>
      <c r="AZ715" s="139"/>
      <c r="BA715" s="139"/>
      <c r="BB715" s="139"/>
      <c r="BC715" s="139"/>
      <c r="BD715" s="139"/>
      <c r="BE715" s="139"/>
      <c r="BF715" s="139"/>
      <c r="BG715" s="139"/>
      <c r="BH715" s="139"/>
    </row>
    <row r="716" spans="2:60" s="11" customFormat="1" ht="20.100000000000001" customHeight="1">
      <c r="B716" s="1360"/>
      <c r="C716" s="5598"/>
      <c r="D716" s="9598" t="s">
        <v>140</v>
      </c>
      <c r="E716" s="9600"/>
      <c r="F716" s="492" t="s">
        <v>344</v>
      </c>
      <c r="G716" s="666"/>
      <c r="H716" s="684"/>
      <c r="I716" s="9582" t="s">
        <v>141</v>
      </c>
      <c r="J716" s="9583"/>
      <c r="K716" s="492" t="s">
        <v>344</v>
      </c>
      <c r="L716" s="5594"/>
      <c r="M716" s="5658"/>
      <c r="N716" s="5601"/>
      <c r="O716" s="5667"/>
      <c r="P716" s="5602"/>
      <c r="Q716" s="5758"/>
      <c r="R716" s="2468"/>
      <c r="S716" s="544"/>
      <c r="T716" s="545"/>
      <c r="U716" s="546"/>
      <c r="V716" s="547"/>
      <c r="W716" s="299" t="s">
        <v>193</v>
      </c>
      <c r="X716" s="277"/>
      <c r="Y716" s="277"/>
      <c r="Z716" s="187"/>
      <c r="AA716" s="6301"/>
      <c r="AB716" s="139"/>
      <c r="AC716" s="139"/>
      <c r="AD716" s="139"/>
      <c r="AE716" s="139"/>
      <c r="AF716" s="139"/>
      <c r="AG716" s="139"/>
      <c r="AH716" s="139"/>
      <c r="AI716" s="139"/>
      <c r="AJ716" s="139"/>
      <c r="AK716" s="139"/>
      <c r="AL716" s="139"/>
      <c r="AM716" s="139"/>
      <c r="AN716" s="139"/>
      <c r="AO716" s="139"/>
      <c r="AP716" s="139"/>
      <c r="AQ716" s="139"/>
      <c r="AR716" s="139"/>
      <c r="AS716" s="139"/>
      <c r="AT716" s="139"/>
      <c r="AU716" s="139"/>
      <c r="AV716" s="139"/>
      <c r="AW716" s="139"/>
      <c r="AX716" s="139"/>
      <c r="AY716" s="139"/>
      <c r="AZ716" s="139"/>
      <c r="BA716" s="139"/>
      <c r="BB716" s="139"/>
      <c r="BC716" s="139"/>
      <c r="BD716" s="139"/>
      <c r="BE716" s="139"/>
      <c r="BF716" s="139"/>
      <c r="BG716" s="139"/>
      <c r="BH716" s="139"/>
    </row>
    <row r="717" spans="2:60" s="11" customFormat="1" ht="20.100000000000001" customHeight="1">
      <c r="B717" s="1360"/>
      <c r="C717" s="5598"/>
      <c r="D717" s="9598" t="s">
        <v>143</v>
      </c>
      <c r="E717" s="9600"/>
      <c r="F717" s="492" t="s">
        <v>344</v>
      </c>
      <c r="G717" s="666"/>
      <c r="H717" s="684"/>
      <c r="I717" s="9582" t="s">
        <v>144</v>
      </c>
      <c r="J717" s="9583"/>
      <c r="K717" s="492" t="s">
        <v>344</v>
      </c>
      <c r="L717" s="5594"/>
      <c r="M717" s="5658"/>
      <c r="N717" s="5601"/>
      <c r="O717" s="5667"/>
      <c r="P717" s="5602"/>
      <c r="Q717" s="5758"/>
      <c r="R717" s="2468"/>
      <c r="S717" s="544"/>
      <c r="T717" s="545"/>
      <c r="U717" s="546"/>
      <c r="V717" s="547"/>
      <c r="W717" s="299" t="s">
        <v>193</v>
      </c>
      <c r="X717" s="277"/>
      <c r="Y717" s="277"/>
      <c r="Z717" s="187"/>
      <c r="AA717" s="6301"/>
      <c r="AB717" s="139"/>
      <c r="AC717" s="139"/>
      <c r="AD717" s="139"/>
      <c r="AE717" s="139"/>
      <c r="AF717" s="139"/>
      <c r="AG717" s="139"/>
      <c r="AH717" s="139"/>
      <c r="AI717" s="139"/>
      <c r="AJ717" s="139"/>
      <c r="AK717" s="139"/>
      <c r="AL717" s="139"/>
      <c r="AM717" s="139"/>
      <c r="AN717" s="139"/>
      <c r="AO717" s="139"/>
      <c r="AP717" s="139"/>
      <c r="AQ717" s="139"/>
      <c r="AR717" s="139"/>
      <c r="AS717" s="139"/>
      <c r="AT717" s="139"/>
      <c r="AU717" s="139"/>
      <c r="AV717" s="139"/>
      <c r="AW717" s="139"/>
      <c r="AX717" s="139"/>
      <c r="AY717" s="139"/>
      <c r="AZ717" s="139"/>
      <c r="BA717" s="139"/>
      <c r="BB717" s="139"/>
      <c r="BC717" s="139"/>
      <c r="BD717" s="139"/>
      <c r="BE717" s="139"/>
      <c r="BF717" s="139"/>
      <c r="BG717" s="139"/>
      <c r="BH717" s="139"/>
    </row>
    <row r="718" spans="2:60" s="11" customFormat="1" ht="20.100000000000001" customHeight="1">
      <c r="B718" s="1360"/>
      <c r="C718" s="5598"/>
      <c r="D718" s="9598" t="s">
        <v>631</v>
      </c>
      <c r="E718" s="9600"/>
      <c r="F718" s="492" t="s">
        <v>344</v>
      </c>
      <c r="G718" s="666"/>
      <c r="H718" s="684"/>
      <c r="I718" s="9582" t="s">
        <v>147</v>
      </c>
      <c r="J718" s="9583"/>
      <c r="K718" s="492" t="s">
        <v>344</v>
      </c>
      <c r="L718" s="5967" t="s">
        <v>168</v>
      </c>
      <c r="M718" s="5656" t="s">
        <v>641</v>
      </c>
      <c r="N718" s="5593" t="s">
        <v>168</v>
      </c>
      <c r="O718" s="5948" t="s">
        <v>641</v>
      </c>
      <c r="P718" s="5948" t="s">
        <v>168</v>
      </c>
      <c r="Q718" s="5948" t="s">
        <v>641</v>
      </c>
      <c r="R718" s="2468"/>
      <c r="S718" s="544"/>
      <c r="T718" s="545"/>
      <c r="U718" s="546"/>
      <c r="V718" s="547"/>
      <c r="W718" s="299" t="s">
        <v>193</v>
      </c>
      <c r="X718" s="277"/>
      <c r="Y718" s="277"/>
      <c r="Z718" s="187"/>
      <c r="AA718" s="6301"/>
      <c r="AB718" s="139"/>
      <c r="AC718" s="139"/>
      <c r="AD718" s="139"/>
      <c r="AE718" s="139"/>
      <c r="AF718" s="139"/>
      <c r="AG718" s="139"/>
      <c r="AH718" s="139"/>
      <c r="AI718" s="139"/>
      <c r="AJ718" s="139"/>
      <c r="AK718" s="139"/>
      <c r="AL718" s="139"/>
      <c r="AM718" s="139"/>
      <c r="AN718" s="139"/>
      <c r="AO718" s="139"/>
      <c r="AP718" s="139"/>
      <c r="AQ718" s="139"/>
      <c r="AR718" s="139"/>
      <c r="AS718" s="139"/>
      <c r="AT718" s="139"/>
      <c r="AU718" s="139"/>
      <c r="AV718" s="139"/>
      <c r="AW718" s="139"/>
      <c r="AX718" s="139"/>
      <c r="AY718" s="139"/>
      <c r="AZ718" s="139"/>
      <c r="BA718" s="139"/>
      <c r="BB718" s="139"/>
      <c r="BC718" s="139"/>
      <c r="BD718" s="139"/>
      <c r="BE718" s="139"/>
      <c r="BF718" s="139"/>
      <c r="BG718" s="139"/>
      <c r="BH718" s="139"/>
    </row>
    <row r="719" spans="2:60" s="11" customFormat="1" ht="20.100000000000001" customHeight="1">
      <c r="B719" s="1360"/>
      <c r="C719" s="5598"/>
      <c r="D719" s="9598" t="s">
        <v>633</v>
      </c>
      <c r="E719" s="9600"/>
      <c r="F719" s="492" t="s">
        <v>344</v>
      </c>
      <c r="G719" s="666"/>
      <c r="H719" s="684"/>
      <c r="I719" s="9582" t="s">
        <v>150</v>
      </c>
      <c r="J719" s="9583"/>
      <c r="K719" s="492" t="s">
        <v>344</v>
      </c>
      <c r="L719" s="5594"/>
      <c r="M719" s="5658"/>
      <c r="N719" s="5601"/>
      <c r="O719" s="5667"/>
      <c r="P719" s="5602"/>
      <c r="Q719" s="5758"/>
      <c r="R719" s="2468"/>
      <c r="S719" s="544"/>
      <c r="T719" s="545"/>
      <c r="U719" s="546"/>
      <c r="V719" s="547"/>
      <c r="W719" s="299" t="s">
        <v>193</v>
      </c>
      <c r="X719" s="277"/>
      <c r="Y719" s="277"/>
      <c r="Z719" s="187"/>
      <c r="AA719" s="6301"/>
      <c r="AB719" s="139"/>
      <c r="AC719" s="139"/>
      <c r="AD719" s="139"/>
      <c r="AE719" s="139"/>
      <c r="AF719" s="139"/>
      <c r="AG719" s="139"/>
      <c r="AH719" s="139"/>
      <c r="AI719" s="139"/>
      <c r="AJ719" s="139"/>
      <c r="AK719" s="139"/>
      <c r="AL719" s="139"/>
      <c r="AM719" s="139"/>
      <c r="AN719" s="139"/>
      <c r="AO719" s="139"/>
      <c r="AP719" s="139"/>
      <c r="AQ719" s="139"/>
      <c r="AR719" s="139"/>
      <c r="AS719" s="139"/>
      <c r="AT719" s="139"/>
      <c r="AU719" s="139"/>
      <c r="AV719" s="139"/>
      <c r="AW719" s="139"/>
      <c r="AX719" s="139"/>
      <c r="AY719" s="139"/>
      <c r="AZ719" s="139"/>
      <c r="BA719" s="139"/>
      <c r="BB719" s="139"/>
      <c r="BC719" s="139"/>
      <c r="BD719" s="139"/>
      <c r="BE719" s="139"/>
      <c r="BF719" s="139"/>
      <c r="BG719" s="139"/>
      <c r="BH719" s="139"/>
    </row>
    <row r="720" spans="2:60" s="11" customFormat="1" ht="20.100000000000001" customHeight="1">
      <c r="B720" s="1360"/>
      <c r="C720" s="5598"/>
      <c r="D720" s="9584" t="s">
        <v>709</v>
      </c>
      <c r="E720" s="9585"/>
      <c r="F720" s="492" t="s">
        <v>344</v>
      </c>
      <c r="G720" s="358"/>
      <c r="H720" s="643"/>
      <c r="I720" s="9584" t="s">
        <v>530</v>
      </c>
      <c r="J720" s="9585"/>
      <c r="K720" s="492" t="s">
        <v>344</v>
      </c>
      <c r="L720" s="5653" t="str">
        <f>IF(COUNTBLANK(L721:L726)&gt;0,"미취합법인有",SUM(L721:L726))</f>
        <v>미취합법인有</v>
      </c>
      <c r="M720" s="5657"/>
      <c r="N720" s="5654" t="str">
        <f>IF(COUNTBLANK(N721:N726)&gt;0,"미취합법인有",SUM(N721:N726))</f>
        <v>미취합법인有</v>
      </c>
      <c r="O720" s="5945"/>
      <c r="P720" s="5781" t="str">
        <f>IF(COUNTBLANK(P721:P726)&gt;0,"미취합법인有",SUM(P721:P726))</f>
        <v>미취합법인有</v>
      </c>
      <c r="Q720" s="785"/>
      <c r="R720" s="2468"/>
      <c r="S720" s="544"/>
      <c r="T720" s="545" t="s">
        <v>189</v>
      </c>
      <c r="U720" s="547"/>
      <c r="V720" s="547"/>
      <c r="W720" s="299" t="s">
        <v>193</v>
      </c>
      <c r="X720" s="277" t="s">
        <v>524</v>
      </c>
      <c r="Y720" s="265"/>
      <c r="Z720" s="187"/>
      <c r="AA720" s="6305"/>
      <c r="AB720" s="139"/>
      <c r="AC720" s="139"/>
      <c r="AD720" s="139"/>
      <c r="AE720" s="139"/>
      <c r="AF720" s="139"/>
      <c r="AG720" s="139"/>
      <c r="AH720" s="139"/>
      <c r="AI720" s="139"/>
      <c r="AJ720" s="139"/>
      <c r="AK720" s="139"/>
      <c r="AL720" s="139"/>
      <c r="AM720" s="139"/>
      <c r="AN720" s="139"/>
      <c r="AO720" s="139"/>
      <c r="AP720" s="139"/>
      <c r="AQ720" s="139"/>
      <c r="AR720" s="139"/>
      <c r="AS720" s="139"/>
      <c r="AT720" s="139"/>
      <c r="AU720" s="139"/>
      <c r="AV720" s="139"/>
      <c r="AW720" s="139"/>
      <c r="AX720" s="139"/>
      <c r="AY720" s="139"/>
      <c r="AZ720" s="139"/>
      <c r="BA720" s="139"/>
      <c r="BB720" s="139"/>
      <c r="BC720" s="139"/>
      <c r="BD720" s="139"/>
      <c r="BE720" s="139"/>
      <c r="BF720" s="139"/>
      <c r="BG720" s="139"/>
      <c r="BH720" s="139"/>
    </row>
    <row r="721" spans="2:60" s="11" customFormat="1" ht="20.100000000000001" customHeight="1">
      <c r="B721" s="1360"/>
      <c r="C721" s="5598"/>
      <c r="D721" s="9598" t="s">
        <v>134</v>
      </c>
      <c r="E721" s="9600"/>
      <c r="F721" s="492" t="s">
        <v>344</v>
      </c>
      <c r="G721" s="666"/>
      <c r="H721" s="684"/>
      <c r="I721" s="9579" t="s">
        <v>135</v>
      </c>
      <c r="J721" s="9581"/>
      <c r="K721" s="492" t="s">
        <v>344</v>
      </c>
      <c r="L721" s="5592"/>
      <c r="M721" s="5656" t="s">
        <v>369</v>
      </c>
      <c r="N721" s="5593"/>
      <c r="O721" s="5656" t="s">
        <v>369</v>
      </c>
      <c r="P721" s="5593"/>
      <c r="Q721" s="5656" t="s">
        <v>369</v>
      </c>
      <c r="R721" s="2468"/>
      <c r="S721" s="544"/>
      <c r="T721" s="545"/>
      <c r="U721" s="546"/>
      <c r="V721" s="547"/>
      <c r="W721" s="299" t="s">
        <v>193</v>
      </c>
      <c r="X721" s="277"/>
      <c r="Y721" s="277"/>
      <c r="Z721" s="187"/>
      <c r="AA721" s="6301"/>
      <c r="AB721" s="139"/>
      <c r="AC721" s="139"/>
      <c r="AD721" s="139"/>
      <c r="AE721" s="139"/>
      <c r="AF721" s="139"/>
      <c r="AG721" s="139"/>
      <c r="AH721" s="139"/>
      <c r="AI721" s="139"/>
      <c r="AJ721" s="139"/>
      <c r="AK721" s="139"/>
      <c r="AL721" s="139"/>
      <c r="AM721" s="139"/>
      <c r="AN721" s="139"/>
      <c r="AO721" s="139"/>
      <c r="AP721" s="139"/>
      <c r="AQ721" s="139"/>
      <c r="AR721" s="139"/>
      <c r="AS721" s="139"/>
      <c r="AT721" s="139"/>
      <c r="AU721" s="139"/>
      <c r="AV721" s="139"/>
      <c r="AW721" s="139"/>
      <c r="AX721" s="139"/>
      <c r="AY721" s="139"/>
      <c r="AZ721" s="139"/>
      <c r="BA721" s="139"/>
      <c r="BB721" s="139"/>
      <c r="BC721" s="139"/>
      <c r="BD721" s="139"/>
      <c r="BE721" s="139"/>
      <c r="BF721" s="139"/>
      <c r="BG721" s="139"/>
      <c r="BH721" s="139"/>
    </row>
    <row r="722" spans="2:60" s="11" customFormat="1" ht="20.100000000000001" customHeight="1">
      <c r="B722" s="1360"/>
      <c r="C722" s="5598"/>
      <c r="D722" s="9598" t="s">
        <v>137</v>
      </c>
      <c r="E722" s="9600"/>
      <c r="F722" s="492" t="s">
        <v>344</v>
      </c>
      <c r="G722" s="666"/>
      <c r="H722" s="684"/>
      <c r="I722" s="9579" t="s">
        <v>138</v>
      </c>
      <c r="J722" s="9581"/>
      <c r="K722" s="492" t="s">
        <v>344</v>
      </c>
      <c r="L722" s="5594"/>
      <c r="M722" s="5658"/>
      <c r="N722" s="5601"/>
      <c r="O722" s="5667"/>
      <c r="P722" s="5602"/>
      <c r="Q722" s="5758"/>
      <c r="R722" s="2468"/>
      <c r="S722" s="544"/>
      <c r="T722" s="545"/>
      <c r="U722" s="546"/>
      <c r="V722" s="547"/>
      <c r="W722" s="299" t="s">
        <v>193</v>
      </c>
      <c r="X722" s="277"/>
      <c r="Y722" s="277"/>
      <c r="Z722" s="187"/>
      <c r="AA722" s="6301"/>
      <c r="AB722" s="139"/>
      <c r="AC722" s="139"/>
      <c r="AD722" s="139"/>
      <c r="AE722" s="139"/>
      <c r="AF722" s="139"/>
      <c r="AG722" s="139"/>
      <c r="AH722" s="139"/>
      <c r="AI722" s="139"/>
      <c r="AJ722" s="139"/>
      <c r="AK722" s="139"/>
      <c r="AL722" s="139"/>
      <c r="AM722" s="139"/>
      <c r="AN722" s="139"/>
      <c r="AO722" s="139"/>
      <c r="AP722" s="139"/>
      <c r="AQ722" s="139"/>
      <c r="AR722" s="139"/>
      <c r="AS722" s="139"/>
      <c r="AT722" s="139"/>
      <c r="AU722" s="139"/>
      <c r="AV722" s="139"/>
      <c r="AW722" s="139"/>
      <c r="AX722" s="139"/>
      <c r="AY722" s="139"/>
      <c r="AZ722" s="139"/>
      <c r="BA722" s="139"/>
      <c r="BB722" s="139"/>
      <c r="BC722" s="139"/>
      <c r="BD722" s="139"/>
      <c r="BE722" s="139"/>
      <c r="BF722" s="139"/>
      <c r="BG722" s="139"/>
      <c r="BH722" s="139"/>
    </row>
    <row r="723" spans="2:60" s="11" customFormat="1" ht="20.100000000000001" customHeight="1">
      <c r="B723" s="1360"/>
      <c r="C723" s="5598"/>
      <c r="D723" s="9598" t="s">
        <v>140</v>
      </c>
      <c r="E723" s="9600"/>
      <c r="F723" s="492" t="s">
        <v>344</v>
      </c>
      <c r="G723" s="666"/>
      <c r="H723" s="684"/>
      <c r="I723" s="9582" t="s">
        <v>141</v>
      </c>
      <c r="J723" s="9583"/>
      <c r="K723" s="492" t="s">
        <v>344</v>
      </c>
      <c r="L723" s="5594"/>
      <c r="M723" s="5658"/>
      <c r="N723" s="5601"/>
      <c r="O723" s="5667"/>
      <c r="P723" s="5602"/>
      <c r="Q723" s="5758"/>
      <c r="R723" s="2468"/>
      <c r="S723" s="544"/>
      <c r="T723" s="545"/>
      <c r="U723" s="546"/>
      <c r="V723" s="547"/>
      <c r="W723" s="299" t="s">
        <v>193</v>
      </c>
      <c r="X723" s="277"/>
      <c r="Y723" s="277"/>
      <c r="Z723" s="187"/>
      <c r="AA723" s="6301"/>
      <c r="AB723" s="139"/>
      <c r="AC723" s="139"/>
      <c r="AD723" s="139"/>
      <c r="AE723" s="139"/>
      <c r="AF723" s="139"/>
      <c r="AG723" s="139"/>
      <c r="AH723" s="139"/>
      <c r="AI723" s="139"/>
      <c r="AJ723" s="139"/>
      <c r="AK723" s="139"/>
      <c r="AL723" s="139"/>
      <c r="AM723" s="139"/>
      <c r="AN723" s="139"/>
      <c r="AO723" s="139"/>
      <c r="AP723" s="139"/>
      <c r="AQ723" s="139"/>
      <c r="AR723" s="139"/>
      <c r="AS723" s="139"/>
      <c r="AT723" s="139"/>
      <c r="AU723" s="139"/>
      <c r="AV723" s="139"/>
      <c r="AW723" s="139"/>
      <c r="AX723" s="139"/>
      <c r="AY723" s="139"/>
      <c r="AZ723" s="139"/>
      <c r="BA723" s="139"/>
      <c r="BB723" s="139"/>
      <c r="BC723" s="139"/>
      <c r="BD723" s="139"/>
      <c r="BE723" s="139"/>
      <c r="BF723" s="139"/>
      <c r="BG723" s="139"/>
      <c r="BH723" s="139"/>
    </row>
    <row r="724" spans="2:60" s="11" customFormat="1" ht="20.100000000000001" customHeight="1">
      <c r="B724" s="1360"/>
      <c r="C724" s="5598"/>
      <c r="D724" s="9598" t="s">
        <v>143</v>
      </c>
      <c r="E724" s="9600"/>
      <c r="F724" s="492" t="s">
        <v>344</v>
      </c>
      <c r="G724" s="666"/>
      <c r="H724" s="684"/>
      <c r="I724" s="9582" t="s">
        <v>144</v>
      </c>
      <c r="J724" s="9583"/>
      <c r="K724" s="492" t="s">
        <v>344</v>
      </c>
      <c r="L724" s="5594"/>
      <c r="M724" s="5658"/>
      <c r="N724" s="5601"/>
      <c r="O724" s="5667"/>
      <c r="P724" s="5602"/>
      <c r="Q724" s="5758"/>
      <c r="R724" s="2468"/>
      <c r="S724" s="544"/>
      <c r="T724" s="545"/>
      <c r="U724" s="546"/>
      <c r="V724" s="547"/>
      <c r="W724" s="299" t="s">
        <v>193</v>
      </c>
      <c r="X724" s="277"/>
      <c r="Y724" s="277"/>
      <c r="Z724" s="187"/>
      <c r="AA724" s="6301"/>
      <c r="AB724" s="139"/>
      <c r="AC724" s="139"/>
      <c r="AD724" s="139"/>
      <c r="AE724" s="139"/>
      <c r="AF724" s="139"/>
      <c r="AG724" s="139"/>
      <c r="AH724" s="139"/>
      <c r="AI724" s="139"/>
      <c r="AJ724" s="139"/>
      <c r="AK724" s="139"/>
      <c r="AL724" s="139"/>
      <c r="AM724" s="139"/>
      <c r="AN724" s="139"/>
      <c r="AO724" s="139"/>
      <c r="AP724" s="139"/>
      <c r="AQ724" s="139"/>
      <c r="AR724" s="139"/>
      <c r="AS724" s="139"/>
      <c r="AT724" s="139"/>
      <c r="AU724" s="139"/>
      <c r="AV724" s="139"/>
      <c r="AW724" s="139"/>
      <c r="AX724" s="139"/>
      <c r="AY724" s="139"/>
      <c r="AZ724" s="139"/>
      <c r="BA724" s="139"/>
      <c r="BB724" s="139"/>
      <c r="BC724" s="139"/>
      <c r="BD724" s="139"/>
      <c r="BE724" s="139"/>
      <c r="BF724" s="139"/>
      <c r="BG724" s="139"/>
      <c r="BH724" s="139"/>
    </row>
    <row r="725" spans="2:60" s="11" customFormat="1" ht="20.100000000000001" customHeight="1">
      <c r="B725" s="1360"/>
      <c r="C725" s="5598"/>
      <c r="D725" s="9598" t="s">
        <v>631</v>
      </c>
      <c r="E725" s="9600"/>
      <c r="F725" s="492" t="s">
        <v>344</v>
      </c>
      <c r="G725" s="666"/>
      <c r="H725" s="684"/>
      <c r="I725" s="9582" t="s">
        <v>147</v>
      </c>
      <c r="J725" s="9583"/>
      <c r="K725" s="492" t="s">
        <v>344</v>
      </c>
      <c r="L725" s="5967" t="s">
        <v>168</v>
      </c>
      <c r="M725" s="5656" t="s">
        <v>641</v>
      </c>
      <c r="N725" s="5593" t="s">
        <v>168</v>
      </c>
      <c r="O725" s="5948" t="s">
        <v>641</v>
      </c>
      <c r="P725" s="5948" t="s">
        <v>168</v>
      </c>
      <c r="Q725" s="5948" t="s">
        <v>641</v>
      </c>
      <c r="R725" s="2468"/>
      <c r="S725" s="544"/>
      <c r="T725" s="545"/>
      <c r="U725" s="546"/>
      <c r="V725" s="547"/>
      <c r="W725" s="299" t="s">
        <v>193</v>
      </c>
      <c r="X725" s="277"/>
      <c r="Y725" s="277"/>
      <c r="Z725" s="187"/>
      <c r="AA725" s="6301"/>
      <c r="AB725" s="139"/>
      <c r="AC725" s="139"/>
      <c r="AD725" s="139"/>
      <c r="AE725" s="139"/>
      <c r="AF725" s="139"/>
      <c r="AG725" s="139"/>
      <c r="AH725" s="139"/>
      <c r="AI725" s="139"/>
      <c r="AJ725" s="139"/>
      <c r="AK725" s="139"/>
      <c r="AL725" s="139"/>
      <c r="AM725" s="139"/>
      <c r="AN725" s="139"/>
      <c r="AO725" s="139"/>
      <c r="AP725" s="139"/>
      <c r="AQ725" s="139"/>
      <c r="AR725" s="139"/>
      <c r="AS725" s="139"/>
      <c r="AT725" s="139"/>
      <c r="AU725" s="139"/>
      <c r="AV725" s="139"/>
      <c r="AW725" s="139"/>
      <c r="AX725" s="139"/>
      <c r="AY725" s="139"/>
      <c r="AZ725" s="139"/>
      <c r="BA725" s="139"/>
      <c r="BB725" s="139"/>
      <c r="BC725" s="139"/>
      <c r="BD725" s="139"/>
      <c r="BE725" s="139"/>
      <c r="BF725" s="139"/>
      <c r="BG725" s="139"/>
      <c r="BH725" s="139"/>
    </row>
    <row r="726" spans="2:60" s="11" customFormat="1" ht="20.100000000000001" customHeight="1">
      <c r="B726" s="1360"/>
      <c r="C726" s="5598"/>
      <c r="D726" s="9598" t="s">
        <v>633</v>
      </c>
      <c r="E726" s="9600"/>
      <c r="F726" s="492" t="s">
        <v>344</v>
      </c>
      <c r="G726" s="666"/>
      <c r="H726" s="684"/>
      <c r="I726" s="9582" t="s">
        <v>150</v>
      </c>
      <c r="J726" s="9583"/>
      <c r="K726" s="492" t="s">
        <v>344</v>
      </c>
      <c r="L726" s="5594"/>
      <c r="M726" s="5658"/>
      <c r="N726" s="5601"/>
      <c r="O726" s="5667"/>
      <c r="P726" s="5602"/>
      <c r="Q726" s="5758"/>
      <c r="R726" s="2468"/>
      <c r="S726" s="544"/>
      <c r="T726" s="545"/>
      <c r="U726" s="546"/>
      <c r="V726" s="547"/>
      <c r="W726" s="299" t="s">
        <v>193</v>
      </c>
      <c r="X726" s="277"/>
      <c r="Y726" s="277"/>
      <c r="Z726" s="187"/>
      <c r="AA726" s="6301"/>
      <c r="AB726" s="139"/>
      <c r="AC726" s="139"/>
      <c r="AD726" s="139"/>
      <c r="AE726" s="139"/>
      <c r="AF726" s="139"/>
      <c r="AG726" s="139"/>
      <c r="AH726" s="139"/>
      <c r="AI726" s="139"/>
      <c r="AJ726" s="139"/>
      <c r="AK726" s="139"/>
      <c r="AL726" s="139"/>
      <c r="AM726" s="139"/>
      <c r="AN726" s="139"/>
      <c r="AO726" s="139"/>
      <c r="AP726" s="139"/>
      <c r="AQ726" s="139"/>
      <c r="AR726" s="139"/>
      <c r="AS726" s="139"/>
      <c r="AT726" s="139"/>
      <c r="AU726" s="139"/>
      <c r="AV726" s="139"/>
      <c r="AW726" s="139"/>
      <c r="AX726" s="139"/>
      <c r="AY726" s="139"/>
      <c r="AZ726" s="139"/>
      <c r="BA726" s="139"/>
      <c r="BB726" s="139"/>
      <c r="BC726" s="139"/>
      <c r="BD726" s="139"/>
      <c r="BE726" s="139"/>
      <c r="BF726" s="139"/>
      <c r="BG726" s="139"/>
      <c r="BH726" s="139"/>
    </row>
    <row r="727" spans="2:60" s="11" customFormat="1" ht="20.100000000000001" customHeight="1">
      <c r="B727" s="1360"/>
      <c r="C727" s="5598"/>
      <c r="D727" s="9584" t="s">
        <v>710</v>
      </c>
      <c r="E727" s="9585"/>
      <c r="F727" s="492" t="s">
        <v>344</v>
      </c>
      <c r="G727" s="358"/>
      <c r="H727" s="643"/>
      <c r="I727" s="9584" t="s">
        <v>532</v>
      </c>
      <c r="J727" s="9585"/>
      <c r="K727" s="492" t="s">
        <v>344</v>
      </c>
      <c r="L727" s="5653" t="str">
        <f>IF(COUNTBLANK(L728:L733)&gt;0,"미취합법인有",SUM(L728:L733))</f>
        <v>미취합법인有</v>
      </c>
      <c r="M727" s="5657"/>
      <c r="N727" s="5654" t="str">
        <f>IF(COUNTBLANK(N728:N733)&gt;0,"미취합법인有",SUM(N728:N733))</f>
        <v>미취합법인有</v>
      </c>
      <c r="O727" s="5945"/>
      <c r="P727" s="5781" t="str">
        <f>IF(COUNTBLANK(P728:P733)&gt;0,"미취합법인有",SUM(P728:P733))</f>
        <v>미취합법인有</v>
      </c>
      <c r="Q727" s="785"/>
      <c r="R727" s="2468"/>
      <c r="S727" s="544"/>
      <c r="T727" s="545" t="s">
        <v>189</v>
      </c>
      <c r="U727" s="547"/>
      <c r="V727" s="547"/>
      <c r="W727" s="299" t="s">
        <v>193</v>
      </c>
      <c r="X727" s="277" t="s">
        <v>524</v>
      </c>
      <c r="Y727" s="265"/>
      <c r="Z727" s="187"/>
      <c r="AA727" s="6305"/>
      <c r="AB727" s="139"/>
      <c r="AC727" s="139"/>
      <c r="AD727" s="139"/>
      <c r="AE727" s="139"/>
      <c r="AF727" s="139"/>
      <c r="AG727" s="139"/>
      <c r="AH727" s="139"/>
      <c r="AI727" s="139"/>
      <c r="AJ727" s="139"/>
      <c r="AK727" s="139"/>
      <c r="AL727" s="139"/>
      <c r="AM727" s="139"/>
      <c r="AN727" s="139"/>
      <c r="AO727" s="139"/>
      <c r="AP727" s="139"/>
      <c r="AQ727" s="139"/>
      <c r="AR727" s="139"/>
      <c r="AS727" s="139"/>
      <c r="AT727" s="139"/>
      <c r="AU727" s="139"/>
      <c r="AV727" s="139"/>
      <c r="AW727" s="139"/>
      <c r="AX727" s="139"/>
      <c r="AY727" s="139"/>
      <c r="AZ727" s="139"/>
      <c r="BA727" s="139"/>
      <c r="BB727" s="139"/>
      <c r="BC727" s="139"/>
      <c r="BD727" s="139"/>
      <c r="BE727" s="139"/>
      <c r="BF727" s="139"/>
      <c r="BG727" s="139"/>
      <c r="BH727" s="139"/>
    </row>
    <row r="728" spans="2:60" s="11" customFormat="1" ht="20.100000000000001" customHeight="1">
      <c r="B728" s="1360"/>
      <c r="C728" s="5598"/>
      <c r="D728" s="9598" t="s">
        <v>134</v>
      </c>
      <c r="E728" s="9600"/>
      <c r="F728" s="492" t="s">
        <v>344</v>
      </c>
      <c r="G728" s="666"/>
      <c r="H728" s="684"/>
      <c r="I728" s="9579" t="s">
        <v>135</v>
      </c>
      <c r="J728" s="9581"/>
      <c r="K728" s="492" t="s">
        <v>344</v>
      </c>
      <c r="L728" s="5592"/>
      <c r="M728" s="5656" t="s">
        <v>369</v>
      </c>
      <c r="N728" s="5593"/>
      <c r="O728" s="5656" t="s">
        <v>369</v>
      </c>
      <c r="P728" s="5593"/>
      <c r="Q728" s="5656" t="s">
        <v>369</v>
      </c>
      <c r="R728" s="2468"/>
      <c r="S728" s="544"/>
      <c r="T728" s="545"/>
      <c r="U728" s="546"/>
      <c r="V728" s="547"/>
      <c r="W728" s="299" t="s">
        <v>193</v>
      </c>
      <c r="X728" s="277"/>
      <c r="Y728" s="277"/>
      <c r="Z728" s="187"/>
      <c r="AA728" s="6301"/>
      <c r="AB728" s="139"/>
      <c r="AC728" s="139"/>
      <c r="AD728" s="139"/>
      <c r="AE728" s="139"/>
      <c r="AF728" s="139"/>
      <c r="AG728" s="139"/>
      <c r="AH728" s="139"/>
      <c r="AI728" s="139"/>
      <c r="AJ728" s="139"/>
      <c r="AK728" s="139"/>
      <c r="AL728" s="139"/>
      <c r="AM728" s="139"/>
      <c r="AN728" s="139"/>
      <c r="AO728" s="139"/>
      <c r="AP728" s="139"/>
      <c r="AQ728" s="139"/>
      <c r="AR728" s="139"/>
      <c r="AS728" s="139"/>
      <c r="AT728" s="139"/>
      <c r="AU728" s="139"/>
      <c r="AV728" s="139"/>
      <c r="AW728" s="139"/>
      <c r="AX728" s="139"/>
      <c r="AY728" s="139"/>
      <c r="AZ728" s="139"/>
      <c r="BA728" s="139"/>
      <c r="BB728" s="139"/>
      <c r="BC728" s="139"/>
      <c r="BD728" s="139"/>
      <c r="BE728" s="139"/>
      <c r="BF728" s="139"/>
      <c r="BG728" s="139"/>
      <c r="BH728" s="139"/>
    </row>
    <row r="729" spans="2:60" s="11" customFormat="1" ht="20.100000000000001" customHeight="1">
      <c r="B729" s="1360"/>
      <c r="C729" s="5598"/>
      <c r="D729" s="9598" t="s">
        <v>137</v>
      </c>
      <c r="E729" s="9600"/>
      <c r="F729" s="492" t="s">
        <v>344</v>
      </c>
      <c r="G729" s="666"/>
      <c r="H729" s="684"/>
      <c r="I729" s="9579" t="s">
        <v>138</v>
      </c>
      <c r="J729" s="9581"/>
      <c r="K729" s="492" t="s">
        <v>344</v>
      </c>
      <c r="L729" s="5594"/>
      <c r="M729" s="5658"/>
      <c r="N729" s="5601"/>
      <c r="O729" s="5667"/>
      <c r="P729" s="5602"/>
      <c r="Q729" s="5758"/>
      <c r="R729" s="2468"/>
      <c r="S729" s="544"/>
      <c r="T729" s="545"/>
      <c r="U729" s="546"/>
      <c r="V729" s="547"/>
      <c r="W729" s="299" t="s">
        <v>193</v>
      </c>
      <c r="X729" s="277"/>
      <c r="Y729" s="277"/>
      <c r="Z729" s="187"/>
      <c r="AA729" s="6301"/>
      <c r="AB729" s="139"/>
      <c r="AC729" s="139"/>
      <c r="AD729" s="139"/>
      <c r="AE729" s="139"/>
      <c r="AF729" s="139"/>
      <c r="AG729" s="139"/>
      <c r="AH729" s="139"/>
      <c r="AI729" s="139"/>
      <c r="AJ729" s="139"/>
      <c r="AK729" s="139"/>
      <c r="AL729" s="139"/>
      <c r="AM729" s="139"/>
      <c r="AN729" s="139"/>
      <c r="AO729" s="139"/>
      <c r="AP729" s="139"/>
      <c r="AQ729" s="139"/>
      <c r="AR729" s="139"/>
      <c r="AS729" s="139"/>
      <c r="AT729" s="139"/>
      <c r="AU729" s="139"/>
      <c r="AV729" s="139"/>
      <c r="AW729" s="139"/>
      <c r="AX729" s="139"/>
      <c r="AY729" s="139"/>
      <c r="AZ729" s="139"/>
      <c r="BA729" s="139"/>
      <c r="BB729" s="139"/>
      <c r="BC729" s="139"/>
      <c r="BD729" s="139"/>
      <c r="BE729" s="139"/>
      <c r="BF729" s="139"/>
      <c r="BG729" s="139"/>
      <c r="BH729" s="139"/>
    </row>
    <row r="730" spans="2:60" s="11" customFormat="1" ht="20.100000000000001" customHeight="1">
      <c r="B730" s="1360"/>
      <c r="C730" s="5598"/>
      <c r="D730" s="9598" t="s">
        <v>140</v>
      </c>
      <c r="E730" s="9600"/>
      <c r="F730" s="492" t="s">
        <v>344</v>
      </c>
      <c r="G730" s="666"/>
      <c r="H730" s="684"/>
      <c r="I730" s="9582" t="s">
        <v>141</v>
      </c>
      <c r="J730" s="9583"/>
      <c r="K730" s="492" t="s">
        <v>344</v>
      </c>
      <c r="L730" s="5594"/>
      <c r="M730" s="5658"/>
      <c r="N730" s="5601"/>
      <c r="O730" s="5667"/>
      <c r="P730" s="5602"/>
      <c r="Q730" s="5758"/>
      <c r="R730" s="2468"/>
      <c r="S730" s="544"/>
      <c r="T730" s="545"/>
      <c r="U730" s="546"/>
      <c r="V730" s="547"/>
      <c r="W730" s="299" t="s">
        <v>193</v>
      </c>
      <c r="X730" s="277"/>
      <c r="Y730" s="277"/>
      <c r="Z730" s="187"/>
      <c r="AA730" s="6301"/>
      <c r="AB730" s="139"/>
      <c r="AC730" s="139"/>
      <c r="AD730" s="139"/>
      <c r="AE730" s="139"/>
      <c r="AF730" s="139"/>
      <c r="AG730" s="139"/>
      <c r="AH730" s="139"/>
      <c r="AI730" s="139"/>
      <c r="AJ730" s="139"/>
      <c r="AK730" s="139"/>
      <c r="AL730" s="139"/>
      <c r="AM730" s="139"/>
      <c r="AN730" s="139"/>
      <c r="AO730" s="139"/>
      <c r="AP730" s="139"/>
      <c r="AQ730" s="139"/>
      <c r="AR730" s="139"/>
      <c r="AS730" s="139"/>
      <c r="AT730" s="139"/>
      <c r="AU730" s="139"/>
      <c r="AV730" s="139"/>
      <c r="AW730" s="139"/>
      <c r="AX730" s="139"/>
      <c r="AY730" s="139"/>
      <c r="AZ730" s="139"/>
      <c r="BA730" s="139"/>
      <c r="BB730" s="139"/>
      <c r="BC730" s="139"/>
      <c r="BD730" s="139"/>
      <c r="BE730" s="139"/>
      <c r="BF730" s="139"/>
      <c r="BG730" s="139"/>
      <c r="BH730" s="139"/>
    </row>
    <row r="731" spans="2:60" s="11" customFormat="1" ht="20.100000000000001" customHeight="1">
      <c r="B731" s="1360"/>
      <c r="C731" s="5598"/>
      <c r="D731" s="9598" t="s">
        <v>143</v>
      </c>
      <c r="E731" s="9600"/>
      <c r="F731" s="492" t="s">
        <v>344</v>
      </c>
      <c r="G731" s="666"/>
      <c r="H731" s="684"/>
      <c r="I731" s="9582" t="s">
        <v>144</v>
      </c>
      <c r="J731" s="9583"/>
      <c r="K731" s="492" t="s">
        <v>344</v>
      </c>
      <c r="L731" s="5594"/>
      <c r="M731" s="5658"/>
      <c r="N731" s="5601"/>
      <c r="O731" s="5667"/>
      <c r="P731" s="5602"/>
      <c r="Q731" s="5758"/>
      <c r="R731" s="2468"/>
      <c r="S731" s="544"/>
      <c r="T731" s="545"/>
      <c r="U731" s="546"/>
      <c r="V731" s="547"/>
      <c r="W731" s="299" t="s">
        <v>193</v>
      </c>
      <c r="X731" s="277"/>
      <c r="Y731" s="277"/>
      <c r="Z731" s="187"/>
      <c r="AA731" s="6301"/>
      <c r="AB731" s="139"/>
      <c r="AC731" s="139"/>
      <c r="AD731" s="139"/>
      <c r="AE731" s="139"/>
      <c r="AF731" s="139"/>
      <c r="AG731" s="139"/>
      <c r="AH731" s="139"/>
      <c r="AI731" s="139"/>
      <c r="AJ731" s="139"/>
      <c r="AK731" s="139"/>
      <c r="AL731" s="139"/>
      <c r="AM731" s="139"/>
      <c r="AN731" s="139"/>
      <c r="AO731" s="139"/>
      <c r="AP731" s="139"/>
      <c r="AQ731" s="139"/>
      <c r="AR731" s="139"/>
      <c r="AS731" s="139"/>
      <c r="AT731" s="139"/>
      <c r="AU731" s="139"/>
      <c r="AV731" s="139"/>
      <c r="AW731" s="139"/>
      <c r="AX731" s="139"/>
      <c r="AY731" s="139"/>
      <c r="AZ731" s="139"/>
      <c r="BA731" s="139"/>
      <c r="BB731" s="139"/>
      <c r="BC731" s="139"/>
      <c r="BD731" s="139"/>
      <c r="BE731" s="139"/>
      <c r="BF731" s="139"/>
      <c r="BG731" s="139"/>
      <c r="BH731" s="139"/>
    </row>
    <row r="732" spans="2:60" s="11" customFormat="1" ht="20.100000000000001" customHeight="1">
      <c r="B732" s="1360"/>
      <c r="C732" s="5598"/>
      <c r="D732" s="9598" t="s">
        <v>631</v>
      </c>
      <c r="E732" s="9600"/>
      <c r="F732" s="492" t="s">
        <v>344</v>
      </c>
      <c r="G732" s="666"/>
      <c r="H732" s="684"/>
      <c r="I732" s="9582" t="s">
        <v>147</v>
      </c>
      <c r="J732" s="9583"/>
      <c r="K732" s="492" t="s">
        <v>344</v>
      </c>
      <c r="L732" s="5967" t="s">
        <v>168</v>
      </c>
      <c r="M732" s="5656" t="s">
        <v>641</v>
      </c>
      <c r="N732" s="5593" t="s">
        <v>168</v>
      </c>
      <c r="O732" s="5948" t="s">
        <v>641</v>
      </c>
      <c r="P732" s="5948" t="s">
        <v>168</v>
      </c>
      <c r="Q732" s="5948" t="s">
        <v>641</v>
      </c>
      <c r="R732" s="2468"/>
      <c r="S732" s="544"/>
      <c r="T732" s="545"/>
      <c r="U732" s="546"/>
      <c r="V732" s="547"/>
      <c r="W732" s="299" t="s">
        <v>193</v>
      </c>
      <c r="X732" s="277"/>
      <c r="Y732" s="277"/>
      <c r="Z732" s="187"/>
      <c r="AA732" s="6301"/>
      <c r="AB732" s="139"/>
      <c r="AC732" s="139"/>
      <c r="AD732" s="139"/>
      <c r="AE732" s="139"/>
      <c r="AF732" s="139"/>
      <c r="AG732" s="139"/>
      <c r="AH732" s="139"/>
      <c r="AI732" s="139"/>
      <c r="AJ732" s="139"/>
      <c r="AK732" s="139"/>
      <c r="AL732" s="139"/>
      <c r="AM732" s="139"/>
      <c r="AN732" s="139"/>
      <c r="AO732" s="139"/>
      <c r="AP732" s="139"/>
      <c r="AQ732" s="139"/>
      <c r="AR732" s="139"/>
      <c r="AS732" s="139"/>
      <c r="AT732" s="139"/>
      <c r="AU732" s="139"/>
      <c r="AV732" s="139"/>
      <c r="AW732" s="139"/>
      <c r="AX732" s="139"/>
      <c r="AY732" s="139"/>
      <c r="AZ732" s="139"/>
      <c r="BA732" s="139"/>
      <c r="BB732" s="139"/>
      <c r="BC732" s="139"/>
      <c r="BD732" s="139"/>
      <c r="BE732" s="139"/>
      <c r="BF732" s="139"/>
      <c r="BG732" s="139"/>
      <c r="BH732" s="139"/>
    </row>
    <row r="733" spans="2:60" s="11" customFormat="1" ht="20.100000000000001" customHeight="1">
      <c r="B733" s="1360"/>
      <c r="C733" s="5598"/>
      <c r="D733" s="9598" t="s">
        <v>633</v>
      </c>
      <c r="E733" s="9600"/>
      <c r="F733" s="492" t="s">
        <v>344</v>
      </c>
      <c r="G733" s="666"/>
      <c r="H733" s="684"/>
      <c r="I733" s="9582" t="s">
        <v>150</v>
      </c>
      <c r="J733" s="9583"/>
      <c r="K733" s="492" t="s">
        <v>344</v>
      </c>
      <c r="L733" s="5594"/>
      <c r="M733" s="5658"/>
      <c r="N733" s="5601"/>
      <c r="O733" s="5667"/>
      <c r="P733" s="5602"/>
      <c r="Q733" s="5758"/>
      <c r="R733" s="2468"/>
      <c r="S733" s="544"/>
      <c r="T733" s="545"/>
      <c r="U733" s="546"/>
      <c r="V733" s="547"/>
      <c r="W733" s="299" t="s">
        <v>193</v>
      </c>
      <c r="X733" s="277"/>
      <c r="Y733" s="277"/>
      <c r="Z733" s="187"/>
      <c r="AA733" s="6301"/>
      <c r="AB733" s="139"/>
      <c r="AC733" s="139"/>
      <c r="AD733" s="139"/>
      <c r="AE733" s="139"/>
      <c r="AF733" s="139"/>
      <c r="AG733" s="139"/>
      <c r="AH733" s="139"/>
      <c r="AI733" s="139"/>
      <c r="AJ733" s="139"/>
      <c r="AK733" s="139"/>
      <c r="AL733" s="139"/>
      <c r="AM733" s="139"/>
      <c r="AN733" s="139"/>
      <c r="AO733" s="139"/>
      <c r="AP733" s="139"/>
      <c r="AQ733" s="139"/>
      <c r="AR733" s="139"/>
      <c r="AS733" s="139"/>
      <c r="AT733" s="139"/>
      <c r="AU733" s="139"/>
      <c r="AV733" s="139"/>
      <c r="AW733" s="139"/>
      <c r="AX733" s="139"/>
      <c r="AY733" s="139"/>
      <c r="AZ733" s="139"/>
      <c r="BA733" s="139"/>
      <c r="BB733" s="139"/>
      <c r="BC733" s="139"/>
      <c r="BD733" s="139"/>
      <c r="BE733" s="139"/>
      <c r="BF733" s="139"/>
      <c r="BG733" s="139"/>
      <c r="BH733" s="139"/>
    </row>
    <row r="734" spans="2:60" s="11" customFormat="1" ht="20.100000000000001" customHeight="1">
      <c r="B734" s="1360"/>
      <c r="C734" s="5598"/>
      <c r="D734" s="9584" t="s">
        <v>711</v>
      </c>
      <c r="E734" s="9585"/>
      <c r="F734" s="492" t="s">
        <v>344</v>
      </c>
      <c r="G734" s="358"/>
      <c r="H734" s="643"/>
      <c r="I734" s="9584" t="s">
        <v>534</v>
      </c>
      <c r="J734" s="9585"/>
      <c r="K734" s="492" t="s">
        <v>344</v>
      </c>
      <c r="L734" s="5653" t="str">
        <f>IF(COUNTBLANK(L735:L740)&gt;0,"미취합법인有",SUM(L735:L740))</f>
        <v>미취합법인有</v>
      </c>
      <c r="M734" s="5657"/>
      <c r="N734" s="5654" t="str">
        <f>IF(COUNTBLANK(N735:N740)&gt;0,"미취합법인有",SUM(N735:N740))</f>
        <v>미취합법인有</v>
      </c>
      <c r="O734" s="5945"/>
      <c r="P734" s="5781" t="str">
        <f>IF(COUNTBLANK(P735:P740)&gt;0,"미취합법인有",SUM(P735:P740))</f>
        <v>미취합법인有</v>
      </c>
      <c r="Q734" s="785"/>
      <c r="R734" s="2468"/>
      <c r="S734" s="544"/>
      <c r="T734" s="545" t="s">
        <v>189</v>
      </c>
      <c r="U734" s="547"/>
      <c r="V734" s="547"/>
      <c r="W734" s="299" t="s">
        <v>193</v>
      </c>
      <c r="X734" s="277" t="s">
        <v>524</v>
      </c>
      <c r="Y734" s="265"/>
      <c r="Z734" s="187"/>
      <c r="AA734" s="6305"/>
      <c r="AB734" s="139"/>
      <c r="AC734" s="139"/>
      <c r="AD734" s="139"/>
      <c r="AE734" s="139"/>
      <c r="AF734" s="139"/>
      <c r="AG734" s="139"/>
      <c r="AH734" s="139"/>
      <c r="AI734" s="139"/>
      <c r="AJ734" s="139"/>
      <c r="AK734" s="139"/>
      <c r="AL734" s="139"/>
      <c r="AM734" s="139"/>
      <c r="AN734" s="139"/>
      <c r="AO734" s="139"/>
      <c r="AP734" s="139"/>
      <c r="AQ734" s="139"/>
      <c r="AR734" s="139"/>
      <c r="AS734" s="139"/>
      <c r="AT734" s="139"/>
      <c r="AU734" s="139"/>
      <c r="AV734" s="139"/>
      <c r="AW734" s="139"/>
      <c r="AX734" s="139"/>
      <c r="AY734" s="139"/>
      <c r="AZ734" s="139"/>
      <c r="BA734" s="139"/>
      <c r="BB734" s="139"/>
      <c r="BC734" s="139"/>
      <c r="BD734" s="139"/>
      <c r="BE734" s="139"/>
      <c r="BF734" s="139"/>
      <c r="BG734" s="139"/>
      <c r="BH734" s="139"/>
    </row>
    <row r="735" spans="2:60" s="11" customFormat="1" ht="20.100000000000001" customHeight="1">
      <c r="B735" s="1360"/>
      <c r="C735" s="5598"/>
      <c r="D735" s="9598" t="s">
        <v>134</v>
      </c>
      <c r="E735" s="9600"/>
      <c r="F735" s="492" t="s">
        <v>344</v>
      </c>
      <c r="G735" s="666"/>
      <c r="H735" s="684"/>
      <c r="I735" s="9579" t="s">
        <v>135</v>
      </c>
      <c r="J735" s="9581"/>
      <c r="K735" s="492" t="s">
        <v>344</v>
      </c>
      <c r="L735" s="5592"/>
      <c r="M735" s="5656" t="s">
        <v>369</v>
      </c>
      <c r="N735" s="5593"/>
      <c r="O735" s="5656" t="s">
        <v>369</v>
      </c>
      <c r="P735" s="5593"/>
      <c r="Q735" s="5656" t="s">
        <v>369</v>
      </c>
      <c r="R735" s="2468"/>
      <c r="S735" s="544"/>
      <c r="T735" s="545"/>
      <c r="U735" s="546"/>
      <c r="V735" s="547"/>
      <c r="W735" s="299" t="s">
        <v>193</v>
      </c>
      <c r="X735" s="277"/>
      <c r="Y735" s="277"/>
      <c r="Z735" s="187"/>
      <c r="AA735" s="6301"/>
      <c r="AB735" s="139"/>
      <c r="AC735" s="139"/>
      <c r="AD735" s="139"/>
      <c r="AE735" s="139"/>
      <c r="AF735" s="139"/>
      <c r="AG735" s="139"/>
      <c r="AH735" s="139"/>
      <c r="AI735" s="139"/>
      <c r="AJ735" s="139"/>
      <c r="AK735" s="139"/>
      <c r="AL735" s="139"/>
      <c r="AM735" s="139"/>
      <c r="AN735" s="139"/>
      <c r="AO735" s="139"/>
      <c r="AP735" s="139"/>
      <c r="AQ735" s="139"/>
      <c r="AR735" s="139"/>
      <c r="AS735" s="139"/>
      <c r="AT735" s="139"/>
      <c r="AU735" s="139"/>
      <c r="AV735" s="139"/>
      <c r="AW735" s="139"/>
      <c r="AX735" s="139"/>
      <c r="AY735" s="139"/>
      <c r="AZ735" s="139"/>
      <c r="BA735" s="139"/>
      <c r="BB735" s="139"/>
      <c r="BC735" s="139"/>
      <c r="BD735" s="139"/>
      <c r="BE735" s="139"/>
      <c r="BF735" s="139"/>
      <c r="BG735" s="139"/>
      <c r="BH735" s="139"/>
    </row>
    <row r="736" spans="2:60" s="11" customFormat="1" ht="20.100000000000001" customHeight="1">
      <c r="B736" s="1360"/>
      <c r="C736" s="5598"/>
      <c r="D736" s="9598" t="s">
        <v>137</v>
      </c>
      <c r="E736" s="9600"/>
      <c r="F736" s="492" t="s">
        <v>344</v>
      </c>
      <c r="G736" s="666"/>
      <c r="H736" s="684"/>
      <c r="I736" s="9579" t="s">
        <v>138</v>
      </c>
      <c r="J736" s="9581"/>
      <c r="K736" s="492" t="s">
        <v>344</v>
      </c>
      <c r="L736" s="5594"/>
      <c r="M736" s="5658"/>
      <c r="N736" s="5601"/>
      <c r="O736" s="5667"/>
      <c r="P736" s="5602"/>
      <c r="Q736" s="5758"/>
      <c r="R736" s="2468"/>
      <c r="S736" s="544"/>
      <c r="T736" s="545"/>
      <c r="U736" s="546"/>
      <c r="V736" s="547"/>
      <c r="W736" s="299" t="s">
        <v>193</v>
      </c>
      <c r="X736" s="277"/>
      <c r="Y736" s="277"/>
      <c r="Z736" s="187"/>
      <c r="AA736" s="6301"/>
      <c r="AB736" s="139"/>
      <c r="AC736" s="139"/>
      <c r="AD736" s="139"/>
      <c r="AE736" s="139"/>
      <c r="AF736" s="139"/>
      <c r="AG736" s="139"/>
      <c r="AH736" s="139"/>
      <c r="AI736" s="139"/>
      <c r="AJ736" s="139"/>
      <c r="AK736" s="139"/>
      <c r="AL736" s="139"/>
      <c r="AM736" s="139"/>
      <c r="AN736" s="139"/>
      <c r="AO736" s="139"/>
      <c r="AP736" s="139"/>
      <c r="AQ736" s="139"/>
      <c r="AR736" s="139"/>
      <c r="AS736" s="139"/>
      <c r="AT736" s="139"/>
      <c r="AU736" s="139"/>
      <c r="AV736" s="139"/>
      <c r="AW736" s="139"/>
      <c r="AX736" s="139"/>
      <c r="AY736" s="139"/>
      <c r="AZ736" s="139"/>
      <c r="BA736" s="139"/>
      <c r="BB736" s="139"/>
      <c r="BC736" s="139"/>
      <c r="BD736" s="139"/>
      <c r="BE736" s="139"/>
      <c r="BF736" s="139"/>
      <c r="BG736" s="139"/>
      <c r="BH736" s="139"/>
    </row>
    <row r="737" spans="2:60" s="11" customFormat="1" ht="20.100000000000001" customHeight="1">
      <c r="B737" s="1360"/>
      <c r="C737" s="5598"/>
      <c r="D737" s="9598" t="s">
        <v>140</v>
      </c>
      <c r="E737" s="9600"/>
      <c r="F737" s="492" t="s">
        <v>344</v>
      </c>
      <c r="G737" s="666"/>
      <c r="H737" s="684"/>
      <c r="I737" s="9582" t="s">
        <v>141</v>
      </c>
      <c r="J737" s="9583"/>
      <c r="K737" s="492" t="s">
        <v>344</v>
      </c>
      <c r="L737" s="5594"/>
      <c r="M737" s="5658"/>
      <c r="N737" s="5601"/>
      <c r="O737" s="5667"/>
      <c r="P737" s="5602"/>
      <c r="Q737" s="5758"/>
      <c r="R737" s="2468"/>
      <c r="S737" s="544"/>
      <c r="T737" s="545"/>
      <c r="U737" s="546"/>
      <c r="V737" s="547"/>
      <c r="W737" s="299" t="s">
        <v>193</v>
      </c>
      <c r="X737" s="277"/>
      <c r="Y737" s="277"/>
      <c r="Z737" s="187"/>
      <c r="AA737" s="6301"/>
      <c r="AB737" s="139"/>
      <c r="AC737" s="139"/>
      <c r="AD737" s="139"/>
      <c r="AE737" s="139"/>
      <c r="AF737" s="139"/>
      <c r="AG737" s="139"/>
      <c r="AH737" s="139"/>
      <c r="AI737" s="139"/>
      <c r="AJ737" s="139"/>
      <c r="AK737" s="139"/>
      <c r="AL737" s="139"/>
      <c r="AM737" s="139"/>
      <c r="AN737" s="139"/>
      <c r="AO737" s="139"/>
      <c r="AP737" s="139"/>
      <c r="AQ737" s="139"/>
      <c r="AR737" s="139"/>
      <c r="AS737" s="139"/>
      <c r="AT737" s="139"/>
      <c r="AU737" s="139"/>
      <c r="AV737" s="139"/>
      <c r="AW737" s="139"/>
      <c r="AX737" s="139"/>
      <c r="AY737" s="139"/>
      <c r="AZ737" s="139"/>
      <c r="BA737" s="139"/>
      <c r="BB737" s="139"/>
      <c r="BC737" s="139"/>
      <c r="BD737" s="139"/>
      <c r="BE737" s="139"/>
      <c r="BF737" s="139"/>
      <c r="BG737" s="139"/>
      <c r="BH737" s="139"/>
    </row>
    <row r="738" spans="2:60" s="11" customFormat="1" ht="20.100000000000001" customHeight="1">
      <c r="B738" s="1360"/>
      <c r="C738" s="5598"/>
      <c r="D738" s="9598" t="s">
        <v>143</v>
      </c>
      <c r="E738" s="9600"/>
      <c r="F738" s="492" t="s">
        <v>344</v>
      </c>
      <c r="G738" s="666"/>
      <c r="H738" s="684"/>
      <c r="I738" s="9582" t="s">
        <v>144</v>
      </c>
      <c r="J738" s="9583"/>
      <c r="K738" s="492" t="s">
        <v>344</v>
      </c>
      <c r="L738" s="5594"/>
      <c r="M738" s="5658"/>
      <c r="N738" s="5601"/>
      <c r="O738" s="5667"/>
      <c r="P738" s="5602"/>
      <c r="Q738" s="5758"/>
      <c r="R738" s="2468"/>
      <c r="S738" s="544"/>
      <c r="T738" s="545"/>
      <c r="U738" s="546"/>
      <c r="V738" s="547"/>
      <c r="W738" s="299" t="s">
        <v>193</v>
      </c>
      <c r="X738" s="277"/>
      <c r="Y738" s="277"/>
      <c r="Z738" s="187"/>
      <c r="AA738" s="6301"/>
      <c r="AB738" s="139"/>
      <c r="AC738" s="139"/>
      <c r="AD738" s="139"/>
      <c r="AE738" s="139"/>
      <c r="AF738" s="139"/>
      <c r="AG738" s="139"/>
      <c r="AH738" s="139"/>
      <c r="AI738" s="139"/>
      <c r="AJ738" s="139"/>
      <c r="AK738" s="139"/>
      <c r="AL738" s="139"/>
      <c r="AM738" s="139"/>
      <c r="AN738" s="139"/>
      <c r="AO738" s="139"/>
      <c r="AP738" s="139"/>
      <c r="AQ738" s="139"/>
      <c r="AR738" s="139"/>
      <c r="AS738" s="139"/>
      <c r="AT738" s="139"/>
      <c r="AU738" s="139"/>
      <c r="AV738" s="139"/>
      <c r="AW738" s="139"/>
      <c r="AX738" s="139"/>
      <c r="AY738" s="139"/>
      <c r="AZ738" s="139"/>
      <c r="BA738" s="139"/>
      <c r="BB738" s="139"/>
      <c r="BC738" s="139"/>
      <c r="BD738" s="139"/>
      <c r="BE738" s="139"/>
      <c r="BF738" s="139"/>
      <c r="BG738" s="139"/>
      <c r="BH738" s="139"/>
    </row>
    <row r="739" spans="2:60" s="11" customFormat="1" ht="20.100000000000001" customHeight="1">
      <c r="B739" s="1360"/>
      <c r="C739" s="5598"/>
      <c r="D739" s="9598" t="s">
        <v>631</v>
      </c>
      <c r="E739" s="9600"/>
      <c r="F739" s="492" t="s">
        <v>344</v>
      </c>
      <c r="G739" s="666"/>
      <c r="H739" s="684"/>
      <c r="I739" s="9582" t="s">
        <v>147</v>
      </c>
      <c r="J739" s="9583"/>
      <c r="K739" s="492" t="s">
        <v>344</v>
      </c>
      <c r="L739" s="5967" t="s">
        <v>168</v>
      </c>
      <c r="M739" s="5656" t="s">
        <v>641</v>
      </c>
      <c r="N739" s="5593" t="s">
        <v>168</v>
      </c>
      <c r="O739" s="5948" t="s">
        <v>641</v>
      </c>
      <c r="P739" s="5948" t="s">
        <v>168</v>
      </c>
      <c r="Q739" s="5948" t="s">
        <v>641</v>
      </c>
      <c r="R739" s="2468"/>
      <c r="S739" s="544"/>
      <c r="T739" s="545"/>
      <c r="U739" s="546"/>
      <c r="V739" s="547"/>
      <c r="W739" s="299" t="s">
        <v>193</v>
      </c>
      <c r="X739" s="277"/>
      <c r="Y739" s="277"/>
      <c r="Z739" s="187"/>
      <c r="AA739" s="6301"/>
      <c r="AB739" s="139"/>
      <c r="AC739" s="139"/>
      <c r="AD739" s="139"/>
      <c r="AE739" s="139"/>
      <c r="AF739" s="139"/>
      <c r="AG739" s="139"/>
      <c r="AH739" s="139"/>
      <c r="AI739" s="139"/>
      <c r="AJ739" s="139"/>
      <c r="AK739" s="139"/>
      <c r="AL739" s="139"/>
      <c r="AM739" s="139"/>
      <c r="AN739" s="139"/>
      <c r="AO739" s="139"/>
      <c r="AP739" s="139"/>
      <c r="AQ739" s="139"/>
      <c r="AR739" s="139"/>
      <c r="AS739" s="139"/>
      <c r="AT739" s="139"/>
      <c r="AU739" s="139"/>
      <c r="AV739" s="139"/>
      <c r="AW739" s="139"/>
      <c r="AX739" s="139"/>
      <c r="AY739" s="139"/>
      <c r="AZ739" s="139"/>
      <c r="BA739" s="139"/>
      <c r="BB739" s="139"/>
      <c r="BC739" s="139"/>
      <c r="BD739" s="139"/>
      <c r="BE739" s="139"/>
      <c r="BF739" s="139"/>
      <c r="BG739" s="139"/>
      <c r="BH739" s="139"/>
    </row>
    <row r="740" spans="2:60" s="11" customFormat="1" ht="20.100000000000001" customHeight="1">
      <c r="B740" s="1360"/>
      <c r="C740" s="5598"/>
      <c r="D740" s="9598" t="s">
        <v>633</v>
      </c>
      <c r="E740" s="9600"/>
      <c r="F740" s="492" t="s">
        <v>344</v>
      </c>
      <c r="G740" s="666"/>
      <c r="H740" s="684"/>
      <c r="I740" s="9582" t="s">
        <v>150</v>
      </c>
      <c r="J740" s="9583"/>
      <c r="K740" s="492" t="s">
        <v>344</v>
      </c>
      <c r="L740" s="5594"/>
      <c r="M740" s="5658"/>
      <c r="N740" s="5601"/>
      <c r="O740" s="5667"/>
      <c r="P740" s="5602"/>
      <c r="Q740" s="5758"/>
      <c r="R740" s="2468"/>
      <c r="S740" s="544"/>
      <c r="T740" s="545"/>
      <c r="U740" s="546"/>
      <c r="V740" s="547"/>
      <c r="W740" s="299" t="s">
        <v>193</v>
      </c>
      <c r="X740" s="277"/>
      <c r="Y740" s="277"/>
      <c r="Z740" s="187"/>
      <c r="AA740" s="6301"/>
      <c r="AB740" s="139"/>
      <c r="AC740" s="139"/>
      <c r="AD740" s="139"/>
      <c r="AE740" s="139"/>
      <c r="AF740" s="139"/>
      <c r="AG740" s="139"/>
      <c r="AH740" s="139"/>
      <c r="AI740" s="139"/>
      <c r="AJ740" s="139"/>
      <c r="AK740" s="139"/>
      <c r="AL740" s="139"/>
      <c r="AM740" s="139"/>
      <c r="AN740" s="139"/>
      <c r="AO740" s="139"/>
      <c r="AP740" s="139"/>
      <c r="AQ740" s="139"/>
      <c r="AR740" s="139"/>
      <c r="AS740" s="139"/>
      <c r="AT740" s="139"/>
      <c r="AU740" s="139"/>
      <c r="AV740" s="139"/>
      <c r="AW740" s="139"/>
      <c r="AX740" s="139"/>
      <c r="AY740" s="139"/>
      <c r="AZ740" s="139"/>
      <c r="BA740" s="139"/>
      <c r="BB740" s="139"/>
      <c r="BC740" s="139"/>
      <c r="BD740" s="139"/>
      <c r="BE740" s="139"/>
      <c r="BF740" s="139"/>
      <c r="BG740" s="139"/>
      <c r="BH740" s="139"/>
    </row>
    <row r="741" spans="2:60" s="11" customFormat="1" ht="20.100000000000001" customHeight="1">
      <c r="B741" s="1360"/>
      <c r="C741" s="5598"/>
      <c r="D741" s="9584" t="s">
        <v>712</v>
      </c>
      <c r="E741" s="9585"/>
      <c r="F741" s="492" t="s">
        <v>344</v>
      </c>
      <c r="G741" s="358"/>
      <c r="H741" s="643"/>
      <c r="I741" s="9584" t="s">
        <v>536</v>
      </c>
      <c r="J741" s="9585"/>
      <c r="K741" s="492" t="s">
        <v>344</v>
      </c>
      <c r="L741" s="5653" t="str">
        <f>IF(COUNTBLANK(L742:L747)&gt;0,"미취합법인有",SUM(L742:L747))</f>
        <v>미취합법인有</v>
      </c>
      <c r="M741" s="5657"/>
      <c r="N741" s="5654" t="str">
        <f>IF(COUNTBLANK(N742:N747)&gt;0,"미취합법인有",SUM(N742:N747))</f>
        <v>미취합법인有</v>
      </c>
      <c r="O741" s="5945"/>
      <c r="P741" s="5781" t="str">
        <f>IF(COUNTBLANK(P742:P747)&gt;0,"미취합법인有",SUM(P742:P747))</f>
        <v>미취합법인有</v>
      </c>
      <c r="Q741" s="785"/>
      <c r="R741" s="2468"/>
      <c r="S741" s="544"/>
      <c r="T741" s="545" t="s">
        <v>189</v>
      </c>
      <c r="U741" s="547"/>
      <c r="V741" s="547"/>
      <c r="W741" s="299" t="s">
        <v>193</v>
      </c>
      <c r="X741" s="277" t="s">
        <v>524</v>
      </c>
      <c r="Y741" s="265"/>
      <c r="Z741" s="187"/>
      <c r="AA741" s="6305"/>
      <c r="AB741" s="139"/>
      <c r="AC741" s="139"/>
      <c r="AD741" s="139"/>
      <c r="AE741" s="139"/>
      <c r="AF741" s="139"/>
      <c r="AG741" s="139"/>
      <c r="AH741" s="139"/>
      <c r="AI741" s="139"/>
      <c r="AJ741" s="139"/>
      <c r="AK741" s="139"/>
      <c r="AL741" s="139"/>
      <c r="AM741" s="139"/>
      <c r="AN741" s="139"/>
      <c r="AO741" s="139"/>
      <c r="AP741" s="139"/>
      <c r="AQ741" s="139"/>
      <c r="AR741" s="139"/>
      <c r="AS741" s="139"/>
      <c r="AT741" s="139"/>
      <c r="AU741" s="139"/>
      <c r="AV741" s="139"/>
      <c r="AW741" s="139"/>
      <c r="AX741" s="139"/>
      <c r="AY741" s="139"/>
      <c r="AZ741" s="139"/>
      <c r="BA741" s="139"/>
      <c r="BB741" s="139"/>
      <c r="BC741" s="139"/>
      <c r="BD741" s="139"/>
      <c r="BE741" s="139"/>
      <c r="BF741" s="139"/>
      <c r="BG741" s="139"/>
      <c r="BH741" s="139"/>
    </row>
    <row r="742" spans="2:60" s="11" customFormat="1" ht="20.100000000000001" customHeight="1">
      <c r="B742" s="1360"/>
      <c r="C742" s="5598"/>
      <c r="D742" s="9598" t="s">
        <v>134</v>
      </c>
      <c r="E742" s="9600"/>
      <c r="F742" s="492" t="s">
        <v>344</v>
      </c>
      <c r="G742" s="666"/>
      <c r="H742" s="684"/>
      <c r="I742" s="9579" t="s">
        <v>135</v>
      </c>
      <c r="J742" s="9581"/>
      <c r="K742" s="492" t="s">
        <v>344</v>
      </c>
      <c r="L742" s="5592"/>
      <c r="M742" s="5656" t="s">
        <v>369</v>
      </c>
      <c r="N742" s="5593"/>
      <c r="O742" s="5656" t="s">
        <v>369</v>
      </c>
      <c r="P742" s="5593"/>
      <c r="Q742" s="5656" t="s">
        <v>369</v>
      </c>
      <c r="R742" s="2468"/>
      <c r="S742" s="544"/>
      <c r="T742" s="545"/>
      <c r="U742" s="546"/>
      <c r="V742" s="547"/>
      <c r="W742" s="299" t="s">
        <v>193</v>
      </c>
      <c r="X742" s="277"/>
      <c r="Y742" s="277"/>
      <c r="Z742" s="187"/>
      <c r="AA742" s="6301"/>
      <c r="AB742" s="139"/>
      <c r="AC742" s="139"/>
      <c r="AD742" s="139"/>
      <c r="AE742" s="139"/>
      <c r="AF742" s="139"/>
      <c r="AG742" s="139"/>
      <c r="AH742" s="139"/>
      <c r="AI742" s="139"/>
      <c r="AJ742" s="139"/>
      <c r="AK742" s="139"/>
      <c r="AL742" s="139"/>
      <c r="AM742" s="139"/>
      <c r="AN742" s="139"/>
      <c r="AO742" s="139"/>
      <c r="AP742" s="139"/>
      <c r="AQ742" s="139"/>
      <c r="AR742" s="139"/>
      <c r="AS742" s="139"/>
      <c r="AT742" s="139"/>
      <c r="AU742" s="139"/>
      <c r="AV742" s="139"/>
      <c r="AW742" s="139"/>
      <c r="AX742" s="139"/>
      <c r="AY742" s="139"/>
      <c r="AZ742" s="139"/>
      <c r="BA742" s="139"/>
      <c r="BB742" s="139"/>
      <c r="BC742" s="139"/>
      <c r="BD742" s="139"/>
      <c r="BE742" s="139"/>
      <c r="BF742" s="139"/>
      <c r="BG742" s="139"/>
      <c r="BH742" s="139"/>
    </row>
    <row r="743" spans="2:60" s="11" customFormat="1" ht="20.100000000000001" customHeight="1">
      <c r="B743" s="1360"/>
      <c r="C743" s="5598"/>
      <c r="D743" s="9598" t="s">
        <v>137</v>
      </c>
      <c r="E743" s="9600"/>
      <c r="F743" s="492" t="s">
        <v>344</v>
      </c>
      <c r="G743" s="666"/>
      <c r="H743" s="684"/>
      <c r="I743" s="9579" t="s">
        <v>138</v>
      </c>
      <c r="J743" s="9581"/>
      <c r="K743" s="492" t="s">
        <v>344</v>
      </c>
      <c r="L743" s="5594"/>
      <c r="M743" s="5658"/>
      <c r="N743" s="5601"/>
      <c r="O743" s="5667"/>
      <c r="P743" s="5602"/>
      <c r="Q743" s="5758"/>
      <c r="R743" s="2468"/>
      <c r="S743" s="544"/>
      <c r="T743" s="545"/>
      <c r="U743" s="546"/>
      <c r="V743" s="547"/>
      <c r="W743" s="299" t="s">
        <v>193</v>
      </c>
      <c r="X743" s="277"/>
      <c r="Y743" s="277"/>
      <c r="Z743" s="187"/>
      <c r="AA743" s="6301"/>
      <c r="AB743" s="139"/>
      <c r="AC743" s="139"/>
      <c r="AD743" s="139"/>
      <c r="AE743" s="139"/>
      <c r="AF743" s="139"/>
      <c r="AG743" s="139"/>
      <c r="AH743" s="139"/>
      <c r="AI743" s="139"/>
      <c r="AJ743" s="139"/>
      <c r="AK743" s="139"/>
      <c r="AL743" s="139"/>
      <c r="AM743" s="139"/>
      <c r="AN743" s="139"/>
      <c r="AO743" s="139"/>
      <c r="AP743" s="139"/>
      <c r="AQ743" s="139"/>
      <c r="AR743" s="139"/>
      <c r="AS743" s="139"/>
      <c r="AT743" s="139"/>
      <c r="AU743" s="139"/>
      <c r="AV743" s="139"/>
      <c r="AW743" s="139"/>
      <c r="AX743" s="139"/>
      <c r="AY743" s="139"/>
      <c r="AZ743" s="139"/>
      <c r="BA743" s="139"/>
      <c r="BB743" s="139"/>
      <c r="BC743" s="139"/>
      <c r="BD743" s="139"/>
      <c r="BE743" s="139"/>
      <c r="BF743" s="139"/>
      <c r="BG743" s="139"/>
      <c r="BH743" s="139"/>
    </row>
    <row r="744" spans="2:60" s="11" customFormat="1" ht="20.100000000000001" customHeight="1">
      <c r="B744" s="1360"/>
      <c r="C744" s="5598"/>
      <c r="D744" s="9598" t="s">
        <v>140</v>
      </c>
      <c r="E744" s="9600"/>
      <c r="F744" s="492" t="s">
        <v>344</v>
      </c>
      <c r="G744" s="666"/>
      <c r="H744" s="684"/>
      <c r="I744" s="9582" t="s">
        <v>141</v>
      </c>
      <c r="J744" s="9583"/>
      <c r="K744" s="492" t="s">
        <v>344</v>
      </c>
      <c r="L744" s="5594"/>
      <c r="M744" s="5658"/>
      <c r="N744" s="5601"/>
      <c r="O744" s="5667"/>
      <c r="P744" s="5602"/>
      <c r="Q744" s="5758"/>
      <c r="R744" s="2468"/>
      <c r="S744" s="544"/>
      <c r="T744" s="545"/>
      <c r="U744" s="546"/>
      <c r="V744" s="547"/>
      <c r="W744" s="299" t="s">
        <v>193</v>
      </c>
      <c r="X744" s="277"/>
      <c r="Y744" s="277"/>
      <c r="Z744" s="187"/>
      <c r="AA744" s="6301"/>
      <c r="AB744" s="139"/>
      <c r="AC744" s="139"/>
      <c r="AD744" s="139"/>
      <c r="AE744" s="139"/>
      <c r="AF744" s="139"/>
      <c r="AG744" s="139"/>
      <c r="AH744" s="139"/>
      <c r="AI744" s="139"/>
      <c r="AJ744" s="139"/>
      <c r="AK744" s="139"/>
      <c r="AL744" s="139"/>
      <c r="AM744" s="139"/>
      <c r="AN744" s="139"/>
      <c r="AO744" s="139"/>
      <c r="AP744" s="139"/>
      <c r="AQ744" s="139"/>
      <c r="AR744" s="139"/>
      <c r="AS744" s="139"/>
      <c r="AT744" s="139"/>
      <c r="AU744" s="139"/>
      <c r="AV744" s="139"/>
      <c r="AW744" s="139"/>
      <c r="AX744" s="139"/>
      <c r="AY744" s="139"/>
      <c r="AZ744" s="139"/>
      <c r="BA744" s="139"/>
      <c r="BB744" s="139"/>
      <c r="BC744" s="139"/>
      <c r="BD744" s="139"/>
      <c r="BE744" s="139"/>
      <c r="BF744" s="139"/>
      <c r="BG744" s="139"/>
      <c r="BH744" s="139"/>
    </row>
    <row r="745" spans="2:60" s="11" customFormat="1" ht="20.100000000000001" customHeight="1">
      <c r="B745" s="1360"/>
      <c r="C745" s="5598"/>
      <c r="D745" s="9598" t="s">
        <v>143</v>
      </c>
      <c r="E745" s="9600"/>
      <c r="F745" s="492" t="s">
        <v>344</v>
      </c>
      <c r="G745" s="666"/>
      <c r="H745" s="684"/>
      <c r="I745" s="9582" t="s">
        <v>144</v>
      </c>
      <c r="J745" s="9583"/>
      <c r="K745" s="492" t="s">
        <v>344</v>
      </c>
      <c r="L745" s="5594"/>
      <c r="M745" s="5658"/>
      <c r="N745" s="5601"/>
      <c r="O745" s="5667"/>
      <c r="P745" s="5602"/>
      <c r="Q745" s="5758"/>
      <c r="R745" s="2468"/>
      <c r="S745" s="544"/>
      <c r="T745" s="545"/>
      <c r="U745" s="546"/>
      <c r="V745" s="547"/>
      <c r="W745" s="299" t="s">
        <v>193</v>
      </c>
      <c r="X745" s="277"/>
      <c r="Y745" s="277"/>
      <c r="Z745" s="187"/>
      <c r="AA745" s="6301"/>
      <c r="AB745" s="139"/>
      <c r="AC745" s="139"/>
      <c r="AD745" s="139"/>
      <c r="AE745" s="139"/>
      <c r="AF745" s="139"/>
      <c r="AG745" s="139"/>
      <c r="AH745" s="139"/>
      <c r="AI745" s="139"/>
      <c r="AJ745" s="139"/>
      <c r="AK745" s="139"/>
      <c r="AL745" s="139"/>
      <c r="AM745" s="139"/>
      <c r="AN745" s="139"/>
      <c r="AO745" s="139"/>
      <c r="AP745" s="139"/>
      <c r="AQ745" s="139"/>
      <c r="AR745" s="139"/>
      <c r="AS745" s="139"/>
      <c r="AT745" s="139"/>
      <c r="AU745" s="139"/>
      <c r="AV745" s="139"/>
      <c r="AW745" s="139"/>
      <c r="AX745" s="139"/>
      <c r="AY745" s="139"/>
      <c r="AZ745" s="139"/>
      <c r="BA745" s="139"/>
      <c r="BB745" s="139"/>
      <c r="BC745" s="139"/>
      <c r="BD745" s="139"/>
      <c r="BE745" s="139"/>
      <c r="BF745" s="139"/>
      <c r="BG745" s="139"/>
      <c r="BH745" s="139"/>
    </row>
    <row r="746" spans="2:60" s="11" customFormat="1" ht="20.100000000000001" customHeight="1">
      <c r="B746" s="1360"/>
      <c r="C746" s="5598"/>
      <c r="D746" s="9598" t="s">
        <v>631</v>
      </c>
      <c r="E746" s="9600"/>
      <c r="F746" s="492" t="s">
        <v>344</v>
      </c>
      <c r="G746" s="666"/>
      <c r="H746" s="684"/>
      <c r="I746" s="9582" t="s">
        <v>147</v>
      </c>
      <c r="J746" s="9583"/>
      <c r="K746" s="492" t="s">
        <v>344</v>
      </c>
      <c r="L746" s="5967" t="s">
        <v>168</v>
      </c>
      <c r="M746" s="5656" t="s">
        <v>641</v>
      </c>
      <c r="N746" s="5593" t="s">
        <v>168</v>
      </c>
      <c r="O746" s="5948" t="s">
        <v>641</v>
      </c>
      <c r="P746" s="5948" t="s">
        <v>168</v>
      </c>
      <c r="Q746" s="5948" t="s">
        <v>641</v>
      </c>
      <c r="R746" s="2468"/>
      <c r="S746" s="544"/>
      <c r="T746" s="545"/>
      <c r="U746" s="546"/>
      <c r="V746" s="547"/>
      <c r="W746" s="299" t="s">
        <v>193</v>
      </c>
      <c r="X746" s="277"/>
      <c r="Y746" s="277"/>
      <c r="Z746" s="187"/>
      <c r="AA746" s="6301"/>
      <c r="AB746" s="139"/>
      <c r="AC746" s="139"/>
      <c r="AD746" s="139"/>
      <c r="AE746" s="139"/>
      <c r="AF746" s="139"/>
      <c r="AG746" s="139"/>
      <c r="AH746" s="139"/>
      <c r="AI746" s="139"/>
      <c r="AJ746" s="139"/>
      <c r="AK746" s="139"/>
      <c r="AL746" s="139"/>
      <c r="AM746" s="139"/>
      <c r="AN746" s="139"/>
      <c r="AO746" s="139"/>
      <c r="AP746" s="139"/>
      <c r="AQ746" s="139"/>
      <c r="AR746" s="139"/>
      <c r="AS746" s="139"/>
      <c r="AT746" s="139"/>
      <c r="AU746" s="139"/>
      <c r="AV746" s="139"/>
      <c r="AW746" s="139"/>
      <c r="AX746" s="139"/>
      <c r="AY746" s="139"/>
      <c r="AZ746" s="139"/>
      <c r="BA746" s="139"/>
      <c r="BB746" s="139"/>
      <c r="BC746" s="139"/>
      <c r="BD746" s="139"/>
      <c r="BE746" s="139"/>
      <c r="BF746" s="139"/>
      <c r="BG746" s="139"/>
      <c r="BH746" s="139"/>
    </row>
    <row r="747" spans="2:60" s="11" customFormat="1" ht="20.100000000000001" customHeight="1">
      <c r="B747" s="1360"/>
      <c r="C747" s="5598"/>
      <c r="D747" s="9598" t="s">
        <v>633</v>
      </c>
      <c r="E747" s="9600"/>
      <c r="F747" s="492" t="s">
        <v>344</v>
      </c>
      <c r="G747" s="666"/>
      <c r="H747" s="684"/>
      <c r="I747" s="9582" t="s">
        <v>150</v>
      </c>
      <c r="J747" s="9583"/>
      <c r="K747" s="492" t="s">
        <v>344</v>
      </c>
      <c r="L747" s="5594"/>
      <c r="M747" s="5658"/>
      <c r="N747" s="5601"/>
      <c r="O747" s="5667"/>
      <c r="P747" s="5602"/>
      <c r="Q747" s="5758"/>
      <c r="R747" s="2468"/>
      <c r="S747" s="544"/>
      <c r="T747" s="545"/>
      <c r="U747" s="546"/>
      <c r="V747" s="547"/>
      <c r="W747" s="299" t="s">
        <v>193</v>
      </c>
      <c r="X747" s="277"/>
      <c r="Y747" s="277"/>
      <c r="Z747" s="187"/>
      <c r="AA747" s="6301"/>
      <c r="AB747" s="139"/>
      <c r="AC747" s="139"/>
      <c r="AD747" s="139"/>
      <c r="AE747" s="139"/>
      <c r="AF747" s="139"/>
      <c r="AG747" s="139"/>
      <c r="AH747" s="139"/>
      <c r="AI747" s="139"/>
      <c r="AJ747" s="139"/>
      <c r="AK747" s="139"/>
      <c r="AL747" s="139"/>
      <c r="AM747" s="139"/>
      <c r="AN747" s="139"/>
      <c r="AO747" s="139"/>
      <c r="AP747" s="139"/>
      <c r="AQ747" s="139"/>
      <c r="AR747" s="139"/>
      <c r="AS747" s="139"/>
      <c r="AT747" s="139"/>
      <c r="AU747" s="139"/>
      <c r="AV747" s="139"/>
      <c r="AW747" s="139"/>
      <c r="AX747" s="139"/>
      <c r="AY747" s="139"/>
      <c r="AZ747" s="139"/>
      <c r="BA747" s="139"/>
      <c r="BB747" s="139"/>
      <c r="BC747" s="139"/>
      <c r="BD747" s="139"/>
      <c r="BE747" s="139"/>
      <c r="BF747" s="139"/>
      <c r="BG747" s="139"/>
      <c r="BH747" s="139"/>
    </row>
    <row r="748" spans="2:60" s="11" customFormat="1" ht="20.100000000000001" customHeight="1">
      <c r="B748" s="1360"/>
      <c r="C748" s="5598"/>
      <c r="D748" s="9584" t="s">
        <v>713</v>
      </c>
      <c r="E748" s="9585"/>
      <c r="F748" s="492" t="s">
        <v>344</v>
      </c>
      <c r="G748" s="358"/>
      <c r="H748" s="643"/>
      <c r="I748" s="9584" t="s">
        <v>538</v>
      </c>
      <c r="J748" s="9585"/>
      <c r="K748" s="492" t="s">
        <v>344</v>
      </c>
      <c r="L748" s="5653" t="str">
        <f>IF(COUNTBLANK(L749:L754)&gt;0,"미취합법인有",SUM(L749:L754))</f>
        <v>미취합법인有</v>
      </c>
      <c r="M748" s="5657"/>
      <c r="N748" s="5654" t="str">
        <f>IF(COUNTBLANK(N749:N754)&gt;0,"미취합법인有",SUM(N749:N754))</f>
        <v>미취합법인有</v>
      </c>
      <c r="O748" s="5945"/>
      <c r="P748" s="5781" t="str">
        <f>IF(COUNTBLANK(P749:P754)&gt;0,"미취합법인有",SUM(P749:P754))</f>
        <v>미취합법인有</v>
      </c>
      <c r="Q748" s="785"/>
      <c r="R748" s="2468"/>
      <c r="S748" s="544"/>
      <c r="T748" s="545" t="s">
        <v>189</v>
      </c>
      <c r="U748" s="547"/>
      <c r="V748" s="547"/>
      <c r="W748" s="299" t="s">
        <v>193</v>
      </c>
      <c r="X748" s="277" t="s">
        <v>524</v>
      </c>
      <c r="Y748" s="265"/>
      <c r="Z748" s="187"/>
      <c r="AA748" s="6305"/>
      <c r="AB748" s="139"/>
      <c r="AC748" s="139"/>
      <c r="AD748" s="139"/>
      <c r="AE748" s="139"/>
      <c r="AF748" s="139"/>
      <c r="AG748" s="139"/>
      <c r="AH748" s="139"/>
      <c r="AI748" s="139"/>
      <c r="AJ748" s="139"/>
      <c r="AK748" s="139"/>
      <c r="AL748" s="139"/>
      <c r="AM748" s="139"/>
      <c r="AN748" s="139"/>
      <c r="AO748" s="139"/>
      <c r="AP748" s="139"/>
      <c r="AQ748" s="139"/>
      <c r="AR748" s="139"/>
      <c r="AS748" s="139"/>
      <c r="AT748" s="139"/>
      <c r="AU748" s="139"/>
      <c r="AV748" s="139"/>
      <c r="AW748" s="139"/>
      <c r="AX748" s="139"/>
      <c r="AY748" s="139"/>
      <c r="AZ748" s="139"/>
      <c r="BA748" s="139"/>
      <c r="BB748" s="139"/>
      <c r="BC748" s="139"/>
      <c r="BD748" s="139"/>
      <c r="BE748" s="139"/>
      <c r="BF748" s="139"/>
      <c r="BG748" s="139"/>
      <c r="BH748" s="139"/>
    </row>
    <row r="749" spans="2:60" s="11" customFormat="1" ht="20.100000000000001" customHeight="1">
      <c r="B749" s="1360"/>
      <c r="C749" s="5598"/>
      <c r="D749" s="9598" t="s">
        <v>134</v>
      </c>
      <c r="E749" s="9600"/>
      <c r="F749" s="492" t="s">
        <v>344</v>
      </c>
      <c r="G749" s="666"/>
      <c r="H749" s="684"/>
      <c r="I749" s="9579" t="s">
        <v>135</v>
      </c>
      <c r="J749" s="9581"/>
      <c r="K749" s="492" t="s">
        <v>344</v>
      </c>
      <c r="L749" s="5592"/>
      <c r="M749" s="5656" t="s">
        <v>369</v>
      </c>
      <c r="N749" s="5593"/>
      <c r="O749" s="5656" t="s">
        <v>369</v>
      </c>
      <c r="P749" s="5593"/>
      <c r="Q749" s="5656" t="s">
        <v>369</v>
      </c>
      <c r="R749" s="2468"/>
      <c r="S749" s="544"/>
      <c r="T749" s="545"/>
      <c r="U749" s="546"/>
      <c r="V749" s="547"/>
      <c r="W749" s="299" t="s">
        <v>193</v>
      </c>
      <c r="X749" s="277"/>
      <c r="Y749" s="277"/>
      <c r="Z749" s="187"/>
      <c r="AA749" s="6301"/>
      <c r="AB749" s="139"/>
      <c r="AC749" s="139"/>
      <c r="AD749" s="139"/>
      <c r="AE749" s="139"/>
      <c r="AF749" s="139"/>
      <c r="AG749" s="139"/>
      <c r="AH749" s="139"/>
      <c r="AI749" s="139"/>
      <c r="AJ749" s="139"/>
      <c r="AK749" s="139"/>
      <c r="AL749" s="139"/>
      <c r="AM749" s="139"/>
      <c r="AN749" s="139"/>
      <c r="AO749" s="139"/>
      <c r="AP749" s="139"/>
      <c r="AQ749" s="139"/>
      <c r="AR749" s="139"/>
      <c r="AS749" s="139"/>
      <c r="AT749" s="139"/>
      <c r="AU749" s="139"/>
      <c r="AV749" s="139"/>
      <c r="AW749" s="139"/>
      <c r="AX749" s="139"/>
      <c r="AY749" s="139"/>
      <c r="AZ749" s="139"/>
      <c r="BA749" s="139"/>
      <c r="BB749" s="139"/>
      <c r="BC749" s="139"/>
      <c r="BD749" s="139"/>
      <c r="BE749" s="139"/>
      <c r="BF749" s="139"/>
      <c r="BG749" s="139"/>
      <c r="BH749" s="139"/>
    </row>
    <row r="750" spans="2:60" s="11" customFormat="1" ht="20.100000000000001" customHeight="1">
      <c r="B750" s="1360"/>
      <c r="C750" s="5598"/>
      <c r="D750" s="9598" t="s">
        <v>137</v>
      </c>
      <c r="E750" s="9600"/>
      <c r="F750" s="492" t="s">
        <v>344</v>
      </c>
      <c r="G750" s="666"/>
      <c r="H750" s="684"/>
      <c r="I750" s="9579" t="s">
        <v>138</v>
      </c>
      <c r="J750" s="9581"/>
      <c r="K750" s="492" t="s">
        <v>344</v>
      </c>
      <c r="L750" s="5594"/>
      <c r="M750" s="5658"/>
      <c r="N750" s="5601"/>
      <c r="O750" s="5667"/>
      <c r="P750" s="5602"/>
      <c r="Q750" s="5758"/>
      <c r="R750" s="2468"/>
      <c r="S750" s="544"/>
      <c r="T750" s="545"/>
      <c r="U750" s="546"/>
      <c r="V750" s="547"/>
      <c r="W750" s="299" t="s">
        <v>193</v>
      </c>
      <c r="X750" s="277"/>
      <c r="Y750" s="277"/>
      <c r="Z750" s="187"/>
      <c r="AA750" s="6301"/>
      <c r="AB750" s="139"/>
      <c r="AC750" s="139"/>
      <c r="AD750" s="139"/>
      <c r="AE750" s="139"/>
      <c r="AF750" s="139"/>
      <c r="AG750" s="139"/>
      <c r="AH750" s="139"/>
      <c r="AI750" s="139"/>
      <c r="AJ750" s="139"/>
      <c r="AK750" s="139"/>
      <c r="AL750" s="139"/>
      <c r="AM750" s="139"/>
      <c r="AN750" s="139"/>
      <c r="AO750" s="139"/>
      <c r="AP750" s="139"/>
      <c r="AQ750" s="139"/>
      <c r="AR750" s="139"/>
      <c r="AS750" s="139"/>
      <c r="AT750" s="139"/>
      <c r="AU750" s="139"/>
      <c r="AV750" s="139"/>
      <c r="AW750" s="139"/>
      <c r="AX750" s="139"/>
      <c r="AY750" s="139"/>
      <c r="AZ750" s="139"/>
      <c r="BA750" s="139"/>
      <c r="BB750" s="139"/>
      <c r="BC750" s="139"/>
      <c r="BD750" s="139"/>
      <c r="BE750" s="139"/>
      <c r="BF750" s="139"/>
      <c r="BG750" s="139"/>
      <c r="BH750" s="139"/>
    </row>
    <row r="751" spans="2:60" s="11" customFormat="1" ht="20.100000000000001" customHeight="1">
      <c r="B751" s="1360"/>
      <c r="C751" s="5598"/>
      <c r="D751" s="9598" t="s">
        <v>140</v>
      </c>
      <c r="E751" s="9600"/>
      <c r="F751" s="492" t="s">
        <v>344</v>
      </c>
      <c r="G751" s="666"/>
      <c r="H751" s="684"/>
      <c r="I751" s="9582" t="s">
        <v>141</v>
      </c>
      <c r="J751" s="9583"/>
      <c r="K751" s="492" t="s">
        <v>344</v>
      </c>
      <c r="L751" s="5594"/>
      <c r="M751" s="5658"/>
      <c r="N751" s="5601"/>
      <c r="O751" s="5667"/>
      <c r="P751" s="5602"/>
      <c r="Q751" s="5758"/>
      <c r="R751" s="2468"/>
      <c r="S751" s="544"/>
      <c r="T751" s="545"/>
      <c r="U751" s="546"/>
      <c r="V751" s="547"/>
      <c r="W751" s="299" t="s">
        <v>193</v>
      </c>
      <c r="X751" s="277"/>
      <c r="Y751" s="277"/>
      <c r="Z751" s="187"/>
      <c r="AA751" s="6301"/>
      <c r="AB751" s="139"/>
      <c r="AC751" s="139"/>
      <c r="AD751" s="139"/>
      <c r="AE751" s="139"/>
      <c r="AF751" s="139"/>
      <c r="AG751" s="139"/>
      <c r="AH751" s="139"/>
      <c r="AI751" s="139"/>
      <c r="AJ751" s="139"/>
      <c r="AK751" s="139"/>
      <c r="AL751" s="139"/>
      <c r="AM751" s="139"/>
      <c r="AN751" s="139"/>
      <c r="AO751" s="139"/>
      <c r="AP751" s="139"/>
      <c r="AQ751" s="139"/>
      <c r="AR751" s="139"/>
      <c r="AS751" s="139"/>
      <c r="AT751" s="139"/>
      <c r="AU751" s="139"/>
      <c r="AV751" s="139"/>
      <c r="AW751" s="139"/>
      <c r="AX751" s="139"/>
      <c r="AY751" s="139"/>
      <c r="AZ751" s="139"/>
      <c r="BA751" s="139"/>
      <c r="BB751" s="139"/>
      <c r="BC751" s="139"/>
      <c r="BD751" s="139"/>
      <c r="BE751" s="139"/>
      <c r="BF751" s="139"/>
      <c r="BG751" s="139"/>
      <c r="BH751" s="139"/>
    </row>
    <row r="752" spans="2:60" s="11" customFormat="1" ht="20.100000000000001" customHeight="1">
      <c r="B752" s="1360"/>
      <c r="C752" s="5598"/>
      <c r="D752" s="9598" t="s">
        <v>143</v>
      </c>
      <c r="E752" s="9600"/>
      <c r="F752" s="492" t="s">
        <v>344</v>
      </c>
      <c r="G752" s="666"/>
      <c r="H752" s="684"/>
      <c r="I752" s="9582" t="s">
        <v>144</v>
      </c>
      <c r="J752" s="9583"/>
      <c r="K752" s="492" t="s">
        <v>344</v>
      </c>
      <c r="L752" s="5594"/>
      <c r="M752" s="5658"/>
      <c r="N752" s="5601"/>
      <c r="O752" s="5667"/>
      <c r="P752" s="5602"/>
      <c r="Q752" s="5758"/>
      <c r="R752" s="2468"/>
      <c r="S752" s="544"/>
      <c r="T752" s="545"/>
      <c r="U752" s="546"/>
      <c r="V752" s="547"/>
      <c r="W752" s="299" t="s">
        <v>193</v>
      </c>
      <c r="X752" s="277"/>
      <c r="Y752" s="277"/>
      <c r="Z752" s="187"/>
      <c r="AA752" s="6301"/>
      <c r="AB752" s="139"/>
      <c r="AC752" s="139"/>
      <c r="AD752" s="139"/>
      <c r="AE752" s="139"/>
      <c r="AF752" s="139"/>
      <c r="AG752" s="139"/>
      <c r="AH752" s="139"/>
      <c r="AI752" s="139"/>
      <c r="AJ752" s="139"/>
      <c r="AK752" s="139"/>
      <c r="AL752" s="139"/>
      <c r="AM752" s="139"/>
      <c r="AN752" s="139"/>
      <c r="AO752" s="139"/>
      <c r="AP752" s="139"/>
      <c r="AQ752" s="139"/>
      <c r="AR752" s="139"/>
      <c r="AS752" s="139"/>
      <c r="AT752" s="139"/>
      <c r="AU752" s="139"/>
      <c r="AV752" s="139"/>
      <c r="AW752" s="139"/>
      <c r="AX752" s="139"/>
      <c r="AY752" s="139"/>
      <c r="AZ752" s="139"/>
      <c r="BA752" s="139"/>
      <c r="BB752" s="139"/>
      <c r="BC752" s="139"/>
      <c r="BD752" s="139"/>
      <c r="BE752" s="139"/>
      <c r="BF752" s="139"/>
      <c r="BG752" s="139"/>
      <c r="BH752" s="139"/>
    </row>
    <row r="753" spans="2:60" s="11" customFormat="1" ht="20.100000000000001" customHeight="1">
      <c r="B753" s="1360"/>
      <c r="C753" s="5598"/>
      <c r="D753" s="9598" t="s">
        <v>631</v>
      </c>
      <c r="E753" s="9600"/>
      <c r="F753" s="492" t="s">
        <v>344</v>
      </c>
      <c r="G753" s="666"/>
      <c r="H753" s="684"/>
      <c r="I753" s="9582" t="s">
        <v>147</v>
      </c>
      <c r="J753" s="9583"/>
      <c r="K753" s="492" t="s">
        <v>344</v>
      </c>
      <c r="L753" s="5967" t="s">
        <v>168</v>
      </c>
      <c r="M753" s="5656" t="s">
        <v>641</v>
      </c>
      <c r="N753" s="5593" t="s">
        <v>168</v>
      </c>
      <c r="O753" s="5948" t="s">
        <v>641</v>
      </c>
      <c r="P753" s="5948" t="s">
        <v>168</v>
      </c>
      <c r="Q753" s="5948" t="s">
        <v>641</v>
      </c>
      <c r="R753" s="2468"/>
      <c r="S753" s="544"/>
      <c r="T753" s="545"/>
      <c r="U753" s="546"/>
      <c r="V753" s="547"/>
      <c r="W753" s="299" t="s">
        <v>193</v>
      </c>
      <c r="X753" s="277"/>
      <c r="Y753" s="277"/>
      <c r="Z753" s="187"/>
      <c r="AA753" s="6301"/>
      <c r="AB753" s="139"/>
      <c r="AC753" s="139"/>
      <c r="AD753" s="139"/>
      <c r="AE753" s="139"/>
      <c r="AF753" s="139"/>
      <c r="AG753" s="139"/>
      <c r="AH753" s="139"/>
      <c r="AI753" s="139"/>
      <c r="AJ753" s="139"/>
      <c r="AK753" s="139"/>
      <c r="AL753" s="139"/>
      <c r="AM753" s="139"/>
      <c r="AN753" s="139"/>
      <c r="AO753" s="139"/>
      <c r="AP753" s="139"/>
      <c r="AQ753" s="139"/>
      <c r="AR753" s="139"/>
      <c r="AS753" s="139"/>
      <c r="AT753" s="139"/>
      <c r="AU753" s="139"/>
      <c r="AV753" s="139"/>
      <c r="AW753" s="139"/>
      <c r="AX753" s="139"/>
      <c r="AY753" s="139"/>
      <c r="AZ753" s="139"/>
      <c r="BA753" s="139"/>
      <c r="BB753" s="139"/>
      <c r="BC753" s="139"/>
      <c r="BD753" s="139"/>
      <c r="BE753" s="139"/>
      <c r="BF753" s="139"/>
      <c r="BG753" s="139"/>
      <c r="BH753" s="139"/>
    </row>
    <row r="754" spans="2:60" s="11" customFormat="1" ht="20.100000000000001" customHeight="1">
      <c r="B754" s="1360"/>
      <c r="C754" s="5598"/>
      <c r="D754" s="9598" t="s">
        <v>633</v>
      </c>
      <c r="E754" s="9600"/>
      <c r="F754" s="492" t="s">
        <v>344</v>
      </c>
      <c r="G754" s="666"/>
      <c r="H754" s="684"/>
      <c r="I754" s="9582" t="s">
        <v>150</v>
      </c>
      <c r="J754" s="9583"/>
      <c r="K754" s="492" t="s">
        <v>344</v>
      </c>
      <c r="L754" s="5594"/>
      <c r="M754" s="5658"/>
      <c r="N754" s="5601"/>
      <c r="O754" s="5667"/>
      <c r="P754" s="5602"/>
      <c r="Q754" s="5758"/>
      <c r="R754" s="2468"/>
      <c r="S754" s="544"/>
      <c r="T754" s="545"/>
      <c r="U754" s="546"/>
      <c r="V754" s="547"/>
      <c r="W754" s="299" t="s">
        <v>193</v>
      </c>
      <c r="X754" s="277"/>
      <c r="Y754" s="277"/>
      <c r="Z754" s="187"/>
      <c r="AA754" s="6301"/>
      <c r="AB754" s="139"/>
      <c r="AC754" s="139"/>
      <c r="AD754" s="139"/>
      <c r="AE754" s="139"/>
      <c r="AF754" s="139"/>
      <c r="AG754" s="139"/>
      <c r="AH754" s="139"/>
      <c r="AI754" s="139"/>
      <c r="AJ754" s="139"/>
      <c r="AK754" s="139"/>
      <c r="AL754" s="139"/>
      <c r="AM754" s="139"/>
      <c r="AN754" s="139"/>
      <c r="AO754" s="139"/>
      <c r="AP754" s="139"/>
      <c r="AQ754" s="139"/>
      <c r="AR754" s="139"/>
      <c r="AS754" s="139"/>
      <c r="AT754" s="139"/>
      <c r="AU754" s="139"/>
      <c r="AV754" s="139"/>
      <c r="AW754" s="139"/>
      <c r="AX754" s="139"/>
      <c r="AY754" s="139"/>
      <c r="AZ754" s="139"/>
      <c r="BA754" s="139"/>
      <c r="BB754" s="139"/>
      <c r="BC754" s="139"/>
      <c r="BD754" s="139"/>
      <c r="BE754" s="139"/>
      <c r="BF754" s="139"/>
      <c r="BG754" s="139"/>
      <c r="BH754" s="139"/>
    </row>
    <row r="755" spans="2:60" s="11" customFormat="1" ht="20.100000000000001" customHeight="1">
      <c r="B755" s="1360"/>
      <c r="C755" s="5598"/>
      <c r="D755" s="9584" t="s">
        <v>714</v>
      </c>
      <c r="E755" s="9585"/>
      <c r="F755" s="492" t="s">
        <v>344</v>
      </c>
      <c r="G755" s="358"/>
      <c r="H755" s="643"/>
      <c r="I755" s="9584" t="s">
        <v>540</v>
      </c>
      <c r="J755" s="9585"/>
      <c r="K755" s="492" t="s">
        <v>344</v>
      </c>
      <c r="L755" s="5653" t="str">
        <f>IF(COUNTBLANK(L756:L761)&gt;0,"미취합법인有",SUM(L756:L761))</f>
        <v>미취합법인有</v>
      </c>
      <c r="M755" s="5657"/>
      <c r="N755" s="5654" t="str">
        <f>IF(COUNTBLANK(N756:N761)&gt;0,"미취합법인有",SUM(N756:N761))</f>
        <v>미취합법인有</v>
      </c>
      <c r="O755" s="5945"/>
      <c r="P755" s="5781" t="str">
        <f>IF(COUNTBLANK(P756:P761)&gt;0,"미취합법인有",SUM(P756:P761))</f>
        <v>미취합법인有</v>
      </c>
      <c r="Q755" s="785"/>
      <c r="R755" s="2468"/>
      <c r="S755" s="544"/>
      <c r="T755" s="545" t="s">
        <v>189</v>
      </c>
      <c r="U755" s="547"/>
      <c r="V755" s="547"/>
      <c r="W755" s="299" t="s">
        <v>193</v>
      </c>
      <c r="X755" s="277" t="s">
        <v>524</v>
      </c>
      <c r="Y755" s="265"/>
      <c r="Z755" s="187"/>
      <c r="AA755" s="6305"/>
      <c r="AB755" s="139"/>
      <c r="AC755" s="139"/>
      <c r="AD755" s="139"/>
      <c r="AE755" s="139"/>
      <c r="AF755" s="139"/>
      <c r="AG755" s="139"/>
      <c r="AH755" s="139"/>
      <c r="AI755" s="139"/>
      <c r="AJ755" s="139"/>
      <c r="AK755" s="139"/>
      <c r="AL755" s="139"/>
      <c r="AM755" s="139"/>
      <c r="AN755" s="139"/>
      <c r="AO755" s="139"/>
      <c r="AP755" s="139"/>
      <c r="AQ755" s="139"/>
      <c r="AR755" s="139"/>
      <c r="AS755" s="139"/>
      <c r="AT755" s="139"/>
      <c r="AU755" s="139"/>
      <c r="AV755" s="139"/>
      <c r="AW755" s="139"/>
      <c r="AX755" s="139"/>
      <c r="AY755" s="139"/>
      <c r="AZ755" s="139"/>
      <c r="BA755" s="139"/>
      <c r="BB755" s="139"/>
      <c r="BC755" s="139"/>
      <c r="BD755" s="139"/>
      <c r="BE755" s="139"/>
      <c r="BF755" s="139"/>
      <c r="BG755" s="139"/>
      <c r="BH755" s="139"/>
    </row>
    <row r="756" spans="2:60" s="11" customFormat="1" ht="20.100000000000001" customHeight="1">
      <c r="B756" s="1360"/>
      <c r="C756" s="5598"/>
      <c r="D756" s="9598" t="s">
        <v>134</v>
      </c>
      <c r="E756" s="9600"/>
      <c r="F756" s="492" t="s">
        <v>344</v>
      </c>
      <c r="G756" s="666"/>
      <c r="H756" s="684"/>
      <c r="I756" s="9579" t="s">
        <v>135</v>
      </c>
      <c r="J756" s="9581"/>
      <c r="K756" s="492" t="s">
        <v>344</v>
      </c>
      <c r="L756" s="5592"/>
      <c r="M756" s="5656" t="s">
        <v>369</v>
      </c>
      <c r="N756" s="5593"/>
      <c r="O756" s="5656" t="s">
        <v>369</v>
      </c>
      <c r="P756" s="5593"/>
      <c r="Q756" s="5656" t="s">
        <v>369</v>
      </c>
      <c r="R756" s="2468"/>
      <c r="S756" s="544"/>
      <c r="T756" s="545"/>
      <c r="U756" s="546"/>
      <c r="V756" s="547"/>
      <c r="W756" s="299" t="s">
        <v>193</v>
      </c>
      <c r="X756" s="277"/>
      <c r="Y756" s="277"/>
      <c r="Z756" s="187"/>
      <c r="AA756" s="6301"/>
      <c r="AB756" s="139"/>
      <c r="AC756" s="139"/>
      <c r="AD756" s="139"/>
      <c r="AE756" s="139"/>
      <c r="AF756" s="139"/>
      <c r="AG756" s="139"/>
      <c r="AH756" s="139"/>
      <c r="AI756" s="139"/>
      <c r="AJ756" s="139"/>
      <c r="AK756" s="139"/>
      <c r="AL756" s="139"/>
      <c r="AM756" s="139"/>
      <c r="AN756" s="139"/>
      <c r="AO756" s="139"/>
      <c r="AP756" s="139"/>
      <c r="AQ756" s="139"/>
      <c r="AR756" s="139"/>
      <c r="AS756" s="139"/>
      <c r="AT756" s="139"/>
      <c r="AU756" s="139"/>
      <c r="AV756" s="139"/>
      <c r="AW756" s="139"/>
      <c r="AX756" s="139"/>
      <c r="AY756" s="139"/>
      <c r="AZ756" s="139"/>
      <c r="BA756" s="139"/>
      <c r="BB756" s="139"/>
      <c r="BC756" s="139"/>
      <c r="BD756" s="139"/>
      <c r="BE756" s="139"/>
      <c r="BF756" s="139"/>
      <c r="BG756" s="139"/>
      <c r="BH756" s="139"/>
    </row>
    <row r="757" spans="2:60" s="11" customFormat="1" ht="20.100000000000001" customHeight="1">
      <c r="B757" s="1360"/>
      <c r="C757" s="5598"/>
      <c r="D757" s="9598" t="s">
        <v>137</v>
      </c>
      <c r="E757" s="9600"/>
      <c r="F757" s="492" t="s">
        <v>344</v>
      </c>
      <c r="G757" s="666"/>
      <c r="H757" s="684"/>
      <c r="I757" s="9579" t="s">
        <v>138</v>
      </c>
      <c r="J757" s="9581"/>
      <c r="K757" s="492" t="s">
        <v>344</v>
      </c>
      <c r="L757" s="5594"/>
      <c r="M757" s="5658"/>
      <c r="N757" s="5601"/>
      <c r="O757" s="5667"/>
      <c r="P757" s="5602"/>
      <c r="Q757" s="5758"/>
      <c r="R757" s="2468"/>
      <c r="S757" s="544"/>
      <c r="T757" s="545"/>
      <c r="U757" s="546"/>
      <c r="V757" s="547"/>
      <c r="W757" s="299" t="s">
        <v>193</v>
      </c>
      <c r="X757" s="277"/>
      <c r="Y757" s="277"/>
      <c r="Z757" s="187"/>
      <c r="AA757" s="6301"/>
      <c r="AB757" s="139"/>
      <c r="AC757" s="139"/>
      <c r="AD757" s="139"/>
      <c r="AE757" s="139"/>
      <c r="AF757" s="139"/>
      <c r="AG757" s="139"/>
      <c r="AH757" s="139"/>
      <c r="AI757" s="139"/>
      <c r="AJ757" s="139"/>
      <c r="AK757" s="139"/>
      <c r="AL757" s="139"/>
      <c r="AM757" s="139"/>
      <c r="AN757" s="139"/>
      <c r="AO757" s="139"/>
      <c r="AP757" s="139"/>
      <c r="AQ757" s="139"/>
      <c r="AR757" s="139"/>
      <c r="AS757" s="139"/>
      <c r="AT757" s="139"/>
      <c r="AU757" s="139"/>
      <c r="AV757" s="139"/>
      <c r="AW757" s="139"/>
      <c r="AX757" s="139"/>
      <c r="AY757" s="139"/>
      <c r="AZ757" s="139"/>
      <c r="BA757" s="139"/>
      <c r="BB757" s="139"/>
      <c r="BC757" s="139"/>
      <c r="BD757" s="139"/>
      <c r="BE757" s="139"/>
      <c r="BF757" s="139"/>
      <c r="BG757" s="139"/>
      <c r="BH757" s="139"/>
    </row>
    <row r="758" spans="2:60" s="11" customFormat="1" ht="20.100000000000001" customHeight="1">
      <c r="B758" s="1360"/>
      <c r="C758" s="5598"/>
      <c r="D758" s="9598" t="s">
        <v>140</v>
      </c>
      <c r="E758" s="9600"/>
      <c r="F758" s="492" t="s">
        <v>344</v>
      </c>
      <c r="G758" s="666"/>
      <c r="H758" s="684"/>
      <c r="I758" s="9582" t="s">
        <v>141</v>
      </c>
      <c r="J758" s="9583"/>
      <c r="K758" s="492" t="s">
        <v>344</v>
      </c>
      <c r="L758" s="5594"/>
      <c r="M758" s="5658"/>
      <c r="N758" s="5601"/>
      <c r="O758" s="5667"/>
      <c r="P758" s="5602"/>
      <c r="Q758" s="5758"/>
      <c r="R758" s="2468"/>
      <c r="S758" s="544"/>
      <c r="T758" s="545"/>
      <c r="U758" s="546"/>
      <c r="V758" s="547"/>
      <c r="W758" s="299" t="s">
        <v>193</v>
      </c>
      <c r="X758" s="277"/>
      <c r="Y758" s="277"/>
      <c r="Z758" s="187"/>
      <c r="AA758" s="6301"/>
      <c r="AB758" s="139"/>
      <c r="AC758" s="139"/>
      <c r="AD758" s="139"/>
      <c r="AE758" s="139"/>
      <c r="AF758" s="139"/>
      <c r="AG758" s="139"/>
      <c r="AH758" s="139"/>
      <c r="AI758" s="139"/>
      <c r="AJ758" s="139"/>
      <c r="AK758" s="139"/>
      <c r="AL758" s="139"/>
      <c r="AM758" s="139"/>
      <c r="AN758" s="139"/>
      <c r="AO758" s="139"/>
      <c r="AP758" s="139"/>
      <c r="AQ758" s="139"/>
      <c r="AR758" s="139"/>
      <c r="AS758" s="139"/>
      <c r="AT758" s="139"/>
      <c r="AU758" s="139"/>
      <c r="AV758" s="139"/>
      <c r="AW758" s="139"/>
      <c r="AX758" s="139"/>
      <c r="AY758" s="139"/>
      <c r="AZ758" s="139"/>
      <c r="BA758" s="139"/>
      <c r="BB758" s="139"/>
      <c r="BC758" s="139"/>
      <c r="BD758" s="139"/>
      <c r="BE758" s="139"/>
      <c r="BF758" s="139"/>
      <c r="BG758" s="139"/>
      <c r="BH758" s="139"/>
    </row>
    <row r="759" spans="2:60" s="11" customFormat="1" ht="20.100000000000001" customHeight="1">
      <c r="B759" s="1360"/>
      <c r="C759" s="5598"/>
      <c r="D759" s="9598" t="s">
        <v>143</v>
      </c>
      <c r="E759" s="9600"/>
      <c r="F759" s="492" t="s">
        <v>344</v>
      </c>
      <c r="G759" s="666"/>
      <c r="H759" s="684"/>
      <c r="I759" s="9582" t="s">
        <v>144</v>
      </c>
      <c r="J759" s="9583"/>
      <c r="K759" s="492" t="s">
        <v>344</v>
      </c>
      <c r="L759" s="5594"/>
      <c r="M759" s="5658"/>
      <c r="N759" s="5601"/>
      <c r="O759" s="5667"/>
      <c r="P759" s="5602"/>
      <c r="Q759" s="5758"/>
      <c r="R759" s="2468"/>
      <c r="S759" s="544"/>
      <c r="T759" s="545"/>
      <c r="U759" s="546"/>
      <c r="V759" s="547"/>
      <c r="W759" s="299" t="s">
        <v>193</v>
      </c>
      <c r="X759" s="277"/>
      <c r="Y759" s="277"/>
      <c r="Z759" s="187"/>
      <c r="AA759" s="6301"/>
      <c r="AB759" s="139"/>
      <c r="AC759" s="139"/>
      <c r="AD759" s="139"/>
      <c r="AE759" s="139"/>
      <c r="AF759" s="139"/>
      <c r="AG759" s="139"/>
      <c r="AH759" s="139"/>
      <c r="AI759" s="139"/>
      <c r="AJ759" s="139"/>
      <c r="AK759" s="139"/>
      <c r="AL759" s="139"/>
      <c r="AM759" s="139"/>
      <c r="AN759" s="139"/>
      <c r="AO759" s="139"/>
      <c r="AP759" s="139"/>
      <c r="AQ759" s="139"/>
      <c r="AR759" s="139"/>
      <c r="AS759" s="139"/>
      <c r="AT759" s="139"/>
      <c r="AU759" s="139"/>
      <c r="AV759" s="139"/>
      <c r="AW759" s="139"/>
      <c r="AX759" s="139"/>
      <c r="AY759" s="139"/>
      <c r="AZ759" s="139"/>
      <c r="BA759" s="139"/>
      <c r="BB759" s="139"/>
      <c r="BC759" s="139"/>
      <c r="BD759" s="139"/>
      <c r="BE759" s="139"/>
      <c r="BF759" s="139"/>
      <c r="BG759" s="139"/>
      <c r="BH759" s="139"/>
    </row>
    <row r="760" spans="2:60" s="11" customFormat="1" ht="20.100000000000001" customHeight="1">
      <c r="B760" s="1360"/>
      <c r="C760" s="5598"/>
      <c r="D760" s="9598" t="s">
        <v>631</v>
      </c>
      <c r="E760" s="9600"/>
      <c r="F760" s="492" t="s">
        <v>344</v>
      </c>
      <c r="G760" s="666"/>
      <c r="H760" s="684"/>
      <c r="I760" s="9582" t="s">
        <v>147</v>
      </c>
      <c r="J760" s="9583"/>
      <c r="K760" s="492" t="s">
        <v>344</v>
      </c>
      <c r="L760" s="5967" t="s">
        <v>168</v>
      </c>
      <c r="M760" s="5656" t="s">
        <v>641</v>
      </c>
      <c r="N760" s="5593" t="s">
        <v>168</v>
      </c>
      <c r="O760" s="5948" t="s">
        <v>641</v>
      </c>
      <c r="P760" s="5948" t="s">
        <v>168</v>
      </c>
      <c r="Q760" s="5948" t="s">
        <v>641</v>
      </c>
      <c r="R760" s="2468"/>
      <c r="S760" s="544"/>
      <c r="T760" s="545"/>
      <c r="U760" s="546"/>
      <c r="V760" s="547"/>
      <c r="W760" s="299" t="s">
        <v>193</v>
      </c>
      <c r="X760" s="277"/>
      <c r="Y760" s="277"/>
      <c r="Z760" s="187"/>
      <c r="AA760" s="6301"/>
      <c r="AB760" s="139"/>
      <c r="AC760" s="139"/>
      <c r="AD760" s="139"/>
      <c r="AE760" s="139"/>
      <c r="AF760" s="139"/>
      <c r="AG760" s="139"/>
      <c r="AH760" s="139"/>
      <c r="AI760" s="139"/>
      <c r="AJ760" s="139"/>
      <c r="AK760" s="139"/>
      <c r="AL760" s="139"/>
      <c r="AM760" s="139"/>
      <c r="AN760" s="139"/>
      <c r="AO760" s="139"/>
      <c r="AP760" s="139"/>
      <c r="AQ760" s="139"/>
      <c r="AR760" s="139"/>
      <c r="AS760" s="139"/>
      <c r="AT760" s="139"/>
      <c r="AU760" s="139"/>
      <c r="AV760" s="139"/>
      <c r="AW760" s="139"/>
      <c r="AX760" s="139"/>
      <c r="AY760" s="139"/>
      <c r="AZ760" s="139"/>
      <c r="BA760" s="139"/>
      <c r="BB760" s="139"/>
      <c r="BC760" s="139"/>
      <c r="BD760" s="139"/>
      <c r="BE760" s="139"/>
      <c r="BF760" s="139"/>
      <c r="BG760" s="139"/>
      <c r="BH760" s="139"/>
    </row>
    <row r="761" spans="2:60" s="11" customFormat="1" ht="20.100000000000001" customHeight="1">
      <c r="B761" s="1360"/>
      <c r="C761" s="5598"/>
      <c r="D761" s="9598" t="s">
        <v>633</v>
      </c>
      <c r="E761" s="9600"/>
      <c r="F761" s="492" t="s">
        <v>344</v>
      </c>
      <c r="G761" s="666"/>
      <c r="H761" s="684"/>
      <c r="I761" s="9582" t="s">
        <v>150</v>
      </c>
      <c r="J761" s="9583"/>
      <c r="K761" s="492" t="s">
        <v>344</v>
      </c>
      <c r="L761" s="5594"/>
      <c r="M761" s="5658"/>
      <c r="N761" s="5601"/>
      <c r="O761" s="5667"/>
      <c r="P761" s="5602"/>
      <c r="Q761" s="5758"/>
      <c r="R761" s="2468"/>
      <c r="S761" s="544"/>
      <c r="T761" s="545"/>
      <c r="U761" s="546"/>
      <c r="V761" s="547"/>
      <c r="W761" s="299" t="s">
        <v>193</v>
      </c>
      <c r="X761" s="277"/>
      <c r="Y761" s="277"/>
      <c r="Z761" s="187"/>
      <c r="AA761" s="6301"/>
      <c r="AB761" s="139"/>
      <c r="AC761" s="139"/>
      <c r="AD761" s="139"/>
      <c r="AE761" s="139"/>
      <c r="AF761" s="139"/>
      <c r="AG761" s="139"/>
      <c r="AH761" s="139"/>
      <c r="AI761" s="139"/>
      <c r="AJ761" s="139"/>
      <c r="AK761" s="139"/>
      <c r="AL761" s="139"/>
      <c r="AM761" s="139"/>
      <c r="AN761" s="139"/>
      <c r="AO761" s="139"/>
      <c r="AP761" s="139"/>
      <c r="AQ761" s="139"/>
      <c r="AR761" s="139"/>
      <c r="AS761" s="139"/>
      <c r="AT761" s="139"/>
      <c r="AU761" s="139"/>
      <c r="AV761" s="139"/>
      <c r="AW761" s="139"/>
      <c r="AX761" s="139"/>
      <c r="AY761" s="139"/>
      <c r="AZ761" s="139"/>
      <c r="BA761" s="139"/>
      <c r="BB761" s="139"/>
      <c r="BC761" s="139"/>
      <c r="BD761" s="139"/>
      <c r="BE761" s="139"/>
      <c r="BF761" s="139"/>
      <c r="BG761" s="139"/>
      <c r="BH761" s="139"/>
    </row>
    <row r="762" spans="2:60" s="11" customFormat="1" ht="20.100000000000001" customHeight="1">
      <c r="B762" s="1360"/>
      <c r="C762" s="5598"/>
      <c r="D762" s="9584" t="s">
        <v>715</v>
      </c>
      <c r="E762" s="9585"/>
      <c r="F762" s="492" t="s">
        <v>344</v>
      </c>
      <c r="G762" s="358"/>
      <c r="H762" s="643"/>
      <c r="I762" s="9584" t="s">
        <v>542</v>
      </c>
      <c r="J762" s="9585"/>
      <c r="K762" s="492" t="s">
        <v>344</v>
      </c>
      <c r="L762" s="5653" t="str">
        <f>IF(COUNTBLANK(L763:L768)&gt;0,"미취합법인有",SUM(L763:L768))</f>
        <v>미취합법인有</v>
      </c>
      <c r="M762" s="5657"/>
      <c r="N762" s="5654" t="str">
        <f>IF(COUNTBLANK(N763:N768)&gt;0,"미취합법인有",SUM(N763:N768))</f>
        <v>미취합법인有</v>
      </c>
      <c r="O762" s="5945"/>
      <c r="P762" s="5781" t="str">
        <f>IF(COUNTBLANK(P763:P768)&gt;0,"미취합법인有",SUM(P763:P768))</f>
        <v>미취합법인有</v>
      </c>
      <c r="Q762" s="785"/>
      <c r="R762" s="2468"/>
      <c r="S762" s="544"/>
      <c r="T762" s="545" t="s">
        <v>189</v>
      </c>
      <c r="U762" s="547"/>
      <c r="V762" s="547"/>
      <c r="W762" s="299" t="s">
        <v>193</v>
      </c>
      <c r="X762" s="277" t="s">
        <v>524</v>
      </c>
      <c r="Y762" s="265"/>
      <c r="Z762" s="187"/>
      <c r="AA762" s="6305"/>
      <c r="AB762" s="139"/>
      <c r="AC762" s="139"/>
      <c r="AD762" s="139"/>
      <c r="AE762" s="139"/>
      <c r="AF762" s="139"/>
      <c r="AG762" s="139"/>
      <c r="AH762" s="139"/>
      <c r="AI762" s="139"/>
      <c r="AJ762" s="139"/>
      <c r="AK762" s="139"/>
      <c r="AL762" s="139"/>
      <c r="AM762" s="139"/>
      <c r="AN762" s="139"/>
      <c r="AO762" s="139"/>
      <c r="AP762" s="139"/>
      <c r="AQ762" s="139"/>
      <c r="AR762" s="139"/>
      <c r="AS762" s="139"/>
      <c r="AT762" s="139"/>
      <c r="AU762" s="139"/>
      <c r="AV762" s="139"/>
      <c r="AW762" s="139"/>
      <c r="AX762" s="139"/>
      <c r="AY762" s="139"/>
      <c r="AZ762" s="139"/>
      <c r="BA762" s="139"/>
      <c r="BB762" s="139"/>
      <c r="BC762" s="139"/>
      <c r="BD762" s="139"/>
      <c r="BE762" s="139"/>
      <c r="BF762" s="139"/>
      <c r="BG762" s="139"/>
      <c r="BH762" s="139"/>
    </row>
    <row r="763" spans="2:60" s="11" customFormat="1" ht="20.100000000000001" customHeight="1">
      <c r="B763" s="1360"/>
      <c r="C763" s="5598"/>
      <c r="D763" s="9598" t="s">
        <v>134</v>
      </c>
      <c r="E763" s="9600"/>
      <c r="F763" s="492" t="s">
        <v>344</v>
      </c>
      <c r="G763" s="666"/>
      <c r="H763" s="684"/>
      <c r="I763" s="9579" t="s">
        <v>135</v>
      </c>
      <c r="J763" s="9581"/>
      <c r="K763" s="492" t="s">
        <v>344</v>
      </c>
      <c r="L763" s="5592"/>
      <c r="M763" s="5656" t="s">
        <v>369</v>
      </c>
      <c r="N763" s="5593"/>
      <c r="O763" s="5656" t="s">
        <v>369</v>
      </c>
      <c r="P763" s="5593"/>
      <c r="Q763" s="5656" t="s">
        <v>369</v>
      </c>
      <c r="R763" s="2468"/>
      <c r="S763" s="544"/>
      <c r="T763" s="545"/>
      <c r="U763" s="546"/>
      <c r="V763" s="547"/>
      <c r="W763" s="299" t="s">
        <v>193</v>
      </c>
      <c r="X763" s="277"/>
      <c r="Y763" s="277"/>
      <c r="Z763" s="187"/>
      <c r="AA763" s="6301"/>
      <c r="AB763" s="139"/>
      <c r="AC763" s="139"/>
      <c r="AD763" s="139"/>
      <c r="AE763" s="139"/>
      <c r="AF763" s="139"/>
      <c r="AG763" s="139"/>
      <c r="AH763" s="139"/>
      <c r="AI763" s="139"/>
      <c r="AJ763" s="139"/>
      <c r="AK763" s="139"/>
      <c r="AL763" s="139"/>
      <c r="AM763" s="139"/>
      <c r="AN763" s="139"/>
      <c r="AO763" s="139"/>
      <c r="AP763" s="139"/>
      <c r="AQ763" s="139"/>
      <c r="AR763" s="139"/>
      <c r="AS763" s="139"/>
      <c r="AT763" s="139"/>
      <c r="AU763" s="139"/>
      <c r="AV763" s="139"/>
      <c r="AW763" s="139"/>
      <c r="AX763" s="139"/>
      <c r="AY763" s="139"/>
      <c r="AZ763" s="139"/>
      <c r="BA763" s="139"/>
      <c r="BB763" s="139"/>
      <c r="BC763" s="139"/>
      <c r="BD763" s="139"/>
      <c r="BE763" s="139"/>
      <c r="BF763" s="139"/>
      <c r="BG763" s="139"/>
      <c r="BH763" s="139"/>
    </row>
    <row r="764" spans="2:60" s="11" customFormat="1" ht="20.100000000000001" customHeight="1">
      <c r="B764" s="1360"/>
      <c r="C764" s="5598"/>
      <c r="D764" s="9598" t="s">
        <v>137</v>
      </c>
      <c r="E764" s="9600"/>
      <c r="F764" s="492" t="s">
        <v>344</v>
      </c>
      <c r="G764" s="666"/>
      <c r="H764" s="684"/>
      <c r="I764" s="9579" t="s">
        <v>138</v>
      </c>
      <c r="J764" s="9581"/>
      <c r="K764" s="492" t="s">
        <v>344</v>
      </c>
      <c r="L764" s="5594"/>
      <c r="M764" s="5658"/>
      <c r="N764" s="5601"/>
      <c r="O764" s="5667"/>
      <c r="P764" s="5602"/>
      <c r="Q764" s="5758"/>
      <c r="R764" s="2468"/>
      <c r="S764" s="544"/>
      <c r="T764" s="545"/>
      <c r="U764" s="546"/>
      <c r="V764" s="547"/>
      <c r="W764" s="299" t="s">
        <v>193</v>
      </c>
      <c r="X764" s="277"/>
      <c r="Y764" s="277"/>
      <c r="Z764" s="187"/>
      <c r="AA764" s="6301"/>
      <c r="AB764" s="139"/>
      <c r="AC764" s="139"/>
      <c r="AD764" s="139"/>
      <c r="AE764" s="139"/>
      <c r="AF764" s="139"/>
      <c r="AG764" s="139"/>
      <c r="AH764" s="139"/>
      <c r="AI764" s="139"/>
      <c r="AJ764" s="139"/>
      <c r="AK764" s="139"/>
      <c r="AL764" s="139"/>
      <c r="AM764" s="139"/>
      <c r="AN764" s="139"/>
      <c r="AO764" s="139"/>
      <c r="AP764" s="139"/>
      <c r="AQ764" s="139"/>
      <c r="AR764" s="139"/>
      <c r="AS764" s="139"/>
      <c r="AT764" s="139"/>
      <c r="AU764" s="139"/>
      <c r="AV764" s="139"/>
      <c r="AW764" s="139"/>
      <c r="AX764" s="139"/>
      <c r="AY764" s="139"/>
      <c r="AZ764" s="139"/>
      <c r="BA764" s="139"/>
      <c r="BB764" s="139"/>
      <c r="BC764" s="139"/>
      <c r="BD764" s="139"/>
      <c r="BE764" s="139"/>
      <c r="BF764" s="139"/>
      <c r="BG764" s="139"/>
      <c r="BH764" s="139"/>
    </row>
    <row r="765" spans="2:60" s="11" customFormat="1" ht="20.100000000000001" customHeight="1">
      <c r="B765" s="1360"/>
      <c r="C765" s="5598"/>
      <c r="D765" s="9598" t="s">
        <v>140</v>
      </c>
      <c r="E765" s="9600"/>
      <c r="F765" s="492" t="s">
        <v>344</v>
      </c>
      <c r="G765" s="666"/>
      <c r="H765" s="684"/>
      <c r="I765" s="9582" t="s">
        <v>141</v>
      </c>
      <c r="J765" s="9583"/>
      <c r="K765" s="492" t="s">
        <v>344</v>
      </c>
      <c r="L765" s="5594"/>
      <c r="M765" s="5658"/>
      <c r="N765" s="5601"/>
      <c r="O765" s="5667"/>
      <c r="P765" s="5602"/>
      <c r="Q765" s="5758"/>
      <c r="R765" s="2468"/>
      <c r="S765" s="544"/>
      <c r="T765" s="545"/>
      <c r="U765" s="546"/>
      <c r="V765" s="547"/>
      <c r="W765" s="299" t="s">
        <v>193</v>
      </c>
      <c r="X765" s="277"/>
      <c r="Y765" s="277"/>
      <c r="Z765" s="187"/>
      <c r="AA765" s="6301"/>
      <c r="AB765" s="139"/>
      <c r="AC765" s="139"/>
      <c r="AD765" s="139"/>
      <c r="AE765" s="139"/>
      <c r="AF765" s="139"/>
      <c r="AG765" s="139"/>
      <c r="AH765" s="139"/>
      <c r="AI765" s="139"/>
      <c r="AJ765" s="139"/>
      <c r="AK765" s="139"/>
      <c r="AL765" s="139"/>
      <c r="AM765" s="139"/>
      <c r="AN765" s="139"/>
      <c r="AO765" s="139"/>
      <c r="AP765" s="139"/>
      <c r="AQ765" s="139"/>
      <c r="AR765" s="139"/>
      <c r="AS765" s="139"/>
      <c r="AT765" s="139"/>
      <c r="AU765" s="139"/>
      <c r="AV765" s="139"/>
      <c r="AW765" s="139"/>
      <c r="AX765" s="139"/>
      <c r="AY765" s="139"/>
      <c r="AZ765" s="139"/>
      <c r="BA765" s="139"/>
      <c r="BB765" s="139"/>
      <c r="BC765" s="139"/>
      <c r="BD765" s="139"/>
      <c r="BE765" s="139"/>
      <c r="BF765" s="139"/>
      <c r="BG765" s="139"/>
      <c r="BH765" s="139"/>
    </row>
    <row r="766" spans="2:60" s="11" customFormat="1" ht="20.100000000000001" customHeight="1">
      <c r="B766" s="1360"/>
      <c r="C766" s="5598"/>
      <c r="D766" s="9598" t="s">
        <v>143</v>
      </c>
      <c r="E766" s="9600"/>
      <c r="F766" s="492" t="s">
        <v>344</v>
      </c>
      <c r="G766" s="666"/>
      <c r="H766" s="684"/>
      <c r="I766" s="9582" t="s">
        <v>144</v>
      </c>
      <c r="J766" s="9583"/>
      <c r="K766" s="492" t="s">
        <v>344</v>
      </c>
      <c r="L766" s="5594"/>
      <c r="M766" s="5658"/>
      <c r="N766" s="5601"/>
      <c r="O766" s="5667"/>
      <c r="P766" s="5602"/>
      <c r="Q766" s="5758"/>
      <c r="R766" s="2468"/>
      <c r="S766" s="544"/>
      <c r="T766" s="545"/>
      <c r="U766" s="546"/>
      <c r="V766" s="547"/>
      <c r="W766" s="299" t="s">
        <v>193</v>
      </c>
      <c r="X766" s="277"/>
      <c r="Y766" s="277"/>
      <c r="Z766" s="187"/>
      <c r="AA766" s="6301"/>
      <c r="AB766" s="139"/>
      <c r="AC766" s="139"/>
      <c r="AD766" s="139"/>
      <c r="AE766" s="139"/>
      <c r="AF766" s="139"/>
      <c r="AG766" s="139"/>
      <c r="AH766" s="139"/>
      <c r="AI766" s="139"/>
      <c r="AJ766" s="139"/>
      <c r="AK766" s="139"/>
      <c r="AL766" s="139"/>
      <c r="AM766" s="139"/>
      <c r="AN766" s="139"/>
      <c r="AO766" s="139"/>
      <c r="AP766" s="139"/>
      <c r="AQ766" s="139"/>
      <c r="AR766" s="139"/>
      <c r="AS766" s="139"/>
      <c r="AT766" s="139"/>
      <c r="AU766" s="139"/>
      <c r="AV766" s="139"/>
      <c r="AW766" s="139"/>
      <c r="AX766" s="139"/>
      <c r="AY766" s="139"/>
      <c r="AZ766" s="139"/>
      <c r="BA766" s="139"/>
      <c r="BB766" s="139"/>
      <c r="BC766" s="139"/>
      <c r="BD766" s="139"/>
      <c r="BE766" s="139"/>
      <c r="BF766" s="139"/>
      <c r="BG766" s="139"/>
      <c r="BH766" s="139"/>
    </row>
    <row r="767" spans="2:60" s="11" customFormat="1" ht="20.100000000000001" customHeight="1">
      <c r="B767" s="1360"/>
      <c r="C767" s="5598"/>
      <c r="D767" s="9598" t="s">
        <v>631</v>
      </c>
      <c r="E767" s="9600"/>
      <c r="F767" s="492" t="s">
        <v>344</v>
      </c>
      <c r="G767" s="666"/>
      <c r="H767" s="684"/>
      <c r="I767" s="9582" t="s">
        <v>147</v>
      </c>
      <c r="J767" s="9583"/>
      <c r="K767" s="492" t="s">
        <v>344</v>
      </c>
      <c r="L767" s="5967" t="s">
        <v>168</v>
      </c>
      <c r="M767" s="5656" t="s">
        <v>641</v>
      </c>
      <c r="N767" s="5593" t="s">
        <v>168</v>
      </c>
      <c r="O767" s="5948" t="s">
        <v>641</v>
      </c>
      <c r="P767" s="5948" t="s">
        <v>168</v>
      </c>
      <c r="Q767" s="5948" t="s">
        <v>641</v>
      </c>
      <c r="R767" s="2468"/>
      <c r="S767" s="544"/>
      <c r="T767" s="545"/>
      <c r="U767" s="546"/>
      <c r="V767" s="547"/>
      <c r="W767" s="299" t="s">
        <v>193</v>
      </c>
      <c r="X767" s="277"/>
      <c r="Y767" s="277"/>
      <c r="Z767" s="187"/>
      <c r="AA767" s="6301"/>
      <c r="AB767" s="139"/>
      <c r="AC767" s="139"/>
      <c r="AD767" s="139"/>
      <c r="AE767" s="139"/>
      <c r="AF767" s="139"/>
      <c r="AG767" s="139"/>
      <c r="AH767" s="139"/>
      <c r="AI767" s="139"/>
      <c r="AJ767" s="139"/>
      <c r="AK767" s="139"/>
      <c r="AL767" s="139"/>
      <c r="AM767" s="139"/>
      <c r="AN767" s="139"/>
      <c r="AO767" s="139"/>
      <c r="AP767" s="139"/>
      <c r="AQ767" s="139"/>
      <c r="AR767" s="139"/>
      <c r="AS767" s="139"/>
      <c r="AT767" s="139"/>
      <c r="AU767" s="139"/>
      <c r="AV767" s="139"/>
      <c r="AW767" s="139"/>
      <c r="AX767" s="139"/>
      <c r="AY767" s="139"/>
      <c r="AZ767" s="139"/>
      <c r="BA767" s="139"/>
      <c r="BB767" s="139"/>
      <c r="BC767" s="139"/>
      <c r="BD767" s="139"/>
      <c r="BE767" s="139"/>
      <c r="BF767" s="139"/>
      <c r="BG767" s="139"/>
      <c r="BH767" s="139"/>
    </row>
    <row r="768" spans="2:60" s="11" customFormat="1" ht="20.100000000000001" customHeight="1" thickBot="1">
      <c r="B768" s="1360"/>
      <c r="C768" s="5598"/>
      <c r="D768" s="9598" t="s">
        <v>633</v>
      </c>
      <c r="E768" s="9600"/>
      <c r="F768" s="492" t="s">
        <v>344</v>
      </c>
      <c r="G768" s="6161"/>
      <c r="H768" s="4693"/>
      <c r="I768" s="9582" t="s">
        <v>150</v>
      </c>
      <c r="J768" s="9583"/>
      <c r="K768" s="492" t="s">
        <v>344</v>
      </c>
      <c r="L768" s="5594"/>
      <c r="M768" s="5658"/>
      <c r="N768" s="5601"/>
      <c r="O768" s="5667"/>
      <c r="P768" s="5602"/>
      <c r="Q768" s="6111"/>
      <c r="R768" s="2468"/>
      <c r="S768" s="544"/>
      <c r="T768" s="545"/>
      <c r="U768" s="546"/>
      <c r="V768" s="547"/>
      <c r="W768" s="299" t="s">
        <v>193</v>
      </c>
      <c r="X768" s="277"/>
      <c r="Y768" s="277"/>
      <c r="Z768" s="187"/>
      <c r="AA768" s="6301"/>
      <c r="AB768" s="139"/>
      <c r="AC768" s="139"/>
      <c r="AD768" s="139"/>
      <c r="AE768" s="139"/>
      <c r="AF768" s="139"/>
      <c r="AG768" s="139"/>
      <c r="AH768" s="139"/>
      <c r="AI768" s="139"/>
      <c r="AJ768" s="139"/>
      <c r="AK768" s="139"/>
      <c r="AL768" s="139"/>
      <c r="AM768" s="139"/>
      <c r="AN768" s="139"/>
      <c r="AO768" s="139"/>
      <c r="AP768" s="139"/>
      <c r="AQ768" s="139"/>
      <c r="AR768" s="139"/>
      <c r="AS768" s="139"/>
      <c r="AT768" s="139"/>
      <c r="AU768" s="139"/>
      <c r="AV768" s="139"/>
      <c r="AW768" s="139"/>
      <c r="AX768" s="139"/>
      <c r="AY768" s="139"/>
      <c r="AZ768" s="139"/>
      <c r="BA768" s="139"/>
      <c r="BB768" s="139"/>
      <c r="BC768" s="139"/>
      <c r="BD768" s="139"/>
      <c r="BE768" s="139"/>
      <c r="BF768" s="139"/>
      <c r="BG768" s="139"/>
      <c r="BH768" s="139"/>
    </row>
    <row r="769" spans="2:60" s="11" customFormat="1" ht="27" thickBot="1">
      <c r="B769" s="123" t="s">
        <v>543</v>
      </c>
      <c r="C769" s="124"/>
      <c r="D769" s="124"/>
      <c r="E769" s="124"/>
      <c r="F769" s="124"/>
      <c r="G769" s="124"/>
      <c r="H769" s="124"/>
      <c r="I769" s="124"/>
      <c r="J769" s="124"/>
      <c r="K769" s="124"/>
      <c r="L769" s="5611"/>
      <c r="M769" s="5612"/>
      <c r="N769" s="5612"/>
      <c r="O769" s="5612"/>
      <c r="P769" s="5612"/>
      <c r="Q769" s="5612"/>
      <c r="R769" s="80"/>
      <c r="S769" s="432"/>
      <c r="T769" s="1641"/>
      <c r="U769" s="1641"/>
      <c r="V769" s="1641"/>
      <c r="W769" s="1641"/>
      <c r="X769" s="328"/>
      <c r="Y769" s="328"/>
      <c r="Z769" s="329"/>
      <c r="AA769" s="6301"/>
      <c r="AB769" s="139"/>
      <c r="AC769" s="139"/>
      <c r="AD769" s="139"/>
      <c r="AE769" s="139"/>
      <c r="AF769" s="139"/>
      <c r="AG769" s="139"/>
      <c r="AH769" s="139"/>
      <c r="AI769" s="139"/>
      <c r="AJ769" s="139"/>
      <c r="AK769" s="139"/>
      <c r="AL769" s="139"/>
      <c r="AM769" s="139"/>
      <c r="AN769" s="139"/>
      <c r="AO769" s="139"/>
      <c r="AP769" s="139"/>
      <c r="AQ769" s="139"/>
      <c r="AR769" s="139"/>
      <c r="AS769" s="139"/>
      <c r="AT769" s="139"/>
      <c r="AU769" s="139"/>
      <c r="AV769" s="139"/>
      <c r="AW769" s="139"/>
      <c r="AX769" s="139"/>
      <c r="AY769" s="139"/>
      <c r="AZ769" s="139"/>
      <c r="BA769" s="139"/>
      <c r="BB769" s="139"/>
      <c r="BC769" s="139"/>
      <c r="BD769" s="139"/>
      <c r="BE769" s="139"/>
      <c r="BF769" s="139"/>
      <c r="BG769" s="139"/>
      <c r="BH769" s="139"/>
    </row>
    <row r="770" spans="2:60" s="11" customFormat="1" ht="20.100000000000001" customHeight="1">
      <c r="B770" s="1359"/>
      <c r="C770" s="9682" t="s">
        <v>544</v>
      </c>
      <c r="D770" s="9670"/>
      <c r="E770" s="9683"/>
      <c r="F770" s="492" t="s">
        <v>33</v>
      </c>
      <c r="G770" s="6162"/>
      <c r="H770" s="9702" t="s">
        <v>545</v>
      </c>
      <c r="I770" s="9670"/>
      <c r="J770" s="9683"/>
      <c r="K770" s="492" t="s">
        <v>35</v>
      </c>
      <c r="L770" s="5653" t="str">
        <f>IF(COUNTBLANK(L771:L776)&gt;0,"미취합법인有",SUM(L771:L776))</f>
        <v>미취합법인有</v>
      </c>
      <c r="M770" s="5657"/>
      <c r="N770" s="5654" t="str">
        <f>IF(COUNTBLANK(N771:N776)&gt;0,"미취합법인有",SUM(N771:N776))</f>
        <v>미취합법인有</v>
      </c>
      <c r="O770" s="5663"/>
      <c r="P770" s="5781" t="str">
        <f>IF(COUNTBLANK(P771:P776)&gt;0,"미취합법인有",SUM(P771:P776))</f>
        <v>미취합법인有</v>
      </c>
      <c r="Q770" s="6108"/>
      <c r="R770" s="2468" t="s">
        <v>546</v>
      </c>
      <c r="S770" s="533" t="s">
        <v>545</v>
      </c>
      <c r="T770" s="309" t="s">
        <v>547</v>
      </c>
      <c r="U770" s="547"/>
      <c r="V770" s="547"/>
      <c r="W770" s="582"/>
      <c r="X770" s="154" t="s">
        <v>548</v>
      </c>
      <c r="Y770" s="154"/>
      <c r="Z770" s="159" t="s">
        <v>549</v>
      </c>
      <c r="AA770" s="6301"/>
      <c r="AB770" s="139"/>
      <c r="AC770" s="139"/>
      <c r="AD770" s="139"/>
      <c r="AE770" s="139"/>
      <c r="AF770" s="139"/>
      <c r="AG770" s="139"/>
      <c r="AH770" s="139"/>
      <c r="AI770" s="139"/>
      <c r="AJ770" s="139"/>
      <c r="AK770" s="139"/>
      <c r="AL770" s="139"/>
      <c r="AM770" s="139"/>
      <c r="AN770" s="139"/>
      <c r="AO770" s="139"/>
      <c r="AP770" s="139"/>
      <c r="AQ770" s="139"/>
      <c r="AR770" s="139"/>
      <c r="AS770" s="139"/>
      <c r="AT770" s="139"/>
      <c r="AU770" s="139"/>
      <c r="AV770" s="139"/>
      <c r="AW770" s="139"/>
      <c r="AX770" s="139"/>
      <c r="AY770" s="139"/>
      <c r="AZ770" s="139"/>
      <c r="BA770" s="139"/>
      <c r="BB770" s="139"/>
      <c r="BC770" s="139"/>
      <c r="BD770" s="139"/>
      <c r="BE770" s="139"/>
      <c r="BF770" s="139"/>
      <c r="BG770" s="139"/>
      <c r="BH770" s="139"/>
    </row>
    <row r="771" spans="2:60" s="11" customFormat="1" ht="19.899999999999999" customHeight="1">
      <c r="B771" s="5590"/>
      <c r="C771" s="9647" t="s">
        <v>134</v>
      </c>
      <c r="D771" s="9648"/>
      <c r="E771" s="9649"/>
      <c r="F771" s="492" t="s">
        <v>33</v>
      </c>
      <c r="G771" s="253"/>
      <c r="H771" s="9579" t="s">
        <v>135</v>
      </c>
      <c r="I771" s="9580"/>
      <c r="J771" s="9581"/>
      <c r="K771" s="5591" t="s">
        <v>35</v>
      </c>
      <c r="L771" s="5592"/>
      <c r="M771" s="5656"/>
      <c r="N771" s="5593"/>
      <c r="O771" s="5593"/>
      <c r="P771" s="5593"/>
      <c r="Q771" s="5593"/>
      <c r="R771" s="1033"/>
      <c r="S771" s="263"/>
      <c r="T771" s="99"/>
      <c r="U771" s="138"/>
      <c r="V771" s="138"/>
      <c r="W771" s="99"/>
      <c r="X771" s="264"/>
      <c r="Y771" s="277"/>
      <c r="Z771" s="187"/>
      <c r="AA771" s="6301"/>
      <c r="AB771" s="139"/>
      <c r="AC771" s="139"/>
      <c r="AD771" s="139"/>
      <c r="AE771" s="139"/>
      <c r="AF771" s="139"/>
      <c r="AG771" s="139"/>
      <c r="AH771" s="139"/>
      <c r="AI771" s="139"/>
      <c r="AJ771" s="139"/>
      <c r="AK771" s="139"/>
      <c r="AL771" s="139"/>
      <c r="AM771" s="139"/>
      <c r="AN771" s="139"/>
      <c r="AO771" s="139"/>
      <c r="AP771" s="139"/>
      <c r="AQ771" s="139"/>
      <c r="AR771" s="139"/>
      <c r="AS771" s="139"/>
      <c r="AT771" s="139"/>
      <c r="AU771" s="139"/>
      <c r="AV771" s="139"/>
      <c r="AW771" s="139"/>
      <c r="AX771" s="139"/>
      <c r="AY771" s="139"/>
      <c r="AZ771" s="139"/>
      <c r="BA771" s="139"/>
      <c r="BB771" s="139"/>
      <c r="BC771" s="139"/>
      <c r="BD771" s="139"/>
      <c r="BE771" s="139"/>
      <c r="BF771" s="139"/>
      <c r="BG771" s="139"/>
      <c r="BH771" s="139"/>
    </row>
    <row r="772" spans="2:60" s="11" customFormat="1" ht="19.899999999999999" customHeight="1">
      <c r="B772" s="5590"/>
      <c r="C772" s="9647" t="s">
        <v>137</v>
      </c>
      <c r="D772" s="9648"/>
      <c r="E772" s="9649"/>
      <c r="F772" s="492" t="s">
        <v>33</v>
      </c>
      <c r="G772" s="253"/>
      <c r="H772" s="9579" t="s">
        <v>138</v>
      </c>
      <c r="I772" s="9580"/>
      <c r="J772" s="9581"/>
      <c r="K772" s="5591" t="s">
        <v>35</v>
      </c>
      <c r="L772" s="5592"/>
      <c r="M772" s="5656"/>
      <c r="N772" s="5593"/>
      <c r="O772" s="5593"/>
      <c r="P772" s="5593"/>
      <c r="Q772" s="5593"/>
      <c r="R772" s="1033"/>
      <c r="S772" s="263"/>
      <c r="T772" s="99"/>
      <c r="U772" s="138"/>
      <c r="V772" s="138"/>
      <c r="W772" s="99"/>
      <c r="X772" s="264"/>
      <c r="Y772" s="277"/>
      <c r="Z772" s="187"/>
      <c r="AA772" s="6301"/>
      <c r="AB772" s="139"/>
      <c r="AC772" s="139"/>
      <c r="AD772" s="139"/>
      <c r="AE772" s="139"/>
      <c r="AF772" s="139"/>
      <c r="AG772" s="139"/>
      <c r="AH772" s="139"/>
      <c r="AI772" s="139"/>
      <c r="AJ772" s="139"/>
      <c r="AK772" s="139"/>
      <c r="AL772" s="139"/>
      <c r="AM772" s="139"/>
      <c r="AN772" s="139"/>
      <c r="AO772" s="139"/>
      <c r="AP772" s="139"/>
      <c r="AQ772" s="139"/>
      <c r="AR772" s="139"/>
      <c r="AS772" s="139"/>
      <c r="AT772" s="139"/>
      <c r="AU772" s="139"/>
      <c r="AV772" s="139"/>
      <c r="AW772" s="139"/>
      <c r="AX772" s="139"/>
      <c r="AY772" s="139"/>
      <c r="AZ772" s="139"/>
      <c r="BA772" s="139"/>
      <c r="BB772" s="139"/>
      <c r="BC772" s="139"/>
      <c r="BD772" s="139"/>
      <c r="BE772" s="139"/>
      <c r="BF772" s="139"/>
      <c r="BG772" s="139"/>
      <c r="BH772" s="139"/>
    </row>
    <row r="773" spans="2:60" s="11" customFormat="1" ht="19.899999999999999" customHeight="1">
      <c r="B773" s="5590"/>
      <c r="C773" s="9647" t="s">
        <v>140</v>
      </c>
      <c r="D773" s="9648"/>
      <c r="E773" s="9649"/>
      <c r="F773" s="492" t="s">
        <v>33</v>
      </c>
      <c r="G773" s="253"/>
      <c r="H773" s="9579" t="s">
        <v>141</v>
      </c>
      <c r="I773" s="9580"/>
      <c r="J773" s="9581"/>
      <c r="K773" s="5591" t="s">
        <v>35</v>
      </c>
      <c r="L773" s="5592">
        <v>0</v>
      </c>
      <c r="M773" s="5656"/>
      <c r="N773" s="5593">
        <v>0</v>
      </c>
      <c r="O773" s="5593"/>
      <c r="P773" s="5593">
        <v>0</v>
      </c>
      <c r="Q773" s="5593"/>
      <c r="R773" s="1033"/>
      <c r="S773" s="263"/>
      <c r="T773" s="99"/>
      <c r="U773" s="138"/>
      <c r="V773" s="138"/>
      <c r="W773" s="99"/>
      <c r="X773" s="264"/>
      <c r="Y773" s="277"/>
      <c r="Z773" s="187"/>
      <c r="AA773" s="6301"/>
      <c r="AB773" s="139"/>
      <c r="AC773" s="139"/>
      <c r="AD773" s="139"/>
      <c r="AE773" s="139"/>
      <c r="AF773" s="139"/>
      <c r="AG773" s="139"/>
      <c r="AH773" s="139"/>
      <c r="AI773" s="139"/>
      <c r="AJ773" s="139"/>
      <c r="AK773" s="139"/>
      <c r="AL773" s="139"/>
      <c r="AM773" s="139"/>
      <c r="AN773" s="139"/>
      <c r="AO773" s="139"/>
      <c r="AP773" s="139"/>
      <c r="AQ773" s="139"/>
      <c r="AR773" s="139"/>
      <c r="AS773" s="139"/>
      <c r="AT773" s="139"/>
      <c r="AU773" s="139"/>
      <c r="AV773" s="139"/>
      <c r="AW773" s="139"/>
      <c r="AX773" s="139"/>
      <c r="AY773" s="139"/>
      <c r="AZ773" s="139"/>
      <c r="BA773" s="139"/>
      <c r="BB773" s="139"/>
      <c r="BC773" s="139"/>
      <c r="BD773" s="139"/>
      <c r="BE773" s="139"/>
      <c r="BF773" s="139"/>
      <c r="BG773" s="139"/>
      <c r="BH773" s="139"/>
    </row>
    <row r="774" spans="2:60" s="11" customFormat="1" ht="19.899999999999999" customHeight="1">
      <c r="B774" s="5590"/>
      <c r="C774" s="9647" t="s">
        <v>143</v>
      </c>
      <c r="D774" s="9648"/>
      <c r="E774" s="9649"/>
      <c r="F774" s="492" t="s">
        <v>33</v>
      </c>
      <c r="G774" s="253"/>
      <c r="H774" s="9579" t="s">
        <v>144</v>
      </c>
      <c r="I774" s="9580"/>
      <c r="J774" s="9581"/>
      <c r="K774" s="5591" t="s">
        <v>35</v>
      </c>
      <c r="L774" s="5592"/>
      <c r="M774" s="5656"/>
      <c r="N774" s="5593"/>
      <c r="O774" s="5593"/>
      <c r="P774" s="5593"/>
      <c r="Q774" s="5593"/>
      <c r="R774" s="1033"/>
      <c r="S774" s="263"/>
      <c r="T774" s="99"/>
      <c r="U774" s="138"/>
      <c r="V774" s="138"/>
      <c r="W774" s="99"/>
      <c r="X774" s="264"/>
      <c r="Y774" s="277"/>
      <c r="Z774" s="187"/>
      <c r="AA774" s="6301"/>
      <c r="AB774" s="139"/>
      <c r="AC774" s="139"/>
      <c r="AD774" s="139"/>
      <c r="AE774" s="139"/>
      <c r="AF774" s="139"/>
      <c r="AG774" s="139"/>
      <c r="AH774" s="139"/>
      <c r="AI774" s="139"/>
      <c r="AJ774" s="139"/>
      <c r="AK774" s="139"/>
      <c r="AL774" s="139"/>
      <c r="AM774" s="139"/>
      <c r="AN774" s="139"/>
      <c r="AO774" s="139"/>
      <c r="AP774" s="139"/>
      <c r="AQ774" s="139"/>
      <c r="AR774" s="139"/>
      <c r="AS774" s="139"/>
      <c r="AT774" s="139"/>
      <c r="AU774" s="139"/>
      <c r="AV774" s="139"/>
      <c r="AW774" s="139"/>
      <c r="AX774" s="139"/>
      <c r="AY774" s="139"/>
      <c r="AZ774" s="139"/>
      <c r="BA774" s="139"/>
      <c r="BB774" s="139"/>
      <c r="BC774" s="139"/>
      <c r="BD774" s="139"/>
      <c r="BE774" s="139"/>
      <c r="BF774" s="139"/>
      <c r="BG774" s="139"/>
      <c r="BH774" s="139"/>
    </row>
    <row r="775" spans="2:60" s="11" customFormat="1" ht="19.899999999999999" customHeight="1">
      <c r="B775" s="5590"/>
      <c r="C775" s="9647" t="s">
        <v>631</v>
      </c>
      <c r="D775" s="9648"/>
      <c r="E775" s="9649"/>
      <c r="F775" s="492" t="s">
        <v>33</v>
      </c>
      <c r="G775" s="253"/>
      <c r="H775" s="9579" t="s">
        <v>147</v>
      </c>
      <c r="I775" s="9580"/>
      <c r="J775" s="9581"/>
      <c r="K775" s="5591" t="s">
        <v>35</v>
      </c>
      <c r="L775" s="5967" t="s">
        <v>168</v>
      </c>
      <c r="M775" s="5656" t="s">
        <v>641</v>
      </c>
      <c r="N775" s="5593" t="s">
        <v>168</v>
      </c>
      <c r="O775" s="5593" t="s">
        <v>641</v>
      </c>
      <c r="P775" s="5593" t="s">
        <v>168</v>
      </c>
      <c r="Q775" s="5593" t="s">
        <v>641</v>
      </c>
      <c r="R775" s="1033"/>
      <c r="S775" s="263"/>
      <c r="T775" s="99"/>
      <c r="U775" s="138"/>
      <c r="V775" s="138"/>
      <c r="W775" s="99"/>
      <c r="X775" s="264"/>
      <c r="Y775" s="277"/>
      <c r="Z775" s="187"/>
      <c r="AA775" s="6301"/>
      <c r="AB775" s="139"/>
      <c r="AC775" s="139"/>
      <c r="AD775" s="139"/>
      <c r="AE775" s="139"/>
      <c r="AF775" s="139"/>
      <c r="AG775" s="139"/>
      <c r="AH775" s="139"/>
      <c r="AI775" s="139"/>
      <c r="AJ775" s="139"/>
      <c r="AK775" s="139"/>
      <c r="AL775" s="139"/>
      <c r="AM775" s="139"/>
      <c r="AN775" s="139"/>
      <c r="AO775" s="139"/>
      <c r="AP775" s="139"/>
      <c r="AQ775" s="139"/>
      <c r="AR775" s="139"/>
      <c r="AS775" s="139"/>
      <c r="AT775" s="139"/>
      <c r="AU775" s="139"/>
      <c r="AV775" s="139"/>
      <c r="AW775" s="139"/>
      <c r="AX775" s="139"/>
      <c r="AY775" s="139"/>
      <c r="AZ775" s="139"/>
      <c r="BA775" s="139"/>
      <c r="BB775" s="139"/>
      <c r="BC775" s="139"/>
      <c r="BD775" s="139"/>
      <c r="BE775" s="139"/>
      <c r="BF775" s="139"/>
      <c r="BG775" s="139"/>
      <c r="BH775" s="139"/>
    </row>
    <row r="776" spans="2:60" s="11" customFormat="1" ht="19.899999999999999" customHeight="1">
      <c r="B776" s="5590"/>
      <c r="C776" s="9647" t="s">
        <v>633</v>
      </c>
      <c r="D776" s="9648"/>
      <c r="E776" s="9649"/>
      <c r="F776" s="492" t="s">
        <v>33</v>
      </c>
      <c r="G776" s="253"/>
      <c r="H776" s="9579" t="s">
        <v>150</v>
      </c>
      <c r="I776" s="9580"/>
      <c r="J776" s="9581"/>
      <c r="K776" s="5591" t="s">
        <v>35</v>
      </c>
      <c r="L776" s="5967" t="s">
        <v>168</v>
      </c>
      <c r="M776" s="5656" t="s">
        <v>641</v>
      </c>
      <c r="N776" s="5593" t="s">
        <v>168</v>
      </c>
      <c r="O776" s="5593" t="s">
        <v>641</v>
      </c>
      <c r="P776" s="5593" t="s">
        <v>168</v>
      </c>
      <c r="Q776" s="5593" t="s">
        <v>641</v>
      </c>
      <c r="R776" s="1033"/>
      <c r="S776" s="263"/>
      <c r="T776" s="99"/>
      <c r="U776" s="138"/>
      <c r="V776" s="138"/>
      <c r="W776" s="99"/>
      <c r="X776" s="264"/>
      <c r="Y776" s="277"/>
      <c r="Z776" s="187"/>
      <c r="AA776" s="6301"/>
      <c r="AB776" s="139"/>
      <c r="AC776" s="139"/>
      <c r="AD776" s="139"/>
      <c r="AE776" s="139"/>
      <c r="AF776" s="139"/>
      <c r="AG776" s="139"/>
      <c r="AH776" s="139"/>
      <c r="AI776" s="139"/>
      <c r="AJ776" s="139"/>
      <c r="AK776" s="139"/>
      <c r="AL776" s="139"/>
      <c r="AM776" s="139"/>
      <c r="AN776" s="139"/>
      <c r="AO776" s="139"/>
      <c r="AP776" s="139"/>
      <c r="AQ776" s="139"/>
      <c r="AR776" s="139"/>
      <c r="AS776" s="139"/>
      <c r="AT776" s="139"/>
      <c r="AU776" s="139"/>
      <c r="AV776" s="139"/>
      <c r="AW776" s="139"/>
      <c r="AX776" s="139"/>
      <c r="AY776" s="139"/>
      <c r="AZ776" s="139"/>
      <c r="BA776" s="139"/>
      <c r="BB776" s="139"/>
      <c r="BC776" s="139"/>
      <c r="BD776" s="139"/>
      <c r="BE776" s="139"/>
      <c r="BF776" s="139"/>
      <c r="BG776" s="139"/>
      <c r="BH776" s="139"/>
    </row>
    <row r="777" spans="2:60" s="11" customFormat="1" ht="17.45" customHeight="1">
      <c r="B777" s="1360"/>
      <c r="C777" s="9656" t="s">
        <v>550</v>
      </c>
      <c r="D777" s="9587"/>
      <c r="E777" s="9588"/>
      <c r="F777" s="492" t="s">
        <v>33</v>
      </c>
      <c r="G777" s="184"/>
      <c r="H777" s="9586" t="s">
        <v>551</v>
      </c>
      <c r="I777" s="9587"/>
      <c r="J777" s="9588"/>
      <c r="K777" s="492" t="s">
        <v>35</v>
      </c>
      <c r="L777" s="5653" t="str">
        <f>IF(COUNTBLANK(L778:L783)&gt;0,"미취합법인有",SUM(L778:L783))</f>
        <v>미취합법인有</v>
      </c>
      <c r="M777" s="5657"/>
      <c r="N777" s="5654" t="str">
        <f>IF(COUNTBLANK(N778:N783)&gt;0,"미취합법인有",SUM(N778:N783))</f>
        <v>미취합법인有</v>
      </c>
      <c r="O777" s="5663"/>
      <c r="P777" s="5781" t="str">
        <f>IF(COUNTBLANK(P778:P783)&gt;0,"미취합법인有",SUM(P778:P783))</f>
        <v>미취합법인有</v>
      </c>
      <c r="Q777" s="785"/>
      <c r="R777" s="2468" t="s">
        <v>552</v>
      </c>
      <c r="S777" s="276" t="s">
        <v>553</v>
      </c>
      <c r="T777" s="309" t="s">
        <v>554</v>
      </c>
      <c r="U777" s="547"/>
      <c r="V777" s="547"/>
      <c r="W777" s="582"/>
      <c r="X777" s="154" t="s">
        <v>555</v>
      </c>
      <c r="Y777" s="154"/>
      <c r="Z777" s="159"/>
      <c r="AA777" s="6301"/>
      <c r="AB777" s="139"/>
      <c r="AC777" s="139"/>
      <c r="AD777" s="139"/>
      <c r="AE777" s="139"/>
      <c r="AF777" s="139"/>
      <c r="AG777" s="139"/>
      <c r="AH777" s="139"/>
      <c r="AI777" s="139"/>
      <c r="AJ777" s="139"/>
      <c r="AK777" s="139"/>
      <c r="AL777" s="139"/>
      <c r="AM777" s="139"/>
      <c r="AN777" s="139"/>
      <c r="AO777" s="139"/>
      <c r="AP777" s="139"/>
      <c r="AQ777" s="139"/>
      <c r="AR777" s="139"/>
      <c r="AS777" s="139"/>
      <c r="AT777" s="139"/>
      <c r="AU777" s="139"/>
      <c r="AV777" s="139"/>
      <c r="AW777" s="139"/>
      <c r="AX777" s="139"/>
      <c r="AY777" s="139"/>
      <c r="AZ777" s="139"/>
      <c r="BA777" s="139"/>
      <c r="BB777" s="139"/>
      <c r="BC777" s="139"/>
      <c r="BD777" s="139"/>
      <c r="BE777" s="139"/>
      <c r="BF777" s="139"/>
      <c r="BG777" s="139"/>
      <c r="BH777" s="139"/>
    </row>
    <row r="778" spans="2:60" s="11" customFormat="1" ht="19.899999999999999" customHeight="1">
      <c r="B778" s="5590"/>
      <c r="C778" s="9647" t="s">
        <v>134</v>
      </c>
      <c r="D778" s="9648"/>
      <c r="E778" s="9649"/>
      <c r="F778" s="492" t="s">
        <v>33</v>
      </c>
      <c r="G778" s="253"/>
      <c r="H778" s="9579" t="s">
        <v>135</v>
      </c>
      <c r="I778" s="9580"/>
      <c r="J778" s="9581"/>
      <c r="K778" s="5591" t="s">
        <v>35</v>
      </c>
      <c r="L778" s="5592">
        <v>74</v>
      </c>
      <c r="M778" s="5674" t="s">
        <v>716</v>
      </c>
      <c r="N778" s="5593">
        <v>276</v>
      </c>
      <c r="O778" s="5674" t="s">
        <v>717</v>
      </c>
      <c r="P778" s="5593">
        <v>95</v>
      </c>
      <c r="Q778" s="5678" t="s">
        <v>718</v>
      </c>
      <c r="R778" s="1033"/>
      <c r="S778" s="263"/>
      <c r="T778" s="99"/>
      <c r="U778" s="138"/>
      <c r="V778" s="138"/>
      <c r="W778" s="99"/>
      <c r="X778" s="264"/>
      <c r="Y778" s="277"/>
      <c r="Z778" s="187"/>
      <c r="AA778" s="6301"/>
      <c r="AB778" s="139"/>
      <c r="AC778" s="139"/>
      <c r="AD778" s="139"/>
      <c r="AE778" s="139"/>
      <c r="AF778" s="139"/>
      <c r="AG778" s="139"/>
      <c r="AH778" s="139"/>
      <c r="AI778" s="139"/>
      <c r="AJ778" s="139"/>
      <c r="AK778" s="139"/>
      <c r="AL778" s="139"/>
      <c r="AM778" s="139"/>
      <c r="AN778" s="139"/>
      <c r="AO778" s="139"/>
      <c r="AP778" s="139"/>
      <c r="AQ778" s="139"/>
      <c r="AR778" s="139"/>
      <c r="AS778" s="139"/>
      <c r="AT778" s="139"/>
      <c r="AU778" s="139"/>
      <c r="AV778" s="139"/>
      <c r="AW778" s="139"/>
      <c r="AX778" s="139"/>
      <c r="AY778" s="139"/>
      <c r="AZ778" s="139"/>
      <c r="BA778" s="139"/>
      <c r="BB778" s="139"/>
      <c r="BC778" s="139"/>
      <c r="BD778" s="139"/>
      <c r="BE778" s="139"/>
      <c r="BF778" s="139"/>
      <c r="BG778" s="139"/>
      <c r="BH778" s="139"/>
    </row>
    <row r="779" spans="2:60" s="11" customFormat="1" ht="19.899999999999999" customHeight="1">
      <c r="B779" s="5590"/>
      <c r="C779" s="9647" t="s">
        <v>137</v>
      </c>
      <c r="D779" s="9648"/>
      <c r="E779" s="9649"/>
      <c r="F779" s="492" t="s">
        <v>33</v>
      </c>
      <c r="G779" s="253"/>
      <c r="H779" s="9579" t="s">
        <v>138</v>
      </c>
      <c r="I779" s="9580"/>
      <c r="J779" s="9581"/>
      <c r="K779" s="5591" t="s">
        <v>35</v>
      </c>
      <c r="L779" s="5592"/>
      <c r="M779" s="5656"/>
      <c r="N779" s="5593"/>
      <c r="O779" s="5593"/>
      <c r="P779" s="5593"/>
      <c r="Q779" s="5593"/>
      <c r="R779" s="1033"/>
      <c r="S779" s="263"/>
      <c r="T779" s="99"/>
      <c r="U779" s="138"/>
      <c r="V779" s="138"/>
      <c r="W779" s="99"/>
      <c r="X779" s="264"/>
      <c r="Y779" s="277"/>
      <c r="Z779" s="187"/>
      <c r="AA779" s="6301"/>
      <c r="AB779" s="139"/>
      <c r="AC779" s="139"/>
      <c r="AD779" s="139"/>
      <c r="AE779" s="139"/>
      <c r="AF779" s="139"/>
      <c r="AG779" s="139"/>
      <c r="AH779" s="139"/>
      <c r="AI779" s="139"/>
      <c r="AJ779" s="139"/>
      <c r="AK779" s="139"/>
      <c r="AL779" s="139"/>
      <c r="AM779" s="139"/>
      <c r="AN779" s="139"/>
      <c r="AO779" s="139"/>
      <c r="AP779" s="139"/>
      <c r="AQ779" s="139"/>
      <c r="AR779" s="139"/>
      <c r="AS779" s="139"/>
      <c r="AT779" s="139"/>
      <c r="AU779" s="139"/>
      <c r="AV779" s="139"/>
      <c r="AW779" s="139"/>
      <c r="AX779" s="139"/>
      <c r="AY779" s="139"/>
      <c r="AZ779" s="139"/>
      <c r="BA779" s="139"/>
      <c r="BB779" s="139"/>
      <c r="BC779" s="139"/>
      <c r="BD779" s="139"/>
      <c r="BE779" s="139"/>
      <c r="BF779" s="139"/>
      <c r="BG779" s="139"/>
      <c r="BH779" s="139"/>
    </row>
    <row r="780" spans="2:60" s="11" customFormat="1" ht="19.899999999999999" customHeight="1">
      <c r="B780" s="5590"/>
      <c r="C780" s="9647" t="s">
        <v>140</v>
      </c>
      <c r="D780" s="9648"/>
      <c r="E780" s="9649"/>
      <c r="F780" s="492" t="s">
        <v>33</v>
      </c>
      <c r="G780" s="253"/>
      <c r="H780" s="9579" t="s">
        <v>141</v>
      </c>
      <c r="I780" s="9580"/>
      <c r="J780" s="9581"/>
      <c r="K780" s="5591" t="s">
        <v>35</v>
      </c>
      <c r="L780" s="5592">
        <v>23.029875194958798</v>
      </c>
      <c r="M780" s="5656"/>
      <c r="N780" s="5593">
        <v>21.383623111717842</v>
      </c>
      <c r="O780" s="5593"/>
      <c r="P780" s="5593">
        <v>35.59983577152083</v>
      </c>
      <c r="Q780" s="5593"/>
      <c r="R780" s="1033"/>
      <c r="S780" s="263"/>
      <c r="T780" s="99"/>
      <c r="U780" s="138"/>
      <c r="V780" s="138"/>
      <c r="W780" s="99"/>
      <c r="X780" s="264"/>
      <c r="Y780" s="277"/>
      <c r="Z780" s="187"/>
      <c r="AA780" s="6301"/>
      <c r="AB780" s="139"/>
      <c r="AC780" s="139"/>
      <c r="AD780" s="139"/>
      <c r="AE780" s="139"/>
      <c r="AF780" s="139"/>
      <c r="AG780" s="139"/>
      <c r="AH780" s="139"/>
      <c r="AI780" s="139"/>
      <c r="AJ780" s="139"/>
      <c r="AK780" s="139"/>
      <c r="AL780" s="139"/>
      <c r="AM780" s="139"/>
      <c r="AN780" s="139"/>
      <c r="AO780" s="139"/>
      <c r="AP780" s="139"/>
      <c r="AQ780" s="139"/>
      <c r="AR780" s="139"/>
      <c r="AS780" s="139"/>
      <c r="AT780" s="139"/>
      <c r="AU780" s="139"/>
      <c r="AV780" s="139"/>
      <c r="AW780" s="139"/>
      <c r="AX780" s="139"/>
      <c r="AY780" s="139"/>
      <c r="AZ780" s="139"/>
      <c r="BA780" s="139"/>
      <c r="BB780" s="139"/>
      <c r="BC780" s="139"/>
      <c r="BD780" s="139"/>
      <c r="BE780" s="139"/>
      <c r="BF780" s="139"/>
      <c r="BG780" s="139"/>
      <c r="BH780" s="139"/>
    </row>
    <row r="781" spans="2:60" s="11" customFormat="1" ht="19.899999999999999" customHeight="1">
      <c r="B781" s="5590"/>
      <c r="C781" s="9647" t="s">
        <v>143</v>
      </c>
      <c r="D781" s="9648"/>
      <c r="E781" s="9649"/>
      <c r="F781" s="492" t="s">
        <v>33</v>
      </c>
      <c r="G781" s="253"/>
      <c r="H781" s="9579" t="s">
        <v>144</v>
      </c>
      <c r="I781" s="9580"/>
      <c r="J781" s="9581"/>
      <c r="K781" s="5591" t="s">
        <v>35</v>
      </c>
      <c r="L781" s="5592"/>
      <c r="M781" s="5656"/>
      <c r="N781" s="5593"/>
      <c r="O781" s="5593"/>
      <c r="P781" s="5593"/>
      <c r="Q781" s="5593"/>
      <c r="R781" s="1033"/>
      <c r="S781" s="263"/>
      <c r="T781" s="99"/>
      <c r="U781" s="138"/>
      <c r="V781" s="138"/>
      <c r="W781" s="99"/>
      <c r="X781" s="264"/>
      <c r="Y781" s="277"/>
      <c r="Z781" s="187"/>
      <c r="AA781" s="6301"/>
      <c r="AB781" s="139"/>
      <c r="AC781" s="139"/>
      <c r="AD781" s="139"/>
      <c r="AE781" s="139"/>
      <c r="AF781" s="139"/>
      <c r="AG781" s="139"/>
      <c r="AH781" s="139"/>
      <c r="AI781" s="139"/>
      <c r="AJ781" s="139"/>
      <c r="AK781" s="139"/>
      <c r="AL781" s="139"/>
      <c r="AM781" s="139"/>
      <c r="AN781" s="139"/>
      <c r="AO781" s="139"/>
      <c r="AP781" s="139"/>
      <c r="AQ781" s="139"/>
      <c r="AR781" s="139"/>
      <c r="AS781" s="139"/>
      <c r="AT781" s="139"/>
      <c r="AU781" s="139"/>
      <c r="AV781" s="139"/>
      <c r="AW781" s="139"/>
      <c r="AX781" s="139"/>
      <c r="AY781" s="139"/>
      <c r="AZ781" s="139"/>
      <c r="BA781" s="139"/>
      <c r="BB781" s="139"/>
      <c r="BC781" s="139"/>
      <c r="BD781" s="139"/>
      <c r="BE781" s="139"/>
      <c r="BF781" s="139"/>
      <c r="BG781" s="139"/>
      <c r="BH781" s="139"/>
    </row>
    <row r="782" spans="2:60" s="11" customFormat="1" ht="19.899999999999999" customHeight="1">
      <c r="B782" s="5590"/>
      <c r="C782" s="9647" t="s">
        <v>631</v>
      </c>
      <c r="D782" s="9648"/>
      <c r="E782" s="9649"/>
      <c r="F782" s="492" t="s">
        <v>33</v>
      </c>
      <c r="G782" s="253"/>
      <c r="H782" s="9579" t="s">
        <v>147</v>
      </c>
      <c r="I782" s="9580"/>
      <c r="J782" s="9581"/>
      <c r="K782" s="5591" t="s">
        <v>35</v>
      </c>
      <c r="L782" s="5967" t="s">
        <v>168</v>
      </c>
      <c r="M782" s="5656" t="s">
        <v>641</v>
      </c>
      <c r="N782" s="5593" t="s">
        <v>168</v>
      </c>
      <c r="O782" s="5593" t="s">
        <v>641</v>
      </c>
      <c r="P782" s="5593" t="s">
        <v>168</v>
      </c>
      <c r="Q782" s="5593" t="s">
        <v>641</v>
      </c>
      <c r="R782" s="1033"/>
      <c r="S782" s="263"/>
      <c r="T782" s="99"/>
      <c r="U782" s="138"/>
      <c r="V782" s="138"/>
      <c r="W782" s="99"/>
      <c r="X782" s="264"/>
      <c r="Y782" s="277"/>
      <c r="Z782" s="187"/>
      <c r="AA782" s="6301"/>
      <c r="AB782" s="139"/>
      <c r="AC782" s="139"/>
      <c r="AD782" s="139"/>
      <c r="AE782" s="139"/>
      <c r="AF782" s="139"/>
      <c r="AG782" s="139"/>
      <c r="AH782" s="139"/>
      <c r="AI782" s="139"/>
      <c r="AJ782" s="139"/>
      <c r="AK782" s="139"/>
      <c r="AL782" s="139"/>
      <c r="AM782" s="139"/>
      <c r="AN782" s="139"/>
      <c r="AO782" s="139"/>
      <c r="AP782" s="139"/>
      <c r="AQ782" s="139"/>
      <c r="AR782" s="139"/>
      <c r="AS782" s="139"/>
      <c r="AT782" s="139"/>
      <c r="AU782" s="139"/>
      <c r="AV782" s="139"/>
      <c r="AW782" s="139"/>
      <c r="AX782" s="139"/>
      <c r="AY782" s="139"/>
      <c r="AZ782" s="139"/>
      <c r="BA782" s="139"/>
      <c r="BB782" s="139"/>
      <c r="BC782" s="139"/>
      <c r="BD782" s="139"/>
      <c r="BE782" s="139"/>
      <c r="BF782" s="139"/>
      <c r="BG782" s="139"/>
      <c r="BH782" s="139"/>
    </row>
    <row r="783" spans="2:60" s="11" customFormat="1" ht="19.899999999999999" customHeight="1">
      <c r="B783" s="5590"/>
      <c r="C783" s="9647" t="s">
        <v>633</v>
      </c>
      <c r="D783" s="9648"/>
      <c r="E783" s="9649"/>
      <c r="F783" s="492" t="s">
        <v>33</v>
      </c>
      <c r="G783" s="253"/>
      <c r="H783" s="9579" t="s">
        <v>150</v>
      </c>
      <c r="I783" s="9580"/>
      <c r="J783" s="9581"/>
      <c r="K783" s="5591" t="s">
        <v>35</v>
      </c>
      <c r="L783" s="5967" t="s">
        <v>168</v>
      </c>
      <c r="M783" s="5656" t="s">
        <v>641</v>
      </c>
      <c r="N783" s="5593" t="s">
        <v>168</v>
      </c>
      <c r="O783" s="5593" t="s">
        <v>641</v>
      </c>
      <c r="P783" s="5593" t="s">
        <v>168</v>
      </c>
      <c r="Q783" s="5593" t="s">
        <v>641</v>
      </c>
      <c r="R783" s="1033"/>
      <c r="S783" s="263"/>
      <c r="T783" s="99"/>
      <c r="U783" s="138"/>
      <c r="V783" s="138"/>
      <c r="W783" s="99"/>
      <c r="X783" s="264"/>
      <c r="Y783" s="277"/>
      <c r="Z783" s="187"/>
      <c r="AA783" s="6301"/>
      <c r="AB783" s="139"/>
      <c r="AC783" s="139"/>
      <c r="AD783" s="139"/>
      <c r="AE783" s="139"/>
      <c r="AF783" s="139"/>
      <c r="AG783" s="139"/>
      <c r="AH783" s="139"/>
      <c r="AI783" s="139"/>
      <c r="AJ783" s="139"/>
      <c r="AK783" s="139"/>
      <c r="AL783" s="139"/>
      <c r="AM783" s="139"/>
      <c r="AN783" s="139"/>
      <c r="AO783" s="139"/>
      <c r="AP783" s="139"/>
      <c r="AQ783" s="139"/>
      <c r="AR783" s="139"/>
      <c r="AS783" s="139"/>
      <c r="AT783" s="139"/>
      <c r="AU783" s="139"/>
      <c r="AV783" s="139"/>
      <c r="AW783" s="139"/>
      <c r="AX783" s="139"/>
      <c r="AY783" s="139"/>
      <c r="AZ783" s="139"/>
      <c r="BA783" s="139"/>
      <c r="BB783" s="139"/>
      <c r="BC783" s="139"/>
      <c r="BD783" s="139"/>
      <c r="BE783" s="139"/>
      <c r="BF783" s="139"/>
      <c r="BG783" s="139"/>
      <c r="BH783" s="139"/>
    </row>
    <row r="784" spans="2:60" s="11" customFormat="1" ht="20.100000000000001" customHeight="1">
      <c r="B784" s="1360"/>
      <c r="C784" s="9656" t="s">
        <v>556</v>
      </c>
      <c r="D784" s="9587"/>
      <c r="E784" s="9588"/>
      <c r="F784" s="492" t="s">
        <v>557</v>
      </c>
      <c r="G784" s="386"/>
      <c r="H784" s="9586" t="s">
        <v>558</v>
      </c>
      <c r="I784" s="9587"/>
      <c r="J784" s="9588"/>
      <c r="K784" s="492" t="s">
        <v>559</v>
      </c>
      <c r="L784" s="5653" t="str">
        <f>IF(COUNTBLANK(L785:L790)&gt;0,"미취합법인有",SUM(L785:L790))</f>
        <v>미취합법인有</v>
      </c>
      <c r="M784" s="5657"/>
      <c r="N784" s="5654" t="str">
        <f>IF(COUNTBLANK(N785:N790)&gt;0,"미취합법인有",SUM(N785:N790))</f>
        <v>미취합법인有</v>
      </c>
      <c r="O784" s="5663"/>
      <c r="P784" s="5781" t="str">
        <f>IF(COUNTBLANK(P785:P790)&gt;0,"미취합법인有",SUM(P785:P790))</f>
        <v>미취합법인有</v>
      </c>
      <c r="Q784" s="785"/>
      <c r="R784" s="2472"/>
      <c r="S784" s="457"/>
      <c r="T784" s="99" t="s">
        <v>189</v>
      </c>
      <c r="U784" s="547"/>
      <c r="V784" s="547"/>
      <c r="W784" s="99"/>
      <c r="X784" s="154" t="s">
        <v>561</v>
      </c>
      <c r="Y784" s="154"/>
      <c r="Z784" s="159"/>
      <c r="AA784" s="6301"/>
      <c r="AB784" s="139"/>
      <c r="AC784" s="139"/>
      <c r="AD784" s="139"/>
      <c r="AE784" s="139"/>
      <c r="AF784" s="139"/>
      <c r="AG784" s="139"/>
      <c r="AH784" s="139"/>
      <c r="AI784" s="139"/>
      <c r="AJ784" s="139"/>
      <c r="AK784" s="139"/>
      <c r="AL784" s="139"/>
      <c r="AM784" s="139"/>
      <c r="AN784" s="139"/>
      <c r="AO784" s="139"/>
      <c r="AP784" s="139"/>
      <c r="AQ784" s="139"/>
      <c r="AR784" s="139"/>
      <c r="AS784" s="139"/>
      <c r="AT784" s="139"/>
      <c r="AU784" s="139"/>
      <c r="AV784" s="139"/>
      <c r="AW784" s="139"/>
      <c r="AX784" s="139"/>
      <c r="AY784" s="139"/>
      <c r="AZ784" s="139"/>
      <c r="BA784" s="139"/>
      <c r="BB784" s="139"/>
      <c r="BC784" s="139"/>
      <c r="BD784" s="139"/>
      <c r="BE784" s="139"/>
      <c r="BF784" s="139"/>
      <c r="BG784" s="139"/>
      <c r="BH784" s="139"/>
    </row>
    <row r="785" spans="2:60" s="11" customFormat="1" ht="19.899999999999999" customHeight="1">
      <c r="B785" s="5590"/>
      <c r="C785" s="9647" t="s">
        <v>134</v>
      </c>
      <c r="D785" s="9648"/>
      <c r="E785" s="9649"/>
      <c r="F785" s="492" t="s">
        <v>557</v>
      </c>
      <c r="G785" s="253"/>
      <c r="H785" s="9579" t="s">
        <v>135</v>
      </c>
      <c r="I785" s="9580"/>
      <c r="J785" s="9581"/>
      <c r="K785" s="492" t="s">
        <v>559</v>
      </c>
      <c r="L785" s="5592"/>
      <c r="M785" s="5656"/>
      <c r="N785" s="5593"/>
      <c r="O785" s="5656"/>
      <c r="P785" s="5693">
        <v>124</v>
      </c>
      <c r="Q785" s="5593"/>
      <c r="R785" s="1033"/>
      <c r="S785" s="263"/>
      <c r="T785" s="99"/>
      <c r="U785" s="138"/>
      <c r="V785" s="138"/>
      <c r="W785" s="99"/>
      <c r="X785" s="264"/>
      <c r="Y785" s="277"/>
      <c r="Z785" s="187"/>
      <c r="AA785" s="6301"/>
      <c r="AB785" s="139"/>
      <c r="AC785" s="139"/>
      <c r="AD785" s="139"/>
      <c r="AE785" s="139"/>
      <c r="AF785" s="139"/>
      <c r="AG785" s="139"/>
      <c r="AH785" s="139"/>
      <c r="AI785" s="139"/>
      <c r="AJ785" s="139"/>
      <c r="AK785" s="139"/>
      <c r="AL785" s="139"/>
      <c r="AM785" s="139"/>
      <c r="AN785" s="139"/>
      <c r="AO785" s="139"/>
      <c r="AP785" s="139"/>
      <c r="AQ785" s="139"/>
      <c r="AR785" s="139"/>
      <c r="AS785" s="139"/>
      <c r="AT785" s="139"/>
      <c r="AU785" s="139"/>
      <c r="AV785" s="139"/>
      <c r="AW785" s="139"/>
      <c r="AX785" s="139"/>
      <c r="AY785" s="139"/>
      <c r="AZ785" s="139"/>
      <c r="BA785" s="139"/>
      <c r="BB785" s="139"/>
      <c r="BC785" s="139"/>
      <c r="BD785" s="139"/>
      <c r="BE785" s="139"/>
      <c r="BF785" s="139"/>
      <c r="BG785" s="139"/>
      <c r="BH785" s="139"/>
    </row>
    <row r="786" spans="2:60" s="11" customFormat="1" ht="19.899999999999999" customHeight="1">
      <c r="B786" s="5590"/>
      <c r="C786" s="9647" t="s">
        <v>137</v>
      </c>
      <c r="D786" s="9648"/>
      <c r="E786" s="9649"/>
      <c r="F786" s="492" t="s">
        <v>557</v>
      </c>
      <c r="G786" s="253"/>
      <c r="H786" s="9579" t="s">
        <v>138</v>
      </c>
      <c r="I786" s="9580"/>
      <c r="J786" s="9581"/>
      <c r="K786" s="492" t="s">
        <v>559</v>
      </c>
      <c r="L786" s="5691">
        <v>1</v>
      </c>
      <c r="M786" s="5692"/>
      <c r="N786" s="5693">
        <v>1</v>
      </c>
      <c r="O786" s="5693"/>
      <c r="P786" s="5693">
        <v>1</v>
      </c>
      <c r="Q786" s="5593"/>
      <c r="R786" s="1033"/>
      <c r="S786" s="263"/>
      <c r="T786" s="99"/>
      <c r="U786" s="138"/>
      <c r="V786" s="138"/>
      <c r="W786" s="99"/>
      <c r="X786" s="264"/>
      <c r="Y786" s="277"/>
      <c r="Z786" s="187"/>
      <c r="AA786" s="6301"/>
      <c r="AB786" s="139"/>
      <c r="AC786" s="139"/>
      <c r="AD786" s="139"/>
      <c r="AE786" s="139"/>
      <c r="AF786" s="139"/>
      <c r="AG786" s="139"/>
      <c r="AH786" s="139"/>
      <c r="AI786" s="139"/>
      <c r="AJ786" s="139"/>
      <c r="AK786" s="139"/>
      <c r="AL786" s="139"/>
      <c r="AM786" s="139"/>
      <c r="AN786" s="139"/>
      <c r="AO786" s="139"/>
      <c r="AP786" s="139"/>
      <c r="AQ786" s="139"/>
      <c r="AR786" s="139"/>
      <c r="AS786" s="139"/>
      <c r="AT786" s="139"/>
      <c r="AU786" s="139"/>
      <c r="AV786" s="139"/>
      <c r="AW786" s="139"/>
      <c r="AX786" s="139"/>
      <c r="AY786" s="139"/>
      <c r="AZ786" s="139"/>
      <c r="BA786" s="139"/>
      <c r="BB786" s="139"/>
      <c r="BC786" s="139"/>
      <c r="BD786" s="139"/>
      <c r="BE786" s="139"/>
      <c r="BF786" s="139"/>
      <c r="BG786" s="139"/>
      <c r="BH786" s="139"/>
    </row>
    <row r="787" spans="2:60" s="11" customFormat="1" ht="19.899999999999999" customHeight="1">
      <c r="B787" s="5590"/>
      <c r="C787" s="9647" t="s">
        <v>140</v>
      </c>
      <c r="D787" s="9648"/>
      <c r="E787" s="9649"/>
      <c r="F787" s="492" t="s">
        <v>557</v>
      </c>
      <c r="G787" s="253"/>
      <c r="H787" s="9579" t="s">
        <v>141</v>
      </c>
      <c r="I787" s="9580"/>
      <c r="J787" s="9581"/>
      <c r="K787" s="492" t="s">
        <v>559</v>
      </c>
      <c r="L787" s="5967" t="s">
        <v>168</v>
      </c>
      <c r="M787" s="5656" t="s">
        <v>641</v>
      </c>
      <c r="N787" s="5593" t="s">
        <v>168</v>
      </c>
      <c r="O787" s="5593" t="s">
        <v>641</v>
      </c>
      <c r="P787" s="5593" t="s">
        <v>168</v>
      </c>
      <c r="Q787" s="5593" t="s">
        <v>641</v>
      </c>
      <c r="R787" s="1033"/>
      <c r="S787" s="263"/>
      <c r="T787" s="99"/>
      <c r="U787" s="138"/>
      <c r="V787" s="138"/>
      <c r="W787" s="99"/>
      <c r="X787" s="264"/>
      <c r="Y787" s="277"/>
      <c r="Z787" s="187"/>
      <c r="AA787" s="6301"/>
      <c r="AB787" s="139"/>
      <c r="AC787" s="139"/>
      <c r="AD787" s="139"/>
      <c r="AE787" s="139"/>
      <c r="AF787" s="139"/>
      <c r="AG787" s="139"/>
      <c r="AH787" s="139"/>
      <c r="AI787" s="139"/>
      <c r="AJ787" s="139"/>
      <c r="AK787" s="139"/>
      <c r="AL787" s="139"/>
      <c r="AM787" s="139"/>
      <c r="AN787" s="139"/>
      <c r="AO787" s="139"/>
      <c r="AP787" s="139"/>
      <c r="AQ787" s="139"/>
      <c r="AR787" s="139"/>
      <c r="AS787" s="139"/>
      <c r="AT787" s="139"/>
      <c r="AU787" s="139"/>
      <c r="AV787" s="139"/>
      <c r="AW787" s="139"/>
      <c r="AX787" s="139"/>
      <c r="AY787" s="139"/>
      <c r="AZ787" s="139"/>
      <c r="BA787" s="139"/>
      <c r="BB787" s="139"/>
      <c r="BC787" s="139"/>
      <c r="BD787" s="139"/>
      <c r="BE787" s="139"/>
      <c r="BF787" s="139"/>
      <c r="BG787" s="139"/>
      <c r="BH787" s="139"/>
    </row>
    <row r="788" spans="2:60" s="11" customFormat="1" ht="19.899999999999999" customHeight="1">
      <c r="B788" s="5590"/>
      <c r="C788" s="9647" t="s">
        <v>143</v>
      </c>
      <c r="D788" s="9648"/>
      <c r="E788" s="9649"/>
      <c r="F788" s="492" t="s">
        <v>557</v>
      </c>
      <c r="G788" s="253"/>
      <c r="H788" s="9579" t="s">
        <v>144</v>
      </c>
      <c r="I788" s="9580"/>
      <c r="J788" s="9581"/>
      <c r="K788" s="492" t="s">
        <v>559</v>
      </c>
      <c r="L788" s="5592"/>
      <c r="M788" s="5656"/>
      <c r="N788" s="5593"/>
      <c r="O788" s="5593"/>
      <c r="P788" s="5593"/>
      <c r="Q788" s="5593"/>
      <c r="R788" s="1033"/>
      <c r="S788" s="263"/>
      <c r="T788" s="99"/>
      <c r="U788" s="138"/>
      <c r="V788" s="138"/>
      <c r="W788" s="99"/>
      <c r="X788" s="264"/>
      <c r="Y788" s="277"/>
      <c r="Z788" s="187"/>
      <c r="AA788" s="6301"/>
      <c r="AB788" s="139"/>
      <c r="AC788" s="139"/>
      <c r="AD788" s="139"/>
      <c r="AE788" s="139"/>
      <c r="AF788" s="139"/>
      <c r="AG788" s="139"/>
      <c r="AH788" s="139"/>
      <c r="AI788" s="139"/>
      <c r="AJ788" s="139"/>
      <c r="AK788" s="139"/>
      <c r="AL788" s="139"/>
      <c r="AM788" s="139"/>
      <c r="AN788" s="139"/>
      <c r="AO788" s="139"/>
      <c r="AP788" s="139"/>
      <c r="AQ788" s="139"/>
      <c r="AR788" s="139"/>
      <c r="AS788" s="139"/>
      <c r="AT788" s="139"/>
      <c r="AU788" s="139"/>
      <c r="AV788" s="139"/>
      <c r="AW788" s="139"/>
      <c r="AX788" s="139"/>
      <c r="AY788" s="139"/>
      <c r="AZ788" s="139"/>
      <c r="BA788" s="139"/>
      <c r="BB788" s="139"/>
      <c r="BC788" s="139"/>
      <c r="BD788" s="139"/>
      <c r="BE788" s="139"/>
      <c r="BF788" s="139"/>
      <c r="BG788" s="139"/>
      <c r="BH788" s="139"/>
    </row>
    <row r="789" spans="2:60" s="11" customFormat="1" ht="19.899999999999999" customHeight="1">
      <c r="B789" s="5590"/>
      <c r="C789" s="9647" t="s">
        <v>631</v>
      </c>
      <c r="D789" s="9648"/>
      <c r="E789" s="9649"/>
      <c r="F789" s="492" t="s">
        <v>557</v>
      </c>
      <c r="G789" s="253"/>
      <c r="H789" s="9579" t="s">
        <v>147</v>
      </c>
      <c r="I789" s="9580"/>
      <c r="J789" s="9581"/>
      <c r="K789" s="492" t="s">
        <v>559</v>
      </c>
      <c r="L789" s="5967" t="s">
        <v>168</v>
      </c>
      <c r="M789" s="5656" t="s">
        <v>641</v>
      </c>
      <c r="N789" s="5593" t="s">
        <v>168</v>
      </c>
      <c r="O789" s="5593" t="s">
        <v>641</v>
      </c>
      <c r="P789" s="5593" t="s">
        <v>168</v>
      </c>
      <c r="Q789" s="5593" t="s">
        <v>641</v>
      </c>
      <c r="R789" s="1033"/>
      <c r="S789" s="263"/>
      <c r="T789" s="99"/>
      <c r="U789" s="138"/>
      <c r="V789" s="138"/>
      <c r="W789" s="99"/>
      <c r="X789" s="264"/>
      <c r="Y789" s="277"/>
      <c r="Z789" s="187"/>
      <c r="AA789" s="6301"/>
      <c r="AB789" s="139"/>
      <c r="AC789" s="139"/>
      <c r="AD789" s="139"/>
      <c r="AE789" s="139"/>
      <c r="AF789" s="139"/>
      <c r="AG789" s="139"/>
      <c r="AH789" s="139"/>
      <c r="AI789" s="139"/>
      <c r="AJ789" s="139"/>
      <c r="AK789" s="139"/>
      <c r="AL789" s="139"/>
      <c r="AM789" s="139"/>
      <c r="AN789" s="139"/>
      <c r="AO789" s="139"/>
      <c r="AP789" s="139"/>
      <c r="AQ789" s="139"/>
      <c r="AR789" s="139"/>
      <c r="AS789" s="139"/>
      <c r="AT789" s="139"/>
      <c r="AU789" s="139"/>
      <c r="AV789" s="139"/>
      <c r="AW789" s="139"/>
      <c r="AX789" s="139"/>
      <c r="AY789" s="139"/>
      <c r="AZ789" s="139"/>
      <c r="BA789" s="139"/>
      <c r="BB789" s="139"/>
      <c r="BC789" s="139"/>
      <c r="BD789" s="139"/>
      <c r="BE789" s="139"/>
      <c r="BF789" s="139"/>
      <c r="BG789" s="139"/>
      <c r="BH789" s="139"/>
    </row>
    <row r="790" spans="2:60" s="11" customFormat="1" ht="19.899999999999999" customHeight="1">
      <c r="B790" s="5590"/>
      <c r="C790" s="9647" t="s">
        <v>633</v>
      </c>
      <c r="D790" s="9648"/>
      <c r="E790" s="9649"/>
      <c r="F790" s="492" t="s">
        <v>557</v>
      </c>
      <c r="G790" s="253"/>
      <c r="H790" s="9579" t="s">
        <v>150</v>
      </c>
      <c r="I790" s="9580"/>
      <c r="J790" s="9581"/>
      <c r="K790" s="492" t="s">
        <v>559</v>
      </c>
      <c r="L790" s="5592">
        <v>0</v>
      </c>
      <c r="M790" s="5656"/>
      <c r="N790" s="5593">
        <v>0</v>
      </c>
      <c r="O790" s="5593"/>
      <c r="P790" s="5593">
        <v>0</v>
      </c>
      <c r="Q790" s="5593"/>
      <c r="R790" s="1033"/>
      <c r="S790" s="263"/>
      <c r="T790" s="99"/>
      <c r="U790" s="138"/>
      <c r="V790" s="138"/>
      <c r="W790" s="99"/>
      <c r="X790" s="264"/>
      <c r="Y790" s="277"/>
      <c r="Z790" s="187"/>
      <c r="AA790" s="6301"/>
      <c r="AB790" s="139"/>
      <c r="AC790" s="139"/>
      <c r="AD790" s="139"/>
      <c r="AE790" s="139"/>
      <c r="AF790" s="139"/>
      <c r="AG790" s="139"/>
      <c r="AH790" s="139"/>
      <c r="AI790" s="139"/>
      <c r="AJ790" s="139"/>
      <c r="AK790" s="139"/>
      <c r="AL790" s="139"/>
      <c r="AM790" s="139"/>
      <c r="AN790" s="139"/>
      <c r="AO790" s="139"/>
      <c r="AP790" s="139"/>
      <c r="AQ790" s="139"/>
      <c r="AR790" s="139"/>
      <c r="AS790" s="139"/>
      <c r="AT790" s="139"/>
      <c r="AU790" s="139"/>
      <c r="AV790" s="139"/>
      <c r="AW790" s="139"/>
      <c r="AX790" s="139"/>
      <c r="AY790" s="139"/>
      <c r="AZ790" s="139"/>
      <c r="BA790" s="139"/>
      <c r="BB790" s="139"/>
      <c r="BC790" s="139"/>
      <c r="BD790" s="139"/>
      <c r="BE790" s="139"/>
      <c r="BF790" s="139"/>
      <c r="BG790" s="139"/>
      <c r="BH790" s="139"/>
    </row>
    <row r="791" spans="2:60" s="11" customFormat="1" ht="20.100000000000001" customHeight="1">
      <c r="B791" s="1360"/>
      <c r="C791" s="9656" t="s">
        <v>563</v>
      </c>
      <c r="D791" s="9587"/>
      <c r="E791" s="9588"/>
      <c r="F791" s="492" t="s">
        <v>557</v>
      </c>
      <c r="G791" s="386"/>
      <c r="H791" s="9586" t="s">
        <v>564</v>
      </c>
      <c r="I791" s="9587"/>
      <c r="J791" s="9588"/>
      <c r="K791" s="492" t="s">
        <v>559</v>
      </c>
      <c r="L791" s="5653" t="str">
        <f>IF(COUNTBLANK(L792:L797)&gt;0,"미취합법인有",SUM(L792:L797))</f>
        <v>미취합법인有</v>
      </c>
      <c r="M791" s="5657"/>
      <c r="N791" s="5654" t="str">
        <f>IF(COUNTBLANK(N792:N797)&gt;0,"미취합법인有",SUM(N792:N797))</f>
        <v>미취합법인有</v>
      </c>
      <c r="O791" s="5663"/>
      <c r="P791" s="5781" t="str">
        <f>IF(COUNTBLANK(P792:P797)&gt;0,"미취합법인有",SUM(P792:P797))</f>
        <v>미취합법인有</v>
      </c>
      <c r="Q791" s="785"/>
      <c r="R791" s="2468" t="s">
        <v>719</v>
      </c>
      <c r="S791" s="276" t="s">
        <v>566</v>
      </c>
      <c r="T791" s="99" t="s">
        <v>567</v>
      </c>
      <c r="U791" s="547"/>
      <c r="V791" s="547"/>
      <c r="W791" s="99"/>
      <c r="X791" s="154" t="s">
        <v>568</v>
      </c>
      <c r="Y791" s="154"/>
      <c r="Z791" s="159" t="s">
        <v>569</v>
      </c>
      <c r="AA791" s="6301"/>
      <c r="AB791" s="139"/>
      <c r="AC791" s="139"/>
      <c r="AD791" s="139"/>
      <c r="AE791" s="139"/>
      <c r="AF791" s="139"/>
      <c r="AG791" s="139"/>
      <c r="AH791" s="139"/>
      <c r="AI791" s="139"/>
      <c r="AJ791" s="139"/>
      <c r="AK791" s="139"/>
      <c r="AL791" s="139"/>
      <c r="AM791" s="139"/>
      <c r="AN791" s="139"/>
      <c r="AO791" s="139"/>
      <c r="AP791" s="139"/>
      <c r="AQ791" s="139"/>
      <c r="AR791" s="139"/>
      <c r="AS791" s="139"/>
      <c r="AT791" s="139"/>
      <c r="AU791" s="139"/>
      <c r="AV791" s="139"/>
      <c r="AW791" s="139"/>
      <c r="AX791" s="139"/>
      <c r="AY791" s="139"/>
      <c r="AZ791" s="139"/>
      <c r="BA791" s="139"/>
      <c r="BB791" s="139"/>
      <c r="BC791" s="139"/>
      <c r="BD791" s="139"/>
      <c r="BE791" s="139"/>
      <c r="BF791" s="139"/>
      <c r="BG791" s="139"/>
      <c r="BH791" s="139"/>
    </row>
    <row r="792" spans="2:60" s="11" customFormat="1" ht="19.899999999999999" customHeight="1">
      <c r="B792" s="5590"/>
      <c r="C792" s="9647" t="s">
        <v>134</v>
      </c>
      <c r="D792" s="9648"/>
      <c r="E792" s="9649"/>
      <c r="F792" s="492" t="s">
        <v>557</v>
      </c>
      <c r="G792" s="253"/>
      <c r="H792" s="9579" t="s">
        <v>135</v>
      </c>
      <c r="I792" s="9580"/>
      <c r="J792" s="9581"/>
      <c r="K792" s="492" t="s">
        <v>559</v>
      </c>
      <c r="L792" s="5691">
        <v>0</v>
      </c>
      <c r="M792" s="5656"/>
      <c r="N792" s="5693">
        <v>0</v>
      </c>
      <c r="O792" s="5656"/>
      <c r="P792" s="5693">
        <v>0</v>
      </c>
      <c r="Q792" s="5593"/>
      <c r="R792" s="1033"/>
      <c r="S792" s="263"/>
      <c r="T792" s="99"/>
      <c r="U792" s="138"/>
      <c r="V792" s="138"/>
      <c r="W792" s="99"/>
      <c r="X792" s="264"/>
      <c r="Y792" s="277"/>
      <c r="Z792" s="187"/>
      <c r="AA792" s="6301"/>
      <c r="AB792" s="139"/>
      <c r="AC792" s="139"/>
      <c r="AD792" s="139"/>
      <c r="AE792" s="139"/>
      <c r="AF792" s="139"/>
      <c r="AG792" s="139"/>
      <c r="AH792" s="139"/>
      <c r="AI792" s="139"/>
      <c r="AJ792" s="139"/>
      <c r="AK792" s="139"/>
      <c r="AL792" s="139"/>
      <c r="AM792" s="139"/>
      <c r="AN792" s="139"/>
      <c r="AO792" s="139"/>
      <c r="AP792" s="139"/>
      <c r="AQ792" s="139"/>
      <c r="AR792" s="139"/>
      <c r="AS792" s="139"/>
      <c r="AT792" s="139"/>
      <c r="AU792" s="139"/>
      <c r="AV792" s="139"/>
      <c r="AW792" s="139"/>
      <c r="AX792" s="139"/>
      <c r="AY792" s="139"/>
      <c r="AZ792" s="139"/>
      <c r="BA792" s="139"/>
      <c r="BB792" s="139"/>
      <c r="BC792" s="139"/>
      <c r="BD792" s="139"/>
      <c r="BE792" s="139"/>
      <c r="BF792" s="139"/>
      <c r="BG792" s="139"/>
      <c r="BH792" s="139"/>
    </row>
    <row r="793" spans="2:60" s="11" customFormat="1" ht="19.899999999999999" customHeight="1">
      <c r="B793" s="5590"/>
      <c r="C793" s="9647" t="s">
        <v>137</v>
      </c>
      <c r="D793" s="9648"/>
      <c r="E793" s="9649"/>
      <c r="F793" s="492" t="s">
        <v>557</v>
      </c>
      <c r="G793" s="253"/>
      <c r="H793" s="9579" t="s">
        <v>138</v>
      </c>
      <c r="I793" s="9580"/>
      <c r="J793" s="9581"/>
      <c r="K793" s="492" t="s">
        <v>559</v>
      </c>
      <c r="L793" s="5691">
        <v>0</v>
      </c>
      <c r="M793" s="5692"/>
      <c r="N793" s="5693">
        <v>0</v>
      </c>
      <c r="O793" s="5693"/>
      <c r="P793" s="5693">
        <v>0</v>
      </c>
      <c r="Q793" s="5593"/>
      <c r="R793" s="1033"/>
      <c r="S793" s="263"/>
      <c r="T793" s="99"/>
      <c r="U793" s="138"/>
      <c r="V793" s="138"/>
      <c r="W793" s="99"/>
      <c r="X793" s="264"/>
      <c r="Y793" s="277"/>
      <c r="Z793" s="187"/>
      <c r="AA793" s="6301"/>
      <c r="AB793" s="139"/>
      <c r="AC793" s="139"/>
      <c r="AD793" s="139"/>
      <c r="AE793" s="139"/>
      <c r="AF793" s="139"/>
      <c r="AG793" s="139"/>
      <c r="AH793" s="139"/>
      <c r="AI793" s="139"/>
      <c r="AJ793" s="139"/>
      <c r="AK793" s="139"/>
      <c r="AL793" s="139"/>
      <c r="AM793" s="139"/>
      <c r="AN793" s="139"/>
      <c r="AO793" s="139"/>
      <c r="AP793" s="139"/>
      <c r="AQ793" s="139"/>
      <c r="AR793" s="139"/>
      <c r="AS793" s="139"/>
      <c r="AT793" s="139"/>
      <c r="AU793" s="139"/>
      <c r="AV793" s="139"/>
      <c r="AW793" s="139"/>
      <c r="AX793" s="139"/>
      <c r="AY793" s="139"/>
      <c r="AZ793" s="139"/>
      <c r="BA793" s="139"/>
      <c r="BB793" s="139"/>
      <c r="BC793" s="139"/>
      <c r="BD793" s="139"/>
      <c r="BE793" s="139"/>
      <c r="BF793" s="139"/>
      <c r="BG793" s="139"/>
      <c r="BH793" s="139"/>
    </row>
    <row r="794" spans="2:60" s="11" customFormat="1" ht="19.899999999999999" customHeight="1">
      <c r="B794" s="5590"/>
      <c r="C794" s="9647" t="s">
        <v>140</v>
      </c>
      <c r="D794" s="9648"/>
      <c r="E794" s="9649"/>
      <c r="F794" s="492" t="s">
        <v>557</v>
      </c>
      <c r="G794" s="253"/>
      <c r="H794" s="9579" t="s">
        <v>141</v>
      </c>
      <c r="I794" s="9580"/>
      <c r="J794" s="9581"/>
      <c r="K794" s="492" t="s">
        <v>559</v>
      </c>
      <c r="L794" s="5691">
        <v>0</v>
      </c>
      <c r="M794" s="5656"/>
      <c r="N794" s="5693">
        <v>0</v>
      </c>
      <c r="O794" s="5593"/>
      <c r="P794" s="5693">
        <v>0</v>
      </c>
      <c r="Q794" s="5593"/>
      <c r="R794" s="1033"/>
      <c r="S794" s="263"/>
      <c r="T794" s="99"/>
      <c r="U794" s="138"/>
      <c r="V794" s="138"/>
      <c r="W794" s="99"/>
      <c r="X794" s="264"/>
      <c r="Y794" s="277"/>
      <c r="Z794" s="187"/>
      <c r="AA794" s="6301"/>
      <c r="AB794" s="139"/>
      <c r="AC794" s="139"/>
      <c r="AD794" s="139"/>
      <c r="AE794" s="139"/>
      <c r="AF794" s="139"/>
      <c r="AG794" s="139"/>
      <c r="AH794" s="139"/>
      <c r="AI794" s="139"/>
      <c r="AJ794" s="139"/>
      <c r="AK794" s="139"/>
      <c r="AL794" s="139"/>
      <c r="AM794" s="139"/>
      <c r="AN794" s="139"/>
      <c r="AO794" s="139"/>
      <c r="AP794" s="139"/>
      <c r="AQ794" s="139"/>
      <c r="AR794" s="139"/>
      <c r="AS794" s="139"/>
      <c r="AT794" s="139"/>
      <c r="AU794" s="139"/>
      <c r="AV794" s="139"/>
      <c r="AW794" s="139"/>
      <c r="AX794" s="139"/>
      <c r="AY794" s="139"/>
      <c r="AZ794" s="139"/>
      <c r="BA794" s="139"/>
      <c r="BB794" s="139"/>
      <c r="BC794" s="139"/>
      <c r="BD794" s="139"/>
      <c r="BE794" s="139"/>
      <c r="BF794" s="139"/>
      <c r="BG794" s="139"/>
      <c r="BH794" s="139"/>
    </row>
    <row r="795" spans="2:60" s="11" customFormat="1" ht="19.899999999999999" customHeight="1">
      <c r="B795" s="5590"/>
      <c r="C795" s="9647" t="s">
        <v>143</v>
      </c>
      <c r="D795" s="9648"/>
      <c r="E795" s="9649"/>
      <c r="F795" s="492" t="s">
        <v>557</v>
      </c>
      <c r="G795" s="253"/>
      <c r="H795" s="9579" t="s">
        <v>144</v>
      </c>
      <c r="I795" s="9580"/>
      <c r="J795" s="9581"/>
      <c r="K795" s="492" t="s">
        <v>559</v>
      </c>
      <c r="L795" s="5592"/>
      <c r="M795" s="5674"/>
      <c r="N795" s="5593"/>
      <c r="O795" s="5593"/>
      <c r="P795" s="5593"/>
      <c r="Q795" s="5593"/>
      <c r="R795" s="1033"/>
      <c r="S795" s="263"/>
      <c r="T795" s="99"/>
      <c r="U795" s="138"/>
      <c r="V795" s="138"/>
      <c r="W795" s="99"/>
      <c r="X795" s="264"/>
      <c r="Y795" s="277"/>
      <c r="Z795" s="187"/>
      <c r="AA795" s="6301"/>
      <c r="AB795" s="139"/>
      <c r="AC795" s="139"/>
      <c r="AD795" s="139"/>
      <c r="AE795" s="139"/>
      <c r="AF795" s="139"/>
      <c r="AG795" s="139"/>
      <c r="AH795" s="139"/>
      <c r="AI795" s="139"/>
      <c r="AJ795" s="139"/>
      <c r="AK795" s="139"/>
      <c r="AL795" s="139"/>
      <c r="AM795" s="139"/>
      <c r="AN795" s="139"/>
      <c r="AO795" s="139"/>
      <c r="AP795" s="139"/>
      <c r="AQ795" s="139"/>
      <c r="AR795" s="139"/>
      <c r="AS795" s="139"/>
      <c r="AT795" s="139"/>
      <c r="AU795" s="139"/>
      <c r="AV795" s="139"/>
      <c r="AW795" s="139"/>
      <c r="AX795" s="139"/>
      <c r="AY795" s="139"/>
      <c r="AZ795" s="139"/>
      <c r="BA795" s="139"/>
      <c r="BB795" s="139"/>
      <c r="BC795" s="139"/>
      <c r="BD795" s="139"/>
      <c r="BE795" s="139"/>
      <c r="BF795" s="139"/>
      <c r="BG795" s="139"/>
      <c r="BH795" s="139"/>
    </row>
    <row r="796" spans="2:60" s="11" customFormat="1" ht="19.899999999999999" customHeight="1">
      <c r="B796" s="5590"/>
      <c r="C796" s="9647" t="s">
        <v>631</v>
      </c>
      <c r="D796" s="9648"/>
      <c r="E796" s="9649"/>
      <c r="F796" s="492" t="s">
        <v>557</v>
      </c>
      <c r="G796" s="253"/>
      <c r="H796" s="9579" t="s">
        <v>147</v>
      </c>
      <c r="I796" s="9580"/>
      <c r="J796" s="9581"/>
      <c r="K796" s="492" t="s">
        <v>559</v>
      </c>
      <c r="L796" s="5967" t="s">
        <v>168</v>
      </c>
      <c r="M796" s="5656" t="s">
        <v>641</v>
      </c>
      <c r="N796" s="5593" t="s">
        <v>168</v>
      </c>
      <c r="O796" s="5593" t="s">
        <v>641</v>
      </c>
      <c r="P796" s="5593" t="s">
        <v>168</v>
      </c>
      <c r="Q796" s="5593" t="s">
        <v>641</v>
      </c>
      <c r="R796" s="1033"/>
      <c r="S796" s="263"/>
      <c r="T796" s="99"/>
      <c r="U796" s="138"/>
      <c r="V796" s="138"/>
      <c r="W796" s="99"/>
      <c r="X796" s="264"/>
      <c r="Y796" s="277"/>
      <c r="Z796" s="187"/>
      <c r="AA796" s="6301"/>
      <c r="AB796" s="139"/>
      <c r="AC796" s="139"/>
      <c r="AD796" s="139"/>
      <c r="AE796" s="139"/>
      <c r="AF796" s="139"/>
      <c r="AG796" s="139"/>
      <c r="AH796" s="139"/>
      <c r="AI796" s="139"/>
      <c r="AJ796" s="139"/>
      <c r="AK796" s="139"/>
      <c r="AL796" s="139"/>
      <c r="AM796" s="139"/>
      <c r="AN796" s="139"/>
      <c r="AO796" s="139"/>
      <c r="AP796" s="139"/>
      <c r="AQ796" s="139"/>
      <c r="AR796" s="139"/>
      <c r="AS796" s="139"/>
      <c r="AT796" s="139"/>
      <c r="AU796" s="139"/>
      <c r="AV796" s="139"/>
      <c r="AW796" s="139"/>
      <c r="AX796" s="139"/>
      <c r="AY796" s="139"/>
      <c r="AZ796" s="139"/>
      <c r="BA796" s="139"/>
      <c r="BB796" s="139"/>
      <c r="BC796" s="139"/>
      <c r="BD796" s="139"/>
      <c r="BE796" s="139"/>
      <c r="BF796" s="139"/>
      <c r="BG796" s="139"/>
      <c r="BH796" s="139"/>
    </row>
    <row r="797" spans="2:60" s="11" customFormat="1" ht="19.899999999999999" customHeight="1">
      <c r="B797" s="5590"/>
      <c r="C797" s="9647" t="s">
        <v>633</v>
      </c>
      <c r="D797" s="9648"/>
      <c r="E797" s="9649"/>
      <c r="F797" s="492" t="s">
        <v>557</v>
      </c>
      <c r="G797" s="253"/>
      <c r="H797" s="9579" t="s">
        <v>150</v>
      </c>
      <c r="I797" s="9580"/>
      <c r="J797" s="9581"/>
      <c r="K797" s="492" t="s">
        <v>559</v>
      </c>
      <c r="L797" s="5691">
        <v>0</v>
      </c>
      <c r="M797" s="5656"/>
      <c r="N797" s="5693">
        <v>0</v>
      </c>
      <c r="O797" s="5593"/>
      <c r="P797" s="5693">
        <v>0</v>
      </c>
      <c r="Q797" s="5593"/>
      <c r="R797" s="1033"/>
      <c r="S797" s="263"/>
      <c r="T797" s="99"/>
      <c r="U797" s="138"/>
      <c r="V797" s="138"/>
      <c r="W797" s="99"/>
      <c r="X797" s="264"/>
      <c r="Y797" s="277"/>
      <c r="Z797" s="187"/>
      <c r="AA797" s="6301"/>
      <c r="AB797" s="139"/>
      <c r="AC797" s="139"/>
      <c r="AD797" s="139"/>
      <c r="AE797" s="139"/>
      <c r="AF797" s="139"/>
      <c r="AG797" s="139"/>
      <c r="AH797" s="139"/>
      <c r="AI797" s="139"/>
      <c r="AJ797" s="139"/>
      <c r="AK797" s="139"/>
      <c r="AL797" s="139"/>
      <c r="AM797" s="139"/>
      <c r="AN797" s="139"/>
      <c r="AO797" s="139"/>
      <c r="AP797" s="139"/>
      <c r="AQ797" s="139"/>
      <c r="AR797" s="139"/>
      <c r="AS797" s="139"/>
      <c r="AT797" s="139"/>
      <c r="AU797" s="139"/>
      <c r="AV797" s="139"/>
      <c r="AW797" s="139"/>
      <c r="AX797" s="139"/>
      <c r="AY797" s="139"/>
      <c r="AZ797" s="139"/>
      <c r="BA797" s="139"/>
      <c r="BB797" s="139"/>
      <c r="BC797" s="139"/>
      <c r="BD797" s="139"/>
      <c r="BE797" s="139"/>
      <c r="BF797" s="139"/>
      <c r="BG797" s="139"/>
      <c r="BH797" s="139"/>
    </row>
    <row r="798" spans="2:60" s="11" customFormat="1" ht="21" customHeight="1">
      <c r="B798" s="1360"/>
      <c r="C798" s="9656" t="s">
        <v>570</v>
      </c>
      <c r="D798" s="9587"/>
      <c r="E798" s="9588"/>
      <c r="F798" s="285" t="s">
        <v>33</v>
      </c>
      <c r="G798" s="386"/>
      <c r="H798" s="9586" t="s">
        <v>571</v>
      </c>
      <c r="I798" s="9587"/>
      <c r="J798" s="9588"/>
      <c r="K798" s="285" t="s">
        <v>35</v>
      </c>
      <c r="L798" s="5653" t="str">
        <f>IF(COUNTBLANK(L799:L804)&gt;0,"미취합법인有",SUM(L799:L804))</f>
        <v>미취합법인有</v>
      </c>
      <c r="M798" s="5657"/>
      <c r="N798" s="5654" t="str">
        <f>IF(COUNTBLANK(N799:N804)&gt;0,"미취합법인有",SUM(N799:N804))</f>
        <v>미취합법인有</v>
      </c>
      <c r="O798" s="5663"/>
      <c r="P798" s="5781" t="str">
        <f>IF(COUNTBLANK(P799:P804)&gt;0,"미취합법인有",SUM(P799:P804))</f>
        <v>미취합법인有</v>
      </c>
      <c r="Q798" s="785"/>
      <c r="R798" s="2472" t="s">
        <v>572</v>
      </c>
      <c r="S798" s="276" t="s">
        <v>573</v>
      </c>
      <c r="T798" s="309" t="s">
        <v>574</v>
      </c>
      <c r="U798" s="547"/>
      <c r="V798" s="547"/>
      <c r="W798" s="99"/>
      <c r="X798" s="154" t="s">
        <v>575</v>
      </c>
      <c r="Y798" s="154"/>
      <c r="Z798" s="159"/>
      <c r="AA798" s="6301"/>
      <c r="AB798" s="139"/>
      <c r="AC798" s="139"/>
      <c r="AD798" s="139"/>
      <c r="AE798" s="139"/>
      <c r="AF798" s="139"/>
      <c r="AG798" s="139"/>
      <c r="AH798" s="139"/>
      <c r="AI798" s="139"/>
      <c r="AJ798" s="139"/>
      <c r="AK798" s="139"/>
      <c r="AL798" s="139"/>
      <c r="AM798" s="139"/>
      <c r="AN798" s="139"/>
      <c r="AO798" s="139"/>
      <c r="AP798" s="139"/>
      <c r="AQ798" s="139"/>
      <c r="AR798" s="139"/>
      <c r="AS798" s="139"/>
      <c r="AT798" s="139"/>
      <c r="AU798" s="139"/>
      <c r="AV798" s="139"/>
      <c r="AW798" s="139"/>
      <c r="AX798" s="139"/>
      <c r="AY798" s="139"/>
      <c r="AZ798" s="139"/>
      <c r="BA798" s="139"/>
      <c r="BB798" s="139"/>
      <c r="BC798" s="139"/>
      <c r="BD798" s="139"/>
      <c r="BE798" s="139"/>
      <c r="BF798" s="139"/>
      <c r="BG798" s="139"/>
      <c r="BH798" s="139"/>
    </row>
    <row r="799" spans="2:60" s="11" customFormat="1" ht="19.899999999999999" customHeight="1">
      <c r="B799" s="5590"/>
      <c r="C799" s="9647" t="s">
        <v>134</v>
      </c>
      <c r="D799" s="9648"/>
      <c r="E799" s="9649"/>
      <c r="F799" s="285" t="s">
        <v>33</v>
      </c>
      <c r="G799" s="253"/>
      <c r="H799" s="9579" t="s">
        <v>135</v>
      </c>
      <c r="I799" s="9580"/>
      <c r="J799" s="9581"/>
      <c r="K799" s="285" t="s">
        <v>35</v>
      </c>
      <c r="L799" s="5592">
        <v>1035</v>
      </c>
      <c r="M799" s="5674" t="s">
        <v>720</v>
      </c>
      <c r="N799" s="5593">
        <v>121</v>
      </c>
      <c r="O799" s="5674" t="s">
        <v>721</v>
      </c>
      <c r="P799" s="5593">
        <v>91.5</v>
      </c>
      <c r="Q799" s="5678" t="s">
        <v>722</v>
      </c>
      <c r="R799" s="1033"/>
      <c r="S799" s="263"/>
      <c r="T799" s="99"/>
      <c r="U799" s="138"/>
      <c r="V799" s="138"/>
      <c r="W799" s="99"/>
      <c r="X799" s="264"/>
      <c r="Y799" s="277"/>
      <c r="Z799" s="187"/>
      <c r="AA799" s="6301"/>
      <c r="AB799" s="139"/>
      <c r="AC799" s="139"/>
      <c r="AD799" s="139"/>
      <c r="AE799" s="139"/>
      <c r="AF799" s="139"/>
      <c r="AG799" s="139"/>
      <c r="AH799" s="139"/>
      <c r="AI799" s="139"/>
      <c r="AJ799" s="139"/>
      <c r="AK799" s="139"/>
      <c r="AL799" s="139"/>
      <c r="AM799" s="139"/>
      <c r="AN799" s="139"/>
      <c r="AO799" s="139"/>
      <c r="AP799" s="139"/>
      <c r="AQ799" s="139"/>
      <c r="AR799" s="139"/>
      <c r="AS799" s="139"/>
      <c r="AT799" s="139"/>
      <c r="AU799" s="139"/>
      <c r="AV799" s="139"/>
      <c r="AW799" s="139"/>
      <c r="AX799" s="139"/>
      <c r="AY799" s="139"/>
      <c r="AZ799" s="139"/>
      <c r="BA799" s="139"/>
      <c r="BB799" s="139"/>
      <c r="BC799" s="139"/>
      <c r="BD799" s="139"/>
      <c r="BE799" s="139"/>
      <c r="BF799" s="139"/>
      <c r="BG799" s="139"/>
      <c r="BH799" s="139"/>
    </row>
    <row r="800" spans="2:60" s="11" customFormat="1" ht="19.899999999999999" customHeight="1">
      <c r="B800" s="5590"/>
      <c r="C800" s="9647" t="s">
        <v>137</v>
      </c>
      <c r="D800" s="9648"/>
      <c r="E800" s="9649"/>
      <c r="F800" s="285" t="s">
        <v>33</v>
      </c>
      <c r="G800" s="253"/>
      <c r="H800" s="9579" t="s">
        <v>138</v>
      </c>
      <c r="I800" s="9580"/>
      <c r="J800" s="9581"/>
      <c r="K800" s="285" t="s">
        <v>35</v>
      </c>
      <c r="L800" s="5592"/>
      <c r="M800" s="5656"/>
      <c r="N800" s="5593"/>
      <c r="O800" s="5593"/>
      <c r="P800" s="5593"/>
      <c r="Q800" s="5593"/>
      <c r="R800" s="1033"/>
      <c r="S800" s="263"/>
      <c r="T800" s="99"/>
      <c r="U800" s="138"/>
      <c r="V800" s="138"/>
      <c r="W800" s="99"/>
      <c r="X800" s="264"/>
      <c r="Y800" s="277"/>
      <c r="Z800" s="187"/>
      <c r="AA800" s="6301"/>
      <c r="AB800" s="139"/>
      <c r="AC800" s="139"/>
      <c r="AD800" s="139"/>
      <c r="AE800" s="139"/>
      <c r="AF800" s="139"/>
      <c r="AG800" s="139"/>
      <c r="AH800" s="139"/>
      <c r="AI800" s="139"/>
      <c r="AJ800" s="139"/>
      <c r="AK800" s="139"/>
      <c r="AL800" s="139"/>
      <c r="AM800" s="139"/>
      <c r="AN800" s="139"/>
      <c r="AO800" s="139"/>
      <c r="AP800" s="139"/>
      <c r="AQ800" s="139"/>
      <c r="AR800" s="139"/>
      <c r="AS800" s="139"/>
      <c r="AT800" s="139"/>
      <c r="AU800" s="139"/>
      <c r="AV800" s="139"/>
      <c r="AW800" s="139"/>
      <c r="AX800" s="139"/>
      <c r="AY800" s="139"/>
      <c r="AZ800" s="139"/>
      <c r="BA800" s="139"/>
      <c r="BB800" s="139"/>
      <c r="BC800" s="139"/>
      <c r="BD800" s="139"/>
      <c r="BE800" s="139"/>
      <c r="BF800" s="139"/>
      <c r="BG800" s="139"/>
      <c r="BH800" s="139"/>
    </row>
    <row r="801" spans="2:60" s="11" customFormat="1" ht="19.899999999999999" customHeight="1">
      <c r="B801" s="5590"/>
      <c r="C801" s="9647" t="s">
        <v>140</v>
      </c>
      <c r="D801" s="9648"/>
      <c r="E801" s="9649"/>
      <c r="F801" s="285" t="s">
        <v>33</v>
      </c>
      <c r="G801" s="253"/>
      <c r="H801" s="9579" t="s">
        <v>141</v>
      </c>
      <c r="I801" s="9580"/>
      <c r="J801" s="9581"/>
      <c r="K801" s="285" t="s">
        <v>35</v>
      </c>
      <c r="L801" s="5592">
        <v>0</v>
      </c>
      <c r="M801" s="5656"/>
      <c r="N801" s="5593">
        <v>0</v>
      </c>
      <c r="O801" s="5593"/>
      <c r="P801" s="5593">
        <v>0</v>
      </c>
      <c r="Q801" s="5593"/>
      <c r="R801" s="1033"/>
      <c r="S801" s="263"/>
      <c r="T801" s="99"/>
      <c r="U801" s="138"/>
      <c r="V801" s="138"/>
      <c r="W801" s="99"/>
      <c r="X801" s="264"/>
      <c r="Y801" s="277"/>
      <c r="Z801" s="187"/>
      <c r="AA801" s="6301"/>
      <c r="AB801" s="139"/>
      <c r="AC801" s="139"/>
      <c r="AD801" s="139"/>
      <c r="AE801" s="139"/>
      <c r="AF801" s="139"/>
      <c r="AG801" s="139"/>
      <c r="AH801" s="139"/>
      <c r="AI801" s="139"/>
      <c r="AJ801" s="139"/>
      <c r="AK801" s="139"/>
      <c r="AL801" s="139"/>
      <c r="AM801" s="139"/>
      <c r="AN801" s="139"/>
      <c r="AO801" s="139"/>
      <c r="AP801" s="139"/>
      <c r="AQ801" s="139"/>
      <c r="AR801" s="139"/>
      <c r="AS801" s="139"/>
      <c r="AT801" s="139"/>
      <c r="AU801" s="139"/>
      <c r="AV801" s="139"/>
      <c r="AW801" s="139"/>
      <c r="AX801" s="139"/>
      <c r="AY801" s="139"/>
      <c r="AZ801" s="139"/>
      <c r="BA801" s="139"/>
      <c r="BB801" s="139"/>
      <c r="BC801" s="139"/>
      <c r="BD801" s="139"/>
      <c r="BE801" s="139"/>
      <c r="BF801" s="139"/>
      <c r="BG801" s="139"/>
      <c r="BH801" s="139"/>
    </row>
    <row r="802" spans="2:60" s="11" customFormat="1" ht="19.899999999999999" customHeight="1">
      <c r="B802" s="5590"/>
      <c r="C802" s="9647" t="s">
        <v>143</v>
      </c>
      <c r="D802" s="9648"/>
      <c r="E802" s="9649"/>
      <c r="F802" s="285" t="s">
        <v>33</v>
      </c>
      <c r="G802" s="253"/>
      <c r="H802" s="9579" t="s">
        <v>144</v>
      </c>
      <c r="I802" s="9580"/>
      <c r="J802" s="9581"/>
      <c r="K802" s="285" t="s">
        <v>35</v>
      </c>
      <c r="L802" s="5592"/>
      <c r="M802" s="5656"/>
      <c r="N802" s="5593"/>
      <c r="O802" s="5593"/>
      <c r="P802" s="5593"/>
      <c r="Q802" s="5593"/>
      <c r="R802" s="1033"/>
      <c r="S802" s="263"/>
      <c r="T802" s="99"/>
      <c r="U802" s="138"/>
      <c r="V802" s="138"/>
      <c r="W802" s="99"/>
      <c r="X802" s="264"/>
      <c r="Y802" s="277"/>
      <c r="Z802" s="187"/>
      <c r="AA802" s="6301"/>
      <c r="AB802" s="139"/>
      <c r="AC802" s="139"/>
      <c r="AD802" s="139"/>
      <c r="AE802" s="139"/>
      <c r="AF802" s="139"/>
      <c r="AG802" s="139"/>
      <c r="AH802" s="139"/>
      <c r="AI802" s="139"/>
      <c r="AJ802" s="139"/>
      <c r="AK802" s="139"/>
      <c r="AL802" s="139"/>
      <c r="AM802" s="139"/>
      <c r="AN802" s="139"/>
      <c r="AO802" s="139"/>
      <c r="AP802" s="139"/>
      <c r="AQ802" s="139"/>
      <c r="AR802" s="139"/>
      <c r="AS802" s="139"/>
      <c r="AT802" s="139"/>
      <c r="AU802" s="139"/>
      <c r="AV802" s="139"/>
      <c r="AW802" s="139"/>
      <c r="AX802" s="139"/>
      <c r="AY802" s="139"/>
      <c r="AZ802" s="139"/>
      <c r="BA802" s="139"/>
      <c r="BB802" s="139"/>
      <c r="BC802" s="139"/>
      <c r="BD802" s="139"/>
      <c r="BE802" s="139"/>
      <c r="BF802" s="139"/>
      <c r="BG802" s="139"/>
      <c r="BH802" s="139"/>
    </row>
    <row r="803" spans="2:60" s="11" customFormat="1" ht="19.899999999999999" customHeight="1">
      <c r="B803" s="5590"/>
      <c r="C803" s="9647" t="s">
        <v>631</v>
      </c>
      <c r="D803" s="9648"/>
      <c r="E803" s="9649"/>
      <c r="F803" s="285" t="s">
        <v>33</v>
      </c>
      <c r="G803" s="253"/>
      <c r="H803" s="9579" t="s">
        <v>147</v>
      </c>
      <c r="I803" s="9580"/>
      <c r="J803" s="9581"/>
      <c r="K803" s="285" t="s">
        <v>35</v>
      </c>
      <c r="L803" s="5967" t="s">
        <v>168</v>
      </c>
      <c r="M803" s="5656" t="s">
        <v>641</v>
      </c>
      <c r="N803" s="5593" t="s">
        <v>168</v>
      </c>
      <c r="O803" s="5593" t="s">
        <v>641</v>
      </c>
      <c r="P803" s="5593" t="s">
        <v>168</v>
      </c>
      <c r="Q803" s="5593" t="s">
        <v>641</v>
      </c>
      <c r="R803" s="1033"/>
      <c r="S803" s="263"/>
      <c r="T803" s="99"/>
      <c r="U803" s="138"/>
      <c r="V803" s="138"/>
      <c r="W803" s="99"/>
      <c r="X803" s="264"/>
      <c r="Y803" s="277"/>
      <c r="Z803" s="187"/>
      <c r="AA803" s="6301"/>
      <c r="AB803" s="139"/>
      <c r="AC803" s="139"/>
      <c r="AD803" s="139"/>
      <c r="AE803" s="139"/>
      <c r="AF803" s="139"/>
      <c r="AG803" s="139"/>
      <c r="AH803" s="139"/>
      <c r="AI803" s="139"/>
      <c r="AJ803" s="139"/>
      <c r="AK803" s="139"/>
      <c r="AL803" s="139"/>
      <c r="AM803" s="139"/>
      <c r="AN803" s="139"/>
      <c r="AO803" s="139"/>
      <c r="AP803" s="139"/>
      <c r="AQ803" s="139"/>
      <c r="AR803" s="139"/>
      <c r="AS803" s="139"/>
      <c r="AT803" s="139"/>
      <c r="AU803" s="139"/>
      <c r="AV803" s="139"/>
      <c r="AW803" s="139"/>
      <c r="AX803" s="139"/>
      <c r="AY803" s="139"/>
      <c r="AZ803" s="139"/>
      <c r="BA803" s="139"/>
      <c r="BB803" s="139"/>
      <c r="BC803" s="139"/>
      <c r="BD803" s="139"/>
      <c r="BE803" s="139"/>
      <c r="BF803" s="139"/>
      <c r="BG803" s="139"/>
      <c r="BH803" s="139"/>
    </row>
    <row r="804" spans="2:60" s="11" customFormat="1" ht="19.899999999999999" customHeight="1">
      <c r="B804" s="5590"/>
      <c r="C804" s="9647" t="s">
        <v>633</v>
      </c>
      <c r="D804" s="9648"/>
      <c r="E804" s="9649"/>
      <c r="F804" s="285" t="s">
        <v>33</v>
      </c>
      <c r="G804" s="253"/>
      <c r="H804" s="9579" t="s">
        <v>150</v>
      </c>
      <c r="I804" s="9580"/>
      <c r="J804" s="9581"/>
      <c r="K804" s="285" t="s">
        <v>35</v>
      </c>
      <c r="L804" s="5592">
        <v>0</v>
      </c>
      <c r="M804" s="5656"/>
      <c r="N804" s="5593">
        <v>0</v>
      </c>
      <c r="O804" s="5593"/>
      <c r="P804" s="5593">
        <v>0</v>
      </c>
      <c r="Q804" s="5593"/>
      <c r="R804" s="1033"/>
      <c r="S804" s="263"/>
      <c r="T804" s="99"/>
      <c r="U804" s="138"/>
      <c r="V804" s="138"/>
      <c r="W804" s="99"/>
      <c r="X804" s="264"/>
      <c r="Y804" s="277"/>
      <c r="Z804" s="187"/>
      <c r="AA804" s="6301"/>
      <c r="AB804" s="139"/>
      <c r="AC804" s="139"/>
      <c r="AD804" s="139"/>
      <c r="AE804" s="139"/>
      <c r="AF804" s="139"/>
      <c r="AG804" s="139"/>
      <c r="AH804" s="139"/>
      <c r="AI804" s="139"/>
      <c r="AJ804" s="139"/>
      <c r="AK804" s="139"/>
      <c r="AL804" s="139"/>
      <c r="AM804" s="139"/>
      <c r="AN804" s="139"/>
      <c r="AO804" s="139"/>
      <c r="AP804" s="139"/>
      <c r="AQ804" s="139"/>
      <c r="AR804" s="139"/>
      <c r="AS804" s="139"/>
      <c r="AT804" s="139"/>
      <c r="AU804" s="139"/>
      <c r="AV804" s="139"/>
      <c r="AW804" s="139"/>
      <c r="AX804" s="139"/>
      <c r="AY804" s="139"/>
      <c r="AZ804" s="139"/>
      <c r="BA804" s="139"/>
      <c r="BB804" s="139"/>
      <c r="BC804" s="139"/>
      <c r="BD804" s="139"/>
      <c r="BE804" s="139"/>
      <c r="BF804" s="139"/>
      <c r="BG804" s="139"/>
      <c r="BH804" s="139"/>
    </row>
    <row r="805" spans="2:60" s="11" customFormat="1" ht="20.100000000000001" customHeight="1">
      <c r="B805" s="1360"/>
      <c r="C805" s="9656" t="s">
        <v>576</v>
      </c>
      <c r="D805" s="9587"/>
      <c r="E805" s="9588"/>
      <c r="F805" s="492" t="s">
        <v>578</v>
      </c>
      <c r="G805" s="386"/>
      <c r="H805" s="9586" t="s">
        <v>577</v>
      </c>
      <c r="I805" s="9587"/>
      <c r="J805" s="9588"/>
      <c r="K805" s="492" t="s">
        <v>578</v>
      </c>
      <c r="L805" s="5653" t="str">
        <f>IF(COUNTBLANK(L806:L811)&gt;0,"미취합법인有",SUM(L806:L811))</f>
        <v>미취합법인有</v>
      </c>
      <c r="M805" s="5657"/>
      <c r="N805" s="5654" t="str">
        <f>IF(COUNTBLANK(N806:N811)&gt;0,"미취합법인有",SUM(N806:N811))</f>
        <v>미취합법인有</v>
      </c>
      <c r="O805" s="5663"/>
      <c r="P805" s="5781" t="str">
        <f>IF(COUNTBLANK(P806:P811)&gt;0,"미취합법인有",SUM(P806:P811))</f>
        <v>미취합법인有</v>
      </c>
      <c r="Q805" s="785"/>
      <c r="R805" s="2468" t="s">
        <v>579</v>
      </c>
      <c r="S805" s="24" t="s">
        <v>580</v>
      </c>
      <c r="T805" s="99" t="s">
        <v>189</v>
      </c>
      <c r="U805" s="547"/>
      <c r="V805" s="547"/>
      <c r="W805" s="299" t="s">
        <v>193</v>
      </c>
      <c r="X805" s="154" t="s">
        <v>581</v>
      </c>
      <c r="Y805" s="154"/>
      <c r="Z805" s="159"/>
      <c r="AA805" s="6305"/>
      <c r="AB805" s="139"/>
      <c r="AC805" s="139"/>
      <c r="AD805" s="139"/>
      <c r="AE805" s="139"/>
      <c r="AF805" s="139"/>
      <c r="AG805" s="139"/>
      <c r="AH805" s="139"/>
      <c r="AI805" s="139"/>
      <c r="AJ805" s="139"/>
      <c r="AK805" s="139"/>
      <c r="AL805" s="139"/>
      <c r="AM805" s="139"/>
      <c r="AN805" s="139"/>
      <c r="AO805" s="139"/>
      <c r="AP805" s="139"/>
      <c r="AQ805" s="139"/>
      <c r="AR805" s="139"/>
      <c r="AS805" s="139"/>
      <c r="AT805" s="139"/>
      <c r="AU805" s="139"/>
      <c r="AV805" s="139"/>
      <c r="AW805" s="139"/>
      <c r="AX805" s="139"/>
      <c r="AY805" s="139"/>
      <c r="AZ805" s="139"/>
      <c r="BA805" s="139"/>
      <c r="BB805" s="139"/>
      <c r="BC805" s="139"/>
      <c r="BD805" s="139"/>
      <c r="BE805" s="139"/>
      <c r="BF805" s="139"/>
      <c r="BG805" s="139"/>
      <c r="BH805" s="139"/>
    </row>
    <row r="806" spans="2:60" s="11" customFormat="1" ht="19.899999999999999" customHeight="1">
      <c r="B806" s="5590"/>
      <c r="C806" s="9647" t="s">
        <v>134</v>
      </c>
      <c r="D806" s="9648"/>
      <c r="E806" s="9649"/>
      <c r="F806" s="492" t="s">
        <v>578</v>
      </c>
      <c r="G806" s="253"/>
      <c r="H806" s="9579" t="s">
        <v>135</v>
      </c>
      <c r="I806" s="9580"/>
      <c r="J806" s="9581"/>
      <c r="K806" s="492" t="s">
        <v>578</v>
      </c>
      <c r="L806" s="5592" t="s">
        <v>168</v>
      </c>
      <c r="M806" s="5656" t="s">
        <v>369</v>
      </c>
      <c r="N806" s="5593" t="s">
        <v>168</v>
      </c>
      <c r="O806" s="5656" t="s">
        <v>369</v>
      </c>
      <c r="P806" s="5593" t="s">
        <v>723</v>
      </c>
      <c r="Q806" s="5593"/>
      <c r="R806" s="1033"/>
      <c r="S806" s="263"/>
      <c r="T806" s="99"/>
      <c r="U806" s="138"/>
      <c r="V806" s="138"/>
      <c r="W806" s="299" t="s">
        <v>193</v>
      </c>
      <c r="X806" s="264"/>
      <c r="Y806" s="277"/>
      <c r="Z806" s="187"/>
      <c r="AA806" s="6301"/>
      <c r="AB806" s="139"/>
      <c r="AC806" s="139"/>
      <c r="AD806" s="139"/>
      <c r="AE806" s="139"/>
      <c r="AF806" s="139"/>
      <c r="AG806" s="139"/>
      <c r="AH806" s="139"/>
      <c r="AI806" s="139"/>
      <c r="AJ806" s="139"/>
      <c r="AK806" s="139"/>
      <c r="AL806" s="139"/>
      <c r="AM806" s="139"/>
      <c r="AN806" s="139"/>
      <c r="AO806" s="139"/>
      <c r="AP806" s="139"/>
      <c r="AQ806" s="139"/>
      <c r="AR806" s="139"/>
      <c r="AS806" s="139"/>
      <c r="AT806" s="139"/>
      <c r="AU806" s="139"/>
      <c r="AV806" s="139"/>
      <c r="AW806" s="139"/>
      <c r="AX806" s="139"/>
      <c r="AY806" s="139"/>
      <c r="AZ806" s="139"/>
      <c r="BA806" s="139"/>
      <c r="BB806" s="139"/>
      <c r="BC806" s="139"/>
      <c r="BD806" s="139"/>
      <c r="BE806" s="139"/>
      <c r="BF806" s="139"/>
      <c r="BG806" s="139"/>
      <c r="BH806" s="139"/>
    </row>
    <row r="807" spans="2:60" s="11" customFormat="1" ht="19.899999999999999" customHeight="1">
      <c r="B807" s="5590"/>
      <c r="C807" s="9647" t="s">
        <v>137</v>
      </c>
      <c r="D807" s="9648"/>
      <c r="E807" s="9649"/>
      <c r="F807" s="492" t="s">
        <v>578</v>
      </c>
      <c r="G807" s="253"/>
      <c r="H807" s="9579" t="s">
        <v>138</v>
      </c>
      <c r="I807" s="9580"/>
      <c r="J807" s="9581"/>
      <c r="K807" s="492" t="s">
        <v>578</v>
      </c>
      <c r="L807" s="5592"/>
      <c r="M807" s="5656"/>
      <c r="N807" s="5593"/>
      <c r="O807" s="5593"/>
      <c r="P807" s="5593"/>
      <c r="Q807" s="5593"/>
      <c r="R807" s="1033"/>
      <c r="S807" s="263"/>
      <c r="T807" s="99"/>
      <c r="U807" s="138"/>
      <c r="V807" s="138"/>
      <c r="W807" s="299" t="s">
        <v>193</v>
      </c>
      <c r="X807" s="264"/>
      <c r="Y807" s="277"/>
      <c r="Z807" s="187"/>
      <c r="AA807" s="6301"/>
      <c r="AB807" s="139"/>
      <c r="AC807" s="139"/>
      <c r="AD807" s="139"/>
      <c r="AE807" s="139"/>
      <c r="AF807" s="139"/>
      <c r="AG807" s="139"/>
      <c r="AH807" s="139"/>
      <c r="AI807" s="139"/>
      <c r="AJ807" s="139"/>
      <c r="AK807" s="139"/>
      <c r="AL807" s="139"/>
      <c r="AM807" s="139"/>
      <c r="AN807" s="139"/>
      <c r="AO807" s="139"/>
      <c r="AP807" s="139"/>
      <c r="AQ807" s="139"/>
      <c r="AR807" s="139"/>
      <c r="AS807" s="139"/>
      <c r="AT807" s="139"/>
      <c r="AU807" s="139"/>
      <c r="AV807" s="139"/>
      <c r="AW807" s="139"/>
      <c r="AX807" s="139"/>
      <c r="AY807" s="139"/>
      <c r="AZ807" s="139"/>
      <c r="BA807" s="139"/>
      <c r="BB807" s="139"/>
      <c r="BC807" s="139"/>
      <c r="BD807" s="139"/>
      <c r="BE807" s="139"/>
      <c r="BF807" s="139"/>
      <c r="BG807" s="139"/>
      <c r="BH807" s="139"/>
    </row>
    <row r="808" spans="2:60" s="11" customFormat="1" ht="19.899999999999999" customHeight="1">
      <c r="B808" s="5590"/>
      <c r="C808" s="9647" t="s">
        <v>140</v>
      </c>
      <c r="D808" s="9648"/>
      <c r="E808" s="9649"/>
      <c r="F808" s="492" t="s">
        <v>578</v>
      </c>
      <c r="G808" s="253"/>
      <c r="H808" s="9579" t="s">
        <v>141</v>
      </c>
      <c r="I808" s="9580"/>
      <c r="J808" s="9581"/>
      <c r="K808" s="492" t="s">
        <v>578</v>
      </c>
      <c r="L808" s="5592">
        <v>0</v>
      </c>
      <c r="M808" s="5656"/>
      <c r="N808" s="5593">
        <v>0</v>
      </c>
      <c r="O808" s="5593"/>
      <c r="P808" s="5593"/>
      <c r="Q808" s="5593"/>
      <c r="R808" s="1033"/>
      <c r="S808" s="263"/>
      <c r="T808" s="99"/>
      <c r="U808" s="138"/>
      <c r="V808" s="138"/>
      <c r="W808" s="299" t="s">
        <v>193</v>
      </c>
      <c r="X808" s="264"/>
      <c r="Y808" s="277"/>
      <c r="Z808" s="187"/>
      <c r="AA808" s="6301"/>
      <c r="AB808" s="139"/>
      <c r="AC808" s="139"/>
      <c r="AD808" s="139"/>
      <c r="AE808" s="139"/>
      <c r="AF808" s="139"/>
      <c r="AG808" s="139"/>
      <c r="AH808" s="139"/>
      <c r="AI808" s="139"/>
      <c r="AJ808" s="139"/>
      <c r="AK808" s="139"/>
      <c r="AL808" s="139"/>
      <c r="AM808" s="139"/>
      <c r="AN808" s="139"/>
      <c r="AO808" s="139"/>
      <c r="AP808" s="139"/>
      <c r="AQ808" s="139"/>
      <c r="AR808" s="139"/>
      <c r="AS808" s="139"/>
      <c r="AT808" s="139"/>
      <c r="AU808" s="139"/>
      <c r="AV808" s="139"/>
      <c r="AW808" s="139"/>
      <c r="AX808" s="139"/>
      <c r="AY808" s="139"/>
      <c r="AZ808" s="139"/>
      <c r="BA808" s="139"/>
      <c r="BB808" s="139"/>
      <c r="BC808" s="139"/>
      <c r="BD808" s="139"/>
      <c r="BE808" s="139"/>
      <c r="BF808" s="139"/>
      <c r="BG808" s="139"/>
      <c r="BH808" s="139"/>
    </row>
    <row r="809" spans="2:60" s="11" customFormat="1" ht="19.899999999999999" customHeight="1">
      <c r="B809" s="5590"/>
      <c r="C809" s="9647" t="s">
        <v>143</v>
      </c>
      <c r="D809" s="9648"/>
      <c r="E809" s="9649"/>
      <c r="F809" s="492" t="s">
        <v>578</v>
      </c>
      <c r="G809" s="253"/>
      <c r="H809" s="9579" t="s">
        <v>144</v>
      </c>
      <c r="I809" s="9580"/>
      <c r="J809" s="9581"/>
      <c r="K809" s="492" t="s">
        <v>578</v>
      </c>
      <c r="L809" s="5592">
        <v>0</v>
      </c>
      <c r="M809" s="5674" t="s">
        <v>724</v>
      </c>
      <c r="N809" s="5593">
        <v>0</v>
      </c>
      <c r="O809" s="5678" t="s">
        <v>724</v>
      </c>
      <c r="P809" s="5593"/>
      <c r="Q809" s="5593"/>
      <c r="R809" s="1033"/>
      <c r="S809" s="263"/>
      <c r="T809" s="99"/>
      <c r="U809" s="138"/>
      <c r="V809" s="138"/>
      <c r="W809" s="299" t="s">
        <v>193</v>
      </c>
      <c r="X809" s="264"/>
      <c r="Y809" s="277"/>
      <c r="Z809" s="187"/>
      <c r="AA809" s="6301"/>
      <c r="AB809" s="139"/>
      <c r="AC809" s="139"/>
      <c r="AD809" s="139"/>
      <c r="AE809" s="139"/>
      <c r="AF809" s="139"/>
      <c r="AG809" s="139"/>
      <c r="AH809" s="139"/>
      <c r="AI809" s="139"/>
      <c r="AJ809" s="139"/>
      <c r="AK809" s="139"/>
      <c r="AL809" s="139"/>
      <c r="AM809" s="139"/>
      <c r="AN809" s="139"/>
      <c r="AO809" s="139"/>
      <c r="AP809" s="139"/>
      <c r="AQ809" s="139"/>
      <c r="AR809" s="139"/>
      <c r="AS809" s="139"/>
      <c r="AT809" s="139"/>
      <c r="AU809" s="139"/>
      <c r="AV809" s="139"/>
      <c r="AW809" s="139"/>
      <c r="AX809" s="139"/>
      <c r="AY809" s="139"/>
      <c r="AZ809" s="139"/>
      <c r="BA809" s="139"/>
      <c r="BB809" s="139"/>
      <c r="BC809" s="139"/>
      <c r="BD809" s="139"/>
      <c r="BE809" s="139"/>
      <c r="BF809" s="139"/>
      <c r="BG809" s="139"/>
      <c r="BH809" s="139"/>
    </row>
    <row r="810" spans="2:60" s="11" customFormat="1" ht="19.899999999999999" customHeight="1">
      <c r="B810" s="5590"/>
      <c r="C810" s="9647" t="s">
        <v>631</v>
      </c>
      <c r="D810" s="9648"/>
      <c r="E810" s="9649"/>
      <c r="F810" s="492" t="s">
        <v>578</v>
      </c>
      <c r="G810" s="253"/>
      <c r="H810" s="9579" t="s">
        <v>147</v>
      </c>
      <c r="I810" s="9580"/>
      <c r="J810" s="9581"/>
      <c r="K810" s="492" t="s">
        <v>578</v>
      </c>
      <c r="L810" s="5967" t="s">
        <v>168</v>
      </c>
      <c r="M810" s="5656" t="s">
        <v>641</v>
      </c>
      <c r="N810" s="5593" t="s">
        <v>168</v>
      </c>
      <c r="O810" s="5593" t="s">
        <v>641</v>
      </c>
      <c r="P810" s="5593" t="s">
        <v>168</v>
      </c>
      <c r="Q810" s="5593" t="s">
        <v>641</v>
      </c>
      <c r="R810" s="1033"/>
      <c r="S810" s="263"/>
      <c r="T810" s="99"/>
      <c r="U810" s="138"/>
      <c r="V810" s="138"/>
      <c r="W810" s="299" t="s">
        <v>193</v>
      </c>
      <c r="X810" s="264"/>
      <c r="Y810" s="277"/>
      <c r="Z810" s="187"/>
      <c r="AA810" s="6301"/>
      <c r="AB810" s="139"/>
      <c r="AC810" s="139"/>
      <c r="AD810" s="139"/>
      <c r="AE810" s="139"/>
      <c r="AF810" s="139"/>
      <c r="AG810" s="139"/>
      <c r="AH810" s="139"/>
      <c r="AI810" s="139"/>
      <c r="AJ810" s="139"/>
      <c r="AK810" s="139"/>
      <c r="AL810" s="139"/>
      <c r="AM810" s="139"/>
      <c r="AN810" s="139"/>
      <c r="AO810" s="139"/>
      <c r="AP810" s="139"/>
      <c r="AQ810" s="139"/>
      <c r="AR810" s="139"/>
      <c r="AS810" s="139"/>
      <c r="AT810" s="139"/>
      <c r="AU810" s="139"/>
      <c r="AV810" s="139"/>
      <c r="AW810" s="139"/>
      <c r="AX810" s="139"/>
      <c r="AY810" s="139"/>
      <c r="AZ810" s="139"/>
      <c r="BA810" s="139"/>
      <c r="BB810" s="139"/>
      <c r="BC810" s="139"/>
      <c r="BD810" s="139"/>
      <c r="BE810" s="139"/>
      <c r="BF810" s="139"/>
      <c r="BG810" s="139"/>
      <c r="BH810" s="139"/>
    </row>
    <row r="811" spans="2:60" s="11" customFormat="1" ht="19.899999999999999" customHeight="1">
      <c r="B811" s="5590"/>
      <c r="C811" s="9647" t="s">
        <v>633</v>
      </c>
      <c r="D811" s="9648"/>
      <c r="E811" s="9649"/>
      <c r="F811" s="492" t="s">
        <v>578</v>
      </c>
      <c r="G811" s="253"/>
      <c r="H811" s="9579" t="s">
        <v>150</v>
      </c>
      <c r="I811" s="9580"/>
      <c r="J811" s="9581"/>
      <c r="K811" s="492" t="s">
        <v>578</v>
      </c>
      <c r="L811" s="5592"/>
      <c r="M811" s="5656"/>
      <c r="N811" s="5593"/>
      <c r="O811" s="5593"/>
      <c r="P811" s="5593"/>
      <c r="Q811" s="5593"/>
      <c r="R811" s="1033"/>
      <c r="S811" s="263"/>
      <c r="T811" s="99"/>
      <c r="U811" s="138"/>
      <c r="V811" s="138"/>
      <c r="W811" s="299" t="s">
        <v>193</v>
      </c>
      <c r="X811" s="264"/>
      <c r="Y811" s="277"/>
      <c r="Z811" s="187"/>
      <c r="AA811" s="6301"/>
      <c r="AB811" s="139"/>
      <c r="AC811" s="139"/>
      <c r="AD811" s="139"/>
      <c r="AE811" s="139"/>
      <c r="AF811" s="139"/>
      <c r="AG811" s="139"/>
      <c r="AH811" s="139"/>
      <c r="AI811" s="139"/>
      <c r="AJ811" s="139"/>
      <c r="AK811" s="139"/>
      <c r="AL811" s="139"/>
      <c r="AM811" s="139"/>
      <c r="AN811" s="139"/>
      <c r="AO811" s="139"/>
      <c r="AP811" s="139"/>
      <c r="AQ811" s="139"/>
      <c r="AR811" s="139"/>
      <c r="AS811" s="139"/>
      <c r="AT811" s="139"/>
      <c r="AU811" s="139"/>
      <c r="AV811" s="139"/>
      <c r="AW811" s="139"/>
      <c r="AX811" s="139"/>
      <c r="AY811" s="139"/>
      <c r="AZ811" s="139"/>
      <c r="BA811" s="139"/>
      <c r="BB811" s="139"/>
      <c r="BC811" s="139"/>
      <c r="BD811" s="139"/>
      <c r="BE811" s="139"/>
      <c r="BF811" s="139"/>
      <c r="BG811" s="139"/>
      <c r="BH811" s="139"/>
    </row>
    <row r="812" spans="2:60" s="11" customFormat="1" ht="20.100000000000001" customHeight="1">
      <c r="B812" s="1360"/>
      <c r="C812" s="5598"/>
      <c r="D812" s="9660" t="s">
        <v>582</v>
      </c>
      <c r="E812" s="9661"/>
      <c r="F812" s="285" t="s">
        <v>413</v>
      </c>
      <c r="G812" s="666"/>
      <c r="H812" s="684"/>
      <c r="I812" s="9586" t="s">
        <v>583</v>
      </c>
      <c r="J812" s="9587"/>
      <c r="K812" s="285" t="s">
        <v>413</v>
      </c>
      <c r="L812" s="5653" t="str">
        <f>IF(COUNTBLANK(L813:L818)&gt;0,"미취합법인有",SUM(L813:L818))</f>
        <v>미취합법인有</v>
      </c>
      <c r="M812" s="5657"/>
      <c r="N812" s="5654" t="str">
        <f>IF(COUNTBLANK(N813:N818)&gt;0,"미취합법인有",SUM(N813:N818))</f>
        <v>미취합법인有</v>
      </c>
      <c r="O812" s="5663"/>
      <c r="P812" s="5781" t="str">
        <f>IF(COUNTBLANK(P813:P818)&gt;0,"미취합법인有",SUM(P813:P818))</f>
        <v>미취합법인有</v>
      </c>
      <c r="Q812" s="785"/>
      <c r="R812" s="2472"/>
      <c r="S812" s="276"/>
      <c r="T812" s="99" t="s">
        <v>189</v>
      </c>
      <c r="U812" s="547"/>
      <c r="V812" s="547"/>
      <c r="W812" s="299" t="s">
        <v>193</v>
      </c>
      <c r="X812" s="154" t="s">
        <v>581</v>
      </c>
      <c r="Y812" s="154"/>
      <c r="Z812" s="159"/>
      <c r="AA812" s="6305"/>
      <c r="AB812" s="139"/>
      <c r="AC812" s="139"/>
      <c r="AD812" s="139"/>
      <c r="AE812" s="139"/>
      <c r="AF812" s="139"/>
      <c r="AG812" s="139"/>
      <c r="AH812" s="139"/>
      <c r="AI812" s="139"/>
      <c r="AJ812" s="139"/>
      <c r="AK812" s="139"/>
      <c r="AL812" s="139"/>
      <c r="AM812" s="139"/>
      <c r="AN812" s="139"/>
      <c r="AO812" s="139"/>
      <c r="AP812" s="139"/>
      <c r="AQ812" s="139"/>
      <c r="AR812" s="139"/>
      <c r="AS812" s="139"/>
      <c r="AT812" s="139"/>
      <c r="AU812" s="139"/>
      <c r="AV812" s="139"/>
      <c r="AW812" s="139"/>
      <c r="AX812" s="139"/>
      <c r="AY812" s="139"/>
      <c r="AZ812" s="139"/>
      <c r="BA812" s="139"/>
      <c r="BB812" s="139"/>
      <c r="BC812" s="139"/>
      <c r="BD812" s="139"/>
      <c r="BE812" s="139"/>
      <c r="BF812" s="139"/>
      <c r="BG812" s="139"/>
      <c r="BH812" s="139"/>
    </row>
    <row r="813" spans="2:60" s="11" customFormat="1" ht="20.100000000000001" customHeight="1">
      <c r="B813" s="1360"/>
      <c r="C813" s="5598"/>
      <c r="D813" s="9598" t="s">
        <v>134</v>
      </c>
      <c r="E813" s="9600"/>
      <c r="F813" s="285" t="s">
        <v>413</v>
      </c>
      <c r="G813" s="666"/>
      <c r="H813" s="684"/>
      <c r="I813" s="9579" t="s">
        <v>135</v>
      </c>
      <c r="J813" s="9581"/>
      <c r="K813" s="285" t="s">
        <v>413</v>
      </c>
      <c r="L813" s="5594"/>
      <c r="M813" s="5658" t="s">
        <v>369</v>
      </c>
      <c r="N813" s="5601"/>
      <c r="O813" s="5667" t="s">
        <v>369</v>
      </c>
      <c r="P813" s="5602"/>
      <c r="Q813" s="1814" t="s">
        <v>725</v>
      </c>
      <c r="R813" s="2468"/>
      <c r="S813" s="544"/>
      <c r="T813" s="545"/>
      <c r="U813" s="546"/>
      <c r="V813" s="547"/>
      <c r="W813" s="299" t="s">
        <v>193</v>
      </c>
      <c r="X813" s="277"/>
      <c r="Y813" s="277"/>
      <c r="Z813" s="187"/>
      <c r="AA813" s="6301"/>
      <c r="AB813" s="139"/>
      <c r="AC813" s="139"/>
      <c r="AD813" s="139"/>
      <c r="AE813" s="139"/>
      <c r="AF813" s="139"/>
      <c r="AG813" s="139"/>
      <c r="AH813" s="139"/>
      <c r="AI813" s="139"/>
      <c r="AJ813" s="139"/>
      <c r="AK813" s="139"/>
      <c r="AL813" s="139"/>
      <c r="AM813" s="139"/>
      <c r="AN813" s="139"/>
      <c r="AO813" s="139"/>
      <c r="AP813" s="139"/>
      <c r="AQ813" s="139"/>
      <c r="AR813" s="139"/>
      <c r="AS813" s="139"/>
      <c r="AT813" s="139"/>
      <c r="AU813" s="139"/>
      <c r="AV813" s="139"/>
      <c r="AW813" s="139"/>
      <c r="AX813" s="139"/>
      <c r="AY813" s="139"/>
      <c r="AZ813" s="139"/>
      <c r="BA813" s="139"/>
      <c r="BB813" s="139"/>
      <c r="BC813" s="139"/>
      <c r="BD813" s="139"/>
      <c r="BE813" s="139"/>
      <c r="BF813" s="139"/>
      <c r="BG813" s="139"/>
      <c r="BH813" s="139"/>
    </row>
    <row r="814" spans="2:60" s="11" customFormat="1" ht="20.100000000000001" customHeight="1">
      <c r="B814" s="1360"/>
      <c r="C814" s="5598"/>
      <c r="D814" s="9598" t="s">
        <v>137</v>
      </c>
      <c r="E814" s="9600"/>
      <c r="F814" s="285" t="s">
        <v>413</v>
      </c>
      <c r="G814" s="666"/>
      <c r="H814" s="684"/>
      <c r="I814" s="9579" t="s">
        <v>138</v>
      </c>
      <c r="J814" s="9581"/>
      <c r="K814" s="285" t="s">
        <v>413</v>
      </c>
      <c r="L814" s="5594"/>
      <c r="M814" s="5658"/>
      <c r="N814" s="5601"/>
      <c r="O814" s="5601"/>
      <c r="P814" s="5667"/>
      <c r="Q814" s="1811"/>
      <c r="R814" s="2468"/>
      <c r="S814" s="544"/>
      <c r="T814" s="545"/>
      <c r="U814" s="546"/>
      <c r="V814" s="547"/>
      <c r="W814" s="299" t="s">
        <v>193</v>
      </c>
      <c r="X814" s="277"/>
      <c r="Y814" s="277"/>
      <c r="Z814" s="187"/>
      <c r="AA814" s="6301"/>
      <c r="AB814" s="139"/>
      <c r="AC814" s="139"/>
      <c r="AD814" s="139"/>
      <c r="AE814" s="139"/>
      <c r="AF814" s="139"/>
      <c r="AG814" s="139"/>
      <c r="AH814" s="139"/>
      <c r="AI814" s="139"/>
      <c r="AJ814" s="139"/>
      <c r="AK814" s="139"/>
      <c r="AL814" s="139"/>
      <c r="AM814" s="139"/>
      <c r="AN814" s="139"/>
      <c r="AO814" s="139"/>
      <c r="AP814" s="139"/>
      <c r="AQ814" s="139"/>
      <c r="AR814" s="139"/>
      <c r="AS814" s="139"/>
      <c r="AT814" s="139"/>
      <c r="AU814" s="139"/>
      <c r="AV814" s="139"/>
      <c r="AW814" s="139"/>
      <c r="AX814" s="139"/>
      <c r="AY814" s="139"/>
      <c r="AZ814" s="139"/>
      <c r="BA814" s="139"/>
      <c r="BB814" s="139"/>
      <c r="BC814" s="139"/>
      <c r="BD814" s="139"/>
      <c r="BE814" s="139"/>
      <c r="BF814" s="139"/>
      <c r="BG814" s="139"/>
      <c r="BH814" s="139"/>
    </row>
    <row r="815" spans="2:60" s="11" customFormat="1" ht="20.100000000000001" customHeight="1">
      <c r="B815" s="1360"/>
      <c r="C815" s="5598"/>
      <c r="D815" s="9598" t="s">
        <v>140</v>
      </c>
      <c r="E815" s="9600"/>
      <c r="F815" s="285" t="s">
        <v>413</v>
      </c>
      <c r="G815" s="666"/>
      <c r="H815" s="684"/>
      <c r="I815" s="9582" t="s">
        <v>141</v>
      </c>
      <c r="J815" s="9583"/>
      <c r="K815" s="285" t="s">
        <v>413</v>
      </c>
      <c r="L815" s="5592">
        <v>0</v>
      </c>
      <c r="M815" s="5656"/>
      <c r="N815" s="5593">
        <v>0</v>
      </c>
      <c r="O815" s="5601"/>
      <c r="P815" s="5667"/>
      <c r="Q815" s="1811"/>
      <c r="R815" s="2468"/>
      <c r="S815" s="544"/>
      <c r="T815" s="545"/>
      <c r="U815" s="546"/>
      <c r="V815" s="547"/>
      <c r="W815" s="299" t="s">
        <v>193</v>
      </c>
      <c r="X815" s="277"/>
      <c r="Y815" s="277"/>
      <c r="Z815" s="187"/>
      <c r="AA815" s="6301"/>
      <c r="AB815" s="139"/>
      <c r="AC815" s="139"/>
      <c r="AD815" s="139"/>
      <c r="AE815" s="139"/>
      <c r="AF815" s="139"/>
      <c r="AG815" s="139"/>
      <c r="AH815" s="139"/>
      <c r="AI815" s="139"/>
      <c r="AJ815" s="139"/>
      <c r="AK815" s="139"/>
      <c r="AL815" s="139"/>
      <c r="AM815" s="139"/>
      <c r="AN815" s="139"/>
      <c r="AO815" s="139"/>
      <c r="AP815" s="139"/>
      <c r="AQ815" s="139"/>
      <c r="AR815" s="139"/>
      <c r="AS815" s="139"/>
      <c r="AT815" s="139"/>
      <c r="AU815" s="139"/>
      <c r="AV815" s="139"/>
      <c r="AW815" s="139"/>
      <c r="AX815" s="139"/>
      <c r="AY815" s="139"/>
      <c r="AZ815" s="139"/>
      <c r="BA815" s="139"/>
      <c r="BB815" s="139"/>
      <c r="BC815" s="139"/>
      <c r="BD815" s="139"/>
      <c r="BE815" s="139"/>
      <c r="BF815" s="139"/>
      <c r="BG815" s="139"/>
      <c r="BH815" s="139"/>
    </row>
    <row r="816" spans="2:60" s="11" customFormat="1" ht="20.100000000000001" customHeight="1">
      <c r="B816" s="1360"/>
      <c r="C816" s="5598"/>
      <c r="D816" s="9598" t="s">
        <v>143</v>
      </c>
      <c r="E816" s="9600"/>
      <c r="F816" s="285" t="s">
        <v>413</v>
      </c>
      <c r="G816" s="666"/>
      <c r="H816" s="684"/>
      <c r="I816" s="9582" t="s">
        <v>144</v>
      </c>
      <c r="J816" s="9583"/>
      <c r="K816" s="285" t="s">
        <v>413</v>
      </c>
      <c r="L816" s="5594">
        <v>0</v>
      </c>
      <c r="M816" s="5671" t="s">
        <v>726</v>
      </c>
      <c r="N816" s="5601">
        <v>0</v>
      </c>
      <c r="O816" s="5680" t="s">
        <v>726</v>
      </c>
      <c r="P816" s="5602"/>
      <c r="Q816" s="5758"/>
      <c r="R816" s="2468"/>
      <c r="S816" s="544"/>
      <c r="T816" s="545"/>
      <c r="U816" s="546"/>
      <c r="V816" s="547"/>
      <c r="W816" s="299" t="s">
        <v>193</v>
      </c>
      <c r="X816" s="277"/>
      <c r="Y816" s="277"/>
      <c r="Z816" s="187"/>
      <c r="AA816" s="6301"/>
      <c r="AB816" s="139"/>
      <c r="AC816" s="139"/>
      <c r="AD816" s="139"/>
      <c r="AE816" s="139"/>
      <c r="AF816" s="139"/>
      <c r="AG816" s="139"/>
      <c r="AH816" s="139"/>
      <c r="AI816" s="139"/>
      <c r="AJ816" s="139"/>
      <c r="AK816" s="139"/>
      <c r="AL816" s="139"/>
      <c r="AM816" s="139"/>
      <c r="AN816" s="139"/>
      <c r="AO816" s="139"/>
      <c r="AP816" s="139"/>
      <c r="AQ816" s="139"/>
      <c r="AR816" s="139"/>
      <c r="AS816" s="139"/>
      <c r="AT816" s="139"/>
      <c r="AU816" s="139"/>
      <c r="AV816" s="139"/>
      <c r="AW816" s="139"/>
      <c r="AX816" s="139"/>
      <c r="AY816" s="139"/>
      <c r="AZ816" s="139"/>
      <c r="BA816" s="139"/>
      <c r="BB816" s="139"/>
      <c r="BC816" s="139"/>
      <c r="BD816" s="139"/>
      <c r="BE816" s="139"/>
      <c r="BF816" s="139"/>
      <c r="BG816" s="139"/>
      <c r="BH816" s="139"/>
    </row>
    <row r="817" spans="2:60" s="11" customFormat="1" ht="20.100000000000001" customHeight="1">
      <c r="B817" s="1360"/>
      <c r="C817" s="5598"/>
      <c r="D817" s="9598" t="s">
        <v>631</v>
      </c>
      <c r="E817" s="9600"/>
      <c r="F817" s="285" t="s">
        <v>413</v>
      </c>
      <c r="G817" s="666"/>
      <c r="H817" s="684"/>
      <c r="I817" s="9582" t="s">
        <v>147</v>
      </c>
      <c r="J817" s="9583"/>
      <c r="K817" s="285" t="s">
        <v>413</v>
      </c>
      <c r="L817" s="5967" t="s">
        <v>168</v>
      </c>
      <c r="M817" s="5656" t="s">
        <v>641</v>
      </c>
      <c r="N817" s="5593" t="s">
        <v>168</v>
      </c>
      <c r="O817" s="5948" t="s">
        <v>641</v>
      </c>
      <c r="P817" s="5948" t="s">
        <v>168</v>
      </c>
      <c r="Q817" s="5948" t="s">
        <v>641</v>
      </c>
      <c r="R817" s="2468"/>
      <c r="S817" s="544"/>
      <c r="T817" s="545"/>
      <c r="U817" s="546"/>
      <c r="V817" s="547"/>
      <c r="W817" s="299" t="s">
        <v>193</v>
      </c>
      <c r="X817" s="277"/>
      <c r="Y817" s="277"/>
      <c r="Z817" s="187"/>
      <c r="AA817" s="6301"/>
      <c r="AB817" s="139"/>
      <c r="AC817" s="139"/>
      <c r="AD817" s="139"/>
      <c r="AE817" s="139"/>
      <c r="AF817" s="139"/>
      <c r="AG817" s="139"/>
      <c r="AH817" s="139"/>
      <c r="AI817" s="139"/>
      <c r="AJ817" s="139"/>
      <c r="AK817" s="139"/>
      <c r="AL817" s="139"/>
      <c r="AM817" s="139"/>
      <c r="AN817" s="139"/>
      <c r="AO817" s="139"/>
      <c r="AP817" s="139"/>
      <c r="AQ817" s="139"/>
      <c r="AR817" s="139"/>
      <c r="AS817" s="139"/>
      <c r="AT817" s="139"/>
      <c r="AU817" s="139"/>
      <c r="AV817" s="139"/>
      <c r="AW817" s="139"/>
      <c r="AX817" s="139"/>
      <c r="AY817" s="139"/>
      <c r="AZ817" s="139"/>
      <c r="BA817" s="139"/>
      <c r="BB817" s="139"/>
      <c r="BC817" s="139"/>
      <c r="BD817" s="139"/>
      <c r="BE817" s="139"/>
      <c r="BF817" s="139"/>
      <c r="BG817" s="139"/>
      <c r="BH817" s="139"/>
    </row>
    <row r="818" spans="2:60" s="11" customFormat="1" ht="20.100000000000001" customHeight="1">
      <c r="B818" s="1360"/>
      <c r="C818" s="5598"/>
      <c r="D818" s="9598" t="s">
        <v>633</v>
      </c>
      <c r="E818" s="9600"/>
      <c r="F818" s="285" t="s">
        <v>413</v>
      </c>
      <c r="G818" s="666"/>
      <c r="H818" s="684"/>
      <c r="I818" s="9582" t="s">
        <v>150</v>
      </c>
      <c r="J818" s="9583"/>
      <c r="K818" s="285" t="s">
        <v>413</v>
      </c>
      <c r="L818" s="5594"/>
      <c r="M818" s="5682"/>
      <c r="N818" s="5601"/>
      <c r="O818" s="5667"/>
      <c r="P818" s="5602"/>
      <c r="Q818" s="5758"/>
      <c r="R818" s="2468"/>
      <c r="S818" s="544"/>
      <c r="T818" s="545"/>
      <c r="U818" s="546"/>
      <c r="V818" s="547"/>
      <c r="W818" s="299" t="s">
        <v>193</v>
      </c>
      <c r="X818" s="277"/>
      <c r="Y818" s="277"/>
      <c r="Z818" s="187"/>
      <c r="AA818" s="6301"/>
      <c r="AB818" s="139"/>
      <c r="AC818" s="139"/>
      <c r="AD818" s="139"/>
      <c r="AE818" s="139"/>
      <c r="AF818" s="139"/>
      <c r="AG818" s="139"/>
      <c r="AH818" s="139"/>
      <c r="AI818" s="139"/>
      <c r="AJ818" s="139"/>
      <c r="AK818" s="139"/>
      <c r="AL818" s="139"/>
      <c r="AM818" s="139"/>
      <c r="AN818" s="139"/>
      <c r="AO818" s="139"/>
      <c r="AP818" s="139"/>
      <c r="AQ818" s="139"/>
      <c r="AR818" s="139"/>
      <c r="AS818" s="139"/>
      <c r="AT818" s="139"/>
      <c r="AU818" s="139"/>
      <c r="AV818" s="139"/>
      <c r="AW818" s="139"/>
      <c r="AX818" s="139"/>
      <c r="AY818" s="139"/>
      <c r="AZ818" s="139"/>
      <c r="BA818" s="139"/>
      <c r="BB818" s="139"/>
      <c r="BC818" s="139"/>
      <c r="BD818" s="139"/>
      <c r="BE818" s="139"/>
      <c r="BF818" s="139"/>
      <c r="BG818" s="139"/>
      <c r="BH818" s="139"/>
    </row>
    <row r="819" spans="2:60" s="11" customFormat="1" ht="20.100000000000001" customHeight="1">
      <c r="B819" s="1360"/>
      <c r="C819" s="5598"/>
      <c r="D819" s="9662" t="s">
        <v>584</v>
      </c>
      <c r="E819" s="9663"/>
      <c r="F819" s="285" t="s">
        <v>413</v>
      </c>
      <c r="G819" s="666"/>
      <c r="H819" s="684"/>
      <c r="I819" s="9586" t="s">
        <v>585</v>
      </c>
      <c r="J819" s="9587"/>
      <c r="K819" s="285" t="s">
        <v>413</v>
      </c>
      <c r="L819" s="5653" t="str">
        <f>IF(COUNTBLANK(L820:L825)&gt;0,"미취합법인有",SUM(L820:L825))</f>
        <v>미취합법인有</v>
      </c>
      <c r="M819" s="5657"/>
      <c r="N819" s="5654" t="str">
        <f>IF(COUNTBLANK(N820:N825)&gt;0,"미취합법인有",SUM(N820:N825))</f>
        <v>미취합법인有</v>
      </c>
      <c r="O819" s="5945"/>
      <c r="P819" s="6046" t="str">
        <f>IF(COUNTBLANK(P820:P825)&gt;0,"미취합법인有",SUM(P820:P825))</f>
        <v>미취합법인有</v>
      </c>
      <c r="Q819" s="785"/>
      <c r="R819" s="2472"/>
      <c r="S819" s="457"/>
      <c r="T819" s="99" t="s">
        <v>189</v>
      </c>
      <c r="U819" s="547"/>
      <c r="V819" s="547"/>
      <c r="W819" s="299" t="s">
        <v>193</v>
      </c>
      <c r="X819" s="154" t="s">
        <v>581</v>
      </c>
      <c r="Y819" s="154"/>
      <c r="Z819" s="159"/>
      <c r="AA819" s="6305"/>
      <c r="AB819" s="139"/>
      <c r="AC819" s="139"/>
      <c r="AD819" s="139"/>
      <c r="AE819" s="139"/>
      <c r="AF819" s="139"/>
      <c r="AG819" s="139"/>
      <c r="AH819" s="139"/>
      <c r="AI819" s="139"/>
      <c r="AJ819" s="139"/>
      <c r="AK819" s="139"/>
      <c r="AL819" s="139"/>
      <c r="AM819" s="139"/>
      <c r="AN819" s="139"/>
      <c r="AO819" s="139"/>
      <c r="AP819" s="139"/>
      <c r="AQ819" s="139"/>
      <c r="AR819" s="139"/>
      <c r="AS819" s="139"/>
      <c r="AT819" s="139"/>
      <c r="AU819" s="139"/>
      <c r="AV819" s="139"/>
      <c r="AW819" s="139"/>
      <c r="AX819" s="139"/>
      <c r="AY819" s="139"/>
      <c r="AZ819" s="139"/>
      <c r="BA819" s="139"/>
      <c r="BB819" s="139"/>
      <c r="BC819" s="139"/>
      <c r="BD819" s="139"/>
      <c r="BE819" s="139"/>
      <c r="BF819" s="139"/>
      <c r="BG819" s="139"/>
      <c r="BH819" s="139"/>
    </row>
    <row r="820" spans="2:60" s="11" customFormat="1" ht="20.100000000000001" customHeight="1">
      <c r="B820" s="1360"/>
      <c r="C820" s="5598"/>
      <c r="D820" s="9598" t="s">
        <v>134</v>
      </c>
      <c r="E820" s="9600"/>
      <c r="F820" s="285" t="s">
        <v>413</v>
      </c>
      <c r="G820" s="666"/>
      <c r="H820" s="684"/>
      <c r="I820" s="9579" t="s">
        <v>135</v>
      </c>
      <c r="J820" s="9581"/>
      <c r="K820" s="285" t="s">
        <v>413</v>
      </c>
      <c r="L820" s="5594"/>
      <c r="M820" s="5682" t="s">
        <v>369</v>
      </c>
      <c r="N820" s="5601"/>
      <c r="O820" s="5667" t="s">
        <v>369</v>
      </c>
      <c r="P820" s="5602"/>
      <c r="Q820" s="5758" t="s">
        <v>369</v>
      </c>
      <c r="R820" s="2468"/>
      <c r="S820" s="544"/>
      <c r="T820" s="545"/>
      <c r="U820" s="546"/>
      <c r="V820" s="547"/>
      <c r="W820" s="299" t="s">
        <v>193</v>
      </c>
      <c r="X820" s="277"/>
      <c r="Y820" s="277"/>
      <c r="Z820" s="187"/>
      <c r="AA820" s="6301"/>
      <c r="AB820" s="139"/>
      <c r="AC820" s="139"/>
      <c r="AD820" s="139"/>
      <c r="AE820" s="139"/>
      <c r="AF820" s="139"/>
      <c r="AG820" s="139"/>
      <c r="AH820" s="139"/>
      <c r="AI820" s="139"/>
      <c r="AJ820" s="139"/>
      <c r="AK820" s="139"/>
      <c r="AL820" s="139"/>
      <c r="AM820" s="139"/>
      <c r="AN820" s="139"/>
      <c r="AO820" s="139"/>
      <c r="AP820" s="139"/>
      <c r="AQ820" s="139"/>
      <c r="AR820" s="139"/>
      <c r="AS820" s="139"/>
      <c r="AT820" s="139"/>
      <c r="AU820" s="139"/>
      <c r="AV820" s="139"/>
      <c r="AW820" s="139"/>
      <c r="AX820" s="139"/>
      <c r="AY820" s="139"/>
      <c r="AZ820" s="139"/>
      <c r="BA820" s="139"/>
      <c r="BB820" s="139"/>
      <c r="BC820" s="139"/>
      <c r="BD820" s="139"/>
      <c r="BE820" s="139"/>
      <c r="BF820" s="139"/>
      <c r="BG820" s="139"/>
      <c r="BH820" s="139"/>
    </row>
    <row r="821" spans="2:60" s="11" customFormat="1" ht="20.100000000000001" customHeight="1">
      <c r="B821" s="1360"/>
      <c r="C821" s="5598"/>
      <c r="D821" s="9598" t="s">
        <v>137</v>
      </c>
      <c r="E821" s="9600"/>
      <c r="F821" s="285" t="s">
        <v>413</v>
      </c>
      <c r="G821" s="666"/>
      <c r="H821" s="684"/>
      <c r="I821" s="9579" t="s">
        <v>138</v>
      </c>
      <c r="J821" s="9581"/>
      <c r="K821" s="285" t="s">
        <v>413</v>
      </c>
      <c r="L821" s="5594"/>
      <c r="M821" s="5682"/>
      <c r="N821" s="5601"/>
      <c r="O821" s="5667"/>
      <c r="P821" s="5601"/>
      <c r="Q821" s="5601"/>
      <c r="R821" s="2468"/>
      <c r="S821" s="544"/>
      <c r="T821" s="545"/>
      <c r="U821" s="546"/>
      <c r="V821" s="547"/>
      <c r="W821" s="299" t="s">
        <v>193</v>
      </c>
      <c r="X821" s="277"/>
      <c r="Y821" s="277"/>
      <c r="Z821" s="187"/>
      <c r="AA821" s="6301"/>
      <c r="AB821" s="139"/>
      <c r="AC821" s="139"/>
      <c r="AD821" s="139"/>
      <c r="AE821" s="139"/>
      <c r="AF821" s="139"/>
      <c r="AG821" s="139"/>
      <c r="AH821" s="139"/>
      <c r="AI821" s="139"/>
      <c r="AJ821" s="139"/>
      <c r="AK821" s="139"/>
      <c r="AL821" s="139"/>
      <c r="AM821" s="139"/>
      <c r="AN821" s="139"/>
      <c r="AO821" s="139"/>
      <c r="AP821" s="139"/>
      <c r="AQ821" s="139"/>
      <c r="AR821" s="139"/>
      <c r="AS821" s="139"/>
      <c r="AT821" s="139"/>
      <c r="AU821" s="139"/>
      <c r="AV821" s="139"/>
      <c r="AW821" s="139"/>
      <c r="AX821" s="139"/>
      <c r="AY821" s="139"/>
      <c r="AZ821" s="139"/>
      <c r="BA821" s="139"/>
      <c r="BB821" s="139"/>
      <c r="BC821" s="139"/>
      <c r="BD821" s="139"/>
      <c r="BE821" s="139"/>
      <c r="BF821" s="139"/>
      <c r="BG821" s="139"/>
      <c r="BH821" s="139"/>
    </row>
    <row r="822" spans="2:60" s="11" customFormat="1" ht="20.100000000000001" customHeight="1">
      <c r="B822" s="1360"/>
      <c r="C822" s="5598"/>
      <c r="D822" s="9598" t="s">
        <v>140</v>
      </c>
      <c r="E822" s="9600"/>
      <c r="F822" s="285" t="s">
        <v>413</v>
      </c>
      <c r="G822" s="666"/>
      <c r="H822" s="684"/>
      <c r="I822" s="9582" t="s">
        <v>141</v>
      </c>
      <c r="J822" s="9583"/>
      <c r="K822" s="285" t="s">
        <v>413</v>
      </c>
      <c r="L822" s="5592"/>
      <c r="M822" s="5656"/>
      <c r="N822" s="5593"/>
      <c r="O822" s="5602"/>
      <c r="P822" s="5593"/>
      <c r="Q822" s="5593"/>
      <c r="R822" s="2468"/>
      <c r="S822" s="544"/>
      <c r="T822" s="545"/>
      <c r="U822" s="546"/>
      <c r="V822" s="547"/>
      <c r="W822" s="299" t="s">
        <v>193</v>
      </c>
      <c r="X822" s="277"/>
      <c r="Y822" s="277"/>
      <c r="Z822" s="187"/>
      <c r="AA822" s="6301"/>
      <c r="AB822" s="139"/>
      <c r="AC822" s="139"/>
      <c r="AD822" s="139"/>
      <c r="AE822" s="139"/>
      <c r="AF822" s="139"/>
      <c r="AG822" s="139"/>
      <c r="AH822" s="139"/>
      <c r="AI822" s="139"/>
      <c r="AJ822" s="139"/>
      <c r="AK822" s="139"/>
      <c r="AL822" s="139"/>
      <c r="AM822" s="139"/>
      <c r="AN822" s="139"/>
      <c r="AO822" s="139"/>
      <c r="AP822" s="139"/>
      <c r="AQ822" s="139"/>
      <c r="AR822" s="139"/>
      <c r="AS822" s="139"/>
      <c r="AT822" s="139"/>
      <c r="AU822" s="139"/>
      <c r="AV822" s="139"/>
      <c r="AW822" s="139"/>
      <c r="AX822" s="139"/>
      <c r="AY822" s="139"/>
      <c r="AZ822" s="139"/>
      <c r="BA822" s="139"/>
      <c r="BB822" s="139"/>
      <c r="BC822" s="139"/>
      <c r="BD822" s="139"/>
      <c r="BE822" s="139"/>
      <c r="BF822" s="139"/>
      <c r="BG822" s="139"/>
      <c r="BH822" s="139"/>
    </row>
    <row r="823" spans="2:60" s="11" customFormat="1" ht="20.100000000000001" customHeight="1">
      <c r="B823" s="1360"/>
      <c r="C823" s="5598"/>
      <c r="D823" s="9598" t="s">
        <v>143</v>
      </c>
      <c r="E823" s="9600"/>
      <c r="F823" s="285" t="s">
        <v>413</v>
      </c>
      <c r="G823" s="666"/>
      <c r="H823" s="684"/>
      <c r="I823" s="9582" t="s">
        <v>144</v>
      </c>
      <c r="J823" s="9583"/>
      <c r="K823" s="285" t="s">
        <v>413</v>
      </c>
      <c r="L823" s="5594"/>
      <c r="M823" s="5682"/>
      <c r="N823" s="5601"/>
      <c r="O823" s="5667"/>
      <c r="P823" s="5602"/>
      <c r="Q823" s="5758"/>
      <c r="R823" s="2468"/>
      <c r="S823" s="544"/>
      <c r="T823" s="545"/>
      <c r="U823" s="546"/>
      <c r="V823" s="547"/>
      <c r="W823" s="299" t="s">
        <v>193</v>
      </c>
      <c r="X823" s="277"/>
      <c r="Y823" s="277"/>
      <c r="Z823" s="187"/>
      <c r="AA823" s="6301"/>
      <c r="AB823" s="139"/>
      <c r="AC823" s="139"/>
      <c r="AD823" s="139"/>
      <c r="AE823" s="139"/>
      <c r="AF823" s="139"/>
      <c r="AG823" s="139"/>
      <c r="AH823" s="139"/>
      <c r="AI823" s="139"/>
      <c r="AJ823" s="139"/>
      <c r="AK823" s="139"/>
      <c r="AL823" s="139"/>
      <c r="AM823" s="139"/>
      <c r="AN823" s="139"/>
      <c r="AO823" s="139"/>
      <c r="AP823" s="139"/>
      <c r="AQ823" s="139"/>
      <c r="AR823" s="139"/>
      <c r="AS823" s="139"/>
      <c r="AT823" s="139"/>
      <c r="AU823" s="139"/>
      <c r="AV823" s="139"/>
      <c r="AW823" s="139"/>
      <c r="AX823" s="139"/>
      <c r="AY823" s="139"/>
      <c r="AZ823" s="139"/>
      <c r="BA823" s="139"/>
      <c r="BB823" s="139"/>
      <c r="BC823" s="139"/>
      <c r="BD823" s="139"/>
      <c r="BE823" s="139"/>
      <c r="BF823" s="139"/>
      <c r="BG823" s="139"/>
      <c r="BH823" s="139"/>
    </row>
    <row r="824" spans="2:60" s="11" customFormat="1" ht="20.100000000000001" customHeight="1">
      <c r="B824" s="1360"/>
      <c r="C824" s="5598"/>
      <c r="D824" s="9598" t="s">
        <v>631</v>
      </c>
      <c r="E824" s="9600"/>
      <c r="F824" s="285" t="s">
        <v>413</v>
      </c>
      <c r="G824" s="666"/>
      <c r="H824" s="684"/>
      <c r="I824" s="9582" t="s">
        <v>147</v>
      </c>
      <c r="J824" s="9583"/>
      <c r="K824" s="285" t="s">
        <v>413</v>
      </c>
      <c r="L824" s="5967" t="s">
        <v>168</v>
      </c>
      <c r="M824" s="5656" t="s">
        <v>641</v>
      </c>
      <c r="N824" s="5593" t="s">
        <v>168</v>
      </c>
      <c r="O824" s="5948" t="s">
        <v>641</v>
      </c>
      <c r="P824" s="5948" t="s">
        <v>168</v>
      </c>
      <c r="Q824" s="5948" t="s">
        <v>641</v>
      </c>
      <c r="R824" s="2468"/>
      <c r="S824" s="544"/>
      <c r="T824" s="545"/>
      <c r="U824" s="546"/>
      <c r="V824" s="547"/>
      <c r="W824" s="299" t="s">
        <v>193</v>
      </c>
      <c r="X824" s="277"/>
      <c r="Y824" s="277"/>
      <c r="Z824" s="187"/>
      <c r="AA824" s="6301"/>
      <c r="AB824" s="139"/>
      <c r="AC824" s="139"/>
      <c r="AD824" s="139"/>
      <c r="AE824" s="139"/>
      <c r="AF824" s="139"/>
      <c r="AG824" s="139"/>
      <c r="AH824" s="139"/>
      <c r="AI824" s="139"/>
      <c r="AJ824" s="139"/>
      <c r="AK824" s="139"/>
      <c r="AL824" s="139"/>
      <c r="AM824" s="139"/>
      <c r="AN824" s="139"/>
      <c r="AO824" s="139"/>
      <c r="AP824" s="139"/>
      <c r="AQ824" s="139"/>
      <c r="AR824" s="139"/>
      <c r="AS824" s="139"/>
      <c r="AT824" s="139"/>
      <c r="AU824" s="139"/>
      <c r="AV824" s="139"/>
      <c r="AW824" s="139"/>
      <c r="AX824" s="139"/>
      <c r="AY824" s="139"/>
      <c r="AZ824" s="139"/>
      <c r="BA824" s="139"/>
      <c r="BB824" s="139"/>
      <c r="BC824" s="139"/>
      <c r="BD824" s="139"/>
      <c r="BE824" s="139"/>
      <c r="BF824" s="139"/>
      <c r="BG824" s="139"/>
      <c r="BH824" s="139"/>
    </row>
    <row r="825" spans="2:60" s="11" customFormat="1" ht="20.100000000000001" customHeight="1">
      <c r="B825" s="1360"/>
      <c r="C825" s="5598"/>
      <c r="D825" s="9598" t="s">
        <v>633</v>
      </c>
      <c r="E825" s="9600"/>
      <c r="F825" s="285" t="s">
        <v>413</v>
      </c>
      <c r="G825" s="666"/>
      <c r="H825" s="684"/>
      <c r="I825" s="9582" t="s">
        <v>150</v>
      </c>
      <c r="J825" s="9583"/>
      <c r="K825" s="285" t="s">
        <v>413</v>
      </c>
      <c r="L825" s="5594"/>
      <c r="M825" s="5682"/>
      <c r="N825" s="5601"/>
      <c r="O825" s="5667"/>
      <c r="P825" s="5602"/>
      <c r="Q825" s="5758"/>
      <c r="R825" s="2468"/>
      <c r="S825" s="544"/>
      <c r="T825" s="545"/>
      <c r="U825" s="546"/>
      <c r="V825" s="547"/>
      <c r="W825" s="299" t="s">
        <v>193</v>
      </c>
      <c r="X825" s="277"/>
      <c r="Y825" s="277"/>
      <c r="Z825" s="187"/>
      <c r="AA825" s="6301"/>
      <c r="AB825" s="139"/>
      <c r="AC825" s="139"/>
      <c r="AD825" s="139"/>
      <c r="AE825" s="139"/>
      <c r="AF825" s="139"/>
      <c r="AG825" s="139"/>
      <c r="AH825" s="139"/>
      <c r="AI825" s="139"/>
      <c r="AJ825" s="139"/>
      <c r="AK825" s="139"/>
      <c r="AL825" s="139"/>
      <c r="AM825" s="139"/>
      <c r="AN825" s="139"/>
      <c r="AO825" s="139"/>
      <c r="AP825" s="139"/>
      <c r="AQ825" s="139"/>
      <c r="AR825" s="139"/>
      <c r="AS825" s="139"/>
      <c r="AT825" s="139"/>
      <c r="AU825" s="139"/>
      <c r="AV825" s="139"/>
      <c r="AW825" s="139"/>
      <c r="AX825" s="139"/>
      <c r="AY825" s="139"/>
      <c r="AZ825" s="139"/>
      <c r="BA825" s="139"/>
      <c r="BB825" s="139"/>
      <c r="BC825" s="139"/>
      <c r="BD825" s="139"/>
      <c r="BE825" s="139"/>
      <c r="BF825" s="139"/>
      <c r="BG825" s="139"/>
      <c r="BH825" s="139"/>
    </row>
    <row r="826" spans="2:60" s="11" customFormat="1" ht="20.100000000000001" customHeight="1">
      <c r="B826" s="1360"/>
      <c r="C826" s="5598"/>
      <c r="D826" s="9660" t="s">
        <v>586</v>
      </c>
      <c r="E826" s="9661"/>
      <c r="F826" s="285" t="s">
        <v>413</v>
      </c>
      <c r="G826" s="666"/>
      <c r="H826" s="684"/>
      <c r="I826" s="9586" t="s">
        <v>587</v>
      </c>
      <c r="J826" s="9587"/>
      <c r="K826" s="285" t="s">
        <v>413</v>
      </c>
      <c r="L826" s="5653" t="str">
        <f>IF(COUNTBLANK(L827:L832)&gt;0,"미취합법인有",SUM(L827:L832))</f>
        <v>미취합법인有</v>
      </c>
      <c r="M826" s="5657"/>
      <c r="N826" s="5654" t="str">
        <f>IF(COUNTBLANK(N827:N832)&gt;0,"미취합법인有",SUM(N827:N832))</f>
        <v>미취합법인有</v>
      </c>
      <c r="O826" s="5945"/>
      <c r="P826" s="5781" t="str">
        <f>IF(COUNTBLANK(P827:P832)&gt;0,"미취합법인有",SUM(P827:P832))</f>
        <v>미취합법인有</v>
      </c>
      <c r="Q826" s="785"/>
      <c r="R826" s="2472"/>
      <c r="S826" s="457"/>
      <c r="T826" s="99" t="s">
        <v>189</v>
      </c>
      <c r="U826" s="547"/>
      <c r="V826" s="547"/>
      <c r="W826" s="299" t="s">
        <v>193</v>
      </c>
      <c r="X826" s="154" t="s">
        <v>581</v>
      </c>
      <c r="Y826" s="154"/>
      <c r="Z826" s="159"/>
      <c r="AA826" s="6305"/>
      <c r="AB826" s="139"/>
      <c r="AC826" s="139"/>
      <c r="AD826" s="139"/>
      <c r="AE826" s="139"/>
      <c r="AF826" s="139"/>
      <c r="AG826" s="139"/>
      <c r="AH826" s="139"/>
      <c r="AI826" s="139"/>
      <c r="AJ826" s="139"/>
      <c r="AK826" s="139"/>
      <c r="AL826" s="139"/>
      <c r="AM826" s="139"/>
      <c r="AN826" s="139"/>
      <c r="AO826" s="139"/>
      <c r="AP826" s="139"/>
      <c r="AQ826" s="139"/>
      <c r="AR826" s="139"/>
      <c r="AS826" s="139"/>
      <c r="AT826" s="139"/>
      <c r="AU826" s="139"/>
      <c r="AV826" s="139"/>
      <c r="AW826" s="139"/>
      <c r="AX826" s="139"/>
      <c r="AY826" s="139"/>
      <c r="AZ826" s="139"/>
      <c r="BA826" s="139"/>
      <c r="BB826" s="139"/>
      <c r="BC826" s="139"/>
      <c r="BD826" s="139"/>
      <c r="BE826" s="139"/>
      <c r="BF826" s="139"/>
      <c r="BG826" s="139"/>
      <c r="BH826" s="139"/>
    </row>
    <row r="827" spans="2:60" s="11" customFormat="1" ht="20.100000000000001" customHeight="1">
      <c r="B827" s="1360"/>
      <c r="C827" s="5598"/>
      <c r="D827" s="9598" t="s">
        <v>134</v>
      </c>
      <c r="E827" s="9600"/>
      <c r="F827" s="285" t="s">
        <v>413</v>
      </c>
      <c r="G827" s="666"/>
      <c r="H827" s="684"/>
      <c r="I827" s="9579" t="s">
        <v>135</v>
      </c>
      <c r="J827" s="9581"/>
      <c r="K827" s="285" t="s">
        <v>413</v>
      </c>
      <c r="L827" s="5594"/>
      <c r="M827" s="5682" t="s">
        <v>369</v>
      </c>
      <c r="N827" s="5601"/>
      <c r="O827" s="5667" t="s">
        <v>369</v>
      </c>
      <c r="P827" s="5602"/>
      <c r="Q827" s="5758" t="s">
        <v>369</v>
      </c>
      <c r="R827" s="2468"/>
      <c r="S827" s="544"/>
      <c r="T827" s="545"/>
      <c r="U827" s="546"/>
      <c r="V827" s="547"/>
      <c r="W827" s="299" t="s">
        <v>193</v>
      </c>
      <c r="X827" s="277"/>
      <c r="Y827" s="277"/>
      <c r="Z827" s="187"/>
      <c r="AA827" s="6301"/>
      <c r="AB827" s="139"/>
      <c r="AC827" s="139"/>
      <c r="AD827" s="139"/>
      <c r="AE827" s="139"/>
      <c r="AF827" s="139"/>
      <c r="AG827" s="139"/>
      <c r="AH827" s="139"/>
      <c r="AI827" s="139"/>
      <c r="AJ827" s="139"/>
      <c r="AK827" s="139"/>
      <c r="AL827" s="139"/>
      <c r="AM827" s="139"/>
      <c r="AN827" s="139"/>
      <c r="AO827" s="139"/>
      <c r="AP827" s="139"/>
      <c r="AQ827" s="139"/>
      <c r="AR827" s="139"/>
      <c r="AS827" s="139"/>
      <c r="AT827" s="139"/>
      <c r="AU827" s="139"/>
      <c r="AV827" s="139"/>
      <c r="AW827" s="139"/>
      <c r="AX827" s="139"/>
      <c r="AY827" s="139"/>
      <c r="AZ827" s="139"/>
      <c r="BA827" s="139"/>
      <c r="BB827" s="139"/>
      <c r="BC827" s="139"/>
      <c r="BD827" s="139"/>
      <c r="BE827" s="139"/>
      <c r="BF827" s="139"/>
      <c r="BG827" s="139"/>
      <c r="BH827" s="139"/>
    </row>
    <row r="828" spans="2:60" s="11" customFormat="1" ht="20.100000000000001" customHeight="1">
      <c r="B828" s="1360"/>
      <c r="C828" s="5598"/>
      <c r="D828" s="9598" t="s">
        <v>137</v>
      </c>
      <c r="E828" s="9600"/>
      <c r="F828" s="285" t="s">
        <v>413</v>
      </c>
      <c r="G828" s="666"/>
      <c r="H828" s="684"/>
      <c r="I828" s="9579" t="s">
        <v>138</v>
      </c>
      <c r="J828" s="9581"/>
      <c r="K828" s="285" t="s">
        <v>413</v>
      </c>
      <c r="L828" s="5594"/>
      <c r="M828" s="5682"/>
      <c r="N828" s="5601"/>
      <c r="O828" s="5667"/>
      <c r="P828" s="5601"/>
      <c r="Q828" s="5601"/>
      <c r="R828" s="2468"/>
      <c r="S828" s="544"/>
      <c r="T828" s="545"/>
      <c r="U828" s="546"/>
      <c r="V828" s="547"/>
      <c r="W828" s="299" t="s">
        <v>193</v>
      </c>
      <c r="X828" s="277"/>
      <c r="Y828" s="277"/>
      <c r="Z828" s="187"/>
      <c r="AA828" s="6301"/>
      <c r="AB828" s="139"/>
      <c r="AC828" s="139"/>
      <c r="AD828" s="139"/>
      <c r="AE828" s="139"/>
      <c r="AF828" s="139"/>
      <c r="AG828" s="139"/>
      <c r="AH828" s="139"/>
      <c r="AI828" s="139"/>
      <c r="AJ828" s="139"/>
      <c r="AK828" s="139"/>
      <c r="AL828" s="139"/>
      <c r="AM828" s="139"/>
      <c r="AN828" s="139"/>
      <c r="AO828" s="139"/>
      <c r="AP828" s="139"/>
      <c r="AQ828" s="139"/>
      <c r="AR828" s="139"/>
      <c r="AS828" s="139"/>
      <c r="AT828" s="139"/>
      <c r="AU828" s="139"/>
      <c r="AV828" s="139"/>
      <c r="AW828" s="139"/>
      <c r="AX828" s="139"/>
      <c r="AY828" s="139"/>
      <c r="AZ828" s="139"/>
      <c r="BA828" s="139"/>
      <c r="BB828" s="139"/>
      <c r="BC828" s="139"/>
      <c r="BD828" s="139"/>
      <c r="BE828" s="139"/>
      <c r="BF828" s="139"/>
      <c r="BG828" s="139"/>
      <c r="BH828" s="139"/>
    </row>
    <row r="829" spans="2:60" s="11" customFormat="1" ht="20.100000000000001" customHeight="1">
      <c r="B829" s="1360"/>
      <c r="C829" s="5598"/>
      <c r="D829" s="9598" t="s">
        <v>140</v>
      </c>
      <c r="E829" s="9600"/>
      <c r="F829" s="285" t="s">
        <v>413</v>
      </c>
      <c r="G829" s="666"/>
      <c r="H829" s="684"/>
      <c r="I829" s="9582" t="s">
        <v>141</v>
      </c>
      <c r="J829" s="9583"/>
      <c r="K829" s="285" t="s">
        <v>413</v>
      </c>
      <c r="L829" s="5592">
        <v>0</v>
      </c>
      <c r="M829" s="5656"/>
      <c r="N829" s="5593">
        <v>0</v>
      </c>
      <c r="O829" s="5667"/>
      <c r="P829" s="5593"/>
      <c r="Q829" s="5593"/>
      <c r="R829" s="2468"/>
      <c r="S829" s="544"/>
      <c r="T829" s="545"/>
      <c r="U829" s="546"/>
      <c r="V829" s="547"/>
      <c r="W829" s="299" t="s">
        <v>193</v>
      </c>
      <c r="X829" s="277"/>
      <c r="Y829" s="277"/>
      <c r="Z829" s="187"/>
      <c r="AA829" s="6301"/>
      <c r="AB829" s="139"/>
      <c r="AC829" s="139"/>
      <c r="AD829" s="139"/>
      <c r="AE829" s="139"/>
      <c r="AF829" s="139"/>
      <c r="AG829" s="139"/>
      <c r="AH829" s="139"/>
      <c r="AI829" s="139"/>
      <c r="AJ829" s="139"/>
      <c r="AK829" s="139"/>
      <c r="AL829" s="139"/>
      <c r="AM829" s="139"/>
      <c r="AN829" s="139"/>
      <c r="AO829" s="139"/>
      <c r="AP829" s="139"/>
      <c r="AQ829" s="139"/>
      <c r="AR829" s="139"/>
      <c r="AS829" s="139"/>
      <c r="AT829" s="139"/>
      <c r="AU829" s="139"/>
      <c r="AV829" s="139"/>
      <c r="AW829" s="139"/>
      <c r="AX829" s="139"/>
      <c r="AY829" s="139"/>
      <c r="AZ829" s="139"/>
      <c r="BA829" s="139"/>
      <c r="BB829" s="139"/>
      <c r="BC829" s="139"/>
      <c r="BD829" s="139"/>
      <c r="BE829" s="139"/>
      <c r="BF829" s="139"/>
      <c r="BG829" s="139"/>
      <c r="BH829" s="139"/>
    </row>
    <row r="830" spans="2:60" s="11" customFormat="1" ht="20.100000000000001" customHeight="1">
      <c r="B830" s="1360"/>
      <c r="C830" s="5598"/>
      <c r="D830" s="9598" t="s">
        <v>143</v>
      </c>
      <c r="E830" s="9600"/>
      <c r="F830" s="285" t="s">
        <v>413</v>
      </c>
      <c r="G830" s="666"/>
      <c r="H830" s="684"/>
      <c r="I830" s="9582" t="s">
        <v>144</v>
      </c>
      <c r="J830" s="9583"/>
      <c r="K830" s="285" t="s">
        <v>413</v>
      </c>
      <c r="L830" s="5839">
        <v>0</v>
      </c>
      <c r="M830" s="5671" t="s">
        <v>726</v>
      </c>
      <c r="N830" s="5841">
        <v>0</v>
      </c>
      <c r="O830" s="5680" t="s">
        <v>726</v>
      </c>
      <c r="P830" s="5602"/>
      <c r="Q830" s="5758"/>
      <c r="R830" s="2468"/>
      <c r="S830" s="544"/>
      <c r="T830" s="545"/>
      <c r="U830" s="546"/>
      <c r="V830" s="547"/>
      <c r="W830" s="299" t="s">
        <v>193</v>
      </c>
      <c r="X830" s="277"/>
      <c r="Y830" s="277"/>
      <c r="Z830" s="187"/>
      <c r="AA830" s="6301"/>
      <c r="AB830" s="139"/>
      <c r="AC830" s="139"/>
      <c r="AD830" s="139"/>
      <c r="AE830" s="139"/>
      <c r="AF830" s="139"/>
      <c r="AG830" s="139"/>
      <c r="AH830" s="139"/>
      <c r="AI830" s="139"/>
      <c r="AJ830" s="139"/>
      <c r="AK830" s="139"/>
      <c r="AL830" s="139"/>
      <c r="AM830" s="139"/>
      <c r="AN830" s="139"/>
      <c r="AO830" s="139"/>
      <c r="AP830" s="139"/>
      <c r="AQ830" s="139"/>
      <c r="AR830" s="139"/>
      <c r="AS830" s="139"/>
      <c r="AT830" s="139"/>
      <c r="AU830" s="139"/>
      <c r="AV830" s="139"/>
      <c r="AW830" s="139"/>
      <c r="AX830" s="139"/>
      <c r="AY830" s="139"/>
      <c r="AZ830" s="139"/>
      <c r="BA830" s="139"/>
      <c r="BB830" s="139"/>
      <c r="BC830" s="139"/>
      <c r="BD830" s="139"/>
      <c r="BE830" s="139"/>
      <c r="BF830" s="139"/>
      <c r="BG830" s="139"/>
      <c r="BH830" s="139"/>
    </row>
    <row r="831" spans="2:60" s="11" customFormat="1" ht="20.100000000000001" customHeight="1">
      <c r="B831" s="1360"/>
      <c r="C831" s="5598"/>
      <c r="D831" s="9598" t="s">
        <v>631</v>
      </c>
      <c r="E831" s="9600"/>
      <c r="F831" s="285" t="s">
        <v>413</v>
      </c>
      <c r="G831" s="666"/>
      <c r="H831" s="684"/>
      <c r="I831" s="9582" t="s">
        <v>147</v>
      </c>
      <c r="J831" s="9583"/>
      <c r="K831" s="285" t="s">
        <v>413</v>
      </c>
      <c r="L831" s="5967" t="s">
        <v>168</v>
      </c>
      <c r="M831" s="5656" t="s">
        <v>641</v>
      </c>
      <c r="N831" s="5593" t="s">
        <v>168</v>
      </c>
      <c r="O831" s="5948" t="s">
        <v>641</v>
      </c>
      <c r="P831" s="5948" t="s">
        <v>168</v>
      </c>
      <c r="Q831" s="5948" t="s">
        <v>641</v>
      </c>
      <c r="R831" s="2468"/>
      <c r="S831" s="544"/>
      <c r="T831" s="545"/>
      <c r="U831" s="546"/>
      <c r="V831" s="547"/>
      <c r="W831" s="299" t="s">
        <v>193</v>
      </c>
      <c r="X831" s="277"/>
      <c r="Y831" s="277"/>
      <c r="Z831" s="187"/>
      <c r="AA831" s="6301"/>
      <c r="AB831" s="139"/>
      <c r="AC831" s="139"/>
      <c r="AD831" s="139"/>
      <c r="AE831" s="139"/>
      <c r="AF831" s="139"/>
      <c r="AG831" s="139"/>
      <c r="AH831" s="139"/>
      <c r="AI831" s="139"/>
      <c r="AJ831" s="139"/>
      <c r="AK831" s="139"/>
      <c r="AL831" s="139"/>
      <c r="AM831" s="139"/>
      <c r="AN831" s="139"/>
      <c r="AO831" s="139"/>
      <c r="AP831" s="139"/>
      <c r="AQ831" s="139"/>
      <c r="AR831" s="139"/>
      <c r="AS831" s="139"/>
      <c r="AT831" s="139"/>
      <c r="AU831" s="139"/>
      <c r="AV831" s="139"/>
      <c r="AW831" s="139"/>
      <c r="AX831" s="139"/>
      <c r="AY831" s="139"/>
      <c r="AZ831" s="139"/>
      <c r="BA831" s="139"/>
      <c r="BB831" s="139"/>
      <c r="BC831" s="139"/>
      <c r="BD831" s="139"/>
      <c r="BE831" s="139"/>
      <c r="BF831" s="139"/>
      <c r="BG831" s="139"/>
      <c r="BH831" s="139"/>
    </row>
    <row r="832" spans="2:60" s="11" customFormat="1" ht="20.100000000000001" customHeight="1">
      <c r="B832" s="1360"/>
      <c r="C832" s="5598"/>
      <c r="D832" s="9598" t="s">
        <v>633</v>
      </c>
      <c r="E832" s="9600"/>
      <c r="F832" s="285" t="s">
        <v>413</v>
      </c>
      <c r="G832" s="666"/>
      <c r="H832" s="684"/>
      <c r="I832" s="9582" t="s">
        <v>150</v>
      </c>
      <c r="J832" s="9583"/>
      <c r="K832" s="285" t="s">
        <v>413</v>
      </c>
      <c r="L832" s="5594"/>
      <c r="M832" s="5682"/>
      <c r="N832" s="5601"/>
      <c r="O832" s="5667"/>
      <c r="P832" s="5602"/>
      <c r="Q832" s="5758"/>
      <c r="R832" s="2468"/>
      <c r="S832" s="544"/>
      <c r="T832" s="545"/>
      <c r="U832" s="546"/>
      <c r="V832" s="547"/>
      <c r="W832" s="299" t="s">
        <v>193</v>
      </c>
      <c r="X832" s="277"/>
      <c r="Y832" s="277"/>
      <c r="Z832" s="187"/>
      <c r="AA832" s="6301"/>
      <c r="AB832" s="139"/>
      <c r="AC832" s="139"/>
      <c r="AD832" s="139"/>
      <c r="AE832" s="139"/>
      <c r="AF832" s="139"/>
      <c r="AG832" s="139"/>
      <c r="AH832" s="139"/>
      <c r="AI832" s="139"/>
      <c r="AJ832" s="139"/>
      <c r="AK832" s="139"/>
      <c r="AL832" s="139"/>
      <c r="AM832" s="139"/>
      <c r="AN832" s="139"/>
      <c r="AO832" s="139"/>
      <c r="AP832" s="139"/>
      <c r="AQ832" s="139"/>
      <c r="AR832" s="139"/>
      <c r="AS832" s="139"/>
      <c r="AT832" s="139"/>
      <c r="AU832" s="139"/>
      <c r="AV832" s="139"/>
      <c r="AW832" s="139"/>
      <c r="AX832" s="139"/>
      <c r="AY832" s="139"/>
      <c r="AZ832" s="139"/>
      <c r="BA832" s="139"/>
      <c r="BB832" s="139"/>
      <c r="BC832" s="139"/>
      <c r="BD832" s="139"/>
      <c r="BE832" s="139"/>
      <c r="BF832" s="139"/>
      <c r="BG832" s="139"/>
      <c r="BH832" s="139"/>
    </row>
    <row r="833" spans="2:60" s="11" customFormat="1" ht="20.100000000000001" customHeight="1">
      <c r="B833" s="1360"/>
      <c r="C833" s="5598"/>
      <c r="D833" s="9660" t="s">
        <v>588</v>
      </c>
      <c r="E833" s="9661"/>
      <c r="F833" s="285" t="s">
        <v>413</v>
      </c>
      <c r="G833" s="666"/>
      <c r="H833" s="684"/>
      <c r="I833" s="9586" t="s">
        <v>589</v>
      </c>
      <c r="J833" s="9587"/>
      <c r="K833" s="285" t="s">
        <v>413</v>
      </c>
      <c r="L833" s="5653" t="str">
        <f>IF(COUNTBLANK(L834:L839)&gt;0,"미취합법인有",SUM(L834:L839))</f>
        <v>미취합법인有</v>
      </c>
      <c r="M833" s="5657"/>
      <c r="N833" s="5654" t="str">
        <f>IF(COUNTBLANK(N834:N839)&gt;0,"미취합법인有",SUM(N834:N839))</f>
        <v>미취합법인有</v>
      </c>
      <c r="O833" s="5945"/>
      <c r="P833" s="5781" t="str">
        <f>IF(COUNTBLANK(P834:P839)&gt;0,"미취합법인有",SUM(P834:P839))</f>
        <v>미취합법인有</v>
      </c>
      <c r="Q833" s="785"/>
      <c r="R833" s="2472"/>
      <c r="S833" s="457"/>
      <c r="T833" s="99" t="s">
        <v>189</v>
      </c>
      <c r="U833" s="547"/>
      <c r="V833" s="547"/>
      <c r="W833" s="299" t="s">
        <v>193</v>
      </c>
      <c r="X833" s="154" t="s">
        <v>581</v>
      </c>
      <c r="Y833" s="154"/>
      <c r="Z833" s="159"/>
      <c r="AA833" s="6305"/>
      <c r="AB833" s="139"/>
      <c r="AC833" s="139"/>
      <c r="AD833" s="139"/>
      <c r="AE833" s="139"/>
      <c r="AF833" s="139"/>
      <c r="AG833" s="139"/>
      <c r="AH833" s="139"/>
      <c r="AI833" s="139"/>
      <c r="AJ833" s="139"/>
      <c r="AK833" s="139"/>
      <c r="AL833" s="139"/>
      <c r="AM833" s="139"/>
      <c r="AN833" s="139"/>
      <c r="AO833" s="139"/>
      <c r="AP833" s="139"/>
      <c r="AQ833" s="139"/>
      <c r="AR833" s="139"/>
      <c r="AS833" s="139"/>
      <c r="AT833" s="139"/>
      <c r="AU833" s="139"/>
      <c r="AV833" s="139"/>
      <c r="AW833" s="139"/>
      <c r="AX833" s="139"/>
      <c r="AY833" s="139"/>
      <c r="AZ833" s="139"/>
      <c r="BA833" s="139"/>
      <c r="BB833" s="139"/>
      <c r="BC833" s="139"/>
      <c r="BD833" s="139"/>
      <c r="BE833" s="139"/>
      <c r="BF833" s="139"/>
      <c r="BG833" s="139"/>
      <c r="BH833" s="139"/>
    </row>
    <row r="834" spans="2:60" s="11" customFormat="1" ht="20.100000000000001" customHeight="1">
      <c r="B834" s="1360"/>
      <c r="C834" s="5598"/>
      <c r="D834" s="9598" t="s">
        <v>134</v>
      </c>
      <c r="E834" s="9600"/>
      <c r="F834" s="285" t="s">
        <v>413</v>
      </c>
      <c r="G834" s="666"/>
      <c r="H834" s="684"/>
      <c r="I834" s="9579" t="s">
        <v>135</v>
      </c>
      <c r="J834" s="9581"/>
      <c r="K834" s="285" t="s">
        <v>413</v>
      </c>
      <c r="L834" s="5594"/>
      <c r="M834" s="5682" t="s">
        <v>369</v>
      </c>
      <c r="N834" s="5601"/>
      <c r="O834" s="5667" t="s">
        <v>369</v>
      </c>
      <c r="P834" s="5602"/>
      <c r="Q834" s="5758" t="s">
        <v>369</v>
      </c>
      <c r="R834" s="2468"/>
      <c r="S834" s="544"/>
      <c r="T834" s="545"/>
      <c r="U834" s="546"/>
      <c r="V834" s="547"/>
      <c r="W834" s="299" t="s">
        <v>193</v>
      </c>
      <c r="X834" s="277"/>
      <c r="Y834" s="277"/>
      <c r="Z834" s="187"/>
      <c r="AA834" s="6301"/>
      <c r="AB834" s="139"/>
      <c r="AC834" s="139"/>
      <c r="AD834" s="139"/>
      <c r="AE834" s="139"/>
      <c r="AF834" s="139"/>
      <c r="AG834" s="139"/>
      <c r="AH834" s="139"/>
      <c r="AI834" s="139"/>
      <c r="AJ834" s="139"/>
      <c r="AK834" s="139"/>
      <c r="AL834" s="139"/>
      <c r="AM834" s="139"/>
      <c r="AN834" s="139"/>
      <c r="AO834" s="139"/>
      <c r="AP834" s="139"/>
      <c r="AQ834" s="139"/>
      <c r="AR834" s="139"/>
      <c r="AS834" s="139"/>
      <c r="AT834" s="139"/>
      <c r="AU834" s="139"/>
      <c r="AV834" s="139"/>
      <c r="AW834" s="139"/>
      <c r="AX834" s="139"/>
      <c r="AY834" s="139"/>
      <c r="AZ834" s="139"/>
      <c r="BA834" s="139"/>
      <c r="BB834" s="139"/>
      <c r="BC834" s="139"/>
      <c r="BD834" s="139"/>
      <c r="BE834" s="139"/>
      <c r="BF834" s="139"/>
      <c r="BG834" s="139"/>
      <c r="BH834" s="139"/>
    </row>
    <row r="835" spans="2:60" s="11" customFormat="1" ht="20.100000000000001" customHeight="1">
      <c r="B835" s="1360"/>
      <c r="C835" s="5598"/>
      <c r="D835" s="9598" t="s">
        <v>137</v>
      </c>
      <c r="E835" s="9600"/>
      <c r="F835" s="285" t="s">
        <v>413</v>
      </c>
      <c r="G835" s="666"/>
      <c r="H835" s="684"/>
      <c r="I835" s="9579" t="s">
        <v>138</v>
      </c>
      <c r="J835" s="9581"/>
      <c r="K835" s="285" t="s">
        <v>413</v>
      </c>
      <c r="L835" s="5594"/>
      <c r="M835" s="5682"/>
      <c r="N835" s="5601"/>
      <c r="O835" s="5667"/>
      <c r="P835" s="5602"/>
      <c r="Q835" s="5758"/>
      <c r="R835" s="2468"/>
      <c r="S835" s="544"/>
      <c r="T835" s="545"/>
      <c r="U835" s="546"/>
      <c r="V835" s="547"/>
      <c r="W835" s="299" t="s">
        <v>193</v>
      </c>
      <c r="X835" s="277"/>
      <c r="Y835" s="277"/>
      <c r="Z835" s="187"/>
      <c r="AA835" s="6301"/>
      <c r="AB835" s="139"/>
      <c r="AC835" s="139"/>
      <c r="AD835" s="139"/>
      <c r="AE835" s="139"/>
      <c r="AF835" s="139"/>
      <c r="AG835" s="139"/>
      <c r="AH835" s="139"/>
      <c r="AI835" s="139"/>
      <c r="AJ835" s="139"/>
      <c r="AK835" s="139"/>
      <c r="AL835" s="139"/>
      <c r="AM835" s="139"/>
      <c r="AN835" s="139"/>
      <c r="AO835" s="139"/>
      <c r="AP835" s="139"/>
      <c r="AQ835" s="139"/>
      <c r="AR835" s="139"/>
      <c r="AS835" s="139"/>
      <c r="AT835" s="139"/>
      <c r="AU835" s="139"/>
      <c r="AV835" s="139"/>
      <c r="AW835" s="139"/>
      <c r="AX835" s="139"/>
      <c r="AY835" s="139"/>
      <c r="AZ835" s="139"/>
      <c r="BA835" s="139"/>
      <c r="BB835" s="139"/>
      <c r="BC835" s="139"/>
      <c r="BD835" s="139"/>
      <c r="BE835" s="139"/>
      <c r="BF835" s="139"/>
      <c r="BG835" s="139"/>
      <c r="BH835" s="139"/>
    </row>
    <row r="836" spans="2:60" s="11" customFormat="1" ht="20.100000000000001" customHeight="1">
      <c r="B836" s="1360"/>
      <c r="C836" s="5598"/>
      <c r="D836" s="9598" t="s">
        <v>140</v>
      </c>
      <c r="E836" s="9600"/>
      <c r="F836" s="285" t="s">
        <v>413</v>
      </c>
      <c r="G836" s="666"/>
      <c r="H836" s="684"/>
      <c r="I836" s="9582" t="s">
        <v>141</v>
      </c>
      <c r="J836" s="9583"/>
      <c r="K836" s="285" t="s">
        <v>413</v>
      </c>
      <c r="L836" s="6029">
        <v>0</v>
      </c>
      <c r="M836" s="5656"/>
      <c r="N836" s="5841">
        <v>0</v>
      </c>
      <c r="O836" s="5667"/>
      <c r="P836" s="5602"/>
      <c r="Q836" s="5758"/>
      <c r="R836" s="2468"/>
      <c r="S836" s="544"/>
      <c r="T836" s="545"/>
      <c r="U836" s="546"/>
      <c r="V836" s="547"/>
      <c r="W836" s="299" t="s">
        <v>193</v>
      </c>
      <c r="X836" s="277"/>
      <c r="Y836" s="277"/>
      <c r="Z836" s="187"/>
      <c r="AA836" s="6301"/>
      <c r="AB836" s="139"/>
      <c r="AC836" s="139"/>
      <c r="AD836" s="139"/>
      <c r="AE836" s="139"/>
      <c r="AF836" s="139"/>
      <c r="AG836" s="139"/>
      <c r="AH836" s="139"/>
      <c r="AI836" s="139"/>
      <c r="AJ836" s="139"/>
      <c r="AK836" s="139"/>
      <c r="AL836" s="139"/>
      <c r="AM836" s="139"/>
      <c r="AN836" s="139"/>
      <c r="AO836" s="139"/>
      <c r="AP836" s="139"/>
      <c r="AQ836" s="139"/>
      <c r="AR836" s="139"/>
      <c r="AS836" s="139"/>
      <c r="AT836" s="139"/>
      <c r="AU836" s="139"/>
      <c r="AV836" s="139"/>
      <c r="AW836" s="139"/>
      <c r="AX836" s="139"/>
      <c r="AY836" s="139"/>
      <c r="AZ836" s="139"/>
      <c r="BA836" s="139"/>
      <c r="BB836" s="139"/>
      <c r="BC836" s="139"/>
      <c r="BD836" s="139"/>
      <c r="BE836" s="139"/>
      <c r="BF836" s="139"/>
      <c r="BG836" s="139"/>
      <c r="BH836" s="139"/>
    </row>
    <row r="837" spans="2:60" s="11" customFormat="1" ht="20.100000000000001" customHeight="1">
      <c r="B837" s="1360"/>
      <c r="C837" s="5598"/>
      <c r="D837" s="9598" t="s">
        <v>143</v>
      </c>
      <c r="E837" s="9600"/>
      <c r="F837" s="285" t="s">
        <v>413</v>
      </c>
      <c r="G837" s="666"/>
      <c r="H837" s="684"/>
      <c r="I837" s="9582" t="s">
        <v>144</v>
      </c>
      <c r="J837" s="9583"/>
      <c r="K837" s="285" t="s">
        <v>413</v>
      </c>
      <c r="L837" s="5839">
        <v>0</v>
      </c>
      <c r="M837" s="5671" t="s">
        <v>726</v>
      </c>
      <c r="N837" s="5841">
        <v>0</v>
      </c>
      <c r="O837" s="5680" t="s">
        <v>726</v>
      </c>
      <c r="P837" s="5602"/>
      <c r="Q837" s="5758"/>
      <c r="R837" s="2468"/>
      <c r="S837" s="544"/>
      <c r="T837" s="545"/>
      <c r="U837" s="546"/>
      <c r="V837" s="547"/>
      <c r="W837" s="299" t="s">
        <v>193</v>
      </c>
      <c r="X837" s="277"/>
      <c r="Y837" s="277"/>
      <c r="Z837" s="187"/>
      <c r="AA837" s="6301"/>
      <c r="AB837" s="139"/>
      <c r="AC837" s="139"/>
      <c r="AD837" s="139"/>
      <c r="AE837" s="139"/>
      <c r="AF837" s="139"/>
      <c r="AG837" s="139"/>
      <c r="AH837" s="139"/>
      <c r="AI837" s="139"/>
      <c r="AJ837" s="139"/>
      <c r="AK837" s="139"/>
      <c r="AL837" s="139"/>
      <c r="AM837" s="139"/>
      <c r="AN837" s="139"/>
      <c r="AO837" s="139"/>
      <c r="AP837" s="139"/>
      <c r="AQ837" s="139"/>
      <c r="AR837" s="139"/>
      <c r="AS837" s="139"/>
      <c r="AT837" s="139"/>
      <c r="AU837" s="139"/>
      <c r="AV837" s="139"/>
      <c r="AW837" s="139"/>
      <c r="AX837" s="139"/>
      <c r="AY837" s="139"/>
      <c r="AZ837" s="139"/>
      <c r="BA837" s="139"/>
      <c r="BB837" s="139"/>
      <c r="BC837" s="139"/>
      <c r="BD837" s="139"/>
      <c r="BE837" s="139"/>
      <c r="BF837" s="139"/>
      <c r="BG837" s="139"/>
      <c r="BH837" s="139"/>
    </row>
    <row r="838" spans="2:60" s="11" customFormat="1" ht="20.100000000000001" customHeight="1">
      <c r="B838" s="1360"/>
      <c r="C838" s="5598"/>
      <c r="D838" s="9598" t="s">
        <v>631</v>
      </c>
      <c r="E838" s="9600"/>
      <c r="F838" s="285" t="s">
        <v>413</v>
      </c>
      <c r="G838" s="666"/>
      <c r="H838" s="684"/>
      <c r="I838" s="9582" t="s">
        <v>147</v>
      </c>
      <c r="J838" s="9583"/>
      <c r="K838" s="285" t="s">
        <v>413</v>
      </c>
      <c r="L838" s="5967" t="s">
        <v>168</v>
      </c>
      <c r="M838" s="5656" t="s">
        <v>641</v>
      </c>
      <c r="N838" s="5593" t="s">
        <v>168</v>
      </c>
      <c r="O838" s="5948" t="s">
        <v>641</v>
      </c>
      <c r="P838" s="5948" t="s">
        <v>168</v>
      </c>
      <c r="Q838" s="5948" t="s">
        <v>641</v>
      </c>
      <c r="R838" s="2468"/>
      <c r="S838" s="544"/>
      <c r="T838" s="545"/>
      <c r="U838" s="546"/>
      <c r="V838" s="547"/>
      <c r="W838" s="299" t="s">
        <v>193</v>
      </c>
      <c r="X838" s="277"/>
      <c r="Y838" s="277"/>
      <c r="Z838" s="187"/>
      <c r="AA838" s="6301"/>
      <c r="AB838" s="139"/>
      <c r="AC838" s="139"/>
      <c r="AD838" s="139"/>
      <c r="AE838" s="139"/>
      <c r="AF838" s="139"/>
      <c r="AG838" s="139"/>
      <c r="AH838" s="139"/>
      <c r="AI838" s="139"/>
      <c r="AJ838" s="139"/>
      <c r="AK838" s="139"/>
      <c r="AL838" s="139"/>
      <c r="AM838" s="139"/>
      <c r="AN838" s="139"/>
      <c r="AO838" s="139"/>
      <c r="AP838" s="139"/>
      <c r="AQ838" s="139"/>
      <c r="AR838" s="139"/>
      <c r="AS838" s="139"/>
      <c r="AT838" s="139"/>
      <c r="AU838" s="139"/>
      <c r="AV838" s="139"/>
      <c r="AW838" s="139"/>
      <c r="AX838" s="139"/>
      <c r="AY838" s="139"/>
      <c r="AZ838" s="139"/>
      <c r="BA838" s="139"/>
      <c r="BB838" s="139"/>
      <c r="BC838" s="139"/>
      <c r="BD838" s="139"/>
      <c r="BE838" s="139"/>
      <c r="BF838" s="139"/>
      <c r="BG838" s="139"/>
      <c r="BH838" s="139"/>
    </row>
    <row r="839" spans="2:60" s="11" customFormat="1" ht="20.100000000000001" customHeight="1">
      <c r="B839" s="1360"/>
      <c r="C839" s="5598"/>
      <c r="D839" s="9598" t="s">
        <v>633</v>
      </c>
      <c r="E839" s="9600"/>
      <c r="F839" s="285" t="s">
        <v>413</v>
      </c>
      <c r="G839" s="666"/>
      <c r="H839" s="684"/>
      <c r="I839" s="9582" t="s">
        <v>150</v>
      </c>
      <c r="J839" s="9583"/>
      <c r="K839" s="285" t="s">
        <v>413</v>
      </c>
      <c r="L839" s="5594"/>
      <c r="M839" s="5682"/>
      <c r="N839" s="5601"/>
      <c r="O839" s="5667"/>
      <c r="P839" s="5602"/>
      <c r="Q839" s="5758"/>
      <c r="R839" s="2468"/>
      <c r="S839" s="544"/>
      <c r="T839" s="545"/>
      <c r="U839" s="546"/>
      <c r="V839" s="547"/>
      <c r="W839" s="299" t="s">
        <v>193</v>
      </c>
      <c r="X839" s="277"/>
      <c r="Y839" s="277"/>
      <c r="Z839" s="187"/>
      <c r="AA839" s="6301"/>
      <c r="AB839" s="139"/>
      <c r="AC839" s="139"/>
      <c r="AD839" s="139"/>
      <c r="AE839" s="139"/>
      <c r="AF839" s="139"/>
      <c r="AG839" s="139"/>
      <c r="AH839" s="139"/>
      <c r="AI839" s="139"/>
      <c r="AJ839" s="139"/>
      <c r="AK839" s="139"/>
      <c r="AL839" s="139"/>
      <c r="AM839" s="139"/>
      <c r="AN839" s="139"/>
      <c r="AO839" s="139"/>
      <c r="AP839" s="139"/>
      <c r="AQ839" s="139"/>
      <c r="AR839" s="139"/>
      <c r="AS839" s="139"/>
      <c r="AT839" s="139"/>
      <c r="AU839" s="139"/>
      <c r="AV839" s="139"/>
      <c r="AW839" s="139"/>
      <c r="AX839" s="139"/>
      <c r="AY839" s="139"/>
      <c r="AZ839" s="139"/>
      <c r="BA839" s="139"/>
      <c r="BB839" s="139"/>
      <c r="BC839" s="139"/>
      <c r="BD839" s="139"/>
      <c r="BE839" s="139"/>
      <c r="BF839" s="139"/>
      <c r="BG839" s="139"/>
      <c r="BH839" s="139"/>
    </row>
    <row r="840" spans="2:60" s="11" customFormat="1" ht="20.100000000000001" customHeight="1">
      <c r="B840" s="1360"/>
      <c r="C840" s="5598"/>
      <c r="D840" s="9586" t="s">
        <v>590</v>
      </c>
      <c r="E840" s="9588"/>
      <c r="F840" s="285" t="s">
        <v>413</v>
      </c>
      <c r="G840" s="666"/>
      <c r="H840" s="684"/>
      <c r="I840" s="9586" t="s">
        <v>591</v>
      </c>
      <c r="J840" s="9587"/>
      <c r="K840" s="285" t="s">
        <v>413</v>
      </c>
      <c r="L840" s="5653" t="str">
        <f>IF(COUNTBLANK(L841:L846)&gt;0,"미취합법인有",SUM(L841:L846))</f>
        <v>미취합법인有</v>
      </c>
      <c r="M840" s="5657"/>
      <c r="N840" s="5654" t="str">
        <f>IF(COUNTBLANK(N841:N846)&gt;0,"미취합법인有",SUM(N841:N846))</f>
        <v>미취합법인有</v>
      </c>
      <c r="O840" s="5945"/>
      <c r="P840" s="5781" t="str">
        <f>IF(COUNTBLANK(P841:P846)&gt;0,"미취합법인有",SUM(P841:P846))</f>
        <v>미취합법인有</v>
      </c>
      <c r="Q840" s="785"/>
      <c r="R840" s="2468"/>
      <c r="S840" s="276"/>
      <c r="T840" s="99" t="s">
        <v>189</v>
      </c>
      <c r="U840" s="547"/>
      <c r="V840" s="547"/>
      <c r="W840" s="299" t="s">
        <v>193</v>
      </c>
      <c r="X840" s="620" t="s">
        <v>581</v>
      </c>
      <c r="Y840" s="154"/>
      <c r="Z840" s="159"/>
      <c r="AA840" s="6305"/>
      <c r="AB840" s="139"/>
      <c r="AC840" s="139"/>
      <c r="AD840" s="139"/>
      <c r="AE840" s="139"/>
      <c r="AF840" s="139"/>
      <c r="AG840" s="139"/>
      <c r="AH840" s="139"/>
      <c r="AI840" s="139"/>
      <c r="AJ840" s="139"/>
      <c r="AK840" s="139"/>
      <c r="AL840" s="139"/>
      <c r="AM840" s="139"/>
      <c r="AN840" s="139"/>
      <c r="AO840" s="139"/>
      <c r="AP840" s="139"/>
      <c r="AQ840" s="139"/>
      <c r="AR840" s="139"/>
      <c r="AS840" s="139"/>
      <c r="AT840" s="139"/>
      <c r="AU840" s="139"/>
      <c r="AV840" s="139"/>
      <c r="AW840" s="139"/>
      <c r="AX840" s="139"/>
      <c r="AY840" s="139"/>
      <c r="AZ840" s="139"/>
      <c r="BA840" s="139"/>
      <c r="BB840" s="139"/>
      <c r="BC840" s="139"/>
      <c r="BD840" s="139"/>
      <c r="BE840" s="139"/>
      <c r="BF840" s="139"/>
      <c r="BG840" s="139"/>
      <c r="BH840" s="139"/>
    </row>
    <row r="841" spans="2:60" s="11" customFormat="1" ht="20.100000000000001" customHeight="1">
      <c r="B841" s="1360"/>
      <c r="C841" s="5598"/>
      <c r="D841" s="9598" t="s">
        <v>134</v>
      </c>
      <c r="E841" s="9600"/>
      <c r="F841" s="285" t="s">
        <v>413</v>
      </c>
      <c r="G841" s="666"/>
      <c r="H841" s="684"/>
      <c r="I841" s="9579" t="s">
        <v>135</v>
      </c>
      <c r="J841" s="9581"/>
      <c r="K841" s="285" t="s">
        <v>413</v>
      </c>
      <c r="L841" s="5594"/>
      <c r="M841" s="5682" t="s">
        <v>369</v>
      </c>
      <c r="N841" s="5601"/>
      <c r="O841" s="5667" t="s">
        <v>369</v>
      </c>
      <c r="P841" s="5602"/>
      <c r="Q841" s="5758" t="s">
        <v>369</v>
      </c>
      <c r="R841" s="2468"/>
      <c r="S841" s="544"/>
      <c r="T841" s="545"/>
      <c r="U841" s="546"/>
      <c r="V841" s="547"/>
      <c r="W841" s="299" t="s">
        <v>193</v>
      </c>
      <c r="X841" s="277"/>
      <c r="Y841" s="277"/>
      <c r="Z841" s="187"/>
      <c r="AA841" s="6301"/>
      <c r="AB841" s="139"/>
      <c r="AC841" s="139"/>
      <c r="AD841" s="139"/>
      <c r="AE841" s="139"/>
      <c r="AF841" s="139"/>
      <c r="AG841" s="139"/>
      <c r="AH841" s="139"/>
      <c r="AI841" s="139"/>
      <c r="AJ841" s="139"/>
      <c r="AK841" s="139"/>
      <c r="AL841" s="139"/>
      <c r="AM841" s="139"/>
      <c r="AN841" s="139"/>
      <c r="AO841" s="139"/>
      <c r="AP841" s="139"/>
      <c r="AQ841" s="139"/>
      <c r="AR841" s="139"/>
      <c r="AS841" s="139"/>
      <c r="AT841" s="139"/>
      <c r="AU841" s="139"/>
      <c r="AV841" s="139"/>
      <c r="AW841" s="139"/>
      <c r="AX841" s="139"/>
      <c r="AY841" s="139"/>
      <c r="AZ841" s="139"/>
      <c r="BA841" s="139"/>
      <c r="BB841" s="139"/>
      <c r="BC841" s="139"/>
      <c r="BD841" s="139"/>
      <c r="BE841" s="139"/>
      <c r="BF841" s="139"/>
      <c r="BG841" s="139"/>
      <c r="BH841" s="139"/>
    </row>
    <row r="842" spans="2:60" s="11" customFormat="1" ht="20.100000000000001" customHeight="1">
      <c r="B842" s="1360"/>
      <c r="C842" s="5598"/>
      <c r="D842" s="9598" t="s">
        <v>137</v>
      </c>
      <c r="E842" s="9600"/>
      <c r="F842" s="285" t="s">
        <v>413</v>
      </c>
      <c r="G842" s="666"/>
      <c r="H842" s="684"/>
      <c r="I842" s="9579" t="s">
        <v>138</v>
      </c>
      <c r="J842" s="9581"/>
      <c r="K842" s="285" t="s">
        <v>413</v>
      </c>
      <c r="L842" s="5594"/>
      <c r="M842" s="5682"/>
      <c r="N842" s="5601"/>
      <c r="O842" s="5667"/>
      <c r="P842" s="5602"/>
      <c r="Q842" s="5758"/>
      <c r="R842" s="2468"/>
      <c r="S842" s="544"/>
      <c r="T842" s="545"/>
      <c r="U842" s="546"/>
      <c r="V842" s="547"/>
      <c r="W842" s="299" t="s">
        <v>193</v>
      </c>
      <c r="X842" s="277"/>
      <c r="Y842" s="277"/>
      <c r="Z842" s="187"/>
      <c r="AA842" s="6301"/>
      <c r="AB842" s="139"/>
      <c r="AC842" s="139"/>
      <c r="AD842" s="139"/>
      <c r="AE842" s="139"/>
      <c r="AF842" s="139"/>
      <c r="AG842" s="139"/>
      <c r="AH842" s="139"/>
      <c r="AI842" s="139"/>
      <c r="AJ842" s="139"/>
      <c r="AK842" s="139"/>
      <c r="AL842" s="139"/>
      <c r="AM842" s="139"/>
      <c r="AN842" s="139"/>
      <c r="AO842" s="139"/>
      <c r="AP842" s="139"/>
      <c r="AQ842" s="139"/>
      <c r="AR842" s="139"/>
      <c r="AS842" s="139"/>
      <c r="AT842" s="139"/>
      <c r="AU842" s="139"/>
      <c r="AV842" s="139"/>
      <c r="AW842" s="139"/>
      <c r="AX842" s="139"/>
      <c r="AY842" s="139"/>
      <c r="AZ842" s="139"/>
      <c r="BA842" s="139"/>
      <c r="BB842" s="139"/>
      <c r="BC842" s="139"/>
      <c r="BD842" s="139"/>
      <c r="BE842" s="139"/>
      <c r="BF842" s="139"/>
      <c r="BG842" s="139"/>
      <c r="BH842" s="139"/>
    </row>
    <row r="843" spans="2:60" s="11" customFormat="1" ht="20.100000000000001" customHeight="1">
      <c r="B843" s="1360"/>
      <c r="C843" s="5598"/>
      <c r="D843" s="9598" t="s">
        <v>140</v>
      </c>
      <c r="E843" s="9600"/>
      <c r="F843" s="285" t="s">
        <v>413</v>
      </c>
      <c r="G843" s="666"/>
      <c r="H843" s="684"/>
      <c r="I843" s="9582" t="s">
        <v>141</v>
      </c>
      <c r="J843" s="9583"/>
      <c r="K843" s="285" t="s">
        <v>413</v>
      </c>
      <c r="L843" s="5592"/>
      <c r="M843" s="5656"/>
      <c r="N843" s="5601"/>
      <c r="O843" s="5667"/>
      <c r="P843" s="5602"/>
      <c r="Q843" s="5758"/>
      <c r="R843" s="2468"/>
      <c r="S843" s="544"/>
      <c r="T843" s="545"/>
      <c r="U843" s="546"/>
      <c r="V843" s="547"/>
      <c r="W843" s="299" t="s">
        <v>193</v>
      </c>
      <c r="X843" s="277"/>
      <c r="Y843" s="277"/>
      <c r="Z843" s="187"/>
      <c r="AA843" s="6301"/>
      <c r="AB843" s="139"/>
      <c r="AC843" s="139"/>
      <c r="AD843" s="139"/>
      <c r="AE843" s="139"/>
      <c r="AF843" s="139"/>
      <c r="AG843" s="139"/>
      <c r="AH843" s="139"/>
      <c r="AI843" s="139"/>
      <c r="AJ843" s="139"/>
      <c r="AK843" s="139"/>
      <c r="AL843" s="139"/>
      <c r="AM843" s="139"/>
      <c r="AN843" s="139"/>
      <c r="AO843" s="139"/>
      <c r="AP843" s="139"/>
      <c r="AQ843" s="139"/>
      <c r="AR843" s="139"/>
      <c r="AS843" s="139"/>
      <c r="AT843" s="139"/>
      <c r="AU843" s="139"/>
      <c r="AV843" s="139"/>
      <c r="AW843" s="139"/>
      <c r="AX843" s="139"/>
      <c r="AY843" s="139"/>
      <c r="AZ843" s="139"/>
      <c r="BA843" s="139"/>
      <c r="BB843" s="139"/>
      <c r="BC843" s="139"/>
      <c r="BD843" s="139"/>
      <c r="BE843" s="139"/>
      <c r="BF843" s="139"/>
      <c r="BG843" s="139"/>
      <c r="BH843" s="139"/>
    </row>
    <row r="844" spans="2:60" s="11" customFormat="1" ht="20.100000000000001" customHeight="1">
      <c r="B844" s="1360"/>
      <c r="C844" s="5598"/>
      <c r="D844" s="9598" t="s">
        <v>143</v>
      </c>
      <c r="E844" s="9600"/>
      <c r="F844" s="285" t="s">
        <v>413</v>
      </c>
      <c r="G844" s="666"/>
      <c r="H844" s="684"/>
      <c r="I844" s="9582" t="s">
        <v>144</v>
      </c>
      <c r="J844" s="9583"/>
      <c r="K844" s="285" t="s">
        <v>413</v>
      </c>
      <c r="L844" s="5594"/>
      <c r="M844" s="5682"/>
      <c r="N844" s="5601"/>
      <c r="O844" s="5667"/>
      <c r="P844" s="5602"/>
      <c r="Q844" s="5758"/>
      <c r="R844" s="2468"/>
      <c r="S844" s="544"/>
      <c r="T844" s="545"/>
      <c r="U844" s="546"/>
      <c r="V844" s="547"/>
      <c r="W844" s="299" t="s">
        <v>193</v>
      </c>
      <c r="X844" s="277"/>
      <c r="Y844" s="277"/>
      <c r="Z844" s="187"/>
      <c r="AA844" s="6301"/>
      <c r="AB844" s="139"/>
      <c r="AC844" s="139"/>
      <c r="AD844" s="139"/>
      <c r="AE844" s="139"/>
      <c r="AF844" s="139"/>
      <c r="AG844" s="139"/>
      <c r="AH844" s="139"/>
      <c r="AI844" s="139"/>
      <c r="AJ844" s="139"/>
      <c r="AK844" s="139"/>
      <c r="AL844" s="139"/>
      <c r="AM844" s="139"/>
      <c r="AN844" s="139"/>
      <c r="AO844" s="139"/>
      <c r="AP844" s="139"/>
      <c r="AQ844" s="139"/>
      <c r="AR844" s="139"/>
      <c r="AS844" s="139"/>
      <c r="AT844" s="139"/>
      <c r="AU844" s="139"/>
      <c r="AV844" s="139"/>
      <c r="AW844" s="139"/>
      <c r="AX844" s="139"/>
      <c r="AY844" s="139"/>
      <c r="AZ844" s="139"/>
      <c r="BA844" s="139"/>
      <c r="BB844" s="139"/>
      <c r="BC844" s="139"/>
      <c r="BD844" s="139"/>
      <c r="BE844" s="139"/>
      <c r="BF844" s="139"/>
      <c r="BG844" s="139"/>
      <c r="BH844" s="139"/>
    </row>
    <row r="845" spans="2:60" s="11" customFormat="1" ht="20.100000000000001" customHeight="1">
      <c r="B845" s="1360"/>
      <c r="C845" s="5598"/>
      <c r="D845" s="9598" t="s">
        <v>631</v>
      </c>
      <c r="E845" s="9600"/>
      <c r="F845" s="285" t="s">
        <v>413</v>
      </c>
      <c r="G845" s="666"/>
      <c r="H845" s="684"/>
      <c r="I845" s="9582" t="s">
        <v>147</v>
      </c>
      <c r="J845" s="9583"/>
      <c r="K845" s="285" t="s">
        <v>413</v>
      </c>
      <c r="L845" s="5967" t="s">
        <v>168</v>
      </c>
      <c r="M845" s="5656" t="s">
        <v>641</v>
      </c>
      <c r="N845" s="5593" t="s">
        <v>168</v>
      </c>
      <c r="O845" s="5948" t="s">
        <v>641</v>
      </c>
      <c r="P845" s="5948" t="s">
        <v>168</v>
      </c>
      <c r="Q845" s="5948" t="s">
        <v>641</v>
      </c>
      <c r="R845" s="2468"/>
      <c r="S845" s="544"/>
      <c r="T845" s="545"/>
      <c r="U845" s="546"/>
      <c r="V845" s="547"/>
      <c r="W845" s="299" t="s">
        <v>193</v>
      </c>
      <c r="X845" s="277"/>
      <c r="Y845" s="277"/>
      <c r="Z845" s="187"/>
      <c r="AA845" s="6301"/>
      <c r="AB845" s="139"/>
      <c r="AC845" s="139"/>
      <c r="AD845" s="139"/>
      <c r="AE845" s="139"/>
      <c r="AF845" s="139"/>
      <c r="AG845" s="139"/>
      <c r="AH845" s="139"/>
      <c r="AI845" s="139"/>
      <c r="AJ845" s="139"/>
      <c r="AK845" s="139"/>
      <c r="AL845" s="139"/>
      <c r="AM845" s="139"/>
      <c r="AN845" s="139"/>
      <c r="AO845" s="139"/>
      <c r="AP845" s="139"/>
      <c r="AQ845" s="139"/>
      <c r="AR845" s="139"/>
      <c r="AS845" s="139"/>
      <c r="AT845" s="139"/>
      <c r="AU845" s="139"/>
      <c r="AV845" s="139"/>
      <c r="AW845" s="139"/>
      <c r="AX845" s="139"/>
      <c r="AY845" s="139"/>
      <c r="AZ845" s="139"/>
      <c r="BA845" s="139"/>
      <c r="BB845" s="139"/>
      <c r="BC845" s="139"/>
      <c r="BD845" s="139"/>
      <c r="BE845" s="139"/>
      <c r="BF845" s="139"/>
      <c r="BG845" s="139"/>
      <c r="BH845" s="139"/>
    </row>
    <row r="846" spans="2:60" s="11" customFormat="1" ht="20.100000000000001" customHeight="1">
      <c r="B846" s="1360"/>
      <c r="C846" s="5598"/>
      <c r="D846" s="9598" t="s">
        <v>633</v>
      </c>
      <c r="E846" s="9600"/>
      <c r="F846" s="285" t="s">
        <v>413</v>
      </c>
      <c r="G846" s="666"/>
      <c r="H846" s="684"/>
      <c r="I846" s="9582" t="s">
        <v>150</v>
      </c>
      <c r="J846" s="9583"/>
      <c r="K846" s="285" t="s">
        <v>413</v>
      </c>
      <c r="L846" s="5594"/>
      <c r="M846" s="5682"/>
      <c r="N846" s="5601"/>
      <c r="O846" s="5667"/>
      <c r="P846" s="5602"/>
      <c r="Q846" s="5758"/>
      <c r="R846" s="2468"/>
      <c r="S846" s="544"/>
      <c r="T846" s="545"/>
      <c r="U846" s="546"/>
      <c r="V846" s="547"/>
      <c r="W846" s="299" t="s">
        <v>193</v>
      </c>
      <c r="X846" s="277"/>
      <c r="Y846" s="277"/>
      <c r="Z846" s="187"/>
      <c r="AA846" s="6301"/>
      <c r="AB846" s="139"/>
      <c r="AC846" s="139"/>
      <c r="AD846" s="139"/>
      <c r="AE846" s="139"/>
      <c r="AF846" s="139"/>
      <c r="AG846" s="139"/>
      <c r="AH846" s="139"/>
      <c r="AI846" s="139"/>
      <c r="AJ846" s="139"/>
      <c r="AK846" s="139"/>
      <c r="AL846" s="139"/>
      <c r="AM846" s="139"/>
      <c r="AN846" s="139"/>
      <c r="AO846" s="139"/>
      <c r="AP846" s="139"/>
      <c r="AQ846" s="139"/>
      <c r="AR846" s="139"/>
      <c r="AS846" s="139"/>
      <c r="AT846" s="139"/>
      <c r="AU846" s="139"/>
      <c r="AV846" s="139"/>
      <c r="AW846" s="139"/>
      <c r="AX846" s="139"/>
      <c r="AY846" s="139"/>
      <c r="AZ846" s="139"/>
      <c r="BA846" s="139"/>
      <c r="BB846" s="139"/>
      <c r="BC846" s="139"/>
      <c r="BD846" s="139"/>
      <c r="BE846" s="139"/>
      <c r="BF846" s="139"/>
      <c r="BG846" s="139"/>
      <c r="BH846" s="139"/>
    </row>
    <row r="847" spans="2:60" s="11" customFormat="1" ht="20.100000000000001" customHeight="1">
      <c r="B847" s="1360"/>
      <c r="C847" s="9587" t="s">
        <v>592</v>
      </c>
      <c r="D847" s="9587"/>
      <c r="E847" s="9588"/>
      <c r="F847" s="285" t="s">
        <v>156</v>
      </c>
      <c r="G847" s="621"/>
      <c r="H847" s="9586" t="s">
        <v>593</v>
      </c>
      <c r="I847" s="9587"/>
      <c r="J847" s="5606"/>
      <c r="K847" s="285" t="s">
        <v>156</v>
      </c>
      <c r="L847" s="5653" t="str">
        <f>IF(COUNTBLANK(L848:L853)&gt;0,"미취합법인有",AVERAGE(L848:L853))</f>
        <v>미취합법인有</v>
      </c>
      <c r="M847" s="5657"/>
      <c r="N847" s="5654" t="str">
        <f>IF(COUNTBLANK(N848:N853)&gt;0,"미취합법인有",AVERAGE(N848:N853))</f>
        <v>미취합법인有</v>
      </c>
      <c r="O847" s="5945"/>
      <c r="P847" s="5781" t="str">
        <f>IF(COUNTBLANK(P848:P853)&gt;0,"미취합법인有",AVERAGE(P848:P853))</f>
        <v>미취합법인有</v>
      </c>
      <c r="Q847" s="785"/>
      <c r="R847" s="2468" t="s">
        <v>594</v>
      </c>
      <c r="S847" s="276" t="s">
        <v>595</v>
      </c>
      <c r="T847" s="99" t="s">
        <v>189</v>
      </c>
      <c r="U847" s="547"/>
      <c r="V847" s="547"/>
      <c r="W847" s="299" t="s">
        <v>193</v>
      </c>
      <c r="X847" s="620" t="s">
        <v>596</v>
      </c>
      <c r="Y847" s="154"/>
      <c r="Z847" s="159" t="s">
        <v>597</v>
      </c>
      <c r="AA847" s="6305"/>
      <c r="AB847" s="139"/>
      <c r="AC847" s="139"/>
      <c r="AD847" s="139"/>
      <c r="AE847" s="139"/>
      <c r="AF847" s="139"/>
      <c r="AG847" s="139"/>
      <c r="AH847" s="139"/>
      <c r="AI847" s="139"/>
      <c r="AJ847" s="139"/>
      <c r="AK847" s="139"/>
      <c r="AL847" s="139"/>
      <c r="AM847" s="139"/>
      <c r="AN847" s="139"/>
      <c r="AO847" s="139"/>
      <c r="AP847" s="139"/>
      <c r="AQ847" s="139"/>
      <c r="AR847" s="139"/>
      <c r="AS847" s="139"/>
      <c r="AT847" s="139"/>
      <c r="AU847" s="139"/>
      <c r="AV847" s="139"/>
      <c r="AW847" s="139"/>
      <c r="AX847" s="139"/>
      <c r="AY847" s="139"/>
      <c r="AZ847" s="139"/>
      <c r="BA847" s="139"/>
      <c r="BB847" s="139"/>
      <c r="BC847" s="139"/>
      <c r="BD847" s="139"/>
      <c r="BE847" s="139"/>
      <c r="BF847" s="139"/>
      <c r="BG847" s="139"/>
      <c r="BH847" s="139"/>
    </row>
    <row r="848" spans="2:60" s="11" customFormat="1" ht="19.899999999999999" customHeight="1">
      <c r="B848" s="5590"/>
      <c r="C848" s="9647" t="s">
        <v>134</v>
      </c>
      <c r="D848" s="9648"/>
      <c r="E848" s="9649"/>
      <c r="F848" s="285" t="s">
        <v>156</v>
      </c>
      <c r="G848" s="253"/>
      <c r="H848" s="9579" t="s">
        <v>135</v>
      </c>
      <c r="I848" s="9580"/>
      <c r="J848" s="9581"/>
      <c r="K848" s="285" t="s">
        <v>156</v>
      </c>
      <c r="L848" s="5594"/>
      <c r="M848" s="5682" t="s">
        <v>369</v>
      </c>
      <c r="N848" s="5601"/>
      <c r="O848" s="5682" t="s">
        <v>369</v>
      </c>
      <c r="P848" s="5658"/>
      <c r="Q848" s="5601" t="s">
        <v>369</v>
      </c>
      <c r="R848" s="1033"/>
      <c r="S848" s="263"/>
      <c r="T848" s="99"/>
      <c r="U848" s="138"/>
      <c r="V848" s="138"/>
      <c r="W848" s="299" t="s">
        <v>193</v>
      </c>
      <c r="X848" s="264"/>
      <c r="Y848" s="277"/>
      <c r="Z848" s="187"/>
      <c r="AA848" s="6301"/>
      <c r="AB848" s="139"/>
      <c r="AC848" s="139"/>
      <c r="AD848" s="139"/>
      <c r="AE848" s="139"/>
      <c r="AF848" s="139"/>
      <c r="AG848" s="139"/>
      <c r="AH848" s="139"/>
      <c r="AI848" s="139"/>
      <c r="AJ848" s="139"/>
      <c r="AK848" s="139"/>
      <c r="AL848" s="139"/>
      <c r="AM848" s="139"/>
      <c r="AN848" s="139"/>
      <c r="AO848" s="139"/>
      <c r="AP848" s="139"/>
      <c r="AQ848" s="139"/>
      <c r="AR848" s="139"/>
      <c r="AS848" s="139"/>
      <c r="AT848" s="139"/>
      <c r="AU848" s="139"/>
      <c r="AV848" s="139"/>
      <c r="AW848" s="139"/>
      <c r="AX848" s="139"/>
      <c r="AY848" s="139"/>
      <c r="AZ848" s="139"/>
      <c r="BA848" s="139"/>
      <c r="BB848" s="139"/>
      <c r="BC848" s="139"/>
      <c r="BD848" s="139"/>
      <c r="BE848" s="139"/>
      <c r="BF848" s="139"/>
      <c r="BG848" s="139"/>
      <c r="BH848" s="139"/>
    </row>
    <row r="849" spans="2:60" s="11" customFormat="1" ht="19.899999999999999" customHeight="1">
      <c r="B849" s="5590"/>
      <c r="C849" s="9647" t="s">
        <v>137</v>
      </c>
      <c r="D849" s="9648"/>
      <c r="E849" s="9649"/>
      <c r="F849" s="285" t="s">
        <v>156</v>
      </c>
      <c r="G849" s="253"/>
      <c r="H849" s="9579" t="s">
        <v>138</v>
      </c>
      <c r="I849" s="9580"/>
      <c r="J849" s="9581"/>
      <c r="K849" s="285" t="s">
        <v>156</v>
      </c>
      <c r="L849" s="5592" t="s">
        <v>169</v>
      </c>
      <c r="M849" s="5656"/>
      <c r="N849" s="5593" t="s">
        <v>169</v>
      </c>
      <c r="O849" s="5656"/>
      <c r="P849" s="5656" t="s">
        <v>169</v>
      </c>
      <c r="Q849" s="5593" t="s">
        <v>169</v>
      </c>
      <c r="R849" s="1033"/>
      <c r="S849" s="263"/>
      <c r="T849" s="99"/>
      <c r="U849" s="138"/>
      <c r="V849" s="138"/>
      <c r="W849" s="299" t="s">
        <v>193</v>
      </c>
      <c r="X849" s="264"/>
      <c r="Y849" s="277"/>
      <c r="Z849" s="187"/>
      <c r="AA849" s="6301"/>
      <c r="AB849" s="139"/>
      <c r="AC849" s="139"/>
      <c r="AD849" s="139"/>
      <c r="AE849" s="139"/>
      <c r="AF849" s="139"/>
      <c r="AG849" s="139"/>
      <c r="AH849" s="139"/>
      <c r="AI849" s="139"/>
      <c r="AJ849" s="139"/>
      <c r="AK849" s="139"/>
      <c r="AL849" s="139"/>
      <c r="AM849" s="139"/>
      <c r="AN849" s="139"/>
      <c r="AO849" s="139"/>
      <c r="AP849" s="139"/>
      <c r="AQ849" s="139"/>
      <c r="AR849" s="139"/>
      <c r="AS849" s="139"/>
      <c r="AT849" s="139"/>
      <c r="AU849" s="139"/>
      <c r="AV849" s="139"/>
      <c r="AW849" s="139"/>
      <c r="AX849" s="139"/>
      <c r="AY849" s="139"/>
      <c r="AZ849" s="139"/>
      <c r="BA849" s="139"/>
      <c r="BB849" s="139"/>
      <c r="BC849" s="139"/>
      <c r="BD849" s="139"/>
      <c r="BE849" s="139"/>
      <c r="BF849" s="139"/>
      <c r="BG849" s="139"/>
      <c r="BH849" s="139"/>
    </row>
    <row r="850" spans="2:60" s="11" customFormat="1" ht="19.899999999999999" customHeight="1">
      <c r="B850" s="5590"/>
      <c r="C850" s="9647" t="s">
        <v>140</v>
      </c>
      <c r="D850" s="9648"/>
      <c r="E850" s="9649"/>
      <c r="F850" s="285" t="s">
        <v>156</v>
      </c>
      <c r="G850" s="253"/>
      <c r="H850" s="9579" t="s">
        <v>141</v>
      </c>
      <c r="I850" s="9580"/>
      <c r="J850" s="9581"/>
      <c r="K850" s="285" t="s">
        <v>156</v>
      </c>
      <c r="L850" s="5592"/>
      <c r="M850" s="5656"/>
      <c r="N850" s="5593"/>
      <c r="O850" s="5656"/>
      <c r="P850" s="5658"/>
      <c r="Q850" s="5601"/>
      <c r="R850" s="1033"/>
      <c r="S850" s="263"/>
      <c r="T850" s="99"/>
      <c r="U850" s="138"/>
      <c r="V850" s="138"/>
      <c r="W850" s="299" t="s">
        <v>193</v>
      </c>
      <c r="X850" s="264"/>
      <c r="Y850" s="277"/>
      <c r="Z850" s="187"/>
      <c r="AA850" s="6301"/>
      <c r="AB850" s="139"/>
      <c r="AC850" s="139"/>
      <c r="AD850" s="139"/>
      <c r="AE850" s="139"/>
      <c r="AF850" s="139"/>
      <c r="AG850" s="139"/>
      <c r="AH850" s="139"/>
      <c r="AI850" s="139"/>
      <c r="AJ850" s="139"/>
      <c r="AK850" s="139"/>
      <c r="AL850" s="139"/>
      <c r="AM850" s="139"/>
      <c r="AN850" s="139"/>
      <c r="AO850" s="139"/>
      <c r="AP850" s="139"/>
      <c r="AQ850" s="139"/>
      <c r="AR850" s="139"/>
      <c r="AS850" s="139"/>
      <c r="AT850" s="139"/>
      <c r="AU850" s="139"/>
      <c r="AV850" s="139"/>
      <c r="AW850" s="139"/>
      <c r="AX850" s="139"/>
      <c r="AY850" s="139"/>
      <c r="AZ850" s="139"/>
      <c r="BA850" s="139"/>
      <c r="BB850" s="139"/>
      <c r="BC850" s="139"/>
      <c r="BD850" s="139"/>
      <c r="BE850" s="139"/>
      <c r="BF850" s="139"/>
      <c r="BG850" s="139"/>
      <c r="BH850" s="139"/>
    </row>
    <row r="851" spans="2:60" s="11" customFormat="1" ht="19.899999999999999" customHeight="1">
      <c r="B851" s="5590"/>
      <c r="C851" s="9647" t="s">
        <v>143</v>
      </c>
      <c r="D851" s="9648"/>
      <c r="E851" s="9649"/>
      <c r="F851" s="285" t="s">
        <v>156</v>
      </c>
      <c r="G851" s="253"/>
      <c r="H851" s="9579" t="s">
        <v>144</v>
      </c>
      <c r="I851" s="9580"/>
      <c r="J851" s="9581"/>
      <c r="K851" s="285" t="s">
        <v>156</v>
      </c>
      <c r="L851" s="5592"/>
      <c r="M851" s="5656"/>
      <c r="N851" s="5593"/>
      <c r="O851" s="5656"/>
      <c r="P851" s="5656"/>
      <c r="Q851" s="5593"/>
      <c r="R851" s="1033"/>
      <c r="S851" s="263"/>
      <c r="T851" s="99"/>
      <c r="U851" s="138"/>
      <c r="V851" s="138"/>
      <c r="W851" s="299" t="s">
        <v>193</v>
      </c>
      <c r="X851" s="264"/>
      <c r="Y851" s="277"/>
      <c r="Z851" s="187"/>
      <c r="AA851" s="6301"/>
      <c r="AB851" s="139"/>
      <c r="AC851" s="139"/>
      <c r="AD851" s="139"/>
      <c r="AE851" s="139"/>
      <c r="AF851" s="139"/>
      <c r="AG851" s="139"/>
      <c r="AH851" s="139"/>
      <c r="AI851" s="139"/>
      <c r="AJ851" s="139"/>
      <c r="AK851" s="139"/>
      <c r="AL851" s="139"/>
      <c r="AM851" s="139"/>
      <c r="AN851" s="139"/>
      <c r="AO851" s="139"/>
      <c r="AP851" s="139"/>
      <c r="AQ851" s="139"/>
      <c r="AR851" s="139"/>
      <c r="AS851" s="139"/>
      <c r="AT851" s="139"/>
      <c r="AU851" s="139"/>
      <c r="AV851" s="139"/>
      <c r="AW851" s="139"/>
      <c r="AX851" s="139"/>
      <c r="AY851" s="139"/>
      <c r="AZ851" s="139"/>
      <c r="BA851" s="139"/>
      <c r="BB851" s="139"/>
      <c r="BC851" s="139"/>
      <c r="BD851" s="139"/>
      <c r="BE851" s="139"/>
      <c r="BF851" s="139"/>
      <c r="BG851" s="139"/>
      <c r="BH851" s="139"/>
    </row>
    <row r="852" spans="2:60" s="11" customFormat="1" ht="19.899999999999999" customHeight="1">
      <c r="B852" s="5590"/>
      <c r="C852" s="9647" t="s">
        <v>631</v>
      </c>
      <c r="D852" s="9648"/>
      <c r="E852" s="9649"/>
      <c r="F852" s="285" t="s">
        <v>156</v>
      </c>
      <c r="G852" s="253"/>
      <c r="H852" s="9579" t="s">
        <v>147</v>
      </c>
      <c r="I852" s="9580"/>
      <c r="J852" s="9581"/>
      <c r="K852" s="285" t="s">
        <v>156</v>
      </c>
      <c r="L852" s="5967" t="s">
        <v>168</v>
      </c>
      <c r="M852" s="5656" t="s">
        <v>641</v>
      </c>
      <c r="N852" s="5593" t="s">
        <v>168</v>
      </c>
      <c r="O852" s="5593" t="s">
        <v>641</v>
      </c>
      <c r="P852" s="5593" t="s">
        <v>168</v>
      </c>
      <c r="Q852" s="5593" t="s">
        <v>641</v>
      </c>
      <c r="R852" s="1033"/>
      <c r="S852" s="263"/>
      <c r="T852" s="99"/>
      <c r="U852" s="138"/>
      <c r="V852" s="138"/>
      <c r="W852" s="299" t="s">
        <v>193</v>
      </c>
      <c r="X852" s="264"/>
      <c r="Y852" s="277"/>
      <c r="Z852" s="187"/>
      <c r="AA852" s="6301"/>
      <c r="AB852" s="139"/>
      <c r="AC852" s="139"/>
      <c r="AD852" s="139"/>
      <c r="AE852" s="139"/>
      <c r="AF852" s="139"/>
      <c r="AG852" s="139"/>
      <c r="AH852" s="139"/>
      <c r="AI852" s="139"/>
      <c r="AJ852" s="139"/>
      <c r="AK852" s="139"/>
      <c r="AL852" s="139"/>
      <c r="AM852" s="139"/>
      <c r="AN852" s="139"/>
      <c r="AO852" s="139"/>
      <c r="AP852" s="139"/>
      <c r="AQ852" s="139"/>
      <c r="AR852" s="139"/>
      <c r="AS852" s="139"/>
      <c r="AT852" s="139"/>
      <c r="AU852" s="139"/>
      <c r="AV852" s="139"/>
      <c r="AW852" s="139"/>
      <c r="AX852" s="139"/>
      <c r="AY852" s="139"/>
      <c r="AZ852" s="139"/>
      <c r="BA852" s="139"/>
      <c r="BB852" s="139"/>
      <c r="BC852" s="139"/>
      <c r="BD852" s="139"/>
      <c r="BE852" s="139"/>
      <c r="BF852" s="139"/>
      <c r="BG852" s="139"/>
      <c r="BH852" s="139"/>
    </row>
    <row r="853" spans="2:60" s="11" customFormat="1" ht="19.899999999999999" customHeight="1">
      <c r="B853" s="5590"/>
      <c r="C853" s="9647" t="s">
        <v>633</v>
      </c>
      <c r="D853" s="9648"/>
      <c r="E853" s="9649"/>
      <c r="F853" s="285" t="s">
        <v>156</v>
      </c>
      <c r="G853" s="253"/>
      <c r="H853" s="9579" t="s">
        <v>150</v>
      </c>
      <c r="I853" s="9580"/>
      <c r="J853" s="9581"/>
      <c r="K853" s="285" t="s">
        <v>156</v>
      </c>
      <c r="L853" s="5592"/>
      <c r="M853" s="5656"/>
      <c r="N853" s="5593"/>
      <c r="O853" s="5593"/>
      <c r="P853" s="5593"/>
      <c r="Q853" s="5593"/>
      <c r="R853" s="1033"/>
      <c r="S853" s="263"/>
      <c r="T853" s="99"/>
      <c r="U853" s="138"/>
      <c r="V853" s="138"/>
      <c r="W853" s="299" t="s">
        <v>193</v>
      </c>
      <c r="X853" s="264"/>
      <c r="Y853" s="277"/>
      <c r="Z853" s="187"/>
      <c r="AA853" s="6301"/>
      <c r="AB853" s="139"/>
      <c r="AC853" s="139"/>
      <c r="AD853" s="139"/>
      <c r="AE853" s="139"/>
      <c r="AF853" s="139"/>
      <c r="AG853" s="139"/>
      <c r="AH853" s="139"/>
      <c r="AI853" s="139"/>
      <c r="AJ853" s="139"/>
      <c r="AK853" s="139"/>
      <c r="AL853" s="139"/>
      <c r="AM853" s="139"/>
      <c r="AN853" s="139"/>
      <c r="AO853" s="139"/>
      <c r="AP853" s="139"/>
      <c r="AQ853" s="139"/>
      <c r="AR853" s="139"/>
      <c r="AS853" s="139"/>
      <c r="AT853" s="139"/>
      <c r="AU853" s="139"/>
      <c r="AV853" s="139"/>
      <c r="AW853" s="139"/>
      <c r="AX853" s="139"/>
      <c r="AY853" s="139"/>
      <c r="AZ853" s="139"/>
      <c r="BA853" s="139"/>
      <c r="BB853" s="139"/>
      <c r="BC853" s="139"/>
      <c r="BD853" s="139"/>
      <c r="BE853" s="139"/>
      <c r="BF853" s="139"/>
      <c r="BG853" s="139"/>
      <c r="BH853" s="139"/>
    </row>
    <row r="854" spans="2:60" s="11" customFormat="1" ht="20.100000000000001" customHeight="1">
      <c r="B854" s="1360"/>
      <c r="C854" s="5598"/>
      <c r="D854" s="9586" t="s">
        <v>598</v>
      </c>
      <c r="E854" s="9588"/>
      <c r="F854" s="285" t="s">
        <v>413</v>
      </c>
      <c r="G854" s="666"/>
      <c r="H854" s="666"/>
      <c r="I854" s="9586" t="s">
        <v>599</v>
      </c>
      <c r="J854" s="9587"/>
      <c r="K854" s="285" t="s">
        <v>413</v>
      </c>
      <c r="L854" s="5653" t="str">
        <f>IF(COUNTBLANK(L855:L860)&gt;0,"미취합법인有",SUM(L855:L860))</f>
        <v>미취합법인有</v>
      </c>
      <c r="M854" s="5657"/>
      <c r="N854" s="5654" t="str">
        <f>IF(COUNTBLANK(N855:N860)&gt;0,"미취합법인有",SUM(N855:N860))</f>
        <v>미취합법인有</v>
      </c>
      <c r="O854" s="5663"/>
      <c r="P854" s="5781" t="str">
        <f>IF(COUNTBLANK(P855:P860)&gt;0,"미취합법인有",SUM(P855:P860))</f>
        <v>미취합법인有</v>
      </c>
      <c r="Q854" s="785"/>
      <c r="R854" s="2468"/>
      <c r="S854" s="276"/>
      <c r="T854" s="99" t="s">
        <v>189</v>
      </c>
      <c r="U854" s="547"/>
      <c r="V854" s="547"/>
      <c r="W854" s="299" t="s">
        <v>193</v>
      </c>
      <c r="X854" s="620" t="s">
        <v>600</v>
      </c>
      <c r="Y854" s="154"/>
      <c r="Z854" s="159"/>
      <c r="AA854" s="6305"/>
      <c r="AB854" s="139"/>
      <c r="AC854" s="139"/>
      <c r="AD854" s="139"/>
      <c r="AE854" s="139"/>
      <c r="AF854" s="139"/>
      <c r="AG854" s="139"/>
      <c r="AH854" s="139"/>
      <c r="AI854" s="139"/>
      <c r="AJ854" s="139"/>
      <c r="AK854" s="139"/>
      <c r="AL854" s="139"/>
      <c r="AM854" s="139"/>
      <c r="AN854" s="139"/>
      <c r="AO854" s="139"/>
      <c r="AP854" s="139"/>
      <c r="AQ854" s="139"/>
      <c r="AR854" s="139"/>
      <c r="AS854" s="139"/>
      <c r="AT854" s="139"/>
      <c r="AU854" s="139"/>
      <c r="AV854" s="139"/>
      <c r="AW854" s="139"/>
      <c r="AX854" s="139"/>
      <c r="AY854" s="139"/>
      <c r="AZ854" s="139"/>
      <c r="BA854" s="139"/>
      <c r="BB854" s="139"/>
      <c r="BC854" s="139"/>
      <c r="BD854" s="139"/>
      <c r="BE854" s="139"/>
      <c r="BF854" s="139"/>
      <c r="BG854" s="139"/>
      <c r="BH854" s="139"/>
    </row>
    <row r="855" spans="2:60" s="11" customFormat="1" ht="20.100000000000001" customHeight="1">
      <c r="B855" s="1360"/>
      <c r="C855" s="5598"/>
      <c r="D855" s="9598" t="s">
        <v>134</v>
      </c>
      <c r="E855" s="9600"/>
      <c r="F855" s="285" t="s">
        <v>413</v>
      </c>
      <c r="G855" s="666"/>
      <c r="H855" s="666"/>
      <c r="I855" s="9579" t="s">
        <v>135</v>
      </c>
      <c r="J855" s="9581"/>
      <c r="K855" s="285" t="s">
        <v>413</v>
      </c>
      <c r="L855" s="5594"/>
      <c r="M855" s="5682" t="s">
        <v>369</v>
      </c>
      <c r="N855" s="5601"/>
      <c r="O855" s="5667" t="s">
        <v>369</v>
      </c>
      <c r="P855" s="5602"/>
      <c r="Q855" s="5758" t="s">
        <v>369</v>
      </c>
      <c r="R855" s="2468"/>
      <c r="S855" s="544"/>
      <c r="T855" s="545"/>
      <c r="U855" s="546"/>
      <c r="V855" s="547"/>
      <c r="W855" s="299" t="s">
        <v>193</v>
      </c>
      <c r="X855" s="277"/>
      <c r="Y855" s="277"/>
      <c r="Z855" s="187"/>
      <c r="AA855" s="6301"/>
      <c r="AB855" s="139"/>
      <c r="AC855" s="139"/>
      <c r="AD855" s="139"/>
      <c r="AE855" s="139"/>
      <c r="AF855" s="139"/>
      <c r="AG855" s="139"/>
      <c r="AH855" s="139"/>
      <c r="AI855" s="139"/>
      <c r="AJ855" s="139"/>
      <c r="AK855" s="139"/>
      <c r="AL855" s="139"/>
      <c r="AM855" s="139"/>
      <c r="AN855" s="139"/>
      <c r="AO855" s="139"/>
      <c r="AP855" s="139"/>
      <c r="AQ855" s="139"/>
      <c r="AR855" s="139"/>
      <c r="AS855" s="139"/>
      <c r="AT855" s="139"/>
      <c r="AU855" s="139"/>
      <c r="AV855" s="139"/>
      <c r="AW855" s="139"/>
      <c r="AX855" s="139"/>
      <c r="AY855" s="139"/>
      <c r="AZ855" s="139"/>
      <c r="BA855" s="139"/>
      <c r="BB855" s="139"/>
      <c r="BC855" s="139"/>
      <c r="BD855" s="139"/>
      <c r="BE855" s="139"/>
      <c r="BF855" s="139"/>
      <c r="BG855" s="139"/>
      <c r="BH855" s="139"/>
    </row>
    <row r="856" spans="2:60" s="11" customFormat="1" ht="20.100000000000001" customHeight="1">
      <c r="B856" s="1360"/>
      <c r="C856" s="5598"/>
      <c r="D856" s="9598" t="s">
        <v>137</v>
      </c>
      <c r="E856" s="9600"/>
      <c r="F856" s="285" t="s">
        <v>413</v>
      </c>
      <c r="G856" s="666"/>
      <c r="H856" s="666"/>
      <c r="I856" s="9579" t="s">
        <v>138</v>
      </c>
      <c r="J856" s="9581"/>
      <c r="K856" s="285" t="s">
        <v>413</v>
      </c>
      <c r="L856" s="5594"/>
      <c r="M856" s="5682"/>
      <c r="N856" s="5601"/>
      <c r="O856" s="5667"/>
      <c r="P856" s="5602"/>
      <c r="Q856" s="5758"/>
      <c r="R856" s="2468"/>
      <c r="S856" s="544"/>
      <c r="T856" s="545"/>
      <c r="U856" s="546"/>
      <c r="V856" s="547"/>
      <c r="W856" s="299" t="s">
        <v>193</v>
      </c>
      <c r="X856" s="277"/>
      <c r="Y856" s="277"/>
      <c r="Z856" s="187"/>
      <c r="AA856" s="6301"/>
      <c r="AB856" s="139"/>
      <c r="AC856" s="139"/>
      <c r="AD856" s="139"/>
      <c r="AE856" s="139"/>
      <c r="AF856" s="139"/>
      <c r="AG856" s="139"/>
      <c r="AH856" s="139"/>
      <c r="AI856" s="139"/>
      <c r="AJ856" s="139"/>
      <c r="AK856" s="139"/>
      <c r="AL856" s="139"/>
      <c r="AM856" s="139"/>
      <c r="AN856" s="139"/>
      <c r="AO856" s="139"/>
      <c r="AP856" s="139"/>
      <c r="AQ856" s="139"/>
      <c r="AR856" s="139"/>
      <c r="AS856" s="139"/>
      <c r="AT856" s="139"/>
      <c r="AU856" s="139"/>
      <c r="AV856" s="139"/>
      <c r="AW856" s="139"/>
      <c r="AX856" s="139"/>
      <c r="AY856" s="139"/>
      <c r="AZ856" s="139"/>
      <c r="BA856" s="139"/>
      <c r="BB856" s="139"/>
      <c r="BC856" s="139"/>
      <c r="BD856" s="139"/>
      <c r="BE856" s="139"/>
      <c r="BF856" s="139"/>
      <c r="BG856" s="139"/>
      <c r="BH856" s="139"/>
    </row>
    <row r="857" spans="2:60" s="11" customFormat="1" ht="20.100000000000001" customHeight="1">
      <c r="B857" s="1360"/>
      <c r="C857" s="5598"/>
      <c r="D857" s="9598" t="s">
        <v>140</v>
      </c>
      <c r="E857" s="9600"/>
      <c r="F857" s="285" t="s">
        <v>413</v>
      </c>
      <c r="G857" s="666"/>
      <c r="H857" s="666"/>
      <c r="I857" s="9582" t="s">
        <v>141</v>
      </c>
      <c r="J857" s="9583"/>
      <c r="K857" s="285" t="s">
        <v>413</v>
      </c>
      <c r="L857" s="5594"/>
      <c r="M857" s="5682"/>
      <c r="N857" s="5601"/>
      <c r="O857" s="5667"/>
      <c r="P857" s="5602"/>
      <c r="Q857" s="5758"/>
      <c r="R857" s="2468"/>
      <c r="S857" s="544"/>
      <c r="T857" s="545"/>
      <c r="U857" s="546"/>
      <c r="V857" s="547"/>
      <c r="W857" s="299" t="s">
        <v>193</v>
      </c>
      <c r="X857" s="277"/>
      <c r="Y857" s="277"/>
      <c r="Z857" s="187"/>
      <c r="AA857" s="6301"/>
      <c r="AB857" s="139"/>
      <c r="AC857" s="139"/>
      <c r="AD857" s="139"/>
      <c r="AE857" s="139"/>
      <c r="AF857" s="139"/>
      <c r="AG857" s="139"/>
      <c r="AH857" s="139"/>
      <c r="AI857" s="139"/>
      <c r="AJ857" s="139"/>
      <c r="AK857" s="139"/>
      <c r="AL857" s="139"/>
      <c r="AM857" s="139"/>
      <c r="AN857" s="139"/>
      <c r="AO857" s="139"/>
      <c r="AP857" s="139"/>
      <c r="AQ857" s="139"/>
      <c r="AR857" s="139"/>
      <c r="AS857" s="139"/>
      <c r="AT857" s="139"/>
      <c r="AU857" s="139"/>
      <c r="AV857" s="139"/>
      <c r="AW857" s="139"/>
      <c r="AX857" s="139"/>
      <c r="AY857" s="139"/>
      <c r="AZ857" s="139"/>
      <c r="BA857" s="139"/>
      <c r="BB857" s="139"/>
      <c r="BC857" s="139"/>
      <c r="BD857" s="139"/>
      <c r="BE857" s="139"/>
      <c r="BF857" s="139"/>
      <c r="BG857" s="139"/>
      <c r="BH857" s="139"/>
    </row>
    <row r="858" spans="2:60" s="11" customFormat="1" ht="20.100000000000001" customHeight="1">
      <c r="B858" s="1360"/>
      <c r="C858" s="5598"/>
      <c r="D858" s="9598" t="s">
        <v>143</v>
      </c>
      <c r="E858" s="9600"/>
      <c r="F858" s="285" t="s">
        <v>413</v>
      </c>
      <c r="G858" s="666"/>
      <c r="H858" s="666"/>
      <c r="I858" s="9582" t="s">
        <v>144</v>
      </c>
      <c r="J858" s="9583"/>
      <c r="K858" s="285" t="s">
        <v>413</v>
      </c>
      <c r="L858" s="5594"/>
      <c r="M858" s="5682"/>
      <c r="N858" s="5601"/>
      <c r="O858" s="5667"/>
      <c r="P858" s="5602"/>
      <c r="Q858" s="5758"/>
      <c r="R858" s="2468"/>
      <c r="S858" s="544"/>
      <c r="T858" s="545"/>
      <c r="U858" s="546"/>
      <c r="V858" s="547"/>
      <c r="W858" s="299" t="s">
        <v>193</v>
      </c>
      <c r="X858" s="277"/>
      <c r="Y858" s="277"/>
      <c r="Z858" s="187"/>
      <c r="AA858" s="6301"/>
      <c r="AB858" s="139"/>
      <c r="AC858" s="139"/>
      <c r="AD858" s="139"/>
      <c r="AE858" s="139"/>
      <c r="AF858" s="139"/>
      <c r="AG858" s="139"/>
      <c r="AH858" s="139"/>
      <c r="AI858" s="139"/>
      <c r="AJ858" s="139"/>
      <c r="AK858" s="139"/>
      <c r="AL858" s="139"/>
      <c r="AM858" s="139"/>
      <c r="AN858" s="139"/>
      <c r="AO858" s="139"/>
      <c r="AP858" s="139"/>
      <c r="AQ858" s="139"/>
      <c r="AR858" s="139"/>
      <c r="AS858" s="139"/>
      <c r="AT858" s="139"/>
      <c r="AU858" s="139"/>
      <c r="AV858" s="139"/>
      <c r="AW858" s="139"/>
      <c r="AX858" s="139"/>
      <c r="AY858" s="139"/>
      <c r="AZ858" s="139"/>
      <c r="BA858" s="139"/>
      <c r="BB858" s="139"/>
      <c r="BC858" s="139"/>
      <c r="BD858" s="139"/>
      <c r="BE858" s="139"/>
      <c r="BF858" s="139"/>
      <c r="BG858" s="139"/>
      <c r="BH858" s="139"/>
    </row>
    <row r="859" spans="2:60" s="11" customFormat="1" ht="20.100000000000001" customHeight="1">
      <c r="B859" s="1360"/>
      <c r="C859" s="5598"/>
      <c r="D859" s="9598" t="s">
        <v>631</v>
      </c>
      <c r="E859" s="9600"/>
      <c r="F859" s="285" t="s">
        <v>413</v>
      </c>
      <c r="G859" s="666"/>
      <c r="H859" s="666"/>
      <c r="I859" s="9582" t="s">
        <v>147</v>
      </c>
      <c r="J859" s="9583"/>
      <c r="K859" s="285" t="s">
        <v>413</v>
      </c>
      <c r="L859" s="5967" t="s">
        <v>168</v>
      </c>
      <c r="M859" s="5656" t="s">
        <v>641</v>
      </c>
      <c r="N859" s="5593" t="s">
        <v>168</v>
      </c>
      <c r="O859" s="5948" t="s">
        <v>641</v>
      </c>
      <c r="P859" s="5948" t="s">
        <v>168</v>
      </c>
      <c r="Q859" s="5948" t="s">
        <v>641</v>
      </c>
      <c r="R859" s="2468"/>
      <c r="S859" s="544"/>
      <c r="T859" s="545"/>
      <c r="U859" s="546"/>
      <c r="V859" s="547"/>
      <c r="W859" s="299" t="s">
        <v>193</v>
      </c>
      <c r="X859" s="277"/>
      <c r="Y859" s="277"/>
      <c r="Z859" s="187"/>
      <c r="AA859" s="6301"/>
      <c r="AB859" s="139"/>
      <c r="AC859" s="139"/>
      <c r="AD859" s="139"/>
      <c r="AE859" s="139"/>
      <c r="AF859" s="139"/>
      <c r="AG859" s="139"/>
      <c r="AH859" s="139"/>
      <c r="AI859" s="139"/>
      <c r="AJ859" s="139"/>
      <c r="AK859" s="139"/>
      <c r="AL859" s="139"/>
      <c r="AM859" s="139"/>
      <c r="AN859" s="139"/>
      <c r="AO859" s="139"/>
      <c r="AP859" s="139"/>
      <c r="AQ859" s="139"/>
      <c r="AR859" s="139"/>
      <c r="AS859" s="139"/>
      <c r="AT859" s="139"/>
      <c r="AU859" s="139"/>
      <c r="AV859" s="139"/>
      <c r="AW859" s="139"/>
      <c r="AX859" s="139"/>
      <c r="AY859" s="139"/>
      <c r="AZ859" s="139"/>
      <c r="BA859" s="139"/>
      <c r="BB859" s="139"/>
      <c r="BC859" s="139"/>
      <c r="BD859" s="139"/>
      <c r="BE859" s="139"/>
      <c r="BF859" s="139"/>
      <c r="BG859" s="139"/>
      <c r="BH859" s="139"/>
    </row>
    <row r="860" spans="2:60" s="11" customFormat="1" ht="20.100000000000001" customHeight="1">
      <c r="B860" s="1360"/>
      <c r="C860" s="5598"/>
      <c r="D860" s="9598" t="s">
        <v>633</v>
      </c>
      <c r="E860" s="9600"/>
      <c r="F860" s="285" t="s">
        <v>413</v>
      </c>
      <c r="G860" s="666"/>
      <c r="H860" s="666"/>
      <c r="I860" s="9582" t="s">
        <v>150</v>
      </c>
      <c r="J860" s="9583"/>
      <c r="K860" s="285" t="s">
        <v>413</v>
      </c>
      <c r="L860" s="5594"/>
      <c r="M860" s="5682"/>
      <c r="N860" s="5601"/>
      <c r="O860" s="5667"/>
      <c r="P860" s="5602"/>
      <c r="Q860" s="5758"/>
      <c r="R860" s="2468"/>
      <c r="S860" s="544"/>
      <c r="T860" s="545"/>
      <c r="U860" s="546"/>
      <c r="V860" s="547"/>
      <c r="W860" s="299" t="s">
        <v>193</v>
      </c>
      <c r="X860" s="277"/>
      <c r="Y860" s="277"/>
      <c r="Z860" s="187"/>
      <c r="AA860" s="6301"/>
      <c r="AB860" s="139"/>
      <c r="AC860" s="139"/>
      <c r="AD860" s="139"/>
      <c r="AE860" s="139"/>
      <c r="AF860" s="139"/>
      <c r="AG860" s="139"/>
      <c r="AH860" s="139"/>
      <c r="AI860" s="139"/>
      <c r="AJ860" s="139"/>
      <c r="AK860" s="139"/>
      <c r="AL860" s="139"/>
      <c r="AM860" s="139"/>
      <c r="AN860" s="139"/>
      <c r="AO860" s="139"/>
      <c r="AP860" s="139"/>
      <c r="AQ860" s="139"/>
      <c r="AR860" s="139"/>
      <c r="AS860" s="139"/>
      <c r="AT860" s="139"/>
      <c r="AU860" s="139"/>
      <c r="AV860" s="139"/>
      <c r="AW860" s="139"/>
      <c r="AX860" s="139"/>
      <c r="AY860" s="139"/>
      <c r="AZ860" s="139"/>
      <c r="BA860" s="139"/>
      <c r="BB860" s="139"/>
      <c r="BC860" s="139"/>
      <c r="BD860" s="139"/>
      <c r="BE860" s="139"/>
      <c r="BF860" s="139"/>
      <c r="BG860" s="139"/>
      <c r="BH860" s="139"/>
    </row>
    <row r="861" spans="2:60" s="11" customFormat="1" ht="20.100000000000001" customHeight="1">
      <c r="B861" s="1360"/>
      <c r="C861" s="5598"/>
      <c r="D861" s="9586" t="s">
        <v>601</v>
      </c>
      <c r="E861" s="9588"/>
      <c r="F861" s="285" t="s">
        <v>413</v>
      </c>
      <c r="G861" s="666"/>
      <c r="H861" s="666"/>
      <c r="I861" s="9586" t="s">
        <v>602</v>
      </c>
      <c r="J861" s="9587"/>
      <c r="K861" s="285" t="s">
        <v>413</v>
      </c>
      <c r="L861" s="5653" t="str">
        <f>IF(COUNTBLANK(L862:L867)&gt;0,"미취합법인有",SUM(L862:L867))</f>
        <v>미취합법인有</v>
      </c>
      <c r="M861" s="5657"/>
      <c r="N861" s="5654" t="str">
        <f>IF(COUNTBLANK(N862:N867)&gt;0,"미취합법인有",SUM(N862:N867))</f>
        <v>미취합법인有</v>
      </c>
      <c r="O861" s="5945"/>
      <c r="P861" s="5781" t="str">
        <f>IF(COUNTBLANK(P862:P867)&gt;0,"미취합법인有",SUM(P862:P867))</f>
        <v>미취합법인有</v>
      </c>
      <c r="Q861" s="785"/>
      <c r="R861" s="2468"/>
      <c r="S861" s="276"/>
      <c r="T861" s="99" t="s">
        <v>189</v>
      </c>
      <c r="U861" s="547"/>
      <c r="V861" s="547"/>
      <c r="W861" s="299" t="s">
        <v>193</v>
      </c>
      <c r="X861" s="620" t="s">
        <v>600</v>
      </c>
      <c r="Y861" s="154"/>
      <c r="Z861" s="159"/>
      <c r="AA861" s="6305"/>
      <c r="AB861" s="139"/>
      <c r="AC861" s="139"/>
      <c r="AD861" s="139"/>
      <c r="AE861" s="139"/>
      <c r="AF861" s="139"/>
      <c r="AG861" s="139"/>
      <c r="AH861" s="139"/>
      <c r="AI861" s="139"/>
      <c r="AJ861" s="139"/>
      <c r="AK861" s="139"/>
      <c r="AL861" s="139"/>
      <c r="AM861" s="139"/>
      <c r="AN861" s="139"/>
      <c r="AO861" s="139"/>
      <c r="AP861" s="139"/>
      <c r="AQ861" s="139"/>
      <c r="AR861" s="139"/>
      <c r="AS861" s="139"/>
      <c r="AT861" s="139"/>
      <c r="AU861" s="139"/>
      <c r="AV861" s="139"/>
      <c r="AW861" s="139"/>
      <c r="AX861" s="139"/>
      <c r="AY861" s="139"/>
      <c r="AZ861" s="139"/>
      <c r="BA861" s="139"/>
      <c r="BB861" s="139"/>
      <c r="BC861" s="139"/>
      <c r="BD861" s="139"/>
      <c r="BE861" s="139"/>
      <c r="BF861" s="139"/>
      <c r="BG861" s="139"/>
      <c r="BH861" s="139"/>
    </row>
    <row r="862" spans="2:60" s="11" customFormat="1" ht="20.100000000000001" customHeight="1">
      <c r="B862" s="1360"/>
      <c r="C862" s="5598"/>
      <c r="D862" s="9598" t="s">
        <v>134</v>
      </c>
      <c r="E862" s="9600"/>
      <c r="F862" s="285" t="s">
        <v>413</v>
      </c>
      <c r="G862" s="666"/>
      <c r="H862" s="666"/>
      <c r="I862" s="9579" t="s">
        <v>135</v>
      </c>
      <c r="J862" s="9581"/>
      <c r="K862" s="285" t="s">
        <v>413</v>
      </c>
      <c r="L862" s="5594"/>
      <c r="M862" s="5682" t="s">
        <v>369</v>
      </c>
      <c r="N862" s="5601"/>
      <c r="O862" s="5667" t="s">
        <v>369</v>
      </c>
      <c r="P862" s="5602"/>
      <c r="Q862" s="5758" t="s">
        <v>369</v>
      </c>
      <c r="R862" s="2468"/>
      <c r="S862" s="544"/>
      <c r="T862" s="545"/>
      <c r="U862" s="546"/>
      <c r="V862" s="547"/>
      <c r="W862" s="299" t="s">
        <v>193</v>
      </c>
      <c r="X862" s="277"/>
      <c r="Y862" s="277"/>
      <c r="Z862" s="187"/>
      <c r="AA862" s="6301"/>
      <c r="AB862" s="139"/>
      <c r="AC862" s="139"/>
      <c r="AD862" s="139"/>
      <c r="AE862" s="139"/>
      <c r="AF862" s="139"/>
      <c r="AG862" s="139"/>
      <c r="AH862" s="139"/>
      <c r="AI862" s="139"/>
      <c r="AJ862" s="139"/>
      <c r="AK862" s="139"/>
      <c r="AL862" s="139"/>
      <c r="AM862" s="139"/>
      <c r="AN862" s="139"/>
      <c r="AO862" s="139"/>
      <c r="AP862" s="139"/>
      <c r="AQ862" s="139"/>
      <c r="AR862" s="139"/>
      <c r="AS862" s="139"/>
      <c r="AT862" s="139"/>
      <c r="AU862" s="139"/>
      <c r="AV862" s="139"/>
      <c r="AW862" s="139"/>
      <c r="AX862" s="139"/>
      <c r="AY862" s="139"/>
      <c r="AZ862" s="139"/>
      <c r="BA862" s="139"/>
      <c r="BB862" s="139"/>
      <c r="BC862" s="139"/>
      <c r="BD862" s="139"/>
      <c r="BE862" s="139"/>
      <c r="BF862" s="139"/>
      <c r="BG862" s="139"/>
      <c r="BH862" s="139"/>
    </row>
    <row r="863" spans="2:60" s="11" customFormat="1" ht="20.100000000000001" customHeight="1">
      <c r="B863" s="1360"/>
      <c r="C863" s="5598"/>
      <c r="D863" s="9598" t="s">
        <v>137</v>
      </c>
      <c r="E863" s="9600"/>
      <c r="F863" s="285" t="s">
        <v>413</v>
      </c>
      <c r="G863" s="666"/>
      <c r="H863" s="666"/>
      <c r="I863" s="9579" t="s">
        <v>138</v>
      </c>
      <c r="J863" s="9581"/>
      <c r="K863" s="285" t="s">
        <v>413</v>
      </c>
      <c r="L863" s="5594"/>
      <c r="M863" s="5682"/>
      <c r="N863" s="5601"/>
      <c r="O863" s="5667"/>
      <c r="P863" s="5602"/>
      <c r="Q863" s="5758"/>
      <c r="R863" s="2468"/>
      <c r="S863" s="544"/>
      <c r="T863" s="545"/>
      <c r="U863" s="546"/>
      <c r="V863" s="547"/>
      <c r="W863" s="299" t="s">
        <v>193</v>
      </c>
      <c r="X863" s="277"/>
      <c r="Y863" s="277"/>
      <c r="Z863" s="187"/>
      <c r="AA863" s="6301"/>
      <c r="AB863" s="139"/>
      <c r="AC863" s="139"/>
      <c r="AD863" s="139"/>
      <c r="AE863" s="139"/>
      <c r="AF863" s="139"/>
      <c r="AG863" s="139"/>
      <c r="AH863" s="139"/>
      <c r="AI863" s="139"/>
      <c r="AJ863" s="139"/>
      <c r="AK863" s="139"/>
      <c r="AL863" s="139"/>
      <c r="AM863" s="139"/>
      <c r="AN863" s="139"/>
      <c r="AO863" s="139"/>
      <c r="AP863" s="139"/>
      <c r="AQ863" s="139"/>
      <c r="AR863" s="139"/>
      <c r="AS863" s="139"/>
      <c r="AT863" s="139"/>
      <c r="AU863" s="139"/>
      <c r="AV863" s="139"/>
      <c r="AW863" s="139"/>
      <c r="AX863" s="139"/>
      <c r="AY863" s="139"/>
      <c r="AZ863" s="139"/>
      <c r="BA863" s="139"/>
      <c r="BB863" s="139"/>
      <c r="BC863" s="139"/>
      <c r="BD863" s="139"/>
      <c r="BE863" s="139"/>
      <c r="BF863" s="139"/>
      <c r="BG863" s="139"/>
      <c r="BH863" s="139"/>
    </row>
    <row r="864" spans="2:60" s="11" customFormat="1" ht="20.100000000000001" customHeight="1">
      <c r="B864" s="1360"/>
      <c r="C864" s="5598"/>
      <c r="D864" s="9598" t="s">
        <v>140</v>
      </c>
      <c r="E864" s="9600"/>
      <c r="F864" s="285" t="s">
        <v>413</v>
      </c>
      <c r="G864" s="666"/>
      <c r="H864" s="666"/>
      <c r="I864" s="9582" t="s">
        <v>141</v>
      </c>
      <c r="J864" s="9583"/>
      <c r="K864" s="285" t="s">
        <v>413</v>
      </c>
      <c r="L864" s="5594"/>
      <c r="M864" s="5682"/>
      <c r="N864" s="5601"/>
      <c r="O864" s="5667"/>
      <c r="P864" s="5602"/>
      <c r="Q864" s="5758"/>
      <c r="R864" s="2468"/>
      <c r="S864" s="544"/>
      <c r="T864" s="545"/>
      <c r="U864" s="546"/>
      <c r="V864" s="547"/>
      <c r="W864" s="299" t="s">
        <v>193</v>
      </c>
      <c r="X864" s="277"/>
      <c r="Y864" s="277"/>
      <c r="Z864" s="187"/>
      <c r="AA864" s="6301"/>
      <c r="AB864" s="139"/>
      <c r="AC864" s="139"/>
      <c r="AD864" s="139"/>
      <c r="AE864" s="139"/>
      <c r="AF864" s="139"/>
      <c r="AG864" s="139"/>
      <c r="AH864" s="139"/>
      <c r="AI864" s="139"/>
      <c r="AJ864" s="139"/>
      <c r="AK864" s="139"/>
      <c r="AL864" s="139"/>
      <c r="AM864" s="139"/>
      <c r="AN864" s="139"/>
      <c r="AO864" s="139"/>
      <c r="AP864" s="139"/>
      <c r="AQ864" s="139"/>
      <c r="AR864" s="139"/>
      <c r="AS864" s="139"/>
      <c r="AT864" s="139"/>
      <c r="AU864" s="139"/>
      <c r="AV864" s="139"/>
      <c r="AW864" s="139"/>
      <c r="AX864" s="139"/>
      <c r="AY864" s="139"/>
      <c r="AZ864" s="139"/>
      <c r="BA864" s="139"/>
      <c r="BB864" s="139"/>
      <c r="BC864" s="139"/>
      <c r="BD864" s="139"/>
      <c r="BE864" s="139"/>
      <c r="BF864" s="139"/>
      <c r="BG864" s="139"/>
      <c r="BH864" s="139"/>
    </row>
    <row r="865" spans="2:60" s="11" customFormat="1" ht="20.100000000000001" customHeight="1">
      <c r="B865" s="1360"/>
      <c r="C865" s="5598"/>
      <c r="D865" s="9598" t="s">
        <v>143</v>
      </c>
      <c r="E865" s="9600"/>
      <c r="F865" s="285" t="s">
        <v>413</v>
      </c>
      <c r="G865" s="666"/>
      <c r="H865" s="666"/>
      <c r="I865" s="9582" t="s">
        <v>144</v>
      </c>
      <c r="J865" s="9583"/>
      <c r="K865" s="285" t="s">
        <v>413</v>
      </c>
      <c r="L865" s="5594"/>
      <c r="M865" s="5682"/>
      <c r="N865" s="5601"/>
      <c r="O865" s="5667"/>
      <c r="P865" s="5602"/>
      <c r="Q865" s="5758"/>
      <c r="R865" s="2468"/>
      <c r="S865" s="544"/>
      <c r="T865" s="545"/>
      <c r="U865" s="546"/>
      <c r="V865" s="547"/>
      <c r="W865" s="299" t="s">
        <v>193</v>
      </c>
      <c r="X865" s="277"/>
      <c r="Y865" s="277"/>
      <c r="Z865" s="187"/>
      <c r="AA865" s="6301"/>
      <c r="AB865" s="139"/>
      <c r="AC865" s="139"/>
      <c r="AD865" s="139"/>
      <c r="AE865" s="139"/>
      <c r="AF865" s="139"/>
      <c r="AG865" s="139"/>
      <c r="AH865" s="139"/>
      <c r="AI865" s="139"/>
      <c r="AJ865" s="139"/>
      <c r="AK865" s="139"/>
      <c r="AL865" s="139"/>
      <c r="AM865" s="139"/>
      <c r="AN865" s="139"/>
      <c r="AO865" s="139"/>
      <c r="AP865" s="139"/>
      <c r="AQ865" s="139"/>
      <c r="AR865" s="139"/>
      <c r="AS865" s="139"/>
      <c r="AT865" s="139"/>
      <c r="AU865" s="139"/>
      <c r="AV865" s="139"/>
      <c r="AW865" s="139"/>
      <c r="AX865" s="139"/>
      <c r="AY865" s="139"/>
      <c r="AZ865" s="139"/>
      <c r="BA865" s="139"/>
      <c r="BB865" s="139"/>
      <c r="BC865" s="139"/>
      <c r="BD865" s="139"/>
      <c r="BE865" s="139"/>
      <c r="BF865" s="139"/>
      <c r="BG865" s="139"/>
      <c r="BH865" s="139"/>
    </row>
    <row r="866" spans="2:60" s="11" customFormat="1" ht="20.100000000000001" customHeight="1">
      <c r="B866" s="1360"/>
      <c r="C866" s="5598"/>
      <c r="D866" s="9598" t="s">
        <v>631</v>
      </c>
      <c r="E866" s="9600"/>
      <c r="F866" s="285" t="s">
        <v>413</v>
      </c>
      <c r="G866" s="666"/>
      <c r="H866" s="666"/>
      <c r="I866" s="9582" t="s">
        <v>147</v>
      </c>
      <c r="J866" s="9583"/>
      <c r="K866" s="285" t="s">
        <v>413</v>
      </c>
      <c r="L866" s="5967" t="s">
        <v>168</v>
      </c>
      <c r="M866" s="5656" t="s">
        <v>641</v>
      </c>
      <c r="N866" s="5593" t="s">
        <v>168</v>
      </c>
      <c r="O866" s="5948" t="s">
        <v>641</v>
      </c>
      <c r="P866" s="5948" t="s">
        <v>168</v>
      </c>
      <c r="Q866" s="5948" t="s">
        <v>641</v>
      </c>
      <c r="R866" s="2468"/>
      <c r="S866" s="544"/>
      <c r="T866" s="545"/>
      <c r="U866" s="546"/>
      <c r="V866" s="547"/>
      <c r="W866" s="299" t="s">
        <v>193</v>
      </c>
      <c r="X866" s="277"/>
      <c r="Y866" s="277"/>
      <c r="Z866" s="187"/>
      <c r="AA866" s="6301"/>
      <c r="AB866" s="139"/>
      <c r="AC866" s="139"/>
      <c r="AD866" s="139"/>
      <c r="AE866" s="139"/>
      <c r="AF866" s="139"/>
      <c r="AG866" s="139"/>
      <c r="AH866" s="139"/>
      <c r="AI866" s="139"/>
      <c r="AJ866" s="139"/>
      <c r="AK866" s="139"/>
      <c r="AL866" s="139"/>
      <c r="AM866" s="139"/>
      <c r="AN866" s="139"/>
      <c r="AO866" s="139"/>
      <c r="AP866" s="139"/>
      <c r="AQ866" s="139"/>
      <c r="AR866" s="139"/>
      <c r="AS866" s="139"/>
      <c r="AT866" s="139"/>
      <c r="AU866" s="139"/>
      <c r="AV866" s="139"/>
      <c r="AW866" s="139"/>
      <c r="AX866" s="139"/>
      <c r="AY866" s="139"/>
      <c r="AZ866" s="139"/>
      <c r="BA866" s="139"/>
      <c r="BB866" s="139"/>
      <c r="BC866" s="139"/>
      <c r="BD866" s="139"/>
      <c r="BE866" s="139"/>
      <c r="BF866" s="139"/>
      <c r="BG866" s="139"/>
      <c r="BH866" s="139"/>
    </row>
    <row r="867" spans="2:60" s="11" customFormat="1" ht="20.100000000000001" customHeight="1">
      <c r="B867" s="1360"/>
      <c r="C867" s="5598"/>
      <c r="D867" s="9598" t="s">
        <v>633</v>
      </c>
      <c r="E867" s="9600"/>
      <c r="F867" s="285" t="s">
        <v>413</v>
      </c>
      <c r="G867" s="666"/>
      <c r="H867" s="666"/>
      <c r="I867" s="9582" t="s">
        <v>150</v>
      </c>
      <c r="J867" s="9583"/>
      <c r="K867" s="285" t="s">
        <v>413</v>
      </c>
      <c r="L867" s="5594"/>
      <c r="M867" s="5682"/>
      <c r="N867" s="5601"/>
      <c r="O867" s="5667"/>
      <c r="P867" s="5602"/>
      <c r="Q867" s="5758"/>
      <c r="R867" s="2468"/>
      <c r="S867" s="544"/>
      <c r="T867" s="545"/>
      <c r="U867" s="546"/>
      <c r="V867" s="547"/>
      <c r="W867" s="299" t="s">
        <v>193</v>
      </c>
      <c r="X867" s="277"/>
      <c r="Y867" s="277"/>
      <c r="Z867" s="187"/>
      <c r="AA867" s="6301"/>
      <c r="AB867" s="139"/>
      <c r="AC867" s="139"/>
      <c r="AD867" s="139"/>
      <c r="AE867" s="139"/>
      <c r="AF867" s="139"/>
      <c r="AG867" s="139"/>
      <c r="AH867" s="139"/>
      <c r="AI867" s="139"/>
      <c r="AJ867" s="139"/>
      <c r="AK867" s="139"/>
      <c r="AL867" s="139"/>
      <c r="AM867" s="139"/>
      <c r="AN867" s="139"/>
      <c r="AO867" s="139"/>
      <c r="AP867" s="139"/>
      <c r="AQ867" s="139"/>
      <c r="AR867" s="139"/>
      <c r="AS867" s="139"/>
      <c r="AT867" s="139"/>
      <c r="AU867" s="139"/>
      <c r="AV867" s="139"/>
      <c r="AW867" s="139"/>
      <c r="AX867" s="139"/>
      <c r="AY867" s="139"/>
      <c r="AZ867" s="139"/>
      <c r="BA867" s="139"/>
      <c r="BB867" s="139"/>
      <c r="BC867" s="139"/>
      <c r="BD867" s="139"/>
      <c r="BE867" s="139"/>
      <c r="BF867" s="139"/>
      <c r="BG867" s="139"/>
      <c r="BH867" s="139"/>
    </row>
    <row r="868" spans="2:60" s="11" customFormat="1" ht="20.100000000000001" customHeight="1">
      <c r="B868" s="1360"/>
      <c r="C868" s="9587" t="s">
        <v>603</v>
      </c>
      <c r="D868" s="9587"/>
      <c r="E868" s="9588"/>
      <c r="F868" s="285" t="s">
        <v>156</v>
      </c>
      <c r="G868" s="621"/>
      <c r="H868" s="9586" t="s">
        <v>604</v>
      </c>
      <c r="I868" s="9587"/>
      <c r="J868" s="9588"/>
      <c r="K868" s="285" t="s">
        <v>156</v>
      </c>
      <c r="L868" s="5653" t="str">
        <f>IF(COUNTBLANK(L869:L874)&gt;0,"미취합법인有",AVERAGE(L869:L874))</f>
        <v>미취합법인有</v>
      </c>
      <c r="M868" s="5657"/>
      <c r="N868" s="5654" t="str">
        <f>IF(COUNTBLANK(N869:N874)&gt;0,"미취합법인有",AVERAGE(N869:N874))</f>
        <v>미취합법인有</v>
      </c>
      <c r="O868" s="5945"/>
      <c r="P868" s="5781" t="str">
        <f>IF(COUNTBLANK(P869:P874)&gt;0,"미취합법인有",AVERAGE(P869:P874))</f>
        <v>미취합법인有</v>
      </c>
      <c r="Q868" s="785"/>
      <c r="R868" s="2468" t="s">
        <v>605</v>
      </c>
      <c r="S868" s="276" t="s">
        <v>606</v>
      </c>
      <c r="T868" s="99" t="s">
        <v>189</v>
      </c>
      <c r="U868" s="547"/>
      <c r="V868" s="547"/>
      <c r="W868" s="299" t="s">
        <v>193</v>
      </c>
      <c r="X868" s="620" t="s">
        <v>607</v>
      </c>
      <c r="Y868" s="154"/>
      <c r="Z868" s="159" t="s">
        <v>597</v>
      </c>
      <c r="AA868" s="6305"/>
      <c r="AB868" s="139"/>
      <c r="AC868" s="139"/>
      <c r="AD868" s="139"/>
      <c r="AE868" s="139"/>
      <c r="AF868" s="139"/>
      <c r="AG868" s="139"/>
      <c r="AH868" s="139"/>
      <c r="AI868" s="139"/>
      <c r="AJ868" s="139"/>
      <c r="AK868" s="139"/>
      <c r="AL868" s="139"/>
      <c r="AM868" s="139"/>
      <c r="AN868" s="139"/>
      <c r="AO868" s="139"/>
      <c r="AP868" s="139"/>
      <c r="AQ868" s="139"/>
      <c r="AR868" s="139"/>
      <c r="AS868" s="139"/>
      <c r="AT868" s="139"/>
      <c r="AU868" s="139"/>
      <c r="AV868" s="139"/>
      <c r="AW868" s="139"/>
      <c r="AX868" s="139"/>
      <c r="AY868" s="139"/>
      <c r="AZ868" s="139"/>
      <c r="BA868" s="139"/>
      <c r="BB868" s="139"/>
      <c r="BC868" s="139"/>
      <c r="BD868" s="139"/>
      <c r="BE868" s="139"/>
      <c r="BF868" s="139"/>
      <c r="BG868" s="139"/>
      <c r="BH868" s="139"/>
    </row>
    <row r="869" spans="2:60" s="11" customFormat="1" ht="19.899999999999999" customHeight="1">
      <c r="B869" s="5590"/>
      <c r="C869" s="9647" t="s">
        <v>134</v>
      </c>
      <c r="D869" s="9648"/>
      <c r="E869" s="9649"/>
      <c r="F869" s="285" t="s">
        <v>156</v>
      </c>
      <c r="G869" s="253"/>
      <c r="H869" s="9579" t="s">
        <v>135</v>
      </c>
      <c r="I869" s="9580"/>
      <c r="J869" s="9581"/>
      <c r="K869" s="285" t="s">
        <v>156</v>
      </c>
      <c r="L869" s="5594"/>
      <c r="M869" s="5682" t="s">
        <v>369</v>
      </c>
      <c r="N869" s="5601"/>
      <c r="O869" s="5667" t="s">
        <v>369</v>
      </c>
      <c r="P869" s="5602"/>
      <c r="Q869" s="5758" t="s">
        <v>369</v>
      </c>
      <c r="R869" s="1033"/>
      <c r="S869" s="263"/>
      <c r="T869" s="99"/>
      <c r="U869" s="138"/>
      <c r="V869" s="138"/>
      <c r="W869" s="299" t="s">
        <v>193</v>
      </c>
      <c r="X869" s="264"/>
      <c r="Y869" s="277"/>
      <c r="Z869" s="187"/>
      <c r="AA869" s="6301"/>
      <c r="AB869" s="139"/>
      <c r="AC869" s="139"/>
      <c r="AD869" s="139"/>
      <c r="AE869" s="139"/>
      <c r="AF869" s="139"/>
      <c r="AG869" s="139"/>
      <c r="AH869" s="139"/>
      <c r="AI869" s="139"/>
      <c r="AJ869" s="139"/>
      <c r="AK869" s="139"/>
      <c r="AL869" s="139"/>
      <c r="AM869" s="139"/>
      <c r="AN869" s="139"/>
      <c r="AO869" s="139"/>
      <c r="AP869" s="139"/>
      <c r="AQ869" s="139"/>
      <c r="AR869" s="139"/>
      <c r="AS869" s="139"/>
      <c r="AT869" s="139"/>
      <c r="AU869" s="139"/>
      <c r="AV869" s="139"/>
      <c r="AW869" s="139"/>
      <c r="AX869" s="139"/>
      <c r="AY869" s="139"/>
      <c r="AZ869" s="139"/>
      <c r="BA869" s="139"/>
      <c r="BB869" s="139"/>
      <c r="BC869" s="139"/>
      <c r="BD869" s="139"/>
      <c r="BE869" s="139"/>
      <c r="BF869" s="139"/>
      <c r="BG869" s="139"/>
      <c r="BH869" s="139"/>
    </row>
    <row r="870" spans="2:60" s="11" customFormat="1" ht="19.899999999999999" customHeight="1">
      <c r="B870" s="5590"/>
      <c r="C870" s="9647" t="s">
        <v>137</v>
      </c>
      <c r="D870" s="9648"/>
      <c r="E870" s="9649"/>
      <c r="F870" s="285" t="s">
        <v>156</v>
      </c>
      <c r="G870" s="253"/>
      <c r="H870" s="9579" t="s">
        <v>138</v>
      </c>
      <c r="I870" s="9580"/>
      <c r="J870" s="9581"/>
      <c r="K870" s="285" t="s">
        <v>156</v>
      </c>
      <c r="L870" s="5594"/>
      <c r="M870" s="5682"/>
      <c r="N870" s="5601"/>
      <c r="O870" s="5667"/>
      <c r="P870" s="5602"/>
      <c r="Q870" s="5758"/>
      <c r="R870" s="1033"/>
      <c r="S870" s="263"/>
      <c r="T870" s="99"/>
      <c r="U870" s="138"/>
      <c r="V870" s="138"/>
      <c r="W870" s="299" t="s">
        <v>193</v>
      </c>
      <c r="X870" s="264"/>
      <c r="Y870" s="277"/>
      <c r="Z870" s="187"/>
      <c r="AA870" s="6301"/>
      <c r="AB870" s="139"/>
      <c r="AC870" s="139"/>
      <c r="AD870" s="139"/>
      <c r="AE870" s="139"/>
      <c r="AF870" s="139"/>
      <c r="AG870" s="139"/>
      <c r="AH870" s="139"/>
      <c r="AI870" s="139"/>
      <c r="AJ870" s="139"/>
      <c r="AK870" s="139"/>
      <c r="AL870" s="139"/>
      <c r="AM870" s="139"/>
      <c r="AN870" s="139"/>
      <c r="AO870" s="139"/>
      <c r="AP870" s="139"/>
      <c r="AQ870" s="139"/>
      <c r="AR870" s="139"/>
      <c r="AS870" s="139"/>
      <c r="AT870" s="139"/>
      <c r="AU870" s="139"/>
      <c r="AV870" s="139"/>
      <c r="AW870" s="139"/>
      <c r="AX870" s="139"/>
      <c r="AY870" s="139"/>
      <c r="AZ870" s="139"/>
      <c r="BA870" s="139"/>
      <c r="BB870" s="139"/>
      <c r="BC870" s="139"/>
      <c r="BD870" s="139"/>
      <c r="BE870" s="139"/>
      <c r="BF870" s="139"/>
      <c r="BG870" s="139"/>
      <c r="BH870" s="139"/>
    </row>
    <row r="871" spans="2:60" s="11" customFormat="1" ht="19.899999999999999" customHeight="1">
      <c r="B871" s="5590"/>
      <c r="C871" s="9647" t="s">
        <v>140</v>
      </c>
      <c r="D871" s="9648"/>
      <c r="E871" s="9649"/>
      <c r="F871" s="285" t="s">
        <v>156</v>
      </c>
      <c r="G871" s="253"/>
      <c r="H871" s="9579" t="s">
        <v>141</v>
      </c>
      <c r="I871" s="9580"/>
      <c r="J871" s="9581"/>
      <c r="K871" s="285" t="s">
        <v>156</v>
      </c>
      <c r="L871" s="5594"/>
      <c r="M871" s="5682"/>
      <c r="N871" s="5601"/>
      <c r="O871" s="5658"/>
      <c r="P871" s="5658"/>
      <c r="Q871" s="5601"/>
      <c r="R871" s="1033"/>
      <c r="S871" s="263"/>
      <c r="T871" s="99"/>
      <c r="U871" s="138"/>
      <c r="V871" s="138"/>
      <c r="W871" s="299" t="s">
        <v>193</v>
      </c>
      <c r="X871" s="264"/>
      <c r="Y871" s="277"/>
      <c r="Z871" s="187"/>
      <c r="AA871" s="6301"/>
      <c r="AB871" s="139"/>
      <c r="AC871" s="139"/>
      <c r="AD871" s="139"/>
      <c r="AE871" s="139"/>
      <c r="AF871" s="139"/>
      <c r="AG871" s="139"/>
      <c r="AH871" s="139"/>
      <c r="AI871" s="139"/>
      <c r="AJ871" s="139"/>
      <c r="AK871" s="139"/>
      <c r="AL871" s="139"/>
      <c r="AM871" s="139"/>
      <c r="AN871" s="139"/>
      <c r="AO871" s="139"/>
      <c r="AP871" s="139"/>
      <c r="AQ871" s="139"/>
      <c r="AR871" s="139"/>
      <c r="AS871" s="139"/>
      <c r="AT871" s="139"/>
      <c r="AU871" s="139"/>
      <c r="AV871" s="139"/>
      <c r="AW871" s="139"/>
      <c r="AX871" s="139"/>
      <c r="AY871" s="139"/>
      <c r="AZ871" s="139"/>
      <c r="BA871" s="139"/>
      <c r="BB871" s="139"/>
      <c r="BC871" s="139"/>
      <c r="BD871" s="139"/>
      <c r="BE871" s="139"/>
      <c r="BF871" s="139"/>
      <c r="BG871" s="139"/>
      <c r="BH871" s="139"/>
    </row>
    <row r="872" spans="2:60" s="11" customFormat="1" ht="19.899999999999999" customHeight="1">
      <c r="B872" s="5590"/>
      <c r="C872" s="9647" t="s">
        <v>143</v>
      </c>
      <c r="D872" s="9648"/>
      <c r="E872" s="9649"/>
      <c r="F872" s="285" t="s">
        <v>156</v>
      </c>
      <c r="G872" s="253"/>
      <c r="H872" s="9579" t="s">
        <v>144</v>
      </c>
      <c r="I872" s="9580"/>
      <c r="J872" s="9581"/>
      <c r="K872" s="285" t="s">
        <v>156</v>
      </c>
      <c r="L872" s="5592"/>
      <c r="M872" s="5656"/>
      <c r="N872" s="5593"/>
      <c r="O872" s="5656"/>
      <c r="P872" s="5656"/>
      <c r="Q872" s="5593"/>
      <c r="R872" s="1033"/>
      <c r="S872" s="263"/>
      <c r="T872" s="99"/>
      <c r="U872" s="138"/>
      <c r="V872" s="138"/>
      <c r="W872" s="299" t="s">
        <v>193</v>
      </c>
      <c r="X872" s="264"/>
      <c r="Y872" s="277"/>
      <c r="Z872" s="187"/>
      <c r="AA872" s="6301"/>
      <c r="AB872" s="139"/>
      <c r="AC872" s="139"/>
      <c r="AD872" s="139"/>
      <c r="AE872" s="139"/>
      <c r="AF872" s="139"/>
      <c r="AG872" s="139"/>
      <c r="AH872" s="139"/>
      <c r="AI872" s="139"/>
      <c r="AJ872" s="139"/>
      <c r="AK872" s="139"/>
      <c r="AL872" s="139"/>
      <c r="AM872" s="139"/>
      <c r="AN872" s="139"/>
      <c r="AO872" s="139"/>
      <c r="AP872" s="139"/>
      <c r="AQ872" s="139"/>
      <c r="AR872" s="139"/>
      <c r="AS872" s="139"/>
      <c r="AT872" s="139"/>
      <c r="AU872" s="139"/>
      <c r="AV872" s="139"/>
      <c r="AW872" s="139"/>
      <c r="AX872" s="139"/>
      <c r="AY872" s="139"/>
      <c r="AZ872" s="139"/>
      <c r="BA872" s="139"/>
      <c r="BB872" s="139"/>
      <c r="BC872" s="139"/>
      <c r="BD872" s="139"/>
      <c r="BE872" s="139"/>
      <c r="BF872" s="139"/>
      <c r="BG872" s="139"/>
      <c r="BH872" s="139"/>
    </row>
    <row r="873" spans="2:60" s="11" customFormat="1" ht="19.899999999999999" customHeight="1">
      <c r="B873" s="5590"/>
      <c r="C873" s="9647" t="s">
        <v>631</v>
      </c>
      <c r="D873" s="9648"/>
      <c r="E873" s="9649"/>
      <c r="F873" s="285" t="s">
        <v>156</v>
      </c>
      <c r="G873" s="253"/>
      <c r="H873" s="9579" t="s">
        <v>147</v>
      </c>
      <c r="I873" s="9580"/>
      <c r="J873" s="9581"/>
      <c r="K873" s="285" t="s">
        <v>156</v>
      </c>
      <c r="L873" s="5967" t="s">
        <v>168</v>
      </c>
      <c r="M873" s="5656" t="s">
        <v>641</v>
      </c>
      <c r="N873" s="5593" t="s">
        <v>168</v>
      </c>
      <c r="O873" s="5593" t="s">
        <v>641</v>
      </c>
      <c r="P873" s="5593" t="s">
        <v>168</v>
      </c>
      <c r="Q873" s="5593" t="s">
        <v>641</v>
      </c>
      <c r="R873" s="1033"/>
      <c r="S873" s="263"/>
      <c r="T873" s="99"/>
      <c r="U873" s="138"/>
      <c r="V873" s="138"/>
      <c r="W873" s="299" t="s">
        <v>193</v>
      </c>
      <c r="X873" s="264"/>
      <c r="Y873" s="277"/>
      <c r="Z873" s="187"/>
      <c r="AA873" s="6301"/>
      <c r="AB873" s="139"/>
      <c r="AC873" s="139"/>
      <c r="AD873" s="139"/>
      <c r="AE873" s="139"/>
      <c r="AF873" s="139"/>
      <c r="AG873" s="139"/>
      <c r="AH873" s="139"/>
      <c r="AI873" s="139"/>
      <c r="AJ873" s="139"/>
      <c r="AK873" s="139"/>
      <c r="AL873" s="139"/>
      <c r="AM873" s="139"/>
      <c r="AN873" s="139"/>
      <c r="AO873" s="139"/>
      <c r="AP873" s="139"/>
      <c r="AQ873" s="139"/>
      <c r="AR873" s="139"/>
      <c r="AS873" s="139"/>
      <c r="AT873" s="139"/>
      <c r="AU873" s="139"/>
      <c r="AV873" s="139"/>
      <c r="AW873" s="139"/>
      <c r="AX873" s="139"/>
      <c r="AY873" s="139"/>
      <c r="AZ873" s="139"/>
      <c r="BA873" s="139"/>
      <c r="BB873" s="139"/>
      <c r="BC873" s="139"/>
      <c r="BD873" s="139"/>
      <c r="BE873" s="139"/>
      <c r="BF873" s="139"/>
      <c r="BG873" s="139"/>
      <c r="BH873" s="139"/>
    </row>
    <row r="874" spans="2:60" s="11" customFormat="1" ht="19.899999999999999" customHeight="1">
      <c r="B874" s="5590"/>
      <c r="C874" s="9647" t="s">
        <v>633</v>
      </c>
      <c r="D874" s="9648"/>
      <c r="E874" s="9649"/>
      <c r="F874" s="285" t="s">
        <v>156</v>
      </c>
      <c r="G874" s="253"/>
      <c r="H874" s="9579" t="s">
        <v>150</v>
      </c>
      <c r="I874" s="9580"/>
      <c r="J874" s="9581"/>
      <c r="K874" s="285" t="s">
        <v>156</v>
      </c>
      <c r="L874" s="5592"/>
      <c r="M874" s="5656"/>
      <c r="N874" s="5593"/>
      <c r="O874" s="5593"/>
      <c r="P874" s="5593"/>
      <c r="Q874" s="5593"/>
      <c r="R874" s="1033"/>
      <c r="S874" s="263"/>
      <c r="T874" s="99"/>
      <c r="U874" s="138"/>
      <c r="V874" s="138"/>
      <c r="W874" s="299" t="s">
        <v>193</v>
      </c>
      <c r="X874" s="264"/>
      <c r="Y874" s="277"/>
      <c r="Z874" s="187"/>
      <c r="AA874" s="6301"/>
      <c r="AB874" s="139"/>
      <c r="AC874" s="139"/>
      <c r="AD874" s="139"/>
      <c r="AE874" s="139"/>
      <c r="AF874" s="139"/>
      <c r="AG874" s="139"/>
      <c r="AH874" s="139"/>
      <c r="AI874" s="139"/>
      <c r="AJ874" s="139"/>
      <c r="AK874" s="139"/>
      <c r="AL874" s="139"/>
      <c r="AM874" s="139"/>
      <c r="AN874" s="139"/>
      <c r="AO874" s="139"/>
      <c r="AP874" s="139"/>
      <c r="AQ874" s="139"/>
      <c r="AR874" s="139"/>
      <c r="AS874" s="139"/>
      <c r="AT874" s="139"/>
      <c r="AU874" s="139"/>
      <c r="AV874" s="139"/>
      <c r="AW874" s="139"/>
      <c r="AX874" s="139"/>
      <c r="AY874" s="139"/>
      <c r="AZ874" s="139"/>
      <c r="BA874" s="139"/>
      <c r="BB874" s="139"/>
      <c r="BC874" s="139"/>
      <c r="BD874" s="139"/>
      <c r="BE874" s="139"/>
      <c r="BF874" s="139"/>
      <c r="BG874" s="139"/>
      <c r="BH874" s="139"/>
    </row>
    <row r="875" spans="2:60" s="11" customFormat="1" ht="20.100000000000001" customHeight="1">
      <c r="B875" s="1360"/>
      <c r="C875" s="5598"/>
      <c r="D875" s="5615" t="s">
        <v>582</v>
      </c>
      <c r="E875" s="5616"/>
      <c r="F875" s="285" t="s">
        <v>413</v>
      </c>
      <c r="G875" s="666"/>
      <c r="H875" s="684"/>
      <c r="I875" s="9586" t="s">
        <v>608</v>
      </c>
      <c r="J875" s="9587"/>
      <c r="K875" s="285" t="s">
        <v>413</v>
      </c>
      <c r="L875" s="5653" t="str">
        <f>IF(COUNTBLANK(L876:L881)&gt;0,"미취합법인有",SUM(L876:L881))</f>
        <v>미취합법인有</v>
      </c>
      <c r="M875" s="5657"/>
      <c r="N875" s="5654" t="str">
        <f>IF(COUNTBLANK(N876:N881)&gt;0,"미취합법인有",SUM(N876:N881))</f>
        <v>미취합법인有</v>
      </c>
      <c r="O875" s="5663"/>
      <c r="P875" s="5781" t="str">
        <f>IF(COUNTBLANK(P876:P881)&gt;0,"미취합법인有",SUM(P876:P881))</f>
        <v>미취합법인有</v>
      </c>
      <c r="Q875" s="785"/>
      <c r="R875" s="2468"/>
      <c r="S875" s="276"/>
      <c r="T875" s="99" t="s">
        <v>189</v>
      </c>
      <c r="U875" s="547"/>
      <c r="V875" s="547"/>
      <c r="W875" s="299" t="s">
        <v>193</v>
      </c>
      <c r="X875" s="620" t="s">
        <v>607</v>
      </c>
      <c r="Y875" s="154"/>
      <c r="Z875" s="159"/>
      <c r="AA875" s="6305"/>
      <c r="AB875" s="139"/>
      <c r="AC875" s="139"/>
      <c r="AD875" s="139"/>
      <c r="AE875" s="139"/>
      <c r="AF875" s="139"/>
      <c r="AG875" s="139"/>
      <c r="AH875" s="139"/>
      <c r="AI875" s="139"/>
      <c r="AJ875" s="139"/>
      <c r="AK875" s="139"/>
      <c r="AL875" s="139"/>
      <c r="AM875" s="139"/>
      <c r="AN875" s="139"/>
      <c r="AO875" s="139"/>
      <c r="AP875" s="139"/>
      <c r="AQ875" s="139"/>
      <c r="AR875" s="139"/>
      <c r="AS875" s="139"/>
      <c r="AT875" s="139"/>
      <c r="AU875" s="139"/>
      <c r="AV875" s="139"/>
      <c r="AW875" s="139"/>
      <c r="AX875" s="139"/>
      <c r="AY875" s="139"/>
      <c r="AZ875" s="139"/>
      <c r="BA875" s="139"/>
      <c r="BB875" s="139"/>
      <c r="BC875" s="139"/>
      <c r="BD875" s="139"/>
      <c r="BE875" s="139"/>
      <c r="BF875" s="139"/>
      <c r="BG875" s="139"/>
      <c r="BH875" s="139"/>
    </row>
    <row r="876" spans="2:60" s="11" customFormat="1" ht="20.100000000000001" customHeight="1">
      <c r="B876" s="1360"/>
      <c r="C876" s="5598"/>
      <c r="D876" s="9598" t="s">
        <v>134</v>
      </c>
      <c r="E876" s="9600"/>
      <c r="F876" s="285" t="s">
        <v>413</v>
      </c>
      <c r="G876" s="666"/>
      <c r="H876" s="684"/>
      <c r="I876" s="9579" t="s">
        <v>135</v>
      </c>
      <c r="J876" s="9581"/>
      <c r="K876" s="285" t="s">
        <v>413</v>
      </c>
      <c r="L876" s="5594"/>
      <c r="M876" s="516" t="s">
        <v>369</v>
      </c>
      <c r="N876" s="5601"/>
      <c r="O876" s="5601" t="s">
        <v>369</v>
      </c>
      <c r="P876" s="1814"/>
      <c r="Q876" s="5601" t="s">
        <v>369</v>
      </c>
      <c r="R876" s="2468"/>
      <c r="S876" s="544"/>
      <c r="T876" s="545"/>
      <c r="U876" s="546"/>
      <c r="V876" s="547"/>
      <c r="W876" s="299" t="s">
        <v>193</v>
      </c>
      <c r="X876" s="277"/>
      <c r="Y876" s="277"/>
      <c r="Z876" s="187"/>
      <c r="AA876" s="6301"/>
      <c r="AB876" s="139"/>
      <c r="AC876" s="139"/>
      <c r="AD876" s="139"/>
      <c r="AE876" s="139"/>
      <c r="AF876" s="139"/>
      <c r="AG876" s="139"/>
      <c r="AH876" s="139"/>
      <c r="AI876" s="139"/>
      <c r="AJ876" s="139"/>
      <c r="AK876" s="139"/>
      <c r="AL876" s="139"/>
      <c r="AM876" s="139"/>
      <c r="AN876" s="139"/>
      <c r="AO876" s="139"/>
      <c r="AP876" s="139"/>
      <c r="AQ876" s="139"/>
      <c r="AR876" s="139"/>
      <c r="AS876" s="139"/>
      <c r="AT876" s="139"/>
      <c r="AU876" s="139"/>
      <c r="AV876" s="139"/>
      <c r="AW876" s="139"/>
      <c r="AX876" s="139"/>
      <c r="AY876" s="139"/>
      <c r="AZ876" s="139"/>
      <c r="BA876" s="139"/>
      <c r="BB876" s="139"/>
      <c r="BC876" s="139"/>
      <c r="BD876" s="139"/>
      <c r="BE876" s="139"/>
      <c r="BF876" s="139"/>
      <c r="BG876" s="139"/>
      <c r="BH876" s="139"/>
    </row>
    <row r="877" spans="2:60" s="11" customFormat="1" ht="20.100000000000001" customHeight="1">
      <c r="B877" s="1360"/>
      <c r="C877" s="5598"/>
      <c r="D877" s="9598" t="s">
        <v>137</v>
      </c>
      <c r="E877" s="9600"/>
      <c r="F877" s="285" t="s">
        <v>413</v>
      </c>
      <c r="G877" s="666"/>
      <c r="H877" s="684"/>
      <c r="I877" s="9579" t="s">
        <v>138</v>
      </c>
      <c r="J877" s="9581"/>
      <c r="K877" s="285" t="s">
        <v>413</v>
      </c>
      <c r="L877" s="5594"/>
      <c r="M877" s="516"/>
      <c r="N877" s="5601"/>
      <c r="O877" s="5601"/>
      <c r="P877" s="1814"/>
      <c r="Q877" s="5601"/>
      <c r="R877" s="2468"/>
      <c r="S877" s="544"/>
      <c r="T877" s="545"/>
      <c r="U877" s="546"/>
      <c r="V877" s="547"/>
      <c r="W877" s="299" t="s">
        <v>193</v>
      </c>
      <c r="X877" s="277"/>
      <c r="Y877" s="277"/>
      <c r="Z877" s="187"/>
      <c r="AA877" s="6301"/>
      <c r="AB877" s="139"/>
      <c r="AC877" s="139"/>
      <c r="AD877" s="139"/>
      <c r="AE877" s="139"/>
      <c r="AF877" s="139"/>
      <c r="AG877" s="139"/>
      <c r="AH877" s="139"/>
      <c r="AI877" s="139"/>
      <c r="AJ877" s="139"/>
      <c r="AK877" s="139"/>
      <c r="AL877" s="139"/>
      <c r="AM877" s="139"/>
      <c r="AN877" s="139"/>
      <c r="AO877" s="139"/>
      <c r="AP877" s="139"/>
      <c r="AQ877" s="139"/>
      <c r="AR877" s="139"/>
      <c r="AS877" s="139"/>
      <c r="AT877" s="139"/>
      <c r="AU877" s="139"/>
      <c r="AV877" s="139"/>
      <c r="AW877" s="139"/>
      <c r="AX877" s="139"/>
      <c r="AY877" s="139"/>
      <c r="AZ877" s="139"/>
      <c r="BA877" s="139"/>
      <c r="BB877" s="139"/>
      <c r="BC877" s="139"/>
      <c r="BD877" s="139"/>
      <c r="BE877" s="139"/>
      <c r="BF877" s="139"/>
      <c r="BG877" s="139"/>
      <c r="BH877" s="139"/>
    </row>
    <row r="878" spans="2:60" s="11" customFormat="1" ht="20.100000000000001" customHeight="1">
      <c r="B878" s="1360"/>
      <c r="C878" s="5598"/>
      <c r="D878" s="9598" t="s">
        <v>140</v>
      </c>
      <c r="E878" s="9600"/>
      <c r="F878" s="285" t="s">
        <v>413</v>
      </c>
      <c r="G878" s="666"/>
      <c r="H878" s="684"/>
      <c r="I878" s="9582" t="s">
        <v>141</v>
      </c>
      <c r="J878" s="9583"/>
      <c r="K878" s="285" t="s">
        <v>413</v>
      </c>
      <c r="L878" s="5594"/>
      <c r="M878" s="516"/>
      <c r="N878" s="5601"/>
      <c r="O878" s="5601"/>
      <c r="P878" s="1814"/>
      <c r="Q878" s="5601"/>
      <c r="R878" s="2468"/>
      <c r="S878" s="544"/>
      <c r="T878" s="545"/>
      <c r="U878" s="546"/>
      <c r="V878" s="547"/>
      <c r="W878" s="299" t="s">
        <v>193</v>
      </c>
      <c r="X878" s="277"/>
      <c r="Y878" s="277"/>
      <c r="Z878" s="187"/>
      <c r="AA878" s="6301"/>
      <c r="AB878" s="139"/>
      <c r="AC878" s="139"/>
      <c r="AD878" s="139"/>
      <c r="AE878" s="139"/>
      <c r="AF878" s="139"/>
      <c r="AG878" s="139"/>
      <c r="AH878" s="139"/>
      <c r="AI878" s="139"/>
      <c r="AJ878" s="139"/>
      <c r="AK878" s="139"/>
      <c r="AL878" s="139"/>
      <c r="AM878" s="139"/>
      <c r="AN878" s="139"/>
      <c r="AO878" s="139"/>
      <c r="AP878" s="139"/>
      <c r="AQ878" s="139"/>
      <c r="AR878" s="139"/>
      <c r="AS878" s="139"/>
      <c r="AT878" s="139"/>
      <c r="AU878" s="139"/>
      <c r="AV878" s="139"/>
      <c r="AW878" s="139"/>
      <c r="AX878" s="139"/>
      <c r="AY878" s="139"/>
      <c r="AZ878" s="139"/>
      <c r="BA878" s="139"/>
      <c r="BB878" s="139"/>
      <c r="BC878" s="139"/>
      <c r="BD878" s="139"/>
      <c r="BE878" s="139"/>
      <c r="BF878" s="139"/>
      <c r="BG878" s="139"/>
      <c r="BH878" s="139"/>
    </row>
    <row r="879" spans="2:60" s="11" customFormat="1" ht="20.100000000000001" customHeight="1">
      <c r="B879" s="1360"/>
      <c r="C879" s="5598"/>
      <c r="D879" s="9598" t="s">
        <v>143</v>
      </c>
      <c r="E879" s="9600"/>
      <c r="F879" s="285" t="s">
        <v>413</v>
      </c>
      <c r="G879" s="666"/>
      <c r="H879" s="684"/>
      <c r="I879" s="9582" t="s">
        <v>144</v>
      </c>
      <c r="J879" s="9583"/>
      <c r="K879" s="285" t="s">
        <v>413</v>
      </c>
      <c r="L879" s="5594"/>
      <c r="M879" s="516"/>
      <c r="N879" s="5601"/>
      <c r="O879" s="5601"/>
      <c r="P879" s="1814"/>
      <c r="Q879" s="5601"/>
      <c r="R879" s="2468"/>
      <c r="S879" s="544"/>
      <c r="T879" s="545"/>
      <c r="U879" s="546"/>
      <c r="V879" s="547"/>
      <c r="W879" s="299" t="s">
        <v>193</v>
      </c>
      <c r="X879" s="277"/>
      <c r="Y879" s="277"/>
      <c r="Z879" s="187"/>
      <c r="AA879" s="6301"/>
      <c r="AB879" s="139"/>
      <c r="AC879" s="139"/>
      <c r="AD879" s="139"/>
      <c r="AE879" s="139"/>
      <c r="AF879" s="139"/>
      <c r="AG879" s="139"/>
      <c r="AH879" s="139"/>
      <c r="AI879" s="139"/>
      <c r="AJ879" s="139"/>
      <c r="AK879" s="139"/>
      <c r="AL879" s="139"/>
      <c r="AM879" s="139"/>
      <c r="AN879" s="139"/>
      <c r="AO879" s="139"/>
      <c r="AP879" s="139"/>
      <c r="AQ879" s="139"/>
      <c r="AR879" s="139"/>
      <c r="AS879" s="139"/>
      <c r="AT879" s="139"/>
      <c r="AU879" s="139"/>
      <c r="AV879" s="139"/>
      <c r="AW879" s="139"/>
      <c r="AX879" s="139"/>
      <c r="AY879" s="139"/>
      <c r="AZ879" s="139"/>
      <c r="BA879" s="139"/>
      <c r="BB879" s="139"/>
      <c r="BC879" s="139"/>
      <c r="BD879" s="139"/>
      <c r="BE879" s="139"/>
      <c r="BF879" s="139"/>
      <c r="BG879" s="139"/>
      <c r="BH879" s="139"/>
    </row>
    <row r="880" spans="2:60" s="11" customFormat="1" ht="20.100000000000001" customHeight="1">
      <c r="B880" s="1360"/>
      <c r="C880" s="5598"/>
      <c r="D880" s="9598" t="s">
        <v>631</v>
      </c>
      <c r="E880" s="9600"/>
      <c r="F880" s="285" t="s">
        <v>413</v>
      </c>
      <c r="G880" s="666"/>
      <c r="H880" s="684"/>
      <c r="I880" s="9582" t="s">
        <v>147</v>
      </c>
      <c r="J880" s="9583"/>
      <c r="K880" s="285" t="s">
        <v>413</v>
      </c>
      <c r="L880" s="5967" t="s">
        <v>168</v>
      </c>
      <c r="M880" s="5948" t="s">
        <v>641</v>
      </c>
      <c r="N880" s="5948" t="s">
        <v>168</v>
      </c>
      <c r="O880" s="5948" t="s">
        <v>641</v>
      </c>
      <c r="P880" s="5948" t="s">
        <v>168</v>
      </c>
      <c r="Q880" s="5948" t="s">
        <v>641</v>
      </c>
      <c r="R880" s="2468"/>
      <c r="S880" s="544"/>
      <c r="T880" s="545"/>
      <c r="U880" s="546"/>
      <c r="V880" s="547"/>
      <c r="W880" s="299" t="s">
        <v>193</v>
      </c>
      <c r="X880" s="277"/>
      <c r="Y880" s="277"/>
      <c r="Z880" s="187"/>
      <c r="AA880" s="6301"/>
      <c r="AB880" s="139"/>
      <c r="AC880" s="139"/>
      <c r="AD880" s="139"/>
      <c r="AE880" s="139"/>
      <c r="AF880" s="139"/>
      <c r="AG880" s="139"/>
      <c r="AH880" s="139"/>
      <c r="AI880" s="139"/>
      <c r="AJ880" s="139"/>
      <c r="AK880" s="139"/>
      <c r="AL880" s="139"/>
      <c r="AM880" s="139"/>
      <c r="AN880" s="139"/>
      <c r="AO880" s="139"/>
      <c r="AP880" s="139"/>
      <c r="AQ880" s="139"/>
      <c r="AR880" s="139"/>
      <c r="AS880" s="139"/>
      <c r="AT880" s="139"/>
      <c r="AU880" s="139"/>
      <c r="AV880" s="139"/>
      <c r="AW880" s="139"/>
      <c r="AX880" s="139"/>
      <c r="AY880" s="139"/>
      <c r="AZ880" s="139"/>
      <c r="BA880" s="139"/>
      <c r="BB880" s="139"/>
      <c r="BC880" s="139"/>
      <c r="BD880" s="139"/>
      <c r="BE880" s="139"/>
      <c r="BF880" s="139"/>
      <c r="BG880" s="139"/>
      <c r="BH880" s="139"/>
    </row>
    <row r="881" spans="2:60" s="11" customFormat="1" ht="20.100000000000001" customHeight="1">
      <c r="B881" s="1360"/>
      <c r="C881" s="5598"/>
      <c r="D881" s="9598" t="s">
        <v>633</v>
      </c>
      <c r="E881" s="9600"/>
      <c r="F881" s="285" t="s">
        <v>413</v>
      </c>
      <c r="G881" s="666"/>
      <c r="H881" s="684"/>
      <c r="I881" s="9582" t="s">
        <v>150</v>
      </c>
      <c r="J881" s="9583"/>
      <c r="K881" s="285" t="s">
        <v>413</v>
      </c>
      <c r="L881" s="5594"/>
      <c r="M881" s="516"/>
      <c r="N881" s="5601"/>
      <c r="O881" s="5601"/>
      <c r="P881" s="1814"/>
      <c r="Q881" s="5601"/>
      <c r="R881" s="2468"/>
      <c r="S881" s="544"/>
      <c r="T881" s="545"/>
      <c r="U881" s="546"/>
      <c r="V881" s="547"/>
      <c r="W881" s="299" t="s">
        <v>193</v>
      </c>
      <c r="X881" s="277"/>
      <c r="Y881" s="277"/>
      <c r="Z881" s="187"/>
      <c r="AA881" s="6301"/>
      <c r="AB881" s="139"/>
      <c r="AC881" s="139"/>
      <c r="AD881" s="139"/>
      <c r="AE881" s="139"/>
      <c r="AF881" s="139"/>
      <c r="AG881" s="139"/>
      <c r="AH881" s="139"/>
      <c r="AI881" s="139"/>
      <c r="AJ881" s="139"/>
      <c r="AK881" s="139"/>
      <c r="AL881" s="139"/>
      <c r="AM881" s="139"/>
      <c r="AN881" s="139"/>
      <c r="AO881" s="139"/>
      <c r="AP881" s="139"/>
      <c r="AQ881" s="139"/>
      <c r="AR881" s="139"/>
      <c r="AS881" s="139"/>
      <c r="AT881" s="139"/>
      <c r="AU881" s="139"/>
      <c r="AV881" s="139"/>
      <c r="AW881" s="139"/>
      <c r="AX881" s="139"/>
      <c r="AY881" s="139"/>
      <c r="AZ881" s="139"/>
      <c r="BA881" s="139"/>
      <c r="BB881" s="139"/>
      <c r="BC881" s="139"/>
      <c r="BD881" s="139"/>
      <c r="BE881" s="139"/>
      <c r="BF881" s="139"/>
      <c r="BG881" s="139"/>
      <c r="BH881" s="139"/>
    </row>
    <row r="882" spans="2:60" s="11" customFormat="1" ht="20.100000000000001" customHeight="1">
      <c r="B882" s="1360"/>
      <c r="C882" s="5598"/>
      <c r="D882" s="5615" t="s">
        <v>584</v>
      </c>
      <c r="E882" s="5616"/>
      <c r="F882" s="285" t="s">
        <v>413</v>
      </c>
      <c r="G882" s="666"/>
      <c r="H882" s="684"/>
      <c r="I882" s="9586" t="s">
        <v>609</v>
      </c>
      <c r="J882" s="9587"/>
      <c r="K882" s="285" t="s">
        <v>413</v>
      </c>
      <c r="L882" s="5653" t="str">
        <f>IF(COUNTBLANK(L883:L888)&gt;0,"미취합법인有",SUM(L883:L888))</f>
        <v>미취합법인有</v>
      </c>
      <c r="M882" s="5945"/>
      <c r="N882" s="5945" t="str">
        <f>IF(COUNTBLANK(N883:N888)&gt;0,"미취합법인有",SUM(N883:N888))</f>
        <v>미취합법인有</v>
      </c>
      <c r="O882" s="5945"/>
      <c r="P882" s="5946" t="str">
        <f>IF(COUNTBLANK(P883:P888)&gt;0,"미취합법인有",SUM(P883:P888))</f>
        <v>미취합법인有</v>
      </c>
      <c r="Q882" s="785"/>
      <c r="R882" s="2468"/>
      <c r="S882" s="276"/>
      <c r="T882" s="99" t="s">
        <v>189</v>
      </c>
      <c r="U882" s="547"/>
      <c r="V882" s="547"/>
      <c r="W882" s="299" t="s">
        <v>193</v>
      </c>
      <c r="X882" s="620" t="s">
        <v>607</v>
      </c>
      <c r="Y882" s="154"/>
      <c r="Z882" s="159"/>
      <c r="AA882" s="6305"/>
      <c r="AB882" s="139"/>
      <c r="AC882" s="139"/>
      <c r="AD882" s="139"/>
      <c r="AE882" s="139"/>
      <c r="AF882" s="139"/>
      <c r="AG882" s="139"/>
      <c r="AH882" s="139"/>
      <c r="AI882" s="139"/>
      <c r="AJ882" s="139"/>
      <c r="AK882" s="139"/>
      <c r="AL882" s="139"/>
      <c r="AM882" s="139"/>
      <c r="AN882" s="139"/>
      <c r="AO882" s="139"/>
      <c r="AP882" s="139"/>
      <c r="AQ882" s="139"/>
      <c r="AR882" s="139"/>
      <c r="AS882" s="139"/>
      <c r="AT882" s="139"/>
      <c r="AU882" s="139"/>
      <c r="AV882" s="139"/>
      <c r="AW882" s="139"/>
      <c r="AX882" s="139"/>
      <c r="AY882" s="139"/>
      <c r="AZ882" s="139"/>
      <c r="BA882" s="139"/>
      <c r="BB882" s="139"/>
      <c r="BC882" s="139"/>
      <c r="BD882" s="139"/>
      <c r="BE882" s="139"/>
      <c r="BF882" s="139"/>
      <c r="BG882" s="139"/>
      <c r="BH882" s="139"/>
    </row>
    <row r="883" spans="2:60" s="11" customFormat="1" ht="20.100000000000001" customHeight="1">
      <c r="B883" s="1360"/>
      <c r="C883" s="5598"/>
      <c r="D883" s="9598" t="s">
        <v>134</v>
      </c>
      <c r="E883" s="9600"/>
      <c r="F883" s="285" t="s">
        <v>413</v>
      </c>
      <c r="G883" s="666"/>
      <c r="H883" s="684"/>
      <c r="I883" s="9579" t="s">
        <v>135</v>
      </c>
      <c r="J883" s="9581"/>
      <c r="K883" s="285" t="s">
        <v>413</v>
      </c>
      <c r="L883" s="5594"/>
      <c r="M883" s="516" t="s">
        <v>369</v>
      </c>
      <c r="N883" s="5601"/>
      <c r="O883" s="5601" t="s">
        <v>369</v>
      </c>
      <c r="P883" s="1814"/>
      <c r="Q883" s="5601" t="s">
        <v>369</v>
      </c>
      <c r="R883" s="2468"/>
      <c r="S883" s="544"/>
      <c r="T883" s="545"/>
      <c r="U883" s="546"/>
      <c r="V883" s="547"/>
      <c r="W883" s="299" t="s">
        <v>193</v>
      </c>
      <c r="X883" s="277"/>
      <c r="Y883" s="277"/>
      <c r="Z883" s="187"/>
      <c r="AA883" s="6301"/>
      <c r="AB883" s="139"/>
      <c r="AC883" s="139"/>
      <c r="AD883" s="139"/>
      <c r="AE883" s="139"/>
      <c r="AF883" s="139"/>
      <c r="AG883" s="139"/>
      <c r="AH883" s="139"/>
      <c r="AI883" s="139"/>
      <c r="AJ883" s="139"/>
      <c r="AK883" s="139"/>
      <c r="AL883" s="139"/>
      <c r="AM883" s="139"/>
      <c r="AN883" s="139"/>
      <c r="AO883" s="139"/>
      <c r="AP883" s="139"/>
      <c r="AQ883" s="139"/>
      <c r="AR883" s="139"/>
      <c r="AS883" s="139"/>
      <c r="AT883" s="139"/>
      <c r="AU883" s="139"/>
      <c r="AV883" s="139"/>
      <c r="AW883" s="139"/>
      <c r="AX883" s="139"/>
      <c r="AY883" s="139"/>
      <c r="AZ883" s="139"/>
      <c r="BA883" s="139"/>
      <c r="BB883" s="139"/>
      <c r="BC883" s="139"/>
      <c r="BD883" s="139"/>
      <c r="BE883" s="139"/>
      <c r="BF883" s="139"/>
      <c r="BG883" s="139"/>
      <c r="BH883" s="139"/>
    </row>
    <row r="884" spans="2:60" s="11" customFormat="1" ht="20.100000000000001" customHeight="1">
      <c r="B884" s="1360"/>
      <c r="C884" s="5598"/>
      <c r="D884" s="9598" t="s">
        <v>137</v>
      </c>
      <c r="E884" s="9600"/>
      <c r="F884" s="285" t="s">
        <v>413</v>
      </c>
      <c r="G884" s="666"/>
      <c r="H884" s="684"/>
      <c r="I884" s="9579" t="s">
        <v>138</v>
      </c>
      <c r="J884" s="9581"/>
      <c r="K884" s="285" t="s">
        <v>413</v>
      </c>
      <c r="L884" s="5594"/>
      <c r="M884" s="516"/>
      <c r="N884" s="5601"/>
      <c r="O884" s="5601"/>
      <c r="P884" s="1814"/>
      <c r="Q884" s="5601"/>
      <c r="R884" s="2468"/>
      <c r="S884" s="544"/>
      <c r="T884" s="545"/>
      <c r="U884" s="546"/>
      <c r="V884" s="547"/>
      <c r="W884" s="299" t="s">
        <v>193</v>
      </c>
      <c r="X884" s="277"/>
      <c r="Y884" s="277"/>
      <c r="Z884" s="187"/>
      <c r="AA884" s="6301"/>
      <c r="AB884" s="139"/>
      <c r="AC884" s="139"/>
      <c r="AD884" s="139"/>
      <c r="AE884" s="139"/>
      <c r="AF884" s="139"/>
      <c r="AG884" s="139"/>
      <c r="AH884" s="139"/>
      <c r="AI884" s="139"/>
      <c r="AJ884" s="139"/>
      <c r="AK884" s="139"/>
      <c r="AL884" s="139"/>
      <c r="AM884" s="139"/>
      <c r="AN884" s="139"/>
      <c r="AO884" s="139"/>
      <c r="AP884" s="139"/>
      <c r="AQ884" s="139"/>
      <c r="AR884" s="139"/>
      <c r="AS884" s="139"/>
      <c r="AT884" s="139"/>
      <c r="AU884" s="139"/>
      <c r="AV884" s="139"/>
      <c r="AW884" s="139"/>
      <c r="AX884" s="139"/>
      <c r="AY884" s="139"/>
      <c r="AZ884" s="139"/>
      <c r="BA884" s="139"/>
      <c r="BB884" s="139"/>
      <c r="BC884" s="139"/>
      <c r="BD884" s="139"/>
      <c r="BE884" s="139"/>
      <c r="BF884" s="139"/>
      <c r="BG884" s="139"/>
      <c r="BH884" s="139"/>
    </row>
    <row r="885" spans="2:60" s="11" customFormat="1" ht="20.100000000000001" customHeight="1">
      <c r="B885" s="1360"/>
      <c r="C885" s="5598"/>
      <c r="D885" s="9598" t="s">
        <v>140</v>
      </c>
      <c r="E885" s="9600"/>
      <c r="F885" s="285" t="s">
        <v>413</v>
      </c>
      <c r="G885" s="666"/>
      <c r="H885" s="684"/>
      <c r="I885" s="9582" t="s">
        <v>141</v>
      </c>
      <c r="J885" s="9583"/>
      <c r="K885" s="285" t="s">
        <v>413</v>
      </c>
      <c r="L885" s="5594"/>
      <c r="M885" s="516"/>
      <c r="N885" s="5601"/>
      <c r="O885" s="5601"/>
      <c r="P885" s="1814"/>
      <c r="Q885" s="5601"/>
      <c r="R885" s="2468"/>
      <c r="S885" s="544"/>
      <c r="T885" s="545"/>
      <c r="U885" s="546"/>
      <c r="V885" s="547"/>
      <c r="W885" s="299" t="s">
        <v>193</v>
      </c>
      <c r="X885" s="277"/>
      <c r="Y885" s="277"/>
      <c r="Z885" s="187"/>
      <c r="AA885" s="6301"/>
      <c r="AB885" s="139"/>
      <c r="AC885" s="139"/>
      <c r="AD885" s="139"/>
      <c r="AE885" s="139"/>
      <c r="AF885" s="139"/>
      <c r="AG885" s="139"/>
      <c r="AH885" s="139"/>
      <c r="AI885" s="139"/>
      <c r="AJ885" s="139"/>
      <c r="AK885" s="139"/>
      <c r="AL885" s="139"/>
      <c r="AM885" s="139"/>
      <c r="AN885" s="139"/>
      <c r="AO885" s="139"/>
      <c r="AP885" s="139"/>
      <c r="AQ885" s="139"/>
      <c r="AR885" s="139"/>
      <c r="AS885" s="139"/>
      <c r="AT885" s="139"/>
      <c r="AU885" s="139"/>
      <c r="AV885" s="139"/>
      <c r="AW885" s="139"/>
      <c r="AX885" s="139"/>
      <c r="AY885" s="139"/>
      <c r="AZ885" s="139"/>
      <c r="BA885" s="139"/>
      <c r="BB885" s="139"/>
      <c r="BC885" s="139"/>
      <c r="BD885" s="139"/>
      <c r="BE885" s="139"/>
      <c r="BF885" s="139"/>
      <c r="BG885" s="139"/>
      <c r="BH885" s="139"/>
    </row>
    <row r="886" spans="2:60" s="11" customFormat="1" ht="20.100000000000001" customHeight="1">
      <c r="B886" s="1360"/>
      <c r="C886" s="5598"/>
      <c r="D886" s="9598" t="s">
        <v>143</v>
      </c>
      <c r="E886" s="9600"/>
      <c r="F886" s="285" t="s">
        <v>413</v>
      </c>
      <c r="G886" s="666"/>
      <c r="H886" s="684"/>
      <c r="I886" s="9582" t="s">
        <v>144</v>
      </c>
      <c r="J886" s="9583"/>
      <c r="K886" s="285" t="s">
        <v>413</v>
      </c>
      <c r="L886" s="5594"/>
      <c r="M886" s="516"/>
      <c r="N886" s="5601"/>
      <c r="O886" s="5601"/>
      <c r="P886" s="1814"/>
      <c r="Q886" s="5601"/>
      <c r="R886" s="2468"/>
      <c r="S886" s="544"/>
      <c r="T886" s="545"/>
      <c r="U886" s="546"/>
      <c r="V886" s="547"/>
      <c r="W886" s="299" t="s">
        <v>193</v>
      </c>
      <c r="X886" s="277"/>
      <c r="Y886" s="277"/>
      <c r="Z886" s="187"/>
      <c r="AA886" s="6301"/>
      <c r="AB886" s="139"/>
      <c r="AC886" s="139"/>
      <c r="AD886" s="139"/>
      <c r="AE886" s="139"/>
      <c r="AF886" s="139"/>
      <c r="AG886" s="139"/>
      <c r="AH886" s="139"/>
      <c r="AI886" s="139"/>
      <c r="AJ886" s="139"/>
      <c r="AK886" s="139"/>
      <c r="AL886" s="139"/>
      <c r="AM886" s="139"/>
      <c r="AN886" s="139"/>
      <c r="AO886" s="139"/>
      <c r="AP886" s="139"/>
      <c r="AQ886" s="139"/>
      <c r="AR886" s="139"/>
      <c r="AS886" s="139"/>
      <c r="AT886" s="139"/>
      <c r="AU886" s="139"/>
      <c r="AV886" s="139"/>
      <c r="AW886" s="139"/>
      <c r="AX886" s="139"/>
      <c r="AY886" s="139"/>
      <c r="AZ886" s="139"/>
      <c r="BA886" s="139"/>
      <c r="BB886" s="139"/>
      <c r="BC886" s="139"/>
      <c r="BD886" s="139"/>
      <c r="BE886" s="139"/>
      <c r="BF886" s="139"/>
      <c r="BG886" s="139"/>
      <c r="BH886" s="139"/>
    </row>
    <row r="887" spans="2:60" s="11" customFormat="1" ht="20.100000000000001" customHeight="1">
      <c r="B887" s="1360"/>
      <c r="C887" s="5598"/>
      <c r="D887" s="9598" t="s">
        <v>631</v>
      </c>
      <c r="E887" s="9600"/>
      <c r="F887" s="285" t="s">
        <v>413</v>
      </c>
      <c r="G887" s="666"/>
      <c r="H887" s="684"/>
      <c r="I887" s="9582" t="s">
        <v>147</v>
      </c>
      <c r="J887" s="9583"/>
      <c r="K887" s="285" t="s">
        <v>413</v>
      </c>
      <c r="L887" s="5967" t="s">
        <v>168</v>
      </c>
      <c r="M887" s="5948" t="s">
        <v>641</v>
      </c>
      <c r="N887" s="5948" t="s">
        <v>168</v>
      </c>
      <c r="O887" s="5948" t="s">
        <v>641</v>
      </c>
      <c r="P887" s="5948" t="s">
        <v>168</v>
      </c>
      <c r="Q887" s="5948" t="s">
        <v>641</v>
      </c>
      <c r="R887" s="2468"/>
      <c r="S887" s="544"/>
      <c r="T887" s="545"/>
      <c r="U887" s="546"/>
      <c r="V887" s="547"/>
      <c r="W887" s="299" t="s">
        <v>193</v>
      </c>
      <c r="X887" s="277"/>
      <c r="Y887" s="277"/>
      <c r="Z887" s="187"/>
      <c r="AA887" s="6301"/>
      <c r="AB887" s="139"/>
      <c r="AC887" s="139"/>
      <c r="AD887" s="139"/>
      <c r="AE887" s="139"/>
      <c r="AF887" s="139"/>
      <c r="AG887" s="139"/>
      <c r="AH887" s="139"/>
      <c r="AI887" s="139"/>
      <c r="AJ887" s="139"/>
      <c r="AK887" s="139"/>
      <c r="AL887" s="139"/>
      <c r="AM887" s="139"/>
      <c r="AN887" s="139"/>
      <c r="AO887" s="139"/>
      <c r="AP887" s="139"/>
      <c r="AQ887" s="139"/>
      <c r="AR887" s="139"/>
      <c r="AS887" s="139"/>
      <c r="AT887" s="139"/>
      <c r="AU887" s="139"/>
      <c r="AV887" s="139"/>
      <c r="AW887" s="139"/>
      <c r="AX887" s="139"/>
      <c r="AY887" s="139"/>
      <c r="AZ887" s="139"/>
      <c r="BA887" s="139"/>
      <c r="BB887" s="139"/>
      <c r="BC887" s="139"/>
      <c r="BD887" s="139"/>
      <c r="BE887" s="139"/>
      <c r="BF887" s="139"/>
      <c r="BG887" s="139"/>
      <c r="BH887" s="139"/>
    </row>
    <row r="888" spans="2:60" s="11" customFormat="1" ht="20.100000000000001" customHeight="1">
      <c r="B888" s="1360"/>
      <c r="C888" s="5598"/>
      <c r="D888" s="9598" t="s">
        <v>633</v>
      </c>
      <c r="E888" s="9600"/>
      <c r="F888" s="285" t="s">
        <v>413</v>
      </c>
      <c r="G888" s="666"/>
      <c r="H888" s="684"/>
      <c r="I888" s="9582" t="s">
        <v>150</v>
      </c>
      <c r="J888" s="9583"/>
      <c r="K888" s="285" t="s">
        <v>413</v>
      </c>
      <c r="L888" s="5594"/>
      <c r="M888" s="516"/>
      <c r="N888" s="5601"/>
      <c r="O888" s="5601"/>
      <c r="P888" s="1814"/>
      <c r="Q888" s="5601"/>
      <c r="R888" s="2468"/>
      <c r="S888" s="544"/>
      <c r="T888" s="545"/>
      <c r="U888" s="546"/>
      <c r="V888" s="547"/>
      <c r="W888" s="299" t="s">
        <v>193</v>
      </c>
      <c r="X888" s="277"/>
      <c r="Y888" s="277"/>
      <c r="Z888" s="187"/>
      <c r="AA888" s="6301"/>
      <c r="AB888" s="139"/>
      <c r="AC888" s="139"/>
      <c r="AD888" s="139"/>
      <c r="AE888" s="139"/>
      <c r="AF888" s="139"/>
      <c r="AG888" s="139"/>
      <c r="AH888" s="139"/>
      <c r="AI888" s="139"/>
      <c r="AJ888" s="139"/>
      <c r="AK888" s="139"/>
      <c r="AL888" s="139"/>
      <c r="AM888" s="139"/>
      <c r="AN888" s="139"/>
      <c r="AO888" s="139"/>
      <c r="AP888" s="139"/>
      <c r="AQ888" s="139"/>
      <c r="AR888" s="139"/>
      <c r="AS888" s="139"/>
      <c r="AT888" s="139"/>
      <c r="AU888" s="139"/>
      <c r="AV888" s="139"/>
      <c r="AW888" s="139"/>
      <c r="AX888" s="139"/>
      <c r="AY888" s="139"/>
      <c r="AZ888" s="139"/>
      <c r="BA888" s="139"/>
      <c r="BB888" s="139"/>
      <c r="BC888" s="139"/>
      <c r="BD888" s="139"/>
      <c r="BE888" s="139"/>
      <c r="BF888" s="139"/>
      <c r="BG888" s="139"/>
      <c r="BH888" s="139"/>
    </row>
    <row r="889" spans="2:60" s="11" customFormat="1" ht="20.100000000000001" customHeight="1">
      <c r="B889" s="1360"/>
      <c r="C889" s="5598"/>
      <c r="D889" s="5615" t="s">
        <v>586</v>
      </c>
      <c r="E889" s="5616"/>
      <c r="F889" s="285" t="s">
        <v>413</v>
      </c>
      <c r="G889" s="666"/>
      <c r="H889" s="684"/>
      <c r="I889" s="9586" t="s">
        <v>610</v>
      </c>
      <c r="J889" s="9587"/>
      <c r="K889" s="285" t="s">
        <v>413</v>
      </c>
      <c r="L889" s="5653" t="str">
        <f>IF(COUNTBLANK(L890:L895)&gt;0,"미취합법인有",SUM(L890:L895))</f>
        <v>미취합법인有</v>
      </c>
      <c r="M889" s="5945"/>
      <c r="N889" s="5945" t="str">
        <f>IF(COUNTBLANK(N890:N895)&gt;0,"미취합법인有",SUM(N890:N895))</f>
        <v>미취합법인有</v>
      </c>
      <c r="O889" s="5945"/>
      <c r="P889" s="5946" t="str">
        <f>IF(COUNTBLANK(P890:P895)&gt;0,"미취합법인有",SUM(P890:P895))</f>
        <v>미취합법인有</v>
      </c>
      <c r="Q889" s="785"/>
      <c r="R889" s="2468"/>
      <c r="S889" s="276"/>
      <c r="T889" s="99" t="s">
        <v>189</v>
      </c>
      <c r="U889" s="547"/>
      <c r="V889" s="547"/>
      <c r="W889" s="299" t="s">
        <v>193</v>
      </c>
      <c r="X889" s="620" t="s">
        <v>607</v>
      </c>
      <c r="Y889" s="154"/>
      <c r="Z889" s="159"/>
      <c r="AA889" s="6305"/>
      <c r="AB889" s="139"/>
      <c r="AC889" s="139"/>
      <c r="AD889" s="139"/>
      <c r="AE889" s="139"/>
      <c r="AF889" s="139"/>
      <c r="AG889" s="139"/>
      <c r="AH889" s="139"/>
      <c r="AI889" s="139"/>
      <c r="AJ889" s="139"/>
      <c r="AK889" s="139"/>
      <c r="AL889" s="139"/>
      <c r="AM889" s="139"/>
      <c r="AN889" s="139"/>
      <c r="AO889" s="139"/>
      <c r="AP889" s="139"/>
      <c r="AQ889" s="139"/>
      <c r="AR889" s="139"/>
      <c r="AS889" s="139"/>
      <c r="AT889" s="139"/>
      <c r="AU889" s="139"/>
      <c r="AV889" s="139"/>
      <c r="AW889" s="139"/>
      <c r="AX889" s="139"/>
      <c r="AY889" s="139"/>
      <c r="AZ889" s="139"/>
      <c r="BA889" s="139"/>
      <c r="BB889" s="139"/>
      <c r="BC889" s="139"/>
      <c r="BD889" s="139"/>
      <c r="BE889" s="139"/>
      <c r="BF889" s="139"/>
      <c r="BG889" s="139"/>
      <c r="BH889" s="139"/>
    </row>
    <row r="890" spans="2:60" s="11" customFormat="1" ht="20.100000000000001" customHeight="1">
      <c r="B890" s="1360"/>
      <c r="C890" s="5598"/>
      <c r="D890" s="9598" t="s">
        <v>134</v>
      </c>
      <c r="E890" s="9600"/>
      <c r="F890" s="285" t="s">
        <v>413</v>
      </c>
      <c r="G890" s="666"/>
      <c r="H890" s="684"/>
      <c r="I890" s="9579" t="s">
        <v>135</v>
      </c>
      <c r="J890" s="9581"/>
      <c r="K890" s="285" t="s">
        <v>413</v>
      </c>
      <c r="L890" s="5594"/>
      <c r="M890" s="516" t="s">
        <v>369</v>
      </c>
      <c r="N890" s="5601"/>
      <c r="O890" s="5601" t="s">
        <v>369</v>
      </c>
      <c r="P890" s="1814"/>
      <c r="Q890" s="5601" t="s">
        <v>369</v>
      </c>
      <c r="R890" s="2468"/>
      <c r="S890" s="544"/>
      <c r="T890" s="545"/>
      <c r="U890" s="546"/>
      <c r="V890" s="547"/>
      <c r="W890" s="299" t="s">
        <v>193</v>
      </c>
      <c r="X890" s="277"/>
      <c r="Y890" s="277"/>
      <c r="Z890" s="187"/>
      <c r="AA890" s="6301"/>
      <c r="AB890" s="139"/>
      <c r="AC890" s="139"/>
      <c r="AD890" s="139"/>
      <c r="AE890" s="139"/>
      <c r="AF890" s="139"/>
      <c r="AG890" s="139"/>
      <c r="AH890" s="139"/>
      <c r="AI890" s="139"/>
      <c r="AJ890" s="139"/>
      <c r="AK890" s="139"/>
      <c r="AL890" s="139"/>
      <c r="AM890" s="139"/>
      <c r="AN890" s="139"/>
      <c r="AO890" s="139"/>
      <c r="AP890" s="139"/>
      <c r="AQ890" s="139"/>
      <c r="AR890" s="139"/>
      <c r="AS890" s="139"/>
      <c r="AT890" s="139"/>
      <c r="AU890" s="139"/>
      <c r="AV890" s="139"/>
      <c r="AW890" s="139"/>
      <c r="AX890" s="139"/>
      <c r="AY890" s="139"/>
      <c r="AZ890" s="139"/>
      <c r="BA890" s="139"/>
      <c r="BB890" s="139"/>
      <c r="BC890" s="139"/>
      <c r="BD890" s="139"/>
      <c r="BE890" s="139"/>
      <c r="BF890" s="139"/>
      <c r="BG890" s="139"/>
      <c r="BH890" s="139"/>
    </row>
    <row r="891" spans="2:60" s="11" customFormat="1" ht="20.100000000000001" customHeight="1">
      <c r="B891" s="1360"/>
      <c r="C891" s="5598"/>
      <c r="D891" s="9598" t="s">
        <v>137</v>
      </c>
      <c r="E891" s="9600"/>
      <c r="F891" s="285" t="s">
        <v>413</v>
      </c>
      <c r="G891" s="666"/>
      <c r="H891" s="684"/>
      <c r="I891" s="9579" t="s">
        <v>138</v>
      </c>
      <c r="J891" s="9581"/>
      <c r="K891" s="285" t="s">
        <v>413</v>
      </c>
      <c r="L891" s="5594"/>
      <c r="M891" s="516"/>
      <c r="N891" s="5601"/>
      <c r="O891" s="5601"/>
      <c r="P891" s="1814"/>
      <c r="Q891" s="5601"/>
      <c r="R891" s="2468"/>
      <c r="S891" s="544"/>
      <c r="T891" s="545"/>
      <c r="U891" s="546"/>
      <c r="V891" s="547"/>
      <c r="W891" s="299" t="s">
        <v>193</v>
      </c>
      <c r="X891" s="277"/>
      <c r="Y891" s="277"/>
      <c r="Z891" s="187"/>
      <c r="AA891" s="6301"/>
      <c r="AB891" s="139"/>
      <c r="AC891" s="139"/>
      <c r="AD891" s="139"/>
      <c r="AE891" s="139"/>
      <c r="AF891" s="139"/>
      <c r="AG891" s="139"/>
      <c r="AH891" s="139"/>
      <c r="AI891" s="139"/>
      <c r="AJ891" s="139"/>
      <c r="AK891" s="139"/>
      <c r="AL891" s="139"/>
      <c r="AM891" s="139"/>
      <c r="AN891" s="139"/>
      <c r="AO891" s="139"/>
      <c r="AP891" s="139"/>
      <c r="AQ891" s="139"/>
      <c r="AR891" s="139"/>
      <c r="AS891" s="139"/>
      <c r="AT891" s="139"/>
      <c r="AU891" s="139"/>
      <c r="AV891" s="139"/>
      <c r="AW891" s="139"/>
      <c r="AX891" s="139"/>
      <c r="AY891" s="139"/>
      <c r="AZ891" s="139"/>
      <c r="BA891" s="139"/>
      <c r="BB891" s="139"/>
      <c r="BC891" s="139"/>
      <c r="BD891" s="139"/>
      <c r="BE891" s="139"/>
      <c r="BF891" s="139"/>
      <c r="BG891" s="139"/>
      <c r="BH891" s="139"/>
    </row>
    <row r="892" spans="2:60" s="11" customFormat="1" ht="20.100000000000001" customHeight="1">
      <c r="B892" s="1360"/>
      <c r="C892" s="5598"/>
      <c r="D892" s="9598" t="s">
        <v>140</v>
      </c>
      <c r="E892" s="9600"/>
      <c r="F892" s="285" t="s">
        <v>413</v>
      </c>
      <c r="G892" s="666"/>
      <c r="H892" s="684"/>
      <c r="I892" s="9582" t="s">
        <v>141</v>
      </c>
      <c r="J892" s="9583"/>
      <c r="K892" s="285" t="s">
        <v>413</v>
      </c>
      <c r="L892" s="5594"/>
      <c r="M892" s="516"/>
      <c r="N892" s="5601"/>
      <c r="O892" s="5601"/>
      <c r="P892" s="1814"/>
      <c r="Q892" s="5601"/>
      <c r="R892" s="2468"/>
      <c r="S892" s="544"/>
      <c r="T892" s="545"/>
      <c r="U892" s="546"/>
      <c r="V892" s="547"/>
      <c r="W892" s="299" t="s">
        <v>193</v>
      </c>
      <c r="X892" s="277"/>
      <c r="Y892" s="277"/>
      <c r="Z892" s="187"/>
      <c r="AA892" s="6301"/>
      <c r="AB892" s="139"/>
      <c r="AC892" s="139"/>
      <c r="AD892" s="139"/>
      <c r="AE892" s="139"/>
      <c r="AF892" s="139"/>
      <c r="AG892" s="139"/>
      <c r="AH892" s="139"/>
      <c r="AI892" s="139"/>
      <c r="AJ892" s="139"/>
      <c r="AK892" s="139"/>
      <c r="AL892" s="139"/>
      <c r="AM892" s="139"/>
      <c r="AN892" s="139"/>
      <c r="AO892" s="139"/>
      <c r="AP892" s="139"/>
      <c r="AQ892" s="139"/>
      <c r="AR892" s="139"/>
      <c r="AS892" s="139"/>
      <c r="AT892" s="139"/>
      <c r="AU892" s="139"/>
      <c r="AV892" s="139"/>
      <c r="AW892" s="139"/>
      <c r="AX892" s="139"/>
      <c r="AY892" s="139"/>
      <c r="AZ892" s="139"/>
      <c r="BA892" s="139"/>
      <c r="BB892" s="139"/>
      <c r="BC892" s="139"/>
      <c r="BD892" s="139"/>
      <c r="BE892" s="139"/>
      <c r="BF892" s="139"/>
      <c r="BG892" s="139"/>
      <c r="BH892" s="139"/>
    </row>
    <row r="893" spans="2:60" s="11" customFormat="1" ht="20.100000000000001" customHeight="1">
      <c r="B893" s="1360"/>
      <c r="C893" s="5598"/>
      <c r="D893" s="9598" t="s">
        <v>143</v>
      </c>
      <c r="E893" s="9600"/>
      <c r="F893" s="285" t="s">
        <v>413</v>
      </c>
      <c r="G893" s="666"/>
      <c r="H893" s="684"/>
      <c r="I893" s="9582" t="s">
        <v>144</v>
      </c>
      <c r="J893" s="9583"/>
      <c r="K893" s="285" t="s">
        <v>413</v>
      </c>
      <c r="L893" s="5594"/>
      <c r="M893" s="516"/>
      <c r="N893" s="5601"/>
      <c r="O893" s="5601"/>
      <c r="P893" s="1814"/>
      <c r="Q893" s="5601"/>
      <c r="R893" s="2468"/>
      <c r="S893" s="544"/>
      <c r="T893" s="545"/>
      <c r="U893" s="546"/>
      <c r="V893" s="547"/>
      <c r="W893" s="299" t="s">
        <v>193</v>
      </c>
      <c r="X893" s="277"/>
      <c r="Y893" s="277"/>
      <c r="Z893" s="187"/>
      <c r="AA893" s="6301"/>
      <c r="AB893" s="139"/>
      <c r="AC893" s="139"/>
      <c r="AD893" s="139"/>
      <c r="AE893" s="139"/>
      <c r="AF893" s="139"/>
      <c r="AG893" s="139"/>
      <c r="AH893" s="139"/>
      <c r="AI893" s="139"/>
      <c r="AJ893" s="139"/>
      <c r="AK893" s="139"/>
      <c r="AL893" s="139"/>
      <c r="AM893" s="139"/>
      <c r="AN893" s="139"/>
      <c r="AO893" s="139"/>
      <c r="AP893" s="139"/>
      <c r="AQ893" s="139"/>
      <c r="AR893" s="139"/>
      <c r="AS893" s="139"/>
      <c r="AT893" s="139"/>
      <c r="AU893" s="139"/>
      <c r="AV893" s="139"/>
      <c r="AW893" s="139"/>
      <c r="AX893" s="139"/>
      <c r="AY893" s="139"/>
      <c r="AZ893" s="139"/>
      <c r="BA893" s="139"/>
      <c r="BB893" s="139"/>
      <c r="BC893" s="139"/>
      <c r="BD893" s="139"/>
      <c r="BE893" s="139"/>
      <c r="BF893" s="139"/>
      <c r="BG893" s="139"/>
      <c r="BH893" s="139"/>
    </row>
    <row r="894" spans="2:60" s="11" customFormat="1" ht="20.100000000000001" customHeight="1">
      <c r="B894" s="1360"/>
      <c r="C894" s="5598"/>
      <c r="D894" s="9598" t="s">
        <v>631</v>
      </c>
      <c r="E894" s="9600"/>
      <c r="F894" s="285" t="s">
        <v>413</v>
      </c>
      <c r="G894" s="666"/>
      <c r="H894" s="684"/>
      <c r="I894" s="9582" t="s">
        <v>147</v>
      </c>
      <c r="J894" s="9583"/>
      <c r="K894" s="285" t="s">
        <v>413</v>
      </c>
      <c r="L894" s="5967" t="s">
        <v>168</v>
      </c>
      <c r="M894" s="5948" t="s">
        <v>641</v>
      </c>
      <c r="N894" s="5948" t="s">
        <v>168</v>
      </c>
      <c r="O894" s="5948" t="s">
        <v>641</v>
      </c>
      <c r="P894" s="5948" t="s">
        <v>168</v>
      </c>
      <c r="Q894" s="5948" t="s">
        <v>641</v>
      </c>
      <c r="R894" s="2468"/>
      <c r="S894" s="544"/>
      <c r="T894" s="545"/>
      <c r="U894" s="546"/>
      <c r="V894" s="547"/>
      <c r="W894" s="299" t="s">
        <v>193</v>
      </c>
      <c r="X894" s="277"/>
      <c r="Y894" s="277"/>
      <c r="Z894" s="187"/>
      <c r="AA894" s="6301"/>
      <c r="AB894" s="139"/>
      <c r="AC894" s="139"/>
      <c r="AD894" s="139"/>
      <c r="AE894" s="139"/>
      <c r="AF894" s="139"/>
      <c r="AG894" s="139"/>
      <c r="AH894" s="139"/>
      <c r="AI894" s="139"/>
      <c r="AJ894" s="139"/>
      <c r="AK894" s="139"/>
      <c r="AL894" s="139"/>
      <c r="AM894" s="139"/>
      <c r="AN894" s="139"/>
      <c r="AO894" s="139"/>
      <c r="AP894" s="139"/>
      <c r="AQ894" s="139"/>
      <c r="AR894" s="139"/>
      <c r="AS894" s="139"/>
      <c r="AT894" s="139"/>
      <c r="AU894" s="139"/>
      <c r="AV894" s="139"/>
      <c r="AW894" s="139"/>
      <c r="AX894" s="139"/>
      <c r="AY894" s="139"/>
      <c r="AZ894" s="139"/>
      <c r="BA894" s="139"/>
      <c r="BB894" s="139"/>
      <c r="BC894" s="139"/>
      <c r="BD894" s="139"/>
      <c r="BE894" s="139"/>
      <c r="BF894" s="139"/>
      <c r="BG894" s="139"/>
      <c r="BH894" s="139"/>
    </row>
    <row r="895" spans="2:60" s="11" customFormat="1" ht="20.100000000000001" customHeight="1">
      <c r="B895" s="1360"/>
      <c r="C895" s="5598"/>
      <c r="D895" s="9598" t="s">
        <v>633</v>
      </c>
      <c r="E895" s="9600"/>
      <c r="F895" s="285" t="s">
        <v>413</v>
      </c>
      <c r="G895" s="666"/>
      <c r="H895" s="684"/>
      <c r="I895" s="9582" t="s">
        <v>150</v>
      </c>
      <c r="J895" s="9583"/>
      <c r="K895" s="285" t="s">
        <v>413</v>
      </c>
      <c r="L895" s="5594"/>
      <c r="M895" s="516"/>
      <c r="N895" s="5601"/>
      <c r="O895" s="5601"/>
      <c r="P895" s="1814"/>
      <c r="Q895" s="5601"/>
      <c r="R895" s="2468"/>
      <c r="S895" s="544"/>
      <c r="T895" s="545"/>
      <c r="U895" s="546"/>
      <c r="V895" s="547"/>
      <c r="W895" s="299" t="s">
        <v>193</v>
      </c>
      <c r="X895" s="277"/>
      <c r="Y895" s="277"/>
      <c r="Z895" s="187"/>
      <c r="AA895" s="6301"/>
      <c r="AB895" s="139"/>
      <c r="AC895" s="139"/>
      <c r="AD895" s="139"/>
      <c r="AE895" s="139"/>
      <c r="AF895" s="139"/>
      <c r="AG895" s="139"/>
      <c r="AH895" s="139"/>
      <c r="AI895" s="139"/>
      <c r="AJ895" s="139"/>
      <c r="AK895" s="139"/>
      <c r="AL895" s="139"/>
      <c r="AM895" s="139"/>
      <c r="AN895" s="139"/>
      <c r="AO895" s="139"/>
      <c r="AP895" s="139"/>
      <c r="AQ895" s="139"/>
      <c r="AR895" s="139"/>
      <c r="AS895" s="139"/>
      <c r="AT895" s="139"/>
      <c r="AU895" s="139"/>
      <c r="AV895" s="139"/>
      <c r="AW895" s="139"/>
      <c r="AX895" s="139"/>
      <c r="AY895" s="139"/>
      <c r="AZ895" s="139"/>
      <c r="BA895" s="139"/>
      <c r="BB895" s="139"/>
      <c r="BC895" s="139"/>
      <c r="BD895" s="139"/>
      <c r="BE895" s="139"/>
      <c r="BF895" s="139"/>
      <c r="BG895" s="139"/>
      <c r="BH895" s="139"/>
    </row>
    <row r="896" spans="2:60" s="11" customFormat="1" ht="20.100000000000001" customHeight="1">
      <c r="B896" s="1360"/>
      <c r="C896" s="5598"/>
      <c r="D896" s="5615" t="s">
        <v>588</v>
      </c>
      <c r="E896" s="5616"/>
      <c r="F896" s="285" t="s">
        <v>413</v>
      </c>
      <c r="G896" s="666"/>
      <c r="H896" s="684"/>
      <c r="I896" s="9586" t="s">
        <v>611</v>
      </c>
      <c r="J896" s="9587"/>
      <c r="K896" s="285" t="s">
        <v>413</v>
      </c>
      <c r="L896" s="5653" t="str">
        <f>IF(COUNTBLANK(L897:L902)&gt;0,"미취합법인有",SUM(L897:L902))</f>
        <v>미취합법인有</v>
      </c>
      <c r="M896" s="5945"/>
      <c r="N896" s="5945" t="str">
        <f>IF(COUNTBLANK(N897:N902)&gt;0,"미취합법인有",SUM(N897:N902))</f>
        <v>미취합법인有</v>
      </c>
      <c r="O896" s="5945"/>
      <c r="P896" s="5946" t="str">
        <f>IF(COUNTBLANK(P897:P902)&gt;0,"미취합법인有",SUM(P897:P902))</f>
        <v>미취합법인有</v>
      </c>
      <c r="Q896" s="785"/>
      <c r="R896" s="2468"/>
      <c r="S896" s="276"/>
      <c r="T896" s="99" t="s">
        <v>189</v>
      </c>
      <c r="U896" s="547"/>
      <c r="V896" s="547"/>
      <c r="W896" s="299" t="s">
        <v>193</v>
      </c>
      <c r="X896" s="620" t="s">
        <v>607</v>
      </c>
      <c r="Y896" s="154"/>
      <c r="Z896" s="159"/>
      <c r="AA896" s="6305"/>
      <c r="AB896" s="139"/>
      <c r="AC896" s="139"/>
      <c r="AD896" s="139"/>
      <c r="AE896" s="139"/>
      <c r="AF896" s="139"/>
      <c r="AG896" s="139"/>
      <c r="AH896" s="139"/>
      <c r="AI896" s="139"/>
      <c r="AJ896" s="139"/>
      <c r="AK896" s="139"/>
      <c r="AL896" s="139"/>
      <c r="AM896" s="139"/>
      <c r="AN896" s="139"/>
      <c r="AO896" s="139"/>
      <c r="AP896" s="139"/>
      <c r="AQ896" s="139"/>
      <c r="AR896" s="139"/>
      <c r="AS896" s="139"/>
      <c r="AT896" s="139"/>
      <c r="AU896" s="139"/>
      <c r="AV896" s="139"/>
      <c r="AW896" s="139"/>
      <c r="AX896" s="139"/>
      <c r="AY896" s="139"/>
      <c r="AZ896" s="139"/>
      <c r="BA896" s="139"/>
      <c r="BB896" s="139"/>
      <c r="BC896" s="139"/>
      <c r="BD896" s="139"/>
      <c r="BE896" s="139"/>
      <c r="BF896" s="139"/>
      <c r="BG896" s="139"/>
      <c r="BH896" s="139"/>
    </row>
    <row r="897" spans="2:60" s="11" customFormat="1" ht="20.100000000000001" customHeight="1">
      <c r="B897" s="1360"/>
      <c r="C897" s="5598"/>
      <c r="D897" s="9598" t="s">
        <v>134</v>
      </c>
      <c r="E897" s="9600"/>
      <c r="F897" s="285" t="s">
        <v>413</v>
      </c>
      <c r="G897" s="666"/>
      <c r="H897" s="684"/>
      <c r="I897" s="9579" t="s">
        <v>135</v>
      </c>
      <c r="J897" s="9581"/>
      <c r="K897" s="285" t="s">
        <v>413</v>
      </c>
      <c r="L897" s="5594"/>
      <c r="M897" s="516" t="s">
        <v>369</v>
      </c>
      <c r="N897" s="5601"/>
      <c r="O897" s="5601" t="s">
        <v>369</v>
      </c>
      <c r="P897" s="1814"/>
      <c r="Q897" s="5601" t="s">
        <v>369</v>
      </c>
      <c r="R897" s="2468"/>
      <c r="S897" s="544"/>
      <c r="T897" s="545"/>
      <c r="U897" s="546"/>
      <c r="V897" s="547"/>
      <c r="W897" s="299" t="s">
        <v>193</v>
      </c>
      <c r="X897" s="277"/>
      <c r="Y897" s="277"/>
      <c r="Z897" s="187"/>
      <c r="AA897" s="6301"/>
      <c r="AB897" s="139"/>
      <c r="AC897" s="139"/>
      <c r="AD897" s="139"/>
      <c r="AE897" s="139"/>
      <c r="AF897" s="139"/>
      <c r="AG897" s="139"/>
      <c r="AH897" s="139"/>
      <c r="AI897" s="139"/>
      <c r="AJ897" s="139"/>
      <c r="AK897" s="139"/>
      <c r="AL897" s="139"/>
      <c r="AM897" s="139"/>
      <c r="AN897" s="139"/>
      <c r="AO897" s="139"/>
      <c r="AP897" s="139"/>
      <c r="AQ897" s="139"/>
      <c r="AR897" s="139"/>
      <c r="AS897" s="139"/>
      <c r="AT897" s="139"/>
      <c r="AU897" s="139"/>
      <c r="AV897" s="139"/>
      <c r="AW897" s="139"/>
      <c r="AX897" s="139"/>
      <c r="AY897" s="139"/>
      <c r="AZ897" s="139"/>
      <c r="BA897" s="139"/>
      <c r="BB897" s="139"/>
      <c r="BC897" s="139"/>
      <c r="BD897" s="139"/>
      <c r="BE897" s="139"/>
      <c r="BF897" s="139"/>
      <c r="BG897" s="139"/>
      <c r="BH897" s="139"/>
    </row>
    <row r="898" spans="2:60" s="11" customFormat="1" ht="20.100000000000001" customHeight="1">
      <c r="B898" s="1360"/>
      <c r="C898" s="5598"/>
      <c r="D898" s="9598" t="s">
        <v>137</v>
      </c>
      <c r="E898" s="9600"/>
      <c r="F898" s="285" t="s">
        <v>413</v>
      </c>
      <c r="G898" s="666"/>
      <c r="H898" s="684"/>
      <c r="I898" s="9579" t="s">
        <v>138</v>
      </c>
      <c r="J898" s="9581"/>
      <c r="K898" s="285" t="s">
        <v>413</v>
      </c>
      <c r="L898" s="5594"/>
      <c r="M898" s="516"/>
      <c r="N898" s="5601"/>
      <c r="O898" s="5601"/>
      <c r="P898" s="1814"/>
      <c r="Q898" s="5601"/>
      <c r="R898" s="2468"/>
      <c r="S898" s="544"/>
      <c r="T898" s="545"/>
      <c r="U898" s="546"/>
      <c r="V898" s="547"/>
      <c r="W898" s="299" t="s">
        <v>193</v>
      </c>
      <c r="X898" s="277"/>
      <c r="Y898" s="277"/>
      <c r="Z898" s="187"/>
      <c r="AA898" s="6301"/>
      <c r="AB898" s="139"/>
      <c r="AC898" s="139"/>
      <c r="AD898" s="139"/>
      <c r="AE898" s="139"/>
      <c r="AF898" s="139"/>
      <c r="AG898" s="139"/>
      <c r="AH898" s="139"/>
      <c r="AI898" s="139"/>
      <c r="AJ898" s="139"/>
      <c r="AK898" s="139"/>
      <c r="AL898" s="139"/>
      <c r="AM898" s="139"/>
      <c r="AN898" s="139"/>
      <c r="AO898" s="139"/>
      <c r="AP898" s="139"/>
      <c r="AQ898" s="139"/>
      <c r="AR898" s="139"/>
      <c r="AS898" s="139"/>
      <c r="AT898" s="139"/>
      <c r="AU898" s="139"/>
      <c r="AV898" s="139"/>
      <c r="AW898" s="139"/>
      <c r="AX898" s="139"/>
      <c r="AY898" s="139"/>
      <c r="AZ898" s="139"/>
      <c r="BA898" s="139"/>
      <c r="BB898" s="139"/>
      <c r="BC898" s="139"/>
      <c r="BD898" s="139"/>
      <c r="BE898" s="139"/>
      <c r="BF898" s="139"/>
      <c r="BG898" s="139"/>
      <c r="BH898" s="139"/>
    </row>
    <row r="899" spans="2:60" s="11" customFormat="1" ht="20.100000000000001" customHeight="1">
      <c r="B899" s="1360"/>
      <c r="C899" s="5598"/>
      <c r="D899" s="9598" t="s">
        <v>140</v>
      </c>
      <c r="E899" s="9600"/>
      <c r="F899" s="285" t="s">
        <v>413</v>
      </c>
      <c r="G899" s="666"/>
      <c r="H899" s="684"/>
      <c r="I899" s="9582" t="s">
        <v>141</v>
      </c>
      <c r="J899" s="9583"/>
      <c r="K899" s="285" t="s">
        <v>413</v>
      </c>
      <c r="L899" s="5594"/>
      <c r="M899" s="516"/>
      <c r="N899" s="5601"/>
      <c r="O899" s="5601"/>
      <c r="P899" s="1814"/>
      <c r="Q899" s="5601"/>
      <c r="R899" s="2468"/>
      <c r="S899" s="544"/>
      <c r="T899" s="545"/>
      <c r="U899" s="546"/>
      <c r="V899" s="547"/>
      <c r="W899" s="299" t="s">
        <v>193</v>
      </c>
      <c r="X899" s="277"/>
      <c r="Y899" s="277"/>
      <c r="Z899" s="187"/>
      <c r="AA899" s="6301"/>
      <c r="AB899" s="139"/>
      <c r="AC899" s="139"/>
      <c r="AD899" s="139"/>
      <c r="AE899" s="139"/>
      <c r="AF899" s="139"/>
      <c r="AG899" s="139"/>
      <c r="AH899" s="139"/>
      <c r="AI899" s="139"/>
      <c r="AJ899" s="139"/>
      <c r="AK899" s="139"/>
      <c r="AL899" s="139"/>
      <c r="AM899" s="139"/>
      <c r="AN899" s="139"/>
      <c r="AO899" s="139"/>
      <c r="AP899" s="139"/>
      <c r="AQ899" s="139"/>
      <c r="AR899" s="139"/>
      <c r="AS899" s="139"/>
      <c r="AT899" s="139"/>
      <c r="AU899" s="139"/>
      <c r="AV899" s="139"/>
      <c r="AW899" s="139"/>
      <c r="AX899" s="139"/>
      <c r="AY899" s="139"/>
      <c r="AZ899" s="139"/>
      <c r="BA899" s="139"/>
      <c r="BB899" s="139"/>
      <c r="BC899" s="139"/>
      <c r="BD899" s="139"/>
      <c r="BE899" s="139"/>
      <c r="BF899" s="139"/>
      <c r="BG899" s="139"/>
      <c r="BH899" s="139"/>
    </row>
    <row r="900" spans="2:60" s="11" customFormat="1" ht="20.100000000000001" customHeight="1">
      <c r="B900" s="1360"/>
      <c r="C900" s="5598"/>
      <c r="D900" s="9598" t="s">
        <v>143</v>
      </c>
      <c r="E900" s="9600"/>
      <c r="F900" s="285" t="s">
        <v>413</v>
      </c>
      <c r="G900" s="666"/>
      <c r="H900" s="684"/>
      <c r="I900" s="9582" t="s">
        <v>144</v>
      </c>
      <c r="J900" s="9583"/>
      <c r="K900" s="285" t="s">
        <v>413</v>
      </c>
      <c r="L900" s="5594"/>
      <c r="M900" s="516"/>
      <c r="N900" s="5601"/>
      <c r="O900" s="5601"/>
      <c r="P900" s="1814"/>
      <c r="Q900" s="5601"/>
      <c r="R900" s="2468"/>
      <c r="S900" s="544"/>
      <c r="T900" s="545"/>
      <c r="U900" s="546"/>
      <c r="V900" s="547"/>
      <c r="W900" s="299" t="s">
        <v>193</v>
      </c>
      <c r="X900" s="277"/>
      <c r="Y900" s="277"/>
      <c r="Z900" s="187"/>
      <c r="AA900" s="6301"/>
      <c r="AB900" s="139"/>
      <c r="AC900" s="139"/>
      <c r="AD900" s="139"/>
      <c r="AE900" s="139"/>
      <c r="AF900" s="139"/>
      <c r="AG900" s="139"/>
      <c r="AH900" s="139"/>
      <c r="AI900" s="139"/>
      <c r="AJ900" s="139"/>
      <c r="AK900" s="139"/>
      <c r="AL900" s="139"/>
      <c r="AM900" s="139"/>
      <c r="AN900" s="139"/>
      <c r="AO900" s="139"/>
      <c r="AP900" s="139"/>
      <c r="AQ900" s="139"/>
      <c r="AR900" s="139"/>
      <c r="AS900" s="139"/>
      <c r="AT900" s="139"/>
      <c r="AU900" s="139"/>
      <c r="AV900" s="139"/>
      <c r="AW900" s="139"/>
      <c r="AX900" s="139"/>
      <c r="AY900" s="139"/>
      <c r="AZ900" s="139"/>
      <c r="BA900" s="139"/>
      <c r="BB900" s="139"/>
      <c r="BC900" s="139"/>
      <c r="BD900" s="139"/>
      <c r="BE900" s="139"/>
      <c r="BF900" s="139"/>
      <c r="BG900" s="139"/>
      <c r="BH900" s="139"/>
    </row>
    <row r="901" spans="2:60" s="11" customFormat="1" ht="20.100000000000001" customHeight="1">
      <c r="B901" s="1360"/>
      <c r="C901" s="5598"/>
      <c r="D901" s="9598" t="s">
        <v>631</v>
      </c>
      <c r="E901" s="9600"/>
      <c r="F901" s="285" t="s">
        <v>413</v>
      </c>
      <c r="G901" s="666"/>
      <c r="H901" s="684"/>
      <c r="I901" s="9582" t="s">
        <v>147</v>
      </c>
      <c r="J901" s="9583"/>
      <c r="K901" s="285" t="s">
        <v>413</v>
      </c>
      <c r="L901" s="5967" t="s">
        <v>168</v>
      </c>
      <c r="M901" s="5948" t="s">
        <v>641</v>
      </c>
      <c r="N901" s="5948" t="s">
        <v>168</v>
      </c>
      <c r="O901" s="5948" t="s">
        <v>641</v>
      </c>
      <c r="P901" s="5948" t="s">
        <v>168</v>
      </c>
      <c r="Q901" s="5948" t="s">
        <v>641</v>
      </c>
      <c r="R901" s="2468"/>
      <c r="S901" s="544"/>
      <c r="T901" s="545"/>
      <c r="U901" s="546"/>
      <c r="V901" s="547"/>
      <c r="W901" s="299" t="s">
        <v>193</v>
      </c>
      <c r="X901" s="277"/>
      <c r="Y901" s="277"/>
      <c r="Z901" s="187"/>
      <c r="AA901" s="6301"/>
      <c r="AB901" s="139"/>
      <c r="AC901" s="139"/>
      <c r="AD901" s="139"/>
      <c r="AE901" s="139"/>
      <c r="AF901" s="139"/>
      <c r="AG901" s="139"/>
      <c r="AH901" s="139"/>
      <c r="AI901" s="139"/>
      <c r="AJ901" s="139"/>
      <c r="AK901" s="139"/>
      <c r="AL901" s="139"/>
      <c r="AM901" s="139"/>
      <c r="AN901" s="139"/>
      <c r="AO901" s="139"/>
      <c r="AP901" s="139"/>
      <c r="AQ901" s="139"/>
      <c r="AR901" s="139"/>
      <c r="AS901" s="139"/>
      <c r="AT901" s="139"/>
      <c r="AU901" s="139"/>
      <c r="AV901" s="139"/>
      <c r="AW901" s="139"/>
      <c r="AX901" s="139"/>
      <c r="AY901" s="139"/>
      <c r="AZ901" s="139"/>
      <c r="BA901" s="139"/>
      <c r="BB901" s="139"/>
      <c r="BC901" s="139"/>
      <c r="BD901" s="139"/>
      <c r="BE901" s="139"/>
      <c r="BF901" s="139"/>
      <c r="BG901" s="139"/>
      <c r="BH901" s="139"/>
    </row>
    <row r="902" spans="2:60" s="11" customFormat="1" ht="20.100000000000001" customHeight="1">
      <c r="B902" s="1360"/>
      <c r="C902" s="5598"/>
      <c r="D902" s="9598" t="s">
        <v>633</v>
      </c>
      <c r="E902" s="9600"/>
      <c r="F902" s="285" t="s">
        <v>413</v>
      </c>
      <c r="G902" s="666"/>
      <c r="H902" s="684"/>
      <c r="I902" s="9582" t="s">
        <v>150</v>
      </c>
      <c r="J902" s="9583"/>
      <c r="K902" s="285" t="s">
        <v>413</v>
      </c>
      <c r="L902" s="5594"/>
      <c r="M902" s="516"/>
      <c r="N902" s="5601"/>
      <c r="O902" s="5601"/>
      <c r="P902" s="1814"/>
      <c r="Q902" s="5601"/>
      <c r="R902" s="2468"/>
      <c r="S902" s="544"/>
      <c r="T902" s="545"/>
      <c r="U902" s="546"/>
      <c r="V902" s="547"/>
      <c r="W902" s="299" t="s">
        <v>193</v>
      </c>
      <c r="X902" s="277"/>
      <c r="Y902" s="277"/>
      <c r="Z902" s="187"/>
      <c r="AA902" s="6301"/>
      <c r="AB902" s="139"/>
      <c r="AC902" s="139"/>
      <c r="AD902" s="139"/>
      <c r="AE902" s="139"/>
      <c r="AF902" s="139"/>
      <c r="AG902" s="139"/>
      <c r="AH902" s="139"/>
      <c r="AI902" s="139"/>
      <c r="AJ902" s="139"/>
      <c r="AK902" s="139"/>
      <c r="AL902" s="139"/>
      <c r="AM902" s="139"/>
      <c r="AN902" s="139"/>
      <c r="AO902" s="139"/>
      <c r="AP902" s="139"/>
      <c r="AQ902" s="139"/>
      <c r="AR902" s="139"/>
      <c r="AS902" s="139"/>
      <c r="AT902" s="139"/>
      <c r="AU902" s="139"/>
      <c r="AV902" s="139"/>
      <c r="AW902" s="139"/>
      <c r="AX902" s="139"/>
      <c r="AY902" s="139"/>
      <c r="AZ902" s="139"/>
      <c r="BA902" s="139"/>
      <c r="BB902" s="139"/>
      <c r="BC902" s="139"/>
      <c r="BD902" s="139"/>
      <c r="BE902" s="139"/>
      <c r="BF902" s="139"/>
      <c r="BG902" s="139"/>
      <c r="BH902" s="139"/>
    </row>
    <row r="903" spans="2:60" s="11" customFormat="1" ht="20.100000000000001" customHeight="1">
      <c r="B903" s="1360"/>
      <c r="C903" s="5598"/>
      <c r="D903" s="5617" t="s">
        <v>590</v>
      </c>
      <c r="E903" s="5617"/>
      <c r="F903" s="285" t="s">
        <v>413</v>
      </c>
      <c r="G903" s="666"/>
      <c r="H903" s="684"/>
      <c r="I903" s="9586" t="s">
        <v>612</v>
      </c>
      <c r="J903" s="9587"/>
      <c r="K903" s="285" t="s">
        <v>413</v>
      </c>
      <c r="L903" s="5653" t="str">
        <f>IF(COUNTBLANK(L904:L909)&gt;0,"미취합법인有",SUM(L904:L909))</f>
        <v>미취합법인有</v>
      </c>
      <c r="M903" s="5945"/>
      <c r="N903" s="5945" t="str">
        <f>IF(COUNTBLANK(N904:N909)&gt;0,"미취합법인有",SUM(N904:N909))</f>
        <v>미취합법인有</v>
      </c>
      <c r="O903" s="5945"/>
      <c r="P903" s="5946" t="str">
        <f>IF(COUNTBLANK(P904:P909)&gt;0,"미취합법인有",SUM(P904:P909))</f>
        <v>미취합법인有</v>
      </c>
      <c r="Q903" s="785"/>
      <c r="R903" s="2468"/>
      <c r="S903" s="276"/>
      <c r="T903" s="99" t="s">
        <v>189</v>
      </c>
      <c r="U903" s="547"/>
      <c r="V903" s="547"/>
      <c r="W903" s="299" t="s">
        <v>193</v>
      </c>
      <c r="X903" s="620" t="s">
        <v>607</v>
      </c>
      <c r="Y903" s="154"/>
      <c r="Z903" s="159"/>
      <c r="AA903" s="6305"/>
      <c r="AB903" s="139"/>
      <c r="AC903" s="139"/>
      <c r="AD903" s="139"/>
      <c r="AE903" s="139"/>
      <c r="AF903" s="139"/>
      <c r="AG903" s="139"/>
      <c r="AH903" s="139"/>
      <c r="AI903" s="139"/>
      <c r="AJ903" s="139"/>
      <c r="AK903" s="139"/>
      <c r="AL903" s="139"/>
      <c r="AM903" s="139"/>
      <c r="AN903" s="139"/>
      <c r="AO903" s="139"/>
      <c r="AP903" s="139"/>
      <c r="AQ903" s="139"/>
      <c r="AR903" s="139"/>
      <c r="AS903" s="139"/>
      <c r="AT903" s="139"/>
      <c r="AU903" s="139"/>
      <c r="AV903" s="139"/>
      <c r="AW903" s="139"/>
      <c r="AX903" s="139"/>
      <c r="AY903" s="139"/>
      <c r="AZ903" s="139"/>
      <c r="BA903" s="139"/>
      <c r="BB903" s="139"/>
      <c r="BC903" s="139"/>
      <c r="BD903" s="139"/>
      <c r="BE903" s="139"/>
      <c r="BF903" s="139"/>
      <c r="BG903" s="139"/>
      <c r="BH903" s="139"/>
    </row>
    <row r="904" spans="2:60" s="11" customFormat="1" ht="20.100000000000001" customHeight="1">
      <c r="B904" s="1360"/>
      <c r="C904" s="5598"/>
      <c r="D904" s="9598" t="s">
        <v>134</v>
      </c>
      <c r="E904" s="9600"/>
      <c r="F904" s="285" t="s">
        <v>413</v>
      </c>
      <c r="G904" s="666"/>
      <c r="H904" s="684"/>
      <c r="I904" s="9579" t="s">
        <v>135</v>
      </c>
      <c r="J904" s="9581"/>
      <c r="K904" s="285" t="s">
        <v>413</v>
      </c>
      <c r="L904" s="5594"/>
      <c r="M904" s="5682" t="s">
        <v>369</v>
      </c>
      <c r="N904" s="5601"/>
      <c r="O904" s="5667" t="s">
        <v>369</v>
      </c>
      <c r="P904" s="5602"/>
      <c r="Q904" s="5758" t="s">
        <v>369</v>
      </c>
      <c r="R904" s="2468"/>
      <c r="S904" s="544"/>
      <c r="T904" s="545"/>
      <c r="U904" s="546"/>
      <c r="V904" s="547"/>
      <c r="W904" s="299" t="s">
        <v>193</v>
      </c>
      <c r="X904" s="277"/>
      <c r="Y904" s="277"/>
      <c r="Z904" s="187"/>
      <c r="AA904" s="6301"/>
      <c r="AB904" s="139"/>
      <c r="AC904" s="139"/>
      <c r="AD904" s="139"/>
      <c r="AE904" s="139"/>
      <c r="AF904" s="139"/>
      <c r="AG904" s="139"/>
      <c r="AH904" s="139"/>
      <c r="AI904" s="139"/>
      <c r="AJ904" s="139"/>
      <c r="AK904" s="139"/>
      <c r="AL904" s="139"/>
      <c r="AM904" s="139"/>
      <c r="AN904" s="139"/>
      <c r="AO904" s="139"/>
      <c r="AP904" s="139"/>
      <c r="AQ904" s="139"/>
      <c r="AR904" s="139"/>
      <c r="AS904" s="139"/>
      <c r="AT904" s="139"/>
      <c r="AU904" s="139"/>
      <c r="AV904" s="139"/>
      <c r="AW904" s="139"/>
      <c r="AX904" s="139"/>
      <c r="AY904" s="139"/>
      <c r="AZ904" s="139"/>
      <c r="BA904" s="139"/>
      <c r="BB904" s="139"/>
      <c r="BC904" s="139"/>
      <c r="BD904" s="139"/>
      <c r="BE904" s="139"/>
      <c r="BF904" s="139"/>
      <c r="BG904" s="139"/>
      <c r="BH904" s="139"/>
    </row>
    <row r="905" spans="2:60" s="11" customFormat="1" ht="20.100000000000001" customHeight="1">
      <c r="B905" s="1360"/>
      <c r="C905" s="5598"/>
      <c r="D905" s="9598" t="s">
        <v>137</v>
      </c>
      <c r="E905" s="9600"/>
      <c r="F905" s="285" t="s">
        <v>413</v>
      </c>
      <c r="G905" s="666"/>
      <c r="H905" s="684"/>
      <c r="I905" s="9579" t="s">
        <v>138</v>
      </c>
      <c r="J905" s="9581"/>
      <c r="K905" s="285" t="s">
        <v>413</v>
      </c>
      <c r="L905" s="5594"/>
      <c r="M905" s="5682"/>
      <c r="N905" s="5601"/>
      <c r="O905" s="5667"/>
      <c r="P905" s="5602"/>
      <c r="Q905" s="5758"/>
      <c r="R905" s="2468"/>
      <c r="S905" s="544"/>
      <c r="T905" s="545"/>
      <c r="U905" s="546"/>
      <c r="V905" s="547"/>
      <c r="W905" s="299" t="s">
        <v>193</v>
      </c>
      <c r="X905" s="277"/>
      <c r="Y905" s="277"/>
      <c r="Z905" s="187"/>
      <c r="AA905" s="6301"/>
      <c r="AB905" s="139"/>
      <c r="AC905" s="139"/>
      <c r="AD905" s="139"/>
      <c r="AE905" s="139"/>
      <c r="AF905" s="139"/>
      <c r="AG905" s="139"/>
      <c r="AH905" s="139"/>
      <c r="AI905" s="139"/>
      <c r="AJ905" s="139"/>
      <c r="AK905" s="139"/>
      <c r="AL905" s="139"/>
      <c r="AM905" s="139"/>
      <c r="AN905" s="139"/>
      <c r="AO905" s="139"/>
      <c r="AP905" s="139"/>
      <c r="AQ905" s="139"/>
      <c r="AR905" s="139"/>
      <c r="AS905" s="139"/>
      <c r="AT905" s="139"/>
      <c r="AU905" s="139"/>
      <c r="AV905" s="139"/>
      <c r="AW905" s="139"/>
      <c r="AX905" s="139"/>
      <c r="AY905" s="139"/>
      <c r="AZ905" s="139"/>
      <c r="BA905" s="139"/>
      <c r="BB905" s="139"/>
      <c r="BC905" s="139"/>
      <c r="BD905" s="139"/>
      <c r="BE905" s="139"/>
      <c r="BF905" s="139"/>
      <c r="BG905" s="139"/>
      <c r="BH905" s="139"/>
    </row>
    <row r="906" spans="2:60" s="11" customFormat="1" ht="20.100000000000001" customHeight="1">
      <c r="B906" s="1360"/>
      <c r="C906" s="5598"/>
      <c r="D906" s="9598" t="s">
        <v>140</v>
      </c>
      <c r="E906" s="9600"/>
      <c r="F906" s="285" t="s">
        <v>413</v>
      </c>
      <c r="G906" s="666"/>
      <c r="H906" s="684"/>
      <c r="I906" s="9582" t="s">
        <v>141</v>
      </c>
      <c r="J906" s="9583"/>
      <c r="K906" s="285" t="s">
        <v>413</v>
      </c>
      <c r="L906" s="5594"/>
      <c r="M906" s="5682"/>
      <c r="N906" s="5601"/>
      <c r="O906" s="5667"/>
      <c r="P906" s="5602"/>
      <c r="Q906" s="5758"/>
      <c r="R906" s="2468"/>
      <c r="S906" s="544"/>
      <c r="T906" s="545"/>
      <c r="U906" s="546"/>
      <c r="V906" s="547"/>
      <c r="W906" s="299" t="s">
        <v>193</v>
      </c>
      <c r="X906" s="277"/>
      <c r="Y906" s="277"/>
      <c r="Z906" s="187"/>
      <c r="AA906" s="6301"/>
      <c r="AB906" s="139"/>
      <c r="AC906" s="139"/>
      <c r="AD906" s="139"/>
      <c r="AE906" s="139"/>
      <c r="AF906" s="139"/>
      <c r="AG906" s="139"/>
      <c r="AH906" s="139"/>
      <c r="AI906" s="139"/>
      <c r="AJ906" s="139"/>
      <c r="AK906" s="139"/>
      <c r="AL906" s="139"/>
      <c r="AM906" s="139"/>
      <c r="AN906" s="139"/>
      <c r="AO906" s="139"/>
      <c r="AP906" s="139"/>
      <c r="AQ906" s="139"/>
      <c r="AR906" s="139"/>
      <c r="AS906" s="139"/>
      <c r="AT906" s="139"/>
      <c r="AU906" s="139"/>
      <c r="AV906" s="139"/>
      <c r="AW906" s="139"/>
      <c r="AX906" s="139"/>
      <c r="AY906" s="139"/>
      <c r="AZ906" s="139"/>
      <c r="BA906" s="139"/>
      <c r="BB906" s="139"/>
      <c r="BC906" s="139"/>
      <c r="BD906" s="139"/>
      <c r="BE906" s="139"/>
      <c r="BF906" s="139"/>
      <c r="BG906" s="139"/>
      <c r="BH906" s="139"/>
    </row>
    <row r="907" spans="2:60" s="11" customFormat="1" ht="20.100000000000001" customHeight="1">
      <c r="B907" s="1360"/>
      <c r="C907" s="5598"/>
      <c r="D907" s="9598" t="s">
        <v>143</v>
      </c>
      <c r="E907" s="9600"/>
      <c r="F907" s="285" t="s">
        <v>413</v>
      </c>
      <c r="G907" s="666"/>
      <c r="H907" s="684"/>
      <c r="I907" s="9582" t="s">
        <v>144</v>
      </c>
      <c r="J907" s="9583"/>
      <c r="K907" s="285" t="s">
        <v>413</v>
      </c>
      <c r="L907" s="5594"/>
      <c r="M907" s="5682"/>
      <c r="N907" s="5601"/>
      <c r="O907" s="5667"/>
      <c r="P907" s="5602"/>
      <c r="Q907" s="5758"/>
      <c r="R907" s="2468"/>
      <c r="S907" s="544"/>
      <c r="T907" s="545"/>
      <c r="U907" s="546"/>
      <c r="V907" s="547"/>
      <c r="W907" s="299" t="s">
        <v>193</v>
      </c>
      <c r="X907" s="277"/>
      <c r="Y907" s="277"/>
      <c r="Z907" s="187"/>
      <c r="AA907" s="6301"/>
      <c r="AB907" s="139"/>
      <c r="AC907" s="139"/>
      <c r="AD907" s="139"/>
      <c r="AE907" s="139"/>
      <c r="AF907" s="139"/>
      <c r="AG907" s="139"/>
      <c r="AH907" s="139"/>
      <c r="AI907" s="139"/>
      <c r="AJ907" s="139"/>
      <c r="AK907" s="139"/>
      <c r="AL907" s="139"/>
      <c r="AM907" s="139"/>
      <c r="AN907" s="139"/>
      <c r="AO907" s="139"/>
      <c r="AP907" s="139"/>
      <c r="AQ907" s="139"/>
      <c r="AR907" s="139"/>
      <c r="AS907" s="139"/>
      <c r="AT907" s="139"/>
      <c r="AU907" s="139"/>
      <c r="AV907" s="139"/>
      <c r="AW907" s="139"/>
      <c r="AX907" s="139"/>
      <c r="AY907" s="139"/>
      <c r="AZ907" s="139"/>
      <c r="BA907" s="139"/>
      <c r="BB907" s="139"/>
      <c r="BC907" s="139"/>
      <c r="BD907" s="139"/>
      <c r="BE907" s="139"/>
      <c r="BF907" s="139"/>
      <c r="BG907" s="139"/>
      <c r="BH907" s="139"/>
    </row>
    <row r="908" spans="2:60" s="11" customFormat="1" ht="20.100000000000001" customHeight="1">
      <c r="B908" s="1360"/>
      <c r="C908" s="5598"/>
      <c r="D908" s="9598" t="s">
        <v>631</v>
      </c>
      <c r="E908" s="9600"/>
      <c r="F908" s="285" t="s">
        <v>413</v>
      </c>
      <c r="G908" s="666"/>
      <c r="H908" s="684"/>
      <c r="I908" s="9582" t="s">
        <v>147</v>
      </c>
      <c r="J908" s="9583"/>
      <c r="K908" s="285" t="s">
        <v>413</v>
      </c>
      <c r="L908" s="5967" t="s">
        <v>168</v>
      </c>
      <c r="M908" s="5948" t="s">
        <v>641</v>
      </c>
      <c r="N908" s="5948" t="s">
        <v>168</v>
      </c>
      <c r="O908" s="5948" t="s">
        <v>641</v>
      </c>
      <c r="P908" s="5948" t="s">
        <v>168</v>
      </c>
      <c r="Q908" s="5948" t="s">
        <v>641</v>
      </c>
      <c r="R908" s="2468"/>
      <c r="S908" s="544"/>
      <c r="T908" s="545"/>
      <c r="U908" s="546"/>
      <c r="V908" s="547"/>
      <c r="W908" s="299" t="s">
        <v>193</v>
      </c>
      <c r="X908" s="277"/>
      <c r="Y908" s="277"/>
      <c r="Z908" s="187"/>
      <c r="AA908" s="6301"/>
      <c r="AB908" s="139"/>
      <c r="AC908" s="139"/>
      <c r="AD908" s="139"/>
      <c r="AE908" s="139"/>
      <c r="AF908" s="139"/>
      <c r="AG908" s="139"/>
      <c r="AH908" s="139"/>
      <c r="AI908" s="139"/>
      <c r="AJ908" s="139"/>
      <c r="AK908" s="139"/>
      <c r="AL908" s="139"/>
      <c r="AM908" s="139"/>
      <c r="AN908" s="139"/>
      <c r="AO908" s="139"/>
      <c r="AP908" s="139"/>
      <c r="AQ908" s="139"/>
      <c r="AR908" s="139"/>
      <c r="AS908" s="139"/>
      <c r="AT908" s="139"/>
      <c r="AU908" s="139"/>
      <c r="AV908" s="139"/>
      <c r="AW908" s="139"/>
      <c r="AX908" s="139"/>
      <c r="AY908" s="139"/>
      <c r="AZ908" s="139"/>
      <c r="BA908" s="139"/>
      <c r="BB908" s="139"/>
      <c r="BC908" s="139"/>
      <c r="BD908" s="139"/>
      <c r="BE908" s="139"/>
      <c r="BF908" s="139"/>
      <c r="BG908" s="139"/>
      <c r="BH908" s="139"/>
    </row>
    <row r="909" spans="2:60" s="11" customFormat="1" ht="20.100000000000001" customHeight="1">
      <c r="B909" s="1360"/>
      <c r="C909" s="5598"/>
      <c r="D909" s="9598" t="s">
        <v>633</v>
      </c>
      <c r="E909" s="9600"/>
      <c r="F909" s="285" t="s">
        <v>413</v>
      </c>
      <c r="G909" s="666"/>
      <c r="H909" s="684"/>
      <c r="I909" s="9582" t="s">
        <v>150</v>
      </c>
      <c r="J909" s="9583"/>
      <c r="K909" s="285" t="s">
        <v>413</v>
      </c>
      <c r="L909" s="5594"/>
      <c r="M909" s="516"/>
      <c r="N909" s="5601"/>
      <c r="O909" s="5601"/>
      <c r="P909" s="1814"/>
      <c r="Q909" s="5601"/>
      <c r="R909" s="2468"/>
      <c r="S909" s="544"/>
      <c r="T909" s="545"/>
      <c r="U909" s="546"/>
      <c r="V909" s="547"/>
      <c r="W909" s="299" t="s">
        <v>193</v>
      </c>
      <c r="X909" s="277"/>
      <c r="Y909" s="277"/>
      <c r="Z909" s="187"/>
      <c r="AA909" s="6301"/>
      <c r="AB909" s="139"/>
      <c r="AC909" s="139"/>
      <c r="AD909" s="139"/>
      <c r="AE909" s="139"/>
      <c r="AF909" s="139"/>
      <c r="AG909" s="139"/>
      <c r="AH909" s="139"/>
      <c r="AI909" s="139"/>
      <c r="AJ909" s="139"/>
      <c r="AK909" s="139"/>
      <c r="AL909" s="139"/>
      <c r="AM909" s="139"/>
      <c r="AN909" s="139"/>
      <c r="AO909" s="139"/>
      <c r="AP909" s="139"/>
      <c r="AQ909" s="139"/>
      <c r="AR909" s="139"/>
      <c r="AS909" s="139"/>
      <c r="AT909" s="139"/>
      <c r="AU909" s="139"/>
      <c r="AV909" s="139"/>
      <c r="AW909" s="139"/>
      <c r="AX909" s="139"/>
      <c r="AY909" s="139"/>
      <c r="AZ909" s="139"/>
      <c r="BA909" s="139"/>
      <c r="BB909" s="139"/>
      <c r="BC909" s="139"/>
      <c r="BD909" s="139"/>
      <c r="BE909" s="139"/>
      <c r="BF909" s="139"/>
      <c r="BG909" s="139"/>
      <c r="BH909" s="139"/>
    </row>
    <row r="910" spans="2:60" s="11" customFormat="1" ht="20.100000000000001" customHeight="1">
      <c r="B910" s="1360"/>
      <c r="C910" s="5607" t="s">
        <v>613</v>
      </c>
      <c r="D910" s="5607"/>
      <c r="E910" s="5607"/>
      <c r="F910" s="285" t="s">
        <v>156</v>
      </c>
      <c r="G910" s="621"/>
      <c r="H910" s="9586" t="s">
        <v>614</v>
      </c>
      <c r="I910" s="9587"/>
      <c r="J910" s="9588"/>
      <c r="K910" s="285" t="s">
        <v>156</v>
      </c>
      <c r="L910" s="5653" t="str">
        <f>IF(COUNTBLANK(L911:L916)&gt;0,"미취합법인有",AVERAGE(L911:L916))</f>
        <v>미취합법인有</v>
      </c>
      <c r="M910" s="5945"/>
      <c r="N910" s="5945" t="str">
        <f>IF(COUNTBLANK(N911:N916)&gt;0,"미취합법인有",AVERAGE(N911:N916))</f>
        <v>미취합법인有</v>
      </c>
      <c r="O910" s="5945"/>
      <c r="P910" s="5946" t="str">
        <f>IF(COUNTBLANK(P911:P916)&gt;0,"미취합법인有",AVERAGE(P911:P916))</f>
        <v>미취합법인有</v>
      </c>
      <c r="Q910" s="785"/>
      <c r="R910" s="2468" t="s">
        <v>615</v>
      </c>
      <c r="S910" s="276" t="s">
        <v>616</v>
      </c>
      <c r="T910" s="99" t="s">
        <v>189</v>
      </c>
      <c r="U910" s="547"/>
      <c r="V910" s="547"/>
      <c r="W910" s="299" t="s">
        <v>193</v>
      </c>
      <c r="X910" s="620" t="s">
        <v>617</v>
      </c>
      <c r="Y910" s="154"/>
      <c r="Z910" s="159"/>
      <c r="AA910" s="6305"/>
      <c r="AB910" s="139"/>
      <c r="AC910" s="139"/>
      <c r="AD910" s="139"/>
      <c r="AE910" s="139"/>
      <c r="AF910" s="139"/>
      <c r="AG910" s="139"/>
      <c r="AH910" s="139"/>
      <c r="AI910" s="139"/>
      <c r="AJ910" s="139"/>
      <c r="AK910" s="139"/>
      <c r="AL910" s="139"/>
      <c r="AM910" s="139"/>
      <c r="AN910" s="139"/>
      <c r="AO910" s="139"/>
      <c r="AP910" s="139"/>
      <c r="AQ910" s="139"/>
      <c r="AR910" s="139"/>
      <c r="AS910" s="139"/>
      <c r="AT910" s="139"/>
      <c r="AU910" s="139"/>
      <c r="AV910" s="139"/>
      <c r="AW910" s="139"/>
      <c r="AX910" s="139"/>
      <c r="AY910" s="139"/>
      <c r="AZ910" s="139"/>
      <c r="BA910" s="139"/>
      <c r="BB910" s="139"/>
      <c r="BC910" s="139"/>
      <c r="BD910" s="139"/>
      <c r="BE910" s="139"/>
      <c r="BF910" s="139"/>
      <c r="BG910" s="139"/>
      <c r="BH910" s="139"/>
    </row>
    <row r="911" spans="2:60" s="11" customFormat="1" ht="19.899999999999999" customHeight="1">
      <c r="B911" s="5590"/>
      <c r="C911" s="9647" t="s">
        <v>134</v>
      </c>
      <c r="D911" s="9648"/>
      <c r="E911" s="9649"/>
      <c r="F911" s="285" t="s">
        <v>156</v>
      </c>
      <c r="G911" s="253"/>
      <c r="H911" s="9579" t="s">
        <v>135</v>
      </c>
      <c r="I911" s="9580"/>
      <c r="J911" s="9581"/>
      <c r="K911" s="285" t="s">
        <v>156</v>
      </c>
      <c r="L911" s="5592"/>
      <c r="M911" s="5948" t="s">
        <v>302</v>
      </c>
      <c r="N911" s="5948"/>
      <c r="O911" s="5948" t="s">
        <v>302</v>
      </c>
      <c r="P911" s="5948"/>
      <c r="Q911" s="5948" t="s">
        <v>302</v>
      </c>
      <c r="R911" s="1033"/>
      <c r="S911" s="263"/>
      <c r="T911" s="99"/>
      <c r="U911" s="138"/>
      <c r="V911" s="138"/>
      <c r="W911" s="299" t="s">
        <v>193</v>
      </c>
      <c r="X911" s="264"/>
      <c r="Y911" s="277"/>
      <c r="Z911" s="187"/>
      <c r="AA911" s="6301"/>
      <c r="AB911" s="139"/>
      <c r="AC911" s="139"/>
      <c r="AD911" s="139"/>
      <c r="AE911" s="139"/>
      <c r="AF911" s="139"/>
      <c r="AG911" s="139"/>
      <c r="AH911" s="139"/>
      <c r="AI911" s="139"/>
      <c r="AJ911" s="139"/>
      <c r="AK911" s="139"/>
      <c r="AL911" s="139"/>
      <c r="AM911" s="139"/>
      <c r="AN911" s="139"/>
      <c r="AO911" s="139"/>
      <c r="AP911" s="139"/>
      <c r="AQ911" s="139"/>
      <c r="AR911" s="139"/>
      <c r="AS911" s="139"/>
      <c r="AT911" s="139"/>
      <c r="AU911" s="139"/>
      <c r="AV911" s="139"/>
      <c r="AW911" s="139"/>
      <c r="AX911" s="139"/>
      <c r="AY911" s="139"/>
      <c r="AZ911" s="139"/>
      <c r="BA911" s="139"/>
      <c r="BB911" s="139"/>
      <c r="BC911" s="139"/>
      <c r="BD911" s="139"/>
      <c r="BE911" s="139"/>
      <c r="BF911" s="139"/>
      <c r="BG911" s="139"/>
      <c r="BH911" s="139"/>
    </row>
    <row r="912" spans="2:60" s="11" customFormat="1" ht="19.899999999999999" customHeight="1">
      <c r="B912" s="5590"/>
      <c r="C912" s="9647" t="s">
        <v>137</v>
      </c>
      <c r="D912" s="9648"/>
      <c r="E912" s="9649"/>
      <c r="F912" s="285" t="s">
        <v>156</v>
      </c>
      <c r="G912" s="253"/>
      <c r="H912" s="9579" t="s">
        <v>138</v>
      </c>
      <c r="I912" s="9580"/>
      <c r="J912" s="9581"/>
      <c r="K912" s="285" t="s">
        <v>156</v>
      </c>
      <c r="L912" s="5592"/>
      <c r="M912" s="5948"/>
      <c r="N912" s="5948"/>
      <c r="O912" s="5948"/>
      <c r="P912" s="5948"/>
      <c r="Q912" s="5948"/>
      <c r="R912" s="1033"/>
      <c r="S912" s="263"/>
      <c r="T912" s="99"/>
      <c r="U912" s="138"/>
      <c r="V912" s="138"/>
      <c r="W912" s="299" t="s">
        <v>193</v>
      </c>
      <c r="X912" s="264"/>
      <c r="Y912" s="277"/>
      <c r="Z912" s="187"/>
      <c r="AA912" s="6301"/>
      <c r="AB912" s="139"/>
      <c r="AC912" s="139"/>
      <c r="AD912" s="139"/>
      <c r="AE912" s="139"/>
      <c r="AF912" s="139"/>
      <c r="AG912" s="139"/>
      <c r="AH912" s="139"/>
      <c r="AI912" s="139"/>
      <c r="AJ912" s="139"/>
      <c r="AK912" s="139"/>
      <c r="AL912" s="139"/>
      <c r="AM912" s="139"/>
      <c r="AN912" s="139"/>
      <c r="AO912" s="139"/>
      <c r="AP912" s="139"/>
      <c r="AQ912" s="139"/>
      <c r="AR912" s="139"/>
      <c r="AS912" s="139"/>
      <c r="AT912" s="139"/>
      <c r="AU912" s="139"/>
      <c r="AV912" s="139"/>
      <c r="AW912" s="139"/>
      <c r="AX912" s="139"/>
      <c r="AY912" s="139"/>
      <c r="AZ912" s="139"/>
      <c r="BA912" s="139"/>
      <c r="BB912" s="139"/>
      <c r="BC912" s="139"/>
      <c r="BD912" s="139"/>
      <c r="BE912" s="139"/>
      <c r="BF912" s="139"/>
      <c r="BG912" s="139"/>
      <c r="BH912" s="139"/>
    </row>
    <row r="913" spans="2:60" s="11" customFormat="1" ht="19.899999999999999" customHeight="1">
      <c r="B913" s="5590"/>
      <c r="C913" s="9647" t="s">
        <v>140</v>
      </c>
      <c r="D913" s="9648"/>
      <c r="E913" s="9649"/>
      <c r="F913" s="285" t="s">
        <v>156</v>
      </c>
      <c r="G913" s="253"/>
      <c r="H913" s="9579" t="s">
        <v>141</v>
      </c>
      <c r="I913" s="9580"/>
      <c r="J913" s="9581"/>
      <c r="K913" s="285" t="s">
        <v>156</v>
      </c>
      <c r="L913" s="5592"/>
      <c r="M913" s="5948"/>
      <c r="N913" s="5948"/>
      <c r="O913" s="5948"/>
      <c r="P913" s="5948"/>
      <c r="Q913" s="5948"/>
      <c r="R913" s="1033"/>
      <c r="S913" s="263"/>
      <c r="T913" s="99"/>
      <c r="U913" s="138"/>
      <c r="V913" s="138"/>
      <c r="W913" s="299" t="s">
        <v>193</v>
      </c>
      <c r="X913" s="264"/>
      <c r="Y913" s="277"/>
      <c r="Z913" s="187"/>
      <c r="AA913" s="6301"/>
      <c r="AB913" s="139"/>
      <c r="AC913" s="139"/>
      <c r="AD913" s="139"/>
      <c r="AE913" s="139"/>
      <c r="AF913" s="139"/>
      <c r="AG913" s="139"/>
      <c r="AH913" s="139"/>
      <c r="AI913" s="139"/>
      <c r="AJ913" s="139"/>
      <c r="AK913" s="139"/>
      <c r="AL913" s="139"/>
      <c r="AM913" s="139"/>
      <c r="AN913" s="139"/>
      <c r="AO913" s="139"/>
      <c r="AP913" s="139"/>
      <c r="AQ913" s="139"/>
      <c r="AR913" s="139"/>
      <c r="AS913" s="139"/>
      <c r="AT913" s="139"/>
      <c r="AU913" s="139"/>
      <c r="AV913" s="139"/>
      <c r="AW913" s="139"/>
      <c r="AX913" s="139"/>
      <c r="AY913" s="139"/>
      <c r="AZ913" s="139"/>
      <c r="BA913" s="139"/>
      <c r="BB913" s="139"/>
      <c r="BC913" s="139"/>
      <c r="BD913" s="139"/>
      <c r="BE913" s="139"/>
      <c r="BF913" s="139"/>
      <c r="BG913" s="139"/>
      <c r="BH913" s="139"/>
    </row>
    <row r="914" spans="2:60" s="11" customFormat="1" ht="19.899999999999999" customHeight="1">
      <c r="B914" s="5590"/>
      <c r="C914" s="9647" t="s">
        <v>143</v>
      </c>
      <c r="D914" s="9648"/>
      <c r="E914" s="9649"/>
      <c r="F914" s="285" t="s">
        <v>156</v>
      </c>
      <c r="G914" s="253"/>
      <c r="H914" s="9579" t="s">
        <v>144</v>
      </c>
      <c r="I914" s="9580"/>
      <c r="J914" s="9581"/>
      <c r="K914" s="285" t="s">
        <v>156</v>
      </c>
      <c r="L914" s="5592"/>
      <c r="M914" s="5948"/>
      <c r="N914" s="5948"/>
      <c r="O914" s="5948"/>
      <c r="P914" s="5948"/>
      <c r="Q914" s="5948"/>
      <c r="R914" s="1033"/>
      <c r="S914" s="263"/>
      <c r="T914" s="99"/>
      <c r="U914" s="138"/>
      <c r="V914" s="138"/>
      <c r="W914" s="299" t="s">
        <v>193</v>
      </c>
      <c r="X914" s="264"/>
      <c r="Y914" s="277"/>
      <c r="Z914" s="187"/>
      <c r="AA914" s="6301"/>
      <c r="AB914" s="139"/>
      <c r="AC914" s="139"/>
      <c r="AD914" s="139"/>
      <c r="AE914" s="139"/>
      <c r="AF914" s="139"/>
      <c r="AG914" s="139"/>
      <c r="AH914" s="139"/>
      <c r="AI914" s="139"/>
      <c r="AJ914" s="139"/>
      <c r="AK914" s="139"/>
      <c r="AL914" s="139"/>
      <c r="AM914" s="139"/>
      <c r="AN914" s="139"/>
      <c r="AO914" s="139"/>
      <c r="AP914" s="139"/>
      <c r="AQ914" s="139"/>
      <c r="AR914" s="139"/>
      <c r="AS914" s="139"/>
      <c r="AT914" s="139"/>
      <c r="AU914" s="139"/>
      <c r="AV914" s="139"/>
      <c r="AW914" s="139"/>
      <c r="AX914" s="139"/>
      <c r="AY914" s="139"/>
      <c r="AZ914" s="139"/>
      <c r="BA914" s="139"/>
      <c r="BB914" s="139"/>
      <c r="BC914" s="139"/>
      <c r="BD914" s="139"/>
      <c r="BE914" s="139"/>
      <c r="BF914" s="139"/>
      <c r="BG914" s="139"/>
      <c r="BH914" s="139"/>
    </row>
    <row r="915" spans="2:60" s="11" customFormat="1" ht="19.899999999999999" customHeight="1">
      <c r="B915" s="5590"/>
      <c r="C915" s="9647" t="s">
        <v>631</v>
      </c>
      <c r="D915" s="9648"/>
      <c r="E915" s="9649"/>
      <c r="F915" s="285" t="s">
        <v>156</v>
      </c>
      <c r="G915" s="253"/>
      <c r="H915" s="9579" t="s">
        <v>147</v>
      </c>
      <c r="I915" s="9580"/>
      <c r="J915" s="9581"/>
      <c r="K915" s="285" t="s">
        <v>156</v>
      </c>
      <c r="L915" s="5967" t="s">
        <v>168</v>
      </c>
      <c r="M915" s="5948" t="s">
        <v>641</v>
      </c>
      <c r="N915" s="5948" t="s">
        <v>168</v>
      </c>
      <c r="O915" s="5948" t="s">
        <v>641</v>
      </c>
      <c r="P915" s="5948" t="s">
        <v>168</v>
      </c>
      <c r="Q915" s="5948" t="s">
        <v>641</v>
      </c>
      <c r="R915" s="1033"/>
      <c r="S915" s="263"/>
      <c r="T915" s="99"/>
      <c r="U915" s="138"/>
      <c r="V915" s="138"/>
      <c r="W915" s="299" t="s">
        <v>193</v>
      </c>
      <c r="X915" s="264"/>
      <c r="Y915" s="277"/>
      <c r="Z915" s="187"/>
      <c r="AA915" s="6301"/>
      <c r="AB915" s="139"/>
      <c r="AC915" s="139"/>
      <c r="AD915" s="139"/>
      <c r="AE915" s="139"/>
      <c r="AF915" s="139"/>
      <c r="AG915" s="139"/>
      <c r="AH915" s="139"/>
      <c r="AI915" s="139"/>
      <c r="AJ915" s="139"/>
      <c r="AK915" s="139"/>
      <c r="AL915" s="139"/>
      <c r="AM915" s="139"/>
      <c r="AN915" s="139"/>
      <c r="AO915" s="139"/>
      <c r="AP915" s="139"/>
      <c r="AQ915" s="139"/>
      <c r="AR915" s="139"/>
      <c r="AS915" s="139"/>
      <c r="AT915" s="139"/>
      <c r="AU915" s="139"/>
      <c r="AV915" s="139"/>
      <c r="AW915" s="139"/>
      <c r="AX915" s="139"/>
      <c r="AY915" s="139"/>
      <c r="AZ915" s="139"/>
      <c r="BA915" s="139"/>
      <c r="BB915" s="139"/>
      <c r="BC915" s="139"/>
      <c r="BD915" s="139"/>
      <c r="BE915" s="139"/>
      <c r="BF915" s="139"/>
      <c r="BG915" s="139"/>
      <c r="BH915" s="139"/>
    </row>
    <row r="916" spans="2:60" s="11" customFormat="1" ht="19.899999999999999" customHeight="1">
      <c r="B916" s="5590"/>
      <c r="C916" s="9647" t="s">
        <v>633</v>
      </c>
      <c r="D916" s="9648"/>
      <c r="E916" s="9649"/>
      <c r="F916" s="285" t="s">
        <v>156</v>
      </c>
      <c r="G916" s="253"/>
      <c r="H916" s="9579" t="s">
        <v>150</v>
      </c>
      <c r="I916" s="9580"/>
      <c r="J916" s="9581"/>
      <c r="K916" s="285" t="s">
        <v>156</v>
      </c>
      <c r="L916" s="5592"/>
      <c r="M916" s="5948"/>
      <c r="N916" s="5948"/>
      <c r="O916" s="5948"/>
      <c r="P916" s="5948"/>
      <c r="Q916" s="5948"/>
      <c r="R916" s="1033"/>
      <c r="S916" s="263"/>
      <c r="T916" s="99"/>
      <c r="U916" s="138"/>
      <c r="V916" s="138"/>
      <c r="W916" s="299" t="s">
        <v>193</v>
      </c>
      <c r="X916" s="264"/>
      <c r="Y916" s="277"/>
      <c r="Z916" s="187"/>
      <c r="AA916" s="6301"/>
      <c r="AB916" s="139"/>
      <c r="AC916" s="139"/>
      <c r="AD916" s="139"/>
      <c r="AE916" s="139"/>
      <c r="AF916" s="139"/>
      <c r="AG916" s="139"/>
      <c r="AH916" s="139"/>
      <c r="AI916" s="139"/>
      <c r="AJ916" s="139"/>
      <c r="AK916" s="139"/>
      <c r="AL916" s="139"/>
      <c r="AM916" s="139"/>
      <c r="AN916" s="139"/>
      <c r="AO916" s="139"/>
      <c r="AP916" s="139"/>
      <c r="AQ916" s="139"/>
      <c r="AR916" s="139"/>
      <c r="AS916" s="139"/>
      <c r="AT916" s="139"/>
      <c r="AU916" s="139"/>
      <c r="AV916" s="139"/>
      <c r="AW916" s="139"/>
      <c r="AX916" s="139"/>
      <c r="AY916" s="139"/>
      <c r="AZ916" s="139"/>
      <c r="BA916" s="139"/>
      <c r="BB916" s="139"/>
      <c r="BC916" s="139"/>
      <c r="BD916" s="139"/>
      <c r="BE916" s="139"/>
      <c r="BF916" s="139"/>
      <c r="BG916" s="139"/>
      <c r="BH916" s="139"/>
    </row>
    <row r="917" spans="2:60" s="11" customFormat="1" ht="20.100000000000001" customHeight="1">
      <c r="B917" s="1360"/>
      <c r="C917" s="5598"/>
      <c r="D917" s="5615" t="s">
        <v>618</v>
      </c>
      <c r="E917" s="5616"/>
      <c r="F917" s="285" t="s">
        <v>413</v>
      </c>
      <c r="G917" s="621"/>
      <c r="H917" s="6163"/>
      <c r="I917" s="9586" t="s">
        <v>619</v>
      </c>
      <c r="J917" s="9588"/>
      <c r="K917" s="285" t="s">
        <v>413</v>
      </c>
      <c r="L917" s="5653" t="str">
        <f>IF(COUNTBLANK(L918:L923)&gt;0,"미취합법인有",SUM(L918:L923))</f>
        <v>미취합법인有</v>
      </c>
      <c r="M917" s="5945"/>
      <c r="N917" s="5945" t="str">
        <f>IF(COUNTBLANK(N918:N923)&gt;0,"미취합법인有",SUM(N918:N923))</f>
        <v>미취합법인有</v>
      </c>
      <c r="O917" s="5945"/>
      <c r="P917" s="5946" t="str">
        <f>IF(COUNTBLANK(P918:P923)&gt;0,"미취합법인有",SUM(P918:P923))</f>
        <v>미취합법인有</v>
      </c>
      <c r="Q917" s="785"/>
      <c r="R917" s="2468"/>
      <c r="S917" s="276"/>
      <c r="T917" s="99" t="s">
        <v>189</v>
      </c>
      <c r="U917" s="547"/>
      <c r="V917" s="547"/>
      <c r="W917" s="299" t="s">
        <v>193</v>
      </c>
      <c r="X917" s="620" t="s">
        <v>617</v>
      </c>
      <c r="Y917" s="154"/>
      <c r="Z917" s="159"/>
      <c r="AA917" s="6305"/>
      <c r="AB917" s="139"/>
      <c r="AC917" s="139"/>
      <c r="AD917" s="139"/>
      <c r="AE917" s="139"/>
      <c r="AF917" s="139"/>
      <c r="AG917" s="139"/>
      <c r="AH917" s="139"/>
      <c r="AI917" s="139"/>
      <c r="AJ917" s="139"/>
      <c r="AK917" s="139"/>
      <c r="AL917" s="139"/>
      <c r="AM917" s="139"/>
      <c r="AN917" s="139"/>
      <c r="AO917" s="139"/>
      <c r="AP917" s="139"/>
      <c r="AQ917" s="139"/>
      <c r="AR917" s="139"/>
      <c r="AS917" s="139"/>
      <c r="AT917" s="139"/>
      <c r="AU917" s="139"/>
      <c r="AV917" s="139"/>
      <c r="AW917" s="139"/>
      <c r="AX917" s="139"/>
      <c r="AY917" s="139"/>
      <c r="AZ917" s="139"/>
      <c r="BA917" s="139"/>
      <c r="BB917" s="139"/>
      <c r="BC917" s="139"/>
      <c r="BD917" s="139"/>
      <c r="BE917" s="139"/>
      <c r="BF917" s="139"/>
      <c r="BG917" s="139"/>
      <c r="BH917" s="139"/>
    </row>
    <row r="918" spans="2:60" s="11" customFormat="1" ht="20.100000000000001" customHeight="1">
      <c r="B918" s="1360"/>
      <c r="C918" s="5598"/>
      <c r="D918" s="9598" t="s">
        <v>134</v>
      </c>
      <c r="E918" s="9600"/>
      <c r="F918" s="285" t="s">
        <v>413</v>
      </c>
      <c r="G918" s="666"/>
      <c r="H918" s="684"/>
      <c r="I918" s="9579" t="s">
        <v>135</v>
      </c>
      <c r="J918" s="9581"/>
      <c r="K918" s="285" t="s">
        <v>413</v>
      </c>
      <c r="L918" s="5592"/>
      <c r="M918" s="5948" t="s">
        <v>302</v>
      </c>
      <c r="N918" s="5948"/>
      <c r="O918" s="5948" t="s">
        <v>302</v>
      </c>
      <c r="P918" s="5948"/>
      <c r="Q918" s="5948" t="s">
        <v>302</v>
      </c>
      <c r="R918" s="2468"/>
      <c r="S918" s="544"/>
      <c r="T918" s="545"/>
      <c r="U918" s="546"/>
      <c r="V918" s="547"/>
      <c r="W918" s="299" t="s">
        <v>193</v>
      </c>
      <c r="X918" s="277"/>
      <c r="Y918" s="277"/>
      <c r="Z918" s="187"/>
      <c r="AA918" s="6301"/>
      <c r="AB918" s="139"/>
      <c r="AC918" s="139"/>
      <c r="AD918" s="139"/>
      <c r="AE918" s="139"/>
      <c r="AF918" s="139"/>
      <c r="AG918" s="139"/>
      <c r="AH918" s="139"/>
      <c r="AI918" s="139"/>
      <c r="AJ918" s="139"/>
      <c r="AK918" s="139"/>
      <c r="AL918" s="139"/>
      <c r="AM918" s="139"/>
      <c r="AN918" s="139"/>
      <c r="AO918" s="139"/>
      <c r="AP918" s="139"/>
      <c r="AQ918" s="139"/>
      <c r="AR918" s="139"/>
      <c r="AS918" s="139"/>
      <c r="AT918" s="139"/>
      <c r="AU918" s="139"/>
      <c r="AV918" s="139"/>
      <c r="AW918" s="139"/>
      <c r="AX918" s="139"/>
      <c r="AY918" s="139"/>
      <c r="AZ918" s="139"/>
      <c r="BA918" s="139"/>
      <c r="BB918" s="139"/>
      <c r="BC918" s="139"/>
      <c r="BD918" s="139"/>
      <c r="BE918" s="139"/>
      <c r="BF918" s="139"/>
      <c r="BG918" s="139"/>
      <c r="BH918" s="139"/>
    </row>
    <row r="919" spans="2:60" s="11" customFormat="1" ht="20.100000000000001" customHeight="1">
      <c r="B919" s="1360"/>
      <c r="C919" s="5598"/>
      <c r="D919" s="9598" t="s">
        <v>137</v>
      </c>
      <c r="E919" s="9600"/>
      <c r="F919" s="285" t="s">
        <v>413</v>
      </c>
      <c r="G919" s="666"/>
      <c r="H919" s="684"/>
      <c r="I919" s="9579" t="s">
        <v>138</v>
      </c>
      <c r="J919" s="9581"/>
      <c r="K919" s="285" t="s">
        <v>413</v>
      </c>
      <c r="L919" s="5594"/>
      <c r="M919" s="516"/>
      <c r="N919" s="5601"/>
      <c r="O919" s="5601"/>
      <c r="P919" s="1814"/>
      <c r="Q919" s="5601"/>
      <c r="R919" s="2468"/>
      <c r="S919" s="544"/>
      <c r="T919" s="545"/>
      <c r="U919" s="546"/>
      <c r="V919" s="547"/>
      <c r="W919" s="299" t="s">
        <v>193</v>
      </c>
      <c r="X919" s="277"/>
      <c r="Y919" s="277"/>
      <c r="Z919" s="187"/>
      <c r="AA919" s="6301"/>
      <c r="AB919" s="139"/>
      <c r="AC919" s="139"/>
      <c r="AD919" s="139"/>
      <c r="AE919" s="139"/>
      <c r="AF919" s="139"/>
      <c r="AG919" s="139"/>
      <c r="AH919" s="139"/>
      <c r="AI919" s="139"/>
      <c r="AJ919" s="139"/>
      <c r="AK919" s="139"/>
      <c r="AL919" s="139"/>
      <c r="AM919" s="139"/>
      <c r="AN919" s="139"/>
      <c r="AO919" s="139"/>
      <c r="AP919" s="139"/>
      <c r="AQ919" s="139"/>
      <c r="AR919" s="139"/>
      <c r="AS919" s="139"/>
      <c r="AT919" s="139"/>
      <c r="AU919" s="139"/>
      <c r="AV919" s="139"/>
      <c r="AW919" s="139"/>
      <c r="AX919" s="139"/>
      <c r="AY919" s="139"/>
      <c r="AZ919" s="139"/>
      <c r="BA919" s="139"/>
      <c r="BB919" s="139"/>
      <c r="BC919" s="139"/>
      <c r="BD919" s="139"/>
      <c r="BE919" s="139"/>
      <c r="BF919" s="139"/>
      <c r="BG919" s="139"/>
      <c r="BH919" s="139"/>
    </row>
    <row r="920" spans="2:60" s="11" customFormat="1" ht="20.100000000000001" customHeight="1">
      <c r="B920" s="1360"/>
      <c r="C920" s="5598"/>
      <c r="D920" s="9598" t="s">
        <v>140</v>
      </c>
      <c r="E920" s="9600"/>
      <c r="F920" s="285" t="s">
        <v>413</v>
      </c>
      <c r="G920" s="666"/>
      <c r="H920" s="684"/>
      <c r="I920" s="9582" t="s">
        <v>141</v>
      </c>
      <c r="J920" s="9583"/>
      <c r="K920" s="285" t="s">
        <v>413</v>
      </c>
      <c r="L920" s="5594"/>
      <c r="M920" s="516"/>
      <c r="N920" s="5601"/>
      <c r="O920" s="5601"/>
      <c r="P920" s="1814"/>
      <c r="Q920" s="5601"/>
      <c r="R920" s="2468"/>
      <c r="S920" s="544"/>
      <c r="T920" s="545"/>
      <c r="U920" s="546"/>
      <c r="V920" s="547"/>
      <c r="W920" s="299" t="s">
        <v>193</v>
      </c>
      <c r="X920" s="277"/>
      <c r="Y920" s="277"/>
      <c r="Z920" s="187"/>
      <c r="AA920" s="6301"/>
      <c r="AB920" s="139"/>
      <c r="AC920" s="139"/>
      <c r="AD920" s="139"/>
      <c r="AE920" s="139"/>
      <c r="AF920" s="139"/>
      <c r="AG920" s="139"/>
      <c r="AH920" s="139"/>
      <c r="AI920" s="139"/>
      <c r="AJ920" s="139"/>
      <c r="AK920" s="139"/>
      <c r="AL920" s="139"/>
      <c r="AM920" s="139"/>
      <c r="AN920" s="139"/>
      <c r="AO920" s="139"/>
      <c r="AP920" s="139"/>
      <c r="AQ920" s="139"/>
      <c r="AR920" s="139"/>
      <c r="AS920" s="139"/>
      <c r="AT920" s="139"/>
      <c r="AU920" s="139"/>
      <c r="AV920" s="139"/>
      <c r="AW920" s="139"/>
      <c r="AX920" s="139"/>
      <c r="AY920" s="139"/>
      <c r="AZ920" s="139"/>
      <c r="BA920" s="139"/>
      <c r="BB920" s="139"/>
      <c r="BC920" s="139"/>
      <c r="BD920" s="139"/>
      <c r="BE920" s="139"/>
      <c r="BF920" s="139"/>
      <c r="BG920" s="139"/>
      <c r="BH920" s="139"/>
    </row>
    <row r="921" spans="2:60" s="11" customFormat="1" ht="20.100000000000001" customHeight="1">
      <c r="B921" s="1360"/>
      <c r="C921" s="5598"/>
      <c r="D921" s="9598" t="s">
        <v>143</v>
      </c>
      <c r="E921" s="9600"/>
      <c r="F921" s="285" t="s">
        <v>413</v>
      </c>
      <c r="G921" s="666"/>
      <c r="H921" s="684"/>
      <c r="I921" s="9582" t="s">
        <v>144</v>
      </c>
      <c r="J921" s="9583"/>
      <c r="K921" s="285" t="s">
        <v>413</v>
      </c>
      <c r="L921" s="5594"/>
      <c r="M921" s="516"/>
      <c r="N921" s="5601"/>
      <c r="O921" s="5601"/>
      <c r="P921" s="1814"/>
      <c r="Q921" s="5601"/>
      <c r="R921" s="2468"/>
      <c r="S921" s="544"/>
      <c r="T921" s="545"/>
      <c r="U921" s="546"/>
      <c r="V921" s="547"/>
      <c r="W921" s="299" t="s">
        <v>193</v>
      </c>
      <c r="X921" s="277"/>
      <c r="Y921" s="277"/>
      <c r="Z921" s="187"/>
      <c r="AA921" s="6301"/>
      <c r="AB921" s="139"/>
      <c r="AC921" s="139"/>
      <c r="AD921" s="139"/>
      <c r="AE921" s="139"/>
      <c r="AF921" s="139"/>
      <c r="AG921" s="139"/>
      <c r="AH921" s="139"/>
      <c r="AI921" s="139"/>
      <c r="AJ921" s="139"/>
      <c r="AK921" s="139"/>
      <c r="AL921" s="139"/>
      <c r="AM921" s="139"/>
      <c r="AN921" s="139"/>
      <c r="AO921" s="139"/>
      <c r="AP921" s="139"/>
      <c r="AQ921" s="139"/>
      <c r="AR921" s="139"/>
      <c r="AS921" s="139"/>
      <c r="AT921" s="139"/>
      <c r="AU921" s="139"/>
      <c r="AV921" s="139"/>
      <c r="AW921" s="139"/>
      <c r="AX921" s="139"/>
      <c r="AY921" s="139"/>
      <c r="AZ921" s="139"/>
      <c r="BA921" s="139"/>
      <c r="BB921" s="139"/>
      <c r="BC921" s="139"/>
      <c r="BD921" s="139"/>
      <c r="BE921" s="139"/>
      <c r="BF921" s="139"/>
      <c r="BG921" s="139"/>
      <c r="BH921" s="139"/>
    </row>
    <row r="922" spans="2:60" s="11" customFormat="1" ht="20.100000000000001" customHeight="1">
      <c r="B922" s="1360"/>
      <c r="C922" s="5598"/>
      <c r="D922" s="9598" t="s">
        <v>631</v>
      </c>
      <c r="E922" s="9600"/>
      <c r="F922" s="285" t="s">
        <v>413</v>
      </c>
      <c r="G922" s="666"/>
      <c r="H922" s="684"/>
      <c r="I922" s="9582" t="s">
        <v>147</v>
      </c>
      <c r="J922" s="9583"/>
      <c r="K922" s="285" t="s">
        <v>413</v>
      </c>
      <c r="L922" s="5967" t="s">
        <v>168</v>
      </c>
      <c r="M922" s="5948" t="s">
        <v>641</v>
      </c>
      <c r="N922" s="5948" t="s">
        <v>168</v>
      </c>
      <c r="O922" s="5948" t="s">
        <v>641</v>
      </c>
      <c r="P922" s="5948" t="s">
        <v>168</v>
      </c>
      <c r="Q922" s="5948" t="s">
        <v>641</v>
      </c>
      <c r="R922" s="2468"/>
      <c r="S922" s="544"/>
      <c r="T922" s="545"/>
      <c r="U922" s="546"/>
      <c r="V922" s="547"/>
      <c r="W922" s="299" t="s">
        <v>193</v>
      </c>
      <c r="X922" s="277"/>
      <c r="Y922" s="277"/>
      <c r="Z922" s="187"/>
      <c r="AA922" s="6301"/>
      <c r="AB922" s="139"/>
      <c r="AC922" s="139"/>
      <c r="AD922" s="139"/>
      <c r="AE922" s="139"/>
      <c r="AF922" s="139"/>
      <c r="AG922" s="139"/>
      <c r="AH922" s="139"/>
      <c r="AI922" s="139"/>
      <c r="AJ922" s="139"/>
      <c r="AK922" s="139"/>
      <c r="AL922" s="139"/>
      <c r="AM922" s="139"/>
      <c r="AN922" s="139"/>
      <c r="AO922" s="139"/>
      <c r="AP922" s="139"/>
      <c r="AQ922" s="139"/>
      <c r="AR922" s="139"/>
      <c r="AS922" s="139"/>
      <c r="AT922" s="139"/>
      <c r="AU922" s="139"/>
      <c r="AV922" s="139"/>
      <c r="AW922" s="139"/>
      <c r="AX922" s="139"/>
      <c r="AY922" s="139"/>
      <c r="AZ922" s="139"/>
      <c r="BA922" s="139"/>
      <c r="BB922" s="139"/>
      <c r="BC922" s="139"/>
      <c r="BD922" s="139"/>
      <c r="BE922" s="139"/>
      <c r="BF922" s="139"/>
      <c r="BG922" s="139"/>
      <c r="BH922" s="139"/>
    </row>
    <row r="923" spans="2:60" s="11" customFormat="1" ht="20.100000000000001" customHeight="1">
      <c r="B923" s="1360"/>
      <c r="C923" s="5598"/>
      <c r="D923" s="9598" t="s">
        <v>633</v>
      </c>
      <c r="E923" s="9600"/>
      <c r="F923" s="285" t="s">
        <v>413</v>
      </c>
      <c r="G923" s="666"/>
      <c r="H923" s="684"/>
      <c r="I923" s="9582" t="s">
        <v>150</v>
      </c>
      <c r="J923" s="9583"/>
      <c r="K923" s="285" t="s">
        <v>413</v>
      </c>
      <c r="L923" s="5594"/>
      <c r="M923" s="516"/>
      <c r="N923" s="5601"/>
      <c r="O923" s="5601"/>
      <c r="P923" s="1814"/>
      <c r="Q923" s="5601"/>
      <c r="R923" s="2468"/>
      <c r="S923" s="544"/>
      <c r="T923" s="545"/>
      <c r="U923" s="546"/>
      <c r="V923" s="547"/>
      <c r="W923" s="299" t="s">
        <v>193</v>
      </c>
      <c r="X923" s="277"/>
      <c r="Y923" s="277"/>
      <c r="Z923" s="187"/>
      <c r="AA923" s="6301"/>
      <c r="AB923" s="139"/>
      <c r="AC923" s="139"/>
      <c r="AD923" s="139"/>
      <c r="AE923" s="139"/>
      <c r="AF923" s="139"/>
      <c r="AG923" s="139"/>
      <c r="AH923" s="139"/>
      <c r="AI923" s="139"/>
      <c r="AJ923" s="139"/>
      <c r="AK923" s="139"/>
      <c r="AL923" s="139"/>
      <c r="AM923" s="139"/>
      <c r="AN923" s="139"/>
      <c r="AO923" s="139"/>
      <c r="AP923" s="139"/>
      <c r="AQ923" s="139"/>
      <c r="AR923" s="139"/>
      <c r="AS923" s="139"/>
      <c r="AT923" s="139"/>
      <c r="AU923" s="139"/>
      <c r="AV923" s="139"/>
      <c r="AW923" s="139"/>
      <c r="AX923" s="139"/>
      <c r="AY923" s="139"/>
      <c r="AZ923" s="139"/>
      <c r="BA923" s="139"/>
      <c r="BB923" s="139"/>
      <c r="BC923" s="139"/>
      <c r="BD923" s="139"/>
      <c r="BE923" s="139"/>
      <c r="BF923" s="139"/>
      <c r="BG923" s="139"/>
      <c r="BH923" s="139"/>
    </row>
    <row r="924" spans="2:60" s="11" customFormat="1" ht="20.100000000000001" customHeight="1">
      <c r="B924" s="1360"/>
      <c r="C924" s="5598"/>
      <c r="D924" s="5615" t="s">
        <v>620</v>
      </c>
      <c r="E924" s="5616"/>
      <c r="F924" s="285" t="s">
        <v>413</v>
      </c>
      <c r="G924" s="621"/>
      <c r="H924" s="6163"/>
      <c r="I924" s="9586" t="s">
        <v>621</v>
      </c>
      <c r="J924" s="9588"/>
      <c r="K924" s="285" t="s">
        <v>413</v>
      </c>
      <c r="L924" s="5653" t="str">
        <f>IF(COUNTBLANK(L925:L930)&gt;0,"미취합법인有",SUM(L925:L930))</f>
        <v>미취합법인有</v>
      </c>
      <c r="M924" s="5945"/>
      <c r="N924" s="5945" t="str">
        <f>IF(COUNTBLANK(N925:N930)&gt;0,"미취합법인有",SUM(N925:N930))</f>
        <v>미취합법인有</v>
      </c>
      <c r="O924" s="5945"/>
      <c r="P924" s="5946" t="str">
        <f>IF(COUNTBLANK(P925:P930)&gt;0,"미취합법인有",SUM(P925:P930))</f>
        <v>미취합법인有</v>
      </c>
      <c r="Q924" s="785"/>
      <c r="R924" s="2468"/>
      <c r="S924" s="276"/>
      <c r="T924" s="99" t="s">
        <v>189</v>
      </c>
      <c r="U924" s="547"/>
      <c r="V924" s="547"/>
      <c r="W924" s="299" t="s">
        <v>193</v>
      </c>
      <c r="X924" s="620" t="s">
        <v>617</v>
      </c>
      <c r="Y924" s="154"/>
      <c r="Z924" s="159"/>
      <c r="AA924" s="6305"/>
      <c r="AB924" s="139"/>
      <c r="AC924" s="139"/>
      <c r="AD924" s="139"/>
      <c r="AE924" s="139"/>
      <c r="AF924" s="139"/>
      <c r="AG924" s="139"/>
      <c r="AH924" s="139"/>
      <c r="AI924" s="139"/>
      <c r="AJ924" s="139"/>
      <c r="AK924" s="139"/>
      <c r="AL924" s="139"/>
      <c r="AM924" s="139"/>
      <c r="AN924" s="139"/>
      <c r="AO924" s="139"/>
      <c r="AP924" s="139"/>
      <c r="AQ924" s="139"/>
      <c r="AR924" s="139"/>
      <c r="AS924" s="139"/>
      <c r="AT924" s="139"/>
      <c r="AU924" s="139"/>
      <c r="AV924" s="139"/>
      <c r="AW924" s="139"/>
      <c r="AX924" s="139"/>
      <c r="AY924" s="139"/>
      <c r="AZ924" s="139"/>
      <c r="BA924" s="139"/>
      <c r="BB924" s="139"/>
      <c r="BC924" s="139"/>
      <c r="BD924" s="139"/>
      <c r="BE924" s="139"/>
      <c r="BF924" s="139"/>
      <c r="BG924" s="139"/>
      <c r="BH924" s="139"/>
    </row>
    <row r="925" spans="2:60" s="11" customFormat="1" ht="20.100000000000001" customHeight="1">
      <c r="B925" s="1360"/>
      <c r="C925" s="5598"/>
      <c r="D925" s="9598" t="s">
        <v>134</v>
      </c>
      <c r="E925" s="9600"/>
      <c r="F925" s="285" t="s">
        <v>413</v>
      </c>
      <c r="G925" s="666"/>
      <c r="H925" s="684"/>
      <c r="I925" s="9579" t="s">
        <v>135</v>
      </c>
      <c r="J925" s="9581"/>
      <c r="K925" s="285" t="s">
        <v>413</v>
      </c>
      <c r="L925" s="5592"/>
      <c r="M925" s="5948" t="s">
        <v>302</v>
      </c>
      <c r="N925" s="5948"/>
      <c r="O925" s="5948" t="s">
        <v>302</v>
      </c>
      <c r="P925" s="5948"/>
      <c r="Q925" s="5948" t="s">
        <v>302</v>
      </c>
      <c r="R925" s="2468"/>
      <c r="S925" s="544"/>
      <c r="T925" s="545"/>
      <c r="U925" s="546"/>
      <c r="V925" s="547"/>
      <c r="W925" s="299" t="s">
        <v>193</v>
      </c>
      <c r="X925" s="277"/>
      <c r="Y925" s="277"/>
      <c r="Z925" s="187"/>
      <c r="AA925" s="6301"/>
      <c r="AB925" s="139"/>
      <c r="AC925" s="139"/>
      <c r="AD925" s="139"/>
      <c r="AE925" s="139"/>
      <c r="AF925" s="139"/>
      <c r="AG925" s="139"/>
      <c r="AH925" s="139"/>
      <c r="AI925" s="139"/>
      <c r="AJ925" s="139"/>
      <c r="AK925" s="139"/>
      <c r="AL925" s="139"/>
      <c r="AM925" s="139"/>
      <c r="AN925" s="139"/>
      <c r="AO925" s="139"/>
      <c r="AP925" s="139"/>
      <c r="AQ925" s="139"/>
      <c r="AR925" s="139"/>
      <c r="AS925" s="139"/>
      <c r="AT925" s="139"/>
      <c r="AU925" s="139"/>
      <c r="AV925" s="139"/>
      <c r="AW925" s="139"/>
      <c r="AX925" s="139"/>
      <c r="AY925" s="139"/>
      <c r="AZ925" s="139"/>
      <c r="BA925" s="139"/>
      <c r="BB925" s="139"/>
      <c r="BC925" s="139"/>
      <c r="BD925" s="139"/>
      <c r="BE925" s="139"/>
      <c r="BF925" s="139"/>
      <c r="BG925" s="139"/>
      <c r="BH925" s="139"/>
    </row>
    <row r="926" spans="2:60" s="11" customFormat="1" ht="20.100000000000001" customHeight="1">
      <c r="B926" s="1360"/>
      <c r="C926" s="5598"/>
      <c r="D926" s="9598" t="s">
        <v>137</v>
      </c>
      <c r="E926" s="9600"/>
      <c r="F926" s="285" t="s">
        <v>413</v>
      </c>
      <c r="G926" s="666"/>
      <c r="H926" s="684"/>
      <c r="I926" s="9579" t="s">
        <v>138</v>
      </c>
      <c r="J926" s="9581"/>
      <c r="K926" s="285" t="s">
        <v>413</v>
      </c>
      <c r="L926" s="5594"/>
      <c r="M926" s="516"/>
      <c r="N926" s="5601"/>
      <c r="O926" s="5601"/>
      <c r="P926" s="1814"/>
      <c r="Q926" s="5601"/>
      <c r="R926" s="2468"/>
      <c r="S926" s="544"/>
      <c r="T926" s="545"/>
      <c r="U926" s="546"/>
      <c r="V926" s="547"/>
      <c r="W926" s="299" t="s">
        <v>193</v>
      </c>
      <c r="X926" s="277"/>
      <c r="Y926" s="277"/>
      <c r="Z926" s="187"/>
      <c r="AA926" s="6301"/>
      <c r="AB926" s="139"/>
      <c r="AC926" s="139"/>
      <c r="AD926" s="139"/>
      <c r="AE926" s="139"/>
      <c r="AF926" s="139"/>
      <c r="AG926" s="139"/>
      <c r="AH926" s="139"/>
      <c r="AI926" s="139"/>
      <c r="AJ926" s="139"/>
      <c r="AK926" s="139"/>
      <c r="AL926" s="139"/>
      <c r="AM926" s="139"/>
      <c r="AN926" s="139"/>
      <c r="AO926" s="139"/>
      <c r="AP926" s="139"/>
      <c r="AQ926" s="139"/>
      <c r="AR926" s="139"/>
      <c r="AS926" s="139"/>
      <c r="AT926" s="139"/>
      <c r="AU926" s="139"/>
      <c r="AV926" s="139"/>
      <c r="AW926" s="139"/>
      <c r="AX926" s="139"/>
      <c r="AY926" s="139"/>
      <c r="AZ926" s="139"/>
      <c r="BA926" s="139"/>
      <c r="BB926" s="139"/>
      <c r="BC926" s="139"/>
      <c r="BD926" s="139"/>
      <c r="BE926" s="139"/>
      <c r="BF926" s="139"/>
      <c r="BG926" s="139"/>
      <c r="BH926" s="139"/>
    </row>
    <row r="927" spans="2:60" s="11" customFormat="1" ht="20.100000000000001" customHeight="1">
      <c r="B927" s="1360"/>
      <c r="C927" s="5598"/>
      <c r="D927" s="9598" t="s">
        <v>140</v>
      </c>
      <c r="E927" s="9600"/>
      <c r="F927" s="285" t="s">
        <v>413</v>
      </c>
      <c r="G927" s="666"/>
      <c r="H927" s="684"/>
      <c r="I927" s="9582" t="s">
        <v>141</v>
      </c>
      <c r="J927" s="9583"/>
      <c r="K927" s="285" t="s">
        <v>413</v>
      </c>
      <c r="L927" s="5594"/>
      <c r="M927" s="516"/>
      <c r="N927" s="5601"/>
      <c r="O927" s="5601"/>
      <c r="P927" s="1814"/>
      <c r="Q927" s="5601"/>
      <c r="R927" s="2468"/>
      <c r="S927" s="544"/>
      <c r="T927" s="545"/>
      <c r="U927" s="546"/>
      <c r="V927" s="547"/>
      <c r="W927" s="299" t="s">
        <v>193</v>
      </c>
      <c r="X927" s="277"/>
      <c r="Y927" s="277"/>
      <c r="Z927" s="187"/>
      <c r="AA927" s="6301"/>
      <c r="AB927" s="139"/>
      <c r="AC927" s="139"/>
      <c r="AD927" s="139"/>
      <c r="AE927" s="139"/>
      <c r="AF927" s="139"/>
      <c r="AG927" s="139"/>
      <c r="AH927" s="139"/>
      <c r="AI927" s="139"/>
      <c r="AJ927" s="139"/>
      <c r="AK927" s="139"/>
      <c r="AL927" s="139"/>
      <c r="AM927" s="139"/>
      <c r="AN927" s="139"/>
      <c r="AO927" s="139"/>
      <c r="AP927" s="139"/>
      <c r="AQ927" s="139"/>
      <c r="AR927" s="139"/>
      <c r="AS927" s="139"/>
      <c r="AT927" s="139"/>
      <c r="AU927" s="139"/>
      <c r="AV927" s="139"/>
      <c r="AW927" s="139"/>
      <c r="AX927" s="139"/>
      <c r="AY927" s="139"/>
      <c r="AZ927" s="139"/>
      <c r="BA927" s="139"/>
      <c r="BB927" s="139"/>
      <c r="BC927" s="139"/>
      <c r="BD927" s="139"/>
      <c r="BE927" s="139"/>
      <c r="BF927" s="139"/>
      <c r="BG927" s="139"/>
      <c r="BH927" s="139"/>
    </row>
    <row r="928" spans="2:60" s="11" customFormat="1" ht="20.100000000000001" customHeight="1">
      <c r="B928" s="1360"/>
      <c r="C928" s="5598"/>
      <c r="D928" s="9598" t="s">
        <v>143</v>
      </c>
      <c r="E928" s="9600"/>
      <c r="F928" s="285" t="s">
        <v>413</v>
      </c>
      <c r="G928" s="666"/>
      <c r="H928" s="684"/>
      <c r="I928" s="9582" t="s">
        <v>144</v>
      </c>
      <c r="J928" s="9583"/>
      <c r="K928" s="285" t="s">
        <v>413</v>
      </c>
      <c r="L928" s="5594"/>
      <c r="M928" s="516"/>
      <c r="N928" s="5601"/>
      <c r="O928" s="5601"/>
      <c r="P928" s="1814"/>
      <c r="Q928" s="5601"/>
      <c r="R928" s="2468"/>
      <c r="S928" s="544"/>
      <c r="T928" s="545"/>
      <c r="U928" s="546"/>
      <c r="V928" s="547"/>
      <c r="W928" s="299" t="s">
        <v>193</v>
      </c>
      <c r="X928" s="277"/>
      <c r="Y928" s="277"/>
      <c r="Z928" s="187"/>
      <c r="AA928" s="6301"/>
      <c r="AB928" s="139"/>
      <c r="AC928" s="139"/>
      <c r="AD928" s="139"/>
      <c r="AE928" s="139"/>
      <c r="AF928" s="139"/>
      <c r="AG928" s="139"/>
      <c r="AH928" s="139"/>
      <c r="AI928" s="139"/>
      <c r="AJ928" s="139"/>
      <c r="AK928" s="139"/>
      <c r="AL928" s="139"/>
      <c r="AM928" s="139"/>
      <c r="AN928" s="139"/>
      <c r="AO928" s="139"/>
      <c r="AP928" s="139"/>
      <c r="AQ928" s="139"/>
      <c r="AR928" s="139"/>
      <c r="AS928" s="139"/>
      <c r="AT928" s="139"/>
      <c r="AU928" s="139"/>
      <c r="AV928" s="139"/>
      <c r="AW928" s="139"/>
      <c r="AX928" s="139"/>
      <c r="AY928" s="139"/>
      <c r="AZ928" s="139"/>
      <c r="BA928" s="139"/>
      <c r="BB928" s="139"/>
      <c r="BC928" s="139"/>
      <c r="BD928" s="139"/>
      <c r="BE928" s="139"/>
      <c r="BF928" s="139"/>
      <c r="BG928" s="139"/>
      <c r="BH928" s="139"/>
    </row>
    <row r="929" spans="2:60" s="11" customFormat="1" ht="20.100000000000001" customHeight="1">
      <c r="B929" s="1360"/>
      <c r="C929" s="5598"/>
      <c r="D929" s="9598" t="s">
        <v>631</v>
      </c>
      <c r="E929" s="9600"/>
      <c r="F929" s="285" t="s">
        <v>413</v>
      </c>
      <c r="G929" s="666"/>
      <c r="H929" s="684"/>
      <c r="I929" s="9582" t="s">
        <v>147</v>
      </c>
      <c r="J929" s="9583"/>
      <c r="K929" s="285" t="s">
        <v>413</v>
      </c>
      <c r="L929" s="5967" t="s">
        <v>168</v>
      </c>
      <c r="M929" s="5948" t="s">
        <v>641</v>
      </c>
      <c r="N929" s="5948" t="s">
        <v>168</v>
      </c>
      <c r="O929" s="5948" t="s">
        <v>641</v>
      </c>
      <c r="P929" s="5948" t="s">
        <v>168</v>
      </c>
      <c r="Q929" s="5948" t="s">
        <v>641</v>
      </c>
      <c r="R929" s="2468"/>
      <c r="S929" s="544"/>
      <c r="T929" s="545"/>
      <c r="U929" s="546"/>
      <c r="V929" s="547"/>
      <c r="W929" s="299" t="s">
        <v>193</v>
      </c>
      <c r="X929" s="277"/>
      <c r="Y929" s="277"/>
      <c r="Z929" s="187"/>
      <c r="AA929" s="6301"/>
      <c r="AB929" s="139"/>
      <c r="AC929" s="139"/>
      <c r="AD929" s="139"/>
      <c r="AE929" s="139"/>
      <c r="AF929" s="139"/>
      <c r="AG929" s="139"/>
      <c r="AH929" s="139"/>
      <c r="AI929" s="139"/>
      <c r="AJ929" s="139"/>
      <c r="AK929" s="139"/>
      <c r="AL929" s="139"/>
      <c r="AM929" s="139"/>
      <c r="AN929" s="139"/>
      <c r="AO929" s="139"/>
      <c r="AP929" s="139"/>
      <c r="AQ929" s="139"/>
      <c r="AR929" s="139"/>
      <c r="AS929" s="139"/>
      <c r="AT929" s="139"/>
      <c r="AU929" s="139"/>
      <c r="AV929" s="139"/>
      <c r="AW929" s="139"/>
      <c r="AX929" s="139"/>
      <c r="AY929" s="139"/>
      <c r="AZ929" s="139"/>
      <c r="BA929" s="139"/>
      <c r="BB929" s="139"/>
      <c r="BC929" s="139"/>
      <c r="BD929" s="139"/>
      <c r="BE929" s="139"/>
      <c r="BF929" s="139"/>
      <c r="BG929" s="139"/>
      <c r="BH929" s="139"/>
    </row>
    <row r="930" spans="2:60" s="11" customFormat="1" ht="20.100000000000001" customHeight="1">
      <c r="B930" s="1360"/>
      <c r="C930" s="5598"/>
      <c r="D930" s="9598" t="s">
        <v>633</v>
      </c>
      <c r="E930" s="9600"/>
      <c r="F930" s="285" t="s">
        <v>413</v>
      </c>
      <c r="G930" s="666"/>
      <c r="H930" s="684"/>
      <c r="I930" s="9582" t="s">
        <v>150</v>
      </c>
      <c r="J930" s="9583"/>
      <c r="K930" s="285" t="s">
        <v>413</v>
      </c>
      <c r="L930" s="5594"/>
      <c r="M930" s="516"/>
      <c r="N930" s="5601"/>
      <c r="O930" s="5601"/>
      <c r="P930" s="1814"/>
      <c r="Q930" s="5601"/>
      <c r="R930" s="2468"/>
      <c r="S930" s="544"/>
      <c r="T930" s="545"/>
      <c r="U930" s="546"/>
      <c r="V930" s="547"/>
      <c r="W930" s="299" t="s">
        <v>193</v>
      </c>
      <c r="X930" s="277"/>
      <c r="Y930" s="277"/>
      <c r="Z930" s="187"/>
      <c r="AA930" s="6301"/>
      <c r="AB930" s="139"/>
      <c r="AC930" s="139"/>
      <c r="AD930" s="139"/>
      <c r="AE930" s="139"/>
      <c r="AF930" s="139"/>
      <c r="AG930" s="139"/>
      <c r="AH930" s="139"/>
      <c r="AI930" s="139"/>
      <c r="AJ930" s="139"/>
      <c r="AK930" s="139"/>
      <c r="AL930" s="139"/>
      <c r="AM930" s="139"/>
      <c r="AN930" s="139"/>
      <c r="AO930" s="139"/>
      <c r="AP930" s="139"/>
      <c r="AQ930" s="139"/>
      <c r="AR930" s="139"/>
      <c r="AS930" s="139"/>
      <c r="AT930" s="139"/>
      <c r="AU930" s="139"/>
      <c r="AV930" s="139"/>
      <c r="AW930" s="139"/>
      <c r="AX930" s="139"/>
      <c r="AY930" s="139"/>
      <c r="AZ930" s="139"/>
      <c r="BA930" s="139"/>
      <c r="BB930" s="139"/>
      <c r="BC930" s="139"/>
      <c r="BD930" s="139"/>
      <c r="BE930" s="139"/>
      <c r="BF930" s="139"/>
      <c r="BG930" s="139"/>
      <c r="BH930" s="139"/>
    </row>
    <row r="931" spans="2:60" s="11" customFormat="1" ht="20.100000000000001" customHeight="1">
      <c r="B931" s="1360"/>
      <c r="C931" s="5598"/>
      <c r="D931" s="5615" t="s">
        <v>622</v>
      </c>
      <c r="E931" s="5616"/>
      <c r="F931" s="285" t="s">
        <v>413</v>
      </c>
      <c r="G931" s="621"/>
      <c r="H931" s="6163"/>
      <c r="I931" s="9586" t="s">
        <v>623</v>
      </c>
      <c r="J931" s="9588"/>
      <c r="K931" s="285" t="s">
        <v>413</v>
      </c>
      <c r="L931" s="5653" t="str">
        <f>IF(COUNTBLANK(L932:L937)&gt;0,"미취합법인有",SUM(L932:L937))</f>
        <v>미취합법인有</v>
      </c>
      <c r="M931" s="5945"/>
      <c r="N931" s="5945" t="str">
        <f>IF(COUNTBLANK(N932:N937)&gt;0,"미취합법인有",SUM(N932:N937))</f>
        <v>미취합법인有</v>
      </c>
      <c r="O931" s="5945"/>
      <c r="P931" s="5946" t="str">
        <f>IF(COUNTBLANK(P932:P937)&gt;0,"미취합법인有",SUM(P932:P937))</f>
        <v>미취합법인有</v>
      </c>
      <c r="Q931" s="785"/>
      <c r="R931" s="2472"/>
      <c r="S931" s="457"/>
      <c r="T931" s="99" t="s">
        <v>189</v>
      </c>
      <c r="U931" s="547"/>
      <c r="V931" s="547"/>
      <c r="W931" s="299" t="s">
        <v>193</v>
      </c>
      <c r="X931" s="620" t="s">
        <v>617</v>
      </c>
      <c r="Y931" s="154"/>
      <c r="Z931" s="159"/>
      <c r="AA931" s="6305"/>
      <c r="AB931" s="139"/>
      <c r="AC931" s="139"/>
      <c r="AD931" s="139"/>
      <c r="AE931" s="139"/>
      <c r="AF931" s="139"/>
      <c r="AG931" s="139"/>
      <c r="AH931" s="139"/>
      <c r="AI931" s="139"/>
      <c r="AJ931" s="139"/>
      <c r="AK931" s="139"/>
      <c r="AL931" s="139"/>
      <c r="AM931" s="139"/>
      <c r="AN931" s="139"/>
      <c r="AO931" s="139"/>
      <c r="AP931" s="139"/>
      <c r="AQ931" s="139"/>
      <c r="AR931" s="139"/>
      <c r="AS931" s="139"/>
      <c r="AT931" s="139"/>
      <c r="AU931" s="139"/>
      <c r="AV931" s="139"/>
      <c r="AW931" s="139"/>
      <c r="AX931" s="139"/>
      <c r="AY931" s="139"/>
      <c r="AZ931" s="139"/>
      <c r="BA931" s="139"/>
      <c r="BB931" s="139"/>
      <c r="BC931" s="139"/>
      <c r="BD931" s="139"/>
      <c r="BE931" s="139"/>
      <c r="BF931" s="139"/>
      <c r="BG931" s="139"/>
      <c r="BH931" s="139"/>
    </row>
    <row r="932" spans="2:60" s="11" customFormat="1" ht="20.100000000000001" customHeight="1">
      <c r="B932" s="1360"/>
      <c r="C932" s="5598"/>
      <c r="D932" s="9598" t="s">
        <v>134</v>
      </c>
      <c r="E932" s="9600"/>
      <c r="F932" s="285" t="s">
        <v>413</v>
      </c>
      <c r="G932" s="666"/>
      <c r="H932" s="684"/>
      <c r="I932" s="9579" t="s">
        <v>135</v>
      </c>
      <c r="J932" s="9581"/>
      <c r="K932" s="285" t="s">
        <v>413</v>
      </c>
      <c r="L932" s="5592"/>
      <c r="M932" s="5948" t="s">
        <v>302</v>
      </c>
      <c r="N932" s="5948"/>
      <c r="O932" s="5948" t="s">
        <v>302</v>
      </c>
      <c r="P932" s="5948"/>
      <c r="Q932" s="5948" t="s">
        <v>302</v>
      </c>
      <c r="R932" s="2468"/>
      <c r="S932" s="544"/>
      <c r="T932" s="545"/>
      <c r="U932" s="546"/>
      <c r="V932" s="547"/>
      <c r="W932" s="299" t="s">
        <v>193</v>
      </c>
      <c r="X932" s="277"/>
      <c r="Y932" s="277"/>
      <c r="Z932" s="187"/>
      <c r="AA932" s="6301"/>
      <c r="AB932" s="139"/>
      <c r="AC932" s="139"/>
      <c r="AD932" s="139"/>
      <c r="AE932" s="139"/>
      <c r="AF932" s="139"/>
      <c r="AG932" s="139"/>
      <c r="AH932" s="139"/>
      <c r="AI932" s="139"/>
      <c r="AJ932" s="139"/>
      <c r="AK932" s="139"/>
      <c r="AL932" s="139"/>
      <c r="AM932" s="139"/>
      <c r="AN932" s="139"/>
      <c r="AO932" s="139"/>
      <c r="AP932" s="139"/>
      <c r="AQ932" s="139"/>
      <c r="AR932" s="139"/>
      <c r="AS932" s="139"/>
      <c r="AT932" s="139"/>
      <c r="AU932" s="139"/>
      <c r="AV932" s="139"/>
      <c r="AW932" s="139"/>
      <c r="AX932" s="139"/>
      <c r="AY932" s="139"/>
      <c r="AZ932" s="139"/>
      <c r="BA932" s="139"/>
      <c r="BB932" s="139"/>
      <c r="BC932" s="139"/>
      <c r="BD932" s="139"/>
      <c r="BE932" s="139"/>
      <c r="BF932" s="139"/>
      <c r="BG932" s="139"/>
      <c r="BH932" s="139"/>
    </row>
    <row r="933" spans="2:60" s="11" customFormat="1" ht="20.100000000000001" customHeight="1">
      <c r="B933" s="1360"/>
      <c r="C933" s="5598"/>
      <c r="D933" s="9598" t="s">
        <v>137</v>
      </c>
      <c r="E933" s="9600"/>
      <c r="F933" s="285" t="s">
        <v>413</v>
      </c>
      <c r="G933" s="666"/>
      <c r="H933" s="684"/>
      <c r="I933" s="9579" t="s">
        <v>138</v>
      </c>
      <c r="J933" s="9581"/>
      <c r="K933" s="285" t="s">
        <v>413</v>
      </c>
      <c r="L933" s="5594"/>
      <c r="M933" s="516"/>
      <c r="N933" s="5601"/>
      <c r="O933" s="5601"/>
      <c r="P933" s="1814"/>
      <c r="Q933" s="5601"/>
      <c r="R933" s="2468"/>
      <c r="S933" s="544"/>
      <c r="T933" s="545"/>
      <c r="U933" s="546"/>
      <c r="V933" s="547"/>
      <c r="W933" s="299" t="s">
        <v>193</v>
      </c>
      <c r="X933" s="277"/>
      <c r="Y933" s="277"/>
      <c r="Z933" s="187"/>
      <c r="AA933" s="6301"/>
      <c r="AB933" s="139"/>
      <c r="AC933" s="139"/>
      <c r="AD933" s="139"/>
      <c r="AE933" s="139"/>
      <c r="AF933" s="139"/>
      <c r="AG933" s="139"/>
      <c r="AH933" s="139"/>
      <c r="AI933" s="139"/>
      <c r="AJ933" s="139"/>
      <c r="AK933" s="139"/>
      <c r="AL933" s="139"/>
      <c r="AM933" s="139"/>
      <c r="AN933" s="139"/>
      <c r="AO933" s="139"/>
      <c r="AP933" s="139"/>
      <c r="AQ933" s="139"/>
      <c r="AR933" s="139"/>
      <c r="AS933" s="139"/>
      <c r="AT933" s="139"/>
      <c r="AU933" s="139"/>
      <c r="AV933" s="139"/>
      <c r="AW933" s="139"/>
      <c r="AX933" s="139"/>
      <c r="AY933" s="139"/>
      <c r="AZ933" s="139"/>
      <c r="BA933" s="139"/>
      <c r="BB933" s="139"/>
      <c r="BC933" s="139"/>
      <c r="BD933" s="139"/>
      <c r="BE933" s="139"/>
      <c r="BF933" s="139"/>
      <c r="BG933" s="139"/>
      <c r="BH933" s="139"/>
    </row>
    <row r="934" spans="2:60" s="11" customFormat="1" ht="20.100000000000001" customHeight="1">
      <c r="B934" s="1360"/>
      <c r="C934" s="5598"/>
      <c r="D934" s="9598" t="s">
        <v>140</v>
      </c>
      <c r="E934" s="9600"/>
      <c r="F934" s="285" t="s">
        <v>413</v>
      </c>
      <c r="G934" s="666"/>
      <c r="H934" s="684"/>
      <c r="I934" s="9582" t="s">
        <v>141</v>
      </c>
      <c r="J934" s="9583"/>
      <c r="K934" s="285" t="s">
        <v>413</v>
      </c>
      <c r="L934" s="5594"/>
      <c r="M934" s="516"/>
      <c r="N934" s="5601"/>
      <c r="O934" s="5601"/>
      <c r="P934" s="1814"/>
      <c r="Q934" s="5601"/>
      <c r="R934" s="2468"/>
      <c r="S934" s="544"/>
      <c r="T934" s="545"/>
      <c r="U934" s="546"/>
      <c r="V934" s="547"/>
      <c r="W934" s="299" t="s">
        <v>193</v>
      </c>
      <c r="X934" s="277"/>
      <c r="Y934" s="277"/>
      <c r="Z934" s="187"/>
      <c r="AA934" s="6301"/>
      <c r="AB934" s="139"/>
      <c r="AC934" s="139"/>
      <c r="AD934" s="139"/>
      <c r="AE934" s="139"/>
      <c r="AF934" s="139"/>
      <c r="AG934" s="139"/>
      <c r="AH934" s="139"/>
      <c r="AI934" s="139"/>
      <c r="AJ934" s="139"/>
      <c r="AK934" s="139"/>
      <c r="AL934" s="139"/>
      <c r="AM934" s="139"/>
      <c r="AN934" s="139"/>
      <c r="AO934" s="139"/>
      <c r="AP934" s="139"/>
      <c r="AQ934" s="139"/>
      <c r="AR934" s="139"/>
      <c r="AS934" s="139"/>
      <c r="AT934" s="139"/>
      <c r="AU934" s="139"/>
      <c r="AV934" s="139"/>
      <c r="AW934" s="139"/>
      <c r="AX934" s="139"/>
      <c r="AY934" s="139"/>
      <c r="AZ934" s="139"/>
      <c r="BA934" s="139"/>
      <c r="BB934" s="139"/>
      <c r="BC934" s="139"/>
      <c r="BD934" s="139"/>
      <c r="BE934" s="139"/>
      <c r="BF934" s="139"/>
      <c r="BG934" s="139"/>
      <c r="BH934" s="139"/>
    </row>
    <row r="935" spans="2:60" s="11" customFormat="1" ht="20.100000000000001" customHeight="1">
      <c r="B935" s="1360"/>
      <c r="C935" s="5598"/>
      <c r="D935" s="9598" t="s">
        <v>143</v>
      </c>
      <c r="E935" s="9600"/>
      <c r="F935" s="285" t="s">
        <v>413</v>
      </c>
      <c r="G935" s="666"/>
      <c r="H935" s="684"/>
      <c r="I935" s="9582" t="s">
        <v>144</v>
      </c>
      <c r="J935" s="9583"/>
      <c r="K935" s="285" t="s">
        <v>413</v>
      </c>
      <c r="L935" s="5594"/>
      <c r="M935" s="516"/>
      <c r="N935" s="5601"/>
      <c r="O935" s="5601"/>
      <c r="P935" s="1814"/>
      <c r="Q935" s="5601"/>
      <c r="R935" s="2468"/>
      <c r="S935" s="544"/>
      <c r="T935" s="545"/>
      <c r="U935" s="546"/>
      <c r="V935" s="547"/>
      <c r="W935" s="299" t="s">
        <v>193</v>
      </c>
      <c r="X935" s="277"/>
      <c r="Y935" s="277"/>
      <c r="Z935" s="187"/>
      <c r="AA935" s="6301"/>
      <c r="AB935" s="139"/>
      <c r="AC935" s="139"/>
      <c r="AD935" s="139"/>
      <c r="AE935" s="139"/>
      <c r="AF935" s="139"/>
      <c r="AG935" s="139"/>
      <c r="AH935" s="139"/>
      <c r="AI935" s="139"/>
      <c r="AJ935" s="139"/>
      <c r="AK935" s="139"/>
      <c r="AL935" s="139"/>
      <c r="AM935" s="139"/>
      <c r="AN935" s="139"/>
      <c r="AO935" s="139"/>
      <c r="AP935" s="139"/>
      <c r="AQ935" s="139"/>
      <c r="AR935" s="139"/>
      <c r="AS935" s="139"/>
      <c r="AT935" s="139"/>
      <c r="AU935" s="139"/>
      <c r="AV935" s="139"/>
      <c r="AW935" s="139"/>
      <c r="AX935" s="139"/>
      <c r="AY935" s="139"/>
      <c r="AZ935" s="139"/>
      <c r="BA935" s="139"/>
      <c r="BB935" s="139"/>
      <c r="BC935" s="139"/>
      <c r="BD935" s="139"/>
      <c r="BE935" s="139"/>
      <c r="BF935" s="139"/>
      <c r="BG935" s="139"/>
      <c r="BH935" s="139"/>
    </row>
    <row r="936" spans="2:60" s="11" customFormat="1" ht="20.100000000000001" customHeight="1">
      <c r="B936" s="1360"/>
      <c r="C936" s="5598"/>
      <c r="D936" s="9598" t="s">
        <v>631</v>
      </c>
      <c r="E936" s="9600"/>
      <c r="F936" s="285" t="s">
        <v>413</v>
      </c>
      <c r="G936" s="666"/>
      <c r="H936" s="684"/>
      <c r="I936" s="9582" t="s">
        <v>147</v>
      </c>
      <c r="J936" s="9583"/>
      <c r="K936" s="285" t="s">
        <v>413</v>
      </c>
      <c r="L936" s="5967" t="s">
        <v>168</v>
      </c>
      <c r="M936" s="5948" t="s">
        <v>641</v>
      </c>
      <c r="N936" s="5948" t="s">
        <v>168</v>
      </c>
      <c r="O936" s="5948" t="s">
        <v>641</v>
      </c>
      <c r="P936" s="5948" t="s">
        <v>168</v>
      </c>
      <c r="Q936" s="5948" t="s">
        <v>641</v>
      </c>
      <c r="R936" s="2468"/>
      <c r="S936" s="544"/>
      <c r="T936" s="545"/>
      <c r="U936" s="546"/>
      <c r="V936" s="547"/>
      <c r="W936" s="299" t="s">
        <v>193</v>
      </c>
      <c r="X936" s="277"/>
      <c r="Y936" s="277"/>
      <c r="Z936" s="187"/>
      <c r="AA936" s="6301"/>
      <c r="AB936" s="139"/>
      <c r="AC936" s="139"/>
      <c r="AD936" s="139"/>
      <c r="AE936" s="139"/>
      <c r="AF936" s="139"/>
      <c r="AG936" s="139"/>
      <c r="AH936" s="139"/>
      <c r="AI936" s="139"/>
      <c r="AJ936" s="139"/>
      <c r="AK936" s="139"/>
      <c r="AL936" s="139"/>
      <c r="AM936" s="139"/>
      <c r="AN936" s="139"/>
      <c r="AO936" s="139"/>
      <c r="AP936" s="139"/>
      <c r="AQ936" s="139"/>
      <c r="AR936" s="139"/>
      <c r="AS936" s="139"/>
      <c r="AT936" s="139"/>
      <c r="AU936" s="139"/>
      <c r="AV936" s="139"/>
      <c r="AW936" s="139"/>
      <c r="AX936" s="139"/>
      <c r="AY936" s="139"/>
      <c r="AZ936" s="139"/>
      <c r="BA936" s="139"/>
      <c r="BB936" s="139"/>
      <c r="BC936" s="139"/>
      <c r="BD936" s="139"/>
      <c r="BE936" s="139"/>
      <c r="BF936" s="139"/>
      <c r="BG936" s="139"/>
      <c r="BH936" s="139"/>
    </row>
    <row r="937" spans="2:60" s="11" customFormat="1" ht="20.100000000000001" customHeight="1">
      <c r="B937" s="1360"/>
      <c r="C937" s="5598"/>
      <c r="D937" s="9598" t="s">
        <v>633</v>
      </c>
      <c r="E937" s="9600"/>
      <c r="F937" s="285" t="s">
        <v>413</v>
      </c>
      <c r="G937" s="666"/>
      <c r="H937" s="684"/>
      <c r="I937" s="9582" t="s">
        <v>150</v>
      </c>
      <c r="J937" s="9583"/>
      <c r="K937" s="285" t="s">
        <v>413</v>
      </c>
      <c r="L937" s="5594"/>
      <c r="M937" s="516"/>
      <c r="N937" s="5601"/>
      <c r="O937" s="5601"/>
      <c r="P937" s="1814"/>
      <c r="Q937" s="5601"/>
      <c r="R937" s="2468"/>
      <c r="S937" s="544"/>
      <c r="T937" s="545"/>
      <c r="U937" s="546"/>
      <c r="V937" s="547"/>
      <c r="W937" s="299" t="s">
        <v>193</v>
      </c>
      <c r="X937" s="277"/>
      <c r="Y937" s="277"/>
      <c r="Z937" s="187"/>
      <c r="AA937" s="6301"/>
      <c r="AB937" s="139"/>
      <c r="AC937" s="139"/>
      <c r="AD937" s="139"/>
      <c r="AE937" s="139"/>
      <c r="AF937" s="139"/>
      <c r="AG937" s="139"/>
      <c r="AH937" s="139"/>
      <c r="AI937" s="139"/>
      <c r="AJ937" s="139"/>
      <c r="AK937" s="139"/>
      <c r="AL937" s="139"/>
      <c r="AM937" s="139"/>
      <c r="AN937" s="139"/>
      <c r="AO937" s="139"/>
      <c r="AP937" s="139"/>
      <c r="AQ937" s="139"/>
      <c r="AR937" s="139"/>
      <c r="AS937" s="139"/>
      <c r="AT937" s="139"/>
      <c r="AU937" s="139"/>
      <c r="AV937" s="139"/>
      <c r="AW937" s="139"/>
      <c r="AX937" s="139"/>
      <c r="AY937" s="139"/>
      <c r="AZ937" s="139"/>
      <c r="BA937" s="139"/>
      <c r="BB937" s="139"/>
      <c r="BC937" s="139"/>
      <c r="BD937" s="139"/>
      <c r="BE937" s="139"/>
      <c r="BF937" s="139"/>
      <c r="BG937" s="139"/>
      <c r="BH937" s="139"/>
    </row>
    <row r="938" spans="2:60" s="11" customFormat="1" ht="20.100000000000001" customHeight="1">
      <c r="B938" s="1360"/>
      <c r="C938" s="5598"/>
      <c r="D938" s="5615" t="s">
        <v>624</v>
      </c>
      <c r="E938" s="5616"/>
      <c r="F938" s="285" t="s">
        <v>413</v>
      </c>
      <c r="G938" s="621"/>
      <c r="H938" s="6163"/>
      <c r="I938" s="9586" t="s">
        <v>625</v>
      </c>
      <c r="J938" s="9588"/>
      <c r="K938" s="285" t="s">
        <v>413</v>
      </c>
      <c r="L938" s="5653" t="str">
        <f>IF(COUNTBLANK(L939:L944)&gt;0,"미취합법인有",SUM(L939:L944))</f>
        <v>미취합법인有</v>
      </c>
      <c r="M938" s="5945"/>
      <c r="N938" s="5945" t="str">
        <f>IF(COUNTBLANK(N939:N944)&gt;0,"미취합법인有",SUM(N939:N944))</f>
        <v>미취합법인有</v>
      </c>
      <c r="O938" s="5945"/>
      <c r="P938" s="5946" t="str">
        <f>IF(COUNTBLANK(P939:P944)&gt;0,"미취합법인有",SUM(P939:P944))</f>
        <v>미취합법인有</v>
      </c>
      <c r="Q938" s="785"/>
      <c r="R938" s="2472"/>
      <c r="S938" s="457"/>
      <c r="T938" s="99" t="s">
        <v>189</v>
      </c>
      <c r="U938" s="547"/>
      <c r="V938" s="547"/>
      <c r="W938" s="299" t="s">
        <v>193</v>
      </c>
      <c r="X938" s="620" t="s">
        <v>617</v>
      </c>
      <c r="Y938" s="154"/>
      <c r="Z938" s="159" t="s">
        <v>597</v>
      </c>
      <c r="AA938" s="6305"/>
      <c r="AB938" s="139"/>
      <c r="AC938" s="139"/>
      <c r="AD938" s="139"/>
      <c r="AE938" s="139"/>
      <c r="AF938" s="139"/>
      <c r="AG938" s="139"/>
      <c r="AH938" s="139"/>
      <c r="AI938" s="139"/>
      <c r="AJ938" s="139"/>
      <c r="AK938" s="139"/>
      <c r="AL938" s="139"/>
      <c r="AM938" s="139"/>
      <c r="AN938" s="139"/>
      <c r="AO938" s="139"/>
      <c r="AP938" s="139"/>
      <c r="AQ938" s="139"/>
      <c r="AR938" s="139"/>
      <c r="AS938" s="139"/>
      <c r="AT938" s="139"/>
      <c r="AU938" s="139"/>
      <c r="AV938" s="139"/>
      <c r="AW938" s="139"/>
      <c r="AX938" s="139"/>
      <c r="AY938" s="139"/>
      <c r="AZ938" s="139"/>
      <c r="BA938" s="139"/>
      <c r="BB938" s="139"/>
      <c r="BC938" s="139"/>
      <c r="BD938" s="139"/>
      <c r="BE938" s="139"/>
      <c r="BF938" s="139"/>
      <c r="BG938" s="139"/>
      <c r="BH938" s="139"/>
    </row>
    <row r="939" spans="2:60" s="11" customFormat="1" ht="20.100000000000001" customHeight="1">
      <c r="B939" s="1360"/>
      <c r="C939" s="5598"/>
      <c r="D939" s="9598" t="s">
        <v>134</v>
      </c>
      <c r="E939" s="9600"/>
      <c r="F939" s="285" t="s">
        <v>413</v>
      </c>
      <c r="G939" s="666"/>
      <c r="H939" s="684"/>
      <c r="I939" s="9579" t="s">
        <v>135</v>
      </c>
      <c r="J939" s="9581"/>
      <c r="K939" s="285" t="s">
        <v>413</v>
      </c>
      <c r="L939" s="5592"/>
      <c r="M939" s="5948" t="s">
        <v>302</v>
      </c>
      <c r="N939" s="5948"/>
      <c r="O939" s="5948" t="s">
        <v>302</v>
      </c>
      <c r="P939" s="5948"/>
      <c r="Q939" s="5948" t="s">
        <v>302</v>
      </c>
      <c r="R939" s="2468"/>
      <c r="S939" s="544"/>
      <c r="T939" s="545"/>
      <c r="U939" s="546"/>
      <c r="V939" s="547"/>
      <c r="W939" s="299" t="s">
        <v>193</v>
      </c>
      <c r="X939" s="277"/>
      <c r="Y939" s="277"/>
      <c r="Z939" s="187"/>
      <c r="AA939" s="6301"/>
      <c r="AB939" s="139"/>
      <c r="AC939" s="139"/>
      <c r="AD939" s="139"/>
      <c r="AE939" s="139"/>
      <c r="AF939" s="139"/>
      <c r="AG939" s="139"/>
      <c r="AH939" s="139"/>
      <c r="AI939" s="139"/>
      <c r="AJ939" s="139"/>
      <c r="AK939" s="139"/>
      <c r="AL939" s="139"/>
      <c r="AM939" s="139"/>
      <c r="AN939" s="139"/>
      <c r="AO939" s="139"/>
      <c r="AP939" s="139"/>
      <c r="AQ939" s="139"/>
      <c r="AR939" s="139"/>
      <c r="AS939" s="139"/>
      <c r="AT939" s="139"/>
      <c r="AU939" s="139"/>
      <c r="AV939" s="139"/>
      <c r="AW939" s="139"/>
      <c r="AX939" s="139"/>
      <c r="AY939" s="139"/>
      <c r="AZ939" s="139"/>
      <c r="BA939" s="139"/>
      <c r="BB939" s="139"/>
      <c r="BC939" s="139"/>
      <c r="BD939" s="139"/>
      <c r="BE939" s="139"/>
      <c r="BF939" s="139"/>
      <c r="BG939" s="139"/>
      <c r="BH939" s="139"/>
    </row>
    <row r="940" spans="2:60" s="11" customFormat="1" ht="20.100000000000001" customHeight="1">
      <c r="B940" s="1360"/>
      <c r="C940" s="5598"/>
      <c r="D940" s="9598" t="s">
        <v>137</v>
      </c>
      <c r="E940" s="9600"/>
      <c r="F940" s="285" t="s">
        <v>413</v>
      </c>
      <c r="G940" s="666"/>
      <c r="H940" s="684"/>
      <c r="I940" s="9579" t="s">
        <v>138</v>
      </c>
      <c r="J940" s="9581"/>
      <c r="K940" s="285" t="s">
        <v>413</v>
      </c>
      <c r="L940" s="5594"/>
      <c r="M940" s="516"/>
      <c r="N940" s="5601"/>
      <c r="O940" s="5601"/>
      <c r="P940" s="1814"/>
      <c r="Q940" s="5601"/>
      <c r="R940" s="2468"/>
      <c r="S940" s="544"/>
      <c r="T940" s="545"/>
      <c r="U940" s="546"/>
      <c r="V940" s="547"/>
      <c r="W940" s="299" t="s">
        <v>193</v>
      </c>
      <c r="X940" s="277"/>
      <c r="Y940" s="277"/>
      <c r="Z940" s="187"/>
      <c r="AA940" s="6301"/>
      <c r="AB940" s="139"/>
      <c r="AC940" s="139"/>
      <c r="AD940" s="139"/>
      <c r="AE940" s="139"/>
      <c r="AF940" s="139"/>
      <c r="AG940" s="139"/>
      <c r="AH940" s="139"/>
      <c r="AI940" s="139"/>
      <c r="AJ940" s="139"/>
      <c r="AK940" s="139"/>
      <c r="AL940" s="139"/>
      <c r="AM940" s="139"/>
      <c r="AN940" s="139"/>
      <c r="AO940" s="139"/>
      <c r="AP940" s="139"/>
      <c r="AQ940" s="139"/>
      <c r="AR940" s="139"/>
      <c r="AS940" s="139"/>
      <c r="AT940" s="139"/>
      <c r="AU940" s="139"/>
      <c r="AV940" s="139"/>
      <c r="AW940" s="139"/>
      <c r="AX940" s="139"/>
      <c r="AY940" s="139"/>
      <c r="AZ940" s="139"/>
      <c r="BA940" s="139"/>
      <c r="BB940" s="139"/>
      <c r="BC940" s="139"/>
      <c r="BD940" s="139"/>
      <c r="BE940" s="139"/>
      <c r="BF940" s="139"/>
      <c r="BG940" s="139"/>
      <c r="BH940" s="139"/>
    </row>
    <row r="941" spans="2:60" s="11" customFormat="1" ht="20.100000000000001" customHeight="1">
      <c r="B941" s="1360"/>
      <c r="C941" s="5598"/>
      <c r="D941" s="9598" t="s">
        <v>140</v>
      </c>
      <c r="E941" s="9600"/>
      <c r="F941" s="285" t="s">
        <v>413</v>
      </c>
      <c r="G941" s="666"/>
      <c r="H941" s="684"/>
      <c r="I941" s="9582" t="s">
        <v>141</v>
      </c>
      <c r="J941" s="9583"/>
      <c r="K941" s="285" t="s">
        <v>413</v>
      </c>
      <c r="L941" s="5594"/>
      <c r="M941" s="516"/>
      <c r="N941" s="5601"/>
      <c r="O941" s="5601"/>
      <c r="P941" s="1814"/>
      <c r="Q941" s="5601"/>
      <c r="R941" s="2468"/>
      <c r="S941" s="544"/>
      <c r="T941" s="545"/>
      <c r="U941" s="546"/>
      <c r="V941" s="547"/>
      <c r="W941" s="299" t="s">
        <v>193</v>
      </c>
      <c r="X941" s="277"/>
      <c r="Y941" s="277"/>
      <c r="Z941" s="187"/>
      <c r="AA941" s="6301"/>
      <c r="AB941" s="139"/>
      <c r="AC941" s="139"/>
      <c r="AD941" s="139"/>
      <c r="AE941" s="139"/>
      <c r="AF941" s="139"/>
      <c r="AG941" s="139"/>
      <c r="AH941" s="139"/>
      <c r="AI941" s="139"/>
      <c r="AJ941" s="139"/>
      <c r="AK941" s="139"/>
      <c r="AL941" s="139"/>
      <c r="AM941" s="139"/>
      <c r="AN941" s="139"/>
      <c r="AO941" s="139"/>
      <c r="AP941" s="139"/>
      <c r="AQ941" s="139"/>
      <c r="AR941" s="139"/>
      <c r="AS941" s="139"/>
      <c r="AT941" s="139"/>
      <c r="AU941" s="139"/>
      <c r="AV941" s="139"/>
      <c r="AW941" s="139"/>
      <c r="AX941" s="139"/>
      <c r="AY941" s="139"/>
      <c r="AZ941" s="139"/>
      <c r="BA941" s="139"/>
      <c r="BB941" s="139"/>
      <c r="BC941" s="139"/>
      <c r="BD941" s="139"/>
      <c r="BE941" s="139"/>
      <c r="BF941" s="139"/>
      <c r="BG941" s="139"/>
      <c r="BH941" s="139"/>
    </row>
    <row r="942" spans="2:60" s="11" customFormat="1" ht="20.100000000000001" customHeight="1">
      <c r="B942" s="1360"/>
      <c r="C942" s="5598"/>
      <c r="D942" s="9598" t="s">
        <v>143</v>
      </c>
      <c r="E942" s="9600"/>
      <c r="F942" s="285" t="s">
        <v>413</v>
      </c>
      <c r="G942" s="666"/>
      <c r="H942" s="684"/>
      <c r="I942" s="9582" t="s">
        <v>144</v>
      </c>
      <c r="J942" s="9583"/>
      <c r="K942" s="285" t="s">
        <v>413</v>
      </c>
      <c r="L942" s="5594"/>
      <c r="M942" s="516"/>
      <c r="N942" s="5601"/>
      <c r="O942" s="5601"/>
      <c r="P942" s="1814"/>
      <c r="Q942" s="5601"/>
      <c r="R942" s="2468"/>
      <c r="S942" s="544"/>
      <c r="T942" s="545"/>
      <c r="U942" s="546"/>
      <c r="V942" s="547"/>
      <c r="W942" s="299" t="s">
        <v>193</v>
      </c>
      <c r="X942" s="277"/>
      <c r="Y942" s="277"/>
      <c r="Z942" s="187"/>
      <c r="AA942" s="6301"/>
      <c r="AB942" s="139"/>
      <c r="AC942" s="139"/>
      <c r="AD942" s="139"/>
      <c r="AE942" s="139"/>
      <c r="AF942" s="139"/>
      <c r="AG942" s="139"/>
      <c r="AH942" s="139"/>
      <c r="AI942" s="139"/>
      <c r="AJ942" s="139"/>
      <c r="AK942" s="139"/>
      <c r="AL942" s="139"/>
      <c r="AM942" s="139"/>
      <c r="AN942" s="139"/>
      <c r="AO942" s="139"/>
      <c r="AP942" s="139"/>
      <c r="AQ942" s="139"/>
      <c r="AR942" s="139"/>
      <c r="AS942" s="139"/>
      <c r="AT942" s="139"/>
      <c r="AU942" s="139"/>
      <c r="AV942" s="139"/>
      <c r="AW942" s="139"/>
      <c r="AX942" s="139"/>
      <c r="AY942" s="139"/>
      <c r="AZ942" s="139"/>
      <c r="BA942" s="139"/>
      <c r="BB942" s="139"/>
      <c r="BC942" s="139"/>
      <c r="BD942" s="139"/>
      <c r="BE942" s="139"/>
      <c r="BF942" s="139"/>
      <c r="BG942" s="139"/>
      <c r="BH942" s="139"/>
    </row>
    <row r="943" spans="2:60" s="11" customFormat="1" ht="20.100000000000001" customHeight="1">
      <c r="B943" s="1360"/>
      <c r="C943" s="5598"/>
      <c r="D943" s="9598" t="s">
        <v>631</v>
      </c>
      <c r="E943" s="9600"/>
      <c r="F943" s="285" t="s">
        <v>413</v>
      </c>
      <c r="G943" s="666"/>
      <c r="H943" s="684"/>
      <c r="I943" s="9582" t="s">
        <v>147</v>
      </c>
      <c r="J943" s="9583"/>
      <c r="K943" s="285" t="s">
        <v>413</v>
      </c>
      <c r="L943" s="5967" t="s">
        <v>168</v>
      </c>
      <c r="M943" s="5948" t="s">
        <v>641</v>
      </c>
      <c r="N943" s="5948" t="s">
        <v>168</v>
      </c>
      <c r="O943" s="5948" t="s">
        <v>641</v>
      </c>
      <c r="P943" s="5948" t="s">
        <v>168</v>
      </c>
      <c r="Q943" s="5948" t="s">
        <v>641</v>
      </c>
      <c r="R943" s="2468"/>
      <c r="S943" s="544"/>
      <c r="T943" s="545"/>
      <c r="U943" s="546"/>
      <c r="V943" s="547"/>
      <c r="W943" s="299" t="s">
        <v>193</v>
      </c>
      <c r="X943" s="277"/>
      <c r="Y943" s="277"/>
      <c r="Z943" s="187"/>
      <c r="AA943" s="6301"/>
      <c r="AB943" s="139"/>
      <c r="AC943" s="139"/>
      <c r="AD943" s="139"/>
      <c r="AE943" s="139"/>
      <c r="AF943" s="139"/>
      <c r="AG943" s="139"/>
      <c r="AH943" s="139"/>
      <c r="AI943" s="139"/>
      <c r="AJ943" s="139"/>
      <c r="AK943" s="139"/>
      <c r="AL943" s="139"/>
      <c r="AM943" s="139"/>
      <c r="AN943" s="139"/>
      <c r="AO943" s="139"/>
      <c r="AP943" s="139"/>
      <c r="AQ943" s="139"/>
      <c r="AR943" s="139"/>
      <c r="AS943" s="139"/>
      <c r="AT943" s="139"/>
      <c r="AU943" s="139"/>
      <c r="AV943" s="139"/>
      <c r="AW943" s="139"/>
      <c r="AX943" s="139"/>
      <c r="AY943" s="139"/>
      <c r="AZ943" s="139"/>
      <c r="BA943" s="139"/>
      <c r="BB943" s="139"/>
      <c r="BC943" s="139"/>
      <c r="BD943" s="139"/>
      <c r="BE943" s="139"/>
      <c r="BF943" s="139"/>
      <c r="BG943" s="139"/>
      <c r="BH943" s="139"/>
    </row>
    <row r="944" spans="2:60" s="11" customFormat="1" ht="20.100000000000001" customHeight="1" thickBot="1">
      <c r="B944" s="1361"/>
      <c r="C944" s="6112"/>
      <c r="D944" s="9684" t="s">
        <v>633</v>
      </c>
      <c r="E944" s="9685"/>
      <c r="F944" s="5641" t="s">
        <v>413</v>
      </c>
      <c r="G944" s="6161"/>
      <c r="H944" s="4693"/>
      <c r="I944" s="9589" t="s">
        <v>150</v>
      </c>
      <c r="J944" s="9590"/>
      <c r="K944" s="6164" t="s">
        <v>413</v>
      </c>
      <c r="L944" s="6113"/>
      <c r="M944" s="6114"/>
      <c r="N944" s="6111"/>
      <c r="O944" s="6115"/>
      <c r="P944" s="6116"/>
      <c r="Q944" s="6111"/>
      <c r="R944" s="2477"/>
      <c r="S944" s="6117"/>
      <c r="T944" s="6118"/>
      <c r="U944" s="1973"/>
      <c r="V944" s="597"/>
      <c r="W944" s="1130" t="s">
        <v>193</v>
      </c>
      <c r="X944" s="1991"/>
      <c r="Y944" s="1991"/>
      <c r="Z944" s="6119"/>
      <c r="AA944" s="6301"/>
      <c r="AB944" s="139"/>
      <c r="AC944" s="139"/>
      <c r="AD944" s="139"/>
      <c r="AE944" s="139"/>
      <c r="AF944" s="139"/>
      <c r="AG944" s="139"/>
      <c r="AH944" s="139"/>
      <c r="AI944" s="139"/>
      <c r="AJ944" s="139"/>
      <c r="AK944" s="139"/>
      <c r="AL944" s="139"/>
      <c r="AM944" s="139"/>
      <c r="AN944" s="139"/>
      <c r="AO944" s="139"/>
      <c r="AP944" s="139"/>
      <c r="AQ944" s="139"/>
      <c r="AR944" s="139"/>
      <c r="AS944" s="139"/>
      <c r="AT944" s="139"/>
      <c r="AU944" s="139"/>
      <c r="AV944" s="139"/>
      <c r="AW944" s="139"/>
      <c r="AX944" s="139"/>
      <c r="AY944" s="139"/>
      <c r="AZ944" s="139"/>
      <c r="BA944" s="139"/>
      <c r="BB944" s="139"/>
      <c r="BC944" s="139"/>
      <c r="BD944" s="139"/>
      <c r="BE944" s="139"/>
      <c r="BF944" s="139"/>
      <c r="BG944" s="139"/>
      <c r="BH944" s="139"/>
    </row>
    <row r="945" spans="1:28" ht="27" thickBot="1">
      <c r="A945" s="50"/>
      <c r="B945" s="65" t="s">
        <v>727</v>
      </c>
      <c r="C945" s="244"/>
      <c r="D945" s="244"/>
      <c r="E945" s="244"/>
      <c r="F945" s="245"/>
      <c r="G945" s="246" t="s">
        <v>728</v>
      </c>
      <c r="H945" s="247"/>
      <c r="I945" s="247"/>
      <c r="J945" s="247"/>
      <c r="K945" s="245"/>
      <c r="L945" s="2192"/>
      <c r="M945" s="247"/>
      <c r="N945" s="247"/>
      <c r="O945" s="247"/>
      <c r="P945" s="247"/>
      <c r="Q945" s="247"/>
      <c r="R945" s="249"/>
      <c r="S945" s="249"/>
      <c r="T945" s="250"/>
      <c r="U945" s="250"/>
      <c r="V945" s="250"/>
      <c r="W945" s="250"/>
      <c r="X945" s="4798"/>
      <c r="Y945" s="4798"/>
      <c r="Z945" s="251"/>
      <c r="AB945" s="6402"/>
    </row>
    <row r="946" spans="1:28" ht="27" thickBot="1">
      <c r="A946" s="11"/>
      <c r="B946" s="123" t="s">
        <v>729</v>
      </c>
      <c r="C946" s="124"/>
      <c r="D946" s="124"/>
      <c r="E946" s="124"/>
      <c r="F946" s="78"/>
      <c r="G946" s="125" t="s">
        <v>730</v>
      </c>
      <c r="H946" s="126"/>
      <c r="I946" s="126"/>
      <c r="J946" s="126"/>
      <c r="K946" s="78"/>
      <c r="L946" s="5599"/>
      <c r="M946" s="5600"/>
      <c r="N946" s="5600"/>
      <c r="O946" s="5600"/>
      <c r="P946" s="5600"/>
      <c r="Q946" s="5600"/>
      <c r="R946" s="80"/>
      <c r="S946" s="80"/>
      <c r="T946" s="129"/>
      <c r="U946" s="129"/>
      <c r="V946" s="129"/>
      <c r="W946" s="6023"/>
      <c r="X946" s="328"/>
      <c r="Y946" s="328"/>
      <c r="Z946" s="329"/>
    </row>
    <row r="947" spans="1:28" ht="19.899999999999999" customHeight="1">
      <c r="A947" s="11"/>
      <c r="B947" s="1359"/>
      <c r="C947" s="9634" t="s">
        <v>731</v>
      </c>
      <c r="D947" s="9634"/>
      <c r="E947" s="9634"/>
      <c r="F947" s="636" t="s">
        <v>732</v>
      </c>
      <c r="G947" s="330"/>
      <c r="H947" s="9634" t="s">
        <v>733</v>
      </c>
      <c r="I947" s="9634"/>
      <c r="J947" s="9634"/>
      <c r="K947" s="636" t="s">
        <v>734</v>
      </c>
      <c r="L947" s="5783">
        <f>IF(COUNTBLANK(L948:L953)&gt;0,"미취합법인有",SUM(L948:L953))</f>
        <v>7609</v>
      </c>
      <c r="M947" s="5657"/>
      <c r="N947" s="5785">
        <f>IF(COUNTBLANK(N948:N953)&gt;0,"미취합법인有",SUM(N948:N953))</f>
        <v>9630</v>
      </c>
      <c r="O947" s="5663"/>
      <c r="P947" s="5781">
        <f>IF(COUNTBLANK(P948:P953)&gt;0,"미취합법인有",SUM(P948:P953))</f>
        <v>9635</v>
      </c>
      <c r="Q947" s="6108"/>
      <c r="R947" s="1021" t="s">
        <v>735</v>
      </c>
      <c r="S947" s="367" t="s">
        <v>736</v>
      </c>
      <c r="T947" s="642" t="s">
        <v>737</v>
      </c>
      <c r="U947" s="547" t="s">
        <v>738</v>
      </c>
      <c r="V947" s="534"/>
      <c r="W947" s="642"/>
      <c r="X947" s="620" t="s">
        <v>739</v>
      </c>
      <c r="Y947" s="620" t="s">
        <v>740</v>
      </c>
      <c r="Z947" s="159" t="s">
        <v>741</v>
      </c>
    </row>
    <row r="948" spans="1:28" ht="19.899999999999999" customHeight="1">
      <c r="A948" s="11"/>
      <c r="B948" s="5590"/>
      <c r="C948" s="9647" t="s">
        <v>134</v>
      </c>
      <c r="D948" s="9648"/>
      <c r="E948" s="9649"/>
      <c r="F948" s="285" t="s">
        <v>742</v>
      </c>
      <c r="G948" s="253"/>
      <c r="H948" s="9579" t="s">
        <v>135</v>
      </c>
      <c r="I948" s="9580"/>
      <c r="J948" s="9581"/>
      <c r="K948" s="5591" t="s">
        <v>734</v>
      </c>
      <c r="L948" s="5650">
        <f t="shared" ref="L948:L953" si="0">L955+L962+L969</f>
        <v>3601</v>
      </c>
      <c r="M948" s="5692"/>
      <c r="N948" s="1475">
        <f t="shared" ref="N948:N953" si="1">N955+N962+N969</f>
        <v>4502</v>
      </c>
      <c r="O948" s="5692"/>
      <c r="P948" s="1475">
        <f t="shared" ref="P948:P953" si="2">P955+P962+P969</f>
        <v>4682</v>
      </c>
      <c r="Q948" s="5593"/>
      <c r="R948" s="1033"/>
      <c r="S948" s="263"/>
      <c r="T948" s="99"/>
      <c r="U948" s="138"/>
      <c r="V948" s="138"/>
      <c r="W948" s="99"/>
      <c r="X948" s="264"/>
      <c r="Y948" s="277"/>
      <c r="Z948" s="187"/>
    </row>
    <row r="949" spans="1:28" ht="19.899999999999999" customHeight="1">
      <c r="A949" s="11"/>
      <c r="B949" s="5590"/>
      <c r="C949" s="9647" t="s">
        <v>137</v>
      </c>
      <c r="D949" s="9648"/>
      <c r="E949" s="9649"/>
      <c r="F949" s="285" t="s">
        <v>742</v>
      </c>
      <c r="G949" s="253"/>
      <c r="H949" s="9579" t="s">
        <v>138</v>
      </c>
      <c r="I949" s="9580"/>
      <c r="J949" s="9581"/>
      <c r="K949" s="5591" t="s">
        <v>734</v>
      </c>
      <c r="L949" s="6520">
        <v>183</v>
      </c>
      <c r="M949" s="5692"/>
      <c r="N949" s="6521">
        <v>231</v>
      </c>
      <c r="O949" s="5693"/>
      <c r="P949" s="6521">
        <v>249</v>
      </c>
      <c r="Q949" s="5593"/>
      <c r="R949" s="1033"/>
      <c r="S949" s="263"/>
      <c r="T949" s="99"/>
      <c r="U949" s="138"/>
      <c r="V949" s="138"/>
      <c r="W949" s="99"/>
      <c r="X949" s="264"/>
      <c r="Y949" s="277"/>
      <c r="Z949" s="187"/>
    </row>
    <row r="950" spans="1:28" ht="19.899999999999999" customHeight="1">
      <c r="A950" s="11"/>
      <c r="B950" s="5590"/>
      <c r="C950" s="9647" t="s">
        <v>140</v>
      </c>
      <c r="D950" s="9648"/>
      <c r="E950" s="9649"/>
      <c r="F950" s="285" t="s">
        <v>742</v>
      </c>
      <c r="G950" s="253"/>
      <c r="H950" s="9579" t="s">
        <v>141</v>
      </c>
      <c r="I950" s="9580"/>
      <c r="J950" s="9581"/>
      <c r="K950" s="5591" t="s">
        <v>734</v>
      </c>
      <c r="L950" s="5650">
        <f t="shared" si="0"/>
        <v>1054</v>
      </c>
      <c r="M950" s="5692"/>
      <c r="N950" s="1475">
        <f t="shared" si="1"/>
        <v>909</v>
      </c>
      <c r="O950" s="5693"/>
      <c r="P950" s="1475">
        <f t="shared" si="2"/>
        <v>750</v>
      </c>
      <c r="Q950" s="5593"/>
      <c r="R950" s="1033"/>
      <c r="S950" s="263"/>
      <c r="T950" s="99"/>
      <c r="U950" s="138"/>
      <c r="V950" s="138"/>
      <c r="W950" s="99"/>
      <c r="X950" s="264"/>
      <c r="Y950" s="277"/>
      <c r="Z950" s="187"/>
    </row>
    <row r="951" spans="1:28" ht="19.899999999999999" customHeight="1">
      <c r="A951" s="11"/>
      <c r="B951" s="5590"/>
      <c r="C951" s="9647" t="s">
        <v>143</v>
      </c>
      <c r="D951" s="9648"/>
      <c r="E951" s="9649"/>
      <c r="F951" s="285" t="s">
        <v>742</v>
      </c>
      <c r="G951" s="253"/>
      <c r="H951" s="9579" t="s">
        <v>144</v>
      </c>
      <c r="I951" s="9580"/>
      <c r="J951" s="9581"/>
      <c r="K951" s="5591" t="s">
        <v>734</v>
      </c>
      <c r="L951" s="5650">
        <f t="shared" si="0"/>
        <v>1110</v>
      </c>
      <c r="M951" s="5693"/>
      <c r="N951" s="1475">
        <f t="shared" si="1"/>
        <v>2451</v>
      </c>
      <c r="O951" s="5693"/>
      <c r="P951" s="1475">
        <f t="shared" si="2"/>
        <v>2483</v>
      </c>
      <c r="Q951" s="5593"/>
      <c r="R951" s="1033"/>
      <c r="S951" s="263"/>
      <c r="T951" s="99"/>
      <c r="U951" s="138"/>
      <c r="V951" s="138"/>
      <c r="W951" s="99"/>
      <c r="X951" s="264"/>
      <c r="Y951" s="277"/>
      <c r="Z951" s="187"/>
    </row>
    <row r="952" spans="1:28" ht="19.899999999999999" customHeight="1">
      <c r="A952" s="11"/>
      <c r="B952" s="5590"/>
      <c r="C952" s="9647" t="s">
        <v>631</v>
      </c>
      <c r="D952" s="9648"/>
      <c r="E952" s="9649"/>
      <c r="F952" s="285" t="s">
        <v>742</v>
      </c>
      <c r="G952" s="253"/>
      <c r="H952" s="9579" t="s">
        <v>147</v>
      </c>
      <c r="I952" s="9580"/>
      <c r="J952" s="9581"/>
      <c r="K952" s="5591" t="s">
        <v>734</v>
      </c>
      <c r="L952" s="5650">
        <f t="shared" si="0"/>
        <v>381</v>
      </c>
      <c r="M952" s="5692"/>
      <c r="N952" s="1475">
        <f t="shared" si="1"/>
        <v>393</v>
      </c>
      <c r="O952" s="5693"/>
      <c r="P952" s="1475">
        <f t="shared" si="2"/>
        <v>412</v>
      </c>
      <c r="Q952" s="5593"/>
      <c r="R952" s="1033"/>
      <c r="S952" s="263"/>
      <c r="T952" s="99"/>
      <c r="U952" s="138"/>
      <c r="V952" s="138"/>
      <c r="W952" s="99"/>
      <c r="X952" s="264"/>
      <c r="Y952" s="277"/>
      <c r="Z952" s="187"/>
    </row>
    <row r="953" spans="1:28" ht="19.899999999999999" customHeight="1">
      <c r="A953" s="11"/>
      <c r="B953" s="5590"/>
      <c r="C953" s="9647" t="s">
        <v>633</v>
      </c>
      <c r="D953" s="9648"/>
      <c r="E953" s="9649"/>
      <c r="F953" s="285" t="s">
        <v>742</v>
      </c>
      <c r="G953" s="253"/>
      <c r="H953" s="9579" t="s">
        <v>150</v>
      </c>
      <c r="I953" s="9580"/>
      <c r="J953" s="9581"/>
      <c r="K953" s="5591" t="s">
        <v>734</v>
      </c>
      <c r="L953" s="5650">
        <f t="shared" si="0"/>
        <v>1280</v>
      </c>
      <c r="M953" s="5656"/>
      <c r="N953" s="1475">
        <f t="shared" si="1"/>
        <v>1144</v>
      </c>
      <c r="O953" s="5593"/>
      <c r="P953" s="1475">
        <f t="shared" si="2"/>
        <v>1059</v>
      </c>
      <c r="Q953" s="5593"/>
      <c r="R953" s="1033"/>
      <c r="S953" s="263"/>
      <c r="T953" s="99"/>
      <c r="U953" s="138"/>
      <c r="V953" s="138"/>
      <c r="W953" s="99"/>
      <c r="X953" s="264"/>
      <c r="Y953" s="277"/>
      <c r="Z953" s="187"/>
    </row>
    <row r="954" spans="1:28" ht="20.100000000000001" customHeight="1">
      <c r="A954" s="11"/>
      <c r="B954" s="1360"/>
      <c r="C954" s="5598"/>
      <c r="D954" s="9586" t="s">
        <v>743</v>
      </c>
      <c r="E954" s="9588"/>
      <c r="F954" s="492" t="s">
        <v>732</v>
      </c>
      <c r="G954" s="358"/>
      <c r="H954" s="358"/>
      <c r="I954" s="9586" t="s">
        <v>744</v>
      </c>
      <c r="J954" s="9588"/>
      <c r="K954" s="492" t="s">
        <v>734</v>
      </c>
      <c r="L954" s="5783">
        <f>IF(COUNTBLANK(L955:L960)&gt;0,"미취합법인有",SUM(L955:L960))</f>
        <v>5337</v>
      </c>
      <c r="M954" s="5657"/>
      <c r="N954" s="5785">
        <f>IF(COUNTBLANK(N955:N960)&gt;0,"미취합법인有",SUM(N955:N960))</f>
        <v>5760</v>
      </c>
      <c r="O954" s="5663"/>
      <c r="P954" s="5781">
        <f>IF(COUNTBLANK(P955:P960)&gt;0,"미취합법인有",SUM(P955:P960))</f>
        <v>5767</v>
      </c>
      <c r="Q954" s="785"/>
      <c r="R954" s="498" t="s">
        <v>735</v>
      </c>
      <c r="S954" s="367" t="s">
        <v>736</v>
      </c>
      <c r="T954" s="99" t="s">
        <v>745</v>
      </c>
      <c r="U954" s="547" t="s">
        <v>738</v>
      </c>
      <c r="V954" s="547"/>
      <c r="W954" s="99"/>
      <c r="X954" s="620" t="s">
        <v>739</v>
      </c>
      <c r="Y954" s="620" t="s">
        <v>740</v>
      </c>
      <c r="Z954" s="159"/>
    </row>
    <row r="955" spans="1:28" ht="20.100000000000001" customHeight="1">
      <c r="A955" s="11"/>
      <c r="B955" s="1360"/>
      <c r="C955" s="5598"/>
      <c r="D955" s="9598" t="s">
        <v>134</v>
      </c>
      <c r="E955" s="9600"/>
      <c r="F955" s="492" t="s">
        <v>732</v>
      </c>
      <c r="G955" s="666"/>
      <c r="H955" s="666"/>
      <c r="I955" s="9579" t="s">
        <v>135</v>
      </c>
      <c r="J955" s="9581"/>
      <c r="K955" s="492" t="s">
        <v>734</v>
      </c>
      <c r="L955" s="5594">
        <v>3031</v>
      </c>
      <c r="M955" s="5672" t="s">
        <v>746</v>
      </c>
      <c r="N955" s="5601">
        <v>3629</v>
      </c>
      <c r="O955" s="5601" t="s">
        <v>747</v>
      </c>
      <c r="P955" s="5947">
        <v>3726</v>
      </c>
      <c r="Q955" s="5948" t="s">
        <v>746</v>
      </c>
      <c r="R955" s="2468"/>
      <c r="S955" s="544"/>
      <c r="T955" s="545"/>
      <c r="U955" s="546"/>
      <c r="V955" s="547"/>
      <c r="W955" s="548"/>
      <c r="X955" s="277"/>
      <c r="Y955" s="277"/>
      <c r="Z955" s="187"/>
    </row>
    <row r="956" spans="1:28" ht="20.100000000000001" customHeight="1">
      <c r="A956" s="11"/>
      <c r="B956" s="1360"/>
      <c r="C956" s="5598"/>
      <c r="D956" s="9598" t="s">
        <v>137</v>
      </c>
      <c r="E956" s="9600"/>
      <c r="F956" s="492" t="s">
        <v>732</v>
      </c>
      <c r="G956" s="666"/>
      <c r="H956" s="666"/>
      <c r="I956" s="9579" t="s">
        <v>138</v>
      </c>
      <c r="J956" s="9581"/>
      <c r="K956" s="492" t="s">
        <v>734</v>
      </c>
      <c r="L956" s="5594">
        <v>133</v>
      </c>
      <c r="M956" s="5672"/>
      <c r="N956" s="5601">
        <v>166</v>
      </c>
      <c r="O956" s="5601"/>
      <c r="P956" s="1814">
        <v>183</v>
      </c>
      <c r="Q956" s="5948"/>
      <c r="R956" s="2468"/>
      <c r="S956" s="544"/>
      <c r="T956" s="545"/>
      <c r="U956" s="546"/>
      <c r="V956" s="547"/>
      <c r="W956" s="548"/>
      <c r="X956" s="277"/>
      <c r="Y956" s="277"/>
      <c r="Z956" s="187"/>
    </row>
    <row r="957" spans="1:28" ht="20.100000000000001" customHeight="1">
      <c r="A957" s="11"/>
      <c r="B957" s="1360"/>
      <c r="C957" s="5598"/>
      <c r="D957" s="9598" t="s">
        <v>140</v>
      </c>
      <c r="E957" s="9600"/>
      <c r="F957" s="492" t="s">
        <v>732</v>
      </c>
      <c r="G957" s="666"/>
      <c r="H957" s="666"/>
      <c r="I957" s="9582" t="s">
        <v>141</v>
      </c>
      <c r="J957" s="9583"/>
      <c r="K957" s="492" t="s">
        <v>734</v>
      </c>
      <c r="L957" s="5594">
        <v>52</v>
      </c>
      <c r="M957" s="5672" t="s">
        <v>748</v>
      </c>
      <c r="N957" s="5724">
        <v>77</v>
      </c>
      <c r="O957" s="5724" t="s">
        <v>748</v>
      </c>
      <c r="P957" s="5672">
        <v>100</v>
      </c>
      <c r="Q957" s="5949" t="s">
        <v>748</v>
      </c>
      <c r="R957" s="2468"/>
      <c r="S957" s="544"/>
      <c r="T957" s="545"/>
      <c r="U957" s="546"/>
      <c r="V957" s="547"/>
      <c r="W957" s="548"/>
      <c r="X957" s="277"/>
      <c r="Y957" s="277"/>
      <c r="Z957" s="187"/>
    </row>
    <row r="958" spans="1:28" ht="20.100000000000001" customHeight="1">
      <c r="A958" s="11"/>
      <c r="B958" s="1360"/>
      <c r="C958" s="5598"/>
      <c r="D958" s="9598" t="s">
        <v>143</v>
      </c>
      <c r="E958" s="9600"/>
      <c r="F958" s="492" t="s">
        <v>732</v>
      </c>
      <c r="G958" s="666"/>
      <c r="H958" s="666"/>
      <c r="I958" s="9582" t="s">
        <v>144</v>
      </c>
      <c r="J958" s="9583"/>
      <c r="K958" s="492" t="s">
        <v>734</v>
      </c>
      <c r="L958" s="5594">
        <v>476</v>
      </c>
      <c r="M958" s="5672" t="s">
        <v>749</v>
      </c>
      <c r="N958" s="5724">
        <v>407</v>
      </c>
      <c r="O958" s="5724" t="s">
        <v>750</v>
      </c>
      <c r="P958" s="5672">
        <v>352</v>
      </c>
      <c r="Q958" s="5949"/>
      <c r="R958" s="2468"/>
      <c r="S958" s="544"/>
      <c r="T958" s="545"/>
      <c r="U958" s="546"/>
      <c r="V958" s="547"/>
      <c r="W958" s="548"/>
      <c r="X958" s="277"/>
      <c r="Y958" s="277"/>
      <c r="Z958" s="187"/>
    </row>
    <row r="959" spans="1:28" ht="20.100000000000001" customHeight="1">
      <c r="A959" s="11"/>
      <c r="B959" s="1360"/>
      <c r="C959" s="5598"/>
      <c r="D959" s="9598" t="s">
        <v>631</v>
      </c>
      <c r="E959" s="9600"/>
      <c r="F959" s="492" t="s">
        <v>732</v>
      </c>
      <c r="G959" s="666"/>
      <c r="H959" s="666"/>
      <c r="I959" s="9582" t="s">
        <v>147</v>
      </c>
      <c r="J959" s="9583"/>
      <c r="K959" s="492" t="s">
        <v>734</v>
      </c>
      <c r="L959" s="5594">
        <v>365</v>
      </c>
      <c r="M959" s="5672" t="s">
        <v>751</v>
      </c>
      <c r="N959" s="5724">
        <v>337</v>
      </c>
      <c r="O959" s="5724" t="s">
        <v>751</v>
      </c>
      <c r="P959" s="5672">
        <v>347</v>
      </c>
      <c r="Q959" s="5949"/>
      <c r="R959" s="2468"/>
      <c r="S959" s="544"/>
      <c r="T959" s="545"/>
      <c r="U959" s="546"/>
      <c r="V959" s="547"/>
      <c r="W959" s="548"/>
      <c r="X959" s="277"/>
      <c r="Y959" s="277"/>
      <c r="Z959" s="187"/>
    </row>
    <row r="960" spans="1:28" ht="20.100000000000001" customHeight="1">
      <c r="A960" s="11"/>
      <c r="B960" s="1360"/>
      <c r="C960" s="5598"/>
      <c r="D960" s="9598" t="s">
        <v>633</v>
      </c>
      <c r="E960" s="9600"/>
      <c r="F960" s="492" t="s">
        <v>732</v>
      </c>
      <c r="G960" s="666"/>
      <c r="H960" s="666"/>
      <c r="I960" s="9582" t="s">
        <v>150</v>
      </c>
      <c r="J960" s="9583"/>
      <c r="K960" s="492" t="s">
        <v>734</v>
      </c>
      <c r="L960" s="5594">
        <v>1280</v>
      </c>
      <c r="M960" s="5672"/>
      <c r="N960" s="5724">
        <v>1144</v>
      </c>
      <c r="O960" s="5724"/>
      <c r="P960" s="5672">
        <v>1059</v>
      </c>
      <c r="Q960" s="5949"/>
      <c r="R960" s="2468"/>
      <c r="S960" s="544"/>
      <c r="T960" s="545"/>
      <c r="U960" s="546"/>
      <c r="V960" s="547"/>
      <c r="W960" s="548"/>
      <c r="X960" s="277"/>
      <c r="Y960" s="277"/>
      <c r="Z960" s="187"/>
    </row>
    <row r="961" spans="2:60" s="11" customFormat="1" ht="20.100000000000001" customHeight="1">
      <c r="B961" s="1360"/>
      <c r="C961" s="5598"/>
      <c r="D961" s="9586" t="s">
        <v>752</v>
      </c>
      <c r="E961" s="9588"/>
      <c r="F961" s="492" t="s">
        <v>732</v>
      </c>
      <c r="G961" s="358"/>
      <c r="H961" s="358"/>
      <c r="I961" s="9586" t="s">
        <v>753</v>
      </c>
      <c r="J961" s="9588"/>
      <c r="K961" s="492" t="s">
        <v>734</v>
      </c>
      <c r="L961" s="5783">
        <f>IF(COUNTBLANK(L962:L967)&gt;0,"미취합법인有",SUM(L962:L967))</f>
        <v>2212</v>
      </c>
      <c r="M961" s="5945"/>
      <c r="N961" s="5944">
        <f>IF(COUNTBLANK(N962:N967)&gt;0,"미취합법인有",SUM(N962:N967))</f>
        <v>3799</v>
      </c>
      <c r="O961" s="5945"/>
      <c r="P961" s="5946">
        <f>IF(COUNTBLANK(P962:P967)&gt;0,"미취합법인有",SUM(P962:P967))</f>
        <v>3795</v>
      </c>
      <c r="Q961" s="785"/>
      <c r="R961" s="498" t="s">
        <v>735</v>
      </c>
      <c r="S961" s="367" t="s">
        <v>754</v>
      </c>
      <c r="T961" s="99" t="s">
        <v>745</v>
      </c>
      <c r="U961" s="547" t="s">
        <v>738</v>
      </c>
      <c r="V961" s="547"/>
      <c r="W961" s="99"/>
      <c r="X961" s="620" t="s">
        <v>739</v>
      </c>
      <c r="Y961" s="620" t="s">
        <v>740</v>
      </c>
      <c r="Z961" s="159"/>
      <c r="AA961" s="6301"/>
      <c r="AB961" s="139"/>
      <c r="AC961" s="139"/>
      <c r="AD961" s="139"/>
      <c r="AE961" s="139"/>
      <c r="AF961" s="139"/>
      <c r="AG961" s="139"/>
      <c r="AH961" s="139"/>
      <c r="AI961" s="139"/>
      <c r="AJ961" s="139"/>
      <c r="AK961" s="139"/>
      <c r="AL961" s="139"/>
      <c r="AM961" s="139"/>
      <c r="AN961" s="139"/>
      <c r="AO961" s="139"/>
      <c r="AP961" s="139"/>
      <c r="AQ961" s="139"/>
      <c r="AR961" s="139"/>
      <c r="AS961" s="139"/>
      <c r="AT961" s="139"/>
      <c r="AU961" s="139"/>
      <c r="AV961" s="139"/>
      <c r="AW961" s="139"/>
      <c r="AX961" s="139"/>
      <c r="AY961" s="139"/>
      <c r="AZ961" s="139"/>
      <c r="BA961" s="139"/>
      <c r="BB961" s="139"/>
      <c r="BC961" s="139"/>
      <c r="BD961" s="139"/>
      <c r="BE961" s="139"/>
      <c r="BF961" s="139"/>
      <c r="BG961" s="139"/>
      <c r="BH961" s="139"/>
    </row>
    <row r="962" spans="2:60" s="11" customFormat="1" ht="20.100000000000001" customHeight="1">
      <c r="B962" s="1360"/>
      <c r="C962" s="5598"/>
      <c r="D962" s="9598" t="s">
        <v>134</v>
      </c>
      <c r="E962" s="9600"/>
      <c r="F962" s="492" t="s">
        <v>732</v>
      </c>
      <c r="G962" s="666"/>
      <c r="H962" s="666"/>
      <c r="I962" s="9579" t="s">
        <v>135</v>
      </c>
      <c r="J962" s="9581"/>
      <c r="K962" s="492" t="s">
        <v>734</v>
      </c>
      <c r="L962" s="5594">
        <v>565</v>
      </c>
      <c r="M962" s="5672" t="s">
        <v>746</v>
      </c>
      <c r="N962" s="5601">
        <v>865</v>
      </c>
      <c r="O962" s="5724" t="s">
        <v>747</v>
      </c>
      <c r="P962" s="5947">
        <v>950</v>
      </c>
      <c r="Q962" s="5948" t="s">
        <v>746</v>
      </c>
      <c r="R962" s="2468"/>
      <c r="S962" s="544"/>
      <c r="T962" s="545"/>
      <c r="U962" s="546"/>
      <c r="V962" s="547"/>
      <c r="W962" s="548"/>
      <c r="X962" s="277"/>
      <c r="Y962" s="277"/>
      <c r="Z962" s="187"/>
      <c r="AA962" s="6301"/>
      <c r="AB962" s="139"/>
      <c r="AC962" s="139"/>
      <c r="AD962" s="139"/>
      <c r="AE962" s="139"/>
      <c r="AF962" s="139"/>
      <c r="AG962" s="139"/>
      <c r="AH962" s="139"/>
      <c r="AI962" s="139"/>
      <c r="AJ962" s="139"/>
      <c r="AK962" s="139"/>
      <c r="AL962" s="139"/>
      <c r="AM962" s="139"/>
      <c r="AN962" s="139"/>
      <c r="AO962" s="139"/>
      <c r="AP962" s="139"/>
      <c r="AQ962" s="139"/>
      <c r="AR962" s="139"/>
      <c r="AS962" s="139"/>
      <c r="AT962" s="139"/>
      <c r="AU962" s="139"/>
      <c r="AV962" s="139"/>
      <c r="AW962" s="139"/>
      <c r="AX962" s="139"/>
      <c r="AY962" s="139"/>
      <c r="AZ962" s="139"/>
      <c r="BA962" s="139"/>
      <c r="BB962" s="139"/>
      <c r="BC962" s="139"/>
      <c r="BD962" s="139"/>
      <c r="BE962" s="139"/>
      <c r="BF962" s="139"/>
      <c r="BG962" s="139"/>
      <c r="BH962" s="139"/>
    </row>
    <row r="963" spans="2:60" s="11" customFormat="1" ht="20.100000000000001" customHeight="1">
      <c r="B963" s="1360"/>
      <c r="C963" s="5598"/>
      <c r="D963" s="9598" t="s">
        <v>137</v>
      </c>
      <c r="E963" s="9600"/>
      <c r="F963" s="492" t="s">
        <v>732</v>
      </c>
      <c r="G963" s="666"/>
      <c r="H963" s="666"/>
      <c r="I963" s="9579" t="s">
        <v>138</v>
      </c>
      <c r="J963" s="9581"/>
      <c r="K963" s="492" t="s">
        <v>734</v>
      </c>
      <c r="L963" s="5594">
        <v>8</v>
      </c>
      <c r="M963" s="5672"/>
      <c r="N963" s="5601">
        <v>15</v>
      </c>
      <c r="O963" s="5724"/>
      <c r="P963" s="1814">
        <v>12</v>
      </c>
      <c r="Q963" s="5948"/>
      <c r="R963" s="2468"/>
      <c r="S963" s="544"/>
      <c r="T963" s="545"/>
      <c r="U963" s="546"/>
      <c r="V963" s="547"/>
      <c r="W963" s="548"/>
      <c r="X963" s="277"/>
      <c r="Y963" s="277"/>
      <c r="Z963" s="187"/>
      <c r="AA963" s="6301"/>
      <c r="AB963" s="139"/>
      <c r="AC963" s="139"/>
      <c r="AD963" s="139"/>
      <c r="AE963" s="139"/>
      <c r="AF963" s="139"/>
      <c r="AG963" s="139"/>
      <c r="AH963" s="139"/>
      <c r="AI963" s="139"/>
      <c r="AJ963" s="139"/>
      <c r="AK963" s="139"/>
      <c r="AL963" s="139"/>
      <c r="AM963" s="139"/>
      <c r="AN963" s="139"/>
      <c r="AO963" s="139"/>
      <c r="AP963" s="139"/>
      <c r="AQ963" s="139"/>
      <c r="AR963" s="139"/>
      <c r="AS963" s="139"/>
      <c r="AT963" s="139"/>
      <c r="AU963" s="139"/>
      <c r="AV963" s="139"/>
      <c r="AW963" s="139"/>
      <c r="AX963" s="139"/>
      <c r="AY963" s="139"/>
      <c r="AZ963" s="139"/>
      <c r="BA963" s="139"/>
      <c r="BB963" s="139"/>
      <c r="BC963" s="139"/>
      <c r="BD963" s="139"/>
      <c r="BE963" s="139"/>
      <c r="BF963" s="139"/>
      <c r="BG963" s="139"/>
      <c r="BH963" s="139"/>
    </row>
    <row r="964" spans="2:60" s="11" customFormat="1" ht="20.100000000000001" customHeight="1">
      <c r="B964" s="1360"/>
      <c r="C964" s="5598"/>
      <c r="D964" s="9598" t="s">
        <v>140</v>
      </c>
      <c r="E964" s="9600"/>
      <c r="F964" s="492" t="s">
        <v>732</v>
      </c>
      <c r="G964" s="666"/>
      <c r="H964" s="666"/>
      <c r="I964" s="9582" t="s">
        <v>141</v>
      </c>
      <c r="J964" s="9583"/>
      <c r="K964" s="492" t="s">
        <v>734</v>
      </c>
      <c r="L964" s="5594">
        <v>1001</v>
      </c>
      <c r="M964" s="5672" t="s">
        <v>748</v>
      </c>
      <c r="N964" s="5601">
        <v>831</v>
      </c>
      <c r="O964" s="5724" t="s">
        <v>748</v>
      </c>
      <c r="P964" s="1814">
        <v>649</v>
      </c>
      <c r="Q964" s="5949" t="s">
        <v>748</v>
      </c>
      <c r="R964" s="2468"/>
      <c r="S964" s="544"/>
      <c r="T964" s="545"/>
      <c r="U964" s="546"/>
      <c r="V964" s="547"/>
      <c r="W964" s="548"/>
      <c r="X964" s="277"/>
      <c r="Y964" s="277"/>
      <c r="Z964" s="187"/>
      <c r="AA964" s="6301"/>
      <c r="AB964" s="139"/>
      <c r="AC964" s="139"/>
      <c r="AD964" s="139"/>
      <c r="AE964" s="139"/>
      <c r="AF964" s="139"/>
      <c r="AG964" s="139"/>
      <c r="AH964" s="139"/>
      <c r="AI964" s="139"/>
      <c r="AJ964" s="139"/>
      <c r="AK964" s="139"/>
      <c r="AL964" s="139"/>
      <c r="AM964" s="139"/>
      <c r="AN964" s="139"/>
      <c r="AO964" s="139"/>
      <c r="AP964" s="139"/>
      <c r="AQ964" s="139"/>
      <c r="AR964" s="139"/>
      <c r="AS964" s="139"/>
      <c r="AT964" s="139"/>
      <c r="AU964" s="139"/>
      <c r="AV964" s="139"/>
      <c r="AW964" s="139"/>
      <c r="AX964" s="139"/>
      <c r="AY964" s="139"/>
      <c r="AZ964" s="139"/>
      <c r="BA964" s="139"/>
      <c r="BB964" s="139"/>
      <c r="BC964" s="139"/>
      <c r="BD964" s="139"/>
      <c r="BE964" s="139"/>
      <c r="BF964" s="139"/>
      <c r="BG964" s="139"/>
      <c r="BH964" s="139"/>
    </row>
    <row r="965" spans="2:60" s="11" customFormat="1" ht="20.100000000000001" customHeight="1">
      <c r="B965" s="1360"/>
      <c r="C965" s="5598"/>
      <c r="D965" s="9598" t="s">
        <v>143</v>
      </c>
      <c r="E965" s="9600"/>
      <c r="F965" s="492" t="s">
        <v>732</v>
      </c>
      <c r="G965" s="666"/>
      <c r="H965" s="666"/>
      <c r="I965" s="9582" t="s">
        <v>144</v>
      </c>
      <c r="J965" s="9583"/>
      <c r="K965" s="492" t="s">
        <v>734</v>
      </c>
      <c r="L965" s="5594">
        <v>629</v>
      </c>
      <c r="M965" s="5672" t="s">
        <v>755</v>
      </c>
      <c r="N965" s="5601">
        <v>2039</v>
      </c>
      <c r="O965" s="5724" t="s">
        <v>755</v>
      </c>
      <c r="P965" s="1814">
        <v>2126</v>
      </c>
      <c r="Q965" s="5948"/>
      <c r="R965" s="2468"/>
      <c r="S965" s="544"/>
      <c r="T965" s="545"/>
      <c r="U965" s="546"/>
      <c r="V965" s="547"/>
      <c r="W965" s="548"/>
      <c r="X965" s="277"/>
      <c r="Y965" s="277"/>
      <c r="Z965" s="187"/>
      <c r="AA965" s="6301"/>
      <c r="AB965" s="139"/>
      <c r="AC965" s="139"/>
      <c r="AD965" s="139"/>
      <c r="AE965" s="139"/>
      <c r="AF965" s="139"/>
      <c r="AG965" s="139"/>
      <c r="AH965" s="139"/>
      <c r="AI965" s="139"/>
      <c r="AJ965" s="139"/>
      <c r="AK965" s="139"/>
      <c r="AL965" s="139"/>
      <c r="AM965" s="139"/>
      <c r="AN965" s="139"/>
      <c r="AO965" s="139"/>
      <c r="AP965" s="139"/>
      <c r="AQ965" s="139"/>
      <c r="AR965" s="139"/>
      <c r="AS965" s="139"/>
      <c r="AT965" s="139"/>
      <c r="AU965" s="139"/>
      <c r="AV965" s="139"/>
      <c r="AW965" s="139"/>
      <c r="AX965" s="139"/>
      <c r="AY965" s="139"/>
      <c r="AZ965" s="139"/>
      <c r="BA965" s="139"/>
      <c r="BB965" s="139"/>
      <c r="BC965" s="139"/>
      <c r="BD965" s="139"/>
      <c r="BE965" s="139"/>
      <c r="BF965" s="139"/>
      <c r="BG965" s="139"/>
      <c r="BH965" s="139"/>
    </row>
    <row r="966" spans="2:60" s="11" customFormat="1" ht="20.100000000000001" customHeight="1">
      <c r="B966" s="1360"/>
      <c r="C966" s="5598"/>
      <c r="D966" s="9598" t="s">
        <v>631</v>
      </c>
      <c r="E966" s="9600"/>
      <c r="F966" s="492" t="s">
        <v>732</v>
      </c>
      <c r="G966" s="666"/>
      <c r="H966" s="666"/>
      <c r="I966" s="9582" t="s">
        <v>147</v>
      </c>
      <c r="J966" s="9583"/>
      <c r="K966" s="492" t="s">
        <v>734</v>
      </c>
      <c r="L966" s="5594">
        <v>9</v>
      </c>
      <c r="M966" s="5672" t="s">
        <v>751</v>
      </c>
      <c r="N966" s="5601">
        <v>49</v>
      </c>
      <c r="O966" s="5724" t="s">
        <v>751</v>
      </c>
      <c r="P966" s="1814">
        <v>58</v>
      </c>
      <c r="Q966" s="5948"/>
      <c r="R966" s="2468"/>
      <c r="S966" s="544"/>
      <c r="T966" s="545"/>
      <c r="U966" s="546"/>
      <c r="V966" s="547"/>
      <c r="W966" s="548"/>
      <c r="X966" s="277"/>
      <c r="Y966" s="277"/>
      <c r="Z966" s="187"/>
      <c r="AA966" s="6301"/>
      <c r="AB966" s="139"/>
      <c r="AC966" s="139"/>
      <c r="AD966" s="139"/>
      <c r="AE966" s="139"/>
      <c r="AF966" s="139"/>
      <c r="AG966" s="139"/>
      <c r="AH966" s="139"/>
      <c r="AI966" s="139"/>
      <c r="AJ966" s="139"/>
      <c r="AK966" s="139"/>
      <c r="AL966" s="139"/>
      <c r="AM966" s="139"/>
      <c r="AN966" s="139"/>
      <c r="AO966" s="139"/>
      <c r="AP966" s="139"/>
      <c r="AQ966" s="139"/>
      <c r="AR966" s="139"/>
      <c r="AS966" s="139"/>
      <c r="AT966" s="139"/>
      <c r="AU966" s="139"/>
      <c r="AV966" s="139"/>
      <c r="AW966" s="139"/>
      <c r="AX966" s="139"/>
      <c r="AY966" s="139"/>
      <c r="AZ966" s="139"/>
      <c r="BA966" s="139"/>
      <c r="BB966" s="139"/>
      <c r="BC966" s="139"/>
      <c r="BD966" s="139"/>
      <c r="BE966" s="139"/>
      <c r="BF966" s="139"/>
      <c r="BG966" s="139"/>
      <c r="BH966" s="139"/>
    </row>
    <row r="967" spans="2:60" s="11" customFormat="1" ht="20.100000000000001" customHeight="1">
      <c r="B967" s="1360"/>
      <c r="C967" s="5598"/>
      <c r="D967" s="9598" t="s">
        <v>633</v>
      </c>
      <c r="E967" s="9600"/>
      <c r="F967" s="492" t="s">
        <v>732</v>
      </c>
      <c r="G967" s="666"/>
      <c r="H967" s="666"/>
      <c r="I967" s="9582" t="s">
        <v>150</v>
      </c>
      <c r="J967" s="9583"/>
      <c r="K967" s="492" t="s">
        <v>734</v>
      </c>
      <c r="L967" s="5594">
        <v>0</v>
      </c>
      <c r="M967" s="5672"/>
      <c r="N967" s="5601">
        <v>0</v>
      </c>
      <c r="O967" s="5724"/>
      <c r="P967" s="1814">
        <v>0</v>
      </c>
      <c r="Q967" s="5948"/>
      <c r="R967" s="2468"/>
      <c r="S967" s="544"/>
      <c r="T967" s="545"/>
      <c r="U967" s="546"/>
      <c r="V967" s="547"/>
      <c r="W967" s="548"/>
      <c r="X967" s="277"/>
      <c r="Y967" s="277"/>
      <c r="Z967" s="187"/>
      <c r="AA967" s="6301"/>
      <c r="AB967" s="139"/>
      <c r="AC967" s="139"/>
      <c r="AD967" s="139"/>
      <c r="AE967" s="139"/>
      <c r="AF967" s="139"/>
      <c r="AG967" s="139"/>
      <c r="AH967" s="139"/>
      <c r="AI967" s="139"/>
      <c r="AJ967" s="139"/>
      <c r="AK967" s="139"/>
      <c r="AL967" s="139"/>
      <c r="AM967" s="139"/>
      <c r="AN967" s="139"/>
      <c r="AO967" s="139"/>
      <c r="AP967" s="139"/>
      <c r="AQ967" s="139"/>
      <c r="AR967" s="139"/>
      <c r="AS967" s="139"/>
      <c r="AT967" s="139"/>
      <c r="AU967" s="139"/>
      <c r="AV967" s="139"/>
      <c r="AW967" s="139"/>
      <c r="AX967" s="139"/>
      <c r="AY967" s="139"/>
      <c r="AZ967" s="139"/>
      <c r="BA967" s="139"/>
      <c r="BB967" s="139"/>
      <c r="BC967" s="139"/>
      <c r="BD967" s="139"/>
      <c r="BE967" s="139"/>
      <c r="BF967" s="139"/>
      <c r="BG967" s="139"/>
      <c r="BH967" s="139"/>
    </row>
    <row r="968" spans="2:60" s="11" customFormat="1" ht="20.100000000000001" customHeight="1">
      <c r="B968" s="1360"/>
      <c r="C968" s="5598"/>
      <c r="D968" s="9586" t="s">
        <v>756</v>
      </c>
      <c r="E968" s="9588"/>
      <c r="F968" s="295" t="s">
        <v>732</v>
      </c>
      <c r="G968" s="358"/>
      <c r="H968" s="358"/>
      <c r="I968" s="9586" t="s">
        <v>757</v>
      </c>
      <c r="J968" s="9588"/>
      <c r="K968" s="295" t="s">
        <v>734</v>
      </c>
      <c r="L968" s="5783">
        <f>IF(COUNTBLANK(L969:L974)&gt;0,"미취합법인有",SUM(L969:L974))</f>
        <v>19</v>
      </c>
      <c r="M968" s="5945"/>
      <c r="N968" s="5944">
        <f>IF(COUNTBLANK(N969:N974)&gt;0,"미취합법인有",SUM(N969:N974))</f>
        <v>22</v>
      </c>
      <c r="O968" s="5945"/>
      <c r="P968" s="5946">
        <f>IF(COUNTBLANK(P969:P974)&gt;0,"미취합법인有",SUM(P969:P974))</f>
        <v>20</v>
      </c>
      <c r="Q968" s="785"/>
      <c r="R968" s="498" t="s">
        <v>735</v>
      </c>
      <c r="S968" s="367" t="s">
        <v>736</v>
      </c>
      <c r="T968" s="99" t="s">
        <v>758</v>
      </c>
      <c r="U968" s="547" t="s">
        <v>738</v>
      </c>
      <c r="V968" s="547"/>
      <c r="W968" s="99"/>
      <c r="X968" s="620" t="s">
        <v>739</v>
      </c>
      <c r="Y968" s="620" t="s">
        <v>740</v>
      </c>
      <c r="Z968" s="159"/>
      <c r="AA968" s="6301"/>
      <c r="AB968" s="139"/>
      <c r="AC968" s="139"/>
      <c r="AD968" s="139"/>
      <c r="AE968" s="139"/>
      <c r="AF968" s="139"/>
      <c r="AG968" s="139"/>
      <c r="AH968" s="139"/>
      <c r="AI968" s="139"/>
      <c r="AJ968" s="139"/>
      <c r="AK968" s="139"/>
      <c r="AL968" s="139"/>
      <c r="AM968" s="139"/>
      <c r="AN968" s="139"/>
      <c r="AO968" s="139"/>
      <c r="AP968" s="139"/>
      <c r="AQ968" s="139"/>
      <c r="AR968" s="139"/>
      <c r="AS968" s="139"/>
      <c r="AT968" s="139"/>
      <c r="AU968" s="139"/>
      <c r="AV968" s="139"/>
      <c r="AW968" s="139"/>
      <c r="AX968" s="139"/>
      <c r="AY968" s="139"/>
      <c r="AZ968" s="139"/>
      <c r="BA968" s="139"/>
      <c r="BB968" s="139"/>
      <c r="BC968" s="139"/>
      <c r="BD968" s="139"/>
      <c r="BE968" s="139"/>
      <c r="BF968" s="139"/>
      <c r="BG968" s="139"/>
      <c r="BH968" s="139"/>
    </row>
    <row r="969" spans="2:60" s="11" customFormat="1" ht="20.100000000000001" customHeight="1">
      <c r="B969" s="1360"/>
      <c r="C969" s="5598"/>
      <c r="D969" s="9598" t="s">
        <v>134</v>
      </c>
      <c r="E969" s="9600"/>
      <c r="F969" s="492" t="s">
        <v>732</v>
      </c>
      <c r="G969" s="666"/>
      <c r="H969" s="666"/>
      <c r="I969" s="9579" t="s">
        <v>135</v>
      </c>
      <c r="J969" s="9581"/>
      <c r="K969" s="492" t="s">
        <v>734</v>
      </c>
      <c r="L969" s="5594">
        <v>5</v>
      </c>
      <c r="M969" s="5672" t="s">
        <v>759</v>
      </c>
      <c r="N969" s="5601">
        <v>8</v>
      </c>
      <c r="O969" s="5724" t="s">
        <v>759</v>
      </c>
      <c r="P969" s="6474">
        <v>6</v>
      </c>
      <c r="Q969" s="5948" t="s">
        <v>759</v>
      </c>
      <c r="R969" s="2468"/>
      <c r="S969" s="544"/>
      <c r="T969" s="545"/>
      <c r="U969" s="546"/>
      <c r="V969" s="547"/>
      <c r="W969" s="548"/>
      <c r="X969" s="277"/>
      <c r="Y969" s="277"/>
      <c r="Z969" s="187"/>
      <c r="AA969" s="6301"/>
      <c r="AB969" s="139"/>
      <c r="AC969" s="139"/>
      <c r="AD969" s="139"/>
      <c r="AE969" s="139"/>
      <c r="AF969" s="139"/>
      <c r="AG969" s="139"/>
      <c r="AH969" s="139"/>
      <c r="AI969" s="139"/>
      <c r="AJ969" s="139"/>
      <c r="AK969" s="139"/>
      <c r="AL969" s="139"/>
      <c r="AM969" s="139"/>
      <c r="AN969" s="139"/>
      <c r="AO969" s="139"/>
      <c r="AP969" s="139"/>
      <c r="AQ969" s="139"/>
      <c r="AR969" s="139"/>
      <c r="AS969" s="139"/>
      <c r="AT969" s="139"/>
      <c r="AU969" s="139"/>
      <c r="AV969" s="139"/>
      <c r="AW969" s="139"/>
      <c r="AX969" s="139"/>
      <c r="AY969" s="139"/>
      <c r="AZ969" s="139"/>
      <c r="BA969" s="139"/>
      <c r="BB969" s="139"/>
      <c r="BC969" s="139"/>
      <c r="BD969" s="139"/>
      <c r="BE969" s="139"/>
      <c r="BF969" s="139"/>
      <c r="BG969" s="139"/>
      <c r="BH969" s="139"/>
    </row>
    <row r="970" spans="2:60" s="11" customFormat="1" ht="20.100000000000001" customHeight="1">
      <c r="B970" s="1360"/>
      <c r="C970" s="5598"/>
      <c r="D970" s="9598" t="s">
        <v>137</v>
      </c>
      <c r="E970" s="9600"/>
      <c r="F970" s="492" t="s">
        <v>732</v>
      </c>
      <c r="G970" s="666"/>
      <c r="H970" s="666"/>
      <c r="I970" s="9579" t="s">
        <v>138</v>
      </c>
      <c r="J970" s="9581"/>
      <c r="K970" s="492" t="s">
        <v>734</v>
      </c>
      <c r="L970" s="5594">
        <v>1</v>
      </c>
      <c r="M970" s="5672"/>
      <c r="N970" s="5601">
        <v>1</v>
      </c>
      <c r="O970" s="5724"/>
      <c r="P970" s="1814">
        <v>1</v>
      </c>
      <c r="Q970" s="5948"/>
      <c r="R970" s="2468"/>
      <c r="S970" s="544"/>
      <c r="T970" s="545"/>
      <c r="U970" s="546"/>
      <c r="V970" s="547"/>
      <c r="W970" s="548"/>
      <c r="X970" s="277"/>
      <c r="Y970" s="277"/>
      <c r="Z970" s="187"/>
      <c r="AA970" s="6301"/>
      <c r="AB970" s="139"/>
      <c r="AC970" s="139"/>
      <c r="AD970" s="139"/>
      <c r="AE970" s="139"/>
      <c r="AF970" s="139"/>
      <c r="AG970" s="139"/>
      <c r="AH970" s="139"/>
      <c r="AI970" s="139"/>
      <c r="AJ970" s="139"/>
      <c r="AK970" s="139"/>
      <c r="AL970" s="139"/>
      <c r="AM970" s="139"/>
      <c r="AN970" s="139"/>
      <c r="AO970" s="139"/>
      <c r="AP970" s="139"/>
      <c r="AQ970" s="139"/>
      <c r="AR970" s="139"/>
      <c r="AS970" s="139"/>
      <c r="AT970" s="139"/>
      <c r="AU970" s="139"/>
      <c r="AV970" s="139"/>
      <c r="AW970" s="139"/>
      <c r="AX970" s="139"/>
      <c r="AY970" s="139"/>
      <c r="AZ970" s="139"/>
      <c r="BA970" s="139"/>
      <c r="BB970" s="139"/>
      <c r="BC970" s="139"/>
      <c r="BD970" s="139"/>
      <c r="BE970" s="139"/>
      <c r="BF970" s="139"/>
      <c r="BG970" s="139"/>
      <c r="BH970" s="139"/>
    </row>
    <row r="971" spans="2:60" s="11" customFormat="1" ht="20.100000000000001" customHeight="1">
      <c r="B971" s="1360"/>
      <c r="C971" s="5598"/>
      <c r="D971" s="9598" t="s">
        <v>140</v>
      </c>
      <c r="E971" s="9600"/>
      <c r="F971" s="492" t="s">
        <v>732</v>
      </c>
      <c r="G971" s="666"/>
      <c r="H971" s="666"/>
      <c r="I971" s="9582" t="s">
        <v>141</v>
      </c>
      <c r="J971" s="9583"/>
      <c r="K971" s="492" t="s">
        <v>734</v>
      </c>
      <c r="L971" s="5594">
        <v>1</v>
      </c>
      <c r="M971" s="5672">
        <v>0</v>
      </c>
      <c r="N971" s="5601">
        <v>1</v>
      </c>
      <c r="O971" s="5724" t="s">
        <v>760</v>
      </c>
      <c r="P971" s="1814">
        <v>1</v>
      </c>
      <c r="Q971" s="5948" t="s">
        <v>760</v>
      </c>
      <c r="R971" s="2468"/>
      <c r="S971" s="544"/>
      <c r="T971" s="545"/>
      <c r="U971" s="546"/>
      <c r="V971" s="547"/>
      <c r="W971" s="548"/>
      <c r="X971" s="277"/>
      <c r="Y971" s="277"/>
      <c r="Z971" s="187"/>
      <c r="AA971" s="6301"/>
      <c r="AB971" s="139"/>
      <c r="AC971" s="139"/>
      <c r="AD971" s="139"/>
      <c r="AE971" s="139"/>
      <c r="AF971" s="139"/>
      <c r="AG971" s="139"/>
      <c r="AH971" s="139"/>
      <c r="AI971" s="139"/>
      <c r="AJ971" s="139"/>
      <c r="AK971" s="139"/>
      <c r="AL971" s="139"/>
      <c r="AM971" s="139"/>
      <c r="AN971" s="139"/>
      <c r="AO971" s="139"/>
      <c r="AP971" s="139"/>
      <c r="AQ971" s="139"/>
      <c r="AR971" s="139"/>
      <c r="AS971" s="139"/>
      <c r="AT971" s="139"/>
      <c r="AU971" s="139"/>
      <c r="AV971" s="139"/>
      <c r="AW971" s="139"/>
      <c r="AX971" s="139"/>
      <c r="AY971" s="139"/>
      <c r="AZ971" s="139"/>
      <c r="BA971" s="139"/>
      <c r="BB971" s="139"/>
      <c r="BC971" s="139"/>
      <c r="BD971" s="139"/>
      <c r="BE971" s="139"/>
      <c r="BF971" s="139"/>
      <c r="BG971" s="139"/>
      <c r="BH971" s="139"/>
    </row>
    <row r="972" spans="2:60" s="11" customFormat="1" ht="20.100000000000001" customHeight="1">
      <c r="B972" s="1360"/>
      <c r="C972" s="5598"/>
      <c r="D972" s="9598" t="s">
        <v>143</v>
      </c>
      <c r="E972" s="9600"/>
      <c r="F972" s="492" t="s">
        <v>732</v>
      </c>
      <c r="G972" s="666"/>
      <c r="H972" s="666"/>
      <c r="I972" s="9582" t="s">
        <v>144</v>
      </c>
      <c r="J972" s="9583"/>
      <c r="K972" s="492" t="s">
        <v>734</v>
      </c>
      <c r="L972" s="5594">
        <v>5</v>
      </c>
      <c r="M972" s="5672" t="s">
        <v>761</v>
      </c>
      <c r="N972" s="5601">
        <v>5</v>
      </c>
      <c r="O972" s="5724" t="s">
        <v>761</v>
      </c>
      <c r="P972" s="1814">
        <v>5</v>
      </c>
      <c r="Q972" s="5948" t="s">
        <v>762</v>
      </c>
      <c r="R972" s="2468"/>
      <c r="S972" s="544"/>
      <c r="T972" s="545"/>
      <c r="U972" s="546"/>
      <c r="V972" s="547"/>
      <c r="W972" s="548"/>
      <c r="X972" s="277"/>
      <c r="Y972" s="277"/>
      <c r="Z972" s="187"/>
      <c r="AA972" s="6301"/>
      <c r="AB972" s="139"/>
      <c r="AC972" s="139"/>
      <c r="AD972" s="139"/>
      <c r="AE972" s="139"/>
      <c r="AF972" s="139"/>
      <c r="AG972" s="139"/>
      <c r="AH972" s="139"/>
      <c r="AI972" s="139"/>
      <c r="AJ972" s="139"/>
      <c r="AK972" s="139"/>
      <c r="AL972" s="139"/>
      <c r="AM972" s="139"/>
      <c r="AN972" s="139"/>
      <c r="AO972" s="139"/>
      <c r="AP972" s="139"/>
      <c r="AQ972" s="139"/>
      <c r="AR972" s="139"/>
      <c r="AS972" s="139"/>
      <c r="AT972" s="139"/>
      <c r="AU972" s="139"/>
      <c r="AV972" s="139"/>
      <c r="AW972" s="139"/>
      <c r="AX972" s="139"/>
      <c r="AY972" s="139"/>
      <c r="AZ972" s="139"/>
      <c r="BA972" s="139"/>
      <c r="BB972" s="139"/>
      <c r="BC972" s="139"/>
      <c r="BD972" s="139"/>
      <c r="BE972" s="139"/>
      <c r="BF972" s="139"/>
      <c r="BG972" s="139"/>
      <c r="BH972" s="139"/>
    </row>
    <row r="973" spans="2:60" s="11" customFormat="1" ht="20.100000000000001" customHeight="1">
      <c r="B973" s="1360"/>
      <c r="C973" s="5598"/>
      <c r="D973" s="9598" t="s">
        <v>631</v>
      </c>
      <c r="E973" s="9600"/>
      <c r="F973" s="492" t="s">
        <v>732</v>
      </c>
      <c r="G973" s="666"/>
      <c r="H973" s="666"/>
      <c r="I973" s="9582" t="s">
        <v>147</v>
      </c>
      <c r="J973" s="9583"/>
      <c r="K973" s="492" t="s">
        <v>734</v>
      </c>
      <c r="L973" s="5594">
        <v>7</v>
      </c>
      <c r="M973" s="5672" t="s">
        <v>763</v>
      </c>
      <c r="N973" s="5601">
        <v>7</v>
      </c>
      <c r="O973" s="5724" t="s">
        <v>763</v>
      </c>
      <c r="P973" s="1814">
        <v>7</v>
      </c>
      <c r="Q973" s="5948"/>
      <c r="R973" s="2468"/>
      <c r="S973" s="544"/>
      <c r="T973" s="545"/>
      <c r="U973" s="546"/>
      <c r="V973" s="547"/>
      <c r="W973" s="548"/>
      <c r="X973" s="277"/>
      <c r="Y973" s="277"/>
      <c r="Z973" s="187"/>
      <c r="AA973" s="6301"/>
      <c r="AB973" s="139"/>
      <c r="AC973" s="139"/>
      <c r="AD973" s="139"/>
      <c r="AE973" s="139"/>
      <c r="AF973" s="139"/>
      <c r="AG973" s="139"/>
      <c r="AH973" s="139"/>
      <c r="AI973" s="139"/>
      <c r="AJ973" s="139"/>
      <c r="AK973" s="139"/>
      <c r="AL973" s="139"/>
      <c r="AM973" s="139"/>
      <c r="AN973" s="139"/>
      <c r="AO973" s="139"/>
      <c r="AP973" s="139"/>
      <c r="AQ973" s="139"/>
      <c r="AR973" s="139"/>
      <c r="AS973" s="139"/>
      <c r="AT973" s="139"/>
      <c r="AU973" s="139"/>
      <c r="AV973" s="139"/>
      <c r="AW973" s="139"/>
      <c r="AX973" s="139"/>
      <c r="AY973" s="139"/>
      <c r="AZ973" s="139"/>
      <c r="BA973" s="139"/>
      <c r="BB973" s="139"/>
      <c r="BC973" s="139"/>
      <c r="BD973" s="139"/>
      <c r="BE973" s="139"/>
      <c r="BF973" s="139"/>
      <c r="BG973" s="139"/>
      <c r="BH973" s="139"/>
    </row>
    <row r="974" spans="2:60" s="11" customFormat="1" ht="20.100000000000001" customHeight="1">
      <c r="B974" s="1360"/>
      <c r="C974" s="5598"/>
      <c r="D974" s="9598" t="s">
        <v>633</v>
      </c>
      <c r="E974" s="9600"/>
      <c r="F974" s="492" t="s">
        <v>732</v>
      </c>
      <c r="G974" s="666"/>
      <c r="H974" s="666"/>
      <c r="I974" s="9582" t="s">
        <v>150</v>
      </c>
      <c r="J974" s="9583"/>
      <c r="K974" s="492" t="s">
        <v>734</v>
      </c>
      <c r="L974" s="5594">
        <v>0</v>
      </c>
      <c r="M974" s="5672"/>
      <c r="N974" s="5601">
        <v>0</v>
      </c>
      <c r="O974" s="5724"/>
      <c r="P974" s="1814">
        <v>0</v>
      </c>
      <c r="Q974" s="5948"/>
      <c r="R974" s="2468"/>
      <c r="S974" s="544"/>
      <c r="T974" s="545"/>
      <c r="U974" s="546"/>
      <c r="V974" s="547"/>
      <c r="W974" s="548"/>
      <c r="X974" s="277"/>
      <c r="Y974" s="277"/>
      <c r="Z974" s="187"/>
      <c r="AA974" s="6301"/>
      <c r="AB974" s="139"/>
      <c r="AC974" s="139"/>
      <c r="AD974" s="139"/>
      <c r="AE974" s="139"/>
      <c r="AF974" s="139"/>
      <c r="AG974" s="139"/>
      <c r="AH974" s="139"/>
      <c r="AI974" s="139"/>
      <c r="AJ974" s="139"/>
      <c r="AK974" s="139"/>
      <c r="AL974" s="139"/>
      <c r="AM974" s="139"/>
      <c r="AN974" s="139"/>
      <c r="AO974" s="139"/>
      <c r="AP974" s="139"/>
      <c r="AQ974" s="139"/>
      <c r="AR974" s="139"/>
      <c r="AS974" s="139"/>
      <c r="AT974" s="139"/>
      <c r="AU974" s="139"/>
      <c r="AV974" s="139"/>
      <c r="AW974" s="139"/>
      <c r="AX974" s="139"/>
      <c r="AY974" s="139"/>
      <c r="AZ974" s="139"/>
      <c r="BA974" s="139"/>
      <c r="BB974" s="139"/>
      <c r="BC974" s="139"/>
      <c r="BD974" s="139"/>
      <c r="BE974" s="139"/>
      <c r="BF974" s="139"/>
      <c r="BG974" s="139"/>
      <c r="BH974" s="139"/>
    </row>
    <row r="975" spans="2:60" s="11" customFormat="1" ht="20.100000000000001" customHeight="1">
      <c r="B975" s="1360"/>
      <c r="C975" s="9656" t="s">
        <v>764</v>
      </c>
      <c r="D975" s="9587"/>
      <c r="E975" s="9588"/>
      <c r="F975" s="295" t="s">
        <v>742</v>
      </c>
      <c r="G975" s="872"/>
      <c r="H975" s="9586" t="s">
        <v>765</v>
      </c>
      <c r="I975" s="9587"/>
      <c r="J975" s="9588"/>
      <c r="K975" s="295" t="s">
        <v>734</v>
      </c>
      <c r="L975" s="5783">
        <f>IF(COUNTBLANK(L976:L981)&gt;0,"미취합법인有",SUM(L976:L981))</f>
        <v>1808</v>
      </c>
      <c r="M975" s="5944"/>
      <c r="N975" s="5944">
        <f>IF(COUNTBLANK(N976:N981)&gt;0,"미취합법인有",SUM(N976:N981))</f>
        <v>1681</v>
      </c>
      <c r="O975" s="5945"/>
      <c r="P975" s="5946">
        <f>IF(COUNTBLANK(P976:P981)&gt;0,"미취합법인有",SUM(P976:P981))</f>
        <v>1531</v>
      </c>
      <c r="Q975" s="785"/>
      <c r="R975" s="498" t="s">
        <v>735</v>
      </c>
      <c r="S975" s="367" t="s">
        <v>736</v>
      </c>
      <c r="T975" s="99" t="s">
        <v>758</v>
      </c>
      <c r="U975" s="547" t="s">
        <v>738</v>
      </c>
      <c r="V975" s="547"/>
      <c r="W975" s="99"/>
      <c r="X975" s="620" t="s">
        <v>739</v>
      </c>
      <c r="Y975" s="620" t="s">
        <v>740</v>
      </c>
      <c r="Z975" s="159"/>
      <c r="AA975" s="6301"/>
      <c r="AB975" s="139"/>
      <c r="AC975" s="139"/>
      <c r="AD975" s="139"/>
      <c r="AE975" s="139"/>
      <c r="AF975" s="139"/>
      <c r="AG975" s="139"/>
      <c r="AH975" s="139"/>
      <c r="AI975" s="139"/>
      <c r="AJ975" s="139"/>
      <c r="AK975" s="139"/>
      <c r="AL975" s="139"/>
      <c r="AM975" s="139"/>
      <c r="AN975" s="139"/>
      <c r="AO975" s="139"/>
      <c r="AP975" s="139"/>
      <c r="AQ975" s="139"/>
      <c r="AR975" s="139"/>
      <c r="AS975" s="139"/>
      <c r="AT975" s="139"/>
      <c r="AU975" s="139"/>
      <c r="AV975" s="139"/>
      <c r="AW975" s="139"/>
      <c r="AX975" s="139"/>
      <c r="AY975" s="139"/>
      <c r="AZ975" s="139"/>
      <c r="BA975" s="139"/>
      <c r="BB975" s="139"/>
      <c r="BC975" s="139"/>
      <c r="BD975" s="139"/>
      <c r="BE975" s="139"/>
      <c r="BF975" s="139"/>
      <c r="BG975" s="139"/>
      <c r="BH975" s="139"/>
    </row>
    <row r="976" spans="2:60" s="11" customFormat="1" ht="20.100000000000001" customHeight="1">
      <c r="B976" s="1360"/>
      <c r="C976" s="9647" t="s">
        <v>134</v>
      </c>
      <c r="D976" s="9648"/>
      <c r="E976" s="9649"/>
      <c r="F976" s="492" t="s">
        <v>732</v>
      </c>
      <c r="G976" s="666"/>
      <c r="H976" s="9579" t="s">
        <v>135</v>
      </c>
      <c r="I976" s="9580"/>
      <c r="J976" s="9581"/>
      <c r="K976" s="492" t="s">
        <v>734</v>
      </c>
      <c r="L976" s="5594">
        <v>20</v>
      </c>
      <c r="M976" s="5672" t="s">
        <v>766</v>
      </c>
      <c r="N976" s="5601">
        <v>89</v>
      </c>
      <c r="O976" s="5724" t="s">
        <v>766</v>
      </c>
      <c r="P976" s="5947">
        <v>75</v>
      </c>
      <c r="Q976" s="5948" t="s">
        <v>767</v>
      </c>
      <c r="R976" s="2468"/>
      <c r="S976" s="544"/>
      <c r="T976" s="545"/>
      <c r="U976" s="546"/>
      <c r="V976" s="547"/>
      <c r="W976" s="548"/>
      <c r="X976" s="277"/>
      <c r="Y976" s="277"/>
      <c r="Z976" s="187"/>
      <c r="AA976" s="6301"/>
      <c r="AB976" s="139"/>
      <c r="AC976" s="139"/>
      <c r="AD976" s="139"/>
      <c r="AE976" s="139"/>
      <c r="AF976" s="139"/>
      <c r="AG976" s="139"/>
      <c r="AH976" s="139"/>
      <c r="AI976" s="139"/>
      <c r="AJ976" s="139"/>
      <c r="AK976" s="139"/>
      <c r="AL976" s="139"/>
      <c r="AM976" s="139"/>
      <c r="AN976" s="139"/>
      <c r="AO976" s="139"/>
      <c r="AP976" s="139"/>
      <c r="AQ976" s="139"/>
      <c r="AR976" s="139"/>
      <c r="AS976" s="139"/>
      <c r="AT976" s="139"/>
      <c r="AU976" s="139"/>
      <c r="AV976" s="139"/>
      <c r="AW976" s="139"/>
      <c r="AX976" s="139"/>
      <c r="AY976" s="139"/>
      <c r="AZ976" s="139"/>
      <c r="BA976" s="139"/>
      <c r="BB976" s="139"/>
      <c r="BC976" s="139"/>
      <c r="BD976" s="139"/>
      <c r="BE976" s="139"/>
      <c r="BF976" s="139"/>
      <c r="BG976" s="139"/>
      <c r="BH976" s="139"/>
    </row>
    <row r="977" spans="2:60" s="11" customFormat="1" ht="20.100000000000001" customHeight="1">
      <c r="B977" s="1360"/>
      <c r="C977" s="9647" t="s">
        <v>137</v>
      </c>
      <c r="D977" s="9648"/>
      <c r="E977" s="9649"/>
      <c r="F977" s="492" t="s">
        <v>732</v>
      </c>
      <c r="G977" s="666"/>
      <c r="H977" s="9579" t="s">
        <v>138</v>
      </c>
      <c r="I977" s="9580"/>
      <c r="J977" s="9581"/>
      <c r="K977" s="492" t="s">
        <v>734</v>
      </c>
      <c r="L977" s="6490">
        <v>41</v>
      </c>
      <c r="M977" s="5672"/>
      <c r="N977" s="6491">
        <v>49</v>
      </c>
      <c r="O977" s="5724"/>
      <c r="P977" s="1814">
        <v>53</v>
      </c>
      <c r="Q977" s="5948"/>
      <c r="R977" s="2468"/>
      <c r="S977" s="544"/>
      <c r="T977" s="545"/>
      <c r="U977" s="546"/>
      <c r="V977" s="547"/>
      <c r="W977" s="548"/>
      <c r="X977" s="277"/>
      <c r="Y977" s="277"/>
      <c r="Z977" s="187"/>
      <c r="AA977" s="6301"/>
      <c r="AB977" s="139"/>
      <c r="AC977" s="139"/>
      <c r="AD977" s="139"/>
      <c r="AE977" s="139"/>
      <c r="AF977" s="139"/>
      <c r="AG977" s="139"/>
      <c r="AH977" s="139"/>
      <c r="AI977" s="139"/>
      <c r="AJ977" s="139"/>
      <c r="AK977" s="139"/>
      <c r="AL977" s="139"/>
      <c r="AM977" s="139"/>
      <c r="AN977" s="139"/>
      <c r="AO977" s="139"/>
      <c r="AP977" s="139"/>
      <c r="AQ977" s="139"/>
      <c r="AR977" s="139"/>
      <c r="AS977" s="139"/>
      <c r="AT977" s="139"/>
      <c r="AU977" s="139"/>
      <c r="AV977" s="139"/>
      <c r="AW977" s="139"/>
      <c r="AX977" s="139"/>
      <c r="AY977" s="139"/>
      <c r="AZ977" s="139"/>
      <c r="BA977" s="139"/>
      <c r="BB977" s="139"/>
      <c r="BC977" s="139"/>
      <c r="BD977" s="139"/>
      <c r="BE977" s="139"/>
      <c r="BF977" s="139"/>
      <c r="BG977" s="139"/>
      <c r="BH977" s="139"/>
    </row>
    <row r="978" spans="2:60" s="11" customFormat="1" ht="20.100000000000001" customHeight="1">
      <c r="B978" s="1360"/>
      <c r="C978" s="9647" t="s">
        <v>140</v>
      </c>
      <c r="D978" s="9648"/>
      <c r="E978" s="9649"/>
      <c r="F978" s="492" t="s">
        <v>732</v>
      </c>
      <c r="G978" s="666"/>
      <c r="H978" s="9579" t="s">
        <v>141</v>
      </c>
      <c r="I978" s="9580"/>
      <c r="J978" s="9581"/>
      <c r="K978" s="492" t="s">
        <v>734</v>
      </c>
      <c r="L978" s="5594">
        <v>0</v>
      </c>
      <c r="M978" s="5672"/>
      <c r="N978" s="5601">
        <v>0</v>
      </c>
      <c r="O978" s="5724"/>
      <c r="P978" s="1814">
        <v>0</v>
      </c>
      <c r="Q978" s="5948"/>
      <c r="R978" s="2468"/>
      <c r="S978" s="544"/>
      <c r="T978" s="545"/>
      <c r="U978" s="546"/>
      <c r="V978" s="547"/>
      <c r="W978" s="548"/>
      <c r="X978" s="277"/>
      <c r="Y978" s="277"/>
      <c r="Z978" s="187"/>
      <c r="AA978" s="6301"/>
      <c r="AB978" s="139"/>
      <c r="AC978" s="139"/>
      <c r="AD978" s="139"/>
      <c r="AE978" s="139"/>
      <c r="AF978" s="139"/>
      <c r="AG978" s="139"/>
      <c r="AH978" s="139"/>
      <c r="AI978" s="139"/>
      <c r="AJ978" s="139"/>
      <c r="AK978" s="139"/>
      <c r="AL978" s="139"/>
      <c r="AM978" s="139"/>
      <c r="AN978" s="139"/>
      <c r="AO978" s="139"/>
      <c r="AP978" s="139"/>
      <c r="AQ978" s="139"/>
      <c r="AR978" s="139"/>
      <c r="AS978" s="139"/>
      <c r="AT978" s="139"/>
      <c r="AU978" s="139"/>
      <c r="AV978" s="139"/>
      <c r="AW978" s="139"/>
      <c r="AX978" s="139"/>
      <c r="AY978" s="139"/>
      <c r="AZ978" s="139"/>
      <c r="BA978" s="139"/>
      <c r="BB978" s="139"/>
      <c r="BC978" s="139"/>
      <c r="BD978" s="139"/>
      <c r="BE978" s="139"/>
      <c r="BF978" s="139"/>
      <c r="BG978" s="139"/>
      <c r="BH978" s="139"/>
    </row>
    <row r="979" spans="2:60" s="11" customFormat="1" ht="20.100000000000001" customHeight="1">
      <c r="B979" s="1360"/>
      <c r="C979" s="9647" t="s">
        <v>143</v>
      </c>
      <c r="D979" s="9648"/>
      <c r="E979" s="9649"/>
      <c r="F979" s="492" t="s">
        <v>732</v>
      </c>
      <c r="G979" s="666"/>
      <c r="H979" s="9579" t="s">
        <v>144</v>
      </c>
      <c r="I979" s="9580"/>
      <c r="J979" s="9581"/>
      <c r="K979" s="492" t="s">
        <v>734</v>
      </c>
      <c r="L979" s="5594">
        <v>472</v>
      </c>
      <c r="M979" s="5672" t="s">
        <v>768</v>
      </c>
      <c r="N979" s="5601">
        <v>403</v>
      </c>
      <c r="O979" s="5724" t="s">
        <v>768</v>
      </c>
      <c r="P979" s="1814">
        <v>348</v>
      </c>
      <c r="Q979" s="5948"/>
      <c r="R979" s="2468"/>
      <c r="S979" s="544"/>
      <c r="T979" s="545"/>
      <c r="U979" s="546"/>
      <c r="V979" s="547"/>
      <c r="W979" s="548"/>
      <c r="X979" s="277"/>
      <c r="Y979" s="277"/>
      <c r="Z979" s="187"/>
      <c r="AA979" s="6301"/>
      <c r="AB979" s="139"/>
      <c r="AC979" s="139"/>
      <c r="AD979" s="139"/>
      <c r="AE979" s="139"/>
      <c r="AF979" s="139"/>
      <c r="AG979" s="139"/>
      <c r="AH979" s="139"/>
      <c r="AI979" s="139"/>
      <c r="AJ979" s="139"/>
      <c r="AK979" s="139"/>
      <c r="AL979" s="139"/>
      <c r="AM979" s="139"/>
      <c r="AN979" s="139"/>
      <c r="AO979" s="139"/>
      <c r="AP979" s="139"/>
      <c r="AQ979" s="139"/>
      <c r="AR979" s="139"/>
      <c r="AS979" s="139"/>
      <c r="AT979" s="139"/>
      <c r="AU979" s="139"/>
      <c r="AV979" s="139"/>
      <c r="AW979" s="139"/>
      <c r="AX979" s="139"/>
      <c r="AY979" s="139"/>
      <c r="AZ979" s="139"/>
      <c r="BA979" s="139"/>
      <c r="BB979" s="139"/>
      <c r="BC979" s="139"/>
      <c r="BD979" s="139"/>
      <c r="BE979" s="139"/>
      <c r="BF979" s="139"/>
      <c r="BG979" s="139"/>
      <c r="BH979" s="139"/>
    </row>
    <row r="980" spans="2:60" s="11" customFormat="1" ht="20.100000000000001" customHeight="1">
      <c r="B980" s="1360"/>
      <c r="C980" s="9647" t="s">
        <v>631</v>
      </c>
      <c r="D980" s="9648"/>
      <c r="E980" s="9649"/>
      <c r="F980" s="492" t="s">
        <v>732</v>
      </c>
      <c r="G980" s="666"/>
      <c r="H980" s="9579" t="s">
        <v>147</v>
      </c>
      <c r="I980" s="9580"/>
      <c r="J980" s="9581"/>
      <c r="K980" s="492" t="s">
        <v>734</v>
      </c>
      <c r="L980" s="5594">
        <v>0</v>
      </c>
      <c r="M980" s="5672"/>
      <c r="N980" s="5601">
        <v>0</v>
      </c>
      <c r="O980" s="5724"/>
      <c r="P980" s="1814">
        <v>0</v>
      </c>
      <c r="Q980" s="5948"/>
      <c r="R980" s="2468"/>
      <c r="S980" s="544"/>
      <c r="T980" s="545"/>
      <c r="U980" s="546"/>
      <c r="V980" s="547"/>
      <c r="W980" s="548"/>
      <c r="X980" s="277"/>
      <c r="Y980" s="277"/>
      <c r="Z980" s="187"/>
      <c r="AA980" s="6301"/>
      <c r="AB980" s="139"/>
      <c r="AC980" s="139"/>
      <c r="AD980" s="139"/>
      <c r="AE980" s="139"/>
      <c r="AF980" s="139"/>
      <c r="AG980" s="139"/>
      <c r="AH980" s="139"/>
      <c r="AI980" s="139"/>
      <c r="AJ980" s="139"/>
      <c r="AK980" s="139"/>
      <c r="AL980" s="139"/>
      <c r="AM980" s="139"/>
      <c r="AN980" s="139"/>
      <c r="AO980" s="139"/>
      <c r="AP980" s="139"/>
      <c r="AQ980" s="139"/>
      <c r="AR980" s="139"/>
      <c r="AS980" s="139"/>
      <c r="AT980" s="139"/>
      <c r="AU980" s="139"/>
      <c r="AV980" s="139"/>
      <c r="AW980" s="139"/>
      <c r="AX980" s="139"/>
      <c r="AY980" s="139"/>
      <c r="AZ980" s="139"/>
      <c r="BA980" s="139"/>
      <c r="BB980" s="139"/>
      <c r="BC980" s="139"/>
      <c r="BD980" s="139"/>
      <c r="BE980" s="139"/>
      <c r="BF980" s="139"/>
      <c r="BG980" s="139"/>
      <c r="BH980" s="139"/>
    </row>
    <row r="981" spans="2:60" s="11" customFormat="1" ht="20.100000000000001" customHeight="1">
      <c r="B981" s="1360"/>
      <c r="C981" s="9647" t="s">
        <v>633</v>
      </c>
      <c r="D981" s="9648"/>
      <c r="E981" s="9649"/>
      <c r="F981" s="492" t="s">
        <v>732</v>
      </c>
      <c r="G981" s="666"/>
      <c r="H981" s="9579" t="s">
        <v>150</v>
      </c>
      <c r="I981" s="9580"/>
      <c r="J981" s="9581"/>
      <c r="K981" s="492" t="s">
        <v>734</v>
      </c>
      <c r="L981" s="5594">
        <v>1275</v>
      </c>
      <c r="M981" s="5672"/>
      <c r="N981" s="5601">
        <v>1140</v>
      </c>
      <c r="O981" s="5952"/>
      <c r="P981" s="5601">
        <v>1055</v>
      </c>
      <c r="Q981" s="5948"/>
      <c r="R981" s="2468"/>
      <c r="S981" s="544"/>
      <c r="T981" s="545"/>
      <c r="U981" s="546"/>
      <c r="V981" s="547"/>
      <c r="W981" s="548"/>
      <c r="X981" s="277"/>
      <c r="Y981" s="277"/>
      <c r="Z981" s="187"/>
      <c r="AA981" s="6301"/>
      <c r="AB981" s="139"/>
      <c r="AC981" s="139"/>
      <c r="AD981" s="139"/>
      <c r="AE981" s="139"/>
      <c r="AF981" s="139"/>
      <c r="AG981" s="139"/>
      <c r="AH981" s="139"/>
      <c r="AI981" s="139"/>
      <c r="AJ981" s="139"/>
      <c r="AK981" s="139"/>
      <c r="AL981" s="139"/>
      <c r="AM981" s="139"/>
      <c r="AN981" s="139"/>
      <c r="AO981" s="139"/>
      <c r="AP981" s="139"/>
      <c r="AQ981" s="139"/>
      <c r="AR981" s="139"/>
      <c r="AS981" s="139"/>
      <c r="AT981" s="139"/>
      <c r="AU981" s="139"/>
      <c r="AV981" s="139"/>
      <c r="AW981" s="139"/>
      <c r="AX981" s="139"/>
      <c r="AY981" s="139"/>
      <c r="AZ981" s="139"/>
      <c r="BA981" s="139"/>
      <c r="BB981" s="139"/>
      <c r="BC981" s="139"/>
      <c r="BD981" s="139"/>
      <c r="BE981" s="139"/>
      <c r="BF981" s="139"/>
      <c r="BG981" s="139"/>
      <c r="BH981" s="139"/>
    </row>
    <row r="982" spans="2:60" s="11" customFormat="1" ht="20.100000000000001" customHeight="1">
      <c r="B982" s="1360"/>
      <c r="C982" s="9686" t="s">
        <v>769</v>
      </c>
      <c r="D982" s="9687"/>
      <c r="E982" s="9687"/>
      <c r="F982" s="9687"/>
      <c r="G982" s="9687"/>
      <c r="H982" s="9687"/>
      <c r="I982" s="9687"/>
      <c r="J982" s="9687"/>
      <c r="K982" s="9687"/>
      <c r="L982" s="9687"/>
      <c r="M982" s="9687"/>
      <c r="N982" s="9687"/>
      <c r="O982" s="9687"/>
      <c r="P982" s="9687"/>
      <c r="Q982" s="9688"/>
      <c r="R982" s="6309"/>
      <c r="S982" s="367"/>
      <c r="T982" s="99" t="s">
        <v>737</v>
      </c>
      <c r="U982" s="547"/>
      <c r="V982" s="547"/>
      <c r="W982" s="99"/>
      <c r="X982" s="620" t="s">
        <v>770</v>
      </c>
      <c r="Y982" s="620" t="s">
        <v>740</v>
      </c>
      <c r="Z982" s="159"/>
      <c r="AA982" s="6301"/>
      <c r="AB982" s="139"/>
      <c r="AC982" s="139"/>
      <c r="AD982" s="139"/>
      <c r="AE982" s="139"/>
      <c r="AF982" s="139"/>
      <c r="AG982" s="139"/>
      <c r="AH982" s="139"/>
      <c r="AI982" s="139"/>
      <c r="AJ982" s="139"/>
      <c r="AK982" s="139"/>
      <c r="AL982" s="139"/>
      <c r="AM982" s="139"/>
      <c r="AN982" s="139"/>
      <c r="AO982" s="139"/>
      <c r="AP982" s="139"/>
      <c r="AQ982" s="139"/>
      <c r="AR982" s="139"/>
      <c r="AS982" s="139"/>
      <c r="AT982" s="139"/>
      <c r="AU982" s="139"/>
      <c r="AV982" s="139"/>
      <c r="AW982" s="139"/>
      <c r="AX982" s="139"/>
      <c r="AY982" s="139"/>
      <c r="AZ982" s="139"/>
      <c r="BA982" s="139"/>
      <c r="BB982" s="139"/>
      <c r="BC982" s="139"/>
      <c r="BD982" s="139"/>
      <c r="BE982" s="139"/>
      <c r="BF982" s="139"/>
      <c r="BG982" s="139"/>
      <c r="BH982" s="139"/>
    </row>
    <row r="983" spans="2:60" s="11" customFormat="1" ht="20.100000000000001" customHeight="1">
      <c r="B983" s="1360"/>
      <c r="C983" s="5598"/>
      <c r="D983" s="9586" t="s">
        <v>771</v>
      </c>
      <c r="E983" s="9588"/>
      <c r="F983" s="285" t="s">
        <v>732</v>
      </c>
      <c r="G983" s="386"/>
      <c r="H983" s="386"/>
      <c r="I983" s="9586" t="s">
        <v>772</v>
      </c>
      <c r="J983" s="9588"/>
      <c r="K983" s="285" t="s">
        <v>734</v>
      </c>
      <c r="L983" s="5783">
        <f>IF(COUNTBLANK(L984:L989)&gt;0,"미취합법인有",SUM(L984:L989))</f>
        <v>5378</v>
      </c>
      <c r="M983" s="5784"/>
      <c r="N983" s="5785">
        <f>IF(COUNTBLANK(N984:N989)&gt;0,"미취합법인有",SUM(N984:N989))</f>
        <v>5809</v>
      </c>
      <c r="O983" s="5786"/>
      <c r="P983" s="5787">
        <f>IF(COUNTBLANK(P984:P989)&gt;0,"미취합법인有",SUM(P984:P989))</f>
        <v>5820</v>
      </c>
      <c r="Q983" s="785"/>
      <c r="R983" s="498" t="s">
        <v>773</v>
      </c>
      <c r="S983" s="367" t="s">
        <v>774</v>
      </c>
      <c r="T983" s="99" t="s">
        <v>745</v>
      </c>
      <c r="U983" s="547" t="s">
        <v>738</v>
      </c>
      <c r="V983" s="547"/>
      <c r="W983" s="99"/>
      <c r="X983" s="620" t="s">
        <v>770</v>
      </c>
      <c r="Y983" s="620" t="s">
        <v>740</v>
      </c>
      <c r="Z983" s="159"/>
      <c r="AA983" s="6301"/>
      <c r="AB983" s="139"/>
      <c r="AC983" s="139"/>
      <c r="AD983" s="139"/>
      <c r="AE983" s="139"/>
      <c r="AF983" s="139"/>
      <c r="AG983" s="139"/>
      <c r="AH983" s="139"/>
      <c r="AI983" s="139"/>
      <c r="AJ983" s="139"/>
      <c r="AK983" s="139"/>
      <c r="AL983" s="139"/>
      <c r="AM983" s="139"/>
      <c r="AN983" s="139"/>
      <c r="AO983" s="139"/>
      <c r="AP983" s="139"/>
      <c r="AQ983" s="139"/>
      <c r="AR983" s="139"/>
      <c r="AS983" s="139"/>
      <c r="AT983" s="139"/>
      <c r="AU983" s="139"/>
      <c r="AV983" s="139"/>
      <c r="AW983" s="139"/>
      <c r="AX983" s="139"/>
      <c r="AY983" s="139"/>
      <c r="AZ983" s="139"/>
      <c r="BA983" s="139"/>
      <c r="BB983" s="139"/>
      <c r="BC983" s="139"/>
      <c r="BD983" s="139"/>
      <c r="BE983" s="139"/>
      <c r="BF983" s="139"/>
      <c r="BG983" s="139"/>
      <c r="BH983" s="139"/>
    </row>
    <row r="984" spans="2:60" s="11" customFormat="1" ht="20.100000000000001" customHeight="1">
      <c r="B984" s="1360"/>
      <c r="C984" s="5598"/>
      <c r="D984" s="9598" t="s">
        <v>134</v>
      </c>
      <c r="E984" s="9600"/>
      <c r="F984" s="492" t="s">
        <v>732</v>
      </c>
      <c r="G984" s="666"/>
      <c r="H984" s="666"/>
      <c r="I984" s="9579" t="s">
        <v>135</v>
      </c>
      <c r="J984" s="9581"/>
      <c r="K984" s="285" t="s">
        <v>734</v>
      </c>
      <c r="L984" s="5594">
        <v>3031</v>
      </c>
      <c r="M984" s="5672" t="s">
        <v>746</v>
      </c>
      <c r="N984" s="5601">
        <v>3629</v>
      </c>
      <c r="O984" s="5724" t="s">
        <v>747</v>
      </c>
      <c r="P984" s="5947">
        <v>3726</v>
      </c>
      <c r="Q984" s="5948" t="s">
        <v>746</v>
      </c>
      <c r="R984" s="2468"/>
      <c r="S984" s="544"/>
      <c r="T984" s="545"/>
      <c r="U984" s="546"/>
      <c r="V984" s="547"/>
      <c r="W984" s="548"/>
      <c r="X984" s="277"/>
      <c r="Y984" s="277"/>
      <c r="Z984" s="187"/>
      <c r="AA984" s="6301"/>
      <c r="AB984" s="139"/>
      <c r="AC984" s="139"/>
      <c r="AD984" s="139"/>
      <c r="AE984" s="139"/>
      <c r="AF984" s="139"/>
      <c r="AG984" s="139"/>
      <c r="AH984" s="139"/>
      <c r="AI984" s="139"/>
      <c r="AJ984" s="139"/>
      <c r="AK984" s="139"/>
      <c r="AL984" s="139"/>
      <c r="AM984" s="139"/>
      <c r="AN984" s="139"/>
      <c r="AO984" s="139"/>
      <c r="AP984" s="139"/>
      <c r="AQ984" s="139"/>
      <c r="AR984" s="139"/>
      <c r="AS984" s="139"/>
      <c r="AT984" s="139"/>
      <c r="AU984" s="139"/>
      <c r="AV984" s="139"/>
      <c r="AW984" s="139"/>
      <c r="AX984" s="139"/>
      <c r="AY984" s="139"/>
      <c r="AZ984" s="139"/>
      <c r="BA984" s="139"/>
      <c r="BB984" s="139"/>
      <c r="BC984" s="139"/>
      <c r="BD984" s="139"/>
      <c r="BE984" s="139"/>
      <c r="BF984" s="139"/>
      <c r="BG984" s="139"/>
      <c r="BH984" s="139"/>
    </row>
    <row r="985" spans="2:60" s="11" customFormat="1" ht="20.100000000000001" customHeight="1">
      <c r="B985" s="1360"/>
      <c r="C985" s="5598"/>
      <c r="D985" s="9598" t="s">
        <v>137</v>
      </c>
      <c r="E985" s="9600"/>
      <c r="F985" s="492" t="s">
        <v>732</v>
      </c>
      <c r="G985" s="666"/>
      <c r="H985" s="666"/>
      <c r="I985" s="9579" t="s">
        <v>138</v>
      </c>
      <c r="J985" s="9581"/>
      <c r="K985" s="285" t="s">
        <v>734</v>
      </c>
      <c r="L985" s="5594">
        <v>174</v>
      </c>
      <c r="M985" s="5672"/>
      <c r="N985" s="5601">
        <v>215</v>
      </c>
      <c r="O985" s="5724"/>
      <c r="P985" s="1814">
        <v>236</v>
      </c>
      <c r="Q985" s="5948"/>
      <c r="R985" s="2468"/>
      <c r="S985" s="544"/>
      <c r="T985" s="545"/>
      <c r="U985" s="546"/>
      <c r="V985" s="547"/>
      <c r="W985" s="548"/>
      <c r="X985" s="277"/>
      <c r="Y985" s="277"/>
      <c r="Z985" s="187"/>
      <c r="AA985" s="6301"/>
      <c r="AB985" s="139"/>
      <c r="AC985" s="139"/>
      <c r="AD985" s="139"/>
      <c r="AE985" s="139"/>
      <c r="AF985" s="139"/>
      <c r="AG985" s="139"/>
      <c r="AH985" s="139"/>
      <c r="AI985" s="139"/>
      <c r="AJ985" s="139"/>
      <c r="AK985" s="139"/>
      <c r="AL985" s="139"/>
      <c r="AM985" s="139"/>
      <c r="AN985" s="139"/>
      <c r="AO985" s="139"/>
      <c r="AP985" s="139"/>
      <c r="AQ985" s="139"/>
      <c r="AR985" s="139"/>
      <c r="AS985" s="139"/>
      <c r="AT985" s="139"/>
      <c r="AU985" s="139"/>
      <c r="AV985" s="139"/>
      <c r="AW985" s="139"/>
      <c r="AX985" s="139"/>
      <c r="AY985" s="139"/>
      <c r="AZ985" s="139"/>
      <c r="BA985" s="139"/>
      <c r="BB985" s="139"/>
      <c r="BC985" s="139"/>
      <c r="BD985" s="139"/>
      <c r="BE985" s="139"/>
      <c r="BF985" s="139"/>
      <c r="BG985" s="139"/>
      <c r="BH985" s="139"/>
    </row>
    <row r="986" spans="2:60" s="11" customFormat="1" ht="20.100000000000001" customHeight="1">
      <c r="B986" s="1360"/>
      <c r="C986" s="5598"/>
      <c r="D986" s="9598" t="s">
        <v>140</v>
      </c>
      <c r="E986" s="9600"/>
      <c r="F986" s="492" t="s">
        <v>732</v>
      </c>
      <c r="G986" s="666"/>
      <c r="H986" s="666"/>
      <c r="I986" s="9582" t="s">
        <v>141</v>
      </c>
      <c r="J986" s="9583"/>
      <c r="K986" s="285" t="s">
        <v>734</v>
      </c>
      <c r="L986" s="5594">
        <v>52</v>
      </c>
      <c r="M986" s="5672" t="s">
        <v>775</v>
      </c>
      <c r="N986" s="5601">
        <v>77</v>
      </c>
      <c r="O986" s="5724" t="s">
        <v>775</v>
      </c>
      <c r="P986" s="1814">
        <v>100</v>
      </c>
      <c r="Q986" s="5949" t="s">
        <v>748</v>
      </c>
      <c r="R986" s="2468"/>
      <c r="S986" s="544"/>
      <c r="T986" s="545"/>
      <c r="U986" s="546"/>
      <c r="V986" s="547"/>
      <c r="W986" s="548"/>
      <c r="X986" s="277"/>
      <c r="Y986" s="277"/>
      <c r="Z986" s="187"/>
      <c r="AA986" s="6301"/>
      <c r="AB986" s="139"/>
      <c r="AC986" s="139"/>
      <c r="AD986" s="139"/>
      <c r="AE986" s="139"/>
      <c r="AF986" s="139"/>
      <c r="AG986" s="139"/>
      <c r="AH986" s="139"/>
      <c r="AI986" s="139"/>
      <c r="AJ986" s="139"/>
      <c r="AK986" s="139"/>
      <c r="AL986" s="139"/>
      <c r="AM986" s="139"/>
      <c r="AN986" s="139"/>
      <c r="AO986" s="139"/>
      <c r="AP986" s="139"/>
      <c r="AQ986" s="139"/>
      <c r="AR986" s="139"/>
      <c r="AS986" s="139"/>
      <c r="AT986" s="139"/>
      <c r="AU986" s="139"/>
      <c r="AV986" s="139"/>
      <c r="AW986" s="139"/>
      <c r="AX986" s="139"/>
      <c r="AY986" s="139"/>
      <c r="AZ986" s="139"/>
      <c r="BA986" s="139"/>
      <c r="BB986" s="139"/>
      <c r="BC986" s="139"/>
      <c r="BD986" s="139"/>
      <c r="BE986" s="139"/>
      <c r="BF986" s="139"/>
      <c r="BG986" s="139"/>
      <c r="BH986" s="139"/>
    </row>
    <row r="987" spans="2:60" s="11" customFormat="1" ht="20.100000000000001" customHeight="1">
      <c r="B987" s="1360"/>
      <c r="C987" s="5598"/>
      <c r="D987" s="9598" t="s">
        <v>143</v>
      </c>
      <c r="E987" s="9600"/>
      <c r="F987" s="492" t="s">
        <v>732</v>
      </c>
      <c r="G987" s="666"/>
      <c r="H987" s="666"/>
      <c r="I987" s="9582" t="s">
        <v>144</v>
      </c>
      <c r="J987" s="9583"/>
      <c r="K987" s="285" t="s">
        <v>734</v>
      </c>
      <c r="L987" s="5594">
        <v>476</v>
      </c>
      <c r="M987" s="5672" t="s">
        <v>776</v>
      </c>
      <c r="N987" s="5601">
        <v>407</v>
      </c>
      <c r="O987" s="5724" t="s">
        <v>776</v>
      </c>
      <c r="P987" s="1814">
        <v>352</v>
      </c>
      <c r="Q987" s="5948"/>
      <c r="R987" s="2468"/>
      <c r="S987" s="544"/>
      <c r="T987" s="545"/>
      <c r="U987" s="546"/>
      <c r="V987" s="547"/>
      <c r="W987" s="548"/>
      <c r="X987" s="277"/>
      <c r="Y987" s="277"/>
      <c r="Z987" s="187"/>
      <c r="AA987" s="6301"/>
      <c r="AB987" s="139"/>
      <c r="AC987" s="139"/>
      <c r="AD987" s="139"/>
      <c r="AE987" s="139"/>
      <c r="AF987" s="139"/>
      <c r="AG987" s="139"/>
      <c r="AH987" s="139"/>
      <c r="AI987" s="139"/>
      <c r="AJ987" s="139"/>
      <c r="AK987" s="139"/>
      <c r="AL987" s="139"/>
      <c r="AM987" s="139"/>
      <c r="AN987" s="139"/>
      <c r="AO987" s="139"/>
      <c r="AP987" s="139"/>
      <c r="AQ987" s="139"/>
      <c r="AR987" s="139"/>
      <c r="AS987" s="139"/>
      <c r="AT987" s="139"/>
      <c r="AU987" s="139"/>
      <c r="AV987" s="139"/>
      <c r="AW987" s="139"/>
      <c r="AX987" s="139"/>
      <c r="AY987" s="139"/>
      <c r="AZ987" s="139"/>
      <c r="BA987" s="139"/>
      <c r="BB987" s="139"/>
      <c r="BC987" s="139"/>
      <c r="BD987" s="139"/>
      <c r="BE987" s="139"/>
      <c r="BF987" s="139"/>
      <c r="BG987" s="139"/>
      <c r="BH987" s="139"/>
    </row>
    <row r="988" spans="2:60" s="11" customFormat="1" ht="20.100000000000001" customHeight="1">
      <c r="B988" s="1360"/>
      <c r="C988" s="5598"/>
      <c r="D988" s="9598" t="s">
        <v>631</v>
      </c>
      <c r="E988" s="9600"/>
      <c r="F988" s="492" t="s">
        <v>732</v>
      </c>
      <c r="G988" s="666"/>
      <c r="H988" s="666"/>
      <c r="I988" s="9582" t="s">
        <v>147</v>
      </c>
      <c r="J988" s="9583"/>
      <c r="K988" s="285" t="s">
        <v>734</v>
      </c>
      <c r="L988" s="5594">
        <v>365</v>
      </c>
      <c r="M988" s="5672" t="s">
        <v>751</v>
      </c>
      <c r="N988" s="5601">
        <v>337</v>
      </c>
      <c r="O988" s="5724" t="s">
        <v>751</v>
      </c>
      <c r="P988" s="1814">
        <v>347</v>
      </c>
      <c r="Q988" s="5948"/>
      <c r="R988" s="2468"/>
      <c r="S988" s="544"/>
      <c r="T988" s="545"/>
      <c r="U988" s="546"/>
      <c r="V988" s="547"/>
      <c r="W988" s="548"/>
      <c r="X988" s="277"/>
      <c r="Y988" s="277"/>
      <c r="Z988" s="187"/>
      <c r="AA988" s="6301"/>
      <c r="AB988" s="139"/>
      <c r="AC988" s="139"/>
      <c r="AD988" s="139"/>
      <c r="AE988" s="139"/>
      <c r="AF988" s="139"/>
      <c r="AG988" s="139"/>
      <c r="AH988" s="139"/>
      <c r="AI988" s="139"/>
      <c r="AJ988" s="139"/>
      <c r="AK988" s="139"/>
      <c r="AL988" s="139"/>
      <c r="AM988" s="139"/>
      <c r="AN988" s="139"/>
      <c r="AO988" s="139"/>
      <c r="AP988" s="139"/>
      <c r="AQ988" s="139"/>
      <c r="AR988" s="139"/>
      <c r="AS988" s="139"/>
      <c r="AT988" s="139"/>
      <c r="AU988" s="139"/>
      <c r="AV988" s="139"/>
      <c r="AW988" s="139"/>
      <c r="AX988" s="139"/>
      <c r="AY988" s="139"/>
      <c r="AZ988" s="139"/>
      <c r="BA988" s="139"/>
      <c r="BB988" s="139"/>
      <c r="BC988" s="139"/>
      <c r="BD988" s="139"/>
      <c r="BE988" s="139"/>
      <c r="BF988" s="139"/>
      <c r="BG988" s="139"/>
      <c r="BH988" s="139"/>
    </row>
    <row r="989" spans="2:60" s="11" customFormat="1" ht="20.100000000000001" customHeight="1">
      <c r="B989" s="1360"/>
      <c r="C989" s="5598"/>
      <c r="D989" s="9598" t="s">
        <v>633</v>
      </c>
      <c r="E989" s="9600"/>
      <c r="F989" s="492" t="s">
        <v>732</v>
      </c>
      <c r="G989" s="666"/>
      <c r="H989" s="666"/>
      <c r="I989" s="9582" t="s">
        <v>150</v>
      </c>
      <c r="J989" s="9583"/>
      <c r="K989" s="285" t="s">
        <v>734</v>
      </c>
      <c r="L989" s="5594">
        <v>1280</v>
      </c>
      <c r="M989" s="5672"/>
      <c r="N989" s="5601">
        <v>1144</v>
      </c>
      <c r="O989" s="5724"/>
      <c r="P989" s="1814">
        <v>1059</v>
      </c>
      <c r="Q989" s="5948"/>
      <c r="R989" s="2468"/>
      <c r="S989" s="544"/>
      <c r="T989" s="545"/>
      <c r="U989" s="546"/>
      <c r="V989" s="547"/>
      <c r="W989" s="548"/>
      <c r="X989" s="277"/>
      <c r="Y989" s="277"/>
      <c r="Z989" s="187"/>
      <c r="AA989" s="6301"/>
      <c r="AB989" s="139"/>
      <c r="AC989" s="139"/>
      <c r="AD989" s="139"/>
      <c r="AE989" s="139"/>
      <c r="AF989" s="139"/>
      <c r="AG989" s="139"/>
      <c r="AH989" s="139"/>
      <c r="AI989" s="139"/>
      <c r="AJ989" s="139"/>
      <c r="AK989" s="139"/>
      <c r="AL989" s="139"/>
      <c r="AM989" s="139"/>
      <c r="AN989" s="139"/>
      <c r="AO989" s="139"/>
      <c r="AP989" s="139"/>
      <c r="AQ989" s="139"/>
      <c r="AR989" s="139"/>
      <c r="AS989" s="139"/>
      <c r="AT989" s="139"/>
      <c r="AU989" s="139"/>
      <c r="AV989" s="139"/>
      <c r="AW989" s="139"/>
      <c r="AX989" s="139"/>
      <c r="AY989" s="139"/>
      <c r="AZ989" s="139"/>
      <c r="BA989" s="139"/>
      <c r="BB989" s="139"/>
      <c r="BC989" s="139"/>
      <c r="BD989" s="139"/>
      <c r="BE989" s="139"/>
      <c r="BF989" s="139"/>
      <c r="BG989" s="139"/>
      <c r="BH989" s="139"/>
    </row>
    <row r="990" spans="2:60" s="11" customFormat="1" ht="20.100000000000001" customHeight="1">
      <c r="B990" s="1360"/>
      <c r="C990" s="5598"/>
      <c r="D990" s="9586" t="s">
        <v>777</v>
      </c>
      <c r="E990" s="9588"/>
      <c r="F990" s="285" t="s">
        <v>732</v>
      </c>
      <c r="G990" s="386"/>
      <c r="H990" s="386"/>
      <c r="I990" s="9586" t="s">
        <v>778</v>
      </c>
      <c r="J990" s="9588"/>
      <c r="K990" s="285" t="s">
        <v>734</v>
      </c>
      <c r="L990" s="5783">
        <f>IF(COUNTBLANK(L991:L996)&gt;0,"미취합법인有",SUM(L991:L996))</f>
        <v>2226</v>
      </c>
      <c r="M990" s="5784"/>
      <c r="N990" s="5785">
        <f>IF(COUNTBLANK(N991:N996)&gt;0,"미취합법인有",SUM(N991:N996))</f>
        <v>3816</v>
      </c>
      <c r="O990" s="5786"/>
      <c r="P990" s="5787">
        <f>IF(COUNTBLANK(P991:P996)&gt;0,"미취합법인有",SUM(P991:P996))</f>
        <v>3810</v>
      </c>
      <c r="Q990" s="785"/>
      <c r="R990" s="498" t="s">
        <v>773</v>
      </c>
      <c r="S990" s="367" t="s">
        <v>774</v>
      </c>
      <c r="T990" s="99" t="s">
        <v>745</v>
      </c>
      <c r="U990" s="547" t="s">
        <v>738</v>
      </c>
      <c r="V990" s="547"/>
      <c r="W990" s="99"/>
      <c r="X990" s="620" t="s">
        <v>770</v>
      </c>
      <c r="Y990" s="620" t="s">
        <v>740</v>
      </c>
      <c r="Z990" s="159"/>
      <c r="AA990" s="6301"/>
      <c r="AB990" s="139"/>
      <c r="AC990" s="139"/>
      <c r="AD990" s="139"/>
      <c r="AE990" s="139"/>
      <c r="AF990" s="139"/>
      <c r="AG990" s="139"/>
      <c r="AH990" s="139"/>
      <c r="AI990" s="139"/>
      <c r="AJ990" s="139"/>
      <c r="AK990" s="139"/>
      <c r="AL990" s="139"/>
      <c r="AM990" s="139"/>
      <c r="AN990" s="139"/>
      <c r="AO990" s="139"/>
      <c r="AP990" s="139"/>
      <c r="AQ990" s="139"/>
      <c r="AR990" s="139"/>
      <c r="AS990" s="139"/>
      <c r="AT990" s="139"/>
      <c r="AU990" s="139"/>
      <c r="AV990" s="139"/>
      <c r="AW990" s="139"/>
      <c r="AX990" s="139"/>
      <c r="AY990" s="139"/>
      <c r="AZ990" s="139"/>
      <c r="BA990" s="139"/>
      <c r="BB990" s="139"/>
      <c r="BC990" s="139"/>
      <c r="BD990" s="139"/>
      <c r="BE990" s="139"/>
      <c r="BF990" s="139"/>
      <c r="BG990" s="139"/>
      <c r="BH990" s="139"/>
    </row>
    <row r="991" spans="2:60" s="11" customFormat="1" ht="20.100000000000001" customHeight="1">
      <c r="B991" s="1360"/>
      <c r="C991" s="5598"/>
      <c r="D991" s="9598" t="s">
        <v>134</v>
      </c>
      <c r="E991" s="9600"/>
      <c r="F991" s="492" t="s">
        <v>732</v>
      </c>
      <c r="G991" s="666"/>
      <c r="H991" s="666"/>
      <c r="I991" s="9579" t="s">
        <v>135</v>
      </c>
      <c r="J991" s="9581"/>
      <c r="K991" s="285" t="s">
        <v>734</v>
      </c>
      <c r="L991" s="5594">
        <v>570</v>
      </c>
      <c r="M991" s="5672" t="s">
        <v>746</v>
      </c>
      <c r="N991" s="5601">
        <v>873</v>
      </c>
      <c r="O991" s="5724" t="s">
        <v>779</v>
      </c>
      <c r="P991" s="5947">
        <v>958</v>
      </c>
      <c r="Q991" s="5948" t="s">
        <v>746</v>
      </c>
      <c r="R991" s="2468"/>
      <c r="S991" s="544"/>
      <c r="T991" s="545"/>
      <c r="U991" s="546"/>
      <c r="V991" s="547"/>
      <c r="W991" s="548"/>
      <c r="X991" s="277"/>
      <c r="Y991" s="277"/>
      <c r="Z991" s="187"/>
      <c r="AA991" s="6301"/>
      <c r="AB991" s="139"/>
      <c r="AC991" s="139"/>
      <c r="AD991" s="139"/>
      <c r="AE991" s="139"/>
      <c r="AF991" s="139"/>
      <c r="AG991" s="139"/>
      <c r="AH991" s="139"/>
      <c r="AI991" s="139"/>
      <c r="AJ991" s="139"/>
      <c r="AK991" s="139"/>
      <c r="AL991" s="139"/>
      <c r="AM991" s="139"/>
      <c r="AN991" s="139"/>
      <c r="AO991" s="139"/>
      <c r="AP991" s="139"/>
      <c r="AQ991" s="139"/>
      <c r="AR991" s="139"/>
      <c r="AS991" s="139"/>
      <c r="AT991" s="139"/>
      <c r="AU991" s="139"/>
      <c r="AV991" s="139"/>
      <c r="AW991" s="139"/>
      <c r="AX991" s="139"/>
      <c r="AY991" s="139"/>
      <c r="AZ991" s="139"/>
      <c r="BA991" s="139"/>
      <c r="BB991" s="139"/>
      <c r="BC991" s="139"/>
      <c r="BD991" s="139"/>
      <c r="BE991" s="139"/>
      <c r="BF991" s="139"/>
      <c r="BG991" s="139"/>
      <c r="BH991" s="139"/>
    </row>
    <row r="992" spans="2:60" s="11" customFormat="1" ht="20.100000000000001" customHeight="1">
      <c r="B992" s="1360"/>
      <c r="C992" s="5598"/>
      <c r="D992" s="9598" t="s">
        <v>137</v>
      </c>
      <c r="E992" s="9600"/>
      <c r="F992" s="492" t="s">
        <v>732</v>
      </c>
      <c r="G992" s="666"/>
      <c r="H992" s="666"/>
      <c r="I992" s="9579" t="s">
        <v>138</v>
      </c>
      <c r="J992" s="9581"/>
      <c r="K992" s="285" t="s">
        <v>734</v>
      </c>
      <c r="L992" s="5594">
        <v>9</v>
      </c>
      <c r="M992" s="5672"/>
      <c r="N992" s="5601">
        <v>16</v>
      </c>
      <c r="O992" s="5724"/>
      <c r="P992" s="1814">
        <v>12</v>
      </c>
      <c r="Q992" s="5948"/>
      <c r="R992" s="2468"/>
      <c r="S992" s="544"/>
      <c r="T992" s="545"/>
      <c r="U992" s="546"/>
      <c r="V992" s="547"/>
      <c r="W992" s="548"/>
      <c r="X992" s="277"/>
      <c r="Y992" s="277"/>
      <c r="Z992" s="187"/>
      <c r="AA992" s="6301"/>
      <c r="AB992" s="139"/>
      <c r="AC992" s="139"/>
      <c r="AD992" s="139"/>
      <c r="AE992" s="139"/>
      <c r="AF992" s="139"/>
      <c r="AG992" s="139"/>
      <c r="AH992" s="139"/>
      <c r="AI992" s="139"/>
      <c r="AJ992" s="139"/>
      <c r="AK992" s="139"/>
      <c r="AL992" s="139"/>
      <c r="AM992" s="139"/>
      <c r="AN992" s="139"/>
      <c r="AO992" s="139"/>
      <c r="AP992" s="139"/>
      <c r="AQ992" s="139"/>
      <c r="AR992" s="139"/>
      <c r="AS992" s="139"/>
      <c r="AT992" s="139"/>
      <c r="AU992" s="139"/>
      <c r="AV992" s="139"/>
      <c r="AW992" s="139"/>
      <c r="AX992" s="139"/>
      <c r="AY992" s="139"/>
      <c r="AZ992" s="139"/>
      <c r="BA992" s="139"/>
      <c r="BB992" s="139"/>
      <c r="BC992" s="139"/>
      <c r="BD992" s="139"/>
      <c r="BE992" s="139"/>
      <c r="BF992" s="139"/>
      <c r="BG992" s="139"/>
      <c r="BH992" s="139"/>
    </row>
    <row r="993" spans="2:60" s="11" customFormat="1" ht="20.100000000000001" customHeight="1">
      <c r="B993" s="1360"/>
      <c r="C993" s="5598"/>
      <c r="D993" s="9598" t="s">
        <v>140</v>
      </c>
      <c r="E993" s="9600"/>
      <c r="F993" s="492" t="s">
        <v>732</v>
      </c>
      <c r="G993" s="666"/>
      <c r="H993" s="666"/>
      <c r="I993" s="9582" t="s">
        <v>141</v>
      </c>
      <c r="J993" s="9583"/>
      <c r="K993" s="285" t="s">
        <v>734</v>
      </c>
      <c r="L993" s="5594">
        <v>1002</v>
      </c>
      <c r="M993" s="5672" t="s">
        <v>775</v>
      </c>
      <c r="N993" s="5601">
        <v>832</v>
      </c>
      <c r="O993" s="5724" t="s">
        <v>775</v>
      </c>
      <c r="P993" s="1814">
        <v>649</v>
      </c>
      <c r="Q993" s="5949" t="s">
        <v>748</v>
      </c>
      <c r="R993" s="2468"/>
      <c r="S993" s="544"/>
      <c r="T993" s="545"/>
      <c r="U993" s="546"/>
      <c r="V993" s="547"/>
      <c r="W993" s="548"/>
      <c r="X993" s="277"/>
      <c r="Y993" s="277"/>
      <c r="Z993" s="187"/>
      <c r="AA993" s="6301"/>
      <c r="AB993" s="139"/>
      <c r="AC993" s="139"/>
      <c r="AD993" s="139"/>
      <c r="AE993" s="139"/>
      <c r="AF993" s="139"/>
      <c r="AG993" s="139"/>
      <c r="AH993" s="139"/>
      <c r="AI993" s="139"/>
      <c r="AJ993" s="139"/>
      <c r="AK993" s="139"/>
      <c r="AL993" s="139"/>
      <c r="AM993" s="139"/>
      <c r="AN993" s="139"/>
      <c r="AO993" s="139"/>
      <c r="AP993" s="139"/>
      <c r="AQ993" s="139"/>
      <c r="AR993" s="139"/>
      <c r="AS993" s="139"/>
      <c r="AT993" s="139"/>
      <c r="AU993" s="139"/>
      <c r="AV993" s="139"/>
      <c r="AW993" s="139"/>
      <c r="AX993" s="139"/>
      <c r="AY993" s="139"/>
      <c r="AZ993" s="139"/>
      <c r="BA993" s="139"/>
      <c r="BB993" s="139"/>
      <c r="BC993" s="139"/>
      <c r="BD993" s="139"/>
      <c r="BE993" s="139"/>
      <c r="BF993" s="139"/>
      <c r="BG993" s="139"/>
      <c r="BH993" s="139"/>
    </row>
    <row r="994" spans="2:60" s="11" customFormat="1" ht="20.100000000000001" customHeight="1">
      <c r="B994" s="1360"/>
      <c r="C994" s="5598"/>
      <c r="D994" s="9598" t="s">
        <v>143</v>
      </c>
      <c r="E994" s="9600"/>
      <c r="F994" s="492" t="s">
        <v>732</v>
      </c>
      <c r="G994" s="666"/>
      <c r="H994" s="666"/>
      <c r="I994" s="9582" t="s">
        <v>144</v>
      </c>
      <c r="J994" s="9583"/>
      <c r="K994" s="285" t="s">
        <v>734</v>
      </c>
      <c r="L994" s="5594">
        <v>629</v>
      </c>
      <c r="M994" s="5672" t="s">
        <v>780</v>
      </c>
      <c r="N994" s="5601">
        <v>2039</v>
      </c>
      <c r="O994" s="5724" t="s">
        <v>780</v>
      </c>
      <c r="P994" s="1814">
        <v>2126</v>
      </c>
      <c r="Q994" s="5948"/>
      <c r="R994" s="2468"/>
      <c r="S994" s="544"/>
      <c r="T994" s="545"/>
      <c r="U994" s="546"/>
      <c r="V994" s="547"/>
      <c r="W994" s="548"/>
      <c r="X994" s="277"/>
      <c r="Y994" s="277"/>
      <c r="Z994" s="187"/>
      <c r="AA994" s="6301"/>
      <c r="AB994" s="139"/>
      <c r="AC994" s="139"/>
      <c r="AD994" s="139"/>
      <c r="AE994" s="139"/>
      <c r="AF994" s="139"/>
      <c r="AG994" s="139"/>
      <c r="AH994" s="139"/>
      <c r="AI994" s="139"/>
      <c r="AJ994" s="139"/>
      <c r="AK994" s="139"/>
      <c r="AL994" s="139"/>
      <c r="AM994" s="139"/>
      <c r="AN994" s="139"/>
      <c r="AO994" s="139"/>
      <c r="AP994" s="139"/>
      <c r="AQ994" s="139"/>
      <c r="AR994" s="139"/>
      <c r="AS994" s="139"/>
      <c r="AT994" s="139"/>
      <c r="AU994" s="139"/>
      <c r="AV994" s="139"/>
      <c r="AW994" s="139"/>
      <c r="AX994" s="139"/>
      <c r="AY994" s="139"/>
      <c r="AZ994" s="139"/>
      <c r="BA994" s="139"/>
      <c r="BB994" s="139"/>
      <c r="BC994" s="139"/>
      <c r="BD994" s="139"/>
      <c r="BE994" s="139"/>
      <c r="BF994" s="139"/>
      <c r="BG994" s="139"/>
      <c r="BH994" s="139"/>
    </row>
    <row r="995" spans="2:60" s="11" customFormat="1" ht="20.100000000000001" customHeight="1">
      <c r="B995" s="1360"/>
      <c r="C995" s="5598"/>
      <c r="D995" s="9598" t="s">
        <v>631</v>
      </c>
      <c r="E995" s="9600"/>
      <c r="F995" s="492" t="s">
        <v>732</v>
      </c>
      <c r="G995" s="666"/>
      <c r="H995" s="666"/>
      <c r="I995" s="9582" t="s">
        <v>147</v>
      </c>
      <c r="J995" s="9583"/>
      <c r="K995" s="285" t="s">
        <v>734</v>
      </c>
      <c r="L995" s="5594">
        <v>16</v>
      </c>
      <c r="M995" s="5672" t="s">
        <v>751</v>
      </c>
      <c r="N995" s="5601">
        <v>56</v>
      </c>
      <c r="O995" s="5724" t="s">
        <v>751</v>
      </c>
      <c r="P995" s="1814">
        <v>65</v>
      </c>
      <c r="Q995" s="5948"/>
      <c r="R995" s="2468"/>
      <c r="S995" s="544"/>
      <c r="T995" s="545"/>
      <c r="U995" s="546"/>
      <c r="V995" s="547"/>
      <c r="W995" s="548"/>
      <c r="X995" s="277"/>
      <c r="Y995" s="277"/>
      <c r="Z995" s="187"/>
      <c r="AA995" s="6301"/>
      <c r="AB995" s="139"/>
      <c r="AC995" s="139"/>
      <c r="AD995" s="139"/>
      <c r="AE995" s="139"/>
      <c r="AF995" s="139"/>
      <c r="AG995" s="139"/>
      <c r="AH995" s="139"/>
      <c r="AI995" s="139"/>
      <c r="AJ995" s="139"/>
      <c r="AK995" s="139"/>
      <c r="AL995" s="139"/>
      <c r="AM995" s="139"/>
      <c r="AN995" s="139"/>
      <c r="AO995" s="139"/>
      <c r="AP995" s="139"/>
      <c r="AQ995" s="139"/>
      <c r="AR995" s="139"/>
      <c r="AS995" s="139"/>
      <c r="AT995" s="139"/>
      <c r="AU995" s="139"/>
      <c r="AV995" s="139"/>
      <c r="AW995" s="139"/>
      <c r="AX995" s="139"/>
      <c r="AY995" s="139"/>
      <c r="AZ995" s="139"/>
      <c r="BA995" s="139"/>
      <c r="BB995" s="139"/>
      <c r="BC995" s="139"/>
      <c r="BD995" s="139"/>
      <c r="BE995" s="139"/>
      <c r="BF995" s="139"/>
      <c r="BG995" s="139"/>
      <c r="BH995" s="139"/>
    </row>
    <row r="996" spans="2:60" s="11" customFormat="1" ht="20.100000000000001" customHeight="1">
      <c r="B996" s="1360"/>
      <c r="C996" s="5598"/>
      <c r="D996" s="9598" t="s">
        <v>633</v>
      </c>
      <c r="E996" s="9600"/>
      <c r="F996" s="492" t="s">
        <v>732</v>
      </c>
      <c r="G996" s="666"/>
      <c r="H996" s="666"/>
      <c r="I996" s="9582" t="s">
        <v>150</v>
      </c>
      <c r="J996" s="9583"/>
      <c r="K996" s="285" t="s">
        <v>734</v>
      </c>
      <c r="L996" s="5594">
        <v>0</v>
      </c>
      <c r="M996" s="5672"/>
      <c r="N996" s="5601">
        <v>0</v>
      </c>
      <c r="O996" s="5724"/>
      <c r="P996" s="1814">
        <v>0</v>
      </c>
      <c r="Q996" s="5948"/>
      <c r="R996" s="2468"/>
      <c r="S996" s="544"/>
      <c r="T996" s="545"/>
      <c r="U996" s="546"/>
      <c r="V996" s="547"/>
      <c r="W996" s="548"/>
      <c r="X996" s="277"/>
      <c r="Y996" s="277"/>
      <c r="Z996" s="187"/>
      <c r="AA996" s="6301"/>
      <c r="AB996" s="139"/>
      <c r="AC996" s="139"/>
      <c r="AD996" s="139"/>
      <c r="AE996" s="139"/>
      <c r="AF996" s="139"/>
      <c r="AG996" s="139"/>
      <c r="AH996" s="139"/>
      <c r="AI996" s="139"/>
      <c r="AJ996" s="139"/>
      <c r="AK996" s="139"/>
      <c r="AL996" s="139"/>
      <c r="AM996" s="139"/>
      <c r="AN996" s="139"/>
      <c r="AO996" s="139"/>
      <c r="AP996" s="139"/>
      <c r="AQ996" s="139"/>
      <c r="AR996" s="139"/>
      <c r="AS996" s="139"/>
      <c r="AT996" s="139"/>
      <c r="AU996" s="139"/>
      <c r="AV996" s="139"/>
      <c r="AW996" s="139"/>
      <c r="AX996" s="139"/>
      <c r="AY996" s="139"/>
      <c r="AZ996" s="139"/>
      <c r="BA996" s="139"/>
      <c r="BB996" s="139"/>
      <c r="BC996" s="139"/>
      <c r="BD996" s="139"/>
      <c r="BE996" s="139"/>
      <c r="BF996" s="139"/>
      <c r="BG996" s="139"/>
      <c r="BH996" s="139"/>
    </row>
    <row r="997" spans="2:60" s="11" customFormat="1" ht="19.899999999999999" customHeight="1">
      <c r="B997" s="1360"/>
      <c r="C997" s="5598"/>
      <c r="D997" s="9586" t="s">
        <v>781</v>
      </c>
      <c r="E997" s="9588"/>
      <c r="F997" s="285" t="s">
        <v>732</v>
      </c>
      <c r="G997" s="386"/>
      <c r="H997" s="386"/>
      <c r="I997" s="9586" t="s">
        <v>782</v>
      </c>
      <c r="J997" s="9588"/>
      <c r="K997" s="285" t="s">
        <v>734</v>
      </c>
      <c r="L997" s="5783">
        <f>IF(COUNTBLANK(L998:L1003)&gt;0,"미취합법인有",SUM(L998:L1003))</f>
        <v>4155</v>
      </c>
      <c r="M997" s="5784"/>
      <c r="N997" s="5785">
        <f>IF(COUNTBLANK(N998:N1003)&gt;0,"미취합법인有",SUM(N998:N1003))</f>
        <v>3937</v>
      </c>
      <c r="O997" s="5786"/>
      <c r="P997" s="5787">
        <f>IF(COUNTBLANK(P998:P1003)&gt;0,"미취합법인有",SUM(P998:P1003))</f>
        <v>3824</v>
      </c>
      <c r="Q997" s="785"/>
      <c r="R997" s="498" t="s">
        <v>773</v>
      </c>
      <c r="S997" s="367" t="s">
        <v>774</v>
      </c>
      <c r="T997" s="99" t="s">
        <v>758</v>
      </c>
      <c r="U997" s="547" t="s">
        <v>738</v>
      </c>
      <c r="V997" s="547"/>
      <c r="W997" s="99"/>
      <c r="X997" s="620" t="s">
        <v>770</v>
      </c>
      <c r="Y997" s="620" t="s">
        <v>740</v>
      </c>
      <c r="Z997" s="159"/>
      <c r="AA997" s="6301"/>
      <c r="AB997" s="139"/>
      <c r="AC997" s="139"/>
      <c r="AD997" s="139"/>
      <c r="AE997" s="139"/>
      <c r="AF997" s="139"/>
      <c r="AG997" s="139"/>
      <c r="AH997" s="139"/>
      <c r="AI997" s="139"/>
      <c r="AJ997" s="139"/>
      <c r="AK997" s="139"/>
      <c r="AL997" s="139"/>
      <c r="AM997" s="139"/>
      <c r="AN997" s="139"/>
      <c r="AO997" s="139"/>
      <c r="AP997" s="139"/>
      <c r="AQ997" s="139"/>
      <c r="AR997" s="139"/>
      <c r="AS997" s="139"/>
      <c r="AT997" s="139"/>
      <c r="AU997" s="139"/>
      <c r="AV997" s="139"/>
      <c r="AW997" s="139"/>
      <c r="AX997" s="139"/>
      <c r="AY997" s="139"/>
      <c r="AZ997" s="139"/>
      <c r="BA997" s="139"/>
      <c r="BB997" s="139"/>
      <c r="BC997" s="139"/>
      <c r="BD997" s="139"/>
      <c r="BE997" s="139"/>
      <c r="BF997" s="139"/>
      <c r="BG997" s="139"/>
      <c r="BH997" s="139"/>
    </row>
    <row r="998" spans="2:60" s="11" customFormat="1" ht="20.100000000000001" customHeight="1">
      <c r="B998" s="1360"/>
      <c r="C998" s="5598"/>
      <c r="D998" s="9598" t="s">
        <v>134</v>
      </c>
      <c r="E998" s="9600"/>
      <c r="F998" s="492" t="s">
        <v>732</v>
      </c>
      <c r="G998" s="666"/>
      <c r="H998" s="666"/>
      <c r="I998" s="9579" t="s">
        <v>135</v>
      </c>
      <c r="J998" s="9581"/>
      <c r="K998" s="285" t="s">
        <v>734</v>
      </c>
      <c r="L998" s="5594">
        <v>1135</v>
      </c>
      <c r="M998" s="5672" t="s">
        <v>747</v>
      </c>
      <c r="N998" s="5601">
        <v>1097</v>
      </c>
      <c r="O998" s="5724" t="s">
        <v>783</v>
      </c>
      <c r="P998" s="5947">
        <v>1210</v>
      </c>
      <c r="Q998" s="5948" t="s">
        <v>747</v>
      </c>
      <c r="R998" s="4849"/>
      <c r="S998" s="544"/>
      <c r="T998" s="545"/>
      <c r="U998" s="546"/>
      <c r="V998" s="547"/>
      <c r="W998" s="548"/>
      <c r="X998" s="277"/>
      <c r="Y998" s="277"/>
      <c r="Z998" s="187"/>
      <c r="AA998" s="6301"/>
      <c r="AB998" s="139"/>
      <c r="AC998" s="139"/>
      <c r="AD998" s="139"/>
      <c r="AE998" s="139"/>
      <c r="AF998" s="139"/>
      <c r="AG998" s="139"/>
      <c r="AH998" s="139"/>
      <c r="AI998" s="139"/>
      <c r="AJ998" s="139"/>
      <c r="AK998" s="139"/>
      <c r="AL998" s="139"/>
      <c r="AM998" s="139"/>
      <c r="AN998" s="139"/>
      <c r="AO998" s="139"/>
      <c r="AP998" s="139"/>
      <c r="AQ998" s="139"/>
      <c r="AR998" s="139"/>
      <c r="AS998" s="139"/>
      <c r="AT998" s="139"/>
      <c r="AU998" s="139"/>
      <c r="AV998" s="139"/>
      <c r="AW998" s="139"/>
      <c r="AX998" s="139"/>
      <c r="AY998" s="139"/>
      <c r="AZ998" s="139"/>
      <c r="BA998" s="139"/>
      <c r="BB998" s="139"/>
      <c r="BC998" s="139"/>
      <c r="BD998" s="139"/>
      <c r="BE998" s="139"/>
      <c r="BF998" s="139"/>
      <c r="BG998" s="139"/>
      <c r="BH998" s="139"/>
    </row>
    <row r="999" spans="2:60" s="11" customFormat="1" ht="20.100000000000001" customHeight="1">
      <c r="B999" s="1360"/>
      <c r="C999" s="5598"/>
      <c r="D999" s="9598" t="s">
        <v>137</v>
      </c>
      <c r="E999" s="9600"/>
      <c r="F999" s="492" t="s">
        <v>732</v>
      </c>
      <c r="G999" s="666"/>
      <c r="H999" s="666"/>
      <c r="I999" s="9579" t="s">
        <v>138</v>
      </c>
      <c r="J999" s="9581"/>
      <c r="K999" s="285" t="s">
        <v>734</v>
      </c>
      <c r="L999" s="5594">
        <v>183</v>
      </c>
      <c r="M999" s="5672"/>
      <c r="N999" s="5601">
        <v>231</v>
      </c>
      <c r="O999" s="5724"/>
      <c r="P999" s="1814">
        <v>196</v>
      </c>
      <c r="Q999" s="5948"/>
      <c r="R999" s="2468"/>
      <c r="S999" s="544"/>
      <c r="T999" s="545"/>
      <c r="U999" s="546"/>
      <c r="V999" s="547"/>
      <c r="W999" s="548"/>
      <c r="X999" s="277"/>
      <c r="Y999" s="277"/>
      <c r="Z999" s="187"/>
      <c r="AA999" s="6301"/>
      <c r="AB999" s="139"/>
      <c r="AC999" s="139"/>
      <c r="AD999" s="139"/>
      <c r="AE999" s="139"/>
      <c r="AF999" s="139"/>
      <c r="AG999" s="139"/>
      <c r="AH999" s="139"/>
      <c r="AI999" s="139"/>
      <c r="AJ999" s="139"/>
      <c r="AK999" s="139"/>
      <c r="AL999" s="139"/>
      <c r="AM999" s="139"/>
      <c r="AN999" s="139"/>
      <c r="AO999" s="139"/>
      <c r="AP999" s="139"/>
      <c r="AQ999" s="139"/>
      <c r="AR999" s="139"/>
      <c r="AS999" s="139"/>
      <c r="AT999" s="139"/>
      <c r="AU999" s="139"/>
      <c r="AV999" s="139"/>
      <c r="AW999" s="139"/>
      <c r="AX999" s="139"/>
      <c r="AY999" s="139"/>
      <c r="AZ999" s="139"/>
      <c r="BA999" s="139"/>
      <c r="BB999" s="139"/>
      <c r="BC999" s="139"/>
      <c r="BD999" s="139"/>
      <c r="BE999" s="139"/>
      <c r="BF999" s="139"/>
      <c r="BG999" s="139"/>
      <c r="BH999" s="139"/>
    </row>
    <row r="1000" spans="2:60" s="11" customFormat="1" ht="20.100000000000001" customHeight="1">
      <c r="B1000" s="1360"/>
      <c r="C1000" s="5598"/>
      <c r="D1000" s="9598" t="s">
        <v>140</v>
      </c>
      <c r="E1000" s="9600"/>
      <c r="F1000" s="492" t="s">
        <v>732</v>
      </c>
      <c r="G1000" s="666"/>
      <c r="H1000" s="666"/>
      <c r="I1000" s="9582" t="s">
        <v>141</v>
      </c>
      <c r="J1000" s="9583"/>
      <c r="K1000" s="285" t="s">
        <v>734</v>
      </c>
      <c r="L1000" s="5594">
        <v>1054</v>
      </c>
      <c r="M1000" s="5672"/>
      <c r="N1000" s="5601">
        <v>909</v>
      </c>
      <c r="O1000" s="5724"/>
      <c r="P1000" s="1814">
        <v>749</v>
      </c>
      <c r="Q1000" s="5948"/>
      <c r="R1000" s="2468"/>
      <c r="S1000" s="544"/>
      <c r="T1000" s="545"/>
      <c r="U1000" s="546"/>
      <c r="V1000" s="547"/>
      <c r="W1000" s="548"/>
      <c r="X1000" s="277"/>
      <c r="Y1000" s="277"/>
      <c r="Z1000" s="187"/>
      <c r="AA1000" s="6301"/>
      <c r="AB1000" s="139"/>
      <c r="AC1000" s="139"/>
      <c r="AD1000" s="139"/>
      <c r="AE1000" s="139"/>
      <c r="AF1000" s="139"/>
      <c r="AG1000" s="139"/>
      <c r="AH1000" s="139"/>
      <c r="AI1000" s="139"/>
      <c r="AJ1000" s="139"/>
      <c r="AK1000" s="139"/>
      <c r="AL1000" s="139"/>
      <c r="AM1000" s="139"/>
      <c r="AN1000" s="139"/>
      <c r="AO1000" s="139"/>
      <c r="AP1000" s="139"/>
      <c r="AQ1000" s="139"/>
      <c r="AR1000" s="139"/>
      <c r="AS1000" s="139"/>
      <c r="AT1000" s="139"/>
      <c r="AU1000" s="139"/>
      <c r="AV1000" s="139"/>
      <c r="AW1000" s="139"/>
      <c r="AX1000" s="139"/>
      <c r="AY1000" s="139"/>
      <c r="AZ1000" s="139"/>
      <c r="BA1000" s="139"/>
      <c r="BB1000" s="139"/>
      <c r="BC1000" s="139"/>
      <c r="BD1000" s="139"/>
      <c r="BE1000" s="139"/>
      <c r="BF1000" s="139"/>
      <c r="BG1000" s="139"/>
      <c r="BH1000" s="139"/>
    </row>
    <row r="1001" spans="2:60" s="11" customFormat="1" ht="20.100000000000001" customHeight="1">
      <c r="B1001" s="1360"/>
      <c r="C1001" s="5598"/>
      <c r="D1001" s="9598" t="s">
        <v>143</v>
      </c>
      <c r="E1001" s="9600"/>
      <c r="F1001" s="492" t="s">
        <v>732</v>
      </c>
      <c r="G1001" s="666"/>
      <c r="H1001" s="666"/>
      <c r="I1001" s="9582" t="s">
        <v>144</v>
      </c>
      <c r="J1001" s="9583"/>
      <c r="K1001" s="285" t="s">
        <v>734</v>
      </c>
      <c r="L1001" s="5594">
        <v>564</v>
      </c>
      <c r="M1001" s="5672"/>
      <c r="N1001" s="5601">
        <v>577</v>
      </c>
      <c r="O1001" s="5724"/>
      <c r="P1001" s="1814">
        <v>572</v>
      </c>
      <c r="Q1001" s="5948"/>
      <c r="R1001" s="2468"/>
      <c r="S1001" s="544"/>
      <c r="T1001" s="545"/>
      <c r="U1001" s="546"/>
      <c r="V1001" s="547"/>
      <c r="W1001" s="548"/>
      <c r="X1001" s="277"/>
      <c r="Y1001" s="277"/>
      <c r="Z1001" s="187"/>
      <c r="AA1001" s="6301"/>
      <c r="AB1001" s="139"/>
      <c r="AC1001" s="139"/>
      <c r="AD1001" s="139"/>
      <c r="AE1001" s="139"/>
      <c r="AF1001" s="139"/>
      <c r="AG1001" s="139"/>
      <c r="AH1001" s="139"/>
      <c r="AI1001" s="139"/>
      <c r="AJ1001" s="139"/>
      <c r="AK1001" s="139"/>
      <c r="AL1001" s="139"/>
      <c r="AM1001" s="139"/>
      <c r="AN1001" s="139"/>
      <c r="AO1001" s="139"/>
      <c r="AP1001" s="139"/>
      <c r="AQ1001" s="139"/>
      <c r="AR1001" s="139"/>
      <c r="AS1001" s="139"/>
      <c r="AT1001" s="139"/>
      <c r="AU1001" s="139"/>
      <c r="AV1001" s="139"/>
      <c r="AW1001" s="139"/>
      <c r="AX1001" s="139"/>
      <c r="AY1001" s="139"/>
      <c r="AZ1001" s="139"/>
      <c r="BA1001" s="139"/>
      <c r="BB1001" s="139"/>
      <c r="BC1001" s="139"/>
      <c r="BD1001" s="139"/>
      <c r="BE1001" s="139"/>
      <c r="BF1001" s="139"/>
      <c r="BG1001" s="139"/>
      <c r="BH1001" s="139"/>
    </row>
    <row r="1002" spans="2:60" s="11" customFormat="1" ht="20.100000000000001" customHeight="1">
      <c r="B1002" s="1360"/>
      <c r="C1002" s="5598"/>
      <c r="D1002" s="9598" t="s">
        <v>631</v>
      </c>
      <c r="E1002" s="9600"/>
      <c r="F1002" s="492" t="s">
        <v>732</v>
      </c>
      <c r="G1002" s="666"/>
      <c r="H1002" s="666"/>
      <c r="I1002" s="9582" t="s">
        <v>147</v>
      </c>
      <c r="J1002" s="9583"/>
      <c r="K1002" s="285" t="s">
        <v>734</v>
      </c>
      <c r="L1002" s="5594">
        <v>381</v>
      </c>
      <c r="M1002" s="5672"/>
      <c r="N1002" s="5601">
        <v>393</v>
      </c>
      <c r="O1002" s="5724"/>
      <c r="P1002" s="1814">
        <v>412</v>
      </c>
      <c r="Q1002" s="5948"/>
      <c r="R1002" s="2468"/>
      <c r="S1002" s="544"/>
      <c r="T1002" s="545"/>
      <c r="U1002" s="546"/>
      <c r="V1002" s="547"/>
      <c r="W1002" s="548"/>
      <c r="X1002" s="277"/>
      <c r="Y1002" s="277"/>
      <c r="Z1002" s="187"/>
      <c r="AA1002" s="6301"/>
      <c r="AB1002" s="139"/>
      <c r="AC1002" s="139"/>
      <c r="AD1002" s="139"/>
      <c r="AE1002" s="139"/>
      <c r="AF1002" s="139"/>
      <c r="AG1002" s="139"/>
      <c r="AH1002" s="139"/>
      <c r="AI1002" s="139"/>
      <c r="AJ1002" s="139"/>
      <c r="AK1002" s="139"/>
      <c r="AL1002" s="139"/>
      <c r="AM1002" s="139"/>
      <c r="AN1002" s="139"/>
      <c r="AO1002" s="139"/>
      <c r="AP1002" s="139"/>
      <c r="AQ1002" s="139"/>
      <c r="AR1002" s="139"/>
      <c r="AS1002" s="139"/>
      <c r="AT1002" s="139"/>
      <c r="AU1002" s="139"/>
      <c r="AV1002" s="139"/>
      <c r="AW1002" s="139"/>
      <c r="AX1002" s="139"/>
      <c r="AY1002" s="139"/>
      <c r="AZ1002" s="139"/>
      <c r="BA1002" s="139"/>
      <c r="BB1002" s="139"/>
      <c r="BC1002" s="139"/>
      <c r="BD1002" s="139"/>
      <c r="BE1002" s="139"/>
      <c r="BF1002" s="139"/>
      <c r="BG1002" s="139"/>
      <c r="BH1002" s="139"/>
    </row>
    <row r="1003" spans="2:60" s="11" customFormat="1" ht="20.100000000000001" customHeight="1">
      <c r="B1003" s="1360"/>
      <c r="C1003" s="5598"/>
      <c r="D1003" s="9598" t="s">
        <v>633</v>
      </c>
      <c r="E1003" s="9600"/>
      <c r="F1003" s="492" t="s">
        <v>732</v>
      </c>
      <c r="G1003" s="666"/>
      <c r="H1003" s="666"/>
      <c r="I1003" s="9582" t="s">
        <v>150</v>
      </c>
      <c r="J1003" s="9583"/>
      <c r="K1003" s="285" t="s">
        <v>734</v>
      </c>
      <c r="L1003" s="5594">
        <v>838</v>
      </c>
      <c r="M1003" s="5672"/>
      <c r="N1003" s="5601">
        <v>730</v>
      </c>
      <c r="O1003" s="5724"/>
      <c r="P1003" s="1814">
        <v>685</v>
      </c>
      <c r="Q1003" s="5948"/>
      <c r="R1003" s="2468"/>
      <c r="S1003" s="544"/>
      <c r="T1003" s="545"/>
      <c r="U1003" s="546"/>
      <c r="V1003" s="547"/>
      <c r="W1003" s="548"/>
      <c r="X1003" s="277"/>
      <c r="Y1003" s="277"/>
      <c r="Z1003" s="187"/>
      <c r="AA1003" s="6301"/>
      <c r="AB1003" s="139"/>
      <c r="AC1003" s="139"/>
      <c r="AD1003" s="139"/>
      <c r="AE1003" s="139"/>
      <c r="AF1003" s="139"/>
      <c r="AG1003" s="139"/>
      <c r="AH1003" s="139"/>
      <c r="AI1003" s="139"/>
      <c r="AJ1003" s="139"/>
      <c r="AK1003" s="139"/>
      <c r="AL1003" s="139"/>
      <c r="AM1003" s="139"/>
      <c r="AN1003" s="139"/>
      <c r="AO1003" s="139"/>
      <c r="AP1003" s="139"/>
      <c r="AQ1003" s="139"/>
      <c r="AR1003" s="139"/>
      <c r="AS1003" s="139"/>
      <c r="AT1003" s="139"/>
      <c r="AU1003" s="139"/>
      <c r="AV1003" s="139"/>
      <c r="AW1003" s="139"/>
      <c r="AX1003" s="139"/>
      <c r="AY1003" s="139"/>
      <c r="AZ1003" s="139"/>
      <c r="BA1003" s="139"/>
      <c r="BB1003" s="139"/>
      <c r="BC1003" s="139"/>
      <c r="BD1003" s="139"/>
      <c r="BE1003" s="139"/>
      <c r="BF1003" s="139"/>
      <c r="BG1003" s="139"/>
      <c r="BH1003" s="139"/>
    </row>
    <row r="1004" spans="2:60" s="11" customFormat="1" ht="20.100000000000001" customHeight="1">
      <c r="B1004" s="1360"/>
      <c r="C1004" s="5598"/>
      <c r="D1004" s="9586" t="s">
        <v>784</v>
      </c>
      <c r="E1004" s="9588"/>
      <c r="F1004" s="285" t="s">
        <v>732</v>
      </c>
      <c r="G1004" s="386"/>
      <c r="H1004" s="386"/>
      <c r="I1004" s="9586" t="s">
        <v>785</v>
      </c>
      <c r="J1004" s="9588"/>
      <c r="K1004" s="285" t="s">
        <v>734</v>
      </c>
      <c r="L1004" s="5783">
        <f>IF(COUNTBLANK(L1005:L1010)&gt;0,"미취합법인有",SUM(L1005:L1010))</f>
        <v>3957</v>
      </c>
      <c r="M1004" s="5784"/>
      <c r="N1004" s="5785">
        <f>IF(COUNTBLANK(N1005:N1010)&gt;0,"미취합법인有",SUM(N1005:N1010))</f>
        <v>6504</v>
      </c>
      <c r="O1004" s="5786"/>
      <c r="P1004" s="5787">
        <f>IF(COUNTBLANK(P1005:P1010)&gt;0,"미취합법인有",SUM(P1005:P1010))</f>
        <v>6671</v>
      </c>
      <c r="Q1004" s="785"/>
      <c r="R1004" s="498" t="s">
        <v>773</v>
      </c>
      <c r="S1004" s="367" t="s">
        <v>774</v>
      </c>
      <c r="T1004" s="99" t="s">
        <v>737</v>
      </c>
      <c r="U1004" s="547" t="s">
        <v>738</v>
      </c>
      <c r="V1004" s="547"/>
      <c r="W1004" s="99"/>
      <c r="X1004" s="620" t="s">
        <v>770</v>
      </c>
      <c r="Y1004" s="620" t="s">
        <v>740</v>
      </c>
      <c r="Z1004" s="159"/>
      <c r="AA1004" s="6301"/>
      <c r="AB1004" s="139"/>
      <c r="AC1004" s="139"/>
      <c r="AD1004" s="139"/>
      <c r="AE1004" s="139"/>
      <c r="AF1004" s="139"/>
      <c r="AG1004" s="139"/>
      <c r="AH1004" s="139"/>
      <c r="AI1004" s="139"/>
      <c r="AJ1004" s="139"/>
      <c r="AK1004" s="139"/>
      <c r="AL1004" s="139"/>
      <c r="AM1004" s="139"/>
      <c r="AN1004" s="139"/>
      <c r="AO1004" s="139"/>
      <c r="AP1004" s="139"/>
      <c r="AQ1004" s="139"/>
      <c r="AR1004" s="139"/>
      <c r="AS1004" s="139"/>
      <c r="AT1004" s="139"/>
      <c r="AU1004" s="139"/>
      <c r="AV1004" s="139"/>
      <c r="AW1004" s="139"/>
      <c r="AX1004" s="139"/>
      <c r="AY1004" s="139"/>
      <c r="AZ1004" s="139"/>
      <c r="BA1004" s="139"/>
      <c r="BB1004" s="139"/>
      <c r="BC1004" s="139"/>
      <c r="BD1004" s="139"/>
      <c r="BE1004" s="139"/>
      <c r="BF1004" s="139"/>
      <c r="BG1004" s="139"/>
      <c r="BH1004" s="139"/>
    </row>
    <row r="1005" spans="2:60" s="11" customFormat="1" ht="20.100000000000001" customHeight="1">
      <c r="B1005" s="1360"/>
      <c r="C1005" s="5598"/>
      <c r="D1005" s="9598" t="s">
        <v>134</v>
      </c>
      <c r="E1005" s="9600"/>
      <c r="F1005" s="492" t="s">
        <v>732</v>
      </c>
      <c r="G1005" s="666"/>
      <c r="H1005" s="666"/>
      <c r="I1005" s="9579" t="s">
        <v>135</v>
      </c>
      <c r="J1005" s="9581"/>
      <c r="K1005" s="285" t="s">
        <v>734</v>
      </c>
      <c r="L1005" s="5594">
        <v>2466</v>
      </c>
      <c r="M1005" s="5672" t="s">
        <v>786</v>
      </c>
      <c r="N1005" s="5601">
        <v>3405</v>
      </c>
      <c r="O1005" s="5724" t="s">
        <v>786</v>
      </c>
      <c r="P1005" s="5947">
        <v>3474</v>
      </c>
      <c r="Q1005" s="5948" t="s">
        <v>786</v>
      </c>
      <c r="R1005" s="2468"/>
      <c r="S1005" s="544"/>
      <c r="T1005" s="545"/>
      <c r="U1005" s="546"/>
      <c r="V1005" s="547"/>
      <c r="W1005" s="548"/>
      <c r="X1005" s="277"/>
      <c r="Y1005" s="277"/>
      <c r="Z1005" s="187"/>
      <c r="AA1005" s="6301"/>
      <c r="AB1005" s="139"/>
      <c r="AC1005" s="139"/>
      <c r="AD1005" s="139"/>
      <c r="AE1005" s="139"/>
      <c r="AF1005" s="139"/>
      <c r="AG1005" s="139"/>
      <c r="AH1005" s="139"/>
      <c r="AI1005" s="139"/>
      <c r="AJ1005" s="139"/>
      <c r="AK1005" s="139"/>
      <c r="AL1005" s="139"/>
      <c r="AM1005" s="139"/>
      <c r="AN1005" s="139"/>
      <c r="AO1005" s="139"/>
      <c r="AP1005" s="139"/>
      <c r="AQ1005" s="139"/>
      <c r="AR1005" s="139"/>
      <c r="AS1005" s="139"/>
      <c r="AT1005" s="139"/>
      <c r="AU1005" s="139"/>
      <c r="AV1005" s="139"/>
      <c r="AW1005" s="139"/>
      <c r="AX1005" s="139"/>
      <c r="AY1005" s="139"/>
      <c r="AZ1005" s="139"/>
      <c r="BA1005" s="139"/>
      <c r="BB1005" s="139"/>
      <c r="BC1005" s="139"/>
      <c r="BD1005" s="139"/>
      <c r="BE1005" s="139"/>
      <c r="BF1005" s="139"/>
      <c r="BG1005" s="139"/>
      <c r="BH1005" s="139"/>
    </row>
    <row r="1006" spans="2:60" s="11" customFormat="1" ht="20.100000000000001" customHeight="1">
      <c r="B1006" s="1360"/>
      <c r="C1006" s="5598"/>
      <c r="D1006" s="9598" t="s">
        <v>137</v>
      </c>
      <c r="E1006" s="9600"/>
      <c r="F1006" s="492" t="s">
        <v>732</v>
      </c>
      <c r="G1006" s="666"/>
      <c r="H1006" s="666"/>
      <c r="I1006" s="9579" t="s">
        <v>138</v>
      </c>
      <c r="J1006" s="9581"/>
      <c r="K1006" s="285" t="s">
        <v>734</v>
      </c>
      <c r="L1006" s="5594">
        <v>0</v>
      </c>
      <c r="M1006" s="5672"/>
      <c r="N1006" s="5601">
        <v>0</v>
      </c>
      <c r="O1006" s="5724"/>
      <c r="P1006" s="1814">
        <v>0</v>
      </c>
      <c r="Q1006" s="5948"/>
      <c r="R1006" s="2468"/>
      <c r="S1006" s="544"/>
      <c r="T1006" s="545"/>
      <c r="U1006" s="546"/>
      <c r="V1006" s="547"/>
      <c r="W1006" s="548"/>
      <c r="X1006" s="277"/>
      <c r="Y1006" s="277"/>
      <c r="Z1006" s="187"/>
      <c r="AA1006" s="6301"/>
      <c r="AB1006" s="139"/>
      <c r="AC1006" s="139"/>
      <c r="AD1006" s="139"/>
      <c r="AE1006" s="139"/>
      <c r="AF1006" s="139"/>
      <c r="AG1006" s="139"/>
      <c r="AH1006" s="139"/>
      <c r="AI1006" s="139"/>
      <c r="AJ1006" s="139"/>
      <c r="AK1006" s="139"/>
      <c r="AL1006" s="139"/>
      <c r="AM1006" s="139"/>
      <c r="AN1006" s="139"/>
      <c r="AO1006" s="139"/>
      <c r="AP1006" s="139"/>
      <c r="AQ1006" s="139"/>
      <c r="AR1006" s="139"/>
      <c r="AS1006" s="139"/>
      <c r="AT1006" s="139"/>
      <c r="AU1006" s="139"/>
      <c r="AV1006" s="139"/>
      <c r="AW1006" s="139"/>
      <c r="AX1006" s="139"/>
      <c r="AY1006" s="139"/>
      <c r="AZ1006" s="139"/>
      <c r="BA1006" s="139"/>
      <c r="BB1006" s="139"/>
      <c r="BC1006" s="139"/>
      <c r="BD1006" s="139"/>
      <c r="BE1006" s="139"/>
      <c r="BF1006" s="139"/>
      <c r="BG1006" s="139"/>
      <c r="BH1006" s="139"/>
    </row>
    <row r="1007" spans="2:60" s="11" customFormat="1" ht="20.100000000000001" customHeight="1">
      <c r="B1007" s="1360"/>
      <c r="C1007" s="5598"/>
      <c r="D1007" s="9598" t="s">
        <v>140</v>
      </c>
      <c r="E1007" s="9600"/>
      <c r="F1007" s="492" t="s">
        <v>732</v>
      </c>
      <c r="G1007" s="666"/>
      <c r="H1007" s="666"/>
      <c r="I1007" s="9582" t="s">
        <v>141</v>
      </c>
      <c r="J1007" s="9583"/>
      <c r="K1007" s="285" t="s">
        <v>734</v>
      </c>
      <c r="L1007" s="5594">
        <v>0</v>
      </c>
      <c r="M1007" s="5672"/>
      <c r="N1007" s="5601">
        <v>0</v>
      </c>
      <c r="O1007" s="5724"/>
      <c r="P1007" s="1814">
        <v>0</v>
      </c>
      <c r="Q1007" s="5948"/>
      <c r="R1007" s="2468"/>
      <c r="S1007" s="544"/>
      <c r="T1007" s="545"/>
      <c r="U1007" s="546"/>
      <c r="V1007" s="547"/>
      <c r="W1007" s="548"/>
      <c r="X1007" s="277"/>
      <c r="Y1007" s="277"/>
      <c r="Z1007" s="187"/>
      <c r="AA1007" s="6301"/>
      <c r="AB1007" s="139"/>
      <c r="AC1007" s="139"/>
      <c r="AD1007" s="139"/>
      <c r="AE1007" s="139"/>
      <c r="AF1007" s="139"/>
      <c r="AG1007" s="139"/>
      <c r="AH1007" s="139"/>
      <c r="AI1007" s="139"/>
      <c r="AJ1007" s="139"/>
      <c r="AK1007" s="139"/>
      <c r="AL1007" s="139"/>
      <c r="AM1007" s="139"/>
      <c r="AN1007" s="139"/>
      <c r="AO1007" s="139"/>
      <c r="AP1007" s="139"/>
      <c r="AQ1007" s="139"/>
      <c r="AR1007" s="139"/>
      <c r="AS1007" s="139"/>
      <c r="AT1007" s="139"/>
      <c r="AU1007" s="139"/>
      <c r="AV1007" s="139"/>
      <c r="AW1007" s="139"/>
      <c r="AX1007" s="139"/>
      <c r="AY1007" s="139"/>
      <c r="AZ1007" s="139"/>
      <c r="BA1007" s="139"/>
      <c r="BB1007" s="139"/>
      <c r="BC1007" s="139"/>
      <c r="BD1007" s="139"/>
      <c r="BE1007" s="139"/>
      <c r="BF1007" s="139"/>
      <c r="BG1007" s="139"/>
      <c r="BH1007" s="139"/>
    </row>
    <row r="1008" spans="2:60" s="11" customFormat="1" ht="20.100000000000001" customHeight="1">
      <c r="B1008" s="1360"/>
      <c r="C1008" s="5598"/>
      <c r="D1008" s="9598" t="s">
        <v>143</v>
      </c>
      <c r="E1008" s="9600"/>
      <c r="F1008" s="492" t="s">
        <v>732</v>
      </c>
      <c r="G1008" s="666"/>
      <c r="H1008" s="666"/>
      <c r="I1008" s="9582" t="s">
        <v>144</v>
      </c>
      <c r="J1008" s="9583"/>
      <c r="K1008" s="285" t="s">
        <v>734</v>
      </c>
      <c r="L1008" s="5594">
        <v>541</v>
      </c>
      <c r="M1008" s="5672"/>
      <c r="N1008" s="5601">
        <v>1869</v>
      </c>
      <c r="O1008" s="5724"/>
      <c r="P1008" s="1814">
        <v>1906</v>
      </c>
      <c r="Q1008" s="5948"/>
      <c r="R1008" s="2468"/>
      <c r="S1008" s="544"/>
      <c r="T1008" s="545"/>
      <c r="U1008" s="546"/>
      <c r="V1008" s="547"/>
      <c r="W1008" s="548"/>
      <c r="X1008" s="277"/>
      <c r="Y1008" s="277"/>
      <c r="Z1008" s="187"/>
      <c r="AA1008" s="6301"/>
      <c r="AB1008" s="139"/>
      <c r="AC1008" s="139"/>
      <c r="AD1008" s="139"/>
      <c r="AE1008" s="139"/>
      <c r="AF1008" s="139"/>
      <c r="AG1008" s="139"/>
      <c r="AH1008" s="139"/>
      <c r="AI1008" s="139"/>
      <c r="AJ1008" s="139"/>
      <c r="AK1008" s="139"/>
      <c r="AL1008" s="139"/>
      <c r="AM1008" s="139"/>
      <c r="AN1008" s="139"/>
      <c r="AO1008" s="139"/>
      <c r="AP1008" s="139"/>
      <c r="AQ1008" s="139"/>
      <c r="AR1008" s="139"/>
      <c r="AS1008" s="139"/>
      <c r="AT1008" s="139"/>
      <c r="AU1008" s="139"/>
      <c r="AV1008" s="139"/>
      <c r="AW1008" s="139"/>
      <c r="AX1008" s="139"/>
      <c r="AY1008" s="139"/>
      <c r="AZ1008" s="139"/>
      <c r="BA1008" s="139"/>
      <c r="BB1008" s="139"/>
      <c r="BC1008" s="139"/>
      <c r="BD1008" s="139"/>
      <c r="BE1008" s="139"/>
      <c r="BF1008" s="139"/>
      <c r="BG1008" s="139"/>
      <c r="BH1008" s="139"/>
    </row>
    <row r="1009" spans="2:60" s="11" customFormat="1" ht="20.100000000000001" customHeight="1">
      <c r="B1009" s="1360"/>
      <c r="C1009" s="5598"/>
      <c r="D1009" s="9598" t="s">
        <v>631</v>
      </c>
      <c r="E1009" s="9600"/>
      <c r="F1009" s="492" t="s">
        <v>732</v>
      </c>
      <c r="G1009" s="666"/>
      <c r="H1009" s="666"/>
      <c r="I1009" s="9582" t="s">
        <v>147</v>
      </c>
      <c r="J1009" s="9583"/>
      <c r="K1009" s="285" t="s">
        <v>734</v>
      </c>
      <c r="L1009" s="5594">
        <v>508</v>
      </c>
      <c r="M1009" s="5672" t="s">
        <v>787</v>
      </c>
      <c r="N1009" s="5601">
        <v>816</v>
      </c>
      <c r="O1009" s="5724" t="s">
        <v>787</v>
      </c>
      <c r="P1009" s="1814">
        <v>917</v>
      </c>
      <c r="Q1009" s="5948"/>
      <c r="R1009" s="2468"/>
      <c r="S1009" s="544"/>
      <c r="T1009" s="545"/>
      <c r="U1009" s="546"/>
      <c r="V1009" s="547"/>
      <c r="W1009" s="548"/>
      <c r="X1009" s="277"/>
      <c r="Y1009" s="277"/>
      <c r="Z1009" s="187"/>
      <c r="AA1009" s="6301"/>
      <c r="AB1009" s="139"/>
      <c r="AC1009" s="139"/>
      <c r="AD1009" s="139"/>
      <c r="AE1009" s="139"/>
      <c r="AF1009" s="139"/>
      <c r="AG1009" s="139"/>
      <c r="AH1009" s="139"/>
      <c r="AI1009" s="139"/>
      <c r="AJ1009" s="139"/>
      <c r="AK1009" s="139"/>
      <c r="AL1009" s="139"/>
      <c r="AM1009" s="139"/>
      <c r="AN1009" s="139"/>
      <c r="AO1009" s="139"/>
      <c r="AP1009" s="139"/>
      <c r="AQ1009" s="139"/>
      <c r="AR1009" s="139"/>
      <c r="AS1009" s="139"/>
      <c r="AT1009" s="139"/>
      <c r="AU1009" s="139"/>
      <c r="AV1009" s="139"/>
      <c r="AW1009" s="139"/>
      <c r="AX1009" s="139"/>
      <c r="AY1009" s="139"/>
      <c r="AZ1009" s="139"/>
      <c r="BA1009" s="139"/>
      <c r="BB1009" s="139"/>
      <c r="BC1009" s="139"/>
      <c r="BD1009" s="139"/>
      <c r="BE1009" s="139"/>
      <c r="BF1009" s="139"/>
      <c r="BG1009" s="139"/>
      <c r="BH1009" s="139"/>
    </row>
    <row r="1010" spans="2:60" s="11" customFormat="1" ht="20.100000000000001" customHeight="1">
      <c r="B1010" s="1360"/>
      <c r="C1010" s="5598"/>
      <c r="D1010" s="9598" t="s">
        <v>633</v>
      </c>
      <c r="E1010" s="9600"/>
      <c r="F1010" s="492" t="s">
        <v>732</v>
      </c>
      <c r="G1010" s="666"/>
      <c r="H1010" s="666"/>
      <c r="I1010" s="9582" t="s">
        <v>150</v>
      </c>
      <c r="J1010" s="9583"/>
      <c r="K1010" s="285" t="s">
        <v>734</v>
      </c>
      <c r="L1010" s="5594">
        <v>442</v>
      </c>
      <c r="M1010" s="5672"/>
      <c r="N1010" s="5601">
        <v>414</v>
      </c>
      <c r="O1010" s="5724"/>
      <c r="P1010" s="1814">
        <v>374</v>
      </c>
      <c r="Q1010" s="5948"/>
      <c r="R1010" s="2468"/>
      <c r="S1010" s="544"/>
      <c r="T1010" s="545"/>
      <c r="U1010" s="546"/>
      <c r="V1010" s="547"/>
      <c r="W1010" s="548"/>
      <c r="X1010" s="277"/>
      <c r="Y1010" s="277"/>
      <c r="Z1010" s="187"/>
      <c r="AA1010" s="6301"/>
      <c r="AB1010" s="139"/>
      <c r="AC1010" s="139"/>
      <c r="AD1010" s="139"/>
      <c r="AE1010" s="139"/>
      <c r="AF1010" s="139"/>
      <c r="AG1010" s="139"/>
      <c r="AH1010" s="139"/>
      <c r="AI1010" s="139"/>
      <c r="AJ1010" s="139"/>
      <c r="AK1010" s="139"/>
      <c r="AL1010" s="139"/>
      <c r="AM1010" s="139"/>
      <c r="AN1010" s="139"/>
      <c r="AO1010" s="139"/>
      <c r="AP1010" s="139"/>
      <c r="AQ1010" s="139"/>
      <c r="AR1010" s="139"/>
      <c r="AS1010" s="139"/>
      <c r="AT1010" s="139"/>
      <c r="AU1010" s="139"/>
      <c r="AV1010" s="139"/>
      <c r="AW1010" s="139"/>
      <c r="AX1010" s="139"/>
      <c r="AY1010" s="139"/>
      <c r="AZ1010" s="139"/>
      <c r="BA1010" s="139"/>
      <c r="BB1010" s="139"/>
      <c r="BC1010" s="139"/>
      <c r="BD1010" s="139"/>
      <c r="BE1010" s="139"/>
      <c r="BF1010" s="139"/>
      <c r="BG1010" s="139"/>
      <c r="BH1010" s="139"/>
    </row>
    <row r="1011" spans="2:60" s="11" customFormat="1" ht="19.899999999999999" customHeight="1">
      <c r="B1011" s="1360"/>
      <c r="C1011" s="5598"/>
      <c r="D1011" s="9586" t="s">
        <v>788</v>
      </c>
      <c r="E1011" s="9588"/>
      <c r="F1011" s="285" t="s">
        <v>732</v>
      </c>
      <c r="G1011" s="386"/>
      <c r="H1011" s="386"/>
      <c r="I1011" s="9586" t="s">
        <v>789</v>
      </c>
      <c r="J1011" s="9588"/>
      <c r="K1011" s="285" t="s">
        <v>734</v>
      </c>
      <c r="L1011" s="5783">
        <f>IF(COUNTBLANK(L1012:L1017)&gt;0,"미취합법인有",SUM(L1012:L1017))</f>
        <v>0</v>
      </c>
      <c r="M1011" s="5784"/>
      <c r="N1011" s="5785">
        <f>IF(COUNTBLANK(N1012:N1017)&gt;0,"미취합법인有",SUM(N1012:N1017))</f>
        <v>816</v>
      </c>
      <c r="O1011" s="5786"/>
      <c r="P1011" s="5787">
        <f>IF(COUNTBLANK(P1012:P1017)&gt;0,"미취합법인有",SUM(P1012:P1017))</f>
        <v>0</v>
      </c>
      <c r="Q1011" s="785"/>
      <c r="R1011" s="498" t="s">
        <v>790</v>
      </c>
      <c r="S1011" s="367" t="s">
        <v>774</v>
      </c>
      <c r="T1011" s="99" t="s">
        <v>737</v>
      </c>
      <c r="U1011" s="547" t="s">
        <v>738</v>
      </c>
      <c r="V1011" s="547"/>
      <c r="W1011" s="99"/>
      <c r="X1011" s="620" t="s">
        <v>770</v>
      </c>
      <c r="Y1011" s="620" t="s">
        <v>740</v>
      </c>
      <c r="Z1011" s="159"/>
      <c r="AA1011" s="6301"/>
      <c r="AB1011" s="139"/>
      <c r="AC1011" s="139"/>
      <c r="AD1011" s="139"/>
      <c r="AE1011" s="139"/>
      <c r="AF1011" s="139"/>
      <c r="AG1011" s="139"/>
      <c r="AH1011" s="139"/>
      <c r="AI1011" s="139"/>
      <c r="AJ1011" s="139"/>
      <c r="AK1011" s="139"/>
      <c r="AL1011" s="139"/>
      <c r="AM1011" s="139"/>
      <c r="AN1011" s="139"/>
      <c r="AO1011" s="139"/>
      <c r="AP1011" s="139"/>
      <c r="AQ1011" s="139"/>
      <c r="AR1011" s="139"/>
      <c r="AS1011" s="139"/>
      <c r="AT1011" s="139"/>
      <c r="AU1011" s="139"/>
      <c r="AV1011" s="139"/>
      <c r="AW1011" s="139"/>
      <c r="AX1011" s="139"/>
      <c r="AY1011" s="139"/>
      <c r="AZ1011" s="139"/>
      <c r="BA1011" s="139"/>
      <c r="BB1011" s="139"/>
      <c r="BC1011" s="139"/>
      <c r="BD1011" s="139"/>
      <c r="BE1011" s="139"/>
      <c r="BF1011" s="139"/>
      <c r="BG1011" s="139"/>
      <c r="BH1011" s="139"/>
    </row>
    <row r="1012" spans="2:60" s="11" customFormat="1" ht="20.100000000000001" customHeight="1">
      <c r="B1012" s="1360"/>
      <c r="C1012" s="5598"/>
      <c r="D1012" s="9598" t="s">
        <v>134</v>
      </c>
      <c r="E1012" s="9600"/>
      <c r="F1012" s="492" t="s">
        <v>732</v>
      </c>
      <c r="G1012" s="666"/>
      <c r="H1012" s="666"/>
      <c r="I1012" s="9579" t="s">
        <v>135</v>
      </c>
      <c r="J1012" s="9581"/>
      <c r="K1012" s="285" t="s">
        <v>734</v>
      </c>
      <c r="L1012" s="5594">
        <v>0</v>
      </c>
      <c r="M1012" s="5672"/>
      <c r="N1012" s="5601">
        <v>0</v>
      </c>
      <c r="O1012" s="5601"/>
      <c r="P1012" s="5948">
        <v>0</v>
      </c>
      <c r="Q1012" s="5948"/>
      <c r="R1012" s="2468"/>
      <c r="S1012" s="544"/>
      <c r="T1012" s="545"/>
      <c r="U1012" s="546"/>
      <c r="V1012" s="547"/>
      <c r="W1012" s="548"/>
      <c r="X1012" s="277"/>
      <c r="Y1012" s="277"/>
      <c r="Z1012" s="187"/>
      <c r="AA1012" s="6301"/>
      <c r="AB1012" s="139"/>
      <c r="AC1012" s="139"/>
      <c r="AD1012" s="139"/>
      <c r="AE1012" s="139"/>
      <c r="AF1012" s="139"/>
      <c r="AG1012" s="139"/>
      <c r="AH1012" s="139"/>
      <c r="AI1012" s="139"/>
      <c r="AJ1012" s="139"/>
      <c r="AK1012" s="139"/>
      <c r="AL1012" s="139"/>
      <c r="AM1012" s="139"/>
      <c r="AN1012" s="139"/>
      <c r="AO1012" s="139"/>
      <c r="AP1012" s="139"/>
      <c r="AQ1012" s="139"/>
      <c r="AR1012" s="139"/>
      <c r="AS1012" s="139"/>
      <c r="AT1012" s="139"/>
      <c r="AU1012" s="139"/>
      <c r="AV1012" s="139"/>
      <c r="AW1012" s="139"/>
      <c r="AX1012" s="139"/>
      <c r="AY1012" s="139"/>
      <c r="AZ1012" s="139"/>
      <c r="BA1012" s="139"/>
      <c r="BB1012" s="139"/>
      <c r="BC1012" s="139"/>
      <c r="BD1012" s="139"/>
      <c r="BE1012" s="139"/>
      <c r="BF1012" s="139"/>
      <c r="BG1012" s="139"/>
      <c r="BH1012" s="139"/>
    </row>
    <row r="1013" spans="2:60" s="11" customFormat="1" ht="20.100000000000001" customHeight="1">
      <c r="B1013" s="1360"/>
      <c r="C1013" s="5598"/>
      <c r="D1013" s="9598" t="s">
        <v>137</v>
      </c>
      <c r="E1013" s="9600"/>
      <c r="F1013" s="492" t="s">
        <v>732</v>
      </c>
      <c r="G1013" s="666"/>
      <c r="H1013" s="666"/>
      <c r="I1013" s="9579" t="s">
        <v>138</v>
      </c>
      <c r="J1013" s="9581"/>
      <c r="K1013" s="285" t="s">
        <v>734</v>
      </c>
      <c r="L1013" s="5594">
        <v>0</v>
      </c>
      <c r="M1013" s="5672"/>
      <c r="N1013" s="5601">
        <v>0</v>
      </c>
      <c r="O1013" s="5601"/>
      <c r="P1013" s="1814">
        <v>0</v>
      </c>
      <c r="Q1013" s="5948"/>
      <c r="R1013" s="2468"/>
      <c r="S1013" s="544"/>
      <c r="T1013" s="545"/>
      <c r="U1013" s="546"/>
      <c r="V1013" s="547"/>
      <c r="W1013" s="548"/>
      <c r="X1013" s="277"/>
      <c r="Y1013" s="277"/>
      <c r="Z1013" s="187"/>
      <c r="AA1013" s="6301"/>
      <c r="AB1013" s="139"/>
      <c r="AC1013" s="139"/>
      <c r="AD1013" s="139"/>
      <c r="AE1013" s="139"/>
      <c r="AF1013" s="139"/>
      <c r="AG1013" s="139"/>
      <c r="AH1013" s="139"/>
      <c r="AI1013" s="139"/>
      <c r="AJ1013" s="139"/>
      <c r="AK1013" s="139"/>
      <c r="AL1013" s="139"/>
      <c r="AM1013" s="139"/>
      <c r="AN1013" s="139"/>
      <c r="AO1013" s="139"/>
      <c r="AP1013" s="139"/>
      <c r="AQ1013" s="139"/>
      <c r="AR1013" s="139"/>
      <c r="AS1013" s="139"/>
      <c r="AT1013" s="139"/>
      <c r="AU1013" s="139"/>
      <c r="AV1013" s="139"/>
      <c r="AW1013" s="139"/>
      <c r="AX1013" s="139"/>
      <c r="AY1013" s="139"/>
      <c r="AZ1013" s="139"/>
      <c r="BA1013" s="139"/>
      <c r="BB1013" s="139"/>
      <c r="BC1013" s="139"/>
      <c r="BD1013" s="139"/>
      <c r="BE1013" s="139"/>
      <c r="BF1013" s="139"/>
      <c r="BG1013" s="139"/>
      <c r="BH1013" s="139"/>
    </row>
    <row r="1014" spans="2:60" s="11" customFormat="1" ht="20.100000000000001" customHeight="1">
      <c r="B1014" s="1360"/>
      <c r="C1014" s="5598"/>
      <c r="D1014" s="9598" t="s">
        <v>140</v>
      </c>
      <c r="E1014" s="9600"/>
      <c r="F1014" s="492" t="s">
        <v>732</v>
      </c>
      <c r="G1014" s="666"/>
      <c r="H1014" s="666"/>
      <c r="I1014" s="9582" t="s">
        <v>141</v>
      </c>
      <c r="J1014" s="9583"/>
      <c r="K1014" s="285" t="s">
        <v>734</v>
      </c>
      <c r="L1014" s="5594">
        <v>0</v>
      </c>
      <c r="M1014" s="5672"/>
      <c r="N1014" s="5601">
        <v>0</v>
      </c>
      <c r="O1014" s="5601"/>
      <c r="P1014" s="1814">
        <v>0</v>
      </c>
      <c r="Q1014" s="5948"/>
      <c r="R1014" s="2468"/>
      <c r="S1014" s="544"/>
      <c r="T1014" s="545"/>
      <c r="U1014" s="546"/>
      <c r="V1014" s="547"/>
      <c r="W1014" s="548"/>
      <c r="X1014" s="277"/>
      <c r="Y1014" s="277"/>
      <c r="Z1014" s="187"/>
      <c r="AA1014" s="6301"/>
      <c r="AB1014" s="139"/>
      <c r="AC1014" s="139"/>
      <c r="AD1014" s="139"/>
      <c r="AE1014" s="139"/>
      <c r="AF1014" s="139"/>
      <c r="AG1014" s="139"/>
      <c r="AH1014" s="139"/>
      <c r="AI1014" s="139"/>
      <c r="AJ1014" s="139"/>
      <c r="AK1014" s="139"/>
      <c r="AL1014" s="139"/>
      <c r="AM1014" s="139"/>
      <c r="AN1014" s="139"/>
      <c r="AO1014" s="139"/>
      <c r="AP1014" s="139"/>
      <c r="AQ1014" s="139"/>
      <c r="AR1014" s="139"/>
      <c r="AS1014" s="139"/>
      <c r="AT1014" s="139"/>
      <c r="AU1014" s="139"/>
      <c r="AV1014" s="139"/>
      <c r="AW1014" s="139"/>
      <c r="AX1014" s="139"/>
      <c r="AY1014" s="139"/>
      <c r="AZ1014" s="139"/>
      <c r="BA1014" s="139"/>
      <c r="BB1014" s="139"/>
      <c r="BC1014" s="139"/>
      <c r="BD1014" s="139"/>
      <c r="BE1014" s="139"/>
      <c r="BF1014" s="139"/>
      <c r="BG1014" s="139"/>
      <c r="BH1014" s="139"/>
    </row>
    <row r="1015" spans="2:60" s="11" customFormat="1" ht="20.100000000000001" customHeight="1">
      <c r="B1015" s="1360"/>
      <c r="C1015" s="5598"/>
      <c r="D1015" s="9598" t="s">
        <v>143</v>
      </c>
      <c r="E1015" s="9600"/>
      <c r="F1015" s="492" t="s">
        <v>732</v>
      </c>
      <c r="G1015" s="666"/>
      <c r="H1015" s="666"/>
      <c r="I1015" s="9582" t="s">
        <v>144</v>
      </c>
      <c r="J1015" s="9583"/>
      <c r="K1015" s="285" t="s">
        <v>734</v>
      </c>
      <c r="L1015" s="5594">
        <v>0</v>
      </c>
      <c r="M1015" s="5672"/>
      <c r="N1015" s="516">
        <v>0</v>
      </c>
      <c r="O1015" s="5601"/>
      <c r="P1015" s="1814">
        <v>0</v>
      </c>
      <c r="Q1015" s="5948"/>
      <c r="R1015" s="2468"/>
      <c r="S1015" s="544"/>
      <c r="T1015" s="545"/>
      <c r="U1015" s="546"/>
      <c r="V1015" s="547"/>
      <c r="W1015" s="548"/>
      <c r="X1015" s="277"/>
      <c r="Y1015" s="277"/>
      <c r="Z1015" s="187"/>
      <c r="AA1015" s="6301"/>
      <c r="AB1015" s="139"/>
      <c r="AC1015" s="139"/>
      <c r="AD1015" s="139"/>
      <c r="AE1015" s="139"/>
      <c r="AF1015" s="139"/>
      <c r="AG1015" s="139"/>
      <c r="AH1015" s="139"/>
      <c r="AI1015" s="139"/>
      <c r="AJ1015" s="139"/>
      <c r="AK1015" s="139"/>
      <c r="AL1015" s="139"/>
      <c r="AM1015" s="139"/>
      <c r="AN1015" s="139"/>
      <c r="AO1015" s="139"/>
      <c r="AP1015" s="139"/>
      <c r="AQ1015" s="139"/>
      <c r="AR1015" s="139"/>
      <c r="AS1015" s="139"/>
      <c r="AT1015" s="139"/>
      <c r="AU1015" s="139"/>
      <c r="AV1015" s="139"/>
      <c r="AW1015" s="139"/>
      <c r="AX1015" s="139"/>
      <c r="AY1015" s="139"/>
      <c r="AZ1015" s="139"/>
      <c r="BA1015" s="139"/>
      <c r="BB1015" s="139"/>
      <c r="BC1015" s="139"/>
      <c r="BD1015" s="139"/>
      <c r="BE1015" s="139"/>
      <c r="BF1015" s="139"/>
      <c r="BG1015" s="139"/>
      <c r="BH1015" s="139"/>
    </row>
    <row r="1016" spans="2:60" s="11" customFormat="1" ht="20.100000000000001" customHeight="1">
      <c r="B1016" s="1360"/>
      <c r="C1016" s="5598"/>
      <c r="D1016" s="9598" t="s">
        <v>631</v>
      </c>
      <c r="E1016" s="9600"/>
      <c r="F1016" s="492" t="s">
        <v>732</v>
      </c>
      <c r="G1016" s="666"/>
      <c r="H1016" s="666"/>
      <c r="I1016" s="9582" t="s">
        <v>147</v>
      </c>
      <c r="J1016" s="9583"/>
      <c r="K1016" s="285" t="s">
        <v>734</v>
      </c>
      <c r="L1016" s="5594">
        <v>0</v>
      </c>
      <c r="M1016" s="5672"/>
      <c r="N1016" s="5601">
        <v>816</v>
      </c>
      <c r="O1016" s="5601"/>
      <c r="P1016" s="1814">
        <v>0</v>
      </c>
      <c r="Q1016" s="5948"/>
      <c r="R1016" s="2468"/>
      <c r="S1016" s="544"/>
      <c r="T1016" s="545"/>
      <c r="U1016" s="546"/>
      <c r="V1016" s="547"/>
      <c r="W1016" s="548"/>
      <c r="X1016" s="277"/>
      <c r="Y1016" s="277"/>
      <c r="Z1016" s="187"/>
      <c r="AA1016" s="6301"/>
      <c r="AB1016" s="139"/>
      <c r="AC1016" s="139"/>
      <c r="AD1016" s="139"/>
      <c r="AE1016" s="139"/>
      <c r="AF1016" s="139"/>
      <c r="AG1016" s="139"/>
      <c r="AH1016" s="139"/>
      <c r="AI1016" s="139"/>
      <c r="AJ1016" s="139"/>
      <c r="AK1016" s="139"/>
      <c r="AL1016" s="139"/>
      <c r="AM1016" s="139"/>
      <c r="AN1016" s="139"/>
      <c r="AO1016" s="139"/>
      <c r="AP1016" s="139"/>
      <c r="AQ1016" s="139"/>
      <c r="AR1016" s="139"/>
      <c r="AS1016" s="139"/>
      <c r="AT1016" s="139"/>
      <c r="AU1016" s="139"/>
      <c r="AV1016" s="139"/>
      <c r="AW1016" s="139"/>
      <c r="AX1016" s="139"/>
      <c r="AY1016" s="139"/>
      <c r="AZ1016" s="139"/>
      <c r="BA1016" s="139"/>
      <c r="BB1016" s="139"/>
      <c r="BC1016" s="139"/>
      <c r="BD1016" s="139"/>
      <c r="BE1016" s="139"/>
      <c r="BF1016" s="139"/>
      <c r="BG1016" s="139"/>
      <c r="BH1016" s="139"/>
    </row>
    <row r="1017" spans="2:60" s="11" customFormat="1" ht="20.100000000000001" customHeight="1">
      <c r="B1017" s="1360"/>
      <c r="C1017" s="5598"/>
      <c r="D1017" s="9598" t="s">
        <v>633</v>
      </c>
      <c r="E1017" s="9600"/>
      <c r="F1017" s="492" t="s">
        <v>732</v>
      </c>
      <c r="G1017" s="666"/>
      <c r="H1017" s="666"/>
      <c r="I1017" s="9582" t="s">
        <v>150</v>
      </c>
      <c r="J1017" s="9583"/>
      <c r="K1017" s="285" t="s">
        <v>734</v>
      </c>
      <c r="L1017" s="5594">
        <v>0</v>
      </c>
      <c r="M1017" s="5672"/>
      <c r="N1017" s="5601">
        <v>0</v>
      </c>
      <c r="O1017" s="1814"/>
      <c r="P1017" s="5601">
        <v>0</v>
      </c>
      <c r="Q1017" s="5948"/>
      <c r="R1017" s="2468"/>
      <c r="S1017" s="544"/>
      <c r="T1017" s="545"/>
      <c r="U1017" s="546"/>
      <c r="V1017" s="547"/>
      <c r="W1017" s="548"/>
      <c r="X1017" s="277"/>
      <c r="Y1017" s="277"/>
      <c r="Z1017" s="187"/>
      <c r="AA1017" s="6301"/>
      <c r="AB1017" s="139"/>
      <c r="AC1017" s="139"/>
      <c r="AD1017" s="139"/>
      <c r="AE1017" s="139"/>
      <c r="AF1017" s="139"/>
      <c r="AG1017" s="139"/>
      <c r="AH1017" s="139"/>
      <c r="AI1017" s="139"/>
      <c r="AJ1017" s="139"/>
      <c r="AK1017" s="139"/>
      <c r="AL1017" s="139"/>
      <c r="AM1017" s="139"/>
      <c r="AN1017" s="139"/>
      <c r="AO1017" s="139"/>
      <c r="AP1017" s="139"/>
      <c r="AQ1017" s="139"/>
      <c r="AR1017" s="139"/>
      <c r="AS1017" s="139"/>
      <c r="AT1017" s="139"/>
      <c r="AU1017" s="139"/>
      <c r="AV1017" s="139"/>
      <c r="AW1017" s="139"/>
      <c r="AX1017" s="139"/>
      <c r="AY1017" s="139"/>
      <c r="AZ1017" s="139"/>
      <c r="BA1017" s="139"/>
      <c r="BB1017" s="139"/>
      <c r="BC1017" s="139"/>
      <c r="BD1017" s="139"/>
      <c r="BE1017" s="139"/>
      <c r="BF1017" s="139"/>
      <c r="BG1017" s="139"/>
      <c r="BH1017" s="139"/>
    </row>
    <row r="1018" spans="2:60" s="11" customFormat="1" ht="20.100000000000001" customHeight="1">
      <c r="B1018" s="1360"/>
      <c r="C1018" s="9722" t="s">
        <v>791</v>
      </c>
      <c r="D1018" s="9723"/>
      <c r="E1018" s="9724"/>
      <c r="F1018" s="1577"/>
      <c r="G1018" s="408"/>
      <c r="H1018" s="9725" t="s">
        <v>792</v>
      </c>
      <c r="I1018" s="9726"/>
      <c r="J1018" s="9727"/>
      <c r="K1018" s="4584"/>
      <c r="L1018" s="5618"/>
      <c r="M1018" s="5950"/>
      <c r="N1018" s="5950"/>
      <c r="O1018" s="5950"/>
      <c r="P1018" s="5950"/>
      <c r="Q1018" s="5950"/>
      <c r="R1018" s="6309"/>
      <c r="S1018" s="367"/>
      <c r="T1018" s="99" t="s">
        <v>758</v>
      </c>
      <c r="U1018" s="547"/>
      <c r="V1018" s="547"/>
      <c r="W1018" s="99"/>
      <c r="X1018" s="620" t="s">
        <v>793</v>
      </c>
      <c r="Y1018" s="664" t="s">
        <v>794</v>
      </c>
      <c r="Z1018" s="159" t="s">
        <v>795</v>
      </c>
      <c r="AA1018" s="6301"/>
      <c r="AB1018" s="139"/>
      <c r="AC1018" s="139"/>
      <c r="AD1018" s="139"/>
      <c r="AE1018" s="139"/>
      <c r="AF1018" s="139"/>
      <c r="AG1018" s="139"/>
      <c r="AH1018" s="139"/>
      <c r="AI1018" s="139"/>
      <c r="AJ1018" s="139"/>
      <c r="AK1018" s="139"/>
      <c r="AL1018" s="139"/>
      <c r="AM1018" s="139"/>
      <c r="AN1018" s="139"/>
      <c r="AO1018" s="139"/>
      <c r="AP1018" s="139"/>
      <c r="AQ1018" s="139"/>
      <c r="AR1018" s="139"/>
      <c r="AS1018" s="139"/>
      <c r="AT1018" s="139"/>
      <c r="AU1018" s="139"/>
      <c r="AV1018" s="139"/>
      <c r="AW1018" s="139"/>
      <c r="AX1018" s="139"/>
      <c r="AY1018" s="139"/>
      <c r="AZ1018" s="139"/>
      <c r="BA1018" s="139"/>
      <c r="BB1018" s="139"/>
      <c r="BC1018" s="139"/>
      <c r="BD1018" s="139"/>
      <c r="BE1018" s="139"/>
      <c r="BF1018" s="139"/>
      <c r="BG1018" s="139"/>
      <c r="BH1018" s="139"/>
    </row>
    <row r="1019" spans="2:60" s="11" customFormat="1" ht="20.100000000000001" customHeight="1">
      <c r="B1019" s="1360"/>
      <c r="C1019" s="5598"/>
      <c r="D1019" s="9584" t="s">
        <v>796</v>
      </c>
      <c r="E1019" s="9585"/>
      <c r="F1019" s="285" t="s">
        <v>732</v>
      </c>
      <c r="G1019" s="386"/>
      <c r="H1019" s="141"/>
      <c r="I1019" s="9584" t="s">
        <v>797</v>
      </c>
      <c r="J1019" s="9585"/>
      <c r="K1019" s="285" t="s">
        <v>734</v>
      </c>
      <c r="L1019" s="2265">
        <f>IF(COUNTBLANK(L1020:L1025)&gt;0,"미취합법인有",SUM(L1020:L1025))</f>
        <v>3951</v>
      </c>
      <c r="M1019" s="5980"/>
      <c r="N1019" s="5981">
        <f>IF(COUNTBLANK(N1020:N1025)&gt;0,"미취합법인有",SUM(N1020:N1025))</f>
        <v>4852</v>
      </c>
      <c r="O1019" s="5982"/>
      <c r="P1019" s="5781">
        <f>IF(COUNTBLANK(P1020:P1025)&gt;0,"미취합법인有",SUM(P1020:P1025))</f>
        <v>4695</v>
      </c>
      <c r="Q1019" s="785"/>
      <c r="R1019" s="498" t="s">
        <v>798</v>
      </c>
      <c r="S1019" s="367" t="s">
        <v>799</v>
      </c>
      <c r="T1019" s="99" t="s">
        <v>758</v>
      </c>
      <c r="U1019" s="547" t="s">
        <v>800</v>
      </c>
      <c r="V1019" s="547"/>
      <c r="W1019" s="665"/>
      <c r="X1019" s="620" t="s">
        <v>793</v>
      </c>
      <c r="Y1019" s="664" t="s">
        <v>794</v>
      </c>
      <c r="Z1019" s="159" t="s">
        <v>795</v>
      </c>
      <c r="AA1019" s="6301"/>
      <c r="AB1019" s="139"/>
      <c r="AC1019" s="139"/>
      <c r="AD1019" s="139"/>
      <c r="AE1019" s="139"/>
      <c r="AF1019" s="139"/>
      <c r="AG1019" s="139"/>
      <c r="AH1019" s="139"/>
      <c r="AI1019" s="139"/>
      <c r="AJ1019" s="139"/>
      <c r="AK1019" s="139"/>
      <c r="AL1019" s="139"/>
      <c r="AM1019" s="139"/>
      <c r="AN1019" s="139"/>
      <c r="AO1019" s="139"/>
      <c r="AP1019" s="139"/>
      <c r="AQ1019" s="139"/>
      <c r="AR1019" s="139"/>
      <c r="AS1019" s="139"/>
      <c r="AT1019" s="139"/>
      <c r="AU1019" s="139"/>
      <c r="AV1019" s="139"/>
      <c r="AW1019" s="139"/>
      <c r="AX1019" s="139"/>
      <c r="AY1019" s="139"/>
      <c r="AZ1019" s="139"/>
      <c r="BA1019" s="139"/>
      <c r="BB1019" s="139"/>
      <c r="BC1019" s="139"/>
      <c r="BD1019" s="139"/>
      <c r="BE1019" s="139"/>
      <c r="BF1019" s="139"/>
      <c r="BG1019" s="139"/>
      <c r="BH1019" s="139"/>
    </row>
    <row r="1020" spans="2:60" s="11" customFormat="1" ht="20.100000000000001" customHeight="1">
      <c r="B1020" s="1360"/>
      <c r="C1020" s="5598"/>
      <c r="D1020" s="9598" t="s">
        <v>134</v>
      </c>
      <c r="E1020" s="9600"/>
      <c r="F1020" s="492" t="s">
        <v>732</v>
      </c>
      <c r="G1020" s="666"/>
      <c r="H1020" s="684"/>
      <c r="I1020" s="9579" t="s">
        <v>135</v>
      </c>
      <c r="J1020" s="9581"/>
      <c r="K1020" s="285" t="s">
        <v>734</v>
      </c>
      <c r="L1020" s="5594">
        <v>1678</v>
      </c>
      <c r="M1020" s="5672" t="s">
        <v>746</v>
      </c>
      <c r="N1020" s="5601">
        <v>2124</v>
      </c>
      <c r="O1020" s="5724" t="s">
        <v>747</v>
      </c>
      <c r="P1020" s="5947">
        <v>2101</v>
      </c>
      <c r="Q1020" s="5948" t="s">
        <v>746</v>
      </c>
      <c r="R1020" s="4849"/>
      <c r="S1020" s="544"/>
      <c r="T1020" s="545"/>
      <c r="U1020" s="546"/>
      <c r="V1020" s="547"/>
      <c r="W1020" s="548"/>
      <c r="X1020" s="277"/>
      <c r="Y1020" s="277"/>
      <c r="Z1020" s="187"/>
      <c r="AA1020" s="6301"/>
      <c r="AB1020" s="139"/>
      <c r="AC1020" s="139"/>
      <c r="AD1020" s="139"/>
      <c r="AE1020" s="139"/>
      <c r="AF1020" s="139"/>
      <c r="AG1020" s="139"/>
      <c r="AH1020" s="139"/>
      <c r="AI1020" s="139"/>
      <c r="AJ1020" s="139"/>
      <c r="AK1020" s="139"/>
      <c r="AL1020" s="139"/>
      <c r="AM1020" s="139"/>
      <c r="AN1020" s="139"/>
      <c r="AO1020" s="139"/>
      <c r="AP1020" s="139"/>
      <c r="AQ1020" s="139"/>
      <c r="AR1020" s="139"/>
      <c r="AS1020" s="139"/>
      <c r="AT1020" s="139"/>
      <c r="AU1020" s="139"/>
      <c r="AV1020" s="139"/>
      <c r="AW1020" s="139"/>
      <c r="AX1020" s="139"/>
      <c r="AY1020" s="139"/>
      <c r="AZ1020" s="139"/>
      <c r="BA1020" s="139"/>
      <c r="BB1020" s="139"/>
      <c r="BC1020" s="139"/>
      <c r="BD1020" s="139"/>
      <c r="BE1020" s="139"/>
      <c r="BF1020" s="139"/>
      <c r="BG1020" s="139"/>
      <c r="BH1020" s="139"/>
    </row>
    <row r="1021" spans="2:60" s="11" customFormat="1" ht="20.100000000000001" customHeight="1">
      <c r="B1021" s="1360"/>
      <c r="C1021" s="5598"/>
      <c r="D1021" s="9598" t="s">
        <v>137</v>
      </c>
      <c r="E1021" s="9600"/>
      <c r="F1021" s="492" t="s">
        <v>732</v>
      </c>
      <c r="G1021" s="666"/>
      <c r="H1021" s="684"/>
      <c r="I1021" s="9579" t="s">
        <v>138</v>
      </c>
      <c r="J1021" s="9581"/>
      <c r="K1021" s="285" t="s">
        <v>734</v>
      </c>
      <c r="L1021" s="5594">
        <v>134</v>
      </c>
      <c r="M1021" s="5672"/>
      <c r="N1021" s="5601">
        <v>154</v>
      </c>
      <c r="O1021" s="5724"/>
      <c r="P1021" s="1814">
        <v>147</v>
      </c>
      <c r="Q1021" s="5948"/>
      <c r="R1021" s="2468"/>
      <c r="S1021" s="544"/>
      <c r="T1021" s="545"/>
      <c r="U1021" s="546"/>
      <c r="V1021" s="547"/>
      <c r="W1021" s="548"/>
      <c r="X1021" s="277"/>
      <c r="Y1021" s="277"/>
      <c r="Z1021" s="187"/>
      <c r="AA1021" s="6301"/>
      <c r="AB1021" s="139"/>
      <c r="AC1021" s="139"/>
      <c r="AD1021" s="139"/>
      <c r="AE1021" s="139"/>
      <c r="AF1021" s="139"/>
      <c r="AG1021" s="139"/>
      <c r="AH1021" s="139"/>
      <c r="AI1021" s="139"/>
      <c r="AJ1021" s="139"/>
      <c r="AK1021" s="139"/>
      <c r="AL1021" s="139"/>
      <c r="AM1021" s="139"/>
      <c r="AN1021" s="139"/>
      <c r="AO1021" s="139"/>
      <c r="AP1021" s="139"/>
      <c r="AQ1021" s="139"/>
      <c r="AR1021" s="139"/>
      <c r="AS1021" s="139"/>
      <c r="AT1021" s="139"/>
      <c r="AU1021" s="139"/>
      <c r="AV1021" s="139"/>
      <c r="AW1021" s="139"/>
      <c r="AX1021" s="139"/>
      <c r="AY1021" s="139"/>
      <c r="AZ1021" s="139"/>
      <c r="BA1021" s="139"/>
      <c r="BB1021" s="139"/>
      <c r="BC1021" s="139"/>
      <c r="BD1021" s="139"/>
      <c r="BE1021" s="139"/>
      <c r="BF1021" s="139"/>
      <c r="BG1021" s="139"/>
      <c r="BH1021" s="139"/>
    </row>
    <row r="1022" spans="2:60" s="11" customFormat="1" ht="20.100000000000001" customHeight="1">
      <c r="B1022" s="1360"/>
      <c r="C1022" s="5598"/>
      <c r="D1022" s="9598" t="s">
        <v>140</v>
      </c>
      <c r="E1022" s="9600"/>
      <c r="F1022" s="492" t="s">
        <v>732</v>
      </c>
      <c r="G1022" s="666"/>
      <c r="H1022" s="684"/>
      <c r="I1022" s="9582" t="s">
        <v>141</v>
      </c>
      <c r="J1022" s="9583"/>
      <c r="K1022" s="285" t="s">
        <v>734</v>
      </c>
      <c r="L1022" s="5594">
        <v>541</v>
      </c>
      <c r="M1022" s="5672" t="s">
        <v>748</v>
      </c>
      <c r="N1022" s="5601">
        <v>452</v>
      </c>
      <c r="O1022" s="5724" t="s">
        <v>748</v>
      </c>
      <c r="P1022" s="1814">
        <v>372</v>
      </c>
      <c r="Q1022" s="5949" t="s">
        <v>748</v>
      </c>
      <c r="R1022" s="2468"/>
      <c r="S1022" s="544"/>
      <c r="T1022" s="545"/>
      <c r="U1022" s="546"/>
      <c r="V1022" s="547"/>
      <c r="W1022" s="548"/>
      <c r="X1022" s="277"/>
      <c r="Y1022" s="277"/>
      <c r="Z1022" s="187"/>
      <c r="AA1022" s="6301"/>
      <c r="AB1022" s="139"/>
      <c r="AC1022" s="139"/>
      <c r="AD1022" s="139"/>
      <c r="AE1022" s="139"/>
      <c r="AF1022" s="139"/>
      <c r="AG1022" s="139"/>
      <c r="AH1022" s="139"/>
      <c r="AI1022" s="139"/>
      <c r="AJ1022" s="139"/>
      <c r="AK1022" s="139"/>
      <c r="AL1022" s="139"/>
      <c r="AM1022" s="139"/>
      <c r="AN1022" s="139"/>
      <c r="AO1022" s="139"/>
      <c r="AP1022" s="139"/>
      <c r="AQ1022" s="139"/>
      <c r="AR1022" s="139"/>
      <c r="AS1022" s="139"/>
      <c r="AT1022" s="139"/>
      <c r="AU1022" s="139"/>
      <c r="AV1022" s="139"/>
      <c r="AW1022" s="139"/>
      <c r="AX1022" s="139"/>
      <c r="AY1022" s="139"/>
      <c r="AZ1022" s="139"/>
      <c r="BA1022" s="139"/>
      <c r="BB1022" s="139"/>
      <c r="BC1022" s="139"/>
      <c r="BD1022" s="139"/>
      <c r="BE1022" s="139"/>
      <c r="BF1022" s="139"/>
      <c r="BG1022" s="139"/>
      <c r="BH1022" s="139"/>
    </row>
    <row r="1023" spans="2:60" s="11" customFormat="1" ht="20.100000000000001" customHeight="1">
      <c r="B1023" s="1360"/>
      <c r="C1023" s="5598"/>
      <c r="D1023" s="9598" t="s">
        <v>143</v>
      </c>
      <c r="E1023" s="9600"/>
      <c r="F1023" s="492" t="s">
        <v>732</v>
      </c>
      <c r="G1023" s="666"/>
      <c r="H1023" s="684"/>
      <c r="I1023" s="9582" t="s">
        <v>144</v>
      </c>
      <c r="J1023" s="9583"/>
      <c r="K1023" s="285" t="s">
        <v>734</v>
      </c>
      <c r="L1023" s="5594">
        <v>568</v>
      </c>
      <c r="M1023" s="5672" t="s">
        <v>801</v>
      </c>
      <c r="N1023" s="5601">
        <v>1195</v>
      </c>
      <c r="O1023" s="5724" t="s">
        <v>801</v>
      </c>
      <c r="P1023" s="1814">
        <v>1190</v>
      </c>
      <c r="Q1023" s="5948"/>
      <c r="R1023" s="2468"/>
      <c r="S1023" s="544"/>
      <c r="T1023" s="545"/>
      <c r="U1023" s="546"/>
      <c r="V1023" s="547"/>
      <c r="W1023" s="548"/>
      <c r="X1023" s="277"/>
      <c r="Y1023" s="277"/>
      <c r="Z1023" s="187"/>
      <c r="AA1023" s="6301"/>
      <c r="AB1023" s="139"/>
      <c r="AC1023" s="139"/>
      <c r="AD1023" s="139"/>
      <c r="AE1023" s="139"/>
      <c r="AF1023" s="139"/>
      <c r="AG1023" s="139"/>
      <c r="AH1023" s="139"/>
      <c r="AI1023" s="139"/>
      <c r="AJ1023" s="139"/>
      <c r="AK1023" s="139"/>
      <c r="AL1023" s="139"/>
      <c r="AM1023" s="139"/>
      <c r="AN1023" s="139"/>
      <c r="AO1023" s="139"/>
      <c r="AP1023" s="139"/>
      <c r="AQ1023" s="139"/>
      <c r="AR1023" s="139"/>
      <c r="AS1023" s="139"/>
      <c r="AT1023" s="139"/>
      <c r="AU1023" s="139"/>
      <c r="AV1023" s="139"/>
      <c r="AW1023" s="139"/>
      <c r="AX1023" s="139"/>
      <c r="AY1023" s="139"/>
      <c r="AZ1023" s="139"/>
      <c r="BA1023" s="139"/>
      <c r="BB1023" s="139"/>
      <c r="BC1023" s="139"/>
      <c r="BD1023" s="139"/>
      <c r="BE1023" s="139"/>
      <c r="BF1023" s="139"/>
      <c r="BG1023" s="139"/>
      <c r="BH1023" s="139"/>
    </row>
    <row r="1024" spans="2:60" s="11" customFormat="1" ht="20.100000000000001" customHeight="1">
      <c r="B1024" s="1360"/>
      <c r="C1024" s="5598"/>
      <c r="D1024" s="9598" t="s">
        <v>631</v>
      </c>
      <c r="E1024" s="9600"/>
      <c r="F1024" s="492" t="s">
        <v>732</v>
      </c>
      <c r="G1024" s="666"/>
      <c r="H1024" s="684"/>
      <c r="I1024" s="9582" t="s">
        <v>147</v>
      </c>
      <c r="J1024" s="9583"/>
      <c r="K1024" s="285" t="s">
        <v>734</v>
      </c>
      <c r="L1024" s="5594">
        <v>293</v>
      </c>
      <c r="M1024" s="5672" t="s">
        <v>751</v>
      </c>
      <c r="N1024" s="5601">
        <v>281</v>
      </c>
      <c r="O1024" s="5724" t="s">
        <v>751</v>
      </c>
      <c r="P1024" s="1814">
        <v>288</v>
      </c>
      <c r="Q1024" s="5948"/>
      <c r="R1024" s="2468"/>
      <c r="S1024" s="544"/>
      <c r="T1024" s="545"/>
      <c r="U1024" s="546"/>
      <c r="V1024" s="547"/>
      <c r="W1024" s="548"/>
      <c r="X1024" s="277"/>
      <c r="Y1024" s="277"/>
      <c r="Z1024" s="187"/>
      <c r="AA1024" s="6301"/>
      <c r="AB1024" s="139"/>
      <c r="AC1024" s="139"/>
      <c r="AD1024" s="139"/>
      <c r="AE1024" s="139"/>
      <c r="AF1024" s="139"/>
      <c r="AG1024" s="139"/>
      <c r="AH1024" s="139"/>
      <c r="AI1024" s="139"/>
      <c r="AJ1024" s="139"/>
      <c r="AK1024" s="139"/>
      <c r="AL1024" s="139"/>
      <c r="AM1024" s="139"/>
      <c r="AN1024" s="139"/>
      <c r="AO1024" s="139"/>
      <c r="AP1024" s="139"/>
      <c r="AQ1024" s="139"/>
      <c r="AR1024" s="139"/>
      <c r="AS1024" s="139"/>
      <c r="AT1024" s="139"/>
      <c r="AU1024" s="139"/>
      <c r="AV1024" s="139"/>
      <c r="AW1024" s="139"/>
      <c r="AX1024" s="139"/>
      <c r="AY1024" s="139"/>
      <c r="AZ1024" s="139"/>
      <c r="BA1024" s="139"/>
      <c r="BB1024" s="139"/>
      <c r="BC1024" s="139"/>
      <c r="BD1024" s="139"/>
      <c r="BE1024" s="139"/>
      <c r="BF1024" s="139"/>
      <c r="BG1024" s="139"/>
      <c r="BH1024" s="139"/>
    </row>
    <row r="1025" spans="1:32" ht="20.100000000000001" customHeight="1">
      <c r="A1025" s="11"/>
      <c r="B1025" s="1360"/>
      <c r="C1025" s="5598"/>
      <c r="D1025" s="9598" t="s">
        <v>633</v>
      </c>
      <c r="E1025" s="9600"/>
      <c r="F1025" s="492" t="s">
        <v>732</v>
      </c>
      <c r="G1025" s="666"/>
      <c r="H1025" s="684"/>
      <c r="I1025" s="9582" t="s">
        <v>150</v>
      </c>
      <c r="J1025" s="9583"/>
      <c r="K1025" s="285" t="s">
        <v>734</v>
      </c>
      <c r="L1025" s="5594">
        <v>737</v>
      </c>
      <c r="M1025" s="5672"/>
      <c r="N1025" s="5601">
        <v>646</v>
      </c>
      <c r="O1025" s="5724"/>
      <c r="P1025" s="1814">
        <v>597</v>
      </c>
      <c r="Q1025" s="5948"/>
      <c r="R1025" s="2468"/>
      <c r="S1025" s="544"/>
      <c r="T1025" s="545"/>
      <c r="U1025" s="546"/>
      <c r="V1025" s="547"/>
      <c r="W1025" s="548"/>
      <c r="X1025" s="277"/>
      <c r="Y1025" s="277"/>
      <c r="Z1025" s="187"/>
    </row>
    <row r="1026" spans="1:32" ht="19.899999999999999" customHeight="1">
      <c r="A1026" s="11"/>
      <c r="B1026" s="1360"/>
      <c r="C1026" s="5598"/>
      <c r="D1026" s="9584" t="s">
        <v>802</v>
      </c>
      <c r="E1026" s="9585"/>
      <c r="F1026" s="285" t="s">
        <v>732</v>
      </c>
      <c r="G1026" s="386"/>
      <c r="H1026" s="141"/>
      <c r="I1026" s="9584" t="s">
        <v>803</v>
      </c>
      <c r="J1026" s="9585"/>
      <c r="K1026" s="285" t="s">
        <v>734</v>
      </c>
      <c r="L1026" s="5783">
        <f>IF(COUNTBLANK(L1027:L1032)&gt;0,"미취합법인有",SUM(L1027:L1032))</f>
        <v>3653</v>
      </c>
      <c r="M1026" s="5784"/>
      <c r="N1026" s="5785">
        <f>IF(COUNTBLANK(N1027:N1032)&gt;0,"미취합법인有",SUM(N1027:N1032))</f>
        <v>4773</v>
      </c>
      <c r="O1026" s="5786"/>
      <c r="P1026" s="5787">
        <f>IF(COUNTBLANK(P1027:P1032)&gt;0,"미취합법인有",SUM(P1027:P1032))</f>
        <v>4937</v>
      </c>
      <c r="Q1026" s="6120"/>
      <c r="R1026" s="498" t="s">
        <v>798</v>
      </c>
      <c r="S1026" s="367" t="s">
        <v>799</v>
      </c>
      <c r="T1026" s="99" t="s">
        <v>758</v>
      </c>
      <c r="U1026" s="547" t="s">
        <v>800</v>
      </c>
      <c r="V1026" s="547"/>
      <c r="W1026" s="665"/>
      <c r="X1026" s="620" t="s">
        <v>793</v>
      </c>
      <c r="Y1026" s="620" t="s">
        <v>740</v>
      </c>
      <c r="Z1026" s="159" t="s">
        <v>795</v>
      </c>
    </row>
    <row r="1027" spans="1:32" ht="20.100000000000001" customHeight="1">
      <c r="A1027" s="11"/>
      <c r="B1027" s="1360"/>
      <c r="C1027" s="5598"/>
      <c r="D1027" s="9598" t="s">
        <v>134</v>
      </c>
      <c r="E1027" s="9600"/>
      <c r="F1027" s="492" t="s">
        <v>732</v>
      </c>
      <c r="G1027" s="666"/>
      <c r="H1027" s="684"/>
      <c r="I1027" s="9579" t="s">
        <v>135</v>
      </c>
      <c r="J1027" s="9581"/>
      <c r="K1027" s="285" t="s">
        <v>734</v>
      </c>
      <c r="L1027" s="5594">
        <v>1923</v>
      </c>
      <c r="M1027" s="5672" t="s">
        <v>746</v>
      </c>
      <c r="N1027" s="5601">
        <v>2378</v>
      </c>
      <c r="O1027" s="5724" t="s">
        <v>747</v>
      </c>
      <c r="P1027" s="5947">
        <v>2583</v>
      </c>
      <c r="Q1027" s="5948" t="s">
        <v>746</v>
      </c>
      <c r="R1027" s="2468"/>
      <c r="S1027" s="544"/>
      <c r="T1027" s="545"/>
      <c r="U1027" s="546"/>
      <c r="V1027" s="547"/>
      <c r="W1027" s="548"/>
      <c r="X1027" s="277"/>
      <c r="Y1027" s="277"/>
      <c r="Z1027" s="187"/>
    </row>
    <row r="1028" spans="1:32" ht="20.100000000000001" customHeight="1">
      <c r="A1028" s="11"/>
      <c r="B1028" s="1360"/>
      <c r="C1028" s="5598"/>
      <c r="D1028" s="9598" t="s">
        <v>137</v>
      </c>
      <c r="E1028" s="9600"/>
      <c r="F1028" s="492" t="s">
        <v>732</v>
      </c>
      <c r="G1028" s="666"/>
      <c r="H1028" s="684"/>
      <c r="I1028" s="9579" t="s">
        <v>138</v>
      </c>
      <c r="J1028" s="9581"/>
      <c r="K1028" s="285" t="s">
        <v>734</v>
      </c>
      <c r="L1028" s="5594">
        <v>49</v>
      </c>
      <c r="M1028" s="5672"/>
      <c r="N1028" s="5601">
        <v>77</v>
      </c>
      <c r="O1028" s="5724"/>
      <c r="P1028" s="1814">
        <v>102</v>
      </c>
      <c r="Q1028" s="5948"/>
      <c r="R1028" s="2468"/>
      <c r="S1028" s="544"/>
      <c r="T1028" s="545"/>
      <c r="U1028" s="546"/>
      <c r="V1028" s="547"/>
      <c r="W1028" s="548"/>
      <c r="X1028" s="277"/>
      <c r="Y1028" s="277"/>
      <c r="Z1028" s="187"/>
    </row>
    <row r="1029" spans="1:32" ht="20.100000000000001" customHeight="1">
      <c r="A1029" s="11"/>
      <c r="B1029" s="1360"/>
      <c r="C1029" s="5598"/>
      <c r="D1029" s="9598" t="s">
        <v>140</v>
      </c>
      <c r="E1029" s="9600"/>
      <c r="F1029" s="492" t="s">
        <v>732</v>
      </c>
      <c r="G1029" s="666"/>
      <c r="H1029" s="684"/>
      <c r="I1029" s="9582" t="s">
        <v>141</v>
      </c>
      <c r="J1029" s="9583"/>
      <c r="K1029" s="285" t="s">
        <v>734</v>
      </c>
      <c r="L1029" s="5594">
        <v>513</v>
      </c>
      <c r="M1029" s="5672" t="s">
        <v>748</v>
      </c>
      <c r="N1029" s="5601">
        <v>457</v>
      </c>
      <c r="O1029" s="5724" t="s">
        <v>748</v>
      </c>
      <c r="P1029" s="1814">
        <v>378</v>
      </c>
      <c r="Q1029" s="5949" t="s">
        <v>748</v>
      </c>
      <c r="R1029" s="2468"/>
      <c r="S1029" s="544"/>
      <c r="T1029" s="545"/>
      <c r="U1029" s="546"/>
      <c r="V1029" s="547"/>
      <c r="W1029" s="548"/>
      <c r="X1029" s="277"/>
      <c r="Y1029" s="277"/>
      <c r="Z1029" s="187"/>
    </row>
    <row r="1030" spans="1:32" ht="20.100000000000001" customHeight="1">
      <c r="A1030" s="11"/>
      <c r="B1030" s="1360"/>
      <c r="C1030" s="5598"/>
      <c r="D1030" s="9598" t="s">
        <v>143</v>
      </c>
      <c r="E1030" s="9600"/>
      <c r="F1030" s="492" t="s">
        <v>732</v>
      </c>
      <c r="G1030" s="666"/>
      <c r="H1030" s="684"/>
      <c r="I1030" s="9582" t="s">
        <v>144</v>
      </c>
      <c r="J1030" s="9583"/>
      <c r="K1030" s="285" t="s">
        <v>734</v>
      </c>
      <c r="L1030" s="5594">
        <v>537</v>
      </c>
      <c r="M1030" s="5672" t="s">
        <v>801</v>
      </c>
      <c r="N1030" s="5601">
        <v>1251</v>
      </c>
      <c r="O1030" s="5724" t="s">
        <v>801</v>
      </c>
      <c r="P1030" s="1814">
        <v>1288</v>
      </c>
      <c r="Q1030" s="5948"/>
      <c r="R1030" s="2468"/>
      <c r="S1030" s="544"/>
      <c r="T1030" s="545"/>
      <c r="U1030" s="546"/>
      <c r="V1030" s="547"/>
      <c r="W1030" s="548"/>
      <c r="X1030" s="277"/>
      <c r="Y1030" s="277"/>
      <c r="Z1030" s="187"/>
    </row>
    <row r="1031" spans="1:32" ht="20.100000000000001" customHeight="1">
      <c r="A1031" s="11"/>
      <c r="B1031" s="1360"/>
      <c r="C1031" s="5598"/>
      <c r="D1031" s="9598" t="s">
        <v>631</v>
      </c>
      <c r="E1031" s="9600"/>
      <c r="F1031" s="492" t="s">
        <v>732</v>
      </c>
      <c r="G1031" s="666"/>
      <c r="H1031" s="684"/>
      <c r="I1031" s="9582" t="s">
        <v>147</v>
      </c>
      <c r="J1031" s="9583"/>
      <c r="K1031" s="285" t="s">
        <v>734</v>
      </c>
      <c r="L1031" s="5789">
        <v>88</v>
      </c>
      <c r="M1031" s="5951" t="s">
        <v>804</v>
      </c>
      <c r="N1031" s="5790">
        <v>112</v>
      </c>
      <c r="O1031" s="5951" t="s">
        <v>804</v>
      </c>
      <c r="P1031" s="6367">
        <v>124</v>
      </c>
      <c r="Q1031" s="5948"/>
      <c r="R1031" s="2468"/>
      <c r="S1031" s="544"/>
      <c r="T1031" s="545"/>
      <c r="U1031" s="546"/>
      <c r="V1031" s="547"/>
      <c r="W1031" s="548"/>
      <c r="X1031" s="277"/>
      <c r="Y1031" s="277"/>
      <c r="Z1031" s="187"/>
    </row>
    <row r="1032" spans="1:32" ht="20.100000000000001" customHeight="1">
      <c r="A1032" s="11"/>
      <c r="B1032" s="1360"/>
      <c r="C1032" s="5598"/>
      <c r="D1032" s="9598" t="s">
        <v>633</v>
      </c>
      <c r="E1032" s="9600"/>
      <c r="F1032" s="492" t="s">
        <v>732</v>
      </c>
      <c r="G1032" s="666"/>
      <c r="H1032" s="684"/>
      <c r="I1032" s="9582" t="s">
        <v>150</v>
      </c>
      <c r="J1032" s="9583"/>
      <c r="K1032" s="285" t="s">
        <v>734</v>
      </c>
      <c r="L1032" s="5594">
        <v>543</v>
      </c>
      <c r="M1032" s="5672"/>
      <c r="N1032" s="5601">
        <v>498</v>
      </c>
      <c r="O1032" s="5952"/>
      <c r="P1032" s="5601">
        <v>462</v>
      </c>
      <c r="Q1032" s="5948"/>
      <c r="R1032" s="2468"/>
      <c r="S1032" s="544"/>
      <c r="T1032" s="545"/>
      <c r="U1032" s="546"/>
      <c r="V1032" s="547"/>
      <c r="W1032" s="548"/>
      <c r="X1032" s="277"/>
      <c r="Y1032" s="277"/>
      <c r="Z1032" s="187"/>
    </row>
    <row r="1033" spans="1:32" ht="19.899999999999999" customHeight="1">
      <c r="A1033" s="11"/>
      <c r="B1033" s="1360"/>
      <c r="C1033" s="407" t="s">
        <v>805</v>
      </c>
      <c r="D1033" s="728"/>
      <c r="E1033" s="727"/>
      <c r="F1033" s="1573"/>
      <c r="G1033" s="667"/>
      <c r="H1033" s="668" t="s">
        <v>806</v>
      </c>
      <c r="I1033" s="669"/>
      <c r="J1033" s="670"/>
      <c r="K1033" s="4584" t="s">
        <v>168</v>
      </c>
      <c r="L1033" s="5618"/>
      <c r="M1033" s="5950"/>
      <c r="N1033" s="5950"/>
      <c r="O1033" s="5953"/>
      <c r="P1033" s="5950"/>
      <c r="Q1033" s="5950"/>
      <c r="R1033" s="4849"/>
      <c r="S1033" s="367"/>
      <c r="T1033" s="99" t="s">
        <v>758</v>
      </c>
      <c r="U1033" s="547"/>
      <c r="V1033" s="547"/>
      <c r="W1033" s="665"/>
      <c r="X1033" s="620"/>
      <c r="Y1033" s="672" t="s">
        <v>807</v>
      </c>
      <c r="Z1033" s="673" t="s">
        <v>795</v>
      </c>
    </row>
    <row r="1034" spans="1:32" ht="20.100000000000001" customHeight="1">
      <c r="A1034"/>
      <c r="B1034" s="1360"/>
      <c r="C1034" s="5598"/>
      <c r="D1034" s="9584" t="s">
        <v>796</v>
      </c>
      <c r="E1034" s="9585"/>
      <c r="F1034" s="674" t="s">
        <v>156</v>
      </c>
      <c r="G1034" s="6132"/>
      <c r="H1034" s="6165"/>
      <c r="I1034" s="9584" t="s">
        <v>808</v>
      </c>
      <c r="J1034" s="9585"/>
      <c r="K1034" s="674" t="s">
        <v>156</v>
      </c>
      <c r="L1034" s="5983">
        <f>IF(COUNTBLANK(L1035:L1040)&gt;0,"미취합법인有",AVERAGE(L1035:L1040))</f>
        <v>69.551518862818071</v>
      </c>
      <c r="M1034" s="5784"/>
      <c r="N1034" s="5785">
        <f>IF(COUNTBLANK(N1035:N1040)&gt;0,"미취합법인有",AVERAGE(N1035:N1040))</f>
        <v>71.091675024501797</v>
      </c>
      <c r="O1034" s="5786"/>
      <c r="P1034" s="5787">
        <f>IF(COUNTBLANK(P1035:P1040)&gt;0,"미취합법인有",AVERAGE(P1035:P1040))</f>
        <v>70.649908194744924</v>
      </c>
      <c r="Q1034" s="6120"/>
      <c r="R1034" s="4849" t="s">
        <v>809</v>
      </c>
      <c r="S1034" s="6050" t="s">
        <v>810</v>
      </c>
      <c r="T1034" s="99" t="s">
        <v>758</v>
      </c>
      <c r="U1034" s="681" t="s">
        <v>800</v>
      </c>
      <c r="V1034" s="681"/>
      <c r="W1034" s="665"/>
      <c r="X1034" s="620"/>
      <c r="Y1034" s="672" t="s">
        <v>807</v>
      </c>
      <c r="Z1034" s="673" t="s">
        <v>795</v>
      </c>
      <c r="AB1034" s="6403"/>
    </row>
    <row r="1035" spans="1:32" ht="20.100000000000001" customHeight="1">
      <c r="A1035" s="11"/>
      <c r="B1035" s="1360"/>
      <c r="C1035" s="5598"/>
      <c r="D1035" s="9598" t="s">
        <v>134</v>
      </c>
      <c r="E1035" s="9600"/>
      <c r="F1035" s="674" t="s">
        <v>156</v>
      </c>
      <c r="G1035" s="666"/>
      <c r="H1035" s="684"/>
      <c r="I1035" s="9579" t="s">
        <v>135</v>
      </c>
      <c r="J1035" s="9581"/>
      <c r="K1035" s="674" t="s">
        <v>156</v>
      </c>
      <c r="L1035" s="6368">
        <v>80</v>
      </c>
      <c r="M1035" s="6369"/>
      <c r="N1035" s="6370">
        <v>100</v>
      </c>
      <c r="O1035" s="6371" t="s">
        <v>747</v>
      </c>
      <c r="P1035" s="6473">
        <v>100</v>
      </c>
      <c r="Q1035" s="5947" t="s">
        <v>747</v>
      </c>
      <c r="R1035" s="2468"/>
      <c r="S1035" s="544"/>
      <c r="T1035" s="545"/>
      <c r="U1035" s="546"/>
      <c r="V1035" s="547"/>
      <c r="W1035" s="548"/>
      <c r="X1035" s="277"/>
      <c r="Y1035" s="277"/>
      <c r="Z1035" s="187"/>
    </row>
    <row r="1036" spans="1:32" ht="20.100000000000001" customHeight="1">
      <c r="A1036" s="11"/>
      <c r="B1036" s="1360"/>
      <c r="C1036" s="5598"/>
      <c r="D1036" s="9598" t="s">
        <v>137</v>
      </c>
      <c r="E1036" s="9600"/>
      <c r="F1036" s="674" t="s">
        <v>156</v>
      </c>
      <c r="G1036" s="666"/>
      <c r="H1036" s="684"/>
      <c r="I1036" s="9579" t="s">
        <v>138</v>
      </c>
      <c r="J1036" s="9581"/>
      <c r="K1036" s="674" t="s">
        <v>156</v>
      </c>
      <c r="L1036" s="6507">
        <v>100</v>
      </c>
      <c r="M1036" s="6369"/>
      <c r="N1036" s="6518">
        <v>100</v>
      </c>
      <c r="O1036" s="6372"/>
      <c r="P1036" s="6473">
        <v>100</v>
      </c>
      <c r="Q1036" s="1461"/>
      <c r="R1036" s="2468"/>
      <c r="S1036" s="544"/>
      <c r="T1036" s="545"/>
      <c r="U1036" s="546"/>
      <c r="V1036" s="547"/>
      <c r="W1036" s="548"/>
      <c r="X1036" s="277"/>
      <c r="Y1036" s="277"/>
      <c r="Z1036" s="187"/>
      <c r="AA1036" s="6159"/>
      <c r="AB1036" s="6403"/>
      <c r="AC1036" s="6403"/>
      <c r="AD1036" s="6403"/>
      <c r="AE1036" s="6403"/>
      <c r="AF1036" s="6403"/>
    </row>
    <row r="1037" spans="1:32" ht="20.100000000000001" customHeight="1">
      <c r="A1037" s="11"/>
      <c r="B1037" s="1360"/>
      <c r="C1037" s="5598"/>
      <c r="D1037" s="9598" t="s">
        <v>140</v>
      </c>
      <c r="E1037" s="9600"/>
      <c r="F1037" s="674" t="s">
        <v>156</v>
      </c>
      <c r="G1037" s="666"/>
      <c r="H1037" s="684"/>
      <c r="I1037" s="9582" t="s">
        <v>141</v>
      </c>
      <c r="J1037" s="9583"/>
      <c r="K1037" s="674" t="s">
        <v>156</v>
      </c>
      <c r="L1037" s="6368">
        <v>51.328273244781784</v>
      </c>
      <c r="M1037" s="6369"/>
      <c r="N1037" s="6370">
        <v>49.724972497249723</v>
      </c>
      <c r="O1037" s="6372"/>
      <c r="P1037" s="6369">
        <v>49.6</v>
      </c>
      <c r="Q1037" s="1461"/>
      <c r="R1037" s="2468"/>
      <c r="S1037" s="544"/>
      <c r="T1037" s="545"/>
      <c r="U1037" s="546"/>
      <c r="V1037" s="547"/>
      <c r="W1037" s="548"/>
      <c r="X1037" s="277"/>
      <c r="Y1037" s="277"/>
      <c r="Z1037" s="187"/>
      <c r="AB1037" s="6403"/>
      <c r="AC1037" s="6403"/>
      <c r="AD1037" s="6403"/>
      <c r="AE1037" s="6403"/>
      <c r="AF1037" s="6403"/>
    </row>
    <row r="1038" spans="1:32" ht="20.100000000000001" customHeight="1">
      <c r="A1038" s="11"/>
      <c r="B1038" s="1360"/>
      <c r="C1038" s="5598"/>
      <c r="D1038" s="9598" t="s">
        <v>143</v>
      </c>
      <c r="E1038" s="9600"/>
      <c r="F1038" s="674" t="s">
        <v>156</v>
      </c>
      <c r="G1038" s="666"/>
      <c r="H1038" s="684"/>
      <c r="I1038" s="9582" t="s">
        <v>144</v>
      </c>
      <c r="J1038" s="9583"/>
      <c r="K1038" s="674" t="s">
        <v>156</v>
      </c>
      <c r="L1038" s="6368">
        <v>51.402714932126692</v>
      </c>
      <c r="M1038" s="6369"/>
      <c r="N1038" s="6370">
        <v>48.855273916598527</v>
      </c>
      <c r="O1038" s="6372"/>
      <c r="P1038" s="6369">
        <v>48.022598870056498</v>
      </c>
      <c r="Q1038" s="1461"/>
      <c r="R1038" s="2468"/>
      <c r="S1038" s="544"/>
      <c r="T1038" s="545"/>
      <c r="U1038" s="546"/>
      <c r="V1038" s="547"/>
      <c r="W1038" s="548"/>
      <c r="X1038" s="277"/>
      <c r="Y1038" s="277"/>
      <c r="Z1038" s="187"/>
      <c r="AB1038" s="6403"/>
      <c r="AC1038" s="6403"/>
      <c r="AD1038" s="6403"/>
      <c r="AE1038" s="6403"/>
      <c r="AF1038" s="6403"/>
    </row>
    <row r="1039" spans="1:32" ht="20.100000000000001" customHeight="1">
      <c r="A1039" s="11"/>
      <c r="B1039" s="1360"/>
      <c r="C1039" s="5598"/>
      <c r="D1039" s="9598" t="s">
        <v>631</v>
      </c>
      <c r="E1039" s="9600"/>
      <c r="F1039" s="674" t="s">
        <v>156</v>
      </c>
      <c r="G1039" s="666"/>
      <c r="H1039" s="684"/>
      <c r="I1039" s="9582" t="s">
        <v>147</v>
      </c>
      <c r="J1039" s="9583"/>
      <c r="K1039" s="674" t="s">
        <v>156</v>
      </c>
      <c r="L1039" s="6368">
        <v>77</v>
      </c>
      <c r="M1039" s="6372"/>
      <c r="N1039" s="6370">
        <v>71.501272264631041</v>
      </c>
      <c r="O1039" s="6372"/>
      <c r="P1039" s="6369">
        <v>69.902912621359221</v>
      </c>
      <c r="Q1039" s="1461"/>
      <c r="R1039" s="2468"/>
      <c r="S1039" s="544"/>
      <c r="T1039" s="5846"/>
      <c r="U1039" s="546"/>
      <c r="V1039" s="547"/>
      <c r="W1039" s="548"/>
      <c r="X1039" s="277"/>
      <c r="Y1039" s="277"/>
      <c r="Z1039" s="187"/>
      <c r="AB1039" s="6403"/>
      <c r="AC1039" s="6403"/>
      <c r="AD1039" s="6403"/>
      <c r="AE1039" s="6403"/>
      <c r="AF1039" s="6403"/>
    </row>
    <row r="1040" spans="1:32" ht="20.100000000000001" customHeight="1">
      <c r="A1040" s="11"/>
      <c r="B1040" s="1360"/>
      <c r="C1040" s="5598"/>
      <c r="D1040" s="9598" t="s">
        <v>633</v>
      </c>
      <c r="E1040" s="9600"/>
      <c r="F1040" s="674" t="s">
        <v>156</v>
      </c>
      <c r="G1040" s="666"/>
      <c r="H1040" s="684"/>
      <c r="I1040" s="9582" t="s">
        <v>150</v>
      </c>
      <c r="J1040" s="9583"/>
      <c r="K1040" s="674" t="s">
        <v>156</v>
      </c>
      <c r="L1040" s="6368">
        <v>57.578125</v>
      </c>
      <c r="M1040" s="6372"/>
      <c r="N1040" s="6370">
        <v>56.468531468531467</v>
      </c>
      <c r="O1040" s="6372"/>
      <c r="P1040" s="6369">
        <v>56.373937677053817</v>
      </c>
      <c r="Q1040" s="1461"/>
      <c r="R1040" s="2468"/>
      <c r="S1040" s="544"/>
      <c r="T1040" s="5846"/>
      <c r="U1040" s="546"/>
      <c r="V1040" s="547"/>
      <c r="W1040" s="548"/>
      <c r="X1040" s="277"/>
      <c r="Y1040" s="277"/>
      <c r="Z1040" s="187"/>
      <c r="AB1040" s="6403"/>
      <c r="AC1040" s="6403"/>
      <c r="AD1040" s="6403"/>
      <c r="AE1040" s="6403"/>
      <c r="AF1040" s="6403"/>
    </row>
    <row r="1041" spans="1:32" ht="20.100000000000001" customHeight="1">
      <c r="A1041"/>
      <c r="B1041" s="1360"/>
      <c r="C1041" s="5598"/>
      <c r="D1041" s="9584" t="s">
        <v>802</v>
      </c>
      <c r="E1041" s="9585"/>
      <c r="F1041" s="674" t="s">
        <v>156</v>
      </c>
      <c r="G1041" s="6132"/>
      <c r="H1041" s="6165"/>
      <c r="I1041" s="9584" t="s">
        <v>811</v>
      </c>
      <c r="J1041" s="9585"/>
      <c r="K1041" s="674" t="s">
        <v>156</v>
      </c>
      <c r="L1041" s="5983">
        <f>IF(COUNTBLANK(L1042:L1047)&gt;0,"미취합법인有",AVERAGE(L1042:L1047))</f>
        <v>30.46466661399732</v>
      </c>
      <c r="M1041" s="5784"/>
      <c r="N1041" s="5785">
        <f>IF(COUNTBLANK(N1042:N1047)&gt;0,"미취합법인有",AVERAGE(N1042:N1047))</f>
        <v>28.908324975498207</v>
      </c>
      <c r="O1041" s="5786"/>
      <c r="P1041" s="5787">
        <f>IF(COUNTBLANK(P1042:P1047)&gt;0,"미취합법인有",AVERAGE(P1042:P1047))</f>
        <v>29.350091805255076</v>
      </c>
      <c r="Q1041" s="6120"/>
      <c r="R1041" s="4849" t="s">
        <v>812</v>
      </c>
      <c r="S1041" s="6050" t="s">
        <v>813</v>
      </c>
      <c r="T1041" s="99" t="s">
        <v>758</v>
      </c>
      <c r="U1041" s="681" t="s">
        <v>800</v>
      </c>
      <c r="V1041" s="681"/>
      <c r="W1041" s="665"/>
      <c r="X1041" s="620"/>
      <c r="Y1041" s="672" t="s">
        <v>807</v>
      </c>
      <c r="Z1041" s="673" t="s">
        <v>795</v>
      </c>
      <c r="AB1041" s="6403"/>
      <c r="AC1041" s="6403"/>
      <c r="AD1041" s="6403"/>
      <c r="AE1041" s="6403"/>
      <c r="AF1041" s="6403"/>
    </row>
    <row r="1042" spans="1:32" ht="20.100000000000001" customHeight="1">
      <c r="A1042" s="11"/>
      <c r="B1042" s="1360"/>
      <c r="C1042" s="5598"/>
      <c r="D1042" s="9598" t="s">
        <v>134</v>
      </c>
      <c r="E1042" s="9600"/>
      <c r="F1042" s="674" t="s">
        <v>156</v>
      </c>
      <c r="G1042" s="666"/>
      <c r="H1042" s="684"/>
      <c r="I1042" s="9579" t="s">
        <v>135</v>
      </c>
      <c r="J1042" s="9581"/>
      <c r="K1042" s="674" t="s">
        <v>156</v>
      </c>
      <c r="L1042" s="6368">
        <v>20</v>
      </c>
      <c r="M1042" s="6369"/>
      <c r="N1042" s="6373">
        <v>0</v>
      </c>
      <c r="O1042" s="6371" t="s">
        <v>747</v>
      </c>
      <c r="P1042" s="6472">
        <v>0</v>
      </c>
      <c r="Q1042" s="5947" t="s">
        <v>747</v>
      </c>
      <c r="R1042" s="2468"/>
      <c r="S1042" s="544"/>
      <c r="T1042" s="5846"/>
      <c r="U1042" s="546"/>
      <c r="V1042" s="547"/>
      <c r="W1042" s="548"/>
      <c r="X1042" s="277"/>
      <c r="Y1042" s="277"/>
      <c r="Z1042" s="187"/>
      <c r="AB1042" s="6403"/>
      <c r="AC1042" s="6403"/>
      <c r="AD1042" s="6403"/>
      <c r="AE1042" s="6403"/>
      <c r="AF1042" s="6403"/>
    </row>
    <row r="1043" spans="1:32" ht="20.100000000000001" customHeight="1">
      <c r="A1043" s="11"/>
      <c r="B1043" s="1360"/>
      <c r="C1043" s="5598"/>
      <c r="D1043" s="9598" t="s">
        <v>137</v>
      </c>
      <c r="E1043" s="9600"/>
      <c r="F1043" s="674" t="s">
        <v>156</v>
      </c>
      <c r="G1043" s="666"/>
      <c r="H1043" s="684"/>
      <c r="I1043" s="9579" t="s">
        <v>138</v>
      </c>
      <c r="J1043" s="9581"/>
      <c r="K1043" s="674" t="s">
        <v>156</v>
      </c>
      <c r="L1043" s="6507">
        <v>0</v>
      </c>
      <c r="M1043" s="6369"/>
      <c r="N1043" s="6473">
        <v>0</v>
      </c>
      <c r="O1043" s="6371"/>
      <c r="P1043" s="6473">
        <v>0</v>
      </c>
      <c r="Q1043" s="5947"/>
      <c r="R1043" s="2468"/>
      <c r="S1043" s="544"/>
      <c r="T1043" s="5846"/>
      <c r="U1043" s="546"/>
      <c r="V1043" s="547"/>
      <c r="W1043" s="548"/>
      <c r="X1043" s="277"/>
      <c r="Y1043" s="277"/>
      <c r="Z1043" s="187"/>
      <c r="AA1043" s="6159"/>
      <c r="AB1043" s="6403"/>
      <c r="AC1043" s="6403"/>
      <c r="AD1043" s="6403"/>
      <c r="AE1043" s="6403"/>
      <c r="AF1043" s="6403"/>
    </row>
    <row r="1044" spans="1:32" ht="20.100000000000001" customHeight="1">
      <c r="A1044" s="11"/>
      <c r="B1044" s="1360"/>
      <c r="C1044" s="5598"/>
      <c r="D1044" s="9598" t="s">
        <v>140</v>
      </c>
      <c r="E1044" s="9600"/>
      <c r="F1044" s="674" t="s">
        <v>156</v>
      </c>
      <c r="G1044" s="666"/>
      <c r="H1044" s="684"/>
      <c r="I1044" s="9582" t="s">
        <v>141</v>
      </c>
      <c r="J1044" s="9583"/>
      <c r="K1044" s="674" t="s">
        <v>156</v>
      </c>
      <c r="L1044" s="6368">
        <v>48.671726755218216</v>
      </c>
      <c r="M1044" s="6369"/>
      <c r="N1044" s="6370">
        <v>50.275027502750277</v>
      </c>
      <c r="O1044" s="6371"/>
      <c r="P1044" s="6369">
        <v>50.4</v>
      </c>
      <c r="Q1044" s="5947"/>
      <c r="R1044" s="2468"/>
      <c r="S1044" s="544"/>
      <c r="T1044" s="5846"/>
      <c r="U1044" s="546"/>
      <c r="V1044" s="547"/>
      <c r="W1044" s="548"/>
      <c r="X1044" s="277"/>
      <c r="Y1044" s="277"/>
      <c r="Z1044" s="187"/>
      <c r="AB1044" s="6403"/>
      <c r="AC1044" s="6403"/>
      <c r="AD1044" s="6403"/>
      <c r="AE1044" s="6403"/>
      <c r="AF1044" s="6403"/>
    </row>
    <row r="1045" spans="1:32" ht="20.100000000000001" customHeight="1">
      <c r="A1045" s="11"/>
      <c r="B1045" s="1360"/>
      <c r="C1045" s="5598"/>
      <c r="D1045" s="9598" t="s">
        <v>143</v>
      </c>
      <c r="E1045" s="9600"/>
      <c r="F1045" s="674" t="s">
        <v>156</v>
      </c>
      <c r="G1045" s="666"/>
      <c r="H1045" s="684"/>
      <c r="I1045" s="9582" t="s">
        <v>144</v>
      </c>
      <c r="J1045" s="9583"/>
      <c r="K1045" s="674" t="s">
        <v>156</v>
      </c>
      <c r="L1045" s="6368">
        <v>48.597285067873301</v>
      </c>
      <c r="M1045" s="6369"/>
      <c r="N1045" s="6370">
        <v>51.144726083401473</v>
      </c>
      <c r="O1045" s="6371"/>
      <c r="P1045" s="6369">
        <v>51.977401129943502</v>
      </c>
      <c r="Q1045" s="5947"/>
      <c r="R1045" s="2468"/>
      <c r="S1045" s="544"/>
      <c r="T1045" s="5846"/>
      <c r="U1045" s="546"/>
      <c r="V1045" s="547"/>
      <c r="W1045" s="548"/>
      <c r="X1045" s="277"/>
      <c r="Y1045" s="277"/>
      <c r="Z1045" s="187"/>
      <c r="AB1045" s="6403"/>
      <c r="AC1045" s="6403"/>
      <c r="AD1045" s="6403"/>
      <c r="AE1045" s="6403"/>
      <c r="AF1045" s="6403"/>
    </row>
    <row r="1046" spans="1:32" ht="20.100000000000001" customHeight="1">
      <c r="A1046" s="11"/>
      <c r="B1046" s="1360"/>
      <c r="C1046" s="5598"/>
      <c r="D1046" s="9598" t="s">
        <v>631</v>
      </c>
      <c r="E1046" s="9600"/>
      <c r="F1046" s="674" t="s">
        <v>156</v>
      </c>
      <c r="G1046" s="666"/>
      <c r="H1046" s="684"/>
      <c r="I1046" s="9582" t="s">
        <v>147</v>
      </c>
      <c r="J1046" s="9583"/>
      <c r="K1046" s="674" t="s">
        <v>156</v>
      </c>
      <c r="L1046" s="6368">
        <v>23.097112860892388</v>
      </c>
      <c r="M1046" s="6372"/>
      <c r="N1046" s="6370">
        <v>28.498727735368956</v>
      </c>
      <c r="O1046" s="6372"/>
      <c r="P1046" s="6369">
        <v>30.097087378640776</v>
      </c>
      <c r="Q1046" s="5947"/>
      <c r="R1046" s="2468"/>
      <c r="S1046" s="4849"/>
      <c r="T1046" s="5846"/>
      <c r="U1046" s="546"/>
      <c r="V1046" s="547"/>
      <c r="W1046" s="548"/>
      <c r="X1046" s="277"/>
      <c r="Y1046" s="277"/>
      <c r="Z1046" s="187"/>
      <c r="AB1046" s="6403"/>
      <c r="AC1046" s="6403"/>
      <c r="AD1046" s="6403"/>
      <c r="AE1046" s="6403"/>
      <c r="AF1046" s="6403"/>
    </row>
    <row r="1047" spans="1:32" ht="20.100000000000001" customHeight="1">
      <c r="A1047" s="11"/>
      <c r="B1047" s="1360"/>
      <c r="C1047" s="5598"/>
      <c r="D1047" s="9598" t="s">
        <v>633</v>
      </c>
      <c r="E1047" s="9600"/>
      <c r="F1047" s="674" t="s">
        <v>156</v>
      </c>
      <c r="G1047" s="666"/>
      <c r="H1047" s="684"/>
      <c r="I1047" s="9582" t="s">
        <v>150</v>
      </c>
      <c r="J1047" s="9583"/>
      <c r="K1047" s="674" t="s">
        <v>156</v>
      </c>
      <c r="L1047" s="6368">
        <v>42.421875</v>
      </c>
      <c r="M1047" s="6372"/>
      <c r="N1047" s="6370">
        <v>43.531468531468533</v>
      </c>
      <c r="O1047" s="6372"/>
      <c r="P1047" s="6370">
        <v>43.626062322946176</v>
      </c>
      <c r="Q1047" s="5947"/>
      <c r="R1047" s="2468"/>
      <c r="S1047" s="4849"/>
      <c r="T1047" s="5846"/>
      <c r="U1047" s="546"/>
      <c r="V1047" s="547"/>
      <c r="W1047" s="548"/>
      <c r="X1047" s="277"/>
      <c r="Y1047" s="277"/>
      <c r="Z1047" s="187"/>
      <c r="AB1047" s="6403"/>
      <c r="AC1047" s="6403"/>
      <c r="AD1047" s="6403"/>
      <c r="AE1047" s="6403"/>
      <c r="AF1047" s="6403"/>
    </row>
    <row r="1048" spans="1:32" ht="20.100000000000001" customHeight="1">
      <c r="A1048"/>
      <c r="B1048" s="1353"/>
      <c r="C1048" s="744" t="s">
        <v>814</v>
      </c>
      <c r="D1048" s="728"/>
      <c r="E1048" s="728"/>
      <c r="F1048" s="1573"/>
      <c r="G1048" s="685"/>
      <c r="H1048" s="686" t="s">
        <v>815</v>
      </c>
      <c r="I1048" s="669"/>
      <c r="J1048" s="670"/>
      <c r="K1048" s="4584" t="s">
        <v>168</v>
      </c>
      <c r="L1048" s="5618"/>
      <c r="M1048" s="5950"/>
      <c r="N1048" s="5950"/>
      <c r="O1048" s="5953"/>
      <c r="P1048" s="5950"/>
      <c r="Q1048" s="5950"/>
      <c r="R1048" s="4849"/>
      <c r="S1048" s="4849"/>
      <c r="T1048" s="5846" t="s">
        <v>758</v>
      </c>
      <c r="U1048" s="547"/>
      <c r="V1048" s="681"/>
      <c r="W1048" s="299" t="s">
        <v>193</v>
      </c>
      <c r="X1048" s="620"/>
      <c r="Y1048" s="265"/>
      <c r="Z1048" s="159"/>
      <c r="AB1048" s="6403"/>
      <c r="AC1048" s="6403"/>
      <c r="AD1048" s="6403"/>
      <c r="AE1048" s="6403"/>
      <c r="AF1048" s="6403"/>
    </row>
    <row r="1049" spans="1:32" ht="15.6" customHeight="1">
      <c r="A1049" s="11"/>
      <c r="B1049" s="1360"/>
      <c r="C1049" s="5598"/>
      <c r="D1049" s="9584" t="s">
        <v>796</v>
      </c>
      <c r="E1049" s="9585"/>
      <c r="F1049" s="285" t="s">
        <v>156</v>
      </c>
      <c r="G1049" s="358"/>
      <c r="H1049" s="643"/>
      <c r="I1049" s="9584" t="s">
        <v>808</v>
      </c>
      <c r="J1049" s="9585"/>
      <c r="K1049" s="285" t="s">
        <v>156</v>
      </c>
      <c r="L1049" s="5968" t="str">
        <f>IF(COUNTBLANK(L1050:L1055)&gt;0,"미취합법인有",AVERAGE(L1050:L1055))</f>
        <v>미취합법인有</v>
      </c>
      <c r="M1049" s="5657"/>
      <c r="N1049" s="5654" t="str">
        <f>IF(COUNTBLANK(N1050:N1055)&gt;0,"미취합법인有",AVERAGE(N1050:N1055))</f>
        <v>미취합법인有</v>
      </c>
      <c r="O1049" s="5663"/>
      <c r="P1049" s="5781" t="str">
        <f>IF(COUNTBLANK(P1050:P1055)&gt;0,"미취합법인有",AVERAGE(P1050:P1055))</f>
        <v>미취합법인有</v>
      </c>
      <c r="Q1049" s="785"/>
      <c r="R1049" s="4849" t="s">
        <v>816</v>
      </c>
      <c r="S1049" s="4849" t="s">
        <v>817</v>
      </c>
      <c r="T1049" s="5846" t="s">
        <v>758</v>
      </c>
      <c r="U1049" s="547"/>
      <c r="V1049" s="547"/>
      <c r="W1049" s="299" t="s">
        <v>193</v>
      </c>
      <c r="X1049" s="620"/>
      <c r="Y1049" s="694"/>
      <c r="Z1049" s="159" t="s">
        <v>795</v>
      </c>
    </row>
    <row r="1050" spans="1:32" ht="20.100000000000001" customHeight="1">
      <c r="A1050" s="11"/>
      <c r="B1050" s="1360"/>
      <c r="C1050" s="5598"/>
      <c r="D1050" s="9598" t="s">
        <v>134</v>
      </c>
      <c r="E1050" s="9600"/>
      <c r="F1050" s="674" t="s">
        <v>156</v>
      </c>
      <c r="G1050" s="666"/>
      <c r="H1050" s="684"/>
      <c r="I1050" s="9579" t="s">
        <v>135</v>
      </c>
      <c r="J1050" s="9581"/>
      <c r="K1050" s="285" t="s">
        <v>156</v>
      </c>
      <c r="L1050" s="5956" t="s">
        <v>168</v>
      </c>
      <c r="M1050" s="6374" t="s">
        <v>818</v>
      </c>
      <c r="N1050" s="5601" t="s">
        <v>168</v>
      </c>
      <c r="O1050" s="6374" t="s">
        <v>818</v>
      </c>
      <c r="P1050" s="5601" t="s">
        <v>168</v>
      </c>
      <c r="Q1050" s="6374" t="s">
        <v>818</v>
      </c>
      <c r="R1050" s="2468"/>
      <c r="S1050" s="4849"/>
      <c r="T1050" s="5846"/>
      <c r="U1050" s="546"/>
      <c r="V1050" s="547"/>
      <c r="W1050" s="299" t="s">
        <v>193</v>
      </c>
      <c r="X1050" s="277"/>
      <c r="Y1050" s="277"/>
      <c r="Z1050" s="187"/>
    </row>
    <row r="1051" spans="1:32" ht="20.100000000000001" customHeight="1">
      <c r="A1051" s="11"/>
      <c r="B1051" s="1360"/>
      <c r="C1051" s="5598"/>
      <c r="D1051" s="9598" t="s">
        <v>137</v>
      </c>
      <c r="E1051" s="9600"/>
      <c r="F1051" s="674" t="s">
        <v>156</v>
      </c>
      <c r="G1051" s="666"/>
      <c r="H1051" s="684"/>
      <c r="I1051" s="9579" t="s">
        <v>138</v>
      </c>
      <c r="J1051" s="9581"/>
      <c r="K1051" s="285" t="s">
        <v>156</v>
      </c>
      <c r="L1051" s="5956" t="s">
        <v>168</v>
      </c>
      <c r="M1051" s="6374" t="s">
        <v>818</v>
      </c>
      <c r="N1051" s="5601" t="s">
        <v>168</v>
      </c>
      <c r="O1051" s="6374" t="s">
        <v>818</v>
      </c>
      <c r="P1051" s="5601" t="s">
        <v>168</v>
      </c>
      <c r="Q1051" s="6374" t="s">
        <v>818</v>
      </c>
      <c r="R1051" s="2468"/>
      <c r="S1051" s="4849"/>
      <c r="T1051" s="5846"/>
      <c r="U1051" s="546"/>
      <c r="V1051" s="547"/>
      <c r="W1051" s="299" t="s">
        <v>193</v>
      </c>
      <c r="X1051" s="277"/>
      <c r="Y1051" s="277"/>
      <c r="Z1051" s="187"/>
    </row>
    <row r="1052" spans="1:32" ht="20.100000000000001" customHeight="1">
      <c r="A1052" s="11"/>
      <c r="B1052" s="1360"/>
      <c r="C1052" s="5598"/>
      <c r="D1052" s="9598" t="s">
        <v>140</v>
      </c>
      <c r="E1052" s="9600"/>
      <c r="F1052" s="674" t="s">
        <v>156</v>
      </c>
      <c r="G1052" s="666"/>
      <c r="H1052" s="684"/>
      <c r="I1052" s="9582" t="s">
        <v>141</v>
      </c>
      <c r="J1052" s="9583"/>
      <c r="K1052" s="285" t="s">
        <v>156</v>
      </c>
      <c r="L1052" s="6375">
        <f>0.513282732447818*100</f>
        <v>51.328273244781798</v>
      </c>
      <c r="M1052" s="6376"/>
      <c r="N1052" s="6376">
        <f>0.497249724972497*100</f>
        <v>49.724972497249695</v>
      </c>
      <c r="O1052" s="6377"/>
      <c r="P1052" s="6376">
        <f>0.496*100</f>
        <v>49.6</v>
      </c>
      <c r="Q1052" s="6081"/>
      <c r="R1052" s="2468"/>
      <c r="S1052" s="4849"/>
      <c r="T1052" s="5846"/>
      <c r="U1052" s="546"/>
      <c r="V1052" s="547"/>
      <c r="W1052" s="299" t="s">
        <v>193</v>
      </c>
      <c r="X1052" s="277"/>
      <c r="Y1052" s="277"/>
      <c r="Z1052" s="187"/>
    </row>
    <row r="1053" spans="1:32" ht="20.100000000000001" customHeight="1">
      <c r="A1053" s="11"/>
      <c r="B1053" s="1360"/>
      <c r="C1053" s="5598"/>
      <c r="D1053" s="9598" t="s">
        <v>143</v>
      </c>
      <c r="E1053" s="9600"/>
      <c r="F1053" s="674" t="s">
        <v>156</v>
      </c>
      <c r="G1053" s="666"/>
      <c r="H1053" s="684"/>
      <c r="I1053" s="9582" t="s">
        <v>144</v>
      </c>
      <c r="J1053" s="9583"/>
      <c r="K1053" s="285" t="s">
        <v>156</v>
      </c>
      <c r="L1053" s="6375"/>
      <c r="M1053" s="6376"/>
      <c r="N1053" s="6378"/>
      <c r="O1053" s="6378"/>
      <c r="P1053" s="6376"/>
      <c r="Q1053" s="6081"/>
      <c r="R1053" s="2468"/>
      <c r="S1053" s="4849"/>
      <c r="T1053" s="5846"/>
      <c r="U1053" s="546"/>
      <c r="V1053" s="547"/>
      <c r="W1053" s="299" t="s">
        <v>193</v>
      </c>
      <c r="X1053" s="277"/>
      <c r="Y1053" s="277"/>
      <c r="Z1053" s="187"/>
    </row>
    <row r="1054" spans="1:32" ht="20.100000000000001" customHeight="1">
      <c r="A1054" s="11"/>
      <c r="B1054" s="1360"/>
      <c r="C1054" s="5598"/>
      <c r="D1054" s="9598" t="s">
        <v>631</v>
      </c>
      <c r="E1054" s="9600"/>
      <c r="F1054" s="674" t="s">
        <v>156</v>
      </c>
      <c r="G1054" s="666"/>
      <c r="H1054" s="684"/>
      <c r="I1054" s="9582" t="s">
        <v>147</v>
      </c>
      <c r="J1054" s="9583"/>
      <c r="K1054" s="285" t="s">
        <v>156</v>
      </c>
      <c r="L1054" s="2429"/>
      <c r="M1054" s="516"/>
      <c r="N1054" s="5601"/>
      <c r="O1054" s="5601"/>
      <c r="P1054" s="516"/>
      <c r="Q1054" s="6081"/>
      <c r="R1054" s="2468"/>
      <c r="S1054" s="4849"/>
      <c r="T1054" s="5846"/>
      <c r="U1054" s="546"/>
      <c r="V1054" s="547"/>
      <c r="W1054" s="299" t="s">
        <v>193</v>
      </c>
      <c r="X1054" s="277"/>
      <c r="Y1054" s="277"/>
      <c r="Z1054" s="187"/>
    </row>
    <row r="1055" spans="1:32" ht="20.100000000000001" customHeight="1">
      <c r="A1055" s="11"/>
      <c r="B1055" s="1360"/>
      <c r="C1055" s="5598"/>
      <c r="D1055" s="9598" t="s">
        <v>633</v>
      </c>
      <c r="E1055" s="9600"/>
      <c r="F1055" s="674" t="s">
        <v>156</v>
      </c>
      <c r="G1055" s="666"/>
      <c r="H1055" s="684"/>
      <c r="I1055" s="9582" t="s">
        <v>150</v>
      </c>
      <c r="J1055" s="9583"/>
      <c r="K1055" s="285" t="s">
        <v>156</v>
      </c>
      <c r="L1055" s="2429"/>
      <c r="M1055" s="516"/>
      <c r="N1055" s="5601"/>
      <c r="O1055" s="5601"/>
      <c r="P1055" s="516"/>
      <c r="Q1055" s="6081"/>
      <c r="R1055" s="2468"/>
      <c r="S1055" s="4849"/>
      <c r="T1055" s="5846"/>
      <c r="U1055" s="546"/>
      <c r="V1055" s="547"/>
      <c r="W1055" s="299" t="s">
        <v>193</v>
      </c>
      <c r="X1055" s="277"/>
      <c r="Y1055" s="277"/>
      <c r="Z1055" s="187"/>
    </row>
    <row r="1056" spans="1:32" ht="17.45" customHeight="1">
      <c r="A1056" s="11"/>
      <c r="B1056" s="1360"/>
      <c r="C1056" s="5598"/>
      <c r="D1056" s="9584" t="s">
        <v>802</v>
      </c>
      <c r="E1056" s="9585"/>
      <c r="F1056" s="285" t="s">
        <v>156</v>
      </c>
      <c r="G1056" s="358"/>
      <c r="H1056" s="643"/>
      <c r="I1056" s="9584" t="s">
        <v>811</v>
      </c>
      <c r="J1056" s="9585"/>
      <c r="K1056" s="285" t="s">
        <v>156</v>
      </c>
      <c r="L1056" s="6379" t="str">
        <f>IF(COUNTBLANK(L1057:L1062)&gt;0,"미취합법인有",AVERAGE(L1057:L1062))</f>
        <v>미취합법인有</v>
      </c>
      <c r="M1056" s="5980"/>
      <c r="N1056" s="5981" t="str">
        <f>IF(COUNTBLANK(N1057:N1062)&gt;0,"미취합법인有",AVERAGE(N1057:N1062))</f>
        <v>미취합법인有</v>
      </c>
      <c r="O1056" s="5982"/>
      <c r="P1056" s="5781" t="str">
        <f>IF(COUNTBLANK(P1057:P1062)&gt;0,"미취합법인有",AVERAGE(P1057:P1062))</f>
        <v>미취합법인有</v>
      </c>
      <c r="Q1056" s="785"/>
      <c r="R1056" s="4849" t="s">
        <v>816</v>
      </c>
      <c r="S1056" s="4849" t="s">
        <v>819</v>
      </c>
      <c r="T1056" s="5846" t="s">
        <v>758</v>
      </c>
      <c r="U1056" s="547"/>
      <c r="V1056" s="547"/>
      <c r="W1056" s="299" t="s">
        <v>193</v>
      </c>
      <c r="X1056" s="620"/>
      <c r="Y1056" s="694"/>
      <c r="Z1056" s="159" t="s">
        <v>795</v>
      </c>
    </row>
    <row r="1057" spans="2:60" s="11" customFormat="1" ht="20.100000000000001" customHeight="1">
      <c r="B1057" s="1360"/>
      <c r="C1057" s="5598"/>
      <c r="D1057" s="9598" t="s">
        <v>134</v>
      </c>
      <c r="E1057" s="9600"/>
      <c r="F1057" s="674" t="s">
        <v>156</v>
      </c>
      <c r="G1057" s="666"/>
      <c r="H1057" s="684"/>
      <c r="I1057" s="9579" t="s">
        <v>135</v>
      </c>
      <c r="J1057" s="9581"/>
      <c r="K1057" s="285" t="s">
        <v>156</v>
      </c>
      <c r="L1057" s="5956" t="s">
        <v>168</v>
      </c>
      <c r="M1057" s="6374" t="s">
        <v>818</v>
      </c>
      <c r="N1057" s="5601" t="s">
        <v>168</v>
      </c>
      <c r="O1057" s="6374" t="s">
        <v>818</v>
      </c>
      <c r="P1057" s="6081" t="s">
        <v>168</v>
      </c>
      <c r="Q1057" s="6374" t="s">
        <v>818</v>
      </c>
      <c r="R1057" s="2468"/>
      <c r="S1057" s="4849"/>
      <c r="T1057" s="5846"/>
      <c r="U1057" s="546"/>
      <c r="V1057" s="547"/>
      <c r="W1057" s="299" t="s">
        <v>193</v>
      </c>
      <c r="X1057" s="277"/>
      <c r="Y1057" s="277"/>
      <c r="Z1057" s="187"/>
      <c r="AA1057" s="6301"/>
      <c r="AB1057" s="139"/>
      <c r="AC1057" s="139"/>
      <c r="AD1057" s="139"/>
      <c r="AE1057" s="139"/>
      <c r="AF1057" s="139"/>
      <c r="AG1057" s="139"/>
      <c r="AH1057" s="139"/>
      <c r="AI1057" s="139"/>
      <c r="AJ1057" s="139"/>
      <c r="AK1057" s="139"/>
      <c r="AL1057" s="139"/>
      <c r="AM1057" s="139"/>
      <c r="AN1057" s="139"/>
      <c r="AO1057" s="139"/>
      <c r="AP1057" s="139"/>
      <c r="AQ1057" s="139"/>
      <c r="AR1057" s="139"/>
      <c r="AS1057" s="139"/>
      <c r="AT1057" s="139"/>
      <c r="AU1057" s="139"/>
      <c r="AV1057" s="139"/>
      <c r="AW1057" s="139"/>
      <c r="AX1057" s="139"/>
      <c r="AY1057" s="139"/>
      <c r="AZ1057" s="139"/>
      <c r="BA1057" s="139"/>
      <c r="BB1057" s="139"/>
      <c r="BC1057" s="139"/>
      <c r="BD1057" s="139"/>
      <c r="BE1057" s="139"/>
      <c r="BF1057" s="139"/>
      <c r="BG1057" s="139"/>
      <c r="BH1057" s="139"/>
    </row>
    <row r="1058" spans="2:60" s="11" customFormat="1" ht="20.100000000000001" customHeight="1">
      <c r="B1058" s="1360"/>
      <c r="C1058" s="5598"/>
      <c r="D1058" s="9598" t="s">
        <v>137</v>
      </c>
      <c r="E1058" s="9600"/>
      <c r="F1058" s="674" t="s">
        <v>156</v>
      </c>
      <c r="G1058" s="666"/>
      <c r="H1058" s="684"/>
      <c r="I1058" s="9579" t="s">
        <v>138</v>
      </c>
      <c r="J1058" s="9581"/>
      <c r="K1058" s="285" t="s">
        <v>156</v>
      </c>
      <c r="L1058" s="5956" t="s">
        <v>168</v>
      </c>
      <c r="M1058" s="6374" t="s">
        <v>818</v>
      </c>
      <c r="N1058" s="5601" t="s">
        <v>168</v>
      </c>
      <c r="O1058" s="6374" t="s">
        <v>818</v>
      </c>
      <c r="P1058" s="5601" t="s">
        <v>168</v>
      </c>
      <c r="Q1058" s="6374" t="s">
        <v>818</v>
      </c>
      <c r="R1058" s="2468"/>
      <c r="S1058" s="4849"/>
      <c r="T1058" s="5846"/>
      <c r="U1058" s="546"/>
      <c r="V1058" s="547"/>
      <c r="W1058" s="299" t="s">
        <v>193</v>
      </c>
      <c r="X1058" s="277"/>
      <c r="Y1058" s="277"/>
      <c r="Z1058" s="187"/>
      <c r="AA1058" s="6301"/>
      <c r="AB1058" s="139"/>
      <c r="AC1058" s="139"/>
      <c r="AD1058" s="139"/>
      <c r="AE1058" s="139"/>
      <c r="AF1058" s="139"/>
      <c r="AG1058" s="139"/>
      <c r="AH1058" s="139"/>
      <c r="AI1058" s="139"/>
      <c r="AJ1058" s="139"/>
      <c r="AK1058" s="139"/>
      <c r="AL1058" s="139"/>
      <c r="AM1058" s="139"/>
      <c r="AN1058" s="139"/>
      <c r="AO1058" s="139"/>
      <c r="AP1058" s="139"/>
      <c r="AQ1058" s="139"/>
      <c r="AR1058" s="139"/>
      <c r="AS1058" s="139"/>
      <c r="AT1058" s="139"/>
      <c r="AU1058" s="139"/>
      <c r="AV1058" s="139"/>
      <c r="AW1058" s="139"/>
      <c r="AX1058" s="139"/>
      <c r="AY1058" s="139"/>
      <c r="AZ1058" s="139"/>
      <c r="BA1058" s="139"/>
      <c r="BB1058" s="139"/>
      <c r="BC1058" s="139"/>
      <c r="BD1058" s="139"/>
      <c r="BE1058" s="139"/>
      <c r="BF1058" s="139"/>
      <c r="BG1058" s="139"/>
      <c r="BH1058" s="139"/>
    </row>
    <row r="1059" spans="2:60" s="11" customFormat="1" ht="20.100000000000001" customHeight="1">
      <c r="B1059" s="1360"/>
      <c r="C1059" s="5598"/>
      <c r="D1059" s="9598" t="s">
        <v>140</v>
      </c>
      <c r="E1059" s="9600"/>
      <c r="F1059" s="674" t="s">
        <v>156</v>
      </c>
      <c r="G1059" s="666"/>
      <c r="H1059" s="684"/>
      <c r="I1059" s="9582" t="s">
        <v>141</v>
      </c>
      <c r="J1059" s="9583"/>
      <c r="K1059" s="285" t="s">
        <v>156</v>
      </c>
      <c r="L1059" s="6380">
        <f>0.486717267552182*100</f>
        <v>48.671726755218195</v>
      </c>
      <c r="M1059" s="6381"/>
      <c r="N1059" s="6376">
        <f>0.502750275027503*100</f>
        <v>50.275027502750305</v>
      </c>
      <c r="O1059" s="6378"/>
      <c r="P1059" s="6381">
        <f>0.504*100</f>
        <v>50.4</v>
      </c>
      <c r="Q1059" s="6081"/>
      <c r="R1059" s="2468"/>
      <c r="S1059" s="4849"/>
      <c r="T1059" s="5846"/>
      <c r="U1059" s="546"/>
      <c r="V1059" s="547"/>
      <c r="W1059" s="299" t="s">
        <v>193</v>
      </c>
      <c r="X1059" s="277"/>
      <c r="Y1059" s="277"/>
      <c r="Z1059" s="187"/>
      <c r="AA1059" s="6301"/>
      <c r="AB1059" s="139"/>
      <c r="AC1059" s="139"/>
      <c r="AD1059" s="139"/>
      <c r="AE1059" s="139"/>
      <c r="AF1059" s="139"/>
      <c r="AG1059" s="139"/>
      <c r="AH1059" s="139"/>
      <c r="AI1059" s="139"/>
      <c r="AJ1059" s="139"/>
      <c r="AK1059" s="139"/>
      <c r="AL1059" s="139"/>
      <c r="AM1059" s="139"/>
      <c r="AN1059" s="139"/>
      <c r="AO1059" s="139"/>
      <c r="AP1059" s="139"/>
      <c r="AQ1059" s="139"/>
      <c r="AR1059" s="139"/>
      <c r="AS1059" s="139"/>
      <c r="AT1059" s="139"/>
      <c r="AU1059" s="139"/>
      <c r="AV1059" s="139"/>
      <c r="AW1059" s="139"/>
      <c r="AX1059" s="139"/>
      <c r="AY1059" s="139"/>
      <c r="AZ1059" s="139"/>
      <c r="BA1059" s="139"/>
      <c r="BB1059" s="139"/>
      <c r="BC1059" s="139"/>
      <c r="BD1059" s="139"/>
      <c r="BE1059" s="139"/>
      <c r="BF1059" s="139"/>
      <c r="BG1059" s="139"/>
      <c r="BH1059" s="139"/>
    </row>
    <row r="1060" spans="2:60" s="11" customFormat="1" ht="20.100000000000001" customHeight="1">
      <c r="B1060" s="1360"/>
      <c r="C1060" s="5598"/>
      <c r="D1060" s="9598" t="s">
        <v>143</v>
      </c>
      <c r="E1060" s="9600"/>
      <c r="F1060" s="674" t="s">
        <v>156</v>
      </c>
      <c r="G1060" s="666"/>
      <c r="H1060" s="684"/>
      <c r="I1060" s="9582" t="s">
        <v>144</v>
      </c>
      <c r="J1060" s="9583"/>
      <c r="K1060" s="285" t="s">
        <v>156</v>
      </c>
      <c r="L1060" s="5594"/>
      <c r="M1060" s="1814"/>
      <c r="N1060" s="5601"/>
      <c r="O1060" s="5601"/>
      <c r="P1060" s="1814"/>
      <c r="Q1060" s="6081"/>
      <c r="R1060" s="2468"/>
      <c r="S1060" s="4849"/>
      <c r="T1060" s="5846"/>
      <c r="U1060" s="546"/>
      <c r="V1060" s="547"/>
      <c r="W1060" s="299" t="s">
        <v>193</v>
      </c>
      <c r="X1060" s="277"/>
      <c r="Y1060" s="277"/>
      <c r="Z1060" s="187"/>
      <c r="AA1060" s="6301"/>
      <c r="AB1060" s="139"/>
      <c r="AC1060" s="139"/>
      <c r="AD1060" s="139"/>
      <c r="AE1060" s="139"/>
      <c r="AF1060" s="139"/>
      <c r="AG1060" s="139"/>
      <c r="AH1060" s="139"/>
      <c r="AI1060" s="139"/>
      <c r="AJ1060" s="139"/>
      <c r="AK1060" s="139"/>
      <c r="AL1060" s="139"/>
      <c r="AM1060" s="139"/>
      <c r="AN1060" s="139"/>
      <c r="AO1060" s="139"/>
      <c r="AP1060" s="139"/>
      <c r="AQ1060" s="139"/>
      <c r="AR1060" s="139"/>
      <c r="AS1060" s="139"/>
      <c r="AT1060" s="139"/>
      <c r="AU1060" s="139"/>
      <c r="AV1060" s="139"/>
      <c r="AW1060" s="139"/>
      <c r="AX1060" s="139"/>
      <c r="AY1060" s="139"/>
      <c r="AZ1060" s="139"/>
      <c r="BA1060" s="139"/>
      <c r="BB1060" s="139"/>
      <c r="BC1060" s="139"/>
      <c r="BD1060" s="139"/>
      <c r="BE1060" s="139"/>
      <c r="BF1060" s="139"/>
      <c r="BG1060" s="139"/>
      <c r="BH1060" s="139"/>
    </row>
    <row r="1061" spans="2:60" s="11" customFormat="1" ht="20.100000000000001" customHeight="1">
      <c r="B1061" s="1360"/>
      <c r="C1061" s="5598"/>
      <c r="D1061" s="9598" t="s">
        <v>631</v>
      </c>
      <c r="E1061" s="9600"/>
      <c r="F1061" s="674" t="s">
        <v>156</v>
      </c>
      <c r="G1061" s="666"/>
      <c r="H1061" s="684"/>
      <c r="I1061" s="9582" t="s">
        <v>147</v>
      </c>
      <c r="J1061" s="9583"/>
      <c r="K1061" s="285" t="s">
        <v>156</v>
      </c>
      <c r="L1061" s="5594"/>
      <c r="M1061" s="1814"/>
      <c r="N1061" s="5601"/>
      <c r="O1061" s="5601"/>
      <c r="P1061" s="1814"/>
      <c r="Q1061" s="6081"/>
      <c r="R1061" s="2468"/>
      <c r="S1061" s="4849"/>
      <c r="T1061" s="5846"/>
      <c r="U1061" s="546"/>
      <c r="V1061" s="547"/>
      <c r="W1061" s="299" t="s">
        <v>193</v>
      </c>
      <c r="X1061" s="277"/>
      <c r="Y1061" s="277"/>
      <c r="Z1061" s="187"/>
      <c r="AA1061" s="6301"/>
      <c r="AB1061" s="139"/>
      <c r="AC1061" s="139"/>
      <c r="AD1061" s="139"/>
      <c r="AE1061" s="139"/>
      <c r="AF1061" s="139"/>
      <c r="AG1061" s="139"/>
      <c r="AH1061" s="139"/>
      <c r="AI1061" s="139"/>
      <c r="AJ1061" s="139"/>
      <c r="AK1061" s="139"/>
      <c r="AL1061" s="139"/>
      <c r="AM1061" s="139"/>
      <c r="AN1061" s="139"/>
      <c r="AO1061" s="139"/>
      <c r="AP1061" s="139"/>
      <c r="AQ1061" s="139"/>
      <c r="AR1061" s="139"/>
      <c r="AS1061" s="139"/>
      <c r="AT1061" s="139"/>
      <c r="AU1061" s="139"/>
      <c r="AV1061" s="139"/>
      <c r="AW1061" s="139"/>
      <c r="AX1061" s="139"/>
      <c r="AY1061" s="139"/>
      <c r="AZ1061" s="139"/>
      <c r="BA1061" s="139"/>
      <c r="BB1061" s="139"/>
      <c r="BC1061" s="139"/>
      <c r="BD1061" s="139"/>
      <c r="BE1061" s="139"/>
      <c r="BF1061" s="139"/>
      <c r="BG1061" s="139"/>
      <c r="BH1061" s="139"/>
    </row>
    <row r="1062" spans="2:60" s="11" customFormat="1" ht="20.100000000000001" customHeight="1">
      <c r="B1062" s="1360"/>
      <c r="C1062" s="5598"/>
      <c r="D1062" s="9598" t="s">
        <v>633</v>
      </c>
      <c r="E1062" s="9600"/>
      <c r="F1062" s="674" t="s">
        <v>156</v>
      </c>
      <c r="G1062" s="666"/>
      <c r="H1062" s="684"/>
      <c r="I1062" s="9582" t="s">
        <v>150</v>
      </c>
      <c r="J1062" s="9583"/>
      <c r="K1062" s="285" t="s">
        <v>156</v>
      </c>
      <c r="L1062" s="5594"/>
      <c r="M1062" s="1814"/>
      <c r="N1062" s="5601"/>
      <c r="O1062" s="5601"/>
      <c r="P1062" s="1814"/>
      <c r="Q1062" s="6081"/>
      <c r="R1062" s="2468"/>
      <c r="S1062" s="4849"/>
      <c r="T1062" s="5846"/>
      <c r="U1062" s="546"/>
      <c r="V1062" s="547"/>
      <c r="W1062" s="299" t="s">
        <v>193</v>
      </c>
      <c r="X1062" s="277"/>
      <c r="Y1062" s="277"/>
      <c r="Z1062" s="187"/>
      <c r="AA1062" s="6301"/>
      <c r="AB1062" s="139"/>
      <c r="AC1062" s="139"/>
      <c r="AD1062" s="139"/>
      <c r="AE1062" s="139"/>
      <c r="AF1062" s="139"/>
      <c r="AG1062" s="139"/>
      <c r="AH1062" s="139"/>
      <c r="AI1062" s="139"/>
      <c r="AJ1062" s="139"/>
      <c r="AK1062" s="139"/>
      <c r="AL1062" s="139"/>
      <c r="AM1062" s="139"/>
      <c r="AN1062" s="139"/>
      <c r="AO1062" s="139"/>
      <c r="AP1062" s="139"/>
      <c r="AQ1062" s="139"/>
      <c r="AR1062" s="139"/>
      <c r="AS1062" s="139"/>
      <c r="AT1062" s="139"/>
      <c r="AU1062" s="139"/>
      <c r="AV1062" s="139"/>
      <c r="AW1062" s="139"/>
      <c r="AX1062" s="139"/>
      <c r="AY1062" s="139"/>
      <c r="AZ1062" s="139"/>
      <c r="BA1062" s="139"/>
      <c r="BB1062" s="139"/>
      <c r="BC1062" s="139"/>
      <c r="BD1062" s="139"/>
      <c r="BE1062" s="139"/>
      <c r="BF1062" s="139"/>
      <c r="BG1062" s="139"/>
      <c r="BH1062" s="139"/>
    </row>
    <row r="1063" spans="2:60" s="11" customFormat="1" ht="20.100000000000001" customHeight="1">
      <c r="B1063" s="1662"/>
      <c r="C1063" s="9696" t="s">
        <v>820</v>
      </c>
      <c r="D1063" s="9697"/>
      <c r="E1063" s="9697"/>
      <c r="F1063" s="9698"/>
      <c r="G1063" s="685"/>
      <c r="H1063" s="9699" t="s">
        <v>821</v>
      </c>
      <c r="I1063" s="9700"/>
      <c r="J1063" s="9700"/>
      <c r="K1063" s="9701"/>
      <c r="L1063" s="6167"/>
      <c r="M1063" s="6168"/>
      <c r="N1063" s="6168"/>
      <c r="O1063" s="6168"/>
      <c r="P1063" s="6168"/>
      <c r="Q1063" s="6169"/>
      <c r="R1063" s="4849"/>
      <c r="S1063" s="4849"/>
      <c r="T1063" s="5846" t="s">
        <v>758</v>
      </c>
      <c r="U1063" s="547"/>
      <c r="V1063" s="547"/>
      <c r="W1063" s="665"/>
      <c r="X1063" s="620" t="s">
        <v>822</v>
      </c>
      <c r="Y1063" s="620" t="s">
        <v>740</v>
      </c>
      <c r="Z1063" s="159"/>
      <c r="AA1063" s="6301"/>
      <c r="AB1063" s="139"/>
      <c r="AC1063" s="139"/>
      <c r="AD1063" s="139"/>
      <c r="AE1063" s="139"/>
      <c r="AF1063" s="139"/>
      <c r="AG1063" s="139"/>
      <c r="AH1063" s="139"/>
      <c r="AI1063" s="139"/>
      <c r="AJ1063" s="139"/>
      <c r="AK1063" s="139"/>
      <c r="AL1063" s="139"/>
      <c r="AM1063" s="139"/>
      <c r="AN1063" s="139"/>
      <c r="AO1063" s="139"/>
      <c r="AP1063" s="139"/>
      <c r="AQ1063" s="139"/>
      <c r="AR1063" s="139"/>
      <c r="AS1063" s="139"/>
      <c r="AT1063" s="139"/>
      <c r="AU1063" s="139"/>
      <c r="AV1063" s="139"/>
      <c r="AW1063" s="139"/>
      <c r="AX1063" s="139"/>
      <c r="AY1063" s="139"/>
      <c r="AZ1063" s="139"/>
      <c r="BA1063" s="139"/>
      <c r="BB1063" s="139"/>
      <c r="BC1063" s="139"/>
      <c r="BD1063" s="139"/>
      <c r="BE1063" s="139"/>
      <c r="BF1063" s="139"/>
      <c r="BG1063" s="139"/>
      <c r="BH1063" s="139"/>
    </row>
    <row r="1064" spans="2:60" s="11" customFormat="1" ht="20.100000000000001" customHeight="1">
      <c r="B1064" s="1360"/>
      <c r="C1064" s="5598"/>
      <c r="D1064" s="9584" t="s">
        <v>823</v>
      </c>
      <c r="E1064" s="9585"/>
      <c r="F1064" s="285" t="s">
        <v>732</v>
      </c>
      <c r="G1064" s="666"/>
      <c r="H1064" s="684"/>
      <c r="I1064" s="9584" t="s">
        <v>824</v>
      </c>
      <c r="J1064" s="9585"/>
      <c r="K1064" s="285" t="s">
        <v>734</v>
      </c>
      <c r="L1064" s="5983">
        <f>IF(COUNTBLANK(L1065:L1070)&gt;0,"미취합법인有",SUM(L1065:L1070))</f>
        <v>4546</v>
      </c>
      <c r="M1064" s="5657"/>
      <c r="N1064" s="5785">
        <f>IF(COUNTBLANK(N1065:N1070)&gt;0,"미취합법인有",SUM(N1065:N1070))</f>
        <v>6620</v>
      </c>
      <c r="O1064" s="5663"/>
      <c r="P1064" s="5781">
        <f>IF(COUNTBLANK(P1065:P1070)&gt;0,"미취합법인有",SUM(P1065:P1070))</f>
        <v>6268</v>
      </c>
      <c r="Q1064" s="785"/>
      <c r="R1064" s="498" t="s">
        <v>825</v>
      </c>
      <c r="S1064" s="276" t="s">
        <v>826</v>
      </c>
      <c r="T1064" s="99" t="s">
        <v>758</v>
      </c>
      <c r="U1064" s="696" t="s">
        <v>738</v>
      </c>
      <c r="V1064" s="547"/>
      <c r="W1064" s="665"/>
      <c r="X1064" s="620" t="s">
        <v>822</v>
      </c>
      <c r="Y1064" s="620" t="s">
        <v>740</v>
      </c>
      <c r="Z1064" s="159"/>
      <c r="AA1064" s="6301"/>
      <c r="AB1064" s="139"/>
      <c r="AC1064" s="139"/>
      <c r="AD1064" s="139"/>
      <c r="AE1064" s="139"/>
      <c r="AF1064" s="139"/>
      <c r="AG1064" s="139"/>
      <c r="AH1064" s="139"/>
      <c r="AI1064" s="139"/>
      <c r="AJ1064" s="139"/>
      <c r="AK1064" s="139"/>
      <c r="AL1064" s="139"/>
      <c r="AM1064" s="139"/>
      <c r="AN1064" s="139"/>
      <c r="AO1064" s="139"/>
      <c r="AP1064" s="139"/>
      <c r="AQ1064" s="139"/>
      <c r="AR1064" s="139"/>
      <c r="AS1064" s="139"/>
      <c r="AT1064" s="139"/>
      <c r="AU1064" s="139"/>
      <c r="AV1064" s="139"/>
      <c r="AW1064" s="139"/>
      <c r="AX1064" s="139"/>
      <c r="AY1064" s="139"/>
      <c r="AZ1064" s="139"/>
      <c r="BA1064" s="139"/>
      <c r="BB1064" s="139"/>
      <c r="BC1064" s="139"/>
      <c r="BD1064" s="139"/>
      <c r="BE1064" s="139"/>
      <c r="BF1064" s="139"/>
      <c r="BG1064" s="139"/>
      <c r="BH1064" s="139"/>
    </row>
    <row r="1065" spans="2:60" s="11" customFormat="1" ht="37.5" customHeight="1">
      <c r="B1065" s="1360"/>
      <c r="C1065" s="5598"/>
      <c r="D1065" s="9598" t="s">
        <v>134</v>
      </c>
      <c r="E1065" s="9600"/>
      <c r="F1065" s="492" t="s">
        <v>732</v>
      </c>
      <c r="G1065" s="666"/>
      <c r="H1065" s="684"/>
      <c r="I1065" s="9579" t="s">
        <v>135</v>
      </c>
      <c r="J1065" s="9581"/>
      <c r="K1065" s="285" t="s">
        <v>734</v>
      </c>
      <c r="L1065" s="5594">
        <v>2437</v>
      </c>
      <c r="M1065" s="5672" t="s">
        <v>746</v>
      </c>
      <c r="N1065" s="5601">
        <v>3385</v>
      </c>
      <c r="O1065" s="5724" t="s">
        <v>747</v>
      </c>
      <c r="P1065" s="5947">
        <v>3115</v>
      </c>
      <c r="Q1065" s="5948" t="s">
        <v>746</v>
      </c>
      <c r="R1065" s="2468"/>
      <c r="S1065" s="544"/>
      <c r="T1065" s="545"/>
      <c r="U1065" s="546"/>
      <c r="V1065" s="547"/>
      <c r="W1065" s="548"/>
      <c r="X1065" s="277"/>
      <c r="Y1065" s="277"/>
      <c r="Z1065" s="187"/>
      <c r="AA1065" s="6301"/>
      <c r="AB1065" s="139"/>
      <c r="AC1065" s="139"/>
      <c r="AD1065" s="139"/>
      <c r="AE1065" s="139"/>
      <c r="AF1065" s="139"/>
      <c r="AG1065" s="139"/>
      <c r="AH1065" s="139"/>
      <c r="AI1065" s="139"/>
      <c r="AJ1065" s="139"/>
      <c r="AK1065" s="139"/>
      <c r="AL1065" s="139"/>
      <c r="AM1065" s="139"/>
      <c r="AN1065" s="139"/>
      <c r="AO1065" s="139"/>
      <c r="AP1065" s="139"/>
      <c r="AQ1065" s="139"/>
      <c r="AR1065" s="139"/>
      <c r="AS1065" s="139"/>
      <c r="AT1065" s="139"/>
      <c r="AU1065" s="139"/>
      <c r="AV1065" s="139"/>
      <c r="AW1065" s="139"/>
      <c r="AX1065" s="139"/>
      <c r="AY1065" s="139"/>
      <c r="AZ1065" s="139"/>
      <c r="BA1065" s="139"/>
      <c r="BB1065" s="139"/>
      <c r="BC1065" s="139"/>
      <c r="BD1065" s="139"/>
      <c r="BE1065" s="139"/>
      <c r="BF1065" s="139"/>
      <c r="BG1065" s="139"/>
      <c r="BH1065" s="139"/>
    </row>
    <row r="1066" spans="2:60" s="11" customFormat="1" ht="20.100000000000001" customHeight="1">
      <c r="B1066" s="1360"/>
      <c r="C1066" s="5598"/>
      <c r="D1066" s="9598" t="s">
        <v>137</v>
      </c>
      <c r="E1066" s="9600"/>
      <c r="F1066" s="492" t="s">
        <v>732</v>
      </c>
      <c r="G1066" s="666"/>
      <c r="H1066" s="684"/>
      <c r="I1066" s="9579" t="s">
        <v>138</v>
      </c>
      <c r="J1066" s="9581"/>
      <c r="K1066" s="285" t="s">
        <v>734</v>
      </c>
      <c r="L1066" s="5594">
        <v>29</v>
      </c>
      <c r="M1066" s="5672"/>
      <c r="N1066" s="5601">
        <v>50</v>
      </c>
      <c r="O1066" s="5724"/>
      <c r="P1066" s="1814">
        <v>64</v>
      </c>
      <c r="Q1066" s="5949"/>
      <c r="R1066" s="2468"/>
      <c r="S1066" s="544"/>
      <c r="T1066" s="545"/>
      <c r="U1066" s="546"/>
      <c r="V1066" s="547"/>
      <c r="W1066" s="548"/>
      <c r="X1066" s="277"/>
      <c r="Y1066" s="277"/>
      <c r="Z1066" s="187"/>
      <c r="AA1066" s="6301"/>
      <c r="AB1066" s="139"/>
      <c r="AC1066" s="139"/>
      <c r="AD1066" s="139"/>
      <c r="AE1066" s="139"/>
      <c r="AF1066" s="139"/>
      <c r="AG1066" s="139"/>
      <c r="AH1066" s="139"/>
      <c r="AI1066" s="139"/>
      <c r="AJ1066" s="139"/>
      <c r="AK1066" s="139"/>
      <c r="AL1066" s="139"/>
      <c r="AM1066" s="139"/>
      <c r="AN1066" s="139"/>
      <c r="AO1066" s="139"/>
      <c r="AP1066" s="139"/>
      <c r="AQ1066" s="139"/>
      <c r="AR1066" s="139"/>
      <c r="AS1066" s="139"/>
      <c r="AT1066" s="139"/>
      <c r="AU1066" s="139"/>
      <c r="AV1066" s="139"/>
      <c r="AW1066" s="139"/>
      <c r="AX1066" s="139"/>
      <c r="AY1066" s="139"/>
      <c r="AZ1066" s="139"/>
      <c r="BA1066" s="139"/>
      <c r="BB1066" s="139"/>
      <c r="BC1066" s="139"/>
      <c r="BD1066" s="139"/>
      <c r="BE1066" s="139"/>
      <c r="BF1066" s="139"/>
      <c r="BG1066" s="139"/>
      <c r="BH1066" s="139"/>
    </row>
    <row r="1067" spans="2:60" s="11" customFormat="1" ht="20.100000000000001" customHeight="1">
      <c r="B1067" s="1360"/>
      <c r="C1067" s="5598"/>
      <c r="D1067" s="9598" t="s">
        <v>140</v>
      </c>
      <c r="E1067" s="9600"/>
      <c r="F1067" s="492" t="s">
        <v>732</v>
      </c>
      <c r="G1067" s="666"/>
      <c r="H1067" s="684"/>
      <c r="I1067" s="9582" t="s">
        <v>141</v>
      </c>
      <c r="J1067" s="9583"/>
      <c r="K1067" s="285" t="s">
        <v>734</v>
      </c>
      <c r="L1067" s="5594">
        <v>272</v>
      </c>
      <c r="M1067" s="5672" t="s">
        <v>748</v>
      </c>
      <c r="N1067" s="5601">
        <v>209</v>
      </c>
      <c r="O1067" s="5724" t="s">
        <v>748</v>
      </c>
      <c r="P1067" s="1814">
        <v>122</v>
      </c>
      <c r="Q1067" s="5949" t="s">
        <v>748</v>
      </c>
      <c r="R1067" s="2468"/>
      <c r="S1067" s="544"/>
      <c r="T1067" s="545"/>
      <c r="U1067" s="546"/>
      <c r="V1067" s="547"/>
      <c r="W1067" s="548"/>
      <c r="X1067" s="277"/>
      <c r="Y1067" s="277"/>
      <c r="Z1067" s="187"/>
      <c r="AA1067" s="6301"/>
      <c r="AB1067" s="139"/>
      <c r="AC1067" s="139"/>
      <c r="AD1067" s="139"/>
      <c r="AE1067" s="139"/>
      <c r="AF1067" s="139"/>
      <c r="AG1067" s="139"/>
      <c r="AH1067" s="139"/>
      <c r="AI1067" s="139"/>
      <c r="AJ1067" s="139"/>
      <c r="AK1067" s="139"/>
      <c r="AL1067" s="139"/>
      <c r="AM1067" s="139"/>
      <c r="AN1067" s="139"/>
      <c r="AO1067" s="139"/>
      <c r="AP1067" s="139"/>
      <c r="AQ1067" s="139"/>
      <c r="AR1067" s="139"/>
      <c r="AS1067" s="139"/>
      <c r="AT1067" s="139"/>
      <c r="AU1067" s="139"/>
      <c r="AV1067" s="139"/>
      <c r="AW1067" s="139"/>
      <c r="AX1067" s="139"/>
      <c r="AY1067" s="139"/>
      <c r="AZ1067" s="139"/>
      <c r="BA1067" s="139"/>
      <c r="BB1067" s="139"/>
      <c r="BC1067" s="139"/>
      <c r="BD1067" s="139"/>
      <c r="BE1067" s="139"/>
      <c r="BF1067" s="139"/>
      <c r="BG1067" s="139"/>
      <c r="BH1067" s="139"/>
    </row>
    <row r="1068" spans="2:60" s="11" customFormat="1" ht="20.100000000000001" customHeight="1">
      <c r="B1068" s="1360"/>
      <c r="C1068" s="5598"/>
      <c r="D1068" s="9598" t="s">
        <v>143</v>
      </c>
      <c r="E1068" s="9600"/>
      <c r="F1068" s="492" t="s">
        <v>732</v>
      </c>
      <c r="G1068" s="666"/>
      <c r="H1068" s="684"/>
      <c r="I1068" s="9582" t="s">
        <v>144</v>
      </c>
      <c r="J1068" s="9583"/>
      <c r="K1068" s="285" t="s">
        <v>734</v>
      </c>
      <c r="L1068" s="5594">
        <v>809</v>
      </c>
      <c r="M1068" s="5672" t="s">
        <v>801</v>
      </c>
      <c r="N1068" s="5601">
        <v>2118</v>
      </c>
      <c r="O1068" s="5724" t="s">
        <v>801</v>
      </c>
      <c r="P1068" s="1814">
        <v>2144</v>
      </c>
      <c r="Q1068" s="5949"/>
      <c r="R1068" s="2468"/>
      <c r="S1068" s="544"/>
      <c r="T1068" s="545"/>
      <c r="U1068" s="546"/>
      <c r="V1068" s="547"/>
      <c r="W1068" s="548"/>
      <c r="X1068" s="277"/>
      <c r="Y1068" s="277"/>
      <c r="Z1068" s="187"/>
      <c r="AA1068" s="6301"/>
      <c r="AB1068" s="139"/>
      <c r="AC1068" s="139"/>
      <c r="AD1068" s="139"/>
      <c r="AE1068" s="139"/>
      <c r="AF1068" s="139"/>
      <c r="AG1068" s="139"/>
      <c r="AH1068" s="139"/>
      <c r="AI1068" s="139"/>
      <c r="AJ1068" s="139"/>
      <c r="AK1068" s="139"/>
      <c r="AL1068" s="139"/>
      <c r="AM1068" s="139"/>
      <c r="AN1068" s="139"/>
      <c r="AO1068" s="139"/>
      <c r="AP1068" s="139"/>
      <c r="AQ1068" s="139"/>
      <c r="AR1068" s="139"/>
      <c r="AS1068" s="139"/>
      <c r="AT1068" s="139"/>
      <c r="AU1068" s="139"/>
      <c r="AV1068" s="139"/>
      <c r="AW1068" s="139"/>
      <c r="AX1068" s="139"/>
      <c r="AY1068" s="139"/>
      <c r="AZ1068" s="139"/>
      <c r="BA1068" s="139"/>
      <c r="BB1068" s="139"/>
      <c r="BC1068" s="139"/>
      <c r="BD1068" s="139"/>
      <c r="BE1068" s="139"/>
      <c r="BF1068" s="139"/>
      <c r="BG1068" s="139"/>
      <c r="BH1068" s="139"/>
    </row>
    <row r="1069" spans="2:60" s="11" customFormat="1" ht="20.100000000000001" customHeight="1">
      <c r="B1069" s="1360"/>
      <c r="C1069" s="5598"/>
      <c r="D1069" s="9598" t="s">
        <v>631</v>
      </c>
      <c r="E1069" s="9600"/>
      <c r="F1069" s="492" t="s">
        <v>732</v>
      </c>
      <c r="G1069" s="666"/>
      <c r="H1069" s="684"/>
      <c r="I1069" s="9582" t="s">
        <v>147</v>
      </c>
      <c r="J1069" s="9583"/>
      <c r="K1069" s="285" t="s">
        <v>734</v>
      </c>
      <c r="L1069" s="5594">
        <v>116</v>
      </c>
      <c r="M1069" s="5672" t="s">
        <v>751</v>
      </c>
      <c r="N1069" s="5601">
        <v>114</v>
      </c>
      <c r="O1069" s="5724" t="s">
        <v>751</v>
      </c>
      <c r="P1069" s="1814">
        <v>139</v>
      </c>
      <c r="Q1069" s="5949"/>
      <c r="R1069" s="2468"/>
      <c r="S1069" s="544"/>
      <c r="T1069" s="545"/>
      <c r="U1069" s="546"/>
      <c r="V1069" s="547"/>
      <c r="W1069" s="548"/>
      <c r="X1069" s="277"/>
      <c r="Y1069" s="277"/>
      <c r="Z1069" s="187"/>
      <c r="AA1069" s="6301"/>
      <c r="AB1069" s="139"/>
      <c r="AC1069" s="139"/>
      <c r="AD1069" s="139"/>
      <c r="AE1069" s="139"/>
      <c r="AF1069" s="139"/>
      <c r="AG1069" s="139"/>
      <c r="AH1069" s="139"/>
      <c r="AI1069" s="139"/>
      <c r="AJ1069" s="139"/>
      <c r="AK1069" s="139"/>
      <c r="AL1069" s="139"/>
      <c r="AM1069" s="139"/>
      <c r="AN1069" s="139"/>
      <c r="AO1069" s="139"/>
      <c r="AP1069" s="139"/>
      <c r="AQ1069" s="139"/>
      <c r="AR1069" s="139"/>
      <c r="AS1069" s="139"/>
      <c r="AT1069" s="139"/>
      <c r="AU1069" s="139"/>
      <c r="AV1069" s="139"/>
      <c r="AW1069" s="139"/>
      <c r="AX1069" s="139"/>
      <c r="AY1069" s="139"/>
      <c r="AZ1069" s="139"/>
      <c r="BA1069" s="139"/>
      <c r="BB1069" s="139"/>
      <c r="BC1069" s="139"/>
      <c r="BD1069" s="139"/>
      <c r="BE1069" s="139"/>
      <c r="BF1069" s="139"/>
      <c r="BG1069" s="139"/>
      <c r="BH1069" s="139"/>
    </row>
    <row r="1070" spans="2:60" s="11" customFormat="1" ht="20.100000000000001" customHeight="1">
      <c r="B1070" s="1360"/>
      <c r="C1070" s="5598"/>
      <c r="D1070" s="9598" t="s">
        <v>633</v>
      </c>
      <c r="E1070" s="9600"/>
      <c r="F1070" s="492" t="s">
        <v>732</v>
      </c>
      <c r="G1070" s="666"/>
      <c r="H1070" s="684"/>
      <c r="I1070" s="9582" t="s">
        <v>150</v>
      </c>
      <c r="J1070" s="9583"/>
      <c r="K1070" s="285" t="s">
        <v>734</v>
      </c>
      <c r="L1070" s="5594">
        <v>883</v>
      </c>
      <c r="M1070" s="5672"/>
      <c r="N1070" s="5601">
        <v>744</v>
      </c>
      <c r="O1070" s="5724"/>
      <c r="P1070" s="1814">
        <v>684</v>
      </c>
      <c r="Q1070" s="5949"/>
      <c r="R1070" s="2468"/>
      <c r="S1070" s="544"/>
      <c r="T1070" s="545"/>
      <c r="U1070" s="546"/>
      <c r="V1070" s="547"/>
      <c r="W1070" s="548"/>
      <c r="X1070" s="277"/>
      <c r="Y1070" s="277"/>
      <c r="Z1070" s="187"/>
      <c r="AA1070" s="6301"/>
      <c r="AB1070" s="139"/>
      <c r="AC1070" s="139"/>
      <c r="AD1070" s="139"/>
      <c r="AE1070" s="139"/>
      <c r="AF1070" s="139"/>
      <c r="AG1070" s="139"/>
      <c r="AH1070" s="139"/>
      <c r="AI1070" s="139"/>
      <c r="AJ1070" s="139"/>
      <c r="AK1070" s="139"/>
      <c r="AL1070" s="139"/>
      <c r="AM1070" s="139"/>
      <c r="AN1070" s="139"/>
      <c r="AO1070" s="139"/>
      <c r="AP1070" s="139"/>
      <c r="AQ1070" s="139"/>
      <c r="AR1070" s="139"/>
      <c r="AS1070" s="139"/>
      <c r="AT1070" s="139"/>
      <c r="AU1070" s="139"/>
      <c r="AV1070" s="139"/>
      <c r="AW1070" s="139"/>
      <c r="AX1070" s="139"/>
      <c r="AY1070" s="139"/>
      <c r="AZ1070" s="139"/>
      <c r="BA1070" s="139"/>
      <c r="BB1070" s="139"/>
      <c r="BC1070" s="139"/>
      <c r="BD1070" s="139"/>
      <c r="BE1070" s="139"/>
      <c r="BF1070" s="139"/>
      <c r="BG1070" s="139"/>
      <c r="BH1070" s="139"/>
    </row>
    <row r="1071" spans="2:60" s="11" customFormat="1" ht="20.100000000000001" customHeight="1">
      <c r="B1071" s="1360"/>
      <c r="C1071" s="5598"/>
      <c r="D1071" s="9584" t="s">
        <v>827</v>
      </c>
      <c r="E1071" s="9585"/>
      <c r="F1071" s="285" t="s">
        <v>732</v>
      </c>
      <c r="G1071" s="666"/>
      <c r="H1071" s="684"/>
      <c r="I1071" s="9584" t="s">
        <v>828</v>
      </c>
      <c r="J1071" s="9585"/>
      <c r="K1071" s="285" t="s">
        <v>734</v>
      </c>
      <c r="L1071" s="5783">
        <f>IF(COUNTBLANK(L1072:L1077)&gt;0,"미취합법인有",SUM(L1072:L1077))</f>
        <v>2885</v>
      </c>
      <c r="M1071" s="5657"/>
      <c r="N1071" s="5785">
        <f>IF(COUNTBLANK(N1072:N1077)&gt;0,"미취합법인有",SUM(N1072:N1077))</f>
        <v>2866</v>
      </c>
      <c r="O1071" s="5663"/>
      <c r="P1071" s="5781">
        <f>IF(COUNTBLANK(P1072:P1077)&gt;0,"미취합법인有",SUM(P1072:P1077))</f>
        <v>3241</v>
      </c>
      <c r="Q1071" s="785"/>
      <c r="R1071" s="498" t="s">
        <v>825</v>
      </c>
      <c r="S1071" s="276" t="s">
        <v>829</v>
      </c>
      <c r="T1071" s="99" t="s">
        <v>758</v>
      </c>
      <c r="U1071" s="547" t="s">
        <v>738</v>
      </c>
      <c r="V1071" s="547"/>
      <c r="W1071" s="665"/>
      <c r="X1071" s="620" t="s">
        <v>822</v>
      </c>
      <c r="Y1071" s="620" t="s">
        <v>740</v>
      </c>
      <c r="Z1071" s="159"/>
      <c r="AA1071" s="6301"/>
      <c r="AB1071" s="139"/>
      <c r="AC1071" s="139"/>
      <c r="AD1071" s="139"/>
      <c r="AE1071" s="139"/>
      <c r="AF1071" s="139"/>
      <c r="AG1071" s="139"/>
      <c r="AH1071" s="139"/>
      <c r="AI1071" s="139"/>
      <c r="AJ1071" s="139"/>
      <c r="AK1071" s="139"/>
      <c r="AL1071" s="139"/>
      <c r="AM1071" s="139"/>
      <c r="AN1071" s="139"/>
      <c r="AO1071" s="139"/>
      <c r="AP1071" s="139"/>
      <c r="AQ1071" s="139"/>
      <c r="AR1071" s="139"/>
      <c r="AS1071" s="139"/>
      <c r="AT1071" s="139"/>
      <c r="AU1071" s="139"/>
      <c r="AV1071" s="139"/>
      <c r="AW1071" s="139"/>
      <c r="AX1071" s="139"/>
      <c r="AY1071" s="139"/>
      <c r="AZ1071" s="139"/>
      <c r="BA1071" s="139"/>
      <c r="BB1071" s="139"/>
      <c r="BC1071" s="139"/>
      <c r="BD1071" s="139"/>
      <c r="BE1071" s="139"/>
      <c r="BF1071" s="139"/>
      <c r="BG1071" s="139"/>
      <c r="BH1071" s="139"/>
    </row>
    <row r="1072" spans="2:60" s="11" customFormat="1" ht="20.100000000000001" customHeight="1">
      <c r="B1072" s="1360"/>
      <c r="C1072" s="5598"/>
      <c r="D1072" s="9598" t="s">
        <v>134</v>
      </c>
      <c r="E1072" s="9600"/>
      <c r="F1072" s="492" t="s">
        <v>732</v>
      </c>
      <c r="G1072" s="666"/>
      <c r="H1072" s="684"/>
      <c r="I1072" s="9579" t="s">
        <v>135</v>
      </c>
      <c r="J1072" s="9581"/>
      <c r="K1072" s="285" t="s">
        <v>734</v>
      </c>
      <c r="L1072" s="5594">
        <v>1027</v>
      </c>
      <c r="M1072" s="5672" t="s">
        <v>746</v>
      </c>
      <c r="N1072" s="5601">
        <v>1020</v>
      </c>
      <c r="O1072" s="5724" t="s">
        <v>747</v>
      </c>
      <c r="P1072" s="5947">
        <v>1491</v>
      </c>
      <c r="Q1072" s="5949" t="s">
        <v>746</v>
      </c>
      <c r="R1072" s="2468"/>
      <c r="S1072" s="544"/>
      <c r="T1072" s="545"/>
      <c r="U1072" s="546"/>
      <c r="V1072" s="547"/>
      <c r="W1072" s="548"/>
      <c r="X1072" s="277"/>
      <c r="Y1072" s="277"/>
      <c r="Z1072" s="187"/>
      <c r="AA1072" s="6301"/>
      <c r="AB1072" s="139"/>
      <c r="AC1072" s="139"/>
      <c r="AD1072" s="139"/>
      <c r="AE1072" s="139"/>
      <c r="AF1072" s="139"/>
      <c r="AG1072" s="139"/>
      <c r="AH1072" s="139"/>
      <c r="AI1072" s="139"/>
      <c r="AJ1072" s="139"/>
      <c r="AK1072" s="139"/>
      <c r="AL1072" s="139"/>
      <c r="AM1072" s="139"/>
      <c r="AN1072" s="139"/>
      <c r="AO1072" s="139"/>
      <c r="AP1072" s="139"/>
      <c r="AQ1072" s="139"/>
      <c r="AR1072" s="139"/>
      <c r="AS1072" s="139"/>
      <c r="AT1072" s="139"/>
      <c r="AU1072" s="139"/>
      <c r="AV1072" s="139"/>
      <c r="AW1072" s="139"/>
      <c r="AX1072" s="139"/>
      <c r="AY1072" s="139"/>
      <c r="AZ1072" s="139"/>
      <c r="BA1072" s="139"/>
      <c r="BB1072" s="139"/>
      <c r="BC1072" s="139"/>
      <c r="BD1072" s="139"/>
      <c r="BE1072" s="139"/>
      <c r="BF1072" s="139"/>
      <c r="BG1072" s="139"/>
      <c r="BH1072" s="139"/>
    </row>
    <row r="1073" spans="2:60" s="11" customFormat="1" ht="20.100000000000001" customHeight="1">
      <c r="B1073" s="1360"/>
      <c r="C1073" s="5598"/>
      <c r="D1073" s="9598" t="s">
        <v>137</v>
      </c>
      <c r="E1073" s="9600"/>
      <c r="F1073" s="492" t="s">
        <v>732</v>
      </c>
      <c r="G1073" s="666"/>
      <c r="H1073" s="684"/>
      <c r="I1073" s="9579" t="s">
        <v>138</v>
      </c>
      <c r="J1073" s="9581"/>
      <c r="K1073" s="285" t="s">
        <v>734</v>
      </c>
      <c r="L1073" s="5594">
        <v>148</v>
      </c>
      <c r="M1073" s="5672"/>
      <c r="N1073" s="5601">
        <v>173</v>
      </c>
      <c r="O1073" s="5724"/>
      <c r="P1073" s="1814">
        <v>174</v>
      </c>
      <c r="Q1073" s="5949"/>
      <c r="R1073" s="2468"/>
      <c r="S1073" s="544"/>
      <c r="T1073" s="545"/>
      <c r="U1073" s="546"/>
      <c r="V1073" s="547"/>
      <c r="W1073" s="548"/>
      <c r="X1073" s="277"/>
      <c r="Y1073" s="277"/>
      <c r="Z1073" s="187"/>
      <c r="AA1073" s="6301"/>
      <c r="AB1073" s="139"/>
      <c r="AC1073" s="139"/>
      <c r="AD1073" s="139"/>
      <c r="AE1073" s="139"/>
      <c r="AF1073" s="139"/>
      <c r="AG1073" s="139"/>
      <c r="AH1073" s="139"/>
      <c r="AI1073" s="139"/>
      <c r="AJ1073" s="139"/>
      <c r="AK1073" s="139"/>
      <c r="AL1073" s="139"/>
      <c r="AM1073" s="139"/>
      <c r="AN1073" s="139"/>
      <c r="AO1073" s="139"/>
      <c r="AP1073" s="139"/>
      <c r="AQ1073" s="139"/>
      <c r="AR1073" s="139"/>
      <c r="AS1073" s="139"/>
      <c r="AT1073" s="139"/>
      <c r="AU1073" s="139"/>
      <c r="AV1073" s="139"/>
      <c r="AW1073" s="139"/>
      <c r="AX1073" s="139"/>
      <c r="AY1073" s="139"/>
      <c r="AZ1073" s="139"/>
      <c r="BA1073" s="139"/>
      <c r="BB1073" s="139"/>
      <c r="BC1073" s="139"/>
      <c r="BD1073" s="139"/>
      <c r="BE1073" s="139"/>
      <c r="BF1073" s="139"/>
      <c r="BG1073" s="139"/>
      <c r="BH1073" s="139"/>
    </row>
    <row r="1074" spans="2:60" s="11" customFormat="1" ht="20.100000000000001" customHeight="1">
      <c r="B1074" s="1360"/>
      <c r="C1074" s="5598"/>
      <c r="D1074" s="9598" t="s">
        <v>140</v>
      </c>
      <c r="E1074" s="9600"/>
      <c r="F1074" s="492" t="s">
        <v>732</v>
      </c>
      <c r="G1074" s="666"/>
      <c r="H1074" s="684"/>
      <c r="I1074" s="9582" t="s">
        <v>141</v>
      </c>
      <c r="J1074" s="9583"/>
      <c r="K1074" s="285" t="s">
        <v>734</v>
      </c>
      <c r="L1074" s="5594">
        <v>778</v>
      </c>
      <c r="M1074" s="5672" t="s">
        <v>748</v>
      </c>
      <c r="N1074" s="5601">
        <v>694</v>
      </c>
      <c r="O1074" s="5724" t="s">
        <v>748</v>
      </c>
      <c r="P1074" s="1814">
        <v>623</v>
      </c>
      <c r="Q1074" s="5949" t="s">
        <v>748</v>
      </c>
      <c r="R1074" s="2468"/>
      <c r="S1074" s="544"/>
      <c r="T1074" s="545"/>
      <c r="U1074" s="546"/>
      <c r="V1074" s="547"/>
      <c r="W1074" s="548"/>
      <c r="X1074" s="277"/>
      <c r="Y1074" s="277"/>
      <c r="Z1074" s="187"/>
      <c r="AA1074" s="6301"/>
      <c r="AB1074" s="139"/>
      <c r="AC1074" s="139"/>
      <c r="AD1074" s="139"/>
      <c r="AE1074" s="139"/>
      <c r="AF1074" s="139"/>
      <c r="AG1074" s="139"/>
      <c r="AH1074" s="139"/>
      <c r="AI1074" s="139"/>
      <c r="AJ1074" s="139"/>
      <c r="AK1074" s="139"/>
      <c r="AL1074" s="139"/>
      <c r="AM1074" s="139"/>
      <c r="AN1074" s="139"/>
      <c r="AO1074" s="139"/>
      <c r="AP1074" s="139"/>
      <c r="AQ1074" s="139"/>
      <c r="AR1074" s="139"/>
      <c r="AS1074" s="139"/>
      <c r="AT1074" s="139"/>
      <c r="AU1074" s="139"/>
      <c r="AV1074" s="139"/>
      <c r="AW1074" s="139"/>
      <c r="AX1074" s="139"/>
      <c r="AY1074" s="139"/>
      <c r="AZ1074" s="139"/>
      <c r="BA1074" s="139"/>
      <c r="BB1074" s="139"/>
      <c r="BC1074" s="139"/>
      <c r="BD1074" s="139"/>
      <c r="BE1074" s="139"/>
      <c r="BF1074" s="139"/>
      <c r="BG1074" s="139"/>
      <c r="BH1074" s="139"/>
    </row>
    <row r="1075" spans="2:60" s="11" customFormat="1" ht="20.100000000000001" customHeight="1">
      <c r="B1075" s="1360"/>
      <c r="C1075" s="5598"/>
      <c r="D1075" s="9598" t="s">
        <v>143</v>
      </c>
      <c r="E1075" s="9600"/>
      <c r="F1075" s="492" t="s">
        <v>732</v>
      </c>
      <c r="G1075" s="666"/>
      <c r="H1075" s="684"/>
      <c r="I1075" s="9582" t="s">
        <v>144</v>
      </c>
      <c r="J1075" s="9583"/>
      <c r="K1075" s="285" t="s">
        <v>734</v>
      </c>
      <c r="L1075" s="5594">
        <v>294</v>
      </c>
      <c r="M1075" s="5672" t="s">
        <v>801</v>
      </c>
      <c r="N1075" s="5601">
        <v>327</v>
      </c>
      <c r="O1075" s="5724" t="s">
        <v>801</v>
      </c>
      <c r="P1075" s="1814">
        <v>333</v>
      </c>
      <c r="Q1075" s="5949"/>
      <c r="R1075" s="2468"/>
      <c r="S1075" s="544"/>
      <c r="T1075" s="545"/>
      <c r="U1075" s="546"/>
      <c r="V1075" s="547"/>
      <c r="W1075" s="548"/>
      <c r="X1075" s="277"/>
      <c r="Y1075" s="277"/>
      <c r="Z1075" s="187"/>
      <c r="AA1075" s="6301"/>
      <c r="AB1075" s="139"/>
      <c r="AC1075" s="139"/>
      <c r="AD1075" s="139"/>
      <c r="AE1075" s="139"/>
      <c r="AF1075" s="139"/>
      <c r="AG1075" s="139"/>
      <c r="AH1075" s="139"/>
      <c r="AI1075" s="139"/>
      <c r="AJ1075" s="139"/>
      <c r="AK1075" s="139"/>
      <c r="AL1075" s="139"/>
      <c r="AM1075" s="139"/>
      <c r="AN1075" s="139"/>
      <c r="AO1075" s="139"/>
      <c r="AP1075" s="139"/>
      <c r="AQ1075" s="139"/>
      <c r="AR1075" s="139"/>
      <c r="AS1075" s="139"/>
      <c r="AT1075" s="139"/>
      <c r="AU1075" s="139"/>
      <c r="AV1075" s="139"/>
      <c r="AW1075" s="139"/>
      <c r="AX1075" s="139"/>
      <c r="AY1075" s="139"/>
      <c r="AZ1075" s="139"/>
      <c r="BA1075" s="139"/>
      <c r="BB1075" s="139"/>
      <c r="BC1075" s="139"/>
      <c r="BD1075" s="139"/>
      <c r="BE1075" s="139"/>
      <c r="BF1075" s="139"/>
      <c r="BG1075" s="139"/>
      <c r="BH1075" s="139"/>
    </row>
    <row r="1076" spans="2:60" s="11" customFormat="1" ht="20.100000000000001" customHeight="1">
      <c r="B1076" s="1360"/>
      <c r="C1076" s="5598"/>
      <c r="D1076" s="9598" t="s">
        <v>631</v>
      </c>
      <c r="E1076" s="9600"/>
      <c r="F1076" s="492" t="s">
        <v>732</v>
      </c>
      <c r="G1076" s="666"/>
      <c r="H1076" s="684"/>
      <c r="I1076" s="9582" t="s">
        <v>147</v>
      </c>
      <c r="J1076" s="9583"/>
      <c r="K1076" s="285" t="s">
        <v>734</v>
      </c>
      <c r="L1076" s="5594">
        <v>257</v>
      </c>
      <c r="M1076" s="5671" t="s">
        <v>751</v>
      </c>
      <c r="N1076" s="5601">
        <v>270</v>
      </c>
      <c r="O1076" s="5680" t="s">
        <v>751</v>
      </c>
      <c r="P1076" s="5602">
        <v>267</v>
      </c>
      <c r="Q1076" s="5949"/>
      <c r="R1076" s="2468"/>
      <c r="S1076" s="544"/>
      <c r="T1076" s="545"/>
      <c r="U1076" s="546"/>
      <c r="V1076" s="547"/>
      <c r="W1076" s="548"/>
      <c r="X1076" s="277"/>
      <c r="Y1076" s="277"/>
      <c r="Z1076" s="187"/>
      <c r="AA1076" s="6301"/>
      <c r="AB1076" s="139"/>
      <c r="AC1076" s="139"/>
      <c r="AD1076" s="139"/>
      <c r="AE1076" s="139"/>
      <c r="AF1076" s="139"/>
      <c r="AG1076" s="139"/>
      <c r="AH1076" s="139"/>
      <c r="AI1076" s="139"/>
      <c r="AJ1076" s="139"/>
      <c r="AK1076" s="139"/>
      <c r="AL1076" s="139"/>
      <c r="AM1076" s="139"/>
      <c r="AN1076" s="139"/>
      <c r="AO1076" s="139"/>
      <c r="AP1076" s="139"/>
      <c r="AQ1076" s="139"/>
      <c r="AR1076" s="139"/>
      <c r="AS1076" s="139"/>
      <c r="AT1076" s="139"/>
      <c r="AU1076" s="139"/>
      <c r="AV1076" s="139"/>
      <c r="AW1076" s="139"/>
      <c r="AX1076" s="139"/>
      <c r="AY1076" s="139"/>
      <c r="AZ1076" s="139"/>
      <c r="BA1076" s="139"/>
      <c r="BB1076" s="139"/>
      <c r="BC1076" s="139"/>
      <c r="BD1076" s="139"/>
      <c r="BE1076" s="139"/>
      <c r="BF1076" s="139"/>
      <c r="BG1076" s="139"/>
      <c r="BH1076" s="139"/>
    </row>
    <row r="1077" spans="2:60" s="11" customFormat="1" ht="20.100000000000001" customHeight="1">
      <c r="B1077" s="1360"/>
      <c r="C1077" s="5598"/>
      <c r="D1077" s="9598" t="s">
        <v>633</v>
      </c>
      <c r="E1077" s="9600"/>
      <c r="F1077" s="492" t="s">
        <v>732</v>
      </c>
      <c r="G1077" s="666"/>
      <c r="H1077" s="684"/>
      <c r="I1077" s="9582" t="s">
        <v>150</v>
      </c>
      <c r="J1077" s="9583"/>
      <c r="K1077" s="285" t="s">
        <v>734</v>
      </c>
      <c r="L1077" s="5594">
        <v>381</v>
      </c>
      <c r="M1077" s="5671"/>
      <c r="N1077" s="5601">
        <v>382</v>
      </c>
      <c r="O1077" s="5680"/>
      <c r="P1077" s="5602">
        <v>353</v>
      </c>
      <c r="Q1077" s="5949"/>
      <c r="R1077" s="2468"/>
      <c r="S1077" s="544"/>
      <c r="T1077" s="545"/>
      <c r="U1077" s="546"/>
      <c r="V1077" s="547"/>
      <c r="W1077" s="548"/>
      <c r="X1077" s="277"/>
      <c r="Y1077" s="277"/>
      <c r="Z1077" s="187"/>
      <c r="AA1077" s="6301"/>
      <c r="AB1077" s="139"/>
      <c r="AC1077" s="139"/>
      <c r="AD1077" s="139"/>
      <c r="AE1077" s="139"/>
      <c r="AF1077" s="139"/>
      <c r="AG1077" s="139"/>
      <c r="AH1077" s="139"/>
      <c r="AI1077" s="139"/>
      <c r="AJ1077" s="139"/>
      <c r="AK1077" s="139"/>
      <c r="AL1077" s="139"/>
      <c r="AM1077" s="139"/>
      <c r="AN1077" s="139"/>
      <c r="AO1077" s="139"/>
      <c r="AP1077" s="139"/>
      <c r="AQ1077" s="139"/>
      <c r="AR1077" s="139"/>
      <c r="AS1077" s="139"/>
      <c r="AT1077" s="139"/>
      <c r="AU1077" s="139"/>
      <c r="AV1077" s="139"/>
      <c r="AW1077" s="139"/>
      <c r="AX1077" s="139"/>
      <c r="AY1077" s="139"/>
      <c r="AZ1077" s="139"/>
      <c r="BA1077" s="139"/>
      <c r="BB1077" s="139"/>
      <c r="BC1077" s="139"/>
      <c r="BD1077" s="139"/>
      <c r="BE1077" s="139"/>
      <c r="BF1077" s="139"/>
      <c r="BG1077" s="139"/>
      <c r="BH1077" s="139"/>
    </row>
    <row r="1078" spans="2:60" s="11" customFormat="1" ht="20.100000000000001" customHeight="1">
      <c r="B1078" s="1360"/>
      <c r="C1078" s="5619"/>
      <c r="D1078" s="9584" t="s">
        <v>830</v>
      </c>
      <c r="E1078" s="9585"/>
      <c r="F1078" s="285" t="s">
        <v>732</v>
      </c>
      <c r="G1078" s="666"/>
      <c r="H1078" s="684"/>
      <c r="I1078" s="9584" t="s">
        <v>831</v>
      </c>
      <c r="J1078" s="9585"/>
      <c r="K1078" s="285" t="s">
        <v>734</v>
      </c>
      <c r="L1078" s="5783">
        <f>IF(COUNTBLANK(L1079:L1084)&gt;0,"미취합법인有",SUM(L1079:L1084))</f>
        <v>173</v>
      </c>
      <c r="M1078" s="5657"/>
      <c r="N1078" s="5785">
        <f>IF(COUNTBLANK(N1079:N1084)&gt;0,"미취합법인有",SUM(N1079:N1084))</f>
        <v>139</v>
      </c>
      <c r="O1078" s="5945"/>
      <c r="P1078" s="5781">
        <f>IF(COUNTBLANK(P1079:P1084)&gt;0,"미취합법인有",SUM(P1079:P1084))</f>
        <v>123</v>
      </c>
      <c r="Q1078" s="785"/>
      <c r="R1078" s="498" t="s">
        <v>825</v>
      </c>
      <c r="S1078" s="276" t="s">
        <v>832</v>
      </c>
      <c r="T1078" s="99" t="s">
        <v>758</v>
      </c>
      <c r="U1078" s="547" t="s">
        <v>738</v>
      </c>
      <c r="V1078" s="547"/>
      <c r="W1078" s="665"/>
      <c r="X1078" s="620" t="s">
        <v>822</v>
      </c>
      <c r="Y1078" s="620" t="s">
        <v>740</v>
      </c>
      <c r="Z1078" s="159"/>
      <c r="AA1078" s="6301"/>
      <c r="AB1078" s="139"/>
      <c r="AC1078" s="139"/>
      <c r="AD1078" s="139"/>
      <c r="AE1078" s="139"/>
      <c r="AF1078" s="139"/>
      <c r="AG1078" s="139"/>
      <c r="AH1078" s="139"/>
      <c r="AI1078" s="139"/>
      <c r="AJ1078" s="139"/>
      <c r="AK1078" s="139"/>
      <c r="AL1078" s="139"/>
      <c r="AM1078" s="139"/>
      <c r="AN1078" s="139"/>
      <c r="AO1078" s="139"/>
      <c r="AP1078" s="139"/>
      <c r="AQ1078" s="139"/>
      <c r="AR1078" s="139"/>
      <c r="AS1078" s="139"/>
      <c r="AT1078" s="139"/>
      <c r="AU1078" s="139"/>
      <c r="AV1078" s="139"/>
      <c r="AW1078" s="139"/>
      <c r="AX1078" s="139"/>
      <c r="AY1078" s="139"/>
      <c r="AZ1078" s="139"/>
      <c r="BA1078" s="139"/>
      <c r="BB1078" s="139"/>
      <c r="BC1078" s="139"/>
      <c r="BD1078" s="139"/>
      <c r="BE1078" s="139"/>
      <c r="BF1078" s="139"/>
      <c r="BG1078" s="139"/>
      <c r="BH1078" s="139"/>
    </row>
    <row r="1079" spans="2:60" s="11" customFormat="1" ht="20.100000000000001" customHeight="1">
      <c r="B1079" s="1360"/>
      <c r="C1079" s="5598"/>
      <c r="D1079" s="9598" t="s">
        <v>134</v>
      </c>
      <c r="E1079" s="9600"/>
      <c r="F1079" s="492" t="s">
        <v>732</v>
      </c>
      <c r="G1079" s="666"/>
      <c r="H1079" s="684"/>
      <c r="I1079" s="9579" t="s">
        <v>135</v>
      </c>
      <c r="J1079" s="9581"/>
      <c r="K1079" s="285" t="s">
        <v>734</v>
      </c>
      <c r="L1079" s="5594">
        <v>137</v>
      </c>
      <c r="M1079" s="5671" t="s">
        <v>746</v>
      </c>
      <c r="N1079" s="5601">
        <v>97</v>
      </c>
      <c r="O1079" s="5680" t="s">
        <v>747</v>
      </c>
      <c r="P1079" s="5693">
        <v>78</v>
      </c>
      <c r="Q1079" s="5948" t="s">
        <v>746</v>
      </c>
      <c r="R1079" s="2468"/>
      <c r="S1079" s="544"/>
      <c r="T1079" s="545"/>
      <c r="U1079" s="546"/>
      <c r="V1079" s="547"/>
      <c r="W1079" s="548"/>
      <c r="X1079" s="277"/>
      <c r="Y1079" s="277"/>
      <c r="Z1079" s="187"/>
      <c r="AA1079" s="6301"/>
      <c r="AB1079" s="139"/>
      <c r="AC1079" s="139"/>
      <c r="AD1079" s="139"/>
      <c r="AE1079" s="139"/>
      <c r="AF1079" s="139"/>
      <c r="AG1079" s="139"/>
      <c r="AH1079" s="139"/>
      <c r="AI1079" s="139"/>
      <c r="AJ1079" s="139"/>
      <c r="AK1079" s="139"/>
      <c r="AL1079" s="139"/>
      <c r="AM1079" s="139"/>
      <c r="AN1079" s="139"/>
      <c r="AO1079" s="139"/>
      <c r="AP1079" s="139"/>
      <c r="AQ1079" s="139"/>
      <c r="AR1079" s="139"/>
      <c r="AS1079" s="139"/>
      <c r="AT1079" s="139"/>
      <c r="AU1079" s="139"/>
      <c r="AV1079" s="139"/>
      <c r="AW1079" s="139"/>
      <c r="AX1079" s="139"/>
      <c r="AY1079" s="139"/>
      <c r="AZ1079" s="139"/>
      <c r="BA1079" s="139"/>
      <c r="BB1079" s="139"/>
      <c r="BC1079" s="139"/>
      <c r="BD1079" s="139"/>
      <c r="BE1079" s="139"/>
      <c r="BF1079" s="139"/>
      <c r="BG1079" s="139"/>
      <c r="BH1079" s="139"/>
    </row>
    <row r="1080" spans="2:60" s="11" customFormat="1" ht="20.100000000000001" customHeight="1">
      <c r="B1080" s="1360"/>
      <c r="C1080" s="5598"/>
      <c r="D1080" s="9598" t="s">
        <v>137</v>
      </c>
      <c r="E1080" s="9600"/>
      <c r="F1080" s="492" t="s">
        <v>732</v>
      </c>
      <c r="G1080" s="666"/>
      <c r="H1080" s="684"/>
      <c r="I1080" s="9579" t="s">
        <v>138</v>
      </c>
      <c r="J1080" s="9581"/>
      <c r="K1080" s="285" t="s">
        <v>734</v>
      </c>
      <c r="L1080" s="5594">
        <v>6</v>
      </c>
      <c r="M1080" s="5671"/>
      <c r="N1080" s="5601">
        <v>8</v>
      </c>
      <c r="O1080" s="5680"/>
      <c r="P1080" s="5602">
        <v>11</v>
      </c>
      <c r="Q1080" s="5948"/>
      <c r="R1080" s="2468"/>
      <c r="S1080" s="544"/>
      <c r="T1080" s="545"/>
      <c r="U1080" s="546"/>
      <c r="V1080" s="547"/>
      <c r="W1080" s="548"/>
      <c r="X1080" s="277"/>
      <c r="Y1080" s="277"/>
      <c r="Z1080" s="187"/>
      <c r="AA1080" s="6301"/>
      <c r="AB1080" s="139"/>
      <c r="AC1080" s="139"/>
      <c r="AD1080" s="139"/>
      <c r="AE1080" s="139"/>
      <c r="AF1080" s="139"/>
      <c r="AG1080" s="139"/>
      <c r="AH1080" s="139"/>
      <c r="AI1080" s="139"/>
      <c r="AJ1080" s="139"/>
      <c r="AK1080" s="139"/>
      <c r="AL1080" s="139"/>
      <c r="AM1080" s="139"/>
      <c r="AN1080" s="139"/>
      <c r="AO1080" s="139"/>
      <c r="AP1080" s="139"/>
      <c r="AQ1080" s="139"/>
      <c r="AR1080" s="139"/>
      <c r="AS1080" s="139"/>
      <c r="AT1080" s="139"/>
      <c r="AU1080" s="139"/>
      <c r="AV1080" s="139"/>
      <c r="AW1080" s="139"/>
      <c r="AX1080" s="139"/>
      <c r="AY1080" s="139"/>
      <c r="AZ1080" s="139"/>
      <c r="BA1080" s="139"/>
      <c r="BB1080" s="139"/>
      <c r="BC1080" s="139"/>
      <c r="BD1080" s="139"/>
      <c r="BE1080" s="139"/>
      <c r="BF1080" s="139"/>
      <c r="BG1080" s="139"/>
      <c r="BH1080" s="139"/>
    </row>
    <row r="1081" spans="2:60" s="11" customFormat="1" ht="20.100000000000001" customHeight="1">
      <c r="B1081" s="1360"/>
      <c r="C1081" s="5598"/>
      <c r="D1081" s="9598" t="s">
        <v>140</v>
      </c>
      <c r="E1081" s="9600"/>
      <c r="F1081" s="492" t="s">
        <v>732</v>
      </c>
      <c r="G1081" s="666"/>
      <c r="H1081" s="684"/>
      <c r="I1081" s="9582" t="s">
        <v>141</v>
      </c>
      <c r="J1081" s="9583"/>
      <c r="K1081" s="285" t="s">
        <v>734</v>
      </c>
      <c r="L1081" s="5594">
        <v>4</v>
      </c>
      <c r="M1081" s="5671" t="s">
        <v>748</v>
      </c>
      <c r="N1081" s="5601">
        <v>6</v>
      </c>
      <c r="O1081" s="5680" t="s">
        <v>748</v>
      </c>
      <c r="P1081" s="5602">
        <v>5</v>
      </c>
      <c r="Q1081" s="5949" t="s">
        <v>748</v>
      </c>
      <c r="R1081" s="2468"/>
      <c r="S1081" s="544"/>
      <c r="T1081" s="545"/>
      <c r="U1081" s="546"/>
      <c r="V1081" s="547"/>
      <c r="W1081" s="548"/>
      <c r="X1081" s="277"/>
      <c r="Y1081" s="277"/>
      <c r="Z1081" s="187"/>
      <c r="AA1081" s="6301"/>
      <c r="AB1081" s="139"/>
      <c r="AC1081" s="139"/>
      <c r="AD1081" s="139"/>
      <c r="AE1081" s="139"/>
      <c r="AF1081" s="139"/>
      <c r="AG1081" s="139"/>
      <c r="AH1081" s="139"/>
      <c r="AI1081" s="139"/>
      <c r="AJ1081" s="139"/>
      <c r="AK1081" s="139"/>
      <c r="AL1081" s="139"/>
      <c r="AM1081" s="139"/>
      <c r="AN1081" s="139"/>
      <c r="AO1081" s="139"/>
      <c r="AP1081" s="139"/>
      <c r="AQ1081" s="139"/>
      <c r="AR1081" s="139"/>
      <c r="AS1081" s="139"/>
      <c r="AT1081" s="139"/>
      <c r="AU1081" s="139"/>
      <c r="AV1081" s="139"/>
      <c r="AW1081" s="139"/>
      <c r="AX1081" s="139"/>
      <c r="AY1081" s="139"/>
      <c r="AZ1081" s="139"/>
      <c r="BA1081" s="139"/>
      <c r="BB1081" s="139"/>
      <c r="BC1081" s="139"/>
      <c r="BD1081" s="139"/>
      <c r="BE1081" s="139"/>
      <c r="BF1081" s="139"/>
      <c r="BG1081" s="139"/>
      <c r="BH1081" s="139"/>
    </row>
    <row r="1082" spans="2:60" s="11" customFormat="1" ht="20.100000000000001" customHeight="1">
      <c r="B1082" s="1360"/>
      <c r="C1082" s="5598"/>
      <c r="D1082" s="9598" t="s">
        <v>143</v>
      </c>
      <c r="E1082" s="9600"/>
      <c r="F1082" s="492" t="s">
        <v>732</v>
      </c>
      <c r="G1082" s="666"/>
      <c r="H1082" s="684"/>
      <c r="I1082" s="9582" t="s">
        <v>144</v>
      </c>
      <c r="J1082" s="9583"/>
      <c r="K1082" s="285" t="s">
        <v>734</v>
      </c>
      <c r="L1082" s="5594">
        <v>2</v>
      </c>
      <c r="M1082" s="5671" t="s">
        <v>801</v>
      </c>
      <c r="N1082" s="5601">
        <v>1</v>
      </c>
      <c r="O1082" s="5680" t="s">
        <v>801</v>
      </c>
      <c r="P1082" s="5602">
        <v>1</v>
      </c>
      <c r="Q1082" s="5948"/>
      <c r="R1082" s="2468"/>
      <c r="S1082" s="544"/>
      <c r="T1082" s="545"/>
      <c r="U1082" s="546"/>
      <c r="V1082" s="547"/>
      <c r="W1082" s="548"/>
      <c r="X1082" s="277"/>
      <c r="Y1082" s="277"/>
      <c r="Z1082" s="187"/>
      <c r="AA1082" s="6301"/>
      <c r="AB1082" s="139"/>
      <c r="AC1082" s="139"/>
      <c r="AD1082" s="139"/>
      <c r="AE1082" s="139"/>
      <c r="AF1082" s="139"/>
      <c r="AG1082" s="139"/>
      <c r="AH1082" s="139"/>
      <c r="AI1082" s="139"/>
      <c r="AJ1082" s="139"/>
      <c r="AK1082" s="139"/>
      <c r="AL1082" s="139"/>
      <c r="AM1082" s="139"/>
      <c r="AN1082" s="139"/>
      <c r="AO1082" s="139"/>
      <c r="AP1082" s="139"/>
      <c r="AQ1082" s="139"/>
      <c r="AR1082" s="139"/>
      <c r="AS1082" s="139"/>
      <c r="AT1082" s="139"/>
      <c r="AU1082" s="139"/>
      <c r="AV1082" s="139"/>
      <c r="AW1082" s="139"/>
      <c r="AX1082" s="139"/>
      <c r="AY1082" s="139"/>
      <c r="AZ1082" s="139"/>
      <c r="BA1082" s="139"/>
      <c r="BB1082" s="139"/>
      <c r="BC1082" s="139"/>
      <c r="BD1082" s="139"/>
      <c r="BE1082" s="139"/>
      <c r="BF1082" s="139"/>
      <c r="BG1082" s="139"/>
      <c r="BH1082" s="139"/>
    </row>
    <row r="1083" spans="2:60" s="11" customFormat="1" ht="20.100000000000001" customHeight="1">
      <c r="B1083" s="1360"/>
      <c r="C1083" s="5598"/>
      <c r="D1083" s="9598" t="s">
        <v>631</v>
      </c>
      <c r="E1083" s="9600"/>
      <c r="F1083" s="492" t="s">
        <v>732</v>
      </c>
      <c r="G1083" s="666"/>
      <c r="H1083" s="684"/>
      <c r="I1083" s="9582" t="s">
        <v>147</v>
      </c>
      <c r="J1083" s="9583"/>
      <c r="K1083" s="285" t="s">
        <v>734</v>
      </c>
      <c r="L1083" s="5594">
        <v>8</v>
      </c>
      <c r="M1083" s="5671" t="s">
        <v>751</v>
      </c>
      <c r="N1083" s="5601">
        <v>9</v>
      </c>
      <c r="O1083" s="5680" t="s">
        <v>751</v>
      </c>
      <c r="P1083" s="5602">
        <v>6</v>
      </c>
      <c r="Q1083" s="5948"/>
      <c r="R1083" s="2468"/>
      <c r="S1083" s="544"/>
      <c r="T1083" s="545"/>
      <c r="U1083" s="546"/>
      <c r="V1083" s="547"/>
      <c r="W1083" s="548"/>
      <c r="X1083" s="277"/>
      <c r="Y1083" s="277"/>
      <c r="Z1083" s="187"/>
      <c r="AA1083" s="6301"/>
      <c r="AB1083" s="139"/>
      <c r="AC1083" s="139"/>
      <c r="AD1083" s="139"/>
      <c r="AE1083" s="139"/>
      <c r="AF1083" s="139"/>
      <c r="AG1083" s="139"/>
      <c r="AH1083" s="139"/>
      <c r="AI1083" s="139"/>
      <c r="AJ1083" s="139"/>
      <c r="AK1083" s="139"/>
      <c r="AL1083" s="139"/>
      <c r="AM1083" s="139"/>
      <c r="AN1083" s="139"/>
      <c r="AO1083" s="139"/>
      <c r="AP1083" s="139"/>
      <c r="AQ1083" s="139"/>
      <c r="AR1083" s="139"/>
      <c r="AS1083" s="139"/>
      <c r="AT1083" s="139"/>
      <c r="AU1083" s="139"/>
      <c r="AV1083" s="139"/>
      <c r="AW1083" s="139"/>
      <c r="AX1083" s="139"/>
      <c r="AY1083" s="139"/>
      <c r="AZ1083" s="139"/>
      <c r="BA1083" s="139"/>
      <c r="BB1083" s="139"/>
      <c r="BC1083" s="139"/>
      <c r="BD1083" s="139"/>
      <c r="BE1083" s="139"/>
      <c r="BF1083" s="139"/>
      <c r="BG1083" s="139"/>
      <c r="BH1083" s="139"/>
    </row>
    <row r="1084" spans="2:60" s="11" customFormat="1" ht="20.100000000000001" customHeight="1">
      <c r="B1084" s="1360"/>
      <c r="C1084" s="5598"/>
      <c r="D1084" s="9598" t="s">
        <v>633</v>
      </c>
      <c r="E1084" s="9600"/>
      <c r="F1084" s="492" t="s">
        <v>732</v>
      </c>
      <c r="G1084" s="666"/>
      <c r="H1084" s="684"/>
      <c r="I1084" s="9582" t="s">
        <v>150</v>
      </c>
      <c r="J1084" s="9583"/>
      <c r="K1084" s="285" t="s">
        <v>734</v>
      </c>
      <c r="L1084" s="5594">
        <v>16</v>
      </c>
      <c r="M1084" s="5984"/>
      <c r="N1084" s="5758">
        <v>18</v>
      </c>
      <c r="O1084" s="5680"/>
      <c r="P1084" s="5602">
        <v>22</v>
      </c>
      <c r="Q1084" s="5948"/>
      <c r="R1084" s="2468"/>
      <c r="S1084" s="544"/>
      <c r="T1084" s="545"/>
      <c r="U1084" s="546"/>
      <c r="V1084" s="547"/>
      <c r="W1084" s="548"/>
      <c r="X1084" s="277"/>
      <c r="Y1084" s="277"/>
      <c r="Z1084" s="187"/>
      <c r="AA1084" s="6301"/>
      <c r="AB1084" s="139"/>
      <c r="AC1084" s="139"/>
      <c r="AD1084" s="139"/>
      <c r="AE1084" s="139"/>
      <c r="AF1084" s="139"/>
      <c r="AG1084" s="139"/>
      <c r="AH1084" s="139"/>
      <c r="AI1084" s="139"/>
      <c r="AJ1084" s="139"/>
      <c r="AK1084" s="139"/>
      <c r="AL1084" s="139"/>
      <c r="AM1084" s="139"/>
      <c r="AN1084" s="139"/>
      <c r="AO1084" s="139"/>
      <c r="AP1084" s="139"/>
      <c r="AQ1084" s="139"/>
      <c r="AR1084" s="139"/>
      <c r="AS1084" s="139"/>
      <c r="AT1084" s="139"/>
      <c r="AU1084" s="139"/>
      <c r="AV1084" s="139"/>
      <c r="AW1084" s="139"/>
      <c r="AX1084" s="139"/>
      <c r="AY1084" s="139"/>
      <c r="AZ1084" s="139"/>
      <c r="BA1084" s="139"/>
      <c r="BB1084" s="139"/>
      <c r="BC1084" s="139"/>
      <c r="BD1084" s="139"/>
      <c r="BE1084" s="139"/>
      <c r="BF1084" s="139"/>
      <c r="BG1084" s="139"/>
      <c r="BH1084" s="139"/>
    </row>
    <row r="1085" spans="2:60" s="11" customFormat="1" ht="20.100000000000001" customHeight="1">
      <c r="B1085" s="1360"/>
      <c r="C1085" s="9657" t="s">
        <v>833</v>
      </c>
      <c r="D1085" s="9658"/>
      <c r="E1085" s="9659"/>
      <c r="F1085" s="285" t="s">
        <v>732</v>
      </c>
      <c r="G1085" s="1197"/>
      <c r="H1085" s="9703" t="s">
        <v>834</v>
      </c>
      <c r="I1085" s="9704"/>
      <c r="J1085" s="9705"/>
      <c r="K1085" s="285" t="s">
        <v>734</v>
      </c>
      <c r="L1085" s="5783">
        <f>IF(COUNTBLANK(L1086:L1091)&gt;0,"미취합법인有",SUM(L1086:L1091))</f>
        <v>2419</v>
      </c>
      <c r="M1085" s="5944"/>
      <c r="N1085" s="5944">
        <f>IF(COUNTBLANK(N1086:N1091)&gt;0,"미취합법인有",SUM(N1086:N1091))</f>
        <v>3770</v>
      </c>
      <c r="O1085" s="5944"/>
      <c r="P1085" s="6045">
        <f>IF(COUNTBLANK(P1086:P1091)&gt;0,"미취합법인有",SUM(P1086:P1091))</f>
        <v>3819</v>
      </c>
      <c r="Q1085" s="785"/>
      <c r="R1085" s="498" t="s">
        <v>835</v>
      </c>
      <c r="S1085" s="276" t="s">
        <v>836</v>
      </c>
      <c r="T1085" s="99" t="s">
        <v>758</v>
      </c>
      <c r="U1085" s="547" t="s">
        <v>738</v>
      </c>
      <c r="V1085" s="547"/>
      <c r="W1085" s="665"/>
      <c r="X1085" s="620" t="s">
        <v>837</v>
      </c>
      <c r="Y1085" s="620"/>
      <c r="Z1085" s="159"/>
      <c r="AA1085" s="6301"/>
      <c r="AB1085" s="139" t="s">
        <v>838</v>
      </c>
      <c r="AC1085" s="139"/>
      <c r="AD1085" s="139"/>
      <c r="AE1085" s="139"/>
      <c r="AF1085" s="139"/>
      <c r="AG1085" s="139"/>
      <c r="AH1085" s="139"/>
      <c r="AI1085" s="139"/>
      <c r="AJ1085" s="139"/>
      <c r="AK1085" s="139"/>
      <c r="AL1085" s="139"/>
      <c r="AM1085" s="139"/>
      <c r="AN1085" s="139"/>
      <c r="AO1085" s="139"/>
      <c r="AP1085" s="139"/>
      <c r="AQ1085" s="139"/>
      <c r="AR1085" s="139"/>
      <c r="AS1085" s="139"/>
      <c r="AT1085" s="139"/>
      <c r="AU1085" s="139"/>
      <c r="AV1085" s="139"/>
      <c r="AW1085" s="139"/>
      <c r="AX1085" s="139"/>
      <c r="AY1085" s="139"/>
      <c r="AZ1085" s="139"/>
      <c r="BA1085" s="139"/>
      <c r="BB1085" s="139"/>
      <c r="BC1085" s="139"/>
      <c r="BD1085" s="139"/>
      <c r="BE1085" s="139"/>
      <c r="BF1085" s="139"/>
      <c r="BG1085" s="139"/>
      <c r="BH1085" s="139"/>
    </row>
    <row r="1086" spans="2:60" s="11" customFormat="1" ht="19.899999999999999" customHeight="1">
      <c r="B1086" s="5590"/>
      <c r="C1086" s="9647" t="s">
        <v>134</v>
      </c>
      <c r="D1086" s="9648"/>
      <c r="E1086" s="9649"/>
      <c r="F1086" s="285" t="s">
        <v>742</v>
      </c>
      <c r="G1086" s="253"/>
      <c r="H1086" s="9579" t="s">
        <v>135</v>
      </c>
      <c r="I1086" s="9580"/>
      <c r="J1086" s="9581"/>
      <c r="K1086" s="285" t="s">
        <v>734</v>
      </c>
      <c r="L1086" s="5691">
        <v>1135</v>
      </c>
      <c r="M1086" s="5949" t="s">
        <v>839</v>
      </c>
      <c r="N1086" s="5947">
        <v>1097</v>
      </c>
      <c r="O1086" s="5949" t="s">
        <v>839</v>
      </c>
      <c r="P1086" s="5947">
        <v>1096</v>
      </c>
      <c r="Q1086" s="5948" t="s">
        <v>839</v>
      </c>
      <c r="R1086" s="1033"/>
      <c r="S1086" s="263"/>
      <c r="T1086" s="99"/>
      <c r="U1086" s="138"/>
      <c r="V1086" s="138"/>
      <c r="W1086" s="99"/>
      <c r="X1086" s="264"/>
      <c r="Y1086" s="277"/>
      <c r="Z1086" s="187"/>
      <c r="AA1086" s="6301"/>
      <c r="AB1086" s="139"/>
      <c r="AC1086" s="139"/>
      <c r="AD1086" s="139"/>
      <c r="AE1086" s="139"/>
      <c r="AF1086" s="139"/>
      <c r="AG1086" s="139"/>
      <c r="AH1086" s="139"/>
      <c r="AI1086" s="139"/>
      <c r="AJ1086" s="139"/>
      <c r="AK1086" s="139"/>
      <c r="AL1086" s="139"/>
      <c r="AM1086" s="139"/>
      <c r="AN1086" s="139"/>
      <c r="AO1086" s="139"/>
      <c r="AP1086" s="139"/>
      <c r="AQ1086" s="139"/>
      <c r="AR1086" s="139"/>
      <c r="AS1086" s="139"/>
      <c r="AT1086" s="139"/>
      <c r="AU1086" s="139"/>
      <c r="AV1086" s="139"/>
      <c r="AW1086" s="139"/>
      <c r="AX1086" s="139"/>
      <c r="AY1086" s="139"/>
      <c r="AZ1086" s="139"/>
      <c r="BA1086" s="139"/>
      <c r="BB1086" s="139"/>
      <c r="BC1086" s="139"/>
      <c r="BD1086" s="139"/>
      <c r="BE1086" s="139"/>
      <c r="BF1086" s="139"/>
      <c r="BG1086" s="139"/>
      <c r="BH1086" s="139"/>
    </row>
    <row r="1087" spans="2:60" s="11" customFormat="1" ht="19.899999999999999" customHeight="1">
      <c r="B1087" s="5590"/>
      <c r="C1087" s="9647" t="s">
        <v>137</v>
      </c>
      <c r="D1087" s="9648"/>
      <c r="E1087" s="9649"/>
      <c r="F1087" s="285" t="s">
        <v>742</v>
      </c>
      <c r="G1087" s="253"/>
      <c r="H1087" s="9579" t="s">
        <v>138</v>
      </c>
      <c r="I1087" s="9580"/>
      <c r="J1087" s="9581"/>
      <c r="K1087" s="285" t="s">
        <v>734</v>
      </c>
      <c r="L1087" s="5691">
        <v>183</v>
      </c>
      <c r="M1087" s="5949" t="s">
        <v>840</v>
      </c>
      <c r="N1087" s="5947">
        <v>231</v>
      </c>
      <c r="O1087" s="5949" t="s">
        <v>841</v>
      </c>
      <c r="P1087" s="5947">
        <v>249</v>
      </c>
      <c r="Q1087" s="5947"/>
      <c r="R1087" s="1033"/>
      <c r="S1087" s="263"/>
      <c r="T1087" s="99"/>
      <c r="U1087" s="138"/>
      <c r="V1087" s="138"/>
      <c r="W1087" s="99"/>
      <c r="X1087" s="264"/>
      <c r="Y1087" s="277"/>
      <c r="Z1087" s="187"/>
      <c r="AA1087" s="6301"/>
      <c r="AB1087" s="139"/>
      <c r="AC1087" s="139"/>
      <c r="AD1087" s="139"/>
      <c r="AE1087" s="139"/>
      <c r="AF1087" s="139"/>
      <c r="AG1087" s="139"/>
      <c r="AH1087" s="139"/>
      <c r="AI1087" s="139"/>
      <c r="AJ1087" s="139"/>
      <c r="AK1087" s="139"/>
      <c r="AL1087" s="139"/>
      <c r="AM1087" s="139"/>
      <c r="AN1087" s="139"/>
      <c r="AO1087" s="139"/>
      <c r="AP1087" s="139"/>
      <c r="AQ1087" s="139"/>
      <c r="AR1087" s="139"/>
      <c r="AS1087" s="139"/>
      <c r="AT1087" s="139"/>
      <c r="AU1087" s="139"/>
      <c r="AV1087" s="139"/>
      <c r="AW1087" s="139"/>
      <c r="AX1087" s="139"/>
      <c r="AY1087" s="139"/>
      <c r="AZ1087" s="139"/>
      <c r="BA1087" s="139"/>
      <c r="BB1087" s="139"/>
      <c r="BC1087" s="139"/>
      <c r="BD1087" s="139"/>
      <c r="BE1087" s="139"/>
      <c r="BF1087" s="139"/>
      <c r="BG1087" s="139"/>
      <c r="BH1087" s="139"/>
    </row>
    <row r="1088" spans="2:60" s="11" customFormat="1" ht="19.899999999999999" customHeight="1">
      <c r="B1088" s="5590"/>
      <c r="C1088" s="9647" t="s">
        <v>140</v>
      </c>
      <c r="D1088" s="9648"/>
      <c r="E1088" s="9649"/>
      <c r="F1088" s="285" t="s">
        <v>742</v>
      </c>
      <c r="G1088" s="253"/>
      <c r="H1088" s="9579" t="s">
        <v>141</v>
      </c>
      <c r="I1088" s="9580"/>
      <c r="J1088" s="9581"/>
      <c r="K1088" s="285" t="s">
        <v>734</v>
      </c>
      <c r="L1088" s="5691">
        <v>0</v>
      </c>
      <c r="M1088" s="5985"/>
      <c r="N1088" s="5947">
        <v>0</v>
      </c>
      <c r="O1088" s="5985"/>
      <c r="P1088" s="5947">
        <v>0</v>
      </c>
      <c r="Q1088" s="1461"/>
      <c r="R1088" s="1033"/>
      <c r="S1088" s="263"/>
      <c r="T1088" s="99"/>
      <c r="U1088" s="138"/>
      <c r="V1088" s="138"/>
      <c r="W1088" s="99"/>
      <c r="X1088" s="264"/>
      <c r="Y1088" s="277"/>
      <c r="Z1088" s="187"/>
      <c r="AA1088" s="6301"/>
      <c r="AB1088" s="139"/>
      <c r="AC1088" s="139"/>
      <c r="AD1088" s="139"/>
      <c r="AE1088" s="139"/>
      <c r="AF1088" s="139"/>
      <c r="AG1088" s="139"/>
      <c r="AH1088" s="139"/>
      <c r="AI1088" s="139"/>
      <c r="AJ1088" s="139"/>
      <c r="AK1088" s="139"/>
      <c r="AL1088" s="139"/>
      <c r="AM1088" s="139"/>
      <c r="AN1088" s="139"/>
      <c r="AO1088" s="139"/>
      <c r="AP1088" s="139"/>
      <c r="AQ1088" s="139"/>
      <c r="AR1088" s="139"/>
      <c r="AS1088" s="139"/>
      <c r="AT1088" s="139"/>
      <c r="AU1088" s="139"/>
      <c r="AV1088" s="139"/>
      <c r="AW1088" s="139"/>
      <c r="AX1088" s="139"/>
      <c r="AY1088" s="139"/>
      <c r="AZ1088" s="139"/>
      <c r="BA1088" s="139"/>
      <c r="BB1088" s="139"/>
      <c r="BC1088" s="139"/>
      <c r="BD1088" s="139"/>
      <c r="BE1088" s="139"/>
      <c r="BF1088" s="139"/>
      <c r="BG1088" s="139"/>
      <c r="BH1088" s="139"/>
    </row>
    <row r="1089" spans="2:60" s="11" customFormat="1" ht="19.899999999999999" customHeight="1">
      <c r="B1089" s="5590"/>
      <c r="C1089" s="9647" t="s">
        <v>143</v>
      </c>
      <c r="D1089" s="9648"/>
      <c r="E1089" s="9649"/>
      <c r="F1089" s="285" t="s">
        <v>742</v>
      </c>
      <c r="G1089" s="253"/>
      <c r="H1089" s="9579" t="s">
        <v>144</v>
      </c>
      <c r="I1089" s="9580"/>
      <c r="J1089" s="9581"/>
      <c r="K1089" s="285" t="s">
        <v>734</v>
      </c>
      <c r="L1089" s="5691">
        <v>1101</v>
      </c>
      <c r="M1089" s="5949" t="s">
        <v>842</v>
      </c>
      <c r="N1089" s="5985">
        <v>2442</v>
      </c>
      <c r="O1089" s="5949" t="s">
        <v>842</v>
      </c>
      <c r="P1089" s="5985">
        <v>2474</v>
      </c>
      <c r="Q1089" s="5948"/>
      <c r="R1089" s="1033"/>
      <c r="S1089" s="263"/>
      <c r="T1089" s="99"/>
      <c r="U1089" s="138"/>
      <c r="V1089" s="138"/>
      <c r="W1089" s="99"/>
      <c r="X1089" s="264"/>
      <c r="Y1089" s="277"/>
      <c r="Z1089" s="187"/>
      <c r="AA1089" s="6301"/>
      <c r="AB1089" s="139"/>
      <c r="AC1089" s="139"/>
      <c r="AD1089" s="139"/>
      <c r="AE1089" s="139"/>
      <c r="AF1089" s="139"/>
      <c r="AG1089" s="139"/>
      <c r="AH1089" s="139"/>
      <c r="AI1089" s="139"/>
      <c r="AJ1089" s="139"/>
      <c r="AK1089" s="139"/>
      <c r="AL1089" s="139"/>
      <c r="AM1089" s="139"/>
      <c r="AN1089" s="139"/>
      <c r="AO1089" s="139"/>
      <c r="AP1089" s="139"/>
      <c r="AQ1089" s="139"/>
      <c r="AR1089" s="139"/>
      <c r="AS1089" s="139"/>
      <c r="AT1089" s="139"/>
      <c r="AU1089" s="139"/>
      <c r="AV1089" s="139"/>
      <c r="AW1089" s="139"/>
      <c r="AX1089" s="139"/>
      <c r="AY1089" s="139"/>
      <c r="AZ1089" s="139"/>
      <c r="BA1089" s="139"/>
      <c r="BB1089" s="139"/>
      <c r="BC1089" s="139"/>
      <c r="BD1089" s="139"/>
      <c r="BE1089" s="139"/>
      <c r="BF1089" s="139"/>
      <c r="BG1089" s="139"/>
      <c r="BH1089" s="139"/>
    </row>
    <row r="1090" spans="2:60" s="11" customFormat="1" ht="19.899999999999999" customHeight="1">
      <c r="B1090" s="5590"/>
      <c r="C1090" s="9647" t="s">
        <v>631</v>
      </c>
      <c r="D1090" s="9648"/>
      <c r="E1090" s="9649"/>
      <c r="F1090" s="285" t="s">
        <v>742</v>
      </c>
      <c r="G1090" s="253"/>
      <c r="H1090" s="9579" t="s">
        <v>147</v>
      </c>
      <c r="I1090" s="9580"/>
      <c r="J1090" s="9581"/>
      <c r="K1090" s="285" t="s">
        <v>734</v>
      </c>
      <c r="L1090" s="5691">
        <v>0</v>
      </c>
      <c r="M1090" s="5949"/>
      <c r="N1090" s="5985">
        <v>0</v>
      </c>
      <c r="O1090" s="5949"/>
      <c r="P1090" s="5985">
        <v>0</v>
      </c>
      <c r="Q1090" s="5949"/>
      <c r="R1090" s="1033"/>
      <c r="S1090" s="263"/>
      <c r="T1090" s="99"/>
      <c r="U1090" s="138"/>
      <c r="V1090" s="138"/>
      <c r="W1090" s="99"/>
      <c r="X1090" s="264"/>
      <c r="Y1090" s="277"/>
      <c r="Z1090" s="187"/>
      <c r="AA1090" s="6301"/>
      <c r="AB1090" s="139"/>
      <c r="AC1090" s="139"/>
      <c r="AD1090" s="139"/>
      <c r="AE1090" s="139"/>
      <c r="AF1090" s="139"/>
      <c r="AG1090" s="139"/>
      <c r="AH1090" s="139"/>
      <c r="AI1090" s="139"/>
      <c r="AJ1090" s="139"/>
      <c r="AK1090" s="139"/>
      <c r="AL1090" s="139"/>
      <c r="AM1090" s="139"/>
      <c r="AN1090" s="139"/>
      <c r="AO1090" s="139"/>
      <c r="AP1090" s="139"/>
      <c r="AQ1090" s="139"/>
      <c r="AR1090" s="139"/>
      <c r="AS1090" s="139"/>
      <c r="AT1090" s="139"/>
      <c r="AU1090" s="139"/>
      <c r="AV1090" s="139"/>
      <c r="AW1090" s="139"/>
      <c r="AX1090" s="139"/>
      <c r="AY1090" s="139"/>
      <c r="AZ1090" s="139"/>
      <c r="BA1090" s="139"/>
      <c r="BB1090" s="139"/>
      <c r="BC1090" s="139"/>
      <c r="BD1090" s="139"/>
      <c r="BE1090" s="139"/>
      <c r="BF1090" s="139"/>
      <c r="BG1090" s="139"/>
      <c r="BH1090" s="139"/>
    </row>
    <row r="1091" spans="2:60" s="11" customFormat="1" ht="19.899999999999999" customHeight="1">
      <c r="B1091" s="5590"/>
      <c r="C1091" s="9647" t="s">
        <v>633</v>
      </c>
      <c r="D1091" s="9648"/>
      <c r="E1091" s="9649"/>
      <c r="F1091" s="285" t="s">
        <v>742</v>
      </c>
      <c r="G1091" s="253"/>
      <c r="H1091" s="9579" t="s">
        <v>150</v>
      </c>
      <c r="I1091" s="9580"/>
      <c r="J1091" s="9581"/>
      <c r="K1091" s="285" t="s">
        <v>734</v>
      </c>
      <c r="L1091" s="5592" t="s">
        <v>168</v>
      </c>
      <c r="M1091" s="5949" t="s">
        <v>641</v>
      </c>
      <c r="N1091" s="5949" t="s">
        <v>168</v>
      </c>
      <c r="O1091" s="5949" t="s">
        <v>641</v>
      </c>
      <c r="P1091" s="5949" t="s">
        <v>168</v>
      </c>
      <c r="Q1091" s="5949" t="s">
        <v>641</v>
      </c>
      <c r="R1091" s="1033"/>
      <c r="S1091" s="263"/>
      <c r="T1091" s="99"/>
      <c r="U1091" s="138"/>
      <c r="V1091" s="138"/>
      <c r="W1091" s="99"/>
      <c r="X1091" s="264"/>
      <c r="Y1091" s="277"/>
      <c r="Z1091" s="187"/>
      <c r="AA1091" s="6301"/>
      <c r="AB1091" s="139"/>
      <c r="AC1091" s="139"/>
      <c r="AD1091" s="139"/>
      <c r="AE1091" s="139"/>
      <c r="AF1091" s="139"/>
      <c r="AG1091" s="139"/>
      <c r="AH1091" s="139"/>
      <c r="AI1091" s="139"/>
      <c r="AJ1091" s="139"/>
      <c r="AK1091" s="139"/>
      <c r="AL1091" s="139"/>
      <c r="AM1091" s="139"/>
      <c r="AN1091" s="139"/>
      <c r="AO1091" s="139"/>
      <c r="AP1091" s="139"/>
      <c r="AQ1091" s="139"/>
      <c r="AR1091" s="139"/>
      <c r="AS1091" s="139"/>
      <c r="AT1091" s="139"/>
      <c r="AU1091" s="139"/>
      <c r="AV1091" s="139"/>
      <c r="AW1091" s="139"/>
      <c r="AX1091" s="139"/>
      <c r="AY1091" s="139"/>
      <c r="AZ1091" s="139"/>
      <c r="BA1091" s="139"/>
      <c r="BB1091" s="139"/>
      <c r="BC1091" s="139"/>
      <c r="BD1091" s="139"/>
      <c r="BE1091" s="139"/>
      <c r="BF1091" s="139"/>
      <c r="BG1091" s="139"/>
      <c r="BH1091" s="139"/>
    </row>
    <row r="1092" spans="2:60" s="11" customFormat="1" ht="20.100000000000001" customHeight="1">
      <c r="B1092" s="1662"/>
      <c r="C1092" s="728" t="s">
        <v>843</v>
      </c>
      <c r="D1092" s="695"/>
      <c r="E1092" s="695"/>
      <c r="F1092" s="1573"/>
      <c r="G1092" s="685"/>
      <c r="H1092" s="686" t="s">
        <v>844</v>
      </c>
      <c r="I1092" s="698"/>
      <c r="J1092" s="655"/>
      <c r="K1092" s="4584" t="s">
        <v>168</v>
      </c>
      <c r="L1092" s="5618"/>
      <c r="M1092" s="5986"/>
      <c r="N1092" s="5950"/>
      <c r="O1092" s="5950"/>
      <c r="P1092" s="5950"/>
      <c r="Q1092" s="5950"/>
      <c r="R1092" s="6309"/>
      <c r="S1092" s="276"/>
      <c r="T1092" s="99" t="s">
        <v>758</v>
      </c>
      <c r="U1092" s="547" t="s">
        <v>738</v>
      </c>
      <c r="V1092" s="547"/>
      <c r="W1092" s="665"/>
      <c r="X1092" s="264"/>
      <c r="Y1092" s="277"/>
      <c r="Z1092" s="187"/>
      <c r="AA1092" s="6301"/>
      <c r="AB1092" s="139"/>
      <c r="AC1092" s="139"/>
      <c r="AD1092" s="139"/>
      <c r="AE1092" s="139"/>
      <c r="AF1092" s="139"/>
      <c r="AG1092" s="139"/>
      <c r="AH1092" s="139"/>
      <c r="AI1092" s="139"/>
      <c r="AJ1092" s="139"/>
      <c r="AK1092" s="139"/>
      <c r="AL1092" s="139"/>
      <c r="AM1092" s="139"/>
      <c r="AN1092" s="139"/>
      <c r="AO1092" s="139"/>
      <c r="AP1092" s="139"/>
      <c r="AQ1092" s="139"/>
      <c r="AR1092" s="139"/>
      <c r="AS1092" s="139"/>
      <c r="AT1092" s="139"/>
      <c r="AU1092" s="139"/>
      <c r="AV1092" s="139"/>
      <c r="AW1092" s="139"/>
      <c r="AX1092" s="139"/>
      <c r="AY1092" s="139"/>
      <c r="AZ1092" s="139"/>
      <c r="BA1092" s="139"/>
      <c r="BB1092" s="139"/>
      <c r="BC1092" s="139"/>
      <c r="BD1092" s="139"/>
      <c r="BE1092" s="139"/>
      <c r="BF1092" s="139"/>
      <c r="BG1092" s="139"/>
      <c r="BH1092" s="139"/>
    </row>
    <row r="1093" spans="2:60" s="11" customFormat="1" ht="20.100000000000001" customHeight="1">
      <c r="B1093" s="1360"/>
      <c r="C1093" s="5598"/>
      <c r="D1093" s="9584" t="s">
        <v>823</v>
      </c>
      <c r="E1093" s="9585"/>
      <c r="F1093" s="285" t="s">
        <v>732</v>
      </c>
      <c r="G1093" s="358"/>
      <c r="H1093" s="643"/>
      <c r="I1093" s="9584" t="s">
        <v>824</v>
      </c>
      <c r="J1093" s="9585"/>
      <c r="K1093" s="285" t="s">
        <v>734</v>
      </c>
      <c r="L1093" s="5968" t="str">
        <f>IF(COUNTBLANK(L1094:L1099)&gt;0,"미취합법인有",SUM(L1094:L1099))</f>
        <v>미취합법인有</v>
      </c>
      <c r="M1093" s="5945"/>
      <c r="N1093" s="5945" t="str">
        <f>IF(COUNTBLANK(N1094:N1099)&gt;0,"미취합법인有",SUM(N1094:N1099))</f>
        <v>미취합법인有</v>
      </c>
      <c r="O1093" s="5945"/>
      <c r="P1093" s="5946" t="str">
        <f>IF(COUNTBLANK(P1094:P1099)&gt;0,"미취합법인有",SUM(P1094:P1099))</f>
        <v>미취합법인有</v>
      </c>
      <c r="Q1093" s="785"/>
      <c r="R1093" s="2468"/>
      <c r="S1093" s="276"/>
      <c r="T1093" s="99" t="s">
        <v>758</v>
      </c>
      <c r="U1093" s="696" t="s">
        <v>800</v>
      </c>
      <c r="V1093" s="547"/>
      <c r="W1093" s="665"/>
      <c r="X1093" s="620"/>
      <c r="Y1093" s="672" t="s">
        <v>807</v>
      </c>
      <c r="Z1093" s="159"/>
      <c r="AA1093" s="6301"/>
      <c r="AB1093" s="139"/>
      <c r="AC1093" s="139"/>
      <c r="AD1093" s="139"/>
      <c r="AE1093" s="139"/>
      <c r="AF1093" s="139"/>
      <c r="AG1093" s="139"/>
      <c r="AH1093" s="139"/>
      <c r="AI1093" s="139"/>
      <c r="AJ1093" s="139"/>
      <c r="AK1093" s="139"/>
      <c r="AL1093" s="139"/>
      <c r="AM1093" s="139"/>
      <c r="AN1093" s="139"/>
      <c r="AO1093" s="139"/>
      <c r="AP1093" s="139"/>
      <c r="AQ1093" s="139"/>
      <c r="AR1093" s="139"/>
      <c r="AS1093" s="139"/>
      <c r="AT1093" s="139"/>
      <c r="AU1093" s="139"/>
      <c r="AV1093" s="139"/>
      <c r="AW1093" s="139"/>
      <c r="AX1093" s="139"/>
      <c r="AY1093" s="139"/>
      <c r="AZ1093" s="139"/>
      <c r="BA1093" s="139"/>
      <c r="BB1093" s="139"/>
      <c r="BC1093" s="139"/>
      <c r="BD1093" s="139"/>
      <c r="BE1093" s="139"/>
      <c r="BF1093" s="139"/>
      <c r="BG1093" s="139"/>
      <c r="BH1093" s="139"/>
    </row>
    <row r="1094" spans="2:60" s="11" customFormat="1" ht="20.100000000000001" customHeight="1">
      <c r="B1094" s="1360"/>
      <c r="C1094" s="5598"/>
      <c r="D1094" s="9598" t="s">
        <v>134</v>
      </c>
      <c r="E1094" s="9600"/>
      <c r="F1094" s="492" t="s">
        <v>732</v>
      </c>
      <c r="G1094" s="666"/>
      <c r="H1094" s="684"/>
      <c r="I1094" s="9579" t="s">
        <v>135</v>
      </c>
      <c r="J1094" s="9581"/>
      <c r="K1094" s="285" t="s">
        <v>734</v>
      </c>
      <c r="L1094" s="5594">
        <v>0</v>
      </c>
      <c r="M1094" s="1814"/>
      <c r="N1094" s="5601">
        <v>0</v>
      </c>
      <c r="O1094" s="5601"/>
      <c r="P1094" s="5947">
        <v>0</v>
      </c>
      <c r="Q1094" s="5948" t="s">
        <v>845</v>
      </c>
      <c r="R1094" s="2468"/>
      <c r="S1094" s="544"/>
      <c r="T1094" s="545"/>
      <c r="U1094" s="546"/>
      <c r="V1094" s="547"/>
      <c r="W1094" s="548"/>
      <c r="X1094" s="277"/>
      <c r="Y1094" s="277"/>
      <c r="Z1094" s="187"/>
      <c r="AA1094" s="6301"/>
      <c r="AB1094" s="139"/>
      <c r="AC1094" s="139"/>
      <c r="AD1094" s="139"/>
      <c r="AE1094" s="139"/>
      <c r="AF1094" s="139"/>
      <c r="AG1094" s="139"/>
      <c r="AH1094" s="139"/>
      <c r="AI1094" s="139"/>
      <c r="AJ1094" s="139"/>
      <c r="AK1094" s="139"/>
      <c r="AL1094" s="139"/>
      <c r="AM1094" s="139"/>
      <c r="AN1094" s="139"/>
      <c r="AO1094" s="139"/>
      <c r="AP1094" s="139"/>
      <c r="AQ1094" s="139"/>
      <c r="AR1094" s="139"/>
      <c r="AS1094" s="139"/>
      <c r="AT1094" s="139"/>
      <c r="AU1094" s="139"/>
      <c r="AV1094" s="139"/>
      <c r="AW1094" s="139"/>
      <c r="AX1094" s="139"/>
      <c r="AY1094" s="139"/>
      <c r="AZ1094" s="139"/>
      <c r="BA1094" s="139"/>
      <c r="BB1094" s="139"/>
      <c r="BC1094" s="139"/>
      <c r="BD1094" s="139"/>
      <c r="BE1094" s="139"/>
      <c r="BF1094" s="139"/>
      <c r="BG1094" s="139"/>
      <c r="BH1094" s="139"/>
    </row>
    <row r="1095" spans="2:60" s="11" customFormat="1" ht="20.100000000000001" customHeight="1">
      <c r="B1095" s="1360"/>
      <c r="C1095" s="5598"/>
      <c r="D1095" s="9598" t="s">
        <v>137</v>
      </c>
      <c r="E1095" s="9600"/>
      <c r="F1095" s="492" t="s">
        <v>732</v>
      </c>
      <c r="G1095" s="666"/>
      <c r="H1095" s="684"/>
      <c r="I1095" s="9579" t="s">
        <v>138</v>
      </c>
      <c r="J1095" s="9581"/>
      <c r="K1095" s="285" t="s">
        <v>734</v>
      </c>
      <c r="L1095" s="5594"/>
      <c r="M1095" s="1814"/>
      <c r="N1095" s="5601"/>
      <c r="O1095" s="5601"/>
      <c r="P1095" s="1814"/>
      <c r="Q1095" s="5948"/>
      <c r="R1095" s="2468"/>
      <c r="S1095" s="544"/>
      <c r="T1095" s="545"/>
      <c r="U1095" s="546"/>
      <c r="V1095" s="547"/>
      <c r="W1095" s="548"/>
      <c r="X1095" s="277"/>
      <c r="Y1095" s="277"/>
      <c r="Z1095" s="187"/>
      <c r="AA1095" s="6301"/>
      <c r="AB1095" s="139"/>
      <c r="AC1095" s="139"/>
      <c r="AD1095" s="139"/>
      <c r="AE1095" s="139"/>
      <c r="AF1095" s="139"/>
      <c r="AG1095" s="139"/>
      <c r="AH1095" s="139"/>
      <c r="AI1095" s="139"/>
      <c r="AJ1095" s="139"/>
      <c r="AK1095" s="139"/>
      <c r="AL1095" s="139"/>
      <c r="AM1095" s="139"/>
      <c r="AN1095" s="139"/>
      <c r="AO1095" s="139"/>
      <c r="AP1095" s="139"/>
      <c r="AQ1095" s="139"/>
      <c r="AR1095" s="139"/>
      <c r="AS1095" s="139"/>
      <c r="AT1095" s="139"/>
      <c r="AU1095" s="139"/>
      <c r="AV1095" s="139"/>
      <c r="AW1095" s="139"/>
      <c r="AX1095" s="139"/>
      <c r="AY1095" s="139"/>
      <c r="AZ1095" s="139"/>
      <c r="BA1095" s="139"/>
      <c r="BB1095" s="139"/>
      <c r="BC1095" s="139"/>
      <c r="BD1095" s="139"/>
      <c r="BE1095" s="139"/>
      <c r="BF1095" s="139"/>
      <c r="BG1095" s="139"/>
      <c r="BH1095" s="139"/>
    </row>
    <row r="1096" spans="2:60" s="11" customFormat="1" ht="20.100000000000001" customHeight="1">
      <c r="B1096" s="1360"/>
      <c r="C1096" s="5598"/>
      <c r="D1096" s="9598" t="s">
        <v>140</v>
      </c>
      <c r="E1096" s="9600"/>
      <c r="F1096" s="492" t="s">
        <v>732</v>
      </c>
      <c r="G1096" s="666"/>
      <c r="H1096" s="684"/>
      <c r="I1096" s="9582" t="s">
        <v>141</v>
      </c>
      <c r="J1096" s="9583"/>
      <c r="K1096" s="285" t="s">
        <v>734</v>
      </c>
      <c r="L1096" s="5594">
        <v>0</v>
      </c>
      <c r="M1096" s="1814"/>
      <c r="N1096" s="5601">
        <v>0</v>
      </c>
      <c r="O1096" s="5601"/>
      <c r="P1096" s="1814">
        <v>0</v>
      </c>
      <c r="Q1096" s="5948"/>
      <c r="R1096" s="2468"/>
      <c r="S1096" s="544"/>
      <c r="T1096" s="545"/>
      <c r="U1096" s="546"/>
      <c r="V1096" s="547"/>
      <c r="W1096" s="548"/>
      <c r="X1096" s="277"/>
      <c r="Y1096" s="277"/>
      <c r="Z1096" s="187"/>
      <c r="AA1096" s="6301"/>
      <c r="AB1096" s="139"/>
      <c r="AC1096" s="139"/>
      <c r="AD1096" s="139"/>
      <c r="AE1096" s="139"/>
      <c r="AF1096" s="139"/>
      <c r="AG1096" s="139"/>
      <c r="AH1096" s="139"/>
      <c r="AI1096" s="139"/>
      <c r="AJ1096" s="139"/>
      <c r="AK1096" s="139"/>
      <c r="AL1096" s="139"/>
      <c r="AM1096" s="139"/>
      <c r="AN1096" s="139"/>
      <c r="AO1096" s="139"/>
      <c r="AP1096" s="139"/>
      <c r="AQ1096" s="139"/>
      <c r="AR1096" s="139"/>
      <c r="AS1096" s="139"/>
      <c r="AT1096" s="139"/>
      <c r="AU1096" s="139"/>
      <c r="AV1096" s="139"/>
      <c r="AW1096" s="139"/>
      <c r="AX1096" s="139"/>
      <c r="AY1096" s="139"/>
      <c r="AZ1096" s="139"/>
      <c r="BA1096" s="139"/>
      <c r="BB1096" s="139"/>
      <c r="BC1096" s="139"/>
      <c r="BD1096" s="139"/>
      <c r="BE1096" s="139"/>
      <c r="BF1096" s="139"/>
      <c r="BG1096" s="139"/>
      <c r="BH1096" s="139"/>
    </row>
    <row r="1097" spans="2:60" s="11" customFormat="1" ht="20.100000000000001" customHeight="1">
      <c r="B1097" s="1360"/>
      <c r="C1097" s="5598"/>
      <c r="D1097" s="9598" t="s">
        <v>143</v>
      </c>
      <c r="E1097" s="9600"/>
      <c r="F1097" s="492" t="s">
        <v>732</v>
      </c>
      <c r="G1097" s="666"/>
      <c r="H1097" s="684"/>
      <c r="I1097" s="9582" t="s">
        <v>144</v>
      </c>
      <c r="J1097" s="9583"/>
      <c r="K1097" s="285" t="s">
        <v>734</v>
      </c>
      <c r="L1097" s="5594"/>
      <c r="M1097" s="1814"/>
      <c r="N1097" s="5601">
        <v>0</v>
      </c>
      <c r="O1097" s="5601"/>
      <c r="P1097" s="1814">
        <v>0</v>
      </c>
      <c r="Q1097" s="5948"/>
      <c r="R1097" s="2468"/>
      <c r="S1097" s="544"/>
      <c r="T1097" s="545"/>
      <c r="U1097" s="546"/>
      <c r="V1097" s="547"/>
      <c r="W1097" s="548"/>
      <c r="X1097" s="277"/>
      <c r="Y1097" s="277"/>
      <c r="Z1097" s="187"/>
      <c r="AA1097" s="6301"/>
      <c r="AB1097" s="139"/>
      <c r="AC1097" s="139"/>
      <c r="AD1097" s="139"/>
      <c r="AE1097" s="139"/>
      <c r="AF1097" s="139"/>
      <c r="AG1097" s="139"/>
      <c r="AH1097" s="139"/>
      <c r="AI1097" s="139"/>
      <c r="AJ1097" s="139"/>
      <c r="AK1097" s="139"/>
      <c r="AL1097" s="139"/>
      <c r="AM1097" s="139"/>
      <c r="AN1097" s="139"/>
      <c r="AO1097" s="139"/>
      <c r="AP1097" s="139"/>
      <c r="AQ1097" s="139"/>
      <c r="AR1097" s="139"/>
      <c r="AS1097" s="139"/>
      <c r="AT1097" s="139"/>
      <c r="AU1097" s="139"/>
      <c r="AV1097" s="139"/>
      <c r="AW1097" s="139"/>
      <c r="AX1097" s="139"/>
      <c r="AY1097" s="139"/>
      <c r="AZ1097" s="139"/>
      <c r="BA1097" s="139"/>
      <c r="BB1097" s="139"/>
      <c r="BC1097" s="139"/>
      <c r="BD1097" s="139"/>
      <c r="BE1097" s="139"/>
      <c r="BF1097" s="139"/>
      <c r="BG1097" s="139"/>
      <c r="BH1097" s="139"/>
    </row>
    <row r="1098" spans="2:60" s="11" customFormat="1" ht="20.100000000000001" customHeight="1">
      <c r="B1098" s="1360"/>
      <c r="C1098" s="5598"/>
      <c r="D1098" s="9598" t="s">
        <v>631</v>
      </c>
      <c r="E1098" s="9600"/>
      <c r="F1098" s="492" t="s">
        <v>732</v>
      </c>
      <c r="G1098" s="666"/>
      <c r="H1098" s="684"/>
      <c r="I1098" s="9582" t="s">
        <v>147</v>
      </c>
      <c r="J1098" s="9583"/>
      <c r="K1098" s="285" t="s">
        <v>734</v>
      </c>
      <c r="L1098" s="5594">
        <v>0</v>
      </c>
      <c r="M1098" s="1814"/>
      <c r="N1098" s="5601">
        <v>0</v>
      </c>
      <c r="O1098" s="5601"/>
      <c r="P1098" s="1814">
        <v>0</v>
      </c>
      <c r="Q1098" s="5948"/>
      <c r="R1098" s="2468"/>
      <c r="S1098" s="544"/>
      <c r="T1098" s="545"/>
      <c r="U1098" s="546"/>
      <c r="V1098" s="547"/>
      <c r="W1098" s="548"/>
      <c r="X1098" s="277"/>
      <c r="Y1098" s="277"/>
      <c r="Z1098" s="187"/>
      <c r="AA1098" s="6301"/>
      <c r="AB1098" s="139"/>
      <c r="AC1098" s="139"/>
      <c r="AD1098" s="139"/>
      <c r="AE1098" s="139"/>
      <c r="AF1098" s="139"/>
      <c r="AG1098" s="139"/>
      <c r="AH1098" s="139"/>
      <c r="AI1098" s="139"/>
      <c r="AJ1098" s="139"/>
      <c r="AK1098" s="139"/>
      <c r="AL1098" s="139"/>
      <c r="AM1098" s="139"/>
      <c r="AN1098" s="139"/>
      <c r="AO1098" s="139"/>
      <c r="AP1098" s="139"/>
      <c r="AQ1098" s="139"/>
      <c r="AR1098" s="139"/>
      <c r="AS1098" s="139"/>
      <c r="AT1098" s="139"/>
      <c r="AU1098" s="139"/>
      <c r="AV1098" s="139"/>
      <c r="AW1098" s="139"/>
      <c r="AX1098" s="139"/>
      <c r="AY1098" s="139"/>
      <c r="AZ1098" s="139"/>
      <c r="BA1098" s="139"/>
      <c r="BB1098" s="139"/>
      <c r="BC1098" s="139"/>
      <c r="BD1098" s="139"/>
      <c r="BE1098" s="139"/>
      <c r="BF1098" s="139"/>
      <c r="BG1098" s="139"/>
      <c r="BH1098" s="139"/>
    </row>
    <row r="1099" spans="2:60" s="11" customFormat="1" ht="20.100000000000001" customHeight="1">
      <c r="B1099" s="1360"/>
      <c r="C1099" s="5598"/>
      <c r="D1099" s="9598" t="s">
        <v>633</v>
      </c>
      <c r="E1099" s="9600"/>
      <c r="F1099" s="492" t="s">
        <v>732</v>
      </c>
      <c r="G1099" s="666"/>
      <c r="H1099" s="684"/>
      <c r="I1099" s="9582" t="s">
        <v>150</v>
      </c>
      <c r="J1099" s="9583"/>
      <c r="K1099" s="285" t="s">
        <v>734</v>
      </c>
      <c r="L1099" s="5594">
        <v>0</v>
      </c>
      <c r="M1099" s="1814"/>
      <c r="N1099" s="5601">
        <v>0</v>
      </c>
      <c r="O1099" s="5601"/>
      <c r="P1099" s="1814">
        <v>0</v>
      </c>
      <c r="Q1099" s="5948"/>
      <c r="R1099" s="2468"/>
      <c r="S1099" s="544"/>
      <c r="T1099" s="545"/>
      <c r="U1099" s="546"/>
      <c r="V1099" s="547"/>
      <c r="W1099" s="548"/>
      <c r="X1099" s="277"/>
      <c r="Y1099" s="277"/>
      <c r="Z1099" s="187"/>
      <c r="AA1099" s="6301"/>
      <c r="AB1099" s="139"/>
      <c r="AC1099" s="139"/>
      <c r="AD1099" s="139"/>
      <c r="AE1099" s="139"/>
      <c r="AF1099" s="139"/>
      <c r="AG1099" s="139"/>
      <c r="AH1099" s="139"/>
      <c r="AI1099" s="139"/>
      <c r="AJ1099" s="139"/>
      <c r="AK1099" s="139"/>
      <c r="AL1099" s="139"/>
      <c r="AM1099" s="139"/>
      <c r="AN1099" s="139"/>
      <c r="AO1099" s="139"/>
      <c r="AP1099" s="139"/>
      <c r="AQ1099" s="139"/>
      <c r="AR1099" s="139"/>
      <c r="AS1099" s="139"/>
      <c r="AT1099" s="139"/>
      <c r="AU1099" s="139"/>
      <c r="AV1099" s="139"/>
      <c r="AW1099" s="139"/>
      <c r="AX1099" s="139"/>
      <c r="AY1099" s="139"/>
      <c r="AZ1099" s="139"/>
      <c r="BA1099" s="139"/>
      <c r="BB1099" s="139"/>
      <c r="BC1099" s="139"/>
      <c r="BD1099" s="139"/>
      <c r="BE1099" s="139"/>
      <c r="BF1099" s="139"/>
      <c r="BG1099" s="139"/>
      <c r="BH1099" s="139"/>
    </row>
    <row r="1100" spans="2:60" s="11" customFormat="1" ht="20.100000000000001" customHeight="1">
      <c r="B1100" s="1360"/>
      <c r="C1100" s="5598"/>
      <c r="D1100" s="9584" t="s">
        <v>827</v>
      </c>
      <c r="E1100" s="9585"/>
      <c r="F1100" s="285" t="s">
        <v>732</v>
      </c>
      <c r="G1100" s="358"/>
      <c r="H1100" s="643"/>
      <c r="I1100" s="9584" t="s">
        <v>828</v>
      </c>
      <c r="J1100" s="9585"/>
      <c r="K1100" s="285" t="s">
        <v>734</v>
      </c>
      <c r="L1100" s="5653" t="str">
        <f>IF(COUNTBLANK(L1101:L1106)&gt;0,"미취합법인有",SUM(L1101:L1106))</f>
        <v>미취합법인有</v>
      </c>
      <c r="M1100" s="5945"/>
      <c r="N1100" s="5945" t="str">
        <f>IF(COUNTBLANK(N1101:N1106)&gt;0,"미취합법인有",SUM(N1101:N1106))</f>
        <v>미취합법인有</v>
      </c>
      <c r="O1100" s="5945"/>
      <c r="P1100" s="5946" t="str">
        <f>IF(COUNTBLANK(P1101:P1106)&gt;0,"미취합법인有",SUM(P1101:P1106))</f>
        <v>미취합법인有</v>
      </c>
      <c r="Q1100" s="785"/>
      <c r="R1100" s="2468"/>
      <c r="S1100" s="276"/>
      <c r="T1100" s="99" t="s">
        <v>758</v>
      </c>
      <c r="U1100" s="547" t="s">
        <v>800</v>
      </c>
      <c r="V1100" s="547"/>
      <c r="W1100" s="665"/>
      <c r="X1100" s="620"/>
      <c r="Y1100" s="672" t="s">
        <v>807</v>
      </c>
      <c r="Z1100" s="159"/>
      <c r="AA1100" s="6301"/>
      <c r="AB1100" s="139"/>
      <c r="AC1100" s="139"/>
      <c r="AD1100" s="139"/>
      <c r="AE1100" s="139"/>
      <c r="AF1100" s="139"/>
      <c r="AG1100" s="139"/>
      <c r="AH1100" s="139"/>
      <c r="AI1100" s="139"/>
      <c r="AJ1100" s="139"/>
      <c r="AK1100" s="139"/>
      <c r="AL1100" s="139"/>
      <c r="AM1100" s="139"/>
      <c r="AN1100" s="139"/>
      <c r="AO1100" s="139"/>
      <c r="AP1100" s="139"/>
      <c r="AQ1100" s="139"/>
      <c r="AR1100" s="139"/>
      <c r="AS1100" s="139"/>
      <c r="AT1100" s="139"/>
      <c r="AU1100" s="139"/>
      <c r="AV1100" s="139"/>
      <c r="AW1100" s="139"/>
      <c r="AX1100" s="139"/>
      <c r="AY1100" s="139"/>
      <c r="AZ1100" s="139"/>
      <c r="BA1100" s="139"/>
      <c r="BB1100" s="139"/>
      <c r="BC1100" s="139"/>
      <c r="BD1100" s="139"/>
      <c r="BE1100" s="139"/>
      <c r="BF1100" s="139"/>
      <c r="BG1100" s="139"/>
      <c r="BH1100" s="139"/>
    </row>
    <row r="1101" spans="2:60" s="11" customFormat="1" ht="20.100000000000001" customHeight="1">
      <c r="B1101" s="1360"/>
      <c r="C1101" s="5598"/>
      <c r="D1101" s="9598" t="s">
        <v>134</v>
      </c>
      <c r="E1101" s="9600"/>
      <c r="F1101" s="492" t="s">
        <v>732</v>
      </c>
      <c r="G1101" s="666"/>
      <c r="H1101" s="684"/>
      <c r="I1101" s="9579" t="s">
        <v>135</v>
      </c>
      <c r="J1101" s="9581"/>
      <c r="K1101" s="285" t="s">
        <v>734</v>
      </c>
      <c r="L1101" s="5594">
        <v>1</v>
      </c>
      <c r="M1101" s="1814"/>
      <c r="N1101" s="5601">
        <v>4</v>
      </c>
      <c r="O1101" s="5601"/>
      <c r="P1101" s="6470">
        <v>2</v>
      </c>
      <c r="Q1101" s="6471" t="s">
        <v>846</v>
      </c>
      <c r="R1101" s="2468"/>
      <c r="S1101" s="544"/>
      <c r="T1101" s="545"/>
      <c r="U1101" s="546"/>
      <c r="V1101" s="547"/>
      <c r="W1101" s="548"/>
      <c r="X1101" s="277"/>
      <c r="Y1101" s="277"/>
      <c r="Z1101" s="187"/>
      <c r="AA1101" s="6301"/>
      <c r="AB1101" s="139" t="s">
        <v>847</v>
      </c>
      <c r="AC1101" s="139"/>
      <c r="AD1101" s="139"/>
      <c r="AE1101" s="139"/>
      <c r="AF1101" s="139"/>
      <c r="AG1101" s="139"/>
      <c r="AH1101" s="139"/>
      <c r="AI1101" s="139"/>
      <c r="AJ1101" s="139"/>
      <c r="AK1101" s="139"/>
      <c r="AL1101" s="139"/>
      <c r="AM1101" s="139"/>
      <c r="AN1101" s="139"/>
      <c r="AO1101" s="139"/>
      <c r="AP1101" s="139"/>
      <c r="AQ1101" s="139"/>
      <c r="AR1101" s="139"/>
      <c r="AS1101" s="139"/>
      <c r="AT1101" s="139"/>
      <c r="AU1101" s="139"/>
      <c r="AV1101" s="139"/>
      <c r="AW1101" s="139"/>
      <c r="AX1101" s="139"/>
      <c r="AY1101" s="139"/>
      <c r="AZ1101" s="139"/>
      <c r="BA1101" s="139"/>
      <c r="BB1101" s="139"/>
      <c r="BC1101" s="139"/>
      <c r="BD1101" s="139"/>
      <c r="BE1101" s="139"/>
      <c r="BF1101" s="139"/>
      <c r="BG1101" s="139"/>
      <c r="BH1101" s="139"/>
    </row>
    <row r="1102" spans="2:60" s="11" customFormat="1" ht="20.100000000000001" customHeight="1">
      <c r="B1102" s="1360"/>
      <c r="C1102" s="5598"/>
      <c r="D1102" s="9598" t="s">
        <v>137</v>
      </c>
      <c r="E1102" s="9600"/>
      <c r="F1102" s="492" t="s">
        <v>732</v>
      </c>
      <c r="G1102" s="666"/>
      <c r="H1102" s="684"/>
      <c r="I1102" s="9579" t="s">
        <v>138</v>
      </c>
      <c r="J1102" s="9581"/>
      <c r="K1102" s="285" t="s">
        <v>734</v>
      </c>
      <c r="L1102" s="5594"/>
      <c r="M1102" s="1814"/>
      <c r="N1102" s="5601"/>
      <c r="O1102" s="5601"/>
      <c r="P1102" s="1814"/>
      <c r="Q1102" s="5948"/>
      <c r="R1102" s="2468"/>
      <c r="S1102" s="544"/>
      <c r="T1102" s="545"/>
      <c r="U1102" s="546"/>
      <c r="V1102" s="547"/>
      <c r="W1102" s="548"/>
      <c r="X1102" s="277"/>
      <c r="Y1102" s="277"/>
      <c r="Z1102" s="187"/>
      <c r="AA1102" s="6301"/>
      <c r="AB1102" s="139"/>
      <c r="AC1102" s="139"/>
      <c r="AD1102" s="139"/>
      <c r="AE1102" s="139"/>
      <c r="AF1102" s="139"/>
      <c r="AG1102" s="139"/>
      <c r="AH1102" s="139"/>
      <c r="AI1102" s="139"/>
      <c r="AJ1102" s="139"/>
      <c r="AK1102" s="139"/>
      <c r="AL1102" s="139"/>
      <c r="AM1102" s="139"/>
      <c r="AN1102" s="139"/>
      <c r="AO1102" s="139"/>
      <c r="AP1102" s="139"/>
      <c r="AQ1102" s="139"/>
      <c r="AR1102" s="139"/>
      <c r="AS1102" s="139"/>
      <c r="AT1102" s="139"/>
      <c r="AU1102" s="139"/>
      <c r="AV1102" s="139"/>
      <c r="AW1102" s="139"/>
      <c r="AX1102" s="139"/>
      <c r="AY1102" s="139"/>
      <c r="AZ1102" s="139"/>
      <c r="BA1102" s="139"/>
      <c r="BB1102" s="139"/>
      <c r="BC1102" s="139"/>
      <c r="BD1102" s="139"/>
      <c r="BE1102" s="139"/>
      <c r="BF1102" s="139"/>
      <c r="BG1102" s="139"/>
      <c r="BH1102" s="139"/>
    </row>
    <row r="1103" spans="2:60" s="11" customFormat="1" ht="20.100000000000001" customHeight="1">
      <c r="B1103" s="1360"/>
      <c r="C1103" s="5598"/>
      <c r="D1103" s="9598" t="s">
        <v>140</v>
      </c>
      <c r="E1103" s="9600"/>
      <c r="F1103" s="492" t="s">
        <v>732</v>
      </c>
      <c r="G1103" s="666"/>
      <c r="H1103" s="684"/>
      <c r="I1103" s="9582" t="s">
        <v>141</v>
      </c>
      <c r="J1103" s="9583"/>
      <c r="K1103" s="285" t="s">
        <v>734</v>
      </c>
      <c r="L1103" s="5594">
        <v>18</v>
      </c>
      <c r="M1103" s="1814"/>
      <c r="N1103" s="5601">
        <v>22</v>
      </c>
      <c r="O1103" s="5601"/>
      <c r="P1103" s="1814">
        <v>35</v>
      </c>
      <c r="Q1103" s="5948"/>
      <c r="R1103" s="2468"/>
      <c r="S1103" s="544"/>
      <c r="T1103" s="545"/>
      <c r="U1103" s="546"/>
      <c r="V1103" s="547"/>
      <c r="W1103" s="548"/>
      <c r="X1103" s="277"/>
      <c r="Y1103" s="277"/>
      <c r="Z1103" s="187"/>
      <c r="AA1103" s="6301"/>
      <c r="AB1103" s="139"/>
      <c r="AC1103" s="139"/>
      <c r="AD1103" s="139"/>
      <c r="AE1103" s="139"/>
      <c r="AF1103" s="139"/>
      <c r="AG1103" s="139"/>
      <c r="AH1103" s="139"/>
      <c r="AI1103" s="139"/>
      <c r="AJ1103" s="139"/>
      <c r="AK1103" s="139"/>
      <c r="AL1103" s="139"/>
      <c r="AM1103" s="139"/>
      <c r="AN1103" s="139"/>
      <c r="AO1103" s="139"/>
      <c r="AP1103" s="139"/>
      <c r="AQ1103" s="139"/>
      <c r="AR1103" s="139"/>
      <c r="AS1103" s="139"/>
      <c r="AT1103" s="139"/>
      <c r="AU1103" s="139"/>
      <c r="AV1103" s="139"/>
      <c r="AW1103" s="139"/>
      <c r="AX1103" s="139"/>
      <c r="AY1103" s="139"/>
      <c r="AZ1103" s="139"/>
      <c r="BA1103" s="139"/>
      <c r="BB1103" s="139"/>
      <c r="BC1103" s="139"/>
      <c r="BD1103" s="139"/>
      <c r="BE1103" s="139"/>
      <c r="BF1103" s="139"/>
      <c r="BG1103" s="139"/>
      <c r="BH1103" s="139"/>
    </row>
    <row r="1104" spans="2:60" s="11" customFormat="1" ht="20.100000000000001" customHeight="1">
      <c r="B1104" s="1360"/>
      <c r="C1104" s="5598"/>
      <c r="D1104" s="9598" t="s">
        <v>143</v>
      </c>
      <c r="E1104" s="9600"/>
      <c r="F1104" s="492" t="s">
        <v>732</v>
      </c>
      <c r="G1104" s="666"/>
      <c r="H1104" s="684"/>
      <c r="I1104" s="9582" t="s">
        <v>144</v>
      </c>
      <c r="J1104" s="9583"/>
      <c r="K1104" s="285" t="s">
        <v>734</v>
      </c>
      <c r="L1104" s="5594">
        <v>5</v>
      </c>
      <c r="M1104" s="1814" t="s">
        <v>762</v>
      </c>
      <c r="N1104" s="5601">
        <v>5</v>
      </c>
      <c r="O1104" s="5601" t="s">
        <v>762</v>
      </c>
      <c r="P1104" s="1814">
        <v>5</v>
      </c>
      <c r="Q1104" s="5948"/>
      <c r="R1104" s="2468"/>
      <c r="S1104" s="544"/>
      <c r="T1104" s="545"/>
      <c r="U1104" s="546"/>
      <c r="V1104" s="547"/>
      <c r="W1104" s="548"/>
      <c r="X1104" s="277"/>
      <c r="Y1104" s="277"/>
      <c r="Z1104" s="187"/>
      <c r="AA1104" s="6301"/>
      <c r="AB1104" s="139"/>
      <c r="AC1104" s="139"/>
      <c r="AD1104" s="139"/>
      <c r="AE1104" s="139"/>
      <c r="AF1104" s="139"/>
      <c r="AG1104" s="139"/>
      <c r="AH1104" s="139"/>
      <c r="AI1104" s="139"/>
      <c r="AJ1104" s="139"/>
      <c r="AK1104" s="139"/>
      <c r="AL1104" s="139"/>
      <c r="AM1104" s="139"/>
      <c r="AN1104" s="139"/>
      <c r="AO1104" s="139"/>
      <c r="AP1104" s="139"/>
      <c r="AQ1104" s="139"/>
      <c r="AR1104" s="139"/>
      <c r="AS1104" s="139"/>
      <c r="AT1104" s="139"/>
      <c r="AU1104" s="139"/>
      <c r="AV1104" s="139"/>
      <c r="AW1104" s="139"/>
      <c r="AX1104" s="139"/>
      <c r="AY1104" s="139"/>
      <c r="AZ1104" s="139"/>
      <c r="BA1104" s="139"/>
      <c r="BB1104" s="139"/>
      <c r="BC1104" s="139"/>
      <c r="BD1104" s="139"/>
      <c r="BE1104" s="139"/>
      <c r="BF1104" s="139"/>
      <c r="BG1104" s="139"/>
      <c r="BH1104" s="139"/>
    </row>
    <row r="1105" spans="2:60" s="11" customFormat="1" ht="20.100000000000001" customHeight="1">
      <c r="B1105" s="1360"/>
      <c r="C1105" s="5598"/>
      <c r="D1105" s="9598" t="s">
        <v>631</v>
      </c>
      <c r="E1105" s="9600"/>
      <c r="F1105" s="492" t="s">
        <v>732</v>
      </c>
      <c r="G1105" s="666"/>
      <c r="H1105" s="684"/>
      <c r="I1105" s="9582" t="s">
        <v>147</v>
      </c>
      <c r="J1105" s="9583"/>
      <c r="K1105" s="285" t="s">
        <v>734</v>
      </c>
      <c r="L1105" s="5594">
        <v>5</v>
      </c>
      <c r="M1105" s="1814"/>
      <c r="N1105" s="5601">
        <v>5</v>
      </c>
      <c r="O1105" s="5601"/>
      <c r="P1105" s="1814">
        <v>5</v>
      </c>
      <c r="Q1105" s="5948"/>
      <c r="R1105" s="2468"/>
      <c r="S1105" s="544"/>
      <c r="T1105" s="545"/>
      <c r="U1105" s="546"/>
      <c r="V1105" s="547"/>
      <c r="W1105" s="548"/>
      <c r="X1105" s="277"/>
      <c r="Y1105" s="277"/>
      <c r="Z1105" s="187"/>
      <c r="AA1105" s="6301"/>
      <c r="AB1105" s="139"/>
      <c r="AC1105" s="139"/>
      <c r="AD1105" s="139"/>
      <c r="AE1105" s="139"/>
      <c r="AF1105" s="139"/>
      <c r="AG1105" s="139"/>
      <c r="AH1105" s="139"/>
      <c r="AI1105" s="139"/>
      <c r="AJ1105" s="139"/>
      <c r="AK1105" s="139"/>
      <c r="AL1105" s="139"/>
      <c r="AM1105" s="139"/>
      <c r="AN1105" s="139"/>
      <c r="AO1105" s="139"/>
      <c r="AP1105" s="139"/>
      <c r="AQ1105" s="139"/>
      <c r="AR1105" s="139"/>
      <c r="AS1105" s="139"/>
      <c r="AT1105" s="139"/>
      <c r="AU1105" s="139"/>
      <c r="AV1105" s="139"/>
      <c r="AW1105" s="139"/>
      <c r="AX1105" s="139"/>
      <c r="AY1105" s="139"/>
      <c r="AZ1105" s="139"/>
      <c r="BA1105" s="139"/>
      <c r="BB1105" s="139"/>
      <c r="BC1105" s="139"/>
      <c r="BD1105" s="139"/>
      <c r="BE1105" s="139"/>
      <c r="BF1105" s="139"/>
      <c r="BG1105" s="139"/>
      <c r="BH1105" s="139"/>
    </row>
    <row r="1106" spans="2:60" s="11" customFormat="1" ht="20.100000000000001" customHeight="1">
      <c r="B1106" s="1360"/>
      <c r="C1106" s="5598"/>
      <c r="D1106" s="9598" t="s">
        <v>633</v>
      </c>
      <c r="E1106" s="9600"/>
      <c r="F1106" s="492" t="s">
        <v>732</v>
      </c>
      <c r="G1106" s="666"/>
      <c r="H1106" s="684"/>
      <c r="I1106" s="9582" t="s">
        <v>150</v>
      </c>
      <c r="J1106" s="9583"/>
      <c r="K1106" s="285" t="s">
        <v>734</v>
      </c>
      <c r="L1106" s="5594">
        <v>45</v>
      </c>
      <c r="M1106" s="1814"/>
      <c r="N1106" s="5601">
        <v>35</v>
      </c>
      <c r="O1106" s="5601"/>
      <c r="P1106" s="1814">
        <v>33</v>
      </c>
      <c r="Q1106" s="5948"/>
      <c r="R1106" s="2468"/>
      <c r="S1106" s="544"/>
      <c r="T1106" s="545"/>
      <c r="U1106" s="546"/>
      <c r="V1106" s="547"/>
      <c r="W1106" s="548"/>
      <c r="X1106" s="277"/>
      <c r="Y1106" s="277"/>
      <c r="Z1106" s="187"/>
      <c r="AA1106" s="6301"/>
      <c r="AB1106" s="139"/>
      <c r="AC1106" s="139"/>
      <c r="AD1106" s="139"/>
      <c r="AE1106" s="139"/>
      <c r="AF1106" s="139"/>
      <c r="AG1106" s="139"/>
      <c r="AH1106" s="139"/>
      <c r="AI1106" s="139"/>
      <c r="AJ1106" s="139"/>
      <c r="AK1106" s="139"/>
      <c r="AL1106" s="139"/>
      <c r="AM1106" s="139"/>
      <c r="AN1106" s="139"/>
      <c r="AO1106" s="139"/>
      <c r="AP1106" s="139"/>
      <c r="AQ1106" s="139"/>
      <c r="AR1106" s="139"/>
      <c r="AS1106" s="139"/>
      <c r="AT1106" s="139"/>
      <c r="AU1106" s="139"/>
      <c r="AV1106" s="139"/>
      <c r="AW1106" s="139"/>
      <c r="AX1106" s="139"/>
      <c r="AY1106" s="139"/>
      <c r="AZ1106" s="139"/>
      <c r="BA1106" s="139"/>
      <c r="BB1106" s="139"/>
      <c r="BC1106" s="139"/>
      <c r="BD1106" s="139"/>
      <c r="BE1106" s="139"/>
      <c r="BF1106" s="139"/>
      <c r="BG1106" s="139"/>
      <c r="BH1106" s="139"/>
    </row>
    <row r="1107" spans="2:60" s="11" customFormat="1" ht="20.100000000000001" customHeight="1">
      <c r="B1107" s="1360"/>
      <c r="C1107" s="5619"/>
      <c r="D1107" s="9584" t="s">
        <v>830</v>
      </c>
      <c r="E1107" s="9585"/>
      <c r="F1107" s="285" t="s">
        <v>732</v>
      </c>
      <c r="G1107" s="358"/>
      <c r="H1107" s="643"/>
      <c r="I1107" s="9584" t="s">
        <v>831</v>
      </c>
      <c r="J1107" s="9585"/>
      <c r="K1107" s="285" t="s">
        <v>734</v>
      </c>
      <c r="L1107" s="5653" t="str">
        <f>IF(COUNTBLANK(L1108:L1113)&gt;0,"미취합법인有",SUM(L1108:L1113))</f>
        <v>미취합법인有</v>
      </c>
      <c r="M1107" s="5945"/>
      <c r="N1107" s="5945" t="str">
        <f>IF(COUNTBLANK(N1108:N1113)&gt;0,"미취합법인有",SUM(N1108:N1113))</f>
        <v>미취합법인有</v>
      </c>
      <c r="O1107" s="5945"/>
      <c r="P1107" s="5946" t="str">
        <f>IF(COUNTBLANK(P1108:P1113)&gt;0,"미취합법인有",SUM(P1108:P1113))</f>
        <v>미취합법인有</v>
      </c>
      <c r="Q1107" s="785"/>
      <c r="R1107" s="2468"/>
      <c r="S1107" s="276"/>
      <c r="T1107" s="99" t="s">
        <v>758</v>
      </c>
      <c r="U1107" s="547" t="s">
        <v>800</v>
      </c>
      <c r="V1107" s="547"/>
      <c r="W1107" s="665"/>
      <c r="X1107" s="620"/>
      <c r="Y1107" s="672" t="s">
        <v>807</v>
      </c>
      <c r="Z1107" s="159"/>
      <c r="AA1107" s="6301"/>
      <c r="AB1107" s="139"/>
      <c r="AC1107" s="139"/>
      <c r="AD1107" s="139"/>
      <c r="AE1107" s="139"/>
      <c r="AF1107" s="139"/>
      <c r="AG1107" s="139"/>
      <c r="AH1107" s="139"/>
      <c r="AI1107" s="139"/>
      <c r="AJ1107" s="139"/>
      <c r="AK1107" s="139"/>
      <c r="AL1107" s="139"/>
      <c r="AM1107" s="139"/>
      <c r="AN1107" s="139"/>
      <c r="AO1107" s="139"/>
      <c r="AP1107" s="139"/>
      <c r="AQ1107" s="139"/>
      <c r="AR1107" s="139"/>
      <c r="AS1107" s="139"/>
      <c r="AT1107" s="139"/>
      <c r="AU1107" s="139"/>
      <c r="AV1107" s="139"/>
      <c r="AW1107" s="139"/>
      <c r="AX1107" s="139"/>
      <c r="AY1107" s="139"/>
      <c r="AZ1107" s="139"/>
      <c r="BA1107" s="139"/>
      <c r="BB1107" s="139"/>
      <c r="BC1107" s="139"/>
      <c r="BD1107" s="139"/>
      <c r="BE1107" s="139"/>
      <c r="BF1107" s="139"/>
      <c r="BG1107" s="139"/>
      <c r="BH1107" s="139"/>
    </row>
    <row r="1108" spans="2:60" s="11" customFormat="1" ht="20.100000000000001" customHeight="1">
      <c r="B1108" s="1360"/>
      <c r="C1108" s="5598"/>
      <c r="D1108" s="9598" t="s">
        <v>134</v>
      </c>
      <c r="E1108" s="9600"/>
      <c r="F1108" s="492" t="s">
        <v>732</v>
      </c>
      <c r="G1108" s="666"/>
      <c r="H1108" s="684"/>
      <c r="I1108" s="9579" t="s">
        <v>135</v>
      </c>
      <c r="J1108" s="9581"/>
      <c r="K1108" s="285" t="s">
        <v>734</v>
      </c>
      <c r="L1108" s="5594">
        <v>4</v>
      </c>
      <c r="M1108" s="1814"/>
      <c r="N1108" s="5601">
        <v>4</v>
      </c>
      <c r="O1108" s="5601"/>
      <c r="P1108" s="6470">
        <v>4</v>
      </c>
      <c r="Q1108" s="6471" t="s">
        <v>848</v>
      </c>
      <c r="R1108" s="2468"/>
      <c r="S1108" s="544"/>
      <c r="T1108" s="545"/>
      <c r="U1108" s="546"/>
      <c r="V1108" s="547"/>
      <c r="W1108" s="548"/>
      <c r="X1108" s="277"/>
      <c r="Y1108" s="277"/>
      <c r="Z1108" s="187"/>
      <c r="AA1108" s="6301"/>
      <c r="AB1108" s="139" t="s">
        <v>847</v>
      </c>
      <c r="AC1108" s="139"/>
      <c r="AD1108" s="139"/>
      <c r="AE1108" s="139"/>
      <c r="AF1108" s="139"/>
      <c r="AG1108" s="139"/>
      <c r="AH1108" s="139"/>
      <c r="AI1108" s="139"/>
      <c r="AJ1108" s="139"/>
      <c r="AK1108" s="139"/>
      <c r="AL1108" s="139"/>
      <c r="AM1108" s="139"/>
      <c r="AN1108" s="139"/>
      <c r="AO1108" s="139"/>
      <c r="AP1108" s="139"/>
      <c r="AQ1108" s="139"/>
      <c r="AR1108" s="139"/>
      <c r="AS1108" s="139"/>
      <c r="AT1108" s="139"/>
      <c r="AU1108" s="139"/>
      <c r="AV1108" s="139"/>
      <c r="AW1108" s="139"/>
      <c r="AX1108" s="139"/>
      <c r="AY1108" s="139"/>
      <c r="AZ1108" s="139"/>
      <c r="BA1108" s="139"/>
      <c r="BB1108" s="139"/>
      <c r="BC1108" s="139"/>
      <c r="BD1108" s="139"/>
      <c r="BE1108" s="139"/>
      <c r="BF1108" s="139"/>
      <c r="BG1108" s="139"/>
      <c r="BH1108" s="139"/>
    </row>
    <row r="1109" spans="2:60" s="11" customFormat="1" ht="20.100000000000001" customHeight="1">
      <c r="B1109" s="1360"/>
      <c r="C1109" s="5598"/>
      <c r="D1109" s="9598" t="s">
        <v>137</v>
      </c>
      <c r="E1109" s="9600"/>
      <c r="F1109" s="492" t="s">
        <v>732</v>
      </c>
      <c r="G1109" s="666"/>
      <c r="H1109" s="684"/>
      <c r="I1109" s="9579" t="s">
        <v>138</v>
      </c>
      <c r="J1109" s="9581"/>
      <c r="K1109" s="285" t="s">
        <v>734</v>
      </c>
      <c r="L1109" s="5594"/>
      <c r="M1109" s="5658"/>
      <c r="N1109" s="5601"/>
      <c r="O1109" s="5667"/>
      <c r="P1109" s="5602"/>
      <c r="Q1109" s="5948"/>
      <c r="R1109" s="2468"/>
      <c r="S1109" s="544"/>
      <c r="T1109" s="545"/>
      <c r="U1109" s="546"/>
      <c r="V1109" s="547"/>
      <c r="W1109" s="548"/>
      <c r="X1109" s="277"/>
      <c r="Y1109" s="277"/>
      <c r="Z1109" s="187"/>
      <c r="AA1109" s="6301"/>
      <c r="AB1109" s="139"/>
      <c r="AC1109" s="139"/>
      <c r="AD1109" s="139"/>
      <c r="AE1109" s="139"/>
      <c r="AF1109" s="139"/>
      <c r="AG1109" s="139"/>
      <c r="AH1109" s="139"/>
      <c r="AI1109" s="139"/>
      <c r="AJ1109" s="139"/>
      <c r="AK1109" s="139"/>
      <c r="AL1109" s="139"/>
      <c r="AM1109" s="139"/>
      <c r="AN1109" s="139"/>
      <c r="AO1109" s="139"/>
      <c r="AP1109" s="139"/>
      <c r="AQ1109" s="139"/>
      <c r="AR1109" s="139"/>
      <c r="AS1109" s="139"/>
      <c r="AT1109" s="139"/>
      <c r="AU1109" s="139"/>
      <c r="AV1109" s="139"/>
      <c r="AW1109" s="139"/>
      <c r="AX1109" s="139"/>
      <c r="AY1109" s="139"/>
      <c r="AZ1109" s="139"/>
      <c r="BA1109" s="139"/>
      <c r="BB1109" s="139"/>
      <c r="BC1109" s="139"/>
      <c r="BD1109" s="139"/>
      <c r="BE1109" s="139"/>
      <c r="BF1109" s="139"/>
      <c r="BG1109" s="139"/>
      <c r="BH1109" s="139"/>
    </row>
    <row r="1110" spans="2:60" s="11" customFormat="1" ht="20.100000000000001" customHeight="1">
      <c r="B1110" s="1360"/>
      <c r="C1110" s="5598"/>
      <c r="D1110" s="9598" t="s">
        <v>140</v>
      </c>
      <c r="E1110" s="9600"/>
      <c r="F1110" s="492" t="s">
        <v>732</v>
      </c>
      <c r="G1110" s="666"/>
      <c r="H1110" s="684"/>
      <c r="I1110" s="9582" t="s">
        <v>141</v>
      </c>
      <c r="J1110" s="9583"/>
      <c r="K1110" s="285" t="s">
        <v>734</v>
      </c>
      <c r="L1110" s="5594">
        <v>2</v>
      </c>
      <c r="M1110" s="5658"/>
      <c r="N1110" s="5601">
        <v>1</v>
      </c>
      <c r="O1110" s="5667"/>
      <c r="P1110" s="5602">
        <v>1</v>
      </c>
      <c r="Q1110" s="5948"/>
      <c r="R1110" s="2468"/>
      <c r="S1110" s="544"/>
      <c r="T1110" s="545"/>
      <c r="U1110" s="546"/>
      <c r="V1110" s="547"/>
      <c r="W1110" s="548"/>
      <c r="X1110" s="277"/>
      <c r="Y1110" s="277"/>
      <c r="Z1110" s="187"/>
      <c r="AA1110" s="6301"/>
      <c r="AB1110" s="139"/>
      <c r="AC1110" s="139"/>
      <c r="AD1110" s="139"/>
      <c r="AE1110" s="139"/>
      <c r="AF1110" s="139"/>
      <c r="AG1110" s="139"/>
      <c r="AH1110" s="139"/>
      <c r="AI1110" s="139"/>
      <c r="AJ1110" s="139"/>
      <c r="AK1110" s="139"/>
      <c r="AL1110" s="139"/>
      <c r="AM1110" s="139"/>
      <c r="AN1110" s="139"/>
      <c r="AO1110" s="139"/>
      <c r="AP1110" s="139"/>
      <c r="AQ1110" s="139"/>
      <c r="AR1110" s="139"/>
      <c r="AS1110" s="139"/>
      <c r="AT1110" s="139"/>
      <c r="AU1110" s="139"/>
      <c r="AV1110" s="139"/>
      <c r="AW1110" s="139"/>
      <c r="AX1110" s="139"/>
      <c r="AY1110" s="139"/>
      <c r="AZ1110" s="139"/>
      <c r="BA1110" s="139"/>
      <c r="BB1110" s="139"/>
      <c r="BC1110" s="139"/>
      <c r="BD1110" s="139"/>
      <c r="BE1110" s="139"/>
      <c r="BF1110" s="139"/>
      <c r="BG1110" s="139"/>
      <c r="BH1110" s="139"/>
    </row>
    <row r="1111" spans="2:60" s="11" customFormat="1" ht="20.100000000000001" customHeight="1">
      <c r="B1111" s="1360"/>
      <c r="C1111" s="5598"/>
      <c r="D1111" s="9598" t="s">
        <v>143</v>
      </c>
      <c r="E1111" s="9600"/>
      <c r="F1111" s="492" t="s">
        <v>732</v>
      </c>
      <c r="G1111" s="666"/>
      <c r="H1111" s="684"/>
      <c r="I1111" s="9582" t="s">
        <v>144</v>
      </c>
      <c r="J1111" s="9583"/>
      <c r="K1111" s="285" t="s">
        <v>734</v>
      </c>
      <c r="L1111" s="5594"/>
      <c r="M1111" s="5658"/>
      <c r="N1111" s="5601">
        <v>0</v>
      </c>
      <c r="O1111" s="5667"/>
      <c r="P1111" s="5602">
        <v>0</v>
      </c>
      <c r="Q1111" s="5948"/>
      <c r="R1111" s="2468"/>
      <c r="S1111" s="544"/>
      <c r="T1111" s="545"/>
      <c r="U1111" s="546"/>
      <c r="V1111" s="547"/>
      <c r="W1111" s="548"/>
      <c r="X1111" s="277"/>
      <c r="Y1111" s="277"/>
      <c r="Z1111" s="187"/>
      <c r="AA1111" s="6301"/>
      <c r="AB1111" s="139"/>
      <c r="AC1111" s="139"/>
      <c r="AD1111" s="139"/>
      <c r="AE1111" s="139"/>
      <c r="AF1111" s="139"/>
      <c r="AG1111" s="139"/>
      <c r="AH1111" s="139"/>
      <c r="AI1111" s="139"/>
      <c r="AJ1111" s="139"/>
      <c r="AK1111" s="139"/>
      <c r="AL1111" s="139"/>
      <c r="AM1111" s="139"/>
      <c r="AN1111" s="139"/>
      <c r="AO1111" s="139"/>
      <c r="AP1111" s="139"/>
      <c r="AQ1111" s="139"/>
      <c r="AR1111" s="139"/>
      <c r="AS1111" s="139"/>
      <c r="AT1111" s="139"/>
      <c r="AU1111" s="139"/>
      <c r="AV1111" s="139"/>
      <c r="AW1111" s="139"/>
      <c r="AX1111" s="139"/>
      <c r="AY1111" s="139"/>
      <c r="AZ1111" s="139"/>
      <c r="BA1111" s="139"/>
      <c r="BB1111" s="139"/>
      <c r="BC1111" s="139"/>
      <c r="BD1111" s="139"/>
      <c r="BE1111" s="139"/>
      <c r="BF1111" s="139"/>
      <c r="BG1111" s="139"/>
      <c r="BH1111" s="139"/>
    </row>
    <row r="1112" spans="2:60" s="11" customFormat="1" ht="20.100000000000001" customHeight="1">
      <c r="B1112" s="1360"/>
      <c r="C1112" s="5598"/>
      <c r="D1112" s="9598" t="s">
        <v>631</v>
      </c>
      <c r="E1112" s="9600"/>
      <c r="F1112" s="492" t="s">
        <v>732</v>
      </c>
      <c r="G1112" s="666"/>
      <c r="H1112" s="684"/>
      <c r="I1112" s="9582" t="s">
        <v>147</v>
      </c>
      <c r="J1112" s="9583"/>
      <c r="K1112" s="285" t="s">
        <v>734</v>
      </c>
      <c r="L1112" s="5594">
        <v>2</v>
      </c>
      <c r="M1112" s="5658"/>
      <c r="N1112" s="5601">
        <v>2</v>
      </c>
      <c r="O1112" s="5667"/>
      <c r="P1112" s="5602">
        <v>2</v>
      </c>
      <c r="Q1112" s="5948"/>
      <c r="R1112" s="2468"/>
      <c r="S1112" s="544"/>
      <c r="T1112" s="545"/>
      <c r="U1112" s="546"/>
      <c r="V1112" s="547"/>
      <c r="W1112" s="548"/>
      <c r="X1112" s="277"/>
      <c r="Y1112" s="277"/>
      <c r="Z1112" s="187"/>
      <c r="AA1112" s="6301"/>
      <c r="AB1112" s="139"/>
      <c r="AC1112" s="139"/>
      <c r="AD1112" s="139"/>
      <c r="AE1112" s="139"/>
      <c r="AF1112" s="139"/>
      <c r="AG1112" s="139"/>
      <c r="AH1112" s="139"/>
      <c r="AI1112" s="139"/>
      <c r="AJ1112" s="139"/>
      <c r="AK1112" s="139"/>
      <c r="AL1112" s="139"/>
      <c r="AM1112" s="139"/>
      <c r="AN1112" s="139"/>
      <c r="AO1112" s="139"/>
      <c r="AP1112" s="139"/>
      <c r="AQ1112" s="139"/>
      <c r="AR1112" s="139"/>
      <c r="AS1112" s="139"/>
      <c r="AT1112" s="139"/>
      <c r="AU1112" s="139"/>
      <c r="AV1112" s="139"/>
      <c r="AW1112" s="139"/>
      <c r="AX1112" s="139"/>
      <c r="AY1112" s="139"/>
      <c r="AZ1112" s="139"/>
      <c r="BA1112" s="139"/>
      <c r="BB1112" s="139"/>
      <c r="BC1112" s="139"/>
      <c r="BD1112" s="139"/>
      <c r="BE1112" s="139"/>
      <c r="BF1112" s="139"/>
      <c r="BG1112" s="139"/>
      <c r="BH1112" s="139"/>
    </row>
    <row r="1113" spans="2:60" s="11" customFormat="1" ht="20.100000000000001" customHeight="1">
      <c r="B1113" s="1360"/>
      <c r="C1113" s="5598"/>
      <c r="D1113" s="9598" t="s">
        <v>633</v>
      </c>
      <c r="E1113" s="9600"/>
      <c r="F1113" s="492" t="s">
        <v>732</v>
      </c>
      <c r="G1113" s="666"/>
      <c r="H1113" s="684"/>
      <c r="I1113" s="9582" t="s">
        <v>150</v>
      </c>
      <c r="J1113" s="9583"/>
      <c r="K1113" s="285" t="s">
        <v>734</v>
      </c>
      <c r="L1113" s="5594">
        <v>7</v>
      </c>
      <c r="M1113" s="5658"/>
      <c r="N1113" s="5601">
        <v>7</v>
      </c>
      <c r="O1113" s="5667"/>
      <c r="P1113" s="5602">
        <v>6</v>
      </c>
      <c r="Q1113" s="5948"/>
      <c r="R1113" s="2468"/>
      <c r="S1113" s="544"/>
      <c r="T1113" s="545"/>
      <c r="U1113" s="546"/>
      <c r="V1113" s="547"/>
      <c r="W1113" s="548"/>
      <c r="X1113" s="277"/>
      <c r="Y1113" s="277"/>
      <c r="Z1113" s="187"/>
      <c r="AA1113" s="6301"/>
      <c r="AB1113" s="139"/>
      <c r="AC1113" s="139"/>
      <c r="AD1113" s="139"/>
      <c r="AE1113" s="139"/>
      <c r="AF1113" s="139"/>
      <c r="AG1113" s="139"/>
      <c r="AH1113" s="139"/>
      <c r="AI1113" s="139"/>
      <c r="AJ1113" s="139"/>
      <c r="AK1113" s="139"/>
      <c r="AL1113" s="139"/>
      <c r="AM1113" s="139"/>
      <c r="AN1113" s="139"/>
      <c r="AO1113" s="139"/>
      <c r="AP1113" s="139"/>
      <c r="AQ1113" s="139"/>
      <c r="AR1113" s="139"/>
      <c r="AS1113" s="139"/>
      <c r="AT1113" s="139"/>
      <c r="AU1113" s="139"/>
      <c r="AV1113" s="139"/>
      <c r="AW1113" s="139"/>
      <c r="AX1113" s="139"/>
      <c r="AY1113" s="139"/>
      <c r="AZ1113" s="139"/>
      <c r="BA1113" s="139"/>
      <c r="BB1113" s="139"/>
      <c r="BC1113" s="139"/>
      <c r="BD1113" s="139"/>
      <c r="BE1113" s="139"/>
      <c r="BF1113" s="139"/>
      <c r="BG1113" s="139"/>
      <c r="BH1113" s="139"/>
    </row>
    <row r="1114" spans="2:60" s="11" customFormat="1" ht="20.100000000000001" customHeight="1">
      <c r="B1114" s="1360"/>
      <c r="C1114" s="9656" t="s">
        <v>849</v>
      </c>
      <c r="D1114" s="9587"/>
      <c r="E1114" s="9588"/>
      <c r="F1114" s="285" t="s">
        <v>742</v>
      </c>
      <c r="G1114" s="495"/>
      <c r="H1114" s="9586" t="s">
        <v>850</v>
      </c>
      <c r="I1114" s="9587"/>
      <c r="J1114" s="9588"/>
      <c r="K1114" s="285" t="s">
        <v>734</v>
      </c>
      <c r="L1114" s="5653">
        <f>IF(COUNTBLANK(L1115:L1120)&gt;0,"미취합법인有",SUM(L1115:L1120))</f>
        <v>355</v>
      </c>
      <c r="M1114" s="5657"/>
      <c r="N1114" s="5785">
        <f>IF(COUNTBLANK(N1115:N1120)&gt;0,"미취합법인有",SUM(N1115:N1120))</f>
        <v>357</v>
      </c>
      <c r="O1114" s="5945"/>
      <c r="P1114" s="5781">
        <f>IF(COUNTBLANK(P1115:P1120)&gt;0,"미취합법인有",SUM(P1115:P1120))</f>
        <v>380</v>
      </c>
      <c r="Q1114" s="785"/>
      <c r="R1114" s="2468" t="s">
        <v>851</v>
      </c>
      <c r="S1114" s="276"/>
      <c r="T1114" s="99" t="s">
        <v>758</v>
      </c>
      <c r="U1114" s="547" t="s">
        <v>800</v>
      </c>
      <c r="V1114" s="547"/>
      <c r="W1114" s="665"/>
      <c r="X1114" s="620" t="s">
        <v>852</v>
      </c>
      <c r="Y1114" s="154" t="s">
        <v>853</v>
      </c>
      <c r="Z1114" s="159"/>
      <c r="AA1114" s="6301"/>
      <c r="AB1114" s="139"/>
      <c r="AC1114" s="139"/>
      <c r="AD1114" s="139"/>
      <c r="AE1114" s="139"/>
      <c r="AF1114" s="139"/>
      <c r="AG1114" s="139"/>
      <c r="AH1114" s="139"/>
      <c r="AI1114" s="139"/>
      <c r="AJ1114" s="139"/>
      <c r="AK1114" s="139"/>
      <c r="AL1114" s="139"/>
      <c r="AM1114" s="139"/>
      <c r="AN1114" s="139"/>
      <c r="AO1114" s="139"/>
      <c r="AP1114" s="139"/>
      <c r="AQ1114" s="139"/>
      <c r="AR1114" s="139"/>
      <c r="AS1114" s="139"/>
      <c r="AT1114" s="139"/>
      <c r="AU1114" s="139"/>
      <c r="AV1114" s="139"/>
      <c r="AW1114" s="139"/>
      <c r="AX1114" s="139"/>
      <c r="AY1114" s="139"/>
      <c r="AZ1114" s="139"/>
      <c r="BA1114" s="139"/>
      <c r="BB1114" s="139"/>
      <c r="BC1114" s="139"/>
      <c r="BD1114" s="139"/>
      <c r="BE1114" s="139"/>
      <c r="BF1114" s="139"/>
      <c r="BG1114" s="139"/>
      <c r="BH1114" s="139"/>
    </row>
    <row r="1115" spans="2:60" s="11" customFormat="1" ht="19.899999999999999" customHeight="1">
      <c r="B1115" s="5590"/>
      <c r="C1115" s="9647" t="s">
        <v>134</v>
      </c>
      <c r="D1115" s="9648"/>
      <c r="E1115" s="9649"/>
      <c r="F1115" s="285" t="s">
        <v>742</v>
      </c>
      <c r="G1115" s="253"/>
      <c r="H1115" s="9579" t="s">
        <v>135</v>
      </c>
      <c r="I1115" s="9580"/>
      <c r="J1115" s="9581"/>
      <c r="K1115" s="285" t="s">
        <v>734</v>
      </c>
      <c r="L1115" s="5691">
        <v>192</v>
      </c>
      <c r="M1115" s="5931"/>
      <c r="N1115" s="5693">
        <v>201</v>
      </c>
      <c r="O1115" s="5931"/>
      <c r="P1115" s="5693">
        <v>201</v>
      </c>
      <c r="Q1115" s="5948"/>
      <c r="R1115" s="1033"/>
      <c r="S1115" s="263"/>
      <c r="T1115" s="99"/>
      <c r="U1115" s="138"/>
      <c r="V1115" s="138"/>
      <c r="W1115" s="99"/>
      <c r="X1115" s="264"/>
      <c r="Y1115" s="277"/>
      <c r="Z1115" s="187"/>
      <c r="AA1115" s="6301"/>
      <c r="AB1115" s="139"/>
      <c r="AC1115" s="139"/>
      <c r="AD1115" s="139"/>
      <c r="AE1115" s="139"/>
      <c r="AF1115" s="139"/>
      <c r="AG1115" s="139"/>
      <c r="AH1115" s="139"/>
      <c r="AI1115" s="139"/>
      <c r="AJ1115" s="139"/>
      <c r="AK1115" s="139"/>
      <c r="AL1115" s="139"/>
      <c r="AM1115" s="139"/>
      <c r="AN1115" s="139"/>
      <c r="AO1115" s="139"/>
      <c r="AP1115" s="139"/>
      <c r="AQ1115" s="139"/>
      <c r="AR1115" s="139"/>
      <c r="AS1115" s="139"/>
      <c r="AT1115" s="139"/>
      <c r="AU1115" s="139"/>
      <c r="AV1115" s="139"/>
      <c r="AW1115" s="139"/>
      <c r="AX1115" s="139"/>
      <c r="AY1115" s="139"/>
      <c r="AZ1115" s="139"/>
      <c r="BA1115" s="139"/>
      <c r="BB1115" s="139"/>
      <c r="BC1115" s="139"/>
      <c r="BD1115" s="139"/>
      <c r="BE1115" s="139"/>
      <c r="BF1115" s="139"/>
      <c r="BG1115" s="139"/>
      <c r="BH1115" s="139"/>
    </row>
    <row r="1116" spans="2:60" s="11" customFormat="1" ht="19.899999999999999" customHeight="1">
      <c r="B1116" s="5590"/>
      <c r="C1116" s="9647" t="s">
        <v>137</v>
      </c>
      <c r="D1116" s="9648"/>
      <c r="E1116" s="9649"/>
      <c r="F1116" s="285" t="s">
        <v>742</v>
      </c>
      <c r="G1116" s="253"/>
      <c r="H1116" s="9579" t="s">
        <v>138</v>
      </c>
      <c r="I1116" s="9580"/>
      <c r="J1116" s="9581"/>
      <c r="K1116" s="285" t="s">
        <v>734</v>
      </c>
      <c r="L1116" s="6516">
        <v>28</v>
      </c>
      <c r="M1116" s="5931"/>
      <c r="N1116" s="6517">
        <v>30</v>
      </c>
      <c r="O1116" s="5854"/>
      <c r="P1116" s="6517">
        <v>35</v>
      </c>
      <c r="Q1116" s="5948"/>
      <c r="R1116" s="1033"/>
      <c r="S1116" s="263"/>
      <c r="T1116" s="99"/>
      <c r="U1116" s="138"/>
      <c r="V1116" s="138"/>
      <c r="W1116" s="99"/>
      <c r="X1116" s="264"/>
      <c r="Y1116" s="277"/>
      <c r="Z1116" s="187"/>
      <c r="AA1116" s="6301"/>
      <c r="AB1116" s="139" t="s">
        <v>854</v>
      </c>
      <c r="AC1116" s="139"/>
      <c r="AD1116" s="139"/>
      <c r="AE1116" s="139"/>
      <c r="AF1116" s="139"/>
      <c r="AG1116" s="139"/>
      <c r="AH1116" s="139"/>
      <c r="AI1116" s="139"/>
      <c r="AJ1116" s="139"/>
      <c r="AK1116" s="139"/>
      <c r="AL1116" s="139"/>
      <c r="AM1116" s="139"/>
      <c r="AN1116" s="139"/>
      <c r="AO1116" s="139"/>
      <c r="AP1116" s="139"/>
      <c r="AQ1116" s="139"/>
      <c r="AR1116" s="139"/>
      <c r="AS1116" s="139"/>
      <c r="AT1116" s="139"/>
      <c r="AU1116" s="139"/>
      <c r="AV1116" s="139"/>
      <c r="AW1116" s="139"/>
      <c r="AX1116" s="139"/>
      <c r="AY1116" s="139"/>
      <c r="AZ1116" s="139"/>
      <c r="BA1116" s="139"/>
      <c r="BB1116" s="139"/>
      <c r="BC1116" s="139"/>
      <c r="BD1116" s="139"/>
      <c r="BE1116" s="139"/>
      <c r="BF1116" s="139"/>
      <c r="BG1116" s="139"/>
      <c r="BH1116" s="139"/>
    </row>
    <row r="1117" spans="2:60" s="11" customFormat="1" ht="19.899999999999999" customHeight="1">
      <c r="B1117" s="5590"/>
      <c r="C1117" s="9647" t="s">
        <v>140</v>
      </c>
      <c r="D1117" s="9648"/>
      <c r="E1117" s="9649"/>
      <c r="F1117" s="285" t="s">
        <v>742</v>
      </c>
      <c r="G1117" s="253"/>
      <c r="H1117" s="9579" t="s">
        <v>141</v>
      </c>
      <c r="I1117" s="9580"/>
      <c r="J1117" s="9581"/>
      <c r="K1117" s="285" t="s">
        <v>734</v>
      </c>
      <c r="L1117" s="5691">
        <v>20</v>
      </c>
      <c r="M1117" s="5931"/>
      <c r="N1117" s="5693">
        <v>23</v>
      </c>
      <c r="O1117" s="5854"/>
      <c r="P1117" s="5693">
        <v>36</v>
      </c>
      <c r="Q1117" s="5948"/>
      <c r="R1117" s="1033"/>
      <c r="S1117" s="263"/>
      <c r="T1117" s="99"/>
      <c r="U1117" s="138"/>
      <c r="V1117" s="138"/>
      <c r="W1117" s="99"/>
      <c r="X1117" s="264"/>
      <c r="Y1117" s="277"/>
      <c r="Z1117" s="187"/>
      <c r="AA1117" s="6301"/>
      <c r="AB1117" s="139"/>
      <c r="AC1117" s="139"/>
      <c r="AD1117" s="139"/>
      <c r="AE1117" s="139"/>
      <c r="AF1117" s="139"/>
      <c r="AG1117" s="139"/>
      <c r="AH1117" s="139"/>
      <c r="AI1117" s="139"/>
      <c r="AJ1117" s="139"/>
      <c r="AK1117" s="139"/>
      <c r="AL1117" s="139"/>
      <c r="AM1117" s="139"/>
      <c r="AN1117" s="139"/>
      <c r="AO1117" s="139"/>
      <c r="AP1117" s="139"/>
      <c r="AQ1117" s="139"/>
      <c r="AR1117" s="139"/>
      <c r="AS1117" s="139"/>
      <c r="AT1117" s="139"/>
      <c r="AU1117" s="139"/>
      <c r="AV1117" s="139"/>
      <c r="AW1117" s="139"/>
      <c r="AX1117" s="139"/>
      <c r="AY1117" s="139"/>
      <c r="AZ1117" s="139"/>
      <c r="BA1117" s="139"/>
      <c r="BB1117" s="139"/>
      <c r="BC1117" s="139"/>
      <c r="BD1117" s="139"/>
      <c r="BE1117" s="139"/>
      <c r="BF1117" s="139"/>
      <c r="BG1117" s="139"/>
      <c r="BH1117" s="139"/>
    </row>
    <row r="1118" spans="2:60" s="11" customFormat="1" ht="19.899999999999999" customHeight="1">
      <c r="B1118" s="5590"/>
      <c r="C1118" s="9647" t="s">
        <v>143</v>
      </c>
      <c r="D1118" s="9648"/>
      <c r="E1118" s="9649"/>
      <c r="F1118" s="285" t="s">
        <v>742</v>
      </c>
      <c r="G1118" s="253"/>
      <c r="H1118" s="9579" t="s">
        <v>144</v>
      </c>
      <c r="I1118" s="9580"/>
      <c r="J1118" s="9581"/>
      <c r="K1118" s="285" t="s">
        <v>734</v>
      </c>
      <c r="L1118" s="5691">
        <v>58</v>
      </c>
      <c r="M1118" s="5931"/>
      <c r="N1118" s="5693">
        <v>58</v>
      </c>
      <c r="O1118" s="5854"/>
      <c r="P1118" s="5693">
        <v>64</v>
      </c>
      <c r="Q1118" s="6485" t="s">
        <v>855</v>
      </c>
      <c r="R1118" s="1033"/>
      <c r="S1118" s="263"/>
      <c r="T1118" s="99"/>
      <c r="U1118" s="138"/>
      <c r="V1118" s="138"/>
      <c r="W1118" s="99"/>
      <c r="X1118" s="264"/>
      <c r="Y1118" s="277"/>
      <c r="Z1118" s="187"/>
      <c r="AA1118" s="6301"/>
      <c r="AB1118" s="139"/>
      <c r="AC1118" s="139"/>
      <c r="AD1118" s="139"/>
      <c r="AE1118" s="139"/>
      <c r="AF1118" s="139"/>
      <c r="AG1118" s="139"/>
      <c r="AH1118" s="139"/>
      <c r="AI1118" s="139"/>
      <c r="AJ1118" s="139"/>
      <c r="AK1118" s="139"/>
      <c r="AL1118" s="139"/>
      <c r="AM1118" s="139"/>
      <c r="AN1118" s="139"/>
      <c r="AO1118" s="139"/>
      <c r="AP1118" s="139"/>
      <c r="AQ1118" s="139"/>
      <c r="AR1118" s="139"/>
      <c r="AS1118" s="139"/>
      <c r="AT1118" s="139"/>
      <c r="AU1118" s="139"/>
      <c r="AV1118" s="139"/>
      <c r="AW1118" s="139"/>
      <c r="AX1118" s="139"/>
      <c r="AY1118" s="139"/>
      <c r="AZ1118" s="139"/>
      <c r="BA1118" s="139"/>
      <c r="BB1118" s="139"/>
      <c r="BC1118" s="139"/>
      <c r="BD1118" s="139"/>
      <c r="BE1118" s="139"/>
      <c r="BF1118" s="139"/>
      <c r="BG1118" s="139"/>
      <c r="BH1118" s="139"/>
    </row>
    <row r="1119" spans="2:60" s="11" customFormat="1" ht="19.899999999999999" customHeight="1">
      <c r="B1119" s="5590"/>
      <c r="C1119" s="9647" t="s">
        <v>631</v>
      </c>
      <c r="D1119" s="9648"/>
      <c r="E1119" s="9649"/>
      <c r="F1119" s="285" t="s">
        <v>742</v>
      </c>
      <c r="G1119" s="253"/>
      <c r="H1119" s="9579" t="s">
        <v>147</v>
      </c>
      <c r="I1119" s="9580"/>
      <c r="J1119" s="9581"/>
      <c r="K1119" s="285" t="s">
        <v>734</v>
      </c>
      <c r="L1119" s="5691">
        <v>5</v>
      </c>
      <c r="M1119" s="5931" t="s">
        <v>856</v>
      </c>
      <c r="N1119" s="5693">
        <v>3</v>
      </c>
      <c r="O1119" s="5854" t="s">
        <v>856</v>
      </c>
      <c r="P1119" s="5693">
        <v>5</v>
      </c>
      <c r="Q1119" s="5948"/>
      <c r="R1119" s="1033"/>
      <c r="S1119" s="263"/>
      <c r="T1119" s="99"/>
      <c r="U1119" s="138"/>
      <c r="V1119" s="138"/>
      <c r="W1119" s="99"/>
      <c r="X1119" s="264"/>
      <c r="Y1119" s="277"/>
      <c r="Z1119" s="187"/>
      <c r="AA1119" s="6301"/>
      <c r="AB1119" s="139"/>
      <c r="AC1119" s="139"/>
      <c r="AD1119" s="139"/>
      <c r="AE1119" s="139"/>
      <c r="AF1119" s="139"/>
      <c r="AG1119" s="139"/>
      <c r="AH1119" s="139"/>
      <c r="AI1119" s="139"/>
      <c r="AJ1119" s="139"/>
      <c r="AK1119" s="139"/>
      <c r="AL1119" s="139"/>
      <c r="AM1119" s="139"/>
      <c r="AN1119" s="139"/>
      <c r="AO1119" s="139"/>
      <c r="AP1119" s="139"/>
      <c r="AQ1119" s="139"/>
      <c r="AR1119" s="139"/>
      <c r="AS1119" s="139"/>
      <c r="AT1119" s="139"/>
      <c r="AU1119" s="139"/>
      <c r="AV1119" s="139"/>
      <c r="AW1119" s="139"/>
      <c r="AX1119" s="139"/>
      <c r="AY1119" s="139"/>
      <c r="AZ1119" s="139"/>
      <c r="BA1119" s="139"/>
      <c r="BB1119" s="139"/>
      <c r="BC1119" s="139"/>
      <c r="BD1119" s="139"/>
      <c r="BE1119" s="139"/>
      <c r="BF1119" s="139"/>
      <c r="BG1119" s="139"/>
      <c r="BH1119" s="139"/>
    </row>
    <row r="1120" spans="2:60" s="11" customFormat="1" ht="19.899999999999999" customHeight="1">
      <c r="B1120" s="5590"/>
      <c r="C1120" s="9647" t="s">
        <v>633</v>
      </c>
      <c r="D1120" s="9648"/>
      <c r="E1120" s="9649"/>
      <c r="F1120" s="285" t="s">
        <v>742</v>
      </c>
      <c r="G1120" s="253"/>
      <c r="H1120" s="9579" t="s">
        <v>150</v>
      </c>
      <c r="I1120" s="9580"/>
      <c r="J1120" s="9581"/>
      <c r="K1120" s="285" t="s">
        <v>734</v>
      </c>
      <c r="L1120" s="5691">
        <v>52</v>
      </c>
      <c r="M1120" s="5931"/>
      <c r="N1120" s="5693">
        <v>42</v>
      </c>
      <c r="O1120" s="5854"/>
      <c r="P1120" s="5693">
        <v>39</v>
      </c>
      <c r="Q1120" s="5948"/>
      <c r="R1120" s="1033"/>
      <c r="S1120" s="263"/>
      <c r="T1120" s="99"/>
      <c r="U1120" s="138"/>
      <c r="V1120" s="138"/>
      <c r="W1120" s="99"/>
      <c r="X1120" s="264"/>
      <c r="Y1120" s="277"/>
      <c r="Z1120" s="187"/>
      <c r="AA1120" s="6301"/>
      <c r="AB1120" s="139"/>
      <c r="AC1120" s="139"/>
      <c r="AD1120" s="139"/>
      <c r="AE1120" s="139"/>
      <c r="AF1120" s="139"/>
      <c r="AG1120" s="139"/>
      <c r="AH1120" s="139"/>
      <c r="AI1120" s="139"/>
      <c r="AJ1120" s="139"/>
      <c r="AK1120" s="139"/>
      <c r="AL1120" s="139"/>
      <c r="AM1120" s="139"/>
      <c r="AN1120" s="139"/>
      <c r="AO1120" s="139"/>
      <c r="AP1120" s="139"/>
      <c r="AQ1120" s="139"/>
      <c r="AR1120" s="139"/>
      <c r="AS1120" s="139"/>
      <c r="AT1120" s="139"/>
      <c r="AU1120" s="139"/>
      <c r="AV1120" s="139"/>
      <c r="AW1120" s="139"/>
      <c r="AX1120" s="139"/>
      <c r="AY1120" s="139"/>
      <c r="AZ1120" s="139"/>
      <c r="BA1120" s="139"/>
      <c r="BB1120" s="139"/>
      <c r="BC1120" s="139"/>
      <c r="BD1120" s="139"/>
      <c r="BE1120" s="139"/>
      <c r="BF1120" s="139"/>
      <c r="BG1120" s="139"/>
      <c r="BH1120" s="139"/>
    </row>
    <row r="1121" spans="2:60" s="11" customFormat="1" ht="20.100000000000001" customHeight="1">
      <c r="B1121" s="1360"/>
      <c r="C1121" s="9656" t="s">
        <v>857</v>
      </c>
      <c r="D1121" s="9587"/>
      <c r="E1121" s="9588"/>
      <c r="F1121" s="285" t="s">
        <v>156</v>
      </c>
      <c r="G1121" s="495"/>
      <c r="H1121" s="9586" t="s">
        <v>858</v>
      </c>
      <c r="I1121" s="9587"/>
      <c r="J1121" s="9588"/>
      <c r="K1121" s="285" t="s">
        <v>156</v>
      </c>
      <c r="L1121" s="5968">
        <f>IF(COUNTBLANK(L1122:L1127)&gt;0,"미취합법인有",AVERAGE(L1122:L1127))</f>
        <v>8.2456201916822547</v>
      </c>
      <c r="M1121" s="5657"/>
      <c r="N1121" s="5654">
        <f>IF(COUNTBLANK(N1122:N1127)&gt;0,"미취합법인有",AVERAGE(N1122:N1127))</f>
        <v>8.055595794037032</v>
      </c>
      <c r="O1121" s="5663"/>
      <c r="P1121" s="5781">
        <f>IF(COUNTBLANK(P1122:P1127)&gt;0,"미취합법인有",AVERAGE(P1122:P1127))</f>
        <v>8.8702551225922335</v>
      </c>
      <c r="Q1121" s="785"/>
      <c r="R1121" s="2468" t="s">
        <v>859</v>
      </c>
      <c r="S1121" s="276"/>
      <c r="T1121" s="99" t="s">
        <v>758</v>
      </c>
      <c r="U1121" s="547" t="s">
        <v>800</v>
      </c>
      <c r="V1121" s="547"/>
      <c r="W1121" s="665"/>
      <c r="X1121" s="620" t="s">
        <v>852</v>
      </c>
      <c r="Y1121" s="154" t="s">
        <v>853</v>
      </c>
      <c r="Z1121" s="159"/>
      <c r="AA1121" s="6301"/>
      <c r="AB1121" s="139"/>
      <c r="AC1121" s="139"/>
      <c r="AD1121" s="139"/>
      <c r="AE1121" s="139"/>
      <c r="AF1121" s="139"/>
      <c r="AG1121" s="139"/>
      <c r="AH1121" s="139"/>
      <c r="AI1121" s="139"/>
      <c r="AJ1121" s="139"/>
      <c r="AK1121" s="139"/>
      <c r="AL1121" s="139"/>
      <c r="AM1121" s="139"/>
      <c r="AN1121" s="139"/>
      <c r="AO1121" s="139"/>
      <c r="AP1121" s="139"/>
      <c r="AQ1121" s="139"/>
      <c r="AR1121" s="139"/>
      <c r="AS1121" s="139"/>
      <c r="AT1121" s="139"/>
      <c r="AU1121" s="139"/>
      <c r="AV1121" s="139"/>
      <c r="AW1121" s="139"/>
      <c r="AX1121" s="139"/>
      <c r="AY1121" s="139"/>
      <c r="AZ1121" s="139"/>
      <c r="BA1121" s="139"/>
      <c r="BB1121" s="139"/>
      <c r="BC1121" s="139"/>
      <c r="BD1121" s="139"/>
      <c r="BE1121" s="139"/>
      <c r="BF1121" s="139"/>
      <c r="BG1121" s="139"/>
      <c r="BH1121" s="139"/>
    </row>
    <row r="1122" spans="2:60" s="11" customFormat="1" ht="19.899999999999999" customHeight="1">
      <c r="B1122" s="5590"/>
      <c r="C1122" s="9647" t="s">
        <v>134</v>
      </c>
      <c r="D1122" s="9648"/>
      <c r="E1122" s="9649"/>
      <c r="F1122" s="285" t="s">
        <v>156</v>
      </c>
      <c r="G1122" s="253"/>
      <c r="H1122" s="9579" t="s">
        <v>135</v>
      </c>
      <c r="I1122" s="9580"/>
      <c r="J1122" s="9581"/>
      <c r="K1122" s="285" t="s">
        <v>156</v>
      </c>
      <c r="L1122" s="6040">
        <v>16.919999999999998</v>
      </c>
      <c r="M1122" s="5881"/>
      <c r="N1122" s="5703">
        <v>18.32</v>
      </c>
      <c r="O1122" s="5881"/>
      <c r="P1122" s="5703">
        <v>18.34</v>
      </c>
      <c r="Q1122" s="6485" t="s">
        <v>860</v>
      </c>
      <c r="R1122" s="1033"/>
      <c r="S1122" s="263"/>
      <c r="T1122" s="99"/>
      <c r="U1122" s="138"/>
      <c r="V1122" s="138"/>
      <c r="W1122" s="99"/>
      <c r="X1122" s="264"/>
      <c r="Y1122" s="277"/>
      <c r="Z1122" s="187"/>
      <c r="AA1122" s="6301"/>
      <c r="AB1122" s="139"/>
      <c r="AC1122" s="139"/>
      <c r="AD1122" s="139"/>
      <c r="AE1122" s="139"/>
      <c r="AF1122" s="139"/>
      <c r="AG1122" s="139"/>
      <c r="AH1122" s="139"/>
      <c r="AI1122" s="139"/>
      <c r="AJ1122" s="139"/>
      <c r="AK1122" s="139"/>
      <c r="AL1122" s="139"/>
      <c r="AM1122" s="139"/>
      <c r="AN1122" s="139"/>
      <c r="AO1122" s="139"/>
      <c r="AP1122" s="139"/>
      <c r="AQ1122" s="139"/>
      <c r="AR1122" s="139"/>
      <c r="AS1122" s="139"/>
      <c r="AT1122" s="139"/>
      <c r="AU1122" s="139"/>
      <c r="AV1122" s="139"/>
      <c r="AW1122" s="139"/>
      <c r="AX1122" s="139"/>
      <c r="AY1122" s="139"/>
      <c r="AZ1122" s="139"/>
      <c r="BA1122" s="139"/>
      <c r="BB1122" s="139"/>
      <c r="BC1122" s="139"/>
      <c r="BD1122" s="139"/>
      <c r="BE1122" s="139"/>
      <c r="BF1122" s="139"/>
      <c r="BG1122" s="139"/>
      <c r="BH1122" s="139"/>
    </row>
    <row r="1123" spans="2:60" s="11" customFormat="1" ht="19.899999999999999" customHeight="1">
      <c r="B1123" s="5590"/>
      <c r="C1123" s="9647" t="s">
        <v>137</v>
      </c>
      <c r="D1123" s="9648"/>
      <c r="E1123" s="9649"/>
      <c r="F1123" s="285" t="s">
        <v>156</v>
      </c>
      <c r="G1123" s="253"/>
      <c r="H1123" s="9579" t="s">
        <v>138</v>
      </c>
      <c r="I1123" s="9580"/>
      <c r="J1123" s="9581"/>
      <c r="K1123" s="285" t="s">
        <v>156</v>
      </c>
      <c r="L1123" s="6467">
        <v>15</v>
      </c>
      <c r="M1123" s="5881"/>
      <c r="N1123" s="6468">
        <v>13</v>
      </c>
      <c r="O1123" s="5882"/>
      <c r="P1123" s="6468">
        <v>14</v>
      </c>
      <c r="Q1123" s="5948"/>
      <c r="R1123" s="1033"/>
      <c r="S1123" s="263"/>
      <c r="T1123" s="99"/>
      <c r="U1123" s="138"/>
      <c r="V1123" s="138"/>
      <c r="W1123" s="99"/>
      <c r="X1123" s="264"/>
      <c r="Y1123" s="277"/>
      <c r="Z1123" s="187"/>
      <c r="AA1123" s="6301"/>
      <c r="AB1123" s="6405" t="s">
        <v>861</v>
      </c>
      <c r="AC1123" s="139"/>
      <c r="AD1123" s="139"/>
      <c r="AE1123" s="139"/>
      <c r="AF1123" s="139"/>
      <c r="AG1123" s="139"/>
      <c r="AH1123" s="139"/>
      <c r="AI1123" s="139"/>
      <c r="AJ1123" s="139"/>
      <c r="AK1123" s="139"/>
      <c r="AL1123" s="139"/>
      <c r="AM1123" s="139"/>
      <c r="AN1123" s="139"/>
      <c r="AO1123" s="139"/>
      <c r="AP1123" s="139"/>
      <c r="AQ1123" s="139"/>
      <c r="AR1123" s="139"/>
      <c r="AS1123" s="139"/>
      <c r="AT1123" s="139"/>
      <c r="AU1123" s="139"/>
      <c r="AV1123" s="139"/>
      <c r="AW1123" s="139"/>
      <c r="AX1123" s="139"/>
      <c r="AY1123" s="139"/>
      <c r="AZ1123" s="139"/>
      <c r="BA1123" s="139"/>
      <c r="BB1123" s="139"/>
      <c r="BC1123" s="139"/>
      <c r="BD1123" s="139"/>
      <c r="BE1123" s="139"/>
      <c r="BF1123" s="139"/>
      <c r="BG1123" s="139"/>
      <c r="BH1123" s="139"/>
    </row>
    <row r="1124" spans="2:60" s="11" customFormat="1" ht="19.899999999999999" customHeight="1">
      <c r="B1124" s="5590"/>
      <c r="C1124" s="9647" t="s">
        <v>140</v>
      </c>
      <c r="D1124" s="9648"/>
      <c r="E1124" s="9649"/>
      <c r="F1124" s="285" t="s">
        <v>156</v>
      </c>
      <c r="G1124" s="253"/>
      <c r="H1124" s="9579" t="s">
        <v>141</v>
      </c>
      <c r="I1124" s="9580"/>
      <c r="J1124" s="9581"/>
      <c r="K1124" s="285" t="s">
        <v>156</v>
      </c>
      <c r="L1124" s="6040">
        <v>1.8975332068311195</v>
      </c>
      <c r="M1124" s="5881"/>
      <c r="N1124" s="5703">
        <v>2.5302530253025304</v>
      </c>
      <c r="O1124" s="5882"/>
      <c r="P1124" s="5703">
        <v>4.8</v>
      </c>
      <c r="Q1124" s="5948"/>
      <c r="R1124" s="1033"/>
      <c r="S1124" s="263"/>
      <c r="T1124" s="99"/>
      <c r="U1124" s="138"/>
      <c r="V1124" s="138"/>
      <c r="W1124" s="99"/>
      <c r="X1124" s="264"/>
      <c r="Y1124" s="277"/>
      <c r="Z1124" s="187"/>
      <c r="AA1124" s="6301"/>
      <c r="AB1124" s="139"/>
      <c r="AC1124" s="139"/>
      <c r="AD1124" s="139"/>
      <c r="AE1124" s="139"/>
      <c r="AF1124" s="139"/>
      <c r="AG1124" s="139"/>
      <c r="AH1124" s="139"/>
      <c r="AI1124" s="139"/>
      <c r="AJ1124" s="139"/>
      <c r="AK1124" s="139"/>
      <c r="AL1124" s="139"/>
      <c r="AM1124" s="139"/>
      <c r="AN1124" s="139"/>
      <c r="AO1124" s="139"/>
      <c r="AP1124" s="139"/>
      <c r="AQ1124" s="139"/>
      <c r="AR1124" s="139"/>
      <c r="AS1124" s="139"/>
      <c r="AT1124" s="139"/>
      <c r="AU1124" s="139"/>
      <c r="AV1124" s="139"/>
      <c r="AW1124" s="139"/>
      <c r="AX1124" s="139"/>
      <c r="AY1124" s="139"/>
      <c r="AZ1124" s="139"/>
      <c r="BA1124" s="139"/>
      <c r="BB1124" s="139"/>
      <c r="BC1124" s="139"/>
      <c r="BD1124" s="139"/>
      <c r="BE1124" s="139"/>
      <c r="BF1124" s="139"/>
      <c r="BG1124" s="139"/>
      <c r="BH1124" s="139"/>
    </row>
    <row r="1125" spans="2:60" s="11" customFormat="1" ht="19.899999999999999" customHeight="1">
      <c r="B1125" s="5590"/>
      <c r="C1125" s="9647" t="s">
        <v>143</v>
      </c>
      <c r="D1125" s="9648"/>
      <c r="E1125" s="9649"/>
      <c r="F1125" s="285" t="s">
        <v>156</v>
      </c>
      <c r="G1125" s="253"/>
      <c r="H1125" s="9579" t="s">
        <v>144</v>
      </c>
      <c r="I1125" s="9580"/>
      <c r="J1125" s="9581"/>
      <c r="K1125" s="285" t="s">
        <v>156</v>
      </c>
      <c r="L1125" s="6044">
        <v>10.283687943262411</v>
      </c>
      <c r="M1125" s="5881" t="s">
        <v>862</v>
      </c>
      <c r="N1125" s="6021">
        <v>10.051993067590988</v>
      </c>
      <c r="O1125" s="5882" t="s">
        <v>862</v>
      </c>
      <c r="P1125" s="6021">
        <v>11.188811188811188</v>
      </c>
      <c r="Q1125" s="5948"/>
      <c r="R1125" s="1033"/>
      <c r="S1125" s="263"/>
      <c r="T1125" s="99"/>
      <c r="U1125" s="138"/>
      <c r="V1125" s="138"/>
      <c r="W1125" s="99"/>
      <c r="X1125" s="264"/>
      <c r="Y1125" s="277"/>
      <c r="Z1125" s="187"/>
      <c r="AA1125" s="6301"/>
      <c r="AB1125" s="139"/>
      <c r="AC1125" s="139"/>
      <c r="AD1125" s="139"/>
      <c r="AE1125" s="139"/>
      <c r="AF1125" s="139"/>
      <c r="AG1125" s="139"/>
      <c r="AH1125" s="139"/>
      <c r="AI1125" s="139"/>
      <c r="AJ1125" s="139"/>
      <c r="AK1125" s="139"/>
      <c r="AL1125" s="139"/>
      <c r="AM1125" s="139"/>
      <c r="AN1125" s="139"/>
      <c r="AO1125" s="139"/>
      <c r="AP1125" s="139"/>
      <c r="AQ1125" s="139"/>
      <c r="AR1125" s="139"/>
      <c r="AS1125" s="139"/>
      <c r="AT1125" s="139"/>
      <c r="AU1125" s="139"/>
      <c r="AV1125" s="139"/>
      <c r="AW1125" s="139"/>
      <c r="AX1125" s="139"/>
      <c r="AY1125" s="139"/>
      <c r="AZ1125" s="139"/>
      <c r="BA1125" s="139"/>
      <c r="BB1125" s="139"/>
      <c r="BC1125" s="139"/>
      <c r="BD1125" s="139"/>
      <c r="BE1125" s="139"/>
      <c r="BF1125" s="139"/>
      <c r="BG1125" s="139"/>
      <c r="BH1125" s="139"/>
    </row>
    <row r="1126" spans="2:60" s="11" customFormat="1" ht="19.899999999999999" customHeight="1">
      <c r="B1126" s="5590"/>
      <c r="C1126" s="9647" t="s">
        <v>631</v>
      </c>
      <c r="D1126" s="9648"/>
      <c r="E1126" s="9649"/>
      <c r="F1126" s="285" t="s">
        <v>156</v>
      </c>
      <c r="G1126" s="253"/>
      <c r="H1126" s="9579" t="s">
        <v>147</v>
      </c>
      <c r="I1126" s="9580"/>
      <c r="J1126" s="9581"/>
      <c r="K1126" s="285" t="s">
        <v>156</v>
      </c>
      <c r="L1126" s="6041">
        <v>1.31</v>
      </c>
      <c r="M1126" s="5883"/>
      <c r="N1126" s="6042">
        <v>0.76</v>
      </c>
      <c r="O1126" s="5882"/>
      <c r="P1126" s="6042">
        <v>1.21</v>
      </c>
      <c r="Q1126" s="5948"/>
      <c r="R1126" s="1033"/>
      <c r="S1126" s="263"/>
      <c r="T1126" s="99"/>
      <c r="U1126" s="138"/>
      <c r="V1126" s="138"/>
      <c r="W1126" s="99"/>
      <c r="X1126" s="264"/>
      <c r="Y1126" s="277"/>
      <c r="Z1126" s="187"/>
      <c r="AA1126" s="6301"/>
      <c r="AB1126" s="139"/>
      <c r="AC1126" s="139"/>
      <c r="AD1126" s="139"/>
      <c r="AE1126" s="139"/>
      <c r="AF1126" s="139"/>
      <c r="AG1126" s="139"/>
      <c r="AH1126" s="139"/>
      <c r="AI1126" s="139"/>
      <c r="AJ1126" s="139"/>
      <c r="AK1126" s="139"/>
      <c r="AL1126" s="139"/>
      <c r="AM1126" s="139"/>
      <c r="AN1126" s="139"/>
      <c r="AO1126" s="139"/>
      <c r="AP1126" s="139"/>
      <c r="AQ1126" s="139"/>
      <c r="AR1126" s="139"/>
      <c r="AS1126" s="139"/>
      <c r="AT1126" s="139"/>
      <c r="AU1126" s="139"/>
      <c r="AV1126" s="139"/>
      <c r="AW1126" s="139"/>
      <c r="AX1126" s="139"/>
      <c r="AY1126" s="139"/>
      <c r="AZ1126" s="139"/>
      <c r="BA1126" s="139"/>
      <c r="BB1126" s="139"/>
      <c r="BC1126" s="139"/>
      <c r="BD1126" s="139"/>
      <c r="BE1126" s="139"/>
      <c r="BF1126" s="139"/>
      <c r="BG1126" s="139"/>
      <c r="BH1126" s="139"/>
    </row>
    <row r="1127" spans="2:60" s="11" customFormat="1" ht="19.899999999999999" customHeight="1">
      <c r="B1127" s="5590"/>
      <c r="C1127" s="9647" t="s">
        <v>633</v>
      </c>
      <c r="D1127" s="9648"/>
      <c r="E1127" s="9649"/>
      <c r="F1127" s="285" t="s">
        <v>156</v>
      </c>
      <c r="G1127" s="253"/>
      <c r="H1127" s="9579" t="s">
        <v>150</v>
      </c>
      <c r="I1127" s="9580"/>
      <c r="J1127" s="9581"/>
      <c r="K1127" s="285" t="s">
        <v>156</v>
      </c>
      <c r="L1127" s="6040">
        <v>4.0625</v>
      </c>
      <c r="M1127" s="5881"/>
      <c r="N1127" s="5703">
        <v>3.6713286713286712</v>
      </c>
      <c r="O1127" s="5882"/>
      <c r="P1127" s="5703">
        <v>3.6827195467422094</v>
      </c>
      <c r="Q1127" s="5948"/>
      <c r="R1127" s="1033"/>
      <c r="S1127" s="263"/>
      <c r="T1127" s="99"/>
      <c r="U1127" s="138"/>
      <c r="V1127" s="138"/>
      <c r="W1127" s="99"/>
      <c r="X1127" s="264"/>
      <c r="Y1127" s="277"/>
      <c r="Z1127" s="187"/>
      <c r="AA1127" s="6301"/>
      <c r="AB1127" s="139"/>
      <c r="AC1127" s="139"/>
      <c r="AD1127" s="139"/>
      <c r="AE1127" s="139"/>
      <c r="AF1127" s="139"/>
      <c r="AG1127" s="139"/>
      <c r="AH1127" s="139"/>
      <c r="AI1127" s="139"/>
      <c r="AJ1127" s="139"/>
      <c r="AK1127" s="139"/>
      <c r="AL1127" s="139"/>
      <c r="AM1127" s="139"/>
      <c r="AN1127" s="139"/>
      <c r="AO1127" s="139"/>
      <c r="AP1127" s="139"/>
      <c r="AQ1127" s="139"/>
      <c r="AR1127" s="139"/>
      <c r="AS1127" s="139"/>
      <c r="AT1127" s="139"/>
      <c r="AU1127" s="139"/>
      <c r="AV1127" s="139"/>
      <c r="AW1127" s="139"/>
      <c r="AX1127" s="139"/>
      <c r="AY1127" s="139"/>
      <c r="AZ1127" s="139"/>
      <c r="BA1127" s="139"/>
      <c r="BB1127" s="139"/>
      <c r="BC1127" s="139"/>
      <c r="BD1127" s="139"/>
      <c r="BE1127" s="139"/>
      <c r="BF1127" s="139"/>
      <c r="BG1127" s="139"/>
      <c r="BH1127" s="139"/>
    </row>
    <row r="1128" spans="2:60" s="11" customFormat="1" ht="20.100000000000001" customHeight="1">
      <c r="B1128" s="1360"/>
      <c r="C1128" s="9656" t="s">
        <v>863</v>
      </c>
      <c r="D1128" s="9587"/>
      <c r="E1128" s="9588"/>
      <c r="F1128" s="285" t="s">
        <v>156</v>
      </c>
      <c r="G1128" s="358"/>
      <c r="H1128" s="9586" t="s">
        <v>864</v>
      </c>
      <c r="I1128" s="9587"/>
      <c r="J1128" s="9588"/>
      <c r="K1128" s="285" t="s">
        <v>156</v>
      </c>
      <c r="L1128" s="5968" t="str">
        <f>IF(COUNTBLANK(L1129:L1134)&gt;0,"미취합법인有",AVERAGE(L1129:L1134))</f>
        <v>미취합법인有</v>
      </c>
      <c r="M1128" s="5657"/>
      <c r="N1128" s="5654">
        <f>IF(COUNTBLANK(N1129:N1134)&gt;0,"미취합법인有",AVERAGE(N1129:N1134))</f>
        <v>1.3221500721500721</v>
      </c>
      <c r="O1128" s="5663"/>
      <c r="P1128" s="5781" t="str">
        <f>IF(COUNTBLANK(P1129:P1134)&gt;0,"미취합법인有",AVERAGE(P1129:P1134))</f>
        <v>미취합법인有</v>
      </c>
      <c r="Q1128" s="785"/>
      <c r="R1128" s="684" t="s">
        <v>865</v>
      </c>
      <c r="S1128" s="457" t="s">
        <v>866</v>
      </c>
      <c r="T1128" s="99" t="s">
        <v>758</v>
      </c>
      <c r="U1128" s="547" t="s">
        <v>800</v>
      </c>
      <c r="V1128" s="547"/>
      <c r="W1128" s="99"/>
      <c r="X1128" s="620" t="s">
        <v>852</v>
      </c>
      <c r="Y1128" s="154" t="s">
        <v>853</v>
      </c>
      <c r="Z1128" s="159"/>
      <c r="AA1128" s="6301"/>
      <c r="AB1128" s="139"/>
      <c r="AC1128" s="139"/>
      <c r="AD1128" s="139"/>
      <c r="AE1128" s="139"/>
      <c r="AF1128" s="139"/>
      <c r="AG1128" s="139"/>
      <c r="AH1128" s="139"/>
      <c r="AI1128" s="139"/>
      <c r="AJ1128" s="139"/>
      <c r="AK1128" s="139"/>
      <c r="AL1128" s="139"/>
      <c r="AM1128" s="139"/>
      <c r="AN1128" s="139"/>
      <c r="AO1128" s="139"/>
      <c r="AP1128" s="139"/>
      <c r="AQ1128" s="139"/>
      <c r="AR1128" s="139"/>
      <c r="AS1128" s="139"/>
      <c r="AT1128" s="139"/>
      <c r="AU1128" s="139"/>
      <c r="AV1128" s="139"/>
      <c r="AW1128" s="139"/>
      <c r="AX1128" s="139"/>
      <c r="AY1128" s="139"/>
      <c r="AZ1128" s="139"/>
      <c r="BA1128" s="139"/>
      <c r="BB1128" s="139"/>
      <c r="BC1128" s="139"/>
      <c r="BD1128" s="139"/>
      <c r="BE1128" s="139"/>
      <c r="BF1128" s="139"/>
      <c r="BG1128" s="139"/>
      <c r="BH1128" s="139"/>
    </row>
    <row r="1129" spans="2:60" s="11" customFormat="1" ht="19.899999999999999" customHeight="1">
      <c r="B1129" s="5590"/>
      <c r="C1129" s="9647" t="s">
        <v>134</v>
      </c>
      <c r="D1129" s="9648"/>
      <c r="E1129" s="9649"/>
      <c r="F1129" s="285" t="s">
        <v>156</v>
      </c>
      <c r="G1129" s="253"/>
      <c r="H1129" s="9579" t="s">
        <v>135</v>
      </c>
      <c r="I1129" s="9580"/>
      <c r="J1129" s="9581"/>
      <c r="K1129" s="285" t="s">
        <v>156</v>
      </c>
      <c r="L1129" s="6467">
        <v>0.4</v>
      </c>
      <c r="M1129" s="5690"/>
      <c r="N1129" s="6468">
        <v>0.7</v>
      </c>
      <c r="O1129" s="5690"/>
      <c r="P1129" s="6468">
        <v>0.7</v>
      </c>
      <c r="Q1129" s="6469" t="s">
        <v>867</v>
      </c>
      <c r="R1129" s="1033"/>
      <c r="S1129" s="263"/>
      <c r="T1129" s="99"/>
      <c r="U1129" s="138"/>
      <c r="V1129" s="138"/>
      <c r="W1129" s="99"/>
      <c r="X1129" s="264"/>
      <c r="Y1129" s="277"/>
      <c r="Z1129" s="187"/>
      <c r="AA1129" s="6301"/>
      <c r="AB1129" s="139"/>
      <c r="AC1129" s="139"/>
      <c r="AD1129" s="139"/>
      <c r="AE1129" s="139"/>
      <c r="AF1129" s="139"/>
      <c r="AG1129" s="139"/>
      <c r="AH1129" s="139"/>
      <c r="AI1129" s="139"/>
      <c r="AJ1129" s="139"/>
      <c r="AK1129" s="139"/>
      <c r="AL1129" s="139"/>
      <c r="AM1129" s="139"/>
      <c r="AN1129" s="139"/>
      <c r="AO1129" s="139"/>
      <c r="AP1129" s="139"/>
      <c r="AQ1129" s="139"/>
      <c r="AR1129" s="139"/>
      <c r="AS1129" s="139"/>
      <c r="AT1129" s="139"/>
      <c r="AU1129" s="139"/>
      <c r="AV1129" s="139"/>
      <c r="AW1129" s="139"/>
      <c r="AX1129" s="139"/>
      <c r="AY1129" s="139"/>
      <c r="AZ1129" s="139"/>
      <c r="BA1129" s="139"/>
      <c r="BB1129" s="139"/>
      <c r="BC1129" s="139"/>
      <c r="BD1129" s="139"/>
      <c r="BE1129" s="139"/>
      <c r="BF1129" s="139"/>
      <c r="BG1129" s="139"/>
      <c r="BH1129" s="139"/>
    </row>
    <row r="1130" spans="2:60" s="11" customFormat="1" ht="19.899999999999999" customHeight="1">
      <c r="B1130" s="5590"/>
      <c r="C1130" s="9647" t="s">
        <v>137</v>
      </c>
      <c r="D1130" s="9648"/>
      <c r="E1130" s="9649"/>
      <c r="F1130" s="285" t="s">
        <v>156</v>
      </c>
      <c r="G1130" s="253"/>
      <c r="H1130" s="9579" t="s">
        <v>138</v>
      </c>
      <c r="I1130" s="9580"/>
      <c r="J1130" s="9581"/>
      <c r="K1130" s="285" t="s">
        <v>156</v>
      </c>
      <c r="L1130" s="6467">
        <f>1/L949*100</f>
        <v>0.54644808743169404</v>
      </c>
      <c r="M1130" s="5690"/>
      <c r="N1130" s="6468">
        <f>1/N949*100</f>
        <v>0.4329004329004329</v>
      </c>
      <c r="O1130" s="5688"/>
      <c r="P1130" s="6468">
        <f>1/P949*100</f>
        <v>0.40160642570281119</v>
      </c>
      <c r="Q1130" s="5948"/>
      <c r="R1130" s="1033"/>
      <c r="S1130" s="263"/>
      <c r="T1130" s="99"/>
      <c r="U1130" s="138"/>
      <c r="V1130" s="138"/>
      <c r="W1130" s="99"/>
      <c r="X1130" s="264"/>
      <c r="Y1130" s="277"/>
      <c r="Z1130" s="187"/>
      <c r="AA1130" s="6301"/>
      <c r="AB1130" s="1377" t="s">
        <v>868</v>
      </c>
      <c r="AC1130" s="139"/>
      <c r="AD1130" s="139"/>
      <c r="AE1130" s="139"/>
      <c r="AF1130" s="139"/>
      <c r="AG1130" s="139"/>
      <c r="AH1130" s="139"/>
      <c r="AI1130" s="139"/>
      <c r="AJ1130" s="139"/>
      <c r="AK1130" s="139"/>
      <c r="AL1130" s="139"/>
      <c r="AM1130" s="139"/>
      <c r="AN1130" s="139"/>
      <c r="AO1130" s="139"/>
      <c r="AP1130" s="139"/>
      <c r="AQ1130" s="139"/>
      <c r="AR1130" s="139"/>
      <c r="AS1130" s="139"/>
      <c r="AT1130" s="139"/>
      <c r="AU1130" s="139"/>
      <c r="AV1130" s="139"/>
      <c r="AW1130" s="139"/>
      <c r="AX1130" s="139"/>
      <c r="AY1130" s="139"/>
      <c r="AZ1130" s="139"/>
      <c r="BA1130" s="139"/>
      <c r="BB1130" s="139"/>
      <c r="BC1130" s="139"/>
      <c r="BD1130" s="139"/>
      <c r="BE1130" s="139"/>
      <c r="BF1130" s="139"/>
      <c r="BG1130" s="139"/>
      <c r="BH1130" s="139"/>
    </row>
    <row r="1131" spans="2:60" s="11" customFormat="1" ht="19.899999999999999" customHeight="1">
      <c r="B1131" s="5590"/>
      <c r="C1131" s="9647" t="s">
        <v>140</v>
      </c>
      <c r="D1131" s="9648"/>
      <c r="E1131" s="9649"/>
      <c r="F1131" s="285" t="s">
        <v>156</v>
      </c>
      <c r="G1131" s="253"/>
      <c r="H1131" s="9579" t="s">
        <v>141</v>
      </c>
      <c r="I1131" s="9580"/>
      <c r="J1131" s="9581"/>
      <c r="K1131" s="285" t="s">
        <v>156</v>
      </c>
      <c r="L1131" s="6040"/>
      <c r="M1131" s="5690"/>
      <c r="N1131" s="5703">
        <v>0</v>
      </c>
      <c r="O1131" s="5688"/>
      <c r="P1131" s="6043"/>
      <c r="Q1131" s="5948"/>
      <c r="R1131" s="1033"/>
      <c r="S1131" s="263"/>
      <c r="T1131" s="99"/>
      <c r="U1131" s="138"/>
      <c r="V1131" s="138"/>
      <c r="W1131" s="99"/>
      <c r="X1131" s="264"/>
      <c r="Y1131" s="277"/>
      <c r="Z1131" s="187"/>
      <c r="AA1131" s="6301"/>
      <c r="AB1131" s="139"/>
      <c r="AC1131" s="139"/>
      <c r="AD1131" s="139"/>
      <c r="AE1131" s="139"/>
      <c r="AF1131" s="139"/>
      <c r="AG1131" s="139"/>
      <c r="AH1131" s="139"/>
      <c r="AI1131" s="139"/>
      <c r="AJ1131" s="139"/>
      <c r="AK1131" s="139"/>
      <c r="AL1131" s="139"/>
      <c r="AM1131" s="139"/>
      <c r="AN1131" s="139"/>
      <c r="AO1131" s="139"/>
      <c r="AP1131" s="139"/>
      <c r="AQ1131" s="139"/>
      <c r="AR1131" s="139"/>
      <c r="AS1131" s="139"/>
      <c r="AT1131" s="139"/>
      <c r="AU1131" s="139"/>
      <c r="AV1131" s="139"/>
      <c r="AW1131" s="139"/>
      <c r="AX1131" s="139"/>
      <c r="AY1131" s="139"/>
      <c r="AZ1131" s="139"/>
      <c r="BA1131" s="139"/>
      <c r="BB1131" s="139"/>
      <c r="BC1131" s="139"/>
      <c r="BD1131" s="139"/>
      <c r="BE1131" s="139"/>
      <c r="BF1131" s="139"/>
      <c r="BG1131" s="139"/>
      <c r="BH1131" s="139"/>
    </row>
    <row r="1132" spans="2:60" s="11" customFormat="1" ht="19.899999999999999" customHeight="1">
      <c r="B1132" s="5590"/>
      <c r="C1132" s="9647" t="s">
        <v>143</v>
      </c>
      <c r="D1132" s="9648"/>
      <c r="E1132" s="9649"/>
      <c r="F1132" s="285" t="s">
        <v>156</v>
      </c>
      <c r="G1132" s="253"/>
      <c r="H1132" s="9579" t="s">
        <v>144</v>
      </c>
      <c r="I1132" s="9580"/>
      <c r="J1132" s="9581"/>
      <c r="K1132" s="285" t="s">
        <v>156</v>
      </c>
      <c r="L1132" s="6040">
        <v>5.25</v>
      </c>
      <c r="M1132" s="5881" t="s">
        <v>869</v>
      </c>
      <c r="N1132" s="5703">
        <v>2.37</v>
      </c>
      <c r="O1132" s="5882" t="s">
        <v>869</v>
      </c>
      <c r="P1132" s="5703">
        <v>2.58</v>
      </c>
      <c r="Q1132" s="5948"/>
      <c r="R1132" s="1033"/>
      <c r="S1132" s="263"/>
      <c r="T1132" s="99"/>
      <c r="U1132" s="138"/>
      <c r="V1132" s="138"/>
      <c r="W1132" s="99"/>
      <c r="X1132" s="264"/>
      <c r="Y1132" s="277"/>
      <c r="Z1132" s="187"/>
      <c r="AA1132" s="6301"/>
      <c r="AB1132" s="139"/>
      <c r="AC1132" s="139"/>
      <c r="AD1132" s="139"/>
      <c r="AE1132" s="139"/>
      <c r="AF1132" s="139"/>
      <c r="AG1132" s="139"/>
      <c r="AH1132" s="139"/>
      <c r="AI1132" s="139"/>
      <c r="AJ1132" s="139"/>
      <c r="AK1132" s="139"/>
      <c r="AL1132" s="139"/>
      <c r="AM1132" s="139"/>
      <c r="AN1132" s="139"/>
      <c r="AO1132" s="139"/>
      <c r="AP1132" s="139"/>
      <c r="AQ1132" s="139"/>
      <c r="AR1132" s="139"/>
      <c r="AS1132" s="139"/>
      <c r="AT1132" s="139"/>
      <c r="AU1132" s="139"/>
      <c r="AV1132" s="139"/>
      <c r="AW1132" s="139"/>
      <c r="AX1132" s="139"/>
      <c r="AY1132" s="139"/>
      <c r="AZ1132" s="139"/>
      <c r="BA1132" s="139"/>
      <c r="BB1132" s="139"/>
      <c r="BC1132" s="139"/>
      <c r="BD1132" s="139"/>
      <c r="BE1132" s="139"/>
      <c r="BF1132" s="139"/>
      <c r="BG1132" s="139"/>
      <c r="BH1132" s="139"/>
    </row>
    <row r="1133" spans="2:60" s="11" customFormat="1" ht="19.899999999999999" customHeight="1">
      <c r="B1133" s="5590"/>
      <c r="C1133" s="9647" t="s">
        <v>631</v>
      </c>
      <c r="D1133" s="9648"/>
      <c r="E1133" s="9649"/>
      <c r="F1133" s="285" t="s">
        <v>156</v>
      </c>
      <c r="G1133" s="253"/>
      <c r="H1133" s="9579" t="s">
        <v>147</v>
      </c>
      <c r="I1133" s="9580"/>
      <c r="J1133" s="9581"/>
      <c r="K1133" s="285" t="s">
        <v>156</v>
      </c>
      <c r="L1133" s="6041">
        <v>1.31</v>
      </c>
      <c r="M1133" s="5881"/>
      <c r="N1133" s="6042">
        <v>0.76</v>
      </c>
      <c r="O1133" s="5882"/>
      <c r="P1133" s="6042">
        <v>1.21</v>
      </c>
      <c r="Q1133" s="5948"/>
      <c r="R1133" s="1033"/>
      <c r="S1133" s="263"/>
      <c r="T1133" s="99"/>
      <c r="U1133" s="138"/>
      <c r="V1133" s="138"/>
      <c r="W1133" s="99"/>
      <c r="X1133" s="264"/>
      <c r="Y1133" s="277"/>
      <c r="Z1133" s="187"/>
      <c r="AA1133" s="6301"/>
      <c r="AB1133" s="139"/>
      <c r="AC1133" s="139"/>
      <c r="AD1133" s="139"/>
      <c r="AE1133" s="139"/>
      <c r="AF1133" s="139"/>
      <c r="AG1133" s="139"/>
      <c r="AH1133" s="139"/>
      <c r="AI1133" s="139"/>
      <c r="AJ1133" s="139"/>
      <c r="AK1133" s="139"/>
      <c r="AL1133" s="139"/>
      <c r="AM1133" s="139"/>
      <c r="AN1133" s="139"/>
      <c r="AO1133" s="139"/>
      <c r="AP1133" s="139"/>
      <c r="AQ1133" s="139"/>
      <c r="AR1133" s="139"/>
      <c r="AS1133" s="139"/>
      <c r="AT1133" s="139"/>
      <c r="AU1133" s="139"/>
      <c r="AV1133" s="139"/>
      <c r="AW1133" s="139"/>
      <c r="AX1133" s="139"/>
      <c r="AY1133" s="139"/>
      <c r="AZ1133" s="139"/>
      <c r="BA1133" s="139"/>
      <c r="BB1133" s="139"/>
      <c r="BC1133" s="139"/>
      <c r="BD1133" s="139"/>
      <c r="BE1133" s="139"/>
      <c r="BF1133" s="139"/>
      <c r="BG1133" s="139"/>
      <c r="BH1133" s="139"/>
    </row>
    <row r="1134" spans="2:60" s="11" customFormat="1" ht="19.899999999999999" customHeight="1">
      <c r="B1134" s="5590"/>
      <c r="C1134" s="9647" t="s">
        <v>633</v>
      </c>
      <c r="D1134" s="9648"/>
      <c r="E1134" s="9649"/>
      <c r="F1134" s="285" t="s">
        <v>156</v>
      </c>
      <c r="G1134" s="253"/>
      <c r="H1134" s="9579" t="s">
        <v>150</v>
      </c>
      <c r="I1134" s="9580"/>
      <c r="J1134" s="9581"/>
      <c r="K1134" s="285" t="s">
        <v>156</v>
      </c>
      <c r="L1134" s="6040">
        <v>4.0599999999999996</v>
      </c>
      <c r="M1134" s="5690"/>
      <c r="N1134" s="5703">
        <v>3.67</v>
      </c>
      <c r="O1134" s="5688"/>
      <c r="P1134" s="5703">
        <v>3.68</v>
      </c>
      <c r="Q1134" s="5948"/>
      <c r="R1134" s="1033"/>
      <c r="S1134" s="263"/>
      <c r="T1134" s="99"/>
      <c r="U1134" s="138"/>
      <c r="V1134" s="138"/>
      <c r="W1134" s="99"/>
      <c r="X1134" s="264"/>
      <c r="Y1134" s="277"/>
      <c r="Z1134" s="187"/>
      <c r="AA1134" s="6301"/>
      <c r="AB1134" s="139"/>
      <c r="AC1134" s="139"/>
      <c r="AD1134" s="139"/>
      <c r="AE1134" s="139"/>
      <c r="AF1134" s="139"/>
      <c r="AG1134" s="139"/>
      <c r="AH1134" s="139"/>
      <c r="AI1134" s="139"/>
      <c r="AJ1134" s="139"/>
      <c r="AK1134" s="139"/>
      <c r="AL1134" s="139"/>
      <c r="AM1134" s="139"/>
      <c r="AN1134" s="139"/>
      <c r="AO1134" s="139"/>
      <c r="AP1134" s="139"/>
      <c r="AQ1134" s="139"/>
      <c r="AR1134" s="139"/>
      <c r="AS1134" s="139"/>
      <c r="AT1134" s="139"/>
      <c r="AU1134" s="139"/>
      <c r="AV1134" s="139"/>
      <c r="AW1134" s="139"/>
      <c r="AX1134" s="139"/>
      <c r="AY1134" s="139"/>
      <c r="AZ1134" s="139"/>
      <c r="BA1134" s="139"/>
      <c r="BB1134" s="139"/>
      <c r="BC1134" s="139"/>
      <c r="BD1134" s="139"/>
      <c r="BE1134" s="139"/>
      <c r="BF1134" s="139"/>
      <c r="BG1134" s="139"/>
      <c r="BH1134" s="139"/>
    </row>
    <row r="1135" spans="2:60" s="11" customFormat="1" ht="18.600000000000001" customHeight="1">
      <c r="B1135" s="1360"/>
      <c r="C1135" s="9656" t="s">
        <v>870</v>
      </c>
      <c r="D1135" s="9587"/>
      <c r="E1135" s="9588"/>
      <c r="F1135" s="285" t="s">
        <v>156</v>
      </c>
      <c r="G1135" s="495"/>
      <c r="H1135" s="9586" t="s">
        <v>871</v>
      </c>
      <c r="I1135" s="9587"/>
      <c r="J1135" s="9588"/>
      <c r="K1135" s="285" t="s">
        <v>156</v>
      </c>
      <c r="L1135" s="5968" t="str">
        <f>IF(COUNTBLANK(L1136:L1141)&gt;0,"미취합법인有",AVERAGE(L1136:L1141))</f>
        <v>미취합법인有</v>
      </c>
      <c r="M1135" s="5657"/>
      <c r="N1135" s="5654" t="str">
        <f>IF(COUNTBLANK(N1136:N1141)&gt;0,"미취합법인有",AVERAGE(N1136:N1141))</f>
        <v>미취합법인有</v>
      </c>
      <c r="O1135" s="5663"/>
      <c r="P1135" s="5781" t="str">
        <f>IF(COUNTBLANK(P1136:P1141)&gt;0,"미취합법인有",AVERAGE(P1136:P1141))</f>
        <v>미취합법인有</v>
      </c>
      <c r="Q1135" s="785"/>
      <c r="R1135" s="6121" t="s">
        <v>872</v>
      </c>
      <c r="S1135" s="276" t="s">
        <v>873</v>
      </c>
      <c r="T1135" s="99" t="s">
        <v>758</v>
      </c>
      <c r="U1135" s="5845" t="s">
        <v>800</v>
      </c>
      <c r="V1135" s="547" t="s">
        <v>874</v>
      </c>
      <c r="W1135" s="109"/>
      <c r="X1135" s="277"/>
      <c r="Y1135" s="265" t="s">
        <v>807</v>
      </c>
      <c r="Z1135" s="187" t="s">
        <v>875</v>
      </c>
      <c r="AA1135" s="6301"/>
      <c r="AB1135" s="139"/>
      <c r="AC1135" s="139"/>
      <c r="AD1135" s="139"/>
      <c r="AE1135" s="139"/>
      <c r="AF1135" s="139"/>
      <c r="AG1135" s="139"/>
      <c r="AH1135" s="139"/>
      <c r="AI1135" s="139"/>
      <c r="AJ1135" s="139"/>
      <c r="AK1135" s="139"/>
      <c r="AL1135" s="139"/>
      <c r="AM1135" s="139"/>
      <c r="AN1135" s="139"/>
      <c r="AO1135" s="139"/>
      <c r="AP1135" s="139"/>
      <c r="AQ1135" s="139"/>
      <c r="AR1135" s="139"/>
      <c r="AS1135" s="139"/>
      <c r="AT1135" s="139"/>
      <c r="AU1135" s="139"/>
      <c r="AV1135" s="139"/>
      <c r="AW1135" s="139"/>
      <c r="AX1135" s="139"/>
      <c r="AY1135" s="139"/>
      <c r="AZ1135" s="139"/>
      <c r="BA1135" s="139"/>
      <c r="BB1135" s="139"/>
      <c r="BC1135" s="139"/>
      <c r="BD1135" s="139"/>
      <c r="BE1135" s="139"/>
      <c r="BF1135" s="139"/>
      <c r="BG1135" s="139"/>
      <c r="BH1135" s="139"/>
    </row>
    <row r="1136" spans="2:60" s="11" customFormat="1" ht="19.899999999999999" customHeight="1">
      <c r="B1136" s="5590"/>
      <c r="C1136" s="9647" t="s">
        <v>134</v>
      </c>
      <c r="D1136" s="9648"/>
      <c r="E1136" s="9649"/>
      <c r="F1136" s="285" t="s">
        <v>156</v>
      </c>
      <c r="G1136" s="1918"/>
      <c r="H1136" s="9579" t="s">
        <v>135</v>
      </c>
      <c r="I1136" s="9580"/>
      <c r="J1136" s="9581"/>
      <c r="K1136" s="285" t="s">
        <v>156</v>
      </c>
      <c r="L1136" s="5689" t="s">
        <v>168</v>
      </c>
      <c r="M1136" s="5690"/>
      <c r="N1136" s="5688" t="s">
        <v>168</v>
      </c>
      <c r="O1136" s="5690"/>
      <c r="P1136" s="5688" t="s">
        <v>168</v>
      </c>
      <c r="Q1136" s="5949" t="s">
        <v>876</v>
      </c>
      <c r="R1136" s="1033"/>
      <c r="S1136" s="263"/>
      <c r="T1136" s="99"/>
      <c r="U1136" s="138"/>
      <c r="V1136" s="138"/>
      <c r="W1136" s="99"/>
      <c r="X1136" s="264"/>
      <c r="Y1136" s="277"/>
      <c r="Z1136" s="187"/>
      <c r="AA1136" s="6301"/>
      <c r="AB1136" s="139"/>
      <c r="AC1136" s="139"/>
      <c r="AD1136" s="139"/>
      <c r="AE1136" s="139"/>
      <c r="AF1136" s="139"/>
      <c r="AG1136" s="139"/>
      <c r="AH1136" s="139"/>
      <c r="AI1136" s="139"/>
      <c r="AJ1136" s="139"/>
      <c r="AK1136" s="139"/>
      <c r="AL1136" s="139"/>
      <c r="AM1136" s="139"/>
      <c r="AN1136" s="139"/>
      <c r="AO1136" s="139"/>
      <c r="AP1136" s="139"/>
      <c r="AQ1136" s="139"/>
      <c r="AR1136" s="139"/>
      <c r="AS1136" s="139"/>
      <c r="AT1136" s="139"/>
      <c r="AU1136" s="139"/>
      <c r="AV1136" s="139"/>
      <c r="AW1136" s="139"/>
      <c r="AX1136" s="139"/>
      <c r="AY1136" s="139"/>
      <c r="AZ1136" s="139"/>
      <c r="BA1136" s="139"/>
      <c r="BB1136" s="139"/>
      <c r="BC1136" s="139"/>
      <c r="BD1136" s="139"/>
      <c r="BE1136" s="139"/>
      <c r="BF1136" s="139"/>
      <c r="BG1136" s="139"/>
      <c r="BH1136" s="139"/>
    </row>
    <row r="1137" spans="2:60" s="11" customFormat="1" ht="19.899999999999999" customHeight="1">
      <c r="B1137" s="5590"/>
      <c r="C1137" s="9647" t="s">
        <v>137</v>
      </c>
      <c r="D1137" s="9648"/>
      <c r="E1137" s="9649"/>
      <c r="F1137" s="285" t="s">
        <v>156</v>
      </c>
      <c r="G1137" s="253"/>
      <c r="H1137" s="9579" t="s">
        <v>138</v>
      </c>
      <c r="I1137" s="9580"/>
      <c r="J1137" s="9581"/>
      <c r="K1137" s="285" t="s">
        <v>156</v>
      </c>
      <c r="L1137" s="5689"/>
      <c r="M1137" s="5690"/>
      <c r="N1137" s="5688"/>
      <c r="O1137" s="5688"/>
      <c r="P1137" s="5688"/>
      <c r="Q1137" s="5948"/>
      <c r="R1137" s="1033"/>
      <c r="S1137" s="263"/>
      <c r="T1137" s="99"/>
      <c r="U1137" s="138"/>
      <c r="V1137" s="138"/>
      <c r="W1137" s="99"/>
      <c r="X1137" s="264"/>
      <c r="Y1137" s="277"/>
      <c r="Z1137" s="187"/>
      <c r="AA1137" s="6301"/>
      <c r="AB1137" s="139"/>
      <c r="AC1137" s="139"/>
      <c r="AD1137" s="139"/>
      <c r="AE1137" s="139"/>
      <c r="AF1137" s="139"/>
      <c r="AG1137" s="139"/>
      <c r="AH1137" s="139"/>
      <c r="AI1137" s="139"/>
      <c r="AJ1137" s="139"/>
      <c r="AK1137" s="139"/>
      <c r="AL1137" s="139"/>
      <c r="AM1137" s="139"/>
      <c r="AN1137" s="139"/>
      <c r="AO1137" s="139"/>
      <c r="AP1137" s="139"/>
      <c r="AQ1137" s="139"/>
      <c r="AR1137" s="139"/>
      <c r="AS1137" s="139"/>
      <c r="AT1137" s="139"/>
      <c r="AU1137" s="139"/>
      <c r="AV1137" s="139"/>
      <c r="AW1137" s="139"/>
      <c r="AX1137" s="139"/>
      <c r="AY1137" s="139"/>
      <c r="AZ1137" s="139"/>
      <c r="BA1137" s="139"/>
      <c r="BB1137" s="139"/>
      <c r="BC1137" s="139"/>
      <c r="BD1137" s="139"/>
      <c r="BE1137" s="139"/>
      <c r="BF1137" s="139"/>
      <c r="BG1137" s="139"/>
      <c r="BH1137" s="139"/>
    </row>
    <row r="1138" spans="2:60" s="11" customFormat="1" ht="19.899999999999999" customHeight="1">
      <c r="B1138" s="5590"/>
      <c r="C1138" s="9647" t="s">
        <v>140</v>
      </c>
      <c r="D1138" s="9648"/>
      <c r="E1138" s="9649"/>
      <c r="F1138" s="285" t="s">
        <v>156</v>
      </c>
      <c r="G1138" s="253"/>
      <c r="H1138" s="9579" t="s">
        <v>141</v>
      </c>
      <c r="I1138" s="9580"/>
      <c r="J1138" s="9581"/>
      <c r="K1138" s="285" t="s">
        <v>156</v>
      </c>
      <c r="L1138" s="5689"/>
      <c r="M1138" s="5690"/>
      <c r="N1138" s="5688"/>
      <c r="O1138" s="5688"/>
      <c r="P1138" s="5688"/>
      <c r="Q1138" s="5948"/>
      <c r="R1138" s="1033"/>
      <c r="S1138" s="263"/>
      <c r="T1138" s="99"/>
      <c r="U1138" s="138"/>
      <c r="V1138" s="138"/>
      <c r="W1138" s="99"/>
      <c r="X1138" s="264"/>
      <c r="Y1138" s="277"/>
      <c r="Z1138" s="187"/>
      <c r="AA1138" s="6301"/>
      <c r="AB1138" s="139"/>
      <c r="AC1138" s="139"/>
      <c r="AD1138" s="139"/>
      <c r="AE1138" s="139"/>
      <c r="AF1138" s="139"/>
      <c r="AG1138" s="139"/>
      <c r="AH1138" s="139"/>
      <c r="AI1138" s="139"/>
      <c r="AJ1138" s="139"/>
      <c r="AK1138" s="139"/>
      <c r="AL1138" s="139"/>
      <c r="AM1138" s="139"/>
      <c r="AN1138" s="139"/>
      <c r="AO1138" s="139"/>
      <c r="AP1138" s="139"/>
      <c r="AQ1138" s="139"/>
      <c r="AR1138" s="139"/>
      <c r="AS1138" s="139"/>
      <c r="AT1138" s="139"/>
      <c r="AU1138" s="139"/>
      <c r="AV1138" s="139"/>
      <c r="AW1138" s="139"/>
      <c r="AX1138" s="139"/>
      <c r="AY1138" s="139"/>
      <c r="AZ1138" s="139"/>
      <c r="BA1138" s="139"/>
      <c r="BB1138" s="139"/>
      <c r="BC1138" s="139"/>
      <c r="BD1138" s="139"/>
      <c r="BE1138" s="139"/>
      <c r="BF1138" s="139"/>
      <c r="BG1138" s="139"/>
      <c r="BH1138" s="139"/>
    </row>
    <row r="1139" spans="2:60" s="11" customFormat="1" ht="19.899999999999999" customHeight="1">
      <c r="B1139" s="5590"/>
      <c r="C1139" s="9647" t="s">
        <v>143</v>
      </c>
      <c r="D1139" s="9648"/>
      <c r="E1139" s="9649"/>
      <c r="F1139" s="285" t="s">
        <v>156</v>
      </c>
      <c r="G1139" s="253"/>
      <c r="H1139" s="9579" t="s">
        <v>144</v>
      </c>
      <c r="I1139" s="9580"/>
      <c r="J1139" s="9581"/>
      <c r="K1139" s="285" t="s">
        <v>156</v>
      </c>
      <c r="L1139" s="5689"/>
      <c r="M1139" s="5690"/>
      <c r="N1139" s="5688"/>
      <c r="O1139" s="5688"/>
      <c r="P1139" s="5688"/>
      <c r="Q1139" s="5948"/>
      <c r="R1139" s="1033"/>
      <c r="S1139" s="263"/>
      <c r="T1139" s="99"/>
      <c r="U1139" s="138"/>
      <c r="V1139" s="138"/>
      <c r="W1139" s="99"/>
      <c r="X1139" s="264"/>
      <c r="Y1139" s="277"/>
      <c r="Z1139" s="187"/>
      <c r="AA1139" s="6301"/>
      <c r="AB1139" s="139"/>
      <c r="AC1139" s="139"/>
      <c r="AD1139" s="139"/>
      <c r="AE1139" s="139"/>
      <c r="AF1139" s="139"/>
      <c r="AG1139" s="139"/>
      <c r="AH1139" s="139"/>
      <c r="AI1139" s="139"/>
      <c r="AJ1139" s="139"/>
      <c r="AK1139" s="139"/>
      <c r="AL1139" s="139"/>
      <c r="AM1139" s="139"/>
      <c r="AN1139" s="139"/>
      <c r="AO1139" s="139"/>
      <c r="AP1139" s="139"/>
      <c r="AQ1139" s="139"/>
      <c r="AR1139" s="139"/>
      <c r="AS1139" s="139"/>
      <c r="AT1139" s="139"/>
      <c r="AU1139" s="139"/>
      <c r="AV1139" s="139"/>
      <c r="AW1139" s="139"/>
      <c r="AX1139" s="139"/>
      <c r="AY1139" s="139"/>
      <c r="AZ1139" s="139"/>
      <c r="BA1139" s="139"/>
      <c r="BB1139" s="139"/>
      <c r="BC1139" s="139"/>
      <c r="BD1139" s="139"/>
      <c r="BE1139" s="139"/>
      <c r="BF1139" s="139"/>
      <c r="BG1139" s="139"/>
      <c r="BH1139" s="139"/>
    </row>
    <row r="1140" spans="2:60" s="11" customFormat="1" ht="19.899999999999999" customHeight="1">
      <c r="B1140" s="5590"/>
      <c r="C1140" s="9647" t="s">
        <v>631</v>
      </c>
      <c r="D1140" s="9648"/>
      <c r="E1140" s="9649"/>
      <c r="F1140" s="285" t="s">
        <v>156</v>
      </c>
      <c r="G1140" s="253"/>
      <c r="H1140" s="9579" t="s">
        <v>147</v>
      </c>
      <c r="I1140" s="9580"/>
      <c r="J1140" s="9581"/>
      <c r="K1140" s="285" t="s">
        <v>156</v>
      </c>
      <c r="L1140" s="5689" t="s">
        <v>168</v>
      </c>
      <c r="M1140" s="5690" t="s">
        <v>641</v>
      </c>
      <c r="N1140" s="5688" t="s">
        <v>168</v>
      </c>
      <c r="O1140" s="5688" t="s">
        <v>641</v>
      </c>
      <c r="P1140" s="5688" t="s">
        <v>168</v>
      </c>
      <c r="Q1140" s="5948" t="s">
        <v>641</v>
      </c>
      <c r="R1140" s="1033"/>
      <c r="S1140" s="263"/>
      <c r="T1140" s="99"/>
      <c r="U1140" s="138"/>
      <c r="V1140" s="138"/>
      <c r="W1140" s="99"/>
      <c r="X1140" s="264"/>
      <c r="Y1140" s="277"/>
      <c r="Z1140" s="187"/>
      <c r="AA1140" s="6301"/>
      <c r="AB1140" s="139"/>
      <c r="AC1140" s="139"/>
      <c r="AD1140" s="139"/>
      <c r="AE1140" s="139"/>
      <c r="AF1140" s="139"/>
      <c r="AG1140" s="139"/>
      <c r="AH1140" s="139"/>
      <c r="AI1140" s="139"/>
      <c r="AJ1140" s="139"/>
      <c r="AK1140" s="139"/>
      <c r="AL1140" s="139"/>
      <c r="AM1140" s="139"/>
      <c r="AN1140" s="139"/>
      <c r="AO1140" s="139"/>
      <c r="AP1140" s="139"/>
      <c r="AQ1140" s="139"/>
      <c r="AR1140" s="139"/>
      <c r="AS1140" s="139"/>
      <c r="AT1140" s="139"/>
      <c r="AU1140" s="139"/>
      <c r="AV1140" s="139"/>
      <c r="AW1140" s="139"/>
      <c r="AX1140" s="139"/>
      <c r="AY1140" s="139"/>
      <c r="AZ1140" s="139"/>
      <c r="BA1140" s="139"/>
      <c r="BB1140" s="139"/>
      <c r="BC1140" s="139"/>
      <c r="BD1140" s="139"/>
      <c r="BE1140" s="139"/>
      <c r="BF1140" s="139"/>
      <c r="BG1140" s="139"/>
      <c r="BH1140" s="139"/>
    </row>
    <row r="1141" spans="2:60" s="11" customFormat="1" ht="19.899999999999999" customHeight="1" thickBot="1">
      <c r="B1141" s="5590"/>
      <c r="C1141" s="9647" t="s">
        <v>633</v>
      </c>
      <c r="D1141" s="9648"/>
      <c r="E1141" s="9649"/>
      <c r="F1141" s="285" t="s">
        <v>156</v>
      </c>
      <c r="G1141" s="253"/>
      <c r="H1141" s="9579" t="s">
        <v>150</v>
      </c>
      <c r="I1141" s="9580"/>
      <c r="J1141" s="9581"/>
      <c r="K1141" s="285" t="s">
        <v>156</v>
      </c>
      <c r="L1141" s="6467" t="s">
        <v>168</v>
      </c>
      <c r="M1141" s="5690" t="s">
        <v>641</v>
      </c>
      <c r="N1141" s="6468" t="s">
        <v>168</v>
      </c>
      <c r="O1141" s="5688" t="s">
        <v>641</v>
      </c>
      <c r="P1141" s="6468" t="s">
        <v>168</v>
      </c>
      <c r="Q1141" s="5948" t="s">
        <v>641</v>
      </c>
      <c r="R1141" s="1033"/>
      <c r="S1141" s="263"/>
      <c r="T1141" s="99"/>
      <c r="U1141" s="138"/>
      <c r="V1141" s="138"/>
      <c r="W1141" s="99"/>
      <c r="X1141" s="264"/>
      <c r="Y1141" s="277"/>
      <c r="Z1141" s="187"/>
      <c r="AA1141" s="6301"/>
      <c r="AB1141" s="139"/>
      <c r="AC1141" s="139"/>
      <c r="AD1141" s="139"/>
      <c r="AE1141" s="139"/>
      <c r="AF1141" s="139"/>
      <c r="AG1141" s="139"/>
      <c r="AH1141" s="139"/>
      <c r="AI1141" s="139"/>
      <c r="AJ1141" s="139"/>
      <c r="AK1141" s="139"/>
      <c r="AL1141" s="139"/>
      <c r="AM1141" s="139"/>
      <c r="AN1141" s="139"/>
      <c r="AO1141" s="139"/>
      <c r="AP1141" s="139"/>
      <c r="AQ1141" s="139"/>
      <c r="AR1141" s="139"/>
      <c r="AS1141" s="139"/>
      <c r="AT1141" s="139"/>
      <c r="AU1141" s="139"/>
      <c r="AV1141" s="139"/>
      <c r="AW1141" s="139"/>
      <c r="AX1141" s="139"/>
      <c r="AY1141" s="139"/>
      <c r="AZ1141" s="139"/>
      <c r="BA1141" s="139"/>
      <c r="BB1141" s="139"/>
      <c r="BC1141" s="139"/>
      <c r="BD1141" s="139"/>
      <c r="BE1141" s="139"/>
      <c r="BF1141" s="139"/>
      <c r="BG1141" s="139"/>
      <c r="BH1141" s="139"/>
    </row>
    <row r="1142" spans="2:60" s="11" customFormat="1" ht="27" thickBot="1">
      <c r="B1142" s="123" t="s">
        <v>877</v>
      </c>
      <c r="C1142" s="124"/>
      <c r="D1142" s="124"/>
      <c r="E1142" s="124"/>
      <c r="F1142" s="78"/>
      <c r="G1142" s="598" t="s">
        <v>878</v>
      </c>
      <c r="H1142" s="126"/>
      <c r="I1142" s="126"/>
      <c r="J1142" s="126"/>
      <c r="K1142" s="78"/>
      <c r="L1142" s="5620"/>
      <c r="M1142" s="5621"/>
      <c r="N1142" s="5621"/>
      <c r="O1142" s="5621"/>
      <c r="P1142" s="5621"/>
      <c r="Q1142" s="5621"/>
      <c r="R1142" s="80"/>
      <c r="S1142" s="80"/>
      <c r="T1142" s="129"/>
      <c r="U1142" s="719"/>
      <c r="V1142" s="719"/>
      <c r="W1142" s="129"/>
      <c r="X1142" s="720"/>
      <c r="Y1142" s="328"/>
      <c r="Z1142" s="329"/>
      <c r="AA1142" s="6301"/>
      <c r="AB1142" s="139"/>
      <c r="AC1142" s="139"/>
      <c r="AD1142" s="139"/>
      <c r="AE1142" s="139"/>
      <c r="AF1142" s="139"/>
      <c r="AG1142" s="139"/>
      <c r="AH1142" s="139"/>
      <c r="AI1142" s="139"/>
      <c r="AJ1142" s="139"/>
      <c r="AK1142" s="139"/>
      <c r="AL1142" s="139"/>
      <c r="AM1142" s="139"/>
      <c r="AN1142" s="139"/>
      <c r="AO1142" s="139"/>
      <c r="AP1142" s="139"/>
      <c r="AQ1142" s="139"/>
      <c r="AR1142" s="139"/>
      <c r="AS1142" s="139"/>
      <c r="AT1142" s="139"/>
      <c r="AU1142" s="139"/>
      <c r="AV1142" s="139"/>
      <c r="AW1142" s="139"/>
      <c r="AX1142" s="139"/>
      <c r="AY1142" s="139"/>
      <c r="AZ1142" s="139"/>
      <c r="BA1142" s="139"/>
      <c r="BB1142" s="139"/>
      <c r="BC1142" s="139"/>
      <c r="BD1142" s="139"/>
      <c r="BE1142" s="139"/>
      <c r="BF1142" s="139"/>
      <c r="BG1142" s="139"/>
      <c r="BH1142" s="139"/>
    </row>
    <row r="1143" spans="2:60" s="11" customFormat="1" ht="20.100000000000001" customHeight="1">
      <c r="B1143" s="1359"/>
      <c r="C1143" s="9656" t="s">
        <v>879</v>
      </c>
      <c r="D1143" s="9587"/>
      <c r="E1143" s="9588"/>
      <c r="F1143" s="636" t="s">
        <v>732</v>
      </c>
      <c r="G1143" s="253"/>
      <c r="H1143" s="9702" t="s">
        <v>880</v>
      </c>
      <c r="I1143" s="9670"/>
      <c r="J1143" s="9683"/>
      <c r="K1143" s="6170" t="s">
        <v>734</v>
      </c>
      <c r="L1143" s="5783">
        <f>IF(COUNTBLANK(L1144:L1149)&gt;0,"미취합법인有",SUM(L1144:L1149))</f>
        <v>6332</v>
      </c>
      <c r="M1143" s="5784"/>
      <c r="N1143" s="5785">
        <f>IF(COUNTBLANK(N1144:N1149)&gt;0,"미취합법인有",SUM(N1144:N1149))</f>
        <v>9438</v>
      </c>
      <c r="O1143" s="5663"/>
      <c r="P1143" s="5781">
        <f>IF(COUNTBLANK(P1144:P1149)&gt;0,"미취합법인有",SUM(P1144:P1149))</f>
        <v>9059</v>
      </c>
      <c r="Q1143" s="6108"/>
      <c r="R1143" s="2482" t="s">
        <v>881</v>
      </c>
      <c r="S1143" s="457" t="s">
        <v>882</v>
      </c>
      <c r="T1143" s="642" t="s">
        <v>737</v>
      </c>
      <c r="U1143" s="547" t="s">
        <v>800</v>
      </c>
      <c r="V1143" s="534"/>
      <c r="W1143" s="642"/>
      <c r="X1143" s="620" t="s">
        <v>883</v>
      </c>
      <c r="Y1143" s="620" t="s">
        <v>884</v>
      </c>
      <c r="Z1143" s="159"/>
      <c r="AA1143" s="6301"/>
      <c r="AB1143" s="139"/>
      <c r="AC1143" s="139"/>
      <c r="AD1143" s="139"/>
      <c r="AE1143" s="139"/>
      <c r="AF1143" s="139"/>
      <c r="AG1143" s="139"/>
      <c r="AH1143" s="139"/>
      <c r="AI1143" s="139"/>
      <c r="AJ1143" s="139"/>
      <c r="AK1143" s="139"/>
      <c r="AL1143" s="139"/>
      <c r="AM1143" s="139"/>
      <c r="AN1143" s="139"/>
      <c r="AO1143" s="139"/>
      <c r="AP1143" s="139"/>
      <c r="AQ1143" s="139"/>
      <c r="AR1143" s="139"/>
      <c r="AS1143" s="139"/>
      <c r="AT1143" s="139"/>
      <c r="AU1143" s="139"/>
      <c r="AV1143" s="139"/>
      <c r="AW1143" s="139"/>
      <c r="AX1143" s="139"/>
      <c r="AY1143" s="139"/>
      <c r="AZ1143" s="139"/>
      <c r="BA1143" s="139"/>
      <c r="BB1143" s="139"/>
      <c r="BC1143" s="139"/>
      <c r="BD1143" s="139"/>
      <c r="BE1143" s="139"/>
      <c r="BF1143" s="139"/>
      <c r="BG1143" s="139"/>
      <c r="BH1143" s="139"/>
    </row>
    <row r="1144" spans="2:60" s="11" customFormat="1" ht="20.100000000000001" customHeight="1">
      <c r="B1144" s="1360"/>
      <c r="C1144" s="9647" t="s">
        <v>134</v>
      </c>
      <c r="D1144" s="9648"/>
      <c r="E1144" s="9649"/>
      <c r="F1144" s="492" t="s">
        <v>732</v>
      </c>
      <c r="G1144" s="666"/>
      <c r="H1144" s="9579" t="s">
        <v>135</v>
      </c>
      <c r="I1144" s="9580"/>
      <c r="J1144" s="9581"/>
      <c r="K1144" s="6172" t="s">
        <v>734</v>
      </c>
      <c r="L1144" s="5594">
        <v>4117</v>
      </c>
      <c r="M1144" s="5671"/>
      <c r="N1144" s="5658">
        <v>5824</v>
      </c>
      <c r="O1144" s="5671"/>
      <c r="P1144" s="5658">
        <v>5958</v>
      </c>
      <c r="Q1144" s="1814"/>
      <c r="R1144" s="2468"/>
      <c r="S1144" s="544"/>
      <c r="T1144" s="545"/>
      <c r="U1144" s="546"/>
      <c r="V1144" s="547"/>
      <c r="W1144" s="548"/>
      <c r="X1144" s="277"/>
      <c r="Y1144" s="277"/>
      <c r="Z1144" s="187"/>
      <c r="AA1144" s="6301"/>
      <c r="AB1144" s="139"/>
      <c r="AC1144" s="139"/>
      <c r="AD1144" s="139"/>
      <c r="AE1144" s="139"/>
      <c r="AF1144" s="139"/>
      <c r="AG1144" s="139"/>
      <c r="AH1144" s="139"/>
      <c r="AI1144" s="139"/>
      <c r="AJ1144" s="139"/>
      <c r="AK1144" s="139"/>
      <c r="AL1144" s="139"/>
      <c r="AM1144" s="139"/>
      <c r="AN1144" s="139"/>
      <c r="AO1144" s="139"/>
      <c r="AP1144" s="139"/>
      <c r="AQ1144" s="139"/>
      <c r="AR1144" s="139"/>
      <c r="AS1144" s="139"/>
      <c r="AT1144" s="139"/>
      <c r="AU1144" s="139"/>
      <c r="AV1144" s="139"/>
      <c r="AW1144" s="139"/>
      <c r="AX1144" s="139"/>
      <c r="AY1144" s="139"/>
      <c r="AZ1144" s="139"/>
      <c r="BA1144" s="139"/>
      <c r="BB1144" s="139"/>
      <c r="BC1144" s="139"/>
      <c r="BD1144" s="139"/>
      <c r="BE1144" s="139"/>
      <c r="BF1144" s="139"/>
      <c r="BG1144" s="139"/>
      <c r="BH1144" s="139"/>
    </row>
    <row r="1145" spans="2:60" s="11" customFormat="1" ht="20.100000000000001" customHeight="1">
      <c r="B1145" s="1360"/>
      <c r="C1145" s="9647" t="s">
        <v>137</v>
      </c>
      <c r="D1145" s="9648"/>
      <c r="E1145" s="9649"/>
      <c r="F1145" s="492" t="s">
        <v>732</v>
      </c>
      <c r="G1145" s="666"/>
      <c r="H1145" s="9579" t="s">
        <v>138</v>
      </c>
      <c r="I1145" s="9580"/>
      <c r="J1145" s="9581"/>
      <c r="K1145" s="4868" t="s">
        <v>734</v>
      </c>
      <c r="L1145" s="5594">
        <v>28</v>
      </c>
      <c r="M1145" s="5671"/>
      <c r="N1145" s="5658">
        <v>92</v>
      </c>
      <c r="O1145" s="5671"/>
      <c r="P1145" s="5658">
        <v>63</v>
      </c>
      <c r="Q1145" s="1814"/>
      <c r="R1145" s="2468"/>
      <c r="S1145" s="544"/>
      <c r="T1145" s="545"/>
      <c r="U1145" s="546"/>
      <c r="V1145" s="547"/>
      <c r="W1145" s="548"/>
      <c r="X1145" s="277"/>
      <c r="Y1145" s="277"/>
      <c r="Z1145" s="187"/>
      <c r="AA1145" s="6301"/>
      <c r="AB1145" s="139"/>
      <c r="AC1145" s="139"/>
      <c r="AD1145" s="139"/>
      <c r="AE1145" s="139"/>
      <c r="AF1145" s="139"/>
      <c r="AG1145" s="139"/>
      <c r="AH1145" s="139"/>
      <c r="AI1145" s="139"/>
      <c r="AJ1145" s="139"/>
      <c r="AK1145" s="139"/>
      <c r="AL1145" s="139"/>
      <c r="AM1145" s="139"/>
      <c r="AN1145" s="139"/>
      <c r="AO1145" s="139"/>
      <c r="AP1145" s="139"/>
      <c r="AQ1145" s="139"/>
      <c r="AR1145" s="139"/>
      <c r="AS1145" s="139"/>
      <c r="AT1145" s="139"/>
      <c r="AU1145" s="139"/>
      <c r="AV1145" s="139"/>
      <c r="AW1145" s="139"/>
      <c r="AX1145" s="139"/>
      <c r="AY1145" s="139"/>
      <c r="AZ1145" s="139"/>
      <c r="BA1145" s="139"/>
      <c r="BB1145" s="139"/>
      <c r="BC1145" s="139"/>
      <c r="BD1145" s="139"/>
      <c r="BE1145" s="139"/>
      <c r="BF1145" s="139"/>
      <c r="BG1145" s="139"/>
      <c r="BH1145" s="139"/>
    </row>
    <row r="1146" spans="2:60" s="11" customFormat="1" ht="20.100000000000001" customHeight="1">
      <c r="B1146" s="1360"/>
      <c r="C1146" s="9647" t="s">
        <v>140</v>
      </c>
      <c r="D1146" s="9648"/>
      <c r="E1146" s="9649"/>
      <c r="F1146" s="492" t="s">
        <v>732</v>
      </c>
      <c r="G1146" s="666"/>
      <c r="H1146" s="9579" t="s">
        <v>141</v>
      </c>
      <c r="I1146" s="9580"/>
      <c r="J1146" s="9581"/>
      <c r="K1146" s="4868" t="s">
        <v>734</v>
      </c>
      <c r="L1146" s="5594">
        <v>173</v>
      </c>
      <c r="M1146" s="5671"/>
      <c r="N1146" s="5658">
        <v>107</v>
      </c>
      <c r="O1146" s="5671"/>
      <c r="P1146" s="5658">
        <v>91</v>
      </c>
      <c r="Q1146" s="1814"/>
      <c r="R1146" s="2468"/>
      <c r="S1146" s="544"/>
      <c r="T1146" s="545"/>
      <c r="U1146" s="546"/>
      <c r="V1146" s="547"/>
      <c r="W1146" s="548"/>
      <c r="X1146" s="277"/>
      <c r="Y1146" s="277"/>
      <c r="Z1146" s="187"/>
      <c r="AA1146" s="6301"/>
      <c r="AB1146" s="139"/>
      <c r="AC1146" s="139"/>
      <c r="AD1146" s="139"/>
      <c r="AE1146" s="139"/>
      <c r="AF1146" s="139"/>
      <c r="AG1146" s="139"/>
      <c r="AH1146" s="139"/>
      <c r="AI1146" s="139"/>
      <c r="AJ1146" s="139"/>
      <c r="AK1146" s="139"/>
      <c r="AL1146" s="139"/>
      <c r="AM1146" s="139"/>
      <c r="AN1146" s="139"/>
      <c r="AO1146" s="139"/>
      <c r="AP1146" s="139"/>
      <c r="AQ1146" s="139"/>
      <c r="AR1146" s="139"/>
      <c r="AS1146" s="139"/>
      <c r="AT1146" s="139"/>
      <c r="AU1146" s="139"/>
      <c r="AV1146" s="139"/>
      <c r="AW1146" s="139"/>
      <c r="AX1146" s="139"/>
      <c r="AY1146" s="139"/>
      <c r="AZ1146" s="139"/>
      <c r="BA1146" s="139"/>
      <c r="BB1146" s="139"/>
      <c r="BC1146" s="139"/>
      <c r="BD1146" s="139"/>
      <c r="BE1146" s="139"/>
      <c r="BF1146" s="139"/>
      <c r="BG1146" s="139"/>
      <c r="BH1146" s="139"/>
    </row>
    <row r="1147" spans="2:60" s="11" customFormat="1" ht="20.100000000000001" customHeight="1">
      <c r="B1147" s="1360"/>
      <c r="C1147" s="9647" t="s">
        <v>143</v>
      </c>
      <c r="D1147" s="9648"/>
      <c r="E1147" s="9649"/>
      <c r="F1147" s="492" t="s">
        <v>732</v>
      </c>
      <c r="G1147" s="666"/>
      <c r="H1147" s="9579" t="s">
        <v>144</v>
      </c>
      <c r="I1147" s="9580"/>
      <c r="J1147" s="9581"/>
      <c r="K1147" s="4868" t="s">
        <v>734</v>
      </c>
      <c r="L1147" s="5594">
        <v>1246</v>
      </c>
      <c r="M1147" s="5671"/>
      <c r="N1147" s="5658">
        <v>2548</v>
      </c>
      <c r="O1147" s="5671"/>
      <c r="P1147" s="5658">
        <v>2016</v>
      </c>
      <c r="Q1147" s="1814"/>
      <c r="R1147" s="2468"/>
      <c r="S1147" s="544"/>
      <c r="T1147" s="545"/>
      <c r="U1147" s="546"/>
      <c r="V1147" s="547"/>
      <c r="W1147" s="548"/>
      <c r="X1147" s="277"/>
      <c r="Y1147" s="277"/>
      <c r="Z1147" s="187"/>
      <c r="AA1147" s="6301"/>
      <c r="AB1147" s="139"/>
      <c r="AC1147" s="139"/>
      <c r="AD1147" s="139"/>
      <c r="AE1147" s="139"/>
      <c r="AF1147" s="139"/>
      <c r="AG1147" s="139"/>
      <c r="AH1147" s="139"/>
      <c r="AI1147" s="139"/>
      <c r="AJ1147" s="139"/>
      <c r="AK1147" s="139"/>
      <c r="AL1147" s="139"/>
      <c r="AM1147" s="139"/>
      <c r="AN1147" s="139"/>
      <c r="AO1147" s="139"/>
      <c r="AP1147" s="139"/>
      <c r="AQ1147" s="139"/>
      <c r="AR1147" s="139"/>
      <c r="AS1147" s="139"/>
      <c r="AT1147" s="139"/>
      <c r="AU1147" s="139"/>
      <c r="AV1147" s="139"/>
      <c r="AW1147" s="139"/>
      <c r="AX1147" s="139"/>
      <c r="AY1147" s="139"/>
      <c r="AZ1147" s="139"/>
      <c r="BA1147" s="139"/>
      <c r="BB1147" s="139"/>
      <c r="BC1147" s="139"/>
      <c r="BD1147" s="139"/>
      <c r="BE1147" s="139"/>
      <c r="BF1147" s="139"/>
      <c r="BG1147" s="139"/>
      <c r="BH1147" s="139"/>
    </row>
    <row r="1148" spans="2:60" s="11" customFormat="1" ht="20.100000000000001" customHeight="1">
      <c r="B1148" s="1360"/>
      <c r="C1148" s="9647" t="s">
        <v>631</v>
      </c>
      <c r="D1148" s="9648"/>
      <c r="E1148" s="9649"/>
      <c r="F1148" s="492" t="s">
        <v>732</v>
      </c>
      <c r="G1148" s="666"/>
      <c r="H1148" s="9579" t="s">
        <v>147</v>
      </c>
      <c r="I1148" s="9580"/>
      <c r="J1148" s="9581"/>
      <c r="K1148" s="4868" t="s">
        <v>734</v>
      </c>
      <c r="L1148" s="5594">
        <v>16</v>
      </c>
      <c r="M1148" s="5671"/>
      <c r="N1148" s="5658">
        <v>86</v>
      </c>
      <c r="O1148" s="5671"/>
      <c r="P1148" s="5658">
        <v>95</v>
      </c>
      <c r="Q1148" s="1814"/>
      <c r="R1148" s="2468"/>
      <c r="S1148" s="544"/>
      <c r="T1148" s="545"/>
      <c r="U1148" s="546"/>
      <c r="V1148" s="547"/>
      <c r="W1148" s="548"/>
      <c r="X1148" s="277"/>
      <c r="Y1148" s="277"/>
      <c r="Z1148" s="187"/>
      <c r="AA1148" s="6301"/>
      <c r="AB1148" s="139"/>
      <c r="AC1148" s="139"/>
      <c r="AD1148" s="139"/>
      <c r="AE1148" s="139"/>
      <c r="AF1148" s="139"/>
      <c r="AG1148" s="139"/>
      <c r="AH1148" s="139"/>
      <c r="AI1148" s="139"/>
      <c r="AJ1148" s="139"/>
      <c r="AK1148" s="139"/>
      <c r="AL1148" s="139"/>
      <c r="AM1148" s="139"/>
      <c r="AN1148" s="139"/>
      <c r="AO1148" s="139"/>
      <c r="AP1148" s="139"/>
      <c r="AQ1148" s="139"/>
      <c r="AR1148" s="139"/>
      <c r="AS1148" s="139"/>
      <c r="AT1148" s="139"/>
      <c r="AU1148" s="139"/>
      <c r="AV1148" s="139"/>
      <c r="AW1148" s="139"/>
      <c r="AX1148" s="139"/>
      <c r="AY1148" s="139"/>
      <c r="AZ1148" s="139"/>
      <c r="BA1148" s="139"/>
      <c r="BB1148" s="139"/>
      <c r="BC1148" s="139"/>
      <c r="BD1148" s="139"/>
      <c r="BE1148" s="139"/>
      <c r="BF1148" s="139"/>
      <c r="BG1148" s="139"/>
      <c r="BH1148" s="139"/>
    </row>
    <row r="1149" spans="2:60" s="11" customFormat="1" ht="20.100000000000001" customHeight="1">
      <c r="B1149" s="1360"/>
      <c r="C1149" s="9647" t="s">
        <v>633</v>
      </c>
      <c r="D1149" s="9648"/>
      <c r="E1149" s="9649"/>
      <c r="F1149" s="492" t="s">
        <v>732</v>
      </c>
      <c r="G1149" s="666"/>
      <c r="H1149" s="9579" t="s">
        <v>150</v>
      </c>
      <c r="I1149" s="9580"/>
      <c r="J1149" s="9581"/>
      <c r="K1149" s="4868" t="s">
        <v>734</v>
      </c>
      <c r="L1149" s="5594">
        <v>752</v>
      </c>
      <c r="M1149" s="5671"/>
      <c r="N1149" s="5658">
        <v>781</v>
      </c>
      <c r="O1149" s="5671"/>
      <c r="P1149" s="5658">
        <v>836</v>
      </c>
      <c r="Q1149" s="1814"/>
      <c r="R1149" s="2468"/>
      <c r="S1149" s="544"/>
      <c r="T1149" s="545"/>
      <c r="U1149" s="546"/>
      <c r="V1149" s="547"/>
      <c r="W1149" s="548"/>
      <c r="X1149" s="277"/>
      <c r="Y1149" s="277"/>
      <c r="Z1149" s="187"/>
      <c r="AA1149" s="6301"/>
      <c r="AB1149" s="139"/>
      <c r="AC1149" s="139"/>
      <c r="AD1149" s="139"/>
      <c r="AE1149" s="139"/>
      <c r="AF1149" s="139"/>
      <c r="AG1149" s="139"/>
      <c r="AH1149" s="139"/>
      <c r="AI1149" s="139"/>
      <c r="AJ1149" s="139"/>
      <c r="AK1149" s="139"/>
      <c r="AL1149" s="139"/>
      <c r="AM1149" s="139"/>
      <c r="AN1149" s="139"/>
      <c r="AO1149" s="139"/>
      <c r="AP1149" s="139"/>
      <c r="AQ1149" s="139"/>
      <c r="AR1149" s="139"/>
      <c r="AS1149" s="139"/>
      <c r="AT1149" s="139"/>
      <c r="AU1149" s="139"/>
      <c r="AV1149" s="139"/>
      <c r="AW1149" s="139"/>
      <c r="AX1149" s="139"/>
      <c r="AY1149" s="139"/>
      <c r="AZ1149" s="139"/>
      <c r="BA1149" s="139"/>
      <c r="BB1149" s="139"/>
      <c r="BC1149" s="139"/>
      <c r="BD1149" s="139"/>
      <c r="BE1149" s="139"/>
      <c r="BF1149" s="139"/>
      <c r="BG1149" s="139"/>
      <c r="BH1149" s="139"/>
    </row>
    <row r="1150" spans="2:60" s="11" customFormat="1" ht="20.100000000000001" customHeight="1">
      <c r="B1150" s="1360"/>
      <c r="C1150" s="1362"/>
      <c r="D1150" s="9591" t="s">
        <v>885</v>
      </c>
      <c r="E1150" s="9592"/>
      <c r="F1150" s="132" t="s">
        <v>732</v>
      </c>
      <c r="G1150" s="253"/>
      <c r="H1150" s="253"/>
      <c r="I1150" s="9591" t="s">
        <v>886</v>
      </c>
      <c r="J1150" s="9592"/>
      <c r="K1150" s="132" t="s">
        <v>734</v>
      </c>
      <c r="L1150" s="5783">
        <f>IF(COUNTBLANK(L1151:L1156)&gt;0,"미취합법인有",SUM(L1151:L1156))</f>
        <v>2829</v>
      </c>
      <c r="M1150" s="5784"/>
      <c r="N1150" s="5785">
        <f>IF(COUNTBLANK(N1151:N1156)&gt;0,"미취합법인有",SUM(N1151:N1156))</f>
        <v>4166</v>
      </c>
      <c r="O1150" s="5663"/>
      <c r="P1150" s="5781">
        <f>IF(COUNTBLANK(P1151:P1156)&gt;0,"미취합법인有",SUM(P1151:P1156))</f>
        <v>3886</v>
      </c>
      <c r="Q1150" s="785"/>
      <c r="R1150" s="2472" t="s">
        <v>881</v>
      </c>
      <c r="S1150" s="457" t="s">
        <v>882</v>
      </c>
      <c r="T1150" s="99" t="s">
        <v>737</v>
      </c>
      <c r="U1150" s="547" t="s">
        <v>800</v>
      </c>
      <c r="V1150" s="547"/>
      <c r="W1150" s="99"/>
      <c r="X1150" s="620" t="s">
        <v>883</v>
      </c>
      <c r="Y1150" s="620" t="s">
        <v>884</v>
      </c>
      <c r="Z1150" s="159"/>
      <c r="AA1150" s="6301"/>
      <c r="AB1150" s="139"/>
      <c r="AC1150" s="139"/>
      <c r="AD1150" s="139"/>
      <c r="AE1150" s="139"/>
      <c r="AF1150" s="139"/>
      <c r="AG1150" s="139"/>
      <c r="AH1150" s="139"/>
      <c r="AI1150" s="139"/>
      <c r="AJ1150" s="139"/>
      <c r="AK1150" s="139"/>
      <c r="AL1150" s="139"/>
      <c r="AM1150" s="139"/>
      <c r="AN1150" s="139"/>
      <c r="AO1150" s="139"/>
      <c r="AP1150" s="139"/>
      <c r="AQ1150" s="139"/>
      <c r="AR1150" s="139"/>
      <c r="AS1150" s="139"/>
      <c r="AT1150" s="139"/>
      <c r="AU1150" s="139"/>
      <c r="AV1150" s="139"/>
      <c r="AW1150" s="139"/>
      <c r="AX1150" s="139"/>
      <c r="AY1150" s="139"/>
      <c r="AZ1150" s="139"/>
      <c r="BA1150" s="139"/>
      <c r="BB1150" s="139"/>
      <c r="BC1150" s="139"/>
      <c r="BD1150" s="139"/>
      <c r="BE1150" s="139"/>
      <c r="BF1150" s="139"/>
      <c r="BG1150" s="139"/>
      <c r="BH1150" s="139"/>
    </row>
    <row r="1151" spans="2:60" s="11" customFormat="1" ht="20.100000000000001" customHeight="1">
      <c r="B1151" s="1360"/>
      <c r="C1151" s="5598"/>
      <c r="D1151" s="9598" t="s">
        <v>134</v>
      </c>
      <c r="E1151" s="9600"/>
      <c r="F1151" s="492" t="s">
        <v>732</v>
      </c>
      <c r="G1151" s="666"/>
      <c r="H1151" s="666"/>
      <c r="I1151" s="9579" t="s">
        <v>135</v>
      </c>
      <c r="J1151" s="9581"/>
      <c r="K1151" s="132" t="s">
        <v>734</v>
      </c>
      <c r="L1151" s="5594">
        <v>1860</v>
      </c>
      <c r="M1151" s="5671" t="s">
        <v>746</v>
      </c>
      <c r="N1151" s="5601">
        <v>3100</v>
      </c>
      <c r="O1151" s="5680" t="s">
        <v>747</v>
      </c>
      <c r="P1151" s="5693">
        <v>2845</v>
      </c>
      <c r="Q1151" s="5593" t="s">
        <v>746</v>
      </c>
      <c r="R1151" s="2468"/>
      <c r="S1151" s="544"/>
      <c r="T1151" s="545"/>
      <c r="U1151" s="546"/>
      <c r="V1151" s="547"/>
      <c r="W1151" s="548"/>
      <c r="X1151" s="277"/>
      <c r="Y1151" s="277"/>
      <c r="Z1151" s="187"/>
      <c r="AA1151" s="6301"/>
      <c r="AB1151" s="139"/>
      <c r="AC1151" s="139"/>
      <c r="AD1151" s="139"/>
      <c r="AE1151" s="139"/>
      <c r="AF1151" s="139"/>
      <c r="AG1151" s="139"/>
      <c r="AH1151" s="139"/>
      <c r="AI1151" s="139"/>
      <c r="AJ1151" s="139"/>
      <c r="AK1151" s="139"/>
      <c r="AL1151" s="139"/>
      <c r="AM1151" s="139"/>
      <c r="AN1151" s="139"/>
      <c r="AO1151" s="139"/>
      <c r="AP1151" s="139"/>
      <c r="AQ1151" s="139"/>
      <c r="AR1151" s="139"/>
      <c r="AS1151" s="139"/>
      <c r="AT1151" s="139"/>
      <c r="AU1151" s="139"/>
      <c r="AV1151" s="139"/>
      <c r="AW1151" s="139"/>
      <c r="AX1151" s="139"/>
      <c r="AY1151" s="139"/>
      <c r="AZ1151" s="139"/>
      <c r="BA1151" s="139"/>
      <c r="BB1151" s="139"/>
      <c r="BC1151" s="139"/>
      <c r="BD1151" s="139"/>
      <c r="BE1151" s="139"/>
      <c r="BF1151" s="139"/>
      <c r="BG1151" s="139"/>
      <c r="BH1151" s="139"/>
    </row>
    <row r="1152" spans="2:60" s="11" customFormat="1" ht="20.100000000000001" customHeight="1">
      <c r="B1152" s="1360"/>
      <c r="C1152" s="5598"/>
      <c r="D1152" s="9598" t="s">
        <v>137</v>
      </c>
      <c r="E1152" s="9600"/>
      <c r="F1152" s="492" t="s">
        <v>732</v>
      </c>
      <c r="G1152" s="666"/>
      <c r="H1152" s="666"/>
      <c r="I1152" s="9579" t="s">
        <v>138</v>
      </c>
      <c r="J1152" s="9581"/>
      <c r="K1152" s="132" t="s">
        <v>734</v>
      </c>
      <c r="L1152" s="5594">
        <v>28</v>
      </c>
      <c r="M1152" s="5671" t="s">
        <v>887</v>
      </c>
      <c r="N1152" s="5724">
        <v>92</v>
      </c>
      <c r="O1152" s="5680" t="s">
        <v>887</v>
      </c>
      <c r="P1152" s="5725">
        <v>26</v>
      </c>
      <c r="Q1152" s="5678"/>
      <c r="R1152" s="2468"/>
      <c r="S1152" s="544"/>
      <c r="T1152" s="545"/>
      <c r="U1152" s="546"/>
      <c r="V1152" s="547"/>
      <c r="W1152" s="548"/>
      <c r="X1152" s="277"/>
      <c r="Y1152" s="277"/>
      <c r="Z1152" s="187"/>
      <c r="AA1152" s="6301"/>
      <c r="AB1152" s="139"/>
      <c r="AC1152" s="139"/>
      <c r="AD1152" s="139"/>
      <c r="AE1152" s="139"/>
      <c r="AF1152" s="139"/>
      <c r="AG1152" s="139"/>
      <c r="AH1152" s="139"/>
      <c r="AI1152" s="139"/>
      <c r="AJ1152" s="139"/>
      <c r="AK1152" s="139"/>
      <c r="AL1152" s="139"/>
      <c r="AM1152" s="139"/>
      <c r="AN1152" s="139"/>
      <c r="AO1152" s="139"/>
      <c r="AP1152" s="139"/>
      <c r="AQ1152" s="139"/>
      <c r="AR1152" s="139"/>
      <c r="AS1152" s="139"/>
      <c r="AT1152" s="139"/>
      <c r="AU1152" s="139"/>
      <c r="AV1152" s="139"/>
      <c r="AW1152" s="139"/>
      <c r="AX1152" s="139"/>
      <c r="AY1152" s="139"/>
      <c r="AZ1152" s="139"/>
      <c r="BA1152" s="139"/>
      <c r="BB1152" s="139"/>
      <c r="BC1152" s="139"/>
      <c r="BD1152" s="139"/>
      <c r="BE1152" s="139"/>
      <c r="BF1152" s="139"/>
      <c r="BG1152" s="139"/>
      <c r="BH1152" s="139"/>
    </row>
    <row r="1153" spans="2:60" s="11" customFormat="1" ht="20.100000000000001" customHeight="1">
      <c r="B1153" s="1360"/>
      <c r="C1153" s="5598"/>
      <c r="D1153" s="9598" t="s">
        <v>140</v>
      </c>
      <c r="E1153" s="9600"/>
      <c r="F1153" s="492" t="s">
        <v>732</v>
      </c>
      <c r="G1153" s="666"/>
      <c r="H1153" s="666"/>
      <c r="I1153" s="9582" t="s">
        <v>141</v>
      </c>
      <c r="J1153" s="9583"/>
      <c r="K1153" s="132" t="s">
        <v>734</v>
      </c>
      <c r="L1153" s="5594">
        <v>173</v>
      </c>
      <c r="M1153" s="5671" t="s">
        <v>887</v>
      </c>
      <c r="N1153" s="5724">
        <v>107</v>
      </c>
      <c r="O1153" s="5680" t="s">
        <v>887</v>
      </c>
      <c r="P1153" s="5725">
        <v>84</v>
      </c>
      <c r="Q1153" s="5678"/>
      <c r="R1153" s="2468"/>
      <c r="S1153" s="544"/>
      <c r="T1153" s="545"/>
      <c r="U1153" s="546"/>
      <c r="V1153" s="547"/>
      <c r="W1153" s="548"/>
      <c r="X1153" s="277"/>
      <c r="Y1153" s="277"/>
      <c r="Z1153" s="187"/>
      <c r="AA1153" s="6301"/>
      <c r="AB1153" s="139"/>
      <c r="AC1153" s="139"/>
      <c r="AD1153" s="139"/>
      <c r="AE1153" s="139"/>
      <c r="AF1153" s="139"/>
      <c r="AG1153" s="139"/>
      <c r="AH1153" s="139"/>
      <c r="AI1153" s="139"/>
      <c r="AJ1153" s="139"/>
      <c r="AK1153" s="139"/>
      <c r="AL1153" s="139"/>
      <c r="AM1153" s="139"/>
      <c r="AN1153" s="139"/>
      <c r="AO1153" s="139"/>
      <c r="AP1153" s="139"/>
      <c r="AQ1153" s="139"/>
      <c r="AR1153" s="139"/>
      <c r="AS1153" s="139"/>
      <c r="AT1153" s="139"/>
      <c r="AU1153" s="139"/>
      <c r="AV1153" s="139"/>
      <c r="AW1153" s="139"/>
      <c r="AX1153" s="139"/>
      <c r="AY1153" s="139"/>
      <c r="AZ1153" s="139"/>
      <c r="BA1153" s="139"/>
      <c r="BB1153" s="139"/>
      <c r="BC1153" s="139"/>
      <c r="BD1153" s="139"/>
      <c r="BE1153" s="139"/>
      <c r="BF1153" s="139"/>
      <c r="BG1153" s="139"/>
      <c r="BH1153" s="139"/>
    </row>
    <row r="1154" spans="2:60" s="11" customFormat="1" ht="20.100000000000001" customHeight="1">
      <c r="B1154" s="1360"/>
      <c r="C1154" s="5598"/>
      <c r="D1154" s="9598" t="s">
        <v>143</v>
      </c>
      <c r="E1154" s="9600"/>
      <c r="F1154" s="492" t="s">
        <v>732</v>
      </c>
      <c r="G1154" s="666"/>
      <c r="H1154" s="666"/>
      <c r="I1154" s="9582" t="s">
        <v>144</v>
      </c>
      <c r="J1154" s="9583"/>
      <c r="K1154" s="132" t="s">
        <v>734</v>
      </c>
      <c r="L1154" s="5594">
        <v>0</v>
      </c>
      <c r="M1154" s="5671" t="s">
        <v>888</v>
      </c>
      <c r="N1154" s="5724">
        <v>0</v>
      </c>
      <c r="O1154" s="5680" t="s">
        <v>888</v>
      </c>
      <c r="P1154" s="5725">
        <v>0</v>
      </c>
      <c r="Q1154" s="5678"/>
      <c r="R1154" s="2468"/>
      <c r="S1154" s="544"/>
      <c r="T1154" s="545"/>
      <c r="U1154" s="546"/>
      <c r="V1154" s="547"/>
      <c r="W1154" s="548"/>
      <c r="X1154" s="277"/>
      <c r="Y1154" s="277"/>
      <c r="Z1154" s="187"/>
      <c r="AA1154" s="6301"/>
      <c r="AB1154" s="139"/>
      <c r="AC1154" s="139"/>
      <c r="AD1154" s="139"/>
      <c r="AE1154" s="139"/>
      <c r="AF1154" s="139"/>
      <c r="AG1154" s="139"/>
      <c r="AH1154" s="139"/>
      <c r="AI1154" s="139"/>
      <c r="AJ1154" s="139"/>
      <c r="AK1154" s="139"/>
      <c r="AL1154" s="139"/>
      <c r="AM1154" s="139"/>
      <c r="AN1154" s="139"/>
      <c r="AO1154" s="139"/>
      <c r="AP1154" s="139"/>
      <c r="AQ1154" s="139"/>
      <c r="AR1154" s="139"/>
      <c r="AS1154" s="139"/>
      <c r="AT1154" s="139"/>
      <c r="AU1154" s="139"/>
      <c r="AV1154" s="139"/>
      <c r="AW1154" s="139"/>
      <c r="AX1154" s="139"/>
      <c r="AY1154" s="139"/>
      <c r="AZ1154" s="139"/>
      <c r="BA1154" s="139"/>
      <c r="BB1154" s="139"/>
      <c r="BC1154" s="139"/>
      <c r="BD1154" s="139"/>
      <c r="BE1154" s="139"/>
      <c r="BF1154" s="139"/>
      <c r="BG1154" s="139"/>
      <c r="BH1154" s="139"/>
    </row>
    <row r="1155" spans="2:60" s="11" customFormat="1" ht="20.100000000000001" customHeight="1">
      <c r="B1155" s="1360"/>
      <c r="C1155" s="5598"/>
      <c r="D1155" s="9598" t="s">
        <v>631</v>
      </c>
      <c r="E1155" s="9600"/>
      <c r="F1155" s="492" t="s">
        <v>732</v>
      </c>
      <c r="G1155" s="666"/>
      <c r="H1155" s="666"/>
      <c r="I1155" s="9582" t="s">
        <v>147</v>
      </c>
      <c r="J1155" s="9583"/>
      <c r="K1155" s="132" t="s">
        <v>734</v>
      </c>
      <c r="L1155" s="5594">
        <v>16</v>
      </c>
      <c r="M1155" s="5671" t="s">
        <v>887</v>
      </c>
      <c r="N1155" s="5724">
        <v>86</v>
      </c>
      <c r="O1155" s="5680" t="s">
        <v>887</v>
      </c>
      <c r="P1155" s="5725">
        <v>95</v>
      </c>
      <c r="Q1155" s="5678"/>
      <c r="R1155" s="2468"/>
      <c r="S1155" s="544"/>
      <c r="T1155" s="545"/>
      <c r="U1155" s="546"/>
      <c r="V1155" s="547"/>
      <c r="W1155" s="548"/>
      <c r="X1155" s="277"/>
      <c r="Y1155" s="277"/>
      <c r="Z1155" s="187"/>
      <c r="AA1155" s="6301"/>
      <c r="AB1155" s="139"/>
      <c r="AC1155" s="139"/>
      <c r="AD1155" s="139"/>
      <c r="AE1155" s="139"/>
      <c r="AF1155" s="139"/>
      <c r="AG1155" s="139"/>
      <c r="AH1155" s="139"/>
      <c r="AI1155" s="139"/>
      <c r="AJ1155" s="139"/>
      <c r="AK1155" s="139"/>
      <c r="AL1155" s="139"/>
      <c r="AM1155" s="139"/>
      <c r="AN1155" s="139"/>
      <c r="AO1155" s="139"/>
      <c r="AP1155" s="139"/>
      <c r="AQ1155" s="139"/>
      <c r="AR1155" s="139"/>
      <c r="AS1155" s="139"/>
      <c r="AT1155" s="139"/>
      <c r="AU1155" s="139"/>
      <c r="AV1155" s="139"/>
      <c r="AW1155" s="139"/>
      <c r="AX1155" s="139"/>
      <c r="AY1155" s="139"/>
      <c r="AZ1155" s="139"/>
      <c r="BA1155" s="139"/>
      <c r="BB1155" s="139"/>
      <c r="BC1155" s="139"/>
      <c r="BD1155" s="139"/>
      <c r="BE1155" s="139"/>
      <c r="BF1155" s="139"/>
      <c r="BG1155" s="139"/>
      <c r="BH1155" s="139"/>
    </row>
    <row r="1156" spans="2:60" s="11" customFormat="1" ht="20.100000000000001" customHeight="1">
      <c r="B1156" s="1360"/>
      <c r="C1156" s="5598"/>
      <c r="D1156" s="9598" t="s">
        <v>633</v>
      </c>
      <c r="E1156" s="9600"/>
      <c r="F1156" s="492" t="s">
        <v>732</v>
      </c>
      <c r="G1156" s="666"/>
      <c r="H1156" s="666"/>
      <c r="I1156" s="9582" t="s">
        <v>150</v>
      </c>
      <c r="J1156" s="9583"/>
      <c r="K1156" s="132" t="s">
        <v>734</v>
      </c>
      <c r="L1156" s="5594">
        <v>752</v>
      </c>
      <c r="M1156" s="5671"/>
      <c r="N1156" s="5724">
        <v>781</v>
      </c>
      <c r="O1156" s="5680"/>
      <c r="P1156" s="5725">
        <v>836</v>
      </c>
      <c r="Q1156" s="5678"/>
      <c r="R1156" s="2468"/>
      <c r="S1156" s="544"/>
      <c r="T1156" s="545"/>
      <c r="U1156" s="546"/>
      <c r="V1156" s="547"/>
      <c r="W1156" s="548"/>
      <c r="X1156" s="277"/>
      <c r="Y1156" s="277"/>
      <c r="Z1156" s="187"/>
      <c r="AA1156" s="6301"/>
      <c r="AB1156" s="139"/>
      <c r="AC1156" s="139"/>
      <c r="AD1156" s="139"/>
      <c r="AE1156" s="139"/>
      <c r="AF1156" s="139"/>
      <c r="AG1156" s="139"/>
      <c r="AH1156" s="139"/>
      <c r="AI1156" s="139"/>
      <c r="AJ1156" s="139"/>
      <c r="AK1156" s="139"/>
      <c r="AL1156" s="139"/>
      <c r="AM1156" s="139"/>
      <c r="AN1156" s="139"/>
      <c r="AO1156" s="139"/>
      <c r="AP1156" s="139"/>
      <c r="AQ1156" s="139"/>
      <c r="AR1156" s="139"/>
      <c r="AS1156" s="139"/>
      <c r="AT1156" s="139"/>
      <c r="AU1156" s="139"/>
      <c r="AV1156" s="139"/>
      <c r="AW1156" s="139"/>
      <c r="AX1156" s="139"/>
      <c r="AY1156" s="139"/>
      <c r="AZ1156" s="139"/>
      <c r="BA1156" s="139"/>
      <c r="BB1156" s="139"/>
      <c r="BC1156" s="139"/>
      <c r="BD1156" s="139"/>
      <c r="BE1156" s="139"/>
      <c r="BF1156" s="139"/>
      <c r="BG1156" s="139"/>
      <c r="BH1156" s="139"/>
    </row>
    <row r="1157" spans="2:60" s="11" customFormat="1" ht="20.100000000000001" customHeight="1">
      <c r="B1157" s="1360"/>
      <c r="C1157" s="1362"/>
      <c r="D1157" s="9591" t="s">
        <v>889</v>
      </c>
      <c r="E1157" s="9592"/>
      <c r="F1157" s="132" t="s">
        <v>732</v>
      </c>
      <c r="G1157" s="253"/>
      <c r="H1157" s="253"/>
      <c r="I1157" s="9591" t="s">
        <v>890</v>
      </c>
      <c r="J1157" s="9592"/>
      <c r="K1157" s="132" t="s">
        <v>734</v>
      </c>
      <c r="L1157" s="5783">
        <f>IF(COUNTBLANK(L1158:L1163)&gt;0,"미취합법인有",SUM(L1158:L1163))</f>
        <v>3503</v>
      </c>
      <c r="M1157" s="5784"/>
      <c r="N1157" s="5785">
        <f>IF(COUNTBLANK(N1158:N1163)&gt;0,"미취합법인有",SUM(N1158:N1163))</f>
        <v>5272</v>
      </c>
      <c r="O1157" s="5945"/>
      <c r="P1157" s="5781">
        <f>IF(COUNTBLANK(P1158:P1163)&gt;0,"미취합법인有",SUM(P1158:P1163))</f>
        <v>5173</v>
      </c>
      <c r="Q1157" s="785"/>
      <c r="R1157" s="2472" t="s">
        <v>881</v>
      </c>
      <c r="S1157" s="457" t="s">
        <v>882</v>
      </c>
      <c r="T1157" s="99" t="s">
        <v>737</v>
      </c>
      <c r="U1157" s="547" t="s">
        <v>800</v>
      </c>
      <c r="V1157" s="547"/>
      <c r="W1157" s="99"/>
      <c r="X1157" s="620" t="s">
        <v>883</v>
      </c>
      <c r="Y1157" s="620" t="s">
        <v>884</v>
      </c>
      <c r="Z1157" s="159"/>
      <c r="AA1157" s="6301"/>
      <c r="AB1157" s="139"/>
      <c r="AC1157" s="139"/>
      <c r="AD1157" s="139"/>
      <c r="AE1157" s="139"/>
      <c r="AF1157" s="139"/>
      <c r="AG1157" s="139"/>
      <c r="AH1157" s="139"/>
      <c r="AI1157" s="139"/>
      <c r="AJ1157" s="139"/>
      <c r="AK1157" s="139"/>
      <c r="AL1157" s="139"/>
      <c r="AM1157" s="139"/>
      <c r="AN1157" s="139"/>
      <c r="AO1157" s="139"/>
      <c r="AP1157" s="139"/>
      <c r="AQ1157" s="139"/>
      <c r="AR1157" s="139"/>
      <c r="AS1157" s="139"/>
      <c r="AT1157" s="139"/>
      <c r="AU1157" s="139"/>
      <c r="AV1157" s="139"/>
      <c r="AW1157" s="139"/>
      <c r="AX1157" s="139"/>
      <c r="AY1157" s="139"/>
      <c r="AZ1157" s="139"/>
      <c r="BA1157" s="139"/>
      <c r="BB1157" s="139"/>
      <c r="BC1157" s="139"/>
      <c r="BD1157" s="139"/>
      <c r="BE1157" s="139"/>
      <c r="BF1157" s="139"/>
      <c r="BG1157" s="139"/>
      <c r="BH1157" s="139"/>
    </row>
    <row r="1158" spans="2:60" s="11" customFormat="1" ht="20.100000000000001" customHeight="1">
      <c r="B1158" s="1360"/>
      <c r="C1158" s="5598"/>
      <c r="D1158" s="9598" t="s">
        <v>134</v>
      </c>
      <c r="E1158" s="9600"/>
      <c r="F1158" s="492" t="s">
        <v>732</v>
      </c>
      <c r="G1158" s="666"/>
      <c r="H1158" s="666"/>
      <c r="I1158" s="9579" t="s">
        <v>135</v>
      </c>
      <c r="J1158" s="9581"/>
      <c r="K1158" s="132" t="s">
        <v>734</v>
      </c>
      <c r="L1158" s="5594">
        <v>2257</v>
      </c>
      <c r="M1158" s="5671" t="s">
        <v>746</v>
      </c>
      <c r="N1158" s="5724">
        <v>2724</v>
      </c>
      <c r="O1158" s="5680" t="s">
        <v>747</v>
      </c>
      <c r="P1158" s="5854">
        <v>3113</v>
      </c>
      <c r="Q1158" s="5678" t="s">
        <v>746</v>
      </c>
      <c r="R1158" s="2468"/>
      <c r="S1158" s="544"/>
      <c r="T1158" s="545"/>
      <c r="U1158" s="546"/>
      <c r="V1158" s="547"/>
      <c r="W1158" s="548"/>
      <c r="X1158" s="277"/>
      <c r="Y1158" s="277"/>
      <c r="Z1158" s="187"/>
      <c r="AA1158" s="6301"/>
      <c r="AB1158" s="139"/>
      <c r="AC1158" s="139"/>
      <c r="AD1158" s="139"/>
      <c r="AE1158" s="139"/>
      <c r="AF1158" s="139"/>
      <c r="AG1158" s="139"/>
      <c r="AH1158" s="139"/>
      <c r="AI1158" s="139"/>
      <c r="AJ1158" s="139"/>
      <c r="AK1158" s="139"/>
      <c r="AL1158" s="139"/>
      <c r="AM1158" s="139"/>
      <c r="AN1158" s="139"/>
      <c r="AO1158" s="139"/>
      <c r="AP1158" s="139"/>
      <c r="AQ1158" s="139"/>
      <c r="AR1158" s="139"/>
      <c r="AS1158" s="139"/>
      <c r="AT1158" s="139"/>
      <c r="AU1158" s="139"/>
      <c r="AV1158" s="139"/>
      <c r="AW1158" s="139"/>
      <c r="AX1158" s="139"/>
      <c r="AY1158" s="139"/>
      <c r="AZ1158" s="139"/>
      <c r="BA1158" s="139"/>
      <c r="BB1158" s="139"/>
      <c r="BC1158" s="139"/>
      <c r="BD1158" s="139"/>
      <c r="BE1158" s="139"/>
      <c r="BF1158" s="139"/>
      <c r="BG1158" s="139"/>
      <c r="BH1158" s="139"/>
    </row>
    <row r="1159" spans="2:60" s="11" customFormat="1" ht="20.100000000000001" customHeight="1">
      <c r="B1159" s="1360"/>
      <c r="C1159" s="5598"/>
      <c r="D1159" s="9598" t="s">
        <v>137</v>
      </c>
      <c r="E1159" s="9600"/>
      <c r="F1159" s="492" t="s">
        <v>732</v>
      </c>
      <c r="G1159" s="666"/>
      <c r="H1159" s="666"/>
      <c r="I1159" s="9579" t="s">
        <v>138</v>
      </c>
      <c r="J1159" s="9581"/>
      <c r="K1159" s="132" t="s">
        <v>734</v>
      </c>
      <c r="L1159" s="5594">
        <v>0</v>
      </c>
      <c r="M1159" s="5671"/>
      <c r="N1159" s="5724">
        <v>0</v>
      </c>
      <c r="O1159" s="5680"/>
      <c r="P1159" s="5725">
        <v>37</v>
      </c>
      <c r="Q1159" s="5678"/>
      <c r="R1159" s="2468"/>
      <c r="S1159" s="544"/>
      <c r="T1159" s="545"/>
      <c r="U1159" s="546"/>
      <c r="V1159" s="547"/>
      <c r="W1159" s="548"/>
      <c r="X1159" s="277"/>
      <c r="Y1159" s="277"/>
      <c r="Z1159" s="187"/>
      <c r="AA1159" s="6301"/>
      <c r="AB1159" s="139"/>
      <c r="AC1159" s="139"/>
      <c r="AD1159" s="139"/>
      <c r="AE1159" s="139"/>
      <c r="AF1159" s="139"/>
      <c r="AG1159" s="139"/>
      <c r="AH1159" s="139"/>
      <c r="AI1159" s="139"/>
      <c r="AJ1159" s="139"/>
      <c r="AK1159" s="139"/>
      <c r="AL1159" s="139"/>
      <c r="AM1159" s="139"/>
      <c r="AN1159" s="139"/>
      <c r="AO1159" s="139"/>
      <c r="AP1159" s="139"/>
      <c r="AQ1159" s="139"/>
      <c r="AR1159" s="139"/>
      <c r="AS1159" s="139"/>
      <c r="AT1159" s="139"/>
      <c r="AU1159" s="139"/>
      <c r="AV1159" s="139"/>
      <c r="AW1159" s="139"/>
      <c r="AX1159" s="139"/>
      <c r="AY1159" s="139"/>
      <c r="AZ1159" s="139"/>
      <c r="BA1159" s="139"/>
      <c r="BB1159" s="139"/>
      <c r="BC1159" s="139"/>
      <c r="BD1159" s="139"/>
      <c r="BE1159" s="139"/>
      <c r="BF1159" s="139"/>
      <c r="BG1159" s="139"/>
      <c r="BH1159" s="139"/>
    </row>
    <row r="1160" spans="2:60" s="11" customFormat="1" ht="20.100000000000001" customHeight="1">
      <c r="B1160" s="1360"/>
      <c r="C1160" s="5598"/>
      <c r="D1160" s="9598" t="s">
        <v>140</v>
      </c>
      <c r="E1160" s="9600"/>
      <c r="F1160" s="492" t="s">
        <v>732</v>
      </c>
      <c r="G1160" s="666"/>
      <c r="H1160" s="666"/>
      <c r="I1160" s="9582" t="s">
        <v>141</v>
      </c>
      <c r="J1160" s="9583"/>
      <c r="K1160" s="132" t="s">
        <v>734</v>
      </c>
      <c r="L1160" s="5594">
        <v>0</v>
      </c>
      <c r="M1160" s="5671"/>
      <c r="N1160" s="5724">
        <v>0</v>
      </c>
      <c r="O1160" s="5680"/>
      <c r="P1160" s="5725">
        <v>7</v>
      </c>
      <c r="Q1160" s="5678"/>
      <c r="R1160" s="2468"/>
      <c r="S1160" s="544"/>
      <c r="T1160" s="545"/>
      <c r="U1160" s="546"/>
      <c r="V1160" s="547"/>
      <c r="W1160" s="548"/>
      <c r="X1160" s="277"/>
      <c r="Y1160" s="277"/>
      <c r="Z1160" s="187"/>
      <c r="AA1160" s="6301"/>
      <c r="AB1160" s="139"/>
      <c r="AC1160" s="139"/>
      <c r="AD1160" s="139"/>
      <c r="AE1160" s="139"/>
      <c r="AF1160" s="139"/>
      <c r="AG1160" s="139"/>
      <c r="AH1160" s="139"/>
      <c r="AI1160" s="139"/>
      <c r="AJ1160" s="139"/>
      <c r="AK1160" s="139"/>
      <c r="AL1160" s="139"/>
      <c r="AM1160" s="139"/>
      <c r="AN1160" s="139"/>
      <c r="AO1160" s="139"/>
      <c r="AP1160" s="139"/>
      <c r="AQ1160" s="139"/>
      <c r="AR1160" s="139"/>
      <c r="AS1160" s="139"/>
      <c r="AT1160" s="139"/>
      <c r="AU1160" s="139"/>
      <c r="AV1160" s="139"/>
      <c r="AW1160" s="139"/>
      <c r="AX1160" s="139"/>
      <c r="AY1160" s="139"/>
      <c r="AZ1160" s="139"/>
      <c r="BA1160" s="139"/>
      <c r="BB1160" s="139"/>
      <c r="BC1160" s="139"/>
      <c r="BD1160" s="139"/>
      <c r="BE1160" s="139"/>
      <c r="BF1160" s="139"/>
      <c r="BG1160" s="139"/>
      <c r="BH1160" s="139"/>
    </row>
    <row r="1161" spans="2:60" s="11" customFormat="1" ht="20.100000000000001" customHeight="1">
      <c r="B1161" s="1360"/>
      <c r="C1161" s="5598"/>
      <c r="D1161" s="9598" t="s">
        <v>143</v>
      </c>
      <c r="E1161" s="9600"/>
      <c r="F1161" s="492" t="s">
        <v>732</v>
      </c>
      <c r="G1161" s="666"/>
      <c r="H1161" s="666"/>
      <c r="I1161" s="9582" t="s">
        <v>144</v>
      </c>
      <c r="J1161" s="9583"/>
      <c r="K1161" s="132" t="s">
        <v>734</v>
      </c>
      <c r="L1161" s="5594">
        <v>1246</v>
      </c>
      <c r="M1161" s="5671"/>
      <c r="N1161" s="5724">
        <v>2548</v>
      </c>
      <c r="O1161" s="5680"/>
      <c r="P1161" s="5725">
        <v>2016</v>
      </c>
      <c r="Q1161" s="5678"/>
      <c r="R1161" s="2468"/>
      <c r="S1161" s="544"/>
      <c r="T1161" s="545"/>
      <c r="U1161" s="546"/>
      <c r="V1161" s="547"/>
      <c r="W1161" s="548"/>
      <c r="X1161" s="277"/>
      <c r="Y1161" s="277"/>
      <c r="Z1161" s="187"/>
      <c r="AA1161" s="6301"/>
      <c r="AB1161" s="139"/>
      <c r="AC1161" s="139"/>
      <c r="AD1161" s="139"/>
      <c r="AE1161" s="139"/>
      <c r="AF1161" s="139"/>
      <c r="AG1161" s="139"/>
      <c r="AH1161" s="139"/>
      <c r="AI1161" s="139"/>
      <c r="AJ1161" s="139"/>
      <c r="AK1161" s="139"/>
      <c r="AL1161" s="139"/>
      <c r="AM1161" s="139"/>
      <c r="AN1161" s="139"/>
      <c r="AO1161" s="139"/>
      <c r="AP1161" s="139"/>
      <c r="AQ1161" s="139"/>
      <c r="AR1161" s="139"/>
      <c r="AS1161" s="139"/>
      <c r="AT1161" s="139"/>
      <c r="AU1161" s="139"/>
      <c r="AV1161" s="139"/>
      <c r="AW1161" s="139"/>
      <c r="AX1161" s="139"/>
      <c r="AY1161" s="139"/>
      <c r="AZ1161" s="139"/>
      <c r="BA1161" s="139"/>
      <c r="BB1161" s="139"/>
      <c r="BC1161" s="139"/>
      <c r="BD1161" s="139"/>
      <c r="BE1161" s="139"/>
      <c r="BF1161" s="139"/>
      <c r="BG1161" s="139"/>
      <c r="BH1161" s="139"/>
    </row>
    <row r="1162" spans="2:60" s="11" customFormat="1" ht="20.100000000000001" customHeight="1">
      <c r="B1162" s="1360"/>
      <c r="C1162" s="5598"/>
      <c r="D1162" s="9598" t="s">
        <v>631</v>
      </c>
      <c r="E1162" s="9600"/>
      <c r="F1162" s="492" t="s">
        <v>732</v>
      </c>
      <c r="G1162" s="666"/>
      <c r="H1162" s="666"/>
      <c r="I1162" s="9582" t="s">
        <v>147</v>
      </c>
      <c r="J1162" s="9583"/>
      <c r="K1162" s="132" t="s">
        <v>734</v>
      </c>
      <c r="L1162" s="5594">
        <v>0</v>
      </c>
      <c r="M1162" s="5671"/>
      <c r="N1162" s="5724">
        <v>0</v>
      </c>
      <c r="O1162" s="5680"/>
      <c r="P1162" s="5725">
        <v>0</v>
      </c>
      <c r="Q1162" s="5678"/>
      <c r="R1162" s="2468"/>
      <c r="S1162" s="544"/>
      <c r="T1162" s="545"/>
      <c r="U1162" s="546"/>
      <c r="V1162" s="547"/>
      <c r="W1162" s="548"/>
      <c r="X1162" s="277"/>
      <c r="Y1162" s="277"/>
      <c r="Z1162" s="187"/>
      <c r="AA1162" s="6301"/>
      <c r="AB1162" s="139"/>
      <c r="AC1162" s="139"/>
      <c r="AD1162" s="139"/>
      <c r="AE1162" s="139"/>
      <c r="AF1162" s="139"/>
      <c r="AG1162" s="139"/>
      <c r="AH1162" s="139"/>
      <c r="AI1162" s="139"/>
      <c r="AJ1162" s="139"/>
      <c r="AK1162" s="139"/>
      <c r="AL1162" s="139"/>
      <c r="AM1162" s="139"/>
      <c r="AN1162" s="139"/>
      <c r="AO1162" s="139"/>
      <c r="AP1162" s="139"/>
      <c r="AQ1162" s="139"/>
      <c r="AR1162" s="139"/>
      <c r="AS1162" s="139"/>
      <c r="AT1162" s="139"/>
      <c r="AU1162" s="139"/>
      <c r="AV1162" s="139"/>
      <c r="AW1162" s="139"/>
      <c r="AX1162" s="139"/>
      <c r="AY1162" s="139"/>
      <c r="AZ1162" s="139"/>
      <c r="BA1162" s="139"/>
      <c r="BB1162" s="139"/>
      <c r="BC1162" s="139"/>
      <c r="BD1162" s="139"/>
      <c r="BE1162" s="139"/>
      <c r="BF1162" s="139"/>
      <c r="BG1162" s="139"/>
      <c r="BH1162" s="139"/>
    </row>
    <row r="1163" spans="2:60" s="11" customFormat="1" ht="20.100000000000001" customHeight="1">
      <c r="B1163" s="1360"/>
      <c r="C1163" s="5598"/>
      <c r="D1163" s="9598" t="s">
        <v>633</v>
      </c>
      <c r="E1163" s="9600"/>
      <c r="F1163" s="492" t="s">
        <v>732</v>
      </c>
      <c r="G1163" s="666"/>
      <c r="H1163" s="666"/>
      <c r="I1163" s="9582" t="s">
        <v>150</v>
      </c>
      <c r="J1163" s="9583"/>
      <c r="K1163" s="132" t="s">
        <v>734</v>
      </c>
      <c r="L1163" s="5594">
        <v>0</v>
      </c>
      <c r="M1163" s="5671"/>
      <c r="N1163" s="5724">
        <v>0</v>
      </c>
      <c r="O1163" s="5680"/>
      <c r="P1163" s="5725">
        <v>0</v>
      </c>
      <c r="Q1163" s="5678"/>
      <c r="R1163" s="2468"/>
      <c r="S1163" s="544"/>
      <c r="T1163" s="545"/>
      <c r="U1163" s="546"/>
      <c r="V1163" s="547"/>
      <c r="W1163" s="548"/>
      <c r="X1163" s="277"/>
      <c r="Y1163" s="277"/>
      <c r="Z1163" s="187"/>
      <c r="AA1163" s="6301"/>
      <c r="AB1163" s="139"/>
      <c r="AC1163" s="139"/>
      <c r="AD1163" s="139"/>
      <c r="AE1163" s="139"/>
      <c r="AF1163" s="139"/>
      <c r="AG1163" s="139"/>
      <c r="AH1163" s="139"/>
      <c r="AI1163" s="139"/>
      <c r="AJ1163" s="139"/>
      <c r="AK1163" s="139"/>
      <c r="AL1163" s="139"/>
      <c r="AM1163" s="139"/>
      <c r="AN1163" s="139"/>
      <c r="AO1163" s="139"/>
      <c r="AP1163" s="139"/>
      <c r="AQ1163" s="139"/>
      <c r="AR1163" s="139"/>
      <c r="AS1163" s="139"/>
      <c r="AT1163" s="139"/>
      <c r="AU1163" s="139"/>
      <c r="AV1163" s="139"/>
      <c r="AW1163" s="139"/>
      <c r="AX1163" s="139"/>
      <c r="AY1163" s="139"/>
      <c r="AZ1163" s="139"/>
      <c r="BA1163" s="139"/>
      <c r="BB1163" s="139"/>
      <c r="BC1163" s="139"/>
      <c r="BD1163" s="139"/>
      <c r="BE1163" s="139"/>
      <c r="BF1163" s="139"/>
      <c r="BG1163" s="139"/>
      <c r="BH1163" s="139"/>
    </row>
    <row r="1164" spans="2:60" s="11" customFormat="1" ht="20.100000000000001" customHeight="1">
      <c r="B1164" s="1360"/>
      <c r="C1164" s="9690" t="s">
        <v>891</v>
      </c>
      <c r="D1164" s="9691"/>
      <c r="E1164" s="9691"/>
      <c r="F1164" s="9691"/>
      <c r="G1164" s="9691"/>
      <c r="H1164" s="9691"/>
      <c r="I1164" s="9691"/>
      <c r="J1164" s="9691"/>
      <c r="K1164" s="9691"/>
      <c r="L1164" s="9691"/>
      <c r="M1164" s="9691"/>
      <c r="N1164" s="9691"/>
      <c r="O1164" s="9691"/>
      <c r="P1164" s="9691"/>
      <c r="Q1164" s="9692"/>
      <c r="R1164" s="2468"/>
      <c r="S1164" s="24"/>
      <c r="T1164" s="99" t="s">
        <v>737</v>
      </c>
      <c r="U1164" s="547" t="s">
        <v>800</v>
      </c>
      <c r="V1164" s="547"/>
      <c r="W1164" s="99"/>
      <c r="X1164" s="620" t="s">
        <v>892</v>
      </c>
      <c r="Y1164" s="620" t="s">
        <v>884</v>
      </c>
      <c r="Z1164" s="159"/>
      <c r="AA1164" s="6301"/>
      <c r="AB1164" s="139"/>
      <c r="AC1164" s="139"/>
      <c r="AD1164" s="139"/>
      <c r="AE1164" s="139"/>
      <c r="AF1164" s="139"/>
      <c r="AG1164" s="139"/>
      <c r="AH1164" s="139"/>
      <c r="AI1164" s="139"/>
      <c r="AJ1164" s="139"/>
      <c r="AK1164" s="139"/>
      <c r="AL1164" s="139"/>
      <c r="AM1164" s="139"/>
      <c r="AN1164" s="139"/>
      <c r="AO1164" s="139"/>
      <c r="AP1164" s="139"/>
      <c r="AQ1164" s="139"/>
      <c r="AR1164" s="139"/>
      <c r="AS1164" s="139"/>
      <c r="AT1164" s="139"/>
      <c r="AU1164" s="139"/>
      <c r="AV1164" s="139"/>
      <c r="AW1164" s="139"/>
      <c r="AX1164" s="139"/>
      <c r="AY1164" s="139"/>
      <c r="AZ1164" s="139"/>
      <c r="BA1164" s="139"/>
      <c r="BB1164" s="139"/>
      <c r="BC1164" s="139"/>
      <c r="BD1164" s="139"/>
      <c r="BE1164" s="139"/>
      <c r="BF1164" s="139"/>
      <c r="BG1164" s="139"/>
      <c r="BH1164" s="139"/>
    </row>
    <row r="1165" spans="2:60" s="11" customFormat="1" ht="20.100000000000001" customHeight="1">
      <c r="B1165" s="1360"/>
      <c r="C1165" s="703"/>
      <c r="D1165" s="9584" t="s">
        <v>796</v>
      </c>
      <c r="E1165" s="9585"/>
      <c r="F1165" s="492" t="s">
        <v>732</v>
      </c>
      <c r="G1165" s="286"/>
      <c r="H1165" s="1776"/>
      <c r="I1165" s="9584" t="s">
        <v>893</v>
      </c>
      <c r="J1165" s="9585"/>
      <c r="K1165" s="132" t="s">
        <v>734</v>
      </c>
      <c r="L1165" s="5783">
        <f>IF(COUNTBLANK(L1166:L1171)&gt;0,"미취합법인有",SUM(L1166:L1171))</f>
        <v>2968</v>
      </c>
      <c r="M1165" s="5784"/>
      <c r="N1165" s="5785">
        <f>IF(COUNTBLANK(N1166:N1171)&gt;0,"미취합법인有",SUM(N1166:N1171))</f>
        <v>4511</v>
      </c>
      <c r="O1165" s="5663"/>
      <c r="P1165" s="5781">
        <f>IF(COUNTBLANK(P1166:P1171)&gt;0,"미취합법인有",SUM(P1166:P1171))</f>
        <v>4162</v>
      </c>
      <c r="Q1165" s="785"/>
      <c r="R1165" s="2472" t="s">
        <v>894</v>
      </c>
      <c r="S1165" s="457" t="s">
        <v>895</v>
      </c>
      <c r="T1165" s="99" t="s">
        <v>737</v>
      </c>
      <c r="U1165" s="547" t="s">
        <v>800</v>
      </c>
      <c r="V1165" s="547"/>
      <c r="W1165" s="99"/>
      <c r="X1165" s="620" t="s">
        <v>892</v>
      </c>
      <c r="Y1165" s="620" t="s">
        <v>884</v>
      </c>
      <c r="Z1165" s="159"/>
      <c r="AA1165" s="6301"/>
      <c r="AB1165" s="139"/>
      <c r="AC1165" s="139"/>
      <c r="AD1165" s="139"/>
      <c r="AE1165" s="139"/>
      <c r="AF1165" s="139"/>
      <c r="AG1165" s="139"/>
      <c r="AH1165" s="139"/>
      <c r="AI1165" s="139"/>
      <c r="AJ1165" s="139"/>
      <c r="AK1165" s="139"/>
      <c r="AL1165" s="139"/>
      <c r="AM1165" s="139"/>
      <c r="AN1165" s="139"/>
      <c r="AO1165" s="139"/>
      <c r="AP1165" s="139"/>
      <c r="AQ1165" s="139"/>
      <c r="AR1165" s="139"/>
      <c r="AS1165" s="139"/>
      <c r="AT1165" s="139"/>
      <c r="AU1165" s="139"/>
      <c r="AV1165" s="139"/>
      <c r="AW1165" s="139"/>
      <c r="AX1165" s="139"/>
      <c r="AY1165" s="139"/>
      <c r="AZ1165" s="139"/>
      <c r="BA1165" s="139"/>
      <c r="BB1165" s="139"/>
      <c r="BC1165" s="139"/>
      <c r="BD1165" s="139"/>
      <c r="BE1165" s="139"/>
      <c r="BF1165" s="139"/>
      <c r="BG1165" s="139"/>
      <c r="BH1165" s="139"/>
    </row>
    <row r="1166" spans="2:60" s="11" customFormat="1" ht="20.100000000000001" customHeight="1">
      <c r="B1166" s="1360"/>
      <c r="C1166" s="5598"/>
      <c r="D1166" s="9598" t="s">
        <v>134</v>
      </c>
      <c r="E1166" s="9600"/>
      <c r="F1166" s="492" t="s">
        <v>732</v>
      </c>
      <c r="G1166" s="666"/>
      <c r="H1166" s="684"/>
      <c r="I1166" s="9579" t="s">
        <v>135</v>
      </c>
      <c r="J1166" s="9581"/>
      <c r="K1166" s="132" t="s">
        <v>734</v>
      </c>
      <c r="L1166" s="5594">
        <v>1841</v>
      </c>
      <c r="M1166" s="5671" t="s">
        <v>746</v>
      </c>
      <c r="N1166" s="5724">
        <v>2690</v>
      </c>
      <c r="O1166" s="5680" t="s">
        <v>747</v>
      </c>
      <c r="P1166" s="5854">
        <v>2630</v>
      </c>
      <c r="Q1166" s="5678" t="s">
        <v>746</v>
      </c>
      <c r="R1166" s="2468"/>
      <c r="S1166" s="544"/>
      <c r="T1166" s="545"/>
      <c r="U1166" s="546"/>
      <c r="V1166" s="547"/>
      <c r="W1166" s="548"/>
      <c r="X1166" s="277"/>
      <c r="Y1166" s="277"/>
      <c r="Z1166" s="187"/>
      <c r="AA1166" s="6301"/>
      <c r="AB1166" s="139"/>
      <c r="AC1166" s="139"/>
      <c r="AD1166" s="139"/>
      <c r="AE1166" s="139"/>
      <c r="AF1166" s="139"/>
      <c r="AG1166" s="139"/>
      <c r="AH1166" s="139"/>
      <c r="AI1166" s="139"/>
      <c r="AJ1166" s="139"/>
      <c r="AK1166" s="139"/>
      <c r="AL1166" s="139"/>
      <c r="AM1166" s="139"/>
      <c r="AN1166" s="139"/>
      <c r="AO1166" s="139"/>
      <c r="AP1166" s="139"/>
      <c r="AQ1166" s="139"/>
      <c r="AR1166" s="139"/>
      <c r="AS1166" s="139"/>
      <c r="AT1166" s="139"/>
      <c r="AU1166" s="139"/>
      <c r="AV1166" s="139"/>
      <c r="AW1166" s="139"/>
      <c r="AX1166" s="139"/>
      <c r="AY1166" s="139"/>
      <c r="AZ1166" s="139"/>
      <c r="BA1166" s="139"/>
      <c r="BB1166" s="139"/>
      <c r="BC1166" s="139"/>
      <c r="BD1166" s="139"/>
      <c r="BE1166" s="139"/>
      <c r="BF1166" s="139"/>
      <c r="BG1166" s="139"/>
      <c r="BH1166" s="139"/>
    </row>
    <row r="1167" spans="2:60" s="11" customFormat="1" ht="20.100000000000001" customHeight="1">
      <c r="B1167" s="1360"/>
      <c r="C1167" s="5598"/>
      <c r="D1167" s="9598" t="s">
        <v>137</v>
      </c>
      <c r="E1167" s="9600"/>
      <c r="F1167" s="492" t="s">
        <v>732</v>
      </c>
      <c r="G1167" s="666"/>
      <c r="H1167" s="684"/>
      <c r="I1167" s="9579" t="s">
        <v>138</v>
      </c>
      <c r="J1167" s="9581"/>
      <c r="K1167" s="132" t="s">
        <v>734</v>
      </c>
      <c r="L1167" s="5594">
        <v>19</v>
      </c>
      <c r="M1167" s="5671"/>
      <c r="N1167" s="5724">
        <v>57</v>
      </c>
      <c r="O1167" s="5680"/>
      <c r="P1167" s="5725">
        <v>23</v>
      </c>
      <c r="Q1167" s="5678"/>
      <c r="R1167" s="2468"/>
      <c r="S1167" s="544"/>
      <c r="T1167" s="545"/>
      <c r="U1167" s="546"/>
      <c r="V1167" s="547"/>
      <c r="W1167" s="548"/>
      <c r="X1167" s="277"/>
      <c r="Y1167" s="277"/>
      <c r="Z1167" s="187"/>
      <c r="AA1167" s="6301"/>
      <c r="AB1167" s="139"/>
      <c r="AC1167" s="139"/>
      <c r="AD1167" s="139"/>
      <c r="AE1167" s="139"/>
      <c r="AF1167" s="139"/>
      <c r="AG1167" s="139"/>
      <c r="AH1167" s="139"/>
      <c r="AI1167" s="139"/>
      <c r="AJ1167" s="139"/>
      <c r="AK1167" s="139"/>
      <c r="AL1167" s="139"/>
      <c r="AM1167" s="139"/>
      <c r="AN1167" s="139"/>
      <c r="AO1167" s="139"/>
      <c r="AP1167" s="139"/>
      <c r="AQ1167" s="139"/>
      <c r="AR1167" s="139"/>
      <c r="AS1167" s="139"/>
      <c r="AT1167" s="139"/>
      <c r="AU1167" s="139"/>
      <c r="AV1167" s="139"/>
      <c r="AW1167" s="139"/>
      <c r="AX1167" s="139"/>
      <c r="AY1167" s="139"/>
      <c r="AZ1167" s="139"/>
      <c r="BA1167" s="139"/>
      <c r="BB1167" s="139"/>
      <c r="BC1167" s="139"/>
      <c r="BD1167" s="139"/>
      <c r="BE1167" s="139"/>
      <c r="BF1167" s="139"/>
      <c r="BG1167" s="139"/>
      <c r="BH1167" s="139"/>
    </row>
    <row r="1168" spans="2:60" s="11" customFormat="1" ht="20.100000000000001" customHeight="1">
      <c r="B1168" s="1360"/>
      <c r="C1168" s="5598"/>
      <c r="D1168" s="9598" t="s">
        <v>140</v>
      </c>
      <c r="E1168" s="9600"/>
      <c r="F1168" s="492" t="s">
        <v>732</v>
      </c>
      <c r="G1168" s="666"/>
      <c r="H1168" s="684"/>
      <c r="I1168" s="9582" t="s">
        <v>141</v>
      </c>
      <c r="J1168" s="9583"/>
      <c r="K1168" s="132" t="s">
        <v>734</v>
      </c>
      <c r="L1168" s="5594">
        <v>99</v>
      </c>
      <c r="M1168" s="5671" t="s">
        <v>748</v>
      </c>
      <c r="N1168" s="5724">
        <v>69</v>
      </c>
      <c r="O1168" s="5680" t="s">
        <v>748</v>
      </c>
      <c r="P1168" s="5725">
        <v>48</v>
      </c>
      <c r="Q1168" s="5678" t="s">
        <v>748</v>
      </c>
      <c r="R1168" s="2468"/>
      <c r="S1168" s="544"/>
      <c r="T1168" s="545"/>
      <c r="U1168" s="546"/>
      <c r="V1168" s="547"/>
      <c r="W1168" s="548"/>
      <c r="X1168" s="277"/>
      <c r="Y1168" s="277"/>
      <c r="Z1168" s="187"/>
      <c r="AA1168" s="6301"/>
      <c r="AB1168" s="139"/>
      <c r="AC1168" s="139"/>
      <c r="AD1168" s="139"/>
      <c r="AE1168" s="139"/>
      <c r="AF1168" s="139"/>
      <c r="AG1168" s="139"/>
      <c r="AH1168" s="139"/>
      <c r="AI1168" s="139"/>
      <c r="AJ1168" s="139"/>
      <c r="AK1168" s="139"/>
      <c r="AL1168" s="139"/>
      <c r="AM1168" s="139"/>
      <c r="AN1168" s="139"/>
      <c r="AO1168" s="139"/>
      <c r="AP1168" s="139"/>
      <c r="AQ1168" s="139"/>
      <c r="AR1168" s="139"/>
      <c r="AS1168" s="139"/>
      <c r="AT1168" s="139"/>
      <c r="AU1168" s="139"/>
      <c r="AV1168" s="139"/>
      <c r="AW1168" s="139"/>
      <c r="AX1168" s="139"/>
      <c r="AY1168" s="139"/>
      <c r="AZ1168" s="139"/>
      <c r="BA1168" s="139"/>
      <c r="BB1168" s="139"/>
      <c r="BC1168" s="139"/>
      <c r="BD1168" s="139"/>
      <c r="BE1168" s="139"/>
      <c r="BF1168" s="139"/>
      <c r="BG1168" s="139"/>
      <c r="BH1168" s="139"/>
    </row>
    <row r="1169" spans="2:60" s="11" customFormat="1" ht="20.100000000000001" customHeight="1">
      <c r="B1169" s="1360"/>
      <c r="C1169" s="5598"/>
      <c r="D1169" s="9598" t="s">
        <v>143</v>
      </c>
      <c r="E1169" s="9600"/>
      <c r="F1169" s="492" t="s">
        <v>732</v>
      </c>
      <c r="G1169" s="666"/>
      <c r="H1169" s="684"/>
      <c r="I1169" s="9582" t="s">
        <v>144</v>
      </c>
      <c r="J1169" s="9583"/>
      <c r="K1169" s="132" t="s">
        <v>734</v>
      </c>
      <c r="L1169" s="5594">
        <v>566</v>
      </c>
      <c r="M1169" s="5671" t="s">
        <v>801</v>
      </c>
      <c r="N1169" s="5724">
        <v>1235</v>
      </c>
      <c r="O1169" s="5680" t="s">
        <v>801</v>
      </c>
      <c r="P1169" s="5725">
        <v>964</v>
      </c>
      <c r="Q1169" s="5678"/>
      <c r="R1169" s="2468"/>
      <c r="S1169" s="544"/>
      <c r="T1169" s="545"/>
      <c r="U1169" s="546"/>
      <c r="V1169" s="547"/>
      <c r="W1169" s="548"/>
      <c r="X1169" s="277"/>
      <c r="Y1169" s="277"/>
      <c r="Z1169" s="187"/>
      <c r="AA1169" s="6301"/>
      <c r="AB1169" s="139"/>
      <c r="AC1169" s="139"/>
      <c r="AD1169" s="139"/>
      <c r="AE1169" s="139"/>
      <c r="AF1169" s="139"/>
      <c r="AG1169" s="139"/>
      <c r="AH1169" s="139"/>
      <c r="AI1169" s="139"/>
      <c r="AJ1169" s="139"/>
      <c r="AK1169" s="139"/>
      <c r="AL1169" s="139"/>
      <c r="AM1169" s="139"/>
      <c r="AN1169" s="139"/>
      <c r="AO1169" s="139"/>
      <c r="AP1169" s="139"/>
      <c r="AQ1169" s="139"/>
      <c r="AR1169" s="139"/>
      <c r="AS1169" s="139"/>
      <c r="AT1169" s="139"/>
      <c r="AU1169" s="139"/>
      <c r="AV1169" s="139"/>
      <c r="AW1169" s="139"/>
      <c r="AX1169" s="139"/>
      <c r="AY1169" s="139"/>
      <c r="AZ1169" s="139"/>
      <c r="BA1169" s="139"/>
      <c r="BB1169" s="139"/>
      <c r="BC1169" s="139"/>
      <c r="BD1169" s="139"/>
      <c r="BE1169" s="139"/>
      <c r="BF1169" s="139"/>
      <c r="BG1169" s="139"/>
      <c r="BH1169" s="139"/>
    </row>
    <row r="1170" spans="2:60" s="11" customFormat="1" ht="20.100000000000001" customHeight="1">
      <c r="B1170" s="1360"/>
      <c r="C1170" s="5598"/>
      <c r="D1170" s="9598" t="s">
        <v>631</v>
      </c>
      <c r="E1170" s="9600"/>
      <c r="F1170" s="492" t="s">
        <v>732</v>
      </c>
      <c r="G1170" s="666"/>
      <c r="H1170" s="684"/>
      <c r="I1170" s="9582" t="s">
        <v>147</v>
      </c>
      <c r="J1170" s="9583"/>
      <c r="K1170" s="132" t="s">
        <v>734</v>
      </c>
      <c r="L1170" s="5594">
        <v>7</v>
      </c>
      <c r="M1170" s="5671" t="s">
        <v>751</v>
      </c>
      <c r="N1170" s="5724">
        <v>41</v>
      </c>
      <c r="O1170" s="5680" t="s">
        <v>751</v>
      </c>
      <c r="P1170" s="5725">
        <v>60</v>
      </c>
      <c r="Q1170" s="5678"/>
      <c r="R1170" s="2468"/>
      <c r="S1170" s="544"/>
      <c r="T1170" s="545"/>
      <c r="U1170" s="546"/>
      <c r="V1170" s="547"/>
      <c r="W1170" s="548"/>
      <c r="X1170" s="277"/>
      <c r="Y1170" s="277"/>
      <c r="Z1170" s="187"/>
      <c r="AA1170" s="6301"/>
      <c r="AB1170" s="139"/>
      <c r="AC1170" s="139"/>
      <c r="AD1170" s="139"/>
      <c r="AE1170" s="139"/>
      <c r="AF1170" s="139"/>
      <c r="AG1170" s="139"/>
      <c r="AH1170" s="139"/>
      <c r="AI1170" s="139"/>
      <c r="AJ1170" s="139"/>
      <c r="AK1170" s="139"/>
      <c r="AL1170" s="139"/>
      <c r="AM1170" s="139"/>
      <c r="AN1170" s="139"/>
      <c r="AO1170" s="139"/>
      <c r="AP1170" s="139"/>
      <c r="AQ1170" s="139"/>
      <c r="AR1170" s="139"/>
      <c r="AS1170" s="139"/>
      <c r="AT1170" s="139"/>
      <c r="AU1170" s="139"/>
      <c r="AV1170" s="139"/>
      <c r="AW1170" s="139"/>
      <c r="AX1170" s="139"/>
      <c r="AY1170" s="139"/>
      <c r="AZ1170" s="139"/>
      <c r="BA1170" s="139"/>
      <c r="BB1170" s="139"/>
      <c r="BC1170" s="139"/>
      <c r="BD1170" s="139"/>
      <c r="BE1170" s="139"/>
      <c r="BF1170" s="139"/>
      <c r="BG1170" s="139"/>
      <c r="BH1170" s="139"/>
    </row>
    <row r="1171" spans="2:60" s="11" customFormat="1" ht="20.100000000000001" customHeight="1">
      <c r="B1171" s="1360"/>
      <c r="C1171" s="5598"/>
      <c r="D1171" s="9598" t="s">
        <v>633</v>
      </c>
      <c r="E1171" s="9600"/>
      <c r="F1171" s="492" t="s">
        <v>732</v>
      </c>
      <c r="G1171" s="666"/>
      <c r="H1171" s="684"/>
      <c r="I1171" s="9582" t="s">
        <v>150</v>
      </c>
      <c r="J1171" s="9583"/>
      <c r="K1171" s="132" t="s">
        <v>734</v>
      </c>
      <c r="L1171" s="5594">
        <v>436</v>
      </c>
      <c r="M1171" s="5671"/>
      <c r="N1171" s="5724">
        <v>419</v>
      </c>
      <c r="O1171" s="5680"/>
      <c r="P1171" s="5725">
        <v>437</v>
      </c>
      <c r="Q1171" s="5678"/>
      <c r="R1171" s="2468"/>
      <c r="S1171" s="544"/>
      <c r="T1171" s="545"/>
      <c r="U1171" s="546"/>
      <c r="V1171" s="547"/>
      <c r="W1171" s="548"/>
      <c r="X1171" s="277"/>
      <c r="Y1171" s="277"/>
      <c r="Z1171" s="187"/>
      <c r="AA1171" s="6301"/>
      <c r="AB1171" s="139"/>
      <c r="AC1171" s="139"/>
      <c r="AD1171" s="139"/>
      <c r="AE1171" s="139"/>
      <c r="AF1171" s="139"/>
      <c r="AG1171" s="139"/>
      <c r="AH1171" s="139"/>
      <c r="AI1171" s="139"/>
      <c r="AJ1171" s="139"/>
      <c r="AK1171" s="139"/>
      <c r="AL1171" s="139"/>
      <c r="AM1171" s="139"/>
      <c r="AN1171" s="139"/>
      <c r="AO1171" s="139"/>
      <c r="AP1171" s="139"/>
      <c r="AQ1171" s="139"/>
      <c r="AR1171" s="139"/>
      <c r="AS1171" s="139"/>
      <c r="AT1171" s="139"/>
      <c r="AU1171" s="139"/>
      <c r="AV1171" s="139"/>
      <c r="AW1171" s="139"/>
      <c r="AX1171" s="139"/>
      <c r="AY1171" s="139"/>
      <c r="AZ1171" s="139"/>
      <c r="BA1171" s="139"/>
      <c r="BB1171" s="139"/>
      <c r="BC1171" s="139"/>
      <c r="BD1171" s="139"/>
      <c r="BE1171" s="139"/>
      <c r="BF1171" s="139"/>
      <c r="BG1171" s="139"/>
      <c r="BH1171" s="139"/>
    </row>
    <row r="1172" spans="2:60" s="11" customFormat="1" ht="20.100000000000001" customHeight="1">
      <c r="B1172" s="1360"/>
      <c r="C1172" s="1023"/>
      <c r="D1172" s="9584" t="s">
        <v>802</v>
      </c>
      <c r="E1172" s="9585"/>
      <c r="F1172" s="492" t="s">
        <v>732</v>
      </c>
      <c r="G1172" s="286"/>
      <c r="H1172" s="1776"/>
      <c r="I1172" s="9584" t="s">
        <v>896</v>
      </c>
      <c r="J1172" s="9585"/>
      <c r="K1172" s="132" t="s">
        <v>734</v>
      </c>
      <c r="L1172" s="5783">
        <f>IF(COUNTBLANK(L1173:L1178)&gt;0,"미취합법인有",SUM(L1173:L1178))</f>
        <v>3364</v>
      </c>
      <c r="M1172" s="5784"/>
      <c r="N1172" s="5785">
        <f>IF(COUNTBLANK(N1173:N1178)&gt;0,"미취합법인有",SUM(N1173:N1178))</f>
        <v>4927</v>
      </c>
      <c r="O1172" s="5945"/>
      <c r="P1172" s="5781">
        <f>IF(COUNTBLANK(P1173:P1178)&gt;0,"미취합법인有",SUM(P1173:P1178))</f>
        <v>4897</v>
      </c>
      <c r="Q1172" s="785"/>
      <c r="R1172" s="2472" t="s">
        <v>894</v>
      </c>
      <c r="S1172" s="457" t="s">
        <v>895</v>
      </c>
      <c r="T1172" s="99" t="s">
        <v>737</v>
      </c>
      <c r="U1172" s="547" t="s">
        <v>800</v>
      </c>
      <c r="V1172" s="547"/>
      <c r="W1172" s="99"/>
      <c r="X1172" s="620" t="s">
        <v>892</v>
      </c>
      <c r="Y1172" s="620" t="s">
        <v>884</v>
      </c>
      <c r="Z1172" s="159"/>
      <c r="AA1172" s="6301"/>
      <c r="AB1172" s="139"/>
      <c r="AC1172" s="139"/>
      <c r="AD1172" s="139"/>
      <c r="AE1172" s="139"/>
      <c r="AF1172" s="139"/>
      <c r="AG1172" s="139"/>
      <c r="AH1172" s="139"/>
      <c r="AI1172" s="139"/>
      <c r="AJ1172" s="139"/>
      <c r="AK1172" s="139"/>
      <c r="AL1172" s="139"/>
      <c r="AM1172" s="139"/>
      <c r="AN1172" s="139"/>
      <c r="AO1172" s="139"/>
      <c r="AP1172" s="139"/>
      <c r="AQ1172" s="139"/>
      <c r="AR1172" s="139"/>
      <c r="AS1172" s="139"/>
      <c r="AT1172" s="139"/>
      <c r="AU1172" s="139"/>
      <c r="AV1172" s="139"/>
      <c r="AW1172" s="139"/>
      <c r="AX1172" s="139"/>
      <c r="AY1172" s="139"/>
      <c r="AZ1172" s="139"/>
      <c r="BA1172" s="139"/>
      <c r="BB1172" s="139"/>
      <c r="BC1172" s="139"/>
      <c r="BD1172" s="139"/>
      <c r="BE1172" s="139"/>
      <c r="BF1172" s="139"/>
      <c r="BG1172" s="139"/>
      <c r="BH1172" s="139"/>
    </row>
    <row r="1173" spans="2:60" s="11" customFormat="1" ht="20.100000000000001" customHeight="1">
      <c r="B1173" s="1360"/>
      <c r="C1173" s="5598"/>
      <c r="D1173" s="9598" t="s">
        <v>134</v>
      </c>
      <c r="E1173" s="9600"/>
      <c r="F1173" s="492" t="s">
        <v>732</v>
      </c>
      <c r="G1173" s="666"/>
      <c r="H1173" s="684"/>
      <c r="I1173" s="9579" t="s">
        <v>135</v>
      </c>
      <c r="J1173" s="9581"/>
      <c r="K1173" s="132" t="s">
        <v>734</v>
      </c>
      <c r="L1173" s="5594">
        <v>2276</v>
      </c>
      <c r="M1173" s="5671" t="s">
        <v>746</v>
      </c>
      <c r="N1173" s="5724">
        <v>3134</v>
      </c>
      <c r="O1173" s="5680" t="s">
        <v>747</v>
      </c>
      <c r="P1173" s="5854">
        <v>3328</v>
      </c>
      <c r="Q1173" s="5678" t="s">
        <v>746</v>
      </c>
      <c r="R1173" s="2468"/>
      <c r="S1173" s="544"/>
      <c r="T1173" s="545"/>
      <c r="U1173" s="546"/>
      <c r="V1173" s="547"/>
      <c r="W1173" s="548"/>
      <c r="X1173" s="277"/>
      <c r="Y1173" s="277"/>
      <c r="Z1173" s="187"/>
      <c r="AA1173" s="6301"/>
      <c r="AB1173" s="139"/>
      <c r="AC1173" s="139"/>
      <c r="AD1173" s="139"/>
      <c r="AE1173" s="139"/>
      <c r="AF1173" s="139"/>
      <c r="AG1173" s="139"/>
      <c r="AH1173" s="139"/>
      <c r="AI1173" s="139"/>
      <c r="AJ1173" s="139"/>
      <c r="AK1173" s="139"/>
      <c r="AL1173" s="139"/>
      <c r="AM1173" s="139"/>
      <c r="AN1173" s="139"/>
      <c r="AO1173" s="139"/>
      <c r="AP1173" s="139"/>
      <c r="AQ1173" s="139"/>
      <c r="AR1173" s="139"/>
      <c r="AS1173" s="139"/>
      <c r="AT1173" s="139"/>
      <c r="AU1173" s="139"/>
      <c r="AV1173" s="139"/>
      <c r="AW1173" s="139"/>
      <c r="AX1173" s="139"/>
      <c r="AY1173" s="139"/>
      <c r="AZ1173" s="139"/>
      <c r="BA1173" s="139"/>
      <c r="BB1173" s="139"/>
      <c r="BC1173" s="139"/>
      <c r="BD1173" s="139"/>
      <c r="BE1173" s="139"/>
      <c r="BF1173" s="139"/>
      <c r="BG1173" s="139"/>
      <c r="BH1173" s="139"/>
    </row>
    <row r="1174" spans="2:60" s="11" customFormat="1" ht="20.100000000000001" customHeight="1">
      <c r="B1174" s="1360"/>
      <c r="C1174" s="5598"/>
      <c r="D1174" s="9598" t="s">
        <v>137</v>
      </c>
      <c r="E1174" s="9600"/>
      <c r="F1174" s="492" t="s">
        <v>732</v>
      </c>
      <c r="G1174" s="666"/>
      <c r="H1174" s="684"/>
      <c r="I1174" s="9579" t="s">
        <v>138</v>
      </c>
      <c r="J1174" s="9581"/>
      <c r="K1174" s="132" t="s">
        <v>734</v>
      </c>
      <c r="L1174" s="5594">
        <v>9</v>
      </c>
      <c r="M1174" s="5671"/>
      <c r="N1174" s="5724">
        <v>35</v>
      </c>
      <c r="O1174" s="5680"/>
      <c r="P1174" s="5725">
        <v>40</v>
      </c>
      <c r="Q1174" s="5678"/>
      <c r="R1174" s="2468"/>
      <c r="S1174" s="544"/>
      <c r="T1174" s="545"/>
      <c r="U1174" s="546"/>
      <c r="V1174" s="547"/>
      <c r="W1174" s="548"/>
      <c r="X1174" s="277"/>
      <c r="Y1174" s="277"/>
      <c r="Z1174" s="187"/>
      <c r="AA1174" s="6301"/>
      <c r="AB1174" s="139"/>
      <c r="AC1174" s="139"/>
      <c r="AD1174" s="139"/>
      <c r="AE1174" s="139"/>
      <c r="AF1174" s="139"/>
      <c r="AG1174" s="139"/>
      <c r="AH1174" s="139"/>
      <c r="AI1174" s="139"/>
      <c r="AJ1174" s="139"/>
      <c r="AK1174" s="139"/>
      <c r="AL1174" s="139"/>
      <c r="AM1174" s="139"/>
      <c r="AN1174" s="139"/>
      <c r="AO1174" s="139"/>
      <c r="AP1174" s="139"/>
      <c r="AQ1174" s="139"/>
      <c r="AR1174" s="139"/>
      <c r="AS1174" s="139"/>
      <c r="AT1174" s="139"/>
      <c r="AU1174" s="139"/>
      <c r="AV1174" s="139"/>
      <c r="AW1174" s="139"/>
      <c r="AX1174" s="139"/>
      <c r="AY1174" s="139"/>
      <c r="AZ1174" s="139"/>
      <c r="BA1174" s="139"/>
      <c r="BB1174" s="139"/>
      <c r="BC1174" s="139"/>
      <c r="BD1174" s="139"/>
      <c r="BE1174" s="139"/>
      <c r="BF1174" s="139"/>
      <c r="BG1174" s="139"/>
      <c r="BH1174" s="139"/>
    </row>
    <row r="1175" spans="2:60" s="11" customFormat="1" ht="20.100000000000001" customHeight="1">
      <c r="B1175" s="1360"/>
      <c r="C1175" s="5598"/>
      <c r="D1175" s="9598" t="s">
        <v>140</v>
      </c>
      <c r="E1175" s="9600"/>
      <c r="F1175" s="492" t="s">
        <v>732</v>
      </c>
      <c r="G1175" s="666"/>
      <c r="H1175" s="684"/>
      <c r="I1175" s="9582" t="s">
        <v>141</v>
      </c>
      <c r="J1175" s="9583"/>
      <c r="K1175" s="132" t="s">
        <v>734</v>
      </c>
      <c r="L1175" s="5594">
        <v>74</v>
      </c>
      <c r="M1175" s="5671" t="s">
        <v>748</v>
      </c>
      <c r="N1175" s="5724">
        <v>38</v>
      </c>
      <c r="O1175" s="5680" t="s">
        <v>748</v>
      </c>
      <c r="P1175" s="5725">
        <v>43</v>
      </c>
      <c r="Q1175" s="5678" t="s">
        <v>748</v>
      </c>
      <c r="R1175" s="2468"/>
      <c r="S1175" s="544"/>
      <c r="T1175" s="545"/>
      <c r="U1175" s="546"/>
      <c r="V1175" s="547"/>
      <c r="W1175" s="548"/>
      <c r="X1175" s="277"/>
      <c r="Y1175" s="277"/>
      <c r="Z1175" s="187"/>
      <c r="AA1175" s="6301"/>
      <c r="AB1175" s="139"/>
      <c r="AC1175" s="139"/>
      <c r="AD1175" s="139"/>
      <c r="AE1175" s="139"/>
      <c r="AF1175" s="139"/>
      <c r="AG1175" s="139"/>
      <c r="AH1175" s="139"/>
      <c r="AI1175" s="139"/>
      <c r="AJ1175" s="139"/>
      <c r="AK1175" s="139"/>
      <c r="AL1175" s="139"/>
      <c r="AM1175" s="139"/>
      <c r="AN1175" s="139"/>
      <c r="AO1175" s="139"/>
      <c r="AP1175" s="139"/>
      <c r="AQ1175" s="139"/>
      <c r="AR1175" s="139"/>
      <c r="AS1175" s="139"/>
      <c r="AT1175" s="139"/>
      <c r="AU1175" s="139"/>
      <c r="AV1175" s="139"/>
      <c r="AW1175" s="139"/>
      <c r="AX1175" s="139"/>
      <c r="AY1175" s="139"/>
      <c r="AZ1175" s="139"/>
      <c r="BA1175" s="139"/>
      <c r="BB1175" s="139"/>
      <c r="BC1175" s="139"/>
      <c r="BD1175" s="139"/>
      <c r="BE1175" s="139"/>
      <c r="BF1175" s="139"/>
      <c r="BG1175" s="139"/>
      <c r="BH1175" s="139"/>
    </row>
    <row r="1176" spans="2:60" s="11" customFormat="1" ht="20.100000000000001" customHeight="1">
      <c r="B1176" s="1360"/>
      <c r="C1176" s="5598"/>
      <c r="D1176" s="9598" t="s">
        <v>143</v>
      </c>
      <c r="E1176" s="9600"/>
      <c r="F1176" s="492" t="s">
        <v>732</v>
      </c>
      <c r="G1176" s="666"/>
      <c r="H1176" s="684"/>
      <c r="I1176" s="9582" t="s">
        <v>144</v>
      </c>
      <c r="J1176" s="9583"/>
      <c r="K1176" s="132" t="s">
        <v>734</v>
      </c>
      <c r="L1176" s="5594">
        <v>680</v>
      </c>
      <c r="M1176" s="5671" t="s">
        <v>801</v>
      </c>
      <c r="N1176" s="5724">
        <v>1313</v>
      </c>
      <c r="O1176" s="5680" t="s">
        <v>801</v>
      </c>
      <c r="P1176" s="5725">
        <v>1052</v>
      </c>
      <c r="Q1176" s="5678"/>
      <c r="R1176" s="2468"/>
      <c r="S1176" s="544"/>
      <c r="T1176" s="545"/>
      <c r="U1176" s="546"/>
      <c r="V1176" s="547"/>
      <c r="W1176" s="548"/>
      <c r="X1176" s="277"/>
      <c r="Y1176" s="277"/>
      <c r="Z1176" s="187"/>
      <c r="AA1176" s="6301"/>
      <c r="AB1176" s="139"/>
      <c r="AC1176" s="139"/>
      <c r="AD1176" s="139"/>
      <c r="AE1176" s="139"/>
      <c r="AF1176" s="139"/>
      <c r="AG1176" s="139"/>
      <c r="AH1176" s="139"/>
      <c r="AI1176" s="139"/>
      <c r="AJ1176" s="139"/>
      <c r="AK1176" s="139"/>
      <c r="AL1176" s="139"/>
      <c r="AM1176" s="139"/>
      <c r="AN1176" s="139"/>
      <c r="AO1176" s="139"/>
      <c r="AP1176" s="139"/>
      <c r="AQ1176" s="139"/>
      <c r="AR1176" s="139"/>
      <c r="AS1176" s="139"/>
      <c r="AT1176" s="139"/>
      <c r="AU1176" s="139"/>
      <c r="AV1176" s="139"/>
      <c r="AW1176" s="139"/>
      <c r="AX1176" s="139"/>
      <c r="AY1176" s="139"/>
      <c r="AZ1176" s="139"/>
      <c r="BA1176" s="139"/>
      <c r="BB1176" s="139"/>
      <c r="BC1176" s="139"/>
      <c r="BD1176" s="139"/>
      <c r="BE1176" s="139"/>
      <c r="BF1176" s="139"/>
      <c r="BG1176" s="139"/>
      <c r="BH1176" s="139"/>
    </row>
    <row r="1177" spans="2:60" s="11" customFormat="1" ht="20.100000000000001" customHeight="1">
      <c r="B1177" s="1360"/>
      <c r="C1177" s="5598"/>
      <c r="D1177" s="9598" t="s">
        <v>631</v>
      </c>
      <c r="E1177" s="9600"/>
      <c r="F1177" s="492" t="s">
        <v>732</v>
      </c>
      <c r="G1177" s="666"/>
      <c r="H1177" s="684"/>
      <c r="I1177" s="9582" t="s">
        <v>147</v>
      </c>
      <c r="J1177" s="9583"/>
      <c r="K1177" s="132" t="s">
        <v>734</v>
      </c>
      <c r="L1177" s="5594">
        <v>9</v>
      </c>
      <c r="M1177" s="5671" t="s">
        <v>751</v>
      </c>
      <c r="N1177" s="5724">
        <v>45</v>
      </c>
      <c r="O1177" s="5680" t="s">
        <v>751</v>
      </c>
      <c r="P1177" s="5725">
        <v>35</v>
      </c>
      <c r="Q1177" s="5678"/>
      <c r="R1177" s="2468"/>
      <c r="S1177" s="544"/>
      <c r="T1177" s="545"/>
      <c r="U1177" s="546"/>
      <c r="V1177" s="547"/>
      <c r="W1177" s="548"/>
      <c r="X1177" s="277"/>
      <c r="Y1177" s="277"/>
      <c r="Z1177" s="187"/>
      <c r="AA1177" s="6301"/>
      <c r="AB1177" s="139"/>
      <c r="AC1177" s="139"/>
      <c r="AD1177" s="139"/>
      <c r="AE1177" s="139"/>
      <c r="AF1177" s="139"/>
      <c r="AG1177" s="139"/>
      <c r="AH1177" s="139"/>
      <c r="AI1177" s="139"/>
      <c r="AJ1177" s="139"/>
      <c r="AK1177" s="139"/>
      <c r="AL1177" s="139"/>
      <c r="AM1177" s="139"/>
      <c r="AN1177" s="139"/>
      <c r="AO1177" s="139"/>
      <c r="AP1177" s="139"/>
      <c r="AQ1177" s="139"/>
      <c r="AR1177" s="139"/>
      <c r="AS1177" s="139"/>
      <c r="AT1177" s="139"/>
      <c r="AU1177" s="139"/>
      <c r="AV1177" s="139"/>
      <c r="AW1177" s="139"/>
      <c r="AX1177" s="139"/>
      <c r="AY1177" s="139"/>
      <c r="AZ1177" s="139"/>
      <c r="BA1177" s="139"/>
      <c r="BB1177" s="139"/>
      <c r="BC1177" s="139"/>
      <c r="BD1177" s="139"/>
      <c r="BE1177" s="139"/>
      <c r="BF1177" s="139"/>
      <c r="BG1177" s="139"/>
      <c r="BH1177" s="139"/>
    </row>
    <row r="1178" spans="2:60" s="11" customFormat="1" ht="20.100000000000001" customHeight="1">
      <c r="B1178" s="1360"/>
      <c r="C1178" s="5598"/>
      <c r="D1178" s="9598" t="s">
        <v>633</v>
      </c>
      <c r="E1178" s="9600"/>
      <c r="F1178" s="492" t="s">
        <v>732</v>
      </c>
      <c r="G1178" s="666"/>
      <c r="H1178" s="684"/>
      <c r="I1178" s="9582" t="s">
        <v>150</v>
      </c>
      <c r="J1178" s="9583"/>
      <c r="K1178" s="132" t="s">
        <v>734</v>
      </c>
      <c r="L1178" s="5594">
        <v>316</v>
      </c>
      <c r="M1178" s="5671"/>
      <c r="N1178" s="5724">
        <v>362</v>
      </c>
      <c r="O1178" s="5680"/>
      <c r="P1178" s="5725">
        <v>399</v>
      </c>
      <c r="Q1178" s="5678"/>
      <c r="R1178" s="2468"/>
      <c r="S1178" s="544"/>
      <c r="T1178" s="545"/>
      <c r="U1178" s="546"/>
      <c r="V1178" s="547"/>
      <c r="W1178" s="548"/>
      <c r="X1178" s="277"/>
      <c r="Y1178" s="277"/>
      <c r="Z1178" s="187"/>
      <c r="AA1178" s="6301"/>
      <c r="AB1178" s="139"/>
      <c r="AC1178" s="139"/>
      <c r="AD1178" s="139"/>
      <c r="AE1178" s="139"/>
      <c r="AF1178" s="139"/>
      <c r="AG1178" s="139"/>
      <c r="AH1178" s="139"/>
      <c r="AI1178" s="139"/>
      <c r="AJ1178" s="139"/>
      <c r="AK1178" s="139"/>
      <c r="AL1178" s="139"/>
      <c r="AM1178" s="139"/>
      <c r="AN1178" s="139"/>
      <c r="AO1178" s="139"/>
      <c r="AP1178" s="139"/>
      <c r="AQ1178" s="139"/>
      <c r="AR1178" s="139"/>
      <c r="AS1178" s="139"/>
      <c r="AT1178" s="139"/>
      <c r="AU1178" s="139"/>
      <c r="AV1178" s="139"/>
      <c r="AW1178" s="139"/>
      <c r="AX1178" s="139"/>
      <c r="AY1178" s="139"/>
      <c r="AZ1178" s="139"/>
      <c r="BA1178" s="139"/>
      <c r="BB1178" s="139"/>
      <c r="BC1178" s="139"/>
      <c r="BD1178" s="139"/>
      <c r="BE1178" s="139"/>
      <c r="BF1178" s="139"/>
      <c r="BG1178" s="139"/>
      <c r="BH1178" s="139"/>
    </row>
    <row r="1179" spans="2:60" s="11" customFormat="1" ht="20.100000000000001" customHeight="1">
      <c r="B1179" s="1360"/>
      <c r="C1179" s="6138" t="s">
        <v>897</v>
      </c>
      <c r="D1179" s="6139"/>
      <c r="E1179" s="6139"/>
      <c r="F1179" s="6139"/>
      <c r="G1179" s="6139"/>
      <c r="H1179" s="6139" t="s">
        <v>898</v>
      </c>
      <c r="I1179" s="6139"/>
      <c r="J1179" s="6139"/>
      <c r="K1179" s="6139"/>
      <c r="L1179" s="6139"/>
      <c r="M1179" s="6139"/>
      <c r="N1179" s="6139"/>
      <c r="O1179" s="6139"/>
      <c r="P1179" s="6139"/>
      <c r="Q1179" s="6140"/>
      <c r="R1179" s="2468"/>
      <c r="S1179" s="24"/>
      <c r="T1179" s="99" t="s">
        <v>737</v>
      </c>
      <c r="U1179" s="547" t="s">
        <v>800</v>
      </c>
      <c r="V1179" s="547"/>
      <c r="W1179" s="99"/>
      <c r="X1179" s="620" t="s">
        <v>899</v>
      </c>
      <c r="Y1179" s="620" t="s">
        <v>884</v>
      </c>
      <c r="Z1179" s="159"/>
      <c r="AA1179" s="6301"/>
      <c r="AB1179" s="139"/>
      <c r="AC1179" s="139"/>
      <c r="AD1179" s="139"/>
      <c r="AE1179" s="139"/>
      <c r="AF1179" s="139"/>
      <c r="AG1179" s="139"/>
      <c r="AH1179" s="139"/>
      <c r="AI1179" s="139"/>
      <c r="AJ1179" s="139"/>
      <c r="AK1179" s="139"/>
      <c r="AL1179" s="139"/>
      <c r="AM1179" s="139"/>
      <c r="AN1179" s="139"/>
      <c r="AO1179" s="139"/>
      <c r="AP1179" s="139"/>
      <c r="AQ1179" s="139"/>
      <c r="AR1179" s="139"/>
      <c r="AS1179" s="139"/>
      <c r="AT1179" s="139"/>
      <c r="AU1179" s="139"/>
      <c r="AV1179" s="139"/>
      <c r="AW1179" s="139"/>
      <c r="AX1179" s="139"/>
      <c r="AY1179" s="139"/>
      <c r="AZ1179" s="139"/>
      <c r="BA1179" s="139"/>
      <c r="BB1179" s="139"/>
      <c r="BC1179" s="139"/>
      <c r="BD1179" s="139"/>
      <c r="BE1179" s="139"/>
      <c r="BF1179" s="139"/>
      <c r="BG1179" s="139"/>
      <c r="BH1179" s="139"/>
    </row>
    <row r="1180" spans="2:60" s="11" customFormat="1" ht="20.100000000000001" customHeight="1">
      <c r="B1180" s="1360"/>
      <c r="C1180" s="5598"/>
      <c r="D1180" s="9584" t="s">
        <v>823</v>
      </c>
      <c r="E1180" s="9585"/>
      <c r="F1180" s="492" t="s">
        <v>732</v>
      </c>
      <c r="G1180" s="286"/>
      <c r="H1180" s="286"/>
      <c r="I1180" s="9584" t="s">
        <v>900</v>
      </c>
      <c r="J1180" s="9585"/>
      <c r="K1180" s="132" t="s">
        <v>734</v>
      </c>
      <c r="L1180" s="5783">
        <f>IF(COUNTBLANK(L1181:L1186)&gt;0,"미취합법인有",SUM(L1181:L1186))</f>
        <v>5996</v>
      </c>
      <c r="M1180" s="5784"/>
      <c r="N1180" s="5785">
        <f>IF(COUNTBLANK(N1181:N1186)&gt;0,"미취합법인有",SUM(N1181:N1186))</f>
        <v>9051</v>
      </c>
      <c r="O1180" s="5663"/>
      <c r="P1180" s="5781">
        <f>IF(COUNTBLANK(P1181:P1186)&gt;0,"미취합법인有",SUM(P1181:P1186))</f>
        <v>8683</v>
      </c>
      <c r="Q1180" s="785"/>
      <c r="R1180" s="2468" t="s">
        <v>901</v>
      </c>
      <c r="S1180" s="276" t="s">
        <v>902</v>
      </c>
      <c r="T1180" s="99" t="s">
        <v>737</v>
      </c>
      <c r="U1180" s="547" t="s">
        <v>800</v>
      </c>
      <c r="V1180" s="547"/>
      <c r="W1180" s="99"/>
      <c r="X1180" s="620" t="s">
        <v>899</v>
      </c>
      <c r="Y1180" s="620" t="s">
        <v>884</v>
      </c>
      <c r="Z1180" s="159"/>
      <c r="AA1180" s="6301"/>
      <c r="AB1180" s="139"/>
      <c r="AC1180" s="139"/>
      <c r="AD1180" s="139"/>
      <c r="AE1180" s="139"/>
      <c r="AF1180" s="139"/>
      <c r="AG1180" s="139"/>
      <c r="AH1180" s="139"/>
      <c r="AI1180" s="139"/>
      <c r="AJ1180" s="139"/>
      <c r="AK1180" s="139"/>
      <c r="AL1180" s="139"/>
      <c r="AM1180" s="139"/>
      <c r="AN1180" s="139"/>
      <c r="AO1180" s="139"/>
      <c r="AP1180" s="139"/>
      <c r="AQ1180" s="139"/>
      <c r="AR1180" s="139"/>
      <c r="AS1180" s="139"/>
      <c r="AT1180" s="139"/>
      <c r="AU1180" s="139"/>
      <c r="AV1180" s="139"/>
      <c r="AW1180" s="139"/>
      <c r="AX1180" s="139"/>
      <c r="AY1180" s="139"/>
      <c r="AZ1180" s="139"/>
      <c r="BA1180" s="139"/>
      <c r="BB1180" s="139"/>
      <c r="BC1180" s="139"/>
      <c r="BD1180" s="139"/>
      <c r="BE1180" s="139"/>
      <c r="BF1180" s="139"/>
      <c r="BG1180" s="139"/>
      <c r="BH1180" s="139"/>
    </row>
    <row r="1181" spans="2:60" s="11" customFormat="1" ht="20.100000000000001" customHeight="1">
      <c r="B1181" s="1360"/>
      <c r="C1181" s="5598"/>
      <c r="D1181" s="9598" t="s">
        <v>134</v>
      </c>
      <c r="E1181" s="9600"/>
      <c r="F1181" s="492" t="s">
        <v>732</v>
      </c>
      <c r="G1181" s="666"/>
      <c r="H1181" s="666"/>
      <c r="I1181" s="9579" t="s">
        <v>135</v>
      </c>
      <c r="J1181" s="9581"/>
      <c r="K1181" s="132" t="s">
        <v>734</v>
      </c>
      <c r="L1181" s="5594">
        <v>3931</v>
      </c>
      <c r="M1181" s="5671" t="s">
        <v>746</v>
      </c>
      <c r="N1181" s="5601">
        <v>5658</v>
      </c>
      <c r="O1181" s="5680" t="s">
        <v>747</v>
      </c>
      <c r="P1181" s="5693">
        <v>5796</v>
      </c>
      <c r="Q1181" s="5678" t="s">
        <v>746</v>
      </c>
      <c r="R1181" s="2468"/>
      <c r="S1181" s="544"/>
      <c r="T1181" s="545"/>
      <c r="U1181" s="546"/>
      <c r="V1181" s="547"/>
      <c r="W1181" s="548"/>
      <c r="X1181" s="277"/>
      <c r="Y1181" s="277"/>
      <c r="Z1181" s="187"/>
      <c r="AA1181" s="6301"/>
      <c r="AB1181" s="139"/>
      <c r="AC1181" s="139"/>
      <c r="AD1181" s="139"/>
      <c r="AE1181" s="139"/>
      <c r="AF1181" s="139"/>
      <c r="AG1181" s="139"/>
      <c r="AH1181" s="139"/>
      <c r="AI1181" s="139"/>
      <c r="AJ1181" s="139"/>
      <c r="AK1181" s="139"/>
      <c r="AL1181" s="139"/>
      <c r="AM1181" s="139"/>
      <c r="AN1181" s="139"/>
      <c r="AO1181" s="139"/>
      <c r="AP1181" s="139"/>
      <c r="AQ1181" s="139"/>
      <c r="AR1181" s="139"/>
      <c r="AS1181" s="139"/>
      <c r="AT1181" s="139"/>
      <c r="AU1181" s="139"/>
      <c r="AV1181" s="139"/>
      <c r="AW1181" s="139"/>
      <c r="AX1181" s="139"/>
      <c r="AY1181" s="139"/>
      <c r="AZ1181" s="139"/>
      <c r="BA1181" s="139"/>
      <c r="BB1181" s="139"/>
      <c r="BC1181" s="139"/>
      <c r="BD1181" s="139"/>
      <c r="BE1181" s="139"/>
      <c r="BF1181" s="139"/>
      <c r="BG1181" s="139"/>
      <c r="BH1181" s="139"/>
    </row>
    <row r="1182" spans="2:60" s="11" customFormat="1" ht="20.100000000000001" customHeight="1">
      <c r="B1182" s="1360"/>
      <c r="C1182" s="5598"/>
      <c r="D1182" s="9598" t="s">
        <v>137</v>
      </c>
      <c r="E1182" s="9600"/>
      <c r="F1182" s="492" t="s">
        <v>732</v>
      </c>
      <c r="G1182" s="666"/>
      <c r="H1182" s="666"/>
      <c r="I1182" s="9579" t="s">
        <v>138</v>
      </c>
      <c r="J1182" s="9581"/>
      <c r="K1182" s="132" t="s">
        <v>734</v>
      </c>
      <c r="L1182" s="5594">
        <v>13</v>
      </c>
      <c r="M1182" s="5671"/>
      <c r="N1182" s="5601">
        <v>35</v>
      </c>
      <c r="O1182" s="5680"/>
      <c r="P1182" s="5602">
        <v>30</v>
      </c>
      <c r="Q1182" s="5678"/>
      <c r="R1182" s="2468"/>
      <c r="S1182" s="544"/>
      <c r="T1182" s="545"/>
      <c r="U1182" s="546"/>
      <c r="V1182" s="547"/>
      <c r="W1182" s="548"/>
      <c r="X1182" s="277"/>
      <c r="Y1182" s="277"/>
      <c r="Z1182" s="187"/>
      <c r="AA1182" s="6301"/>
      <c r="AB1182" s="139"/>
      <c r="AC1182" s="139"/>
      <c r="AD1182" s="139"/>
      <c r="AE1182" s="139"/>
      <c r="AF1182" s="139"/>
      <c r="AG1182" s="139"/>
      <c r="AH1182" s="139"/>
      <c r="AI1182" s="139"/>
      <c r="AJ1182" s="139"/>
      <c r="AK1182" s="139"/>
      <c r="AL1182" s="139"/>
      <c r="AM1182" s="139"/>
      <c r="AN1182" s="139"/>
      <c r="AO1182" s="139"/>
      <c r="AP1182" s="139"/>
      <c r="AQ1182" s="139"/>
      <c r="AR1182" s="139"/>
      <c r="AS1182" s="139"/>
      <c r="AT1182" s="139"/>
      <c r="AU1182" s="139"/>
      <c r="AV1182" s="139"/>
      <c r="AW1182" s="139"/>
      <c r="AX1182" s="139"/>
      <c r="AY1182" s="139"/>
      <c r="AZ1182" s="139"/>
      <c r="BA1182" s="139"/>
      <c r="BB1182" s="139"/>
      <c r="BC1182" s="139"/>
      <c r="BD1182" s="139"/>
      <c r="BE1182" s="139"/>
      <c r="BF1182" s="139"/>
      <c r="BG1182" s="139"/>
      <c r="BH1182" s="139"/>
    </row>
    <row r="1183" spans="2:60" s="11" customFormat="1" ht="20.100000000000001" customHeight="1">
      <c r="B1183" s="1360"/>
      <c r="C1183" s="5598"/>
      <c r="D1183" s="9598" t="s">
        <v>140</v>
      </c>
      <c r="E1183" s="9600"/>
      <c r="F1183" s="492" t="s">
        <v>732</v>
      </c>
      <c r="G1183" s="666"/>
      <c r="H1183" s="666"/>
      <c r="I1183" s="9582" t="s">
        <v>141</v>
      </c>
      <c r="J1183" s="9583"/>
      <c r="K1183" s="132" t="s">
        <v>734</v>
      </c>
      <c r="L1183" s="5594">
        <v>97</v>
      </c>
      <c r="M1183" s="5671" t="s">
        <v>748</v>
      </c>
      <c r="N1183" s="5601">
        <v>46</v>
      </c>
      <c r="O1183" s="5680" t="s">
        <v>748</v>
      </c>
      <c r="P1183" s="5602">
        <v>38</v>
      </c>
      <c r="Q1183" s="5678" t="s">
        <v>748</v>
      </c>
      <c r="R1183" s="2468"/>
      <c r="S1183" s="544"/>
      <c r="T1183" s="545"/>
      <c r="U1183" s="546"/>
      <c r="V1183" s="547"/>
      <c r="W1183" s="548"/>
      <c r="X1183" s="277"/>
      <c r="Y1183" s="277"/>
      <c r="Z1183" s="187"/>
      <c r="AA1183" s="6301"/>
      <c r="AB1183" s="139"/>
      <c r="AC1183" s="139"/>
      <c r="AD1183" s="139"/>
      <c r="AE1183" s="139"/>
      <c r="AF1183" s="139"/>
      <c r="AG1183" s="139"/>
      <c r="AH1183" s="139"/>
      <c r="AI1183" s="139"/>
      <c r="AJ1183" s="139"/>
      <c r="AK1183" s="139"/>
      <c r="AL1183" s="139"/>
      <c r="AM1183" s="139"/>
      <c r="AN1183" s="139"/>
      <c r="AO1183" s="139"/>
      <c r="AP1183" s="139"/>
      <c r="AQ1183" s="139"/>
      <c r="AR1183" s="139"/>
      <c r="AS1183" s="139"/>
      <c r="AT1183" s="139"/>
      <c r="AU1183" s="139"/>
      <c r="AV1183" s="139"/>
      <c r="AW1183" s="139"/>
      <c r="AX1183" s="139"/>
      <c r="AY1183" s="139"/>
      <c r="AZ1183" s="139"/>
      <c r="BA1183" s="139"/>
      <c r="BB1183" s="139"/>
      <c r="BC1183" s="139"/>
      <c r="BD1183" s="139"/>
      <c r="BE1183" s="139"/>
      <c r="BF1183" s="139"/>
      <c r="BG1183" s="139"/>
      <c r="BH1183" s="139"/>
    </row>
    <row r="1184" spans="2:60" s="11" customFormat="1" ht="20.100000000000001" customHeight="1">
      <c r="B1184" s="1360"/>
      <c r="C1184" s="5598"/>
      <c r="D1184" s="9598" t="s">
        <v>143</v>
      </c>
      <c r="E1184" s="9600"/>
      <c r="F1184" s="492" t="s">
        <v>732</v>
      </c>
      <c r="G1184" s="666"/>
      <c r="H1184" s="666"/>
      <c r="I1184" s="9582" t="s">
        <v>144</v>
      </c>
      <c r="J1184" s="9583"/>
      <c r="K1184" s="132" t="s">
        <v>734</v>
      </c>
      <c r="L1184" s="5594">
        <v>1225</v>
      </c>
      <c r="M1184" s="5671" t="s">
        <v>801</v>
      </c>
      <c r="N1184" s="5601">
        <v>2512</v>
      </c>
      <c r="O1184" s="5680" t="s">
        <v>801</v>
      </c>
      <c r="P1184" s="5602">
        <v>1993</v>
      </c>
      <c r="Q1184" s="5678"/>
      <c r="R1184" s="2468"/>
      <c r="S1184" s="544"/>
      <c r="T1184" s="545"/>
      <c r="U1184" s="546"/>
      <c r="V1184" s="547"/>
      <c r="W1184" s="548"/>
      <c r="X1184" s="277"/>
      <c r="Y1184" s="277"/>
      <c r="Z1184" s="187"/>
      <c r="AA1184" s="6301"/>
      <c r="AB1184" s="139"/>
      <c r="AC1184" s="139"/>
      <c r="AD1184" s="139"/>
      <c r="AE1184" s="139"/>
      <c r="AF1184" s="139"/>
      <c r="AG1184" s="139"/>
      <c r="AH1184" s="139"/>
      <c r="AI1184" s="139"/>
      <c r="AJ1184" s="139"/>
      <c r="AK1184" s="139"/>
      <c r="AL1184" s="139"/>
      <c r="AM1184" s="139"/>
      <c r="AN1184" s="139"/>
      <c r="AO1184" s="139"/>
      <c r="AP1184" s="139"/>
      <c r="AQ1184" s="139"/>
      <c r="AR1184" s="139"/>
      <c r="AS1184" s="139"/>
      <c r="AT1184" s="139"/>
      <c r="AU1184" s="139"/>
      <c r="AV1184" s="139"/>
      <c r="AW1184" s="139"/>
      <c r="AX1184" s="139"/>
      <c r="AY1184" s="139"/>
      <c r="AZ1184" s="139"/>
      <c r="BA1184" s="139"/>
      <c r="BB1184" s="139"/>
      <c r="BC1184" s="139"/>
      <c r="BD1184" s="139"/>
      <c r="BE1184" s="139"/>
      <c r="BF1184" s="139"/>
      <c r="BG1184" s="139"/>
      <c r="BH1184" s="139"/>
    </row>
    <row r="1185" spans="2:60" s="11" customFormat="1" ht="20.100000000000001" customHeight="1">
      <c r="B1185" s="1360"/>
      <c r="C1185" s="5598"/>
      <c r="D1185" s="9598" t="s">
        <v>631</v>
      </c>
      <c r="E1185" s="9600"/>
      <c r="F1185" s="492" t="s">
        <v>732</v>
      </c>
      <c r="G1185" s="746"/>
      <c r="H1185" s="666"/>
      <c r="I1185" s="9582" t="s">
        <v>147</v>
      </c>
      <c r="J1185" s="9583"/>
      <c r="K1185" s="132" t="s">
        <v>734</v>
      </c>
      <c r="L1185" s="5594">
        <v>9</v>
      </c>
      <c r="M1185" s="5671" t="s">
        <v>751</v>
      </c>
      <c r="N1185" s="5601">
        <v>54</v>
      </c>
      <c r="O1185" s="5680" t="s">
        <v>751</v>
      </c>
      <c r="P1185" s="5602">
        <v>65</v>
      </c>
      <c r="Q1185" s="5678"/>
      <c r="R1185" s="2468"/>
      <c r="S1185" s="544"/>
      <c r="T1185" s="545"/>
      <c r="U1185" s="546"/>
      <c r="V1185" s="547"/>
      <c r="W1185" s="548"/>
      <c r="X1185" s="277"/>
      <c r="Y1185" s="277"/>
      <c r="Z1185" s="187"/>
      <c r="AA1185" s="6301"/>
      <c r="AB1185" s="139"/>
      <c r="AC1185" s="139"/>
      <c r="AD1185" s="139"/>
      <c r="AE1185" s="139"/>
      <c r="AF1185" s="139"/>
      <c r="AG1185" s="139"/>
      <c r="AH1185" s="139"/>
      <c r="AI1185" s="139"/>
      <c r="AJ1185" s="139"/>
      <c r="AK1185" s="139"/>
      <c r="AL1185" s="139"/>
      <c r="AM1185" s="139"/>
      <c r="AN1185" s="139"/>
      <c r="AO1185" s="139"/>
      <c r="AP1185" s="139"/>
      <c r="AQ1185" s="139"/>
      <c r="AR1185" s="139"/>
      <c r="AS1185" s="139"/>
      <c r="AT1185" s="139"/>
      <c r="AU1185" s="139"/>
      <c r="AV1185" s="139"/>
      <c r="AW1185" s="139"/>
      <c r="AX1185" s="139"/>
      <c r="AY1185" s="139"/>
      <c r="AZ1185" s="139"/>
      <c r="BA1185" s="139"/>
      <c r="BB1185" s="139"/>
      <c r="BC1185" s="139"/>
      <c r="BD1185" s="139"/>
      <c r="BE1185" s="139"/>
      <c r="BF1185" s="139"/>
      <c r="BG1185" s="139"/>
      <c r="BH1185" s="139"/>
    </row>
    <row r="1186" spans="2:60" s="11" customFormat="1" ht="20.100000000000001" customHeight="1">
      <c r="B1186" s="1360"/>
      <c r="C1186" s="5598"/>
      <c r="D1186" s="9598" t="s">
        <v>633</v>
      </c>
      <c r="E1186" s="9600"/>
      <c r="F1186" s="492" t="s">
        <v>732</v>
      </c>
      <c r="G1186" s="666"/>
      <c r="H1186" s="666"/>
      <c r="I1186" s="9582" t="s">
        <v>150</v>
      </c>
      <c r="J1186" s="9583"/>
      <c r="K1186" s="132" t="s">
        <v>734</v>
      </c>
      <c r="L1186" s="5594">
        <v>721</v>
      </c>
      <c r="M1186" s="5671"/>
      <c r="N1186" s="5601">
        <v>746</v>
      </c>
      <c r="O1186" s="5680"/>
      <c r="P1186" s="5602">
        <v>761</v>
      </c>
      <c r="Q1186" s="5678"/>
      <c r="R1186" s="2468"/>
      <c r="S1186" s="544"/>
      <c r="T1186" s="545"/>
      <c r="U1186" s="546"/>
      <c r="V1186" s="547"/>
      <c r="W1186" s="548"/>
      <c r="X1186" s="277"/>
      <c r="Y1186" s="277"/>
      <c r="Z1186" s="187"/>
      <c r="AA1186" s="6301"/>
      <c r="AB1186" s="139"/>
      <c r="AC1186" s="139"/>
      <c r="AD1186" s="139"/>
      <c r="AE1186" s="139"/>
      <c r="AF1186" s="139"/>
      <c r="AG1186" s="139"/>
      <c r="AH1186" s="139"/>
      <c r="AI1186" s="139"/>
      <c r="AJ1186" s="139"/>
      <c r="AK1186" s="139"/>
      <c r="AL1186" s="139"/>
      <c r="AM1186" s="139"/>
      <c r="AN1186" s="139"/>
      <c r="AO1186" s="139"/>
      <c r="AP1186" s="139"/>
      <c r="AQ1186" s="139"/>
      <c r="AR1186" s="139"/>
      <c r="AS1186" s="139"/>
      <c r="AT1186" s="139"/>
      <c r="AU1186" s="139"/>
      <c r="AV1186" s="139"/>
      <c r="AW1186" s="139"/>
      <c r="AX1186" s="139"/>
      <c r="AY1186" s="139"/>
      <c r="AZ1186" s="139"/>
      <c r="BA1186" s="139"/>
      <c r="BB1186" s="139"/>
      <c r="BC1186" s="139"/>
      <c r="BD1186" s="139"/>
      <c r="BE1186" s="139"/>
      <c r="BF1186" s="139"/>
      <c r="BG1186" s="139"/>
      <c r="BH1186" s="139"/>
    </row>
    <row r="1187" spans="2:60" s="11" customFormat="1" ht="20.100000000000001" customHeight="1">
      <c r="B1187" s="1360"/>
      <c r="C1187" s="5598"/>
      <c r="D1187" s="9584" t="s">
        <v>827</v>
      </c>
      <c r="E1187" s="9585"/>
      <c r="F1187" s="492" t="s">
        <v>732</v>
      </c>
      <c r="G1187" s="286"/>
      <c r="H1187" s="286"/>
      <c r="I1187" s="9584" t="s">
        <v>903</v>
      </c>
      <c r="J1187" s="9585"/>
      <c r="K1187" s="132" t="s">
        <v>734</v>
      </c>
      <c r="L1187" s="5783">
        <f>IF(COUNTBLANK(L1188:L1193)&gt;0,"미취합법인有",SUM(L1188:L1193))</f>
        <v>213</v>
      </c>
      <c r="M1187" s="5784"/>
      <c r="N1187" s="5785">
        <f>IF(COUNTBLANK(N1188:N1193)&gt;0,"미취합법인有",SUM(N1188:N1193))</f>
        <v>332</v>
      </c>
      <c r="O1187" s="5945"/>
      <c r="P1187" s="5781">
        <f>IF(COUNTBLANK(P1188:P1193)&gt;0,"미취합법인有",SUM(P1188:P1193))</f>
        <v>337</v>
      </c>
      <c r="Q1187" s="785"/>
      <c r="R1187" s="2468" t="s">
        <v>901</v>
      </c>
      <c r="S1187" s="276" t="s">
        <v>904</v>
      </c>
      <c r="T1187" s="99" t="s">
        <v>737</v>
      </c>
      <c r="U1187" s="547" t="s">
        <v>800</v>
      </c>
      <c r="V1187" s="547"/>
      <c r="W1187" s="99"/>
      <c r="X1187" s="620" t="s">
        <v>899</v>
      </c>
      <c r="Y1187" s="620" t="s">
        <v>884</v>
      </c>
      <c r="Z1187" s="159"/>
      <c r="AA1187" s="6301"/>
      <c r="AB1187" s="139"/>
      <c r="AC1187" s="139"/>
      <c r="AD1187" s="139"/>
      <c r="AE1187" s="139"/>
      <c r="AF1187" s="139"/>
      <c r="AG1187" s="139"/>
      <c r="AH1187" s="139"/>
      <c r="AI1187" s="139"/>
      <c r="AJ1187" s="139"/>
      <c r="AK1187" s="139"/>
      <c r="AL1187" s="139"/>
      <c r="AM1187" s="139"/>
      <c r="AN1187" s="139"/>
      <c r="AO1187" s="139"/>
      <c r="AP1187" s="139"/>
      <c r="AQ1187" s="139"/>
      <c r="AR1187" s="139"/>
      <c r="AS1187" s="139"/>
      <c r="AT1187" s="139"/>
      <c r="AU1187" s="139"/>
      <c r="AV1187" s="139"/>
      <c r="AW1187" s="139"/>
      <c r="AX1187" s="139"/>
      <c r="AY1187" s="139"/>
      <c r="AZ1187" s="139"/>
      <c r="BA1187" s="139"/>
      <c r="BB1187" s="139"/>
      <c r="BC1187" s="139"/>
      <c r="BD1187" s="139"/>
      <c r="BE1187" s="139"/>
      <c r="BF1187" s="139"/>
      <c r="BG1187" s="139"/>
      <c r="BH1187" s="139"/>
    </row>
    <row r="1188" spans="2:60" s="11" customFormat="1" ht="31.5" customHeight="1">
      <c r="B1188" s="1360"/>
      <c r="C1188" s="5598"/>
      <c r="D1188" s="9598" t="s">
        <v>134</v>
      </c>
      <c r="E1188" s="9600"/>
      <c r="F1188" s="492" t="s">
        <v>732</v>
      </c>
      <c r="G1188" s="666"/>
      <c r="H1188" s="666"/>
      <c r="I1188" s="9579" t="s">
        <v>135</v>
      </c>
      <c r="J1188" s="9581"/>
      <c r="K1188" s="132" t="s">
        <v>734</v>
      </c>
      <c r="L1188" s="5594">
        <v>65</v>
      </c>
      <c r="M1188" s="5671" t="s">
        <v>746</v>
      </c>
      <c r="N1188" s="5724">
        <v>117</v>
      </c>
      <c r="O1188" s="5680" t="s">
        <v>747</v>
      </c>
      <c r="P1188" s="5854">
        <v>131</v>
      </c>
      <c r="Q1188" s="5678" t="s">
        <v>746</v>
      </c>
      <c r="R1188" s="2468"/>
      <c r="S1188" s="544"/>
      <c r="T1188" s="545"/>
      <c r="U1188" s="546"/>
      <c r="V1188" s="547"/>
      <c r="W1188" s="548"/>
      <c r="X1188" s="277"/>
      <c r="Y1188" s="277"/>
      <c r="Z1188" s="187"/>
      <c r="AA1188" s="6301"/>
      <c r="AB1188" s="139"/>
      <c r="AC1188" s="139"/>
      <c r="AD1188" s="139"/>
      <c r="AE1188" s="139"/>
      <c r="AF1188" s="139"/>
      <c r="AG1188" s="139"/>
      <c r="AH1188" s="139"/>
      <c r="AI1188" s="139"/>
      <c r="AJ1188" s="139"/>
      <c r="AK1188" s="139"/>
      <c r="AL1188" s="139"/>
      <c r="AM1188" s="139"/>
      <c r="AN1188" s="139"/>
      <c r="AO1188" s="139"/>
      <c r="AP1188" s="139"/>
      <c r="AQ1188" s="139"/>
      <c r="AR1188" s="139"/>
      <c r="AS1188" s="139"/>
      <c r="AT1188" s="139"/>
      <c r="AU1188" s="139"/>
      <c r="AV1188" s="139"/>
      <c r="AW1188" s="139"/>
      <c r="AX1188" s="139"/>
      <c r="AY1188" s="139"/>
      <c r="AZ1188" s="139"/>
      <c r="BA1188" s="139"/>
      <c r="BB1188" s="139"/>
      <c r="BC1188" s="139"/>
      <c r="BD1188" s="139"/>
      <c r="BE1188" s="139"/>
      <c r="BF1188" s="139"/>
      <c r="BG1188" s="139"/>
      <c r="BH1188" s="139"/>
    </row>
    <row r="1189" spans="2:60" s="11" customFormat="1" ht="20.100000000000001" customHeight="1">
      <c r="B1189" s="1360"/>
      <c r="C1189" s="5598"/>
      <c r="D1189" s="9598" t="s">
        <v>137</v>
      </c>
      <c r="E1189" s="9600"/>
      <c r="F1189" s="492" t="s">
        <v>732</v>
      </c>
      <c r="G1189" s="666"/>
      <c r="H1189" s="666"/>
      <c r="I1189" s="9579" t="s">
        <v>138</v>
      </c>
      <c r="J1189" s="9581"/>
      <c r="K1189" s="132" t="s">
        <v>734</v>
      </c>
      <c r="L1189" s="5594">
        <v>14</v>
      </c>
      <c r="M1189" s="5671"/>
      <c r="N1189" s="5724">
        <v>54</v>
      </c>
      <c r="O1189" s="5680"/>
      <c r="P1189" s="5725">
        <v>32</v>
      </c>
      <c r="Q1189" s="5678"/>
      <c r="R1189" s="2468"/>
      <c r="S1189" s="544"/>
      <c r="T1189" s="545"/>
      <c r="U1189" s="546"/>
      <c r="V1189" s="547"/>
      <c r="W1189" s="548"/>
      <c r="X1189" s="277"/>
      <c r="Y1189" s="277"/>
      <c r="Z1189" s="187"/>
      <c r="AA1189" s="6301"/>
      <c r="AB1189" s="139"/>
      <c r="AC1189" s="139"/>
      <c r="AD1189" s="139"/>
      <c r="AE1189" s="139"/>
      <c r="AF1189" s="139"/>
      <c r="AG1189" s="139"/>
      <c r="AH1189" s="139"/>
      <c r="AI1189" s="139"/>
      <c r="AJ1189" s="139"/>
      <c r="AK1189" s="139"/>
      <c r="AL1189" s="139"/>
      <c r="AM1189" s="139"/>
      <c r="AN1189" s="139"/>
      <c r="AO1189" s="139"/>
      <c r="AP1189" s="139"/>
      <c r="AQ1189" s="139"/>
      <c r="AR1189" s="139"/>
      <c r="AS1189" s="139"/>
      <c r="AT1189" s="139"/>
      <c r="AU1189" s="139"/>
      <c r="AV1189" s="139"/>
      <c r="AW1189" s="139"/>
      <c r="AX1189" s="139"/>
      <c r="AY1189" s="139"/>
      <c r="AZ1189" s="139"/>
      <c r="BA1189" s="139"/>
      <c r="BB1189" s="139"/>
      <c r="BC1189" s="139"/>
      <c r="BD1189" s="139"/>
      <c r="BE1189" s="139"/>
      <c r="BF1189" s="139"/>
      <c r="BG1189" s="139"/>
      <c r="BH1189" s="139"/>
    </row>
    <row r="1190" spans="2:60" s="11" customFormat="1" ht="20.100000000000001" customHeight="1">
      <c r="B1190" s="1360"/>
      <c r="C1190" s="5598"/>
      <c r="D1190" s="9598" t="s">
        <v>140</v>
      </c>
      <c r="E1190" s="9600"/>
      <c r="F1190" s="492" t="s">
        <v>732</v>
      </c>
      <c r="G1190" s="666"/>
      <c r="H1190" s="666"/>
      <c r="I1190" s="9582" t="s">
        <v>141</v>
      </c>
      <c r="J1190" s="9583"/>
      <c r="K1190" s="132" t="s">
        <v>734</v>
      </c>
      <c r="L1190" s="5594">
        <v>76</v>
      </c>
      <c r="M1190" s="5671" t="s">
        <v>748</v>
      </c>
      <c r="N1190" s="5724">
        <v>61</v>
      </c>
      <c r="O1190" s="5680" t="s">
        <v>748</v>
      </c>
      <c r="P1190" s="5725">
        <v>53</v>
      </c>
      <c r="Q1190" s="5678" t="s">
        <v>748</v>
      </c>
      <c r="R1190" s="2468"/>
      <c r="S1190" s="544"/>
      <c r="T1190" s="545"/>
      <c r="U1190" s="546"/>
      <c r="V1190" s="547"/>
      <c r="W1190" s="548"/>
      <c r="X1190" s="277"/>
      <c r="Y1190" s="277"/>
      <c r="Z1190" s="187"/>
      <c r="AA1190" s="6301"/>
      <c r="AB1190" s="139"/>
      <c r="AC1190" s="139"/>
      <c r="AD1190" s="139"/>
      <c r="AE1190" s="139"/>
      <c r="AF1190" s="139"/>
      <c r="AG1190" s="139"/>
      <c r="AH1190" s="139"/>
      <c r="AI1190" s="139"/>
      <c r="AJ1190" s="139"/>
      <c r="AK1190" s="139"/>
      <c r="AL1190" s="139"/>
      <c r="AM1190" s="139"/>
      <c r="AN1190" s="139"/>
      <c r="AO1190" s="139"/>
      <c r="AP1190" s="139"/>
      <c r="AQ1190" s="139"/>
      <c r="AR1190" s="139"/>
      <c r="AS1190" s="139"/>
      <c r="AT1190" s="139"/>
      <c r="AU1190" s="139"/>
      <c r="AV1190" s="139"/>
      <c r="AW1190" s="139"/>
      <c r="AX1190" s="139"/>
      <c r="AY1190" s="139"/>
      <c r="AZ1190" s="139"/>
      <c r="BA1190" s="139"/>
      <c r="BB1190" s="139"/>
      <c r="BC1190" s="139"/>
      <c r="BD1190" s="139"/>
      <c r="BE1190" s="139"/>
      <c r="BF1190" s="139"/>
      <c r="BG1190" s="139"/>
      <c r="BH1190" s="139"/>
    </row>
    <row r="1191" spans="2:60" s="11" customFormat="1" ht="20.100000000000001" customHeight="1">
      <c r="B1191" s="1360"/>
      <c r="C1191" s="5598"/>
      <c r="D1191" s="9598" t="s">
        <v>143</v>
      </c>
      <c r="E1191" s="9600"/>
      <c r="F1191" s="492" t="s">
        <v>732</v>
      </c>
      <c r="G1191" s="666"/>
      <c r="H1191" s="666"/>
      <c r="I1191" s="9582" t="s">
        <v>144</v>
      </c>
      <c r="J1191" s="9583"/>
      <c r="K1191" s="132" t="s">
        <v>734</v>
      </c>
      <c r="L1191" s="5594">
        <v>21</v>
      </c>
      <c r="M1191" s="5671" t="s">
        <v>801</v>
      </c>
      <c r="N1191" s="5724">
        <v>36</v>
      </c>
      <c r="O1191" s="5680" t="s">
        <v>801</v>
      </c>
      <c r="P1191" s="5725">
        <v>23</v>
      </c>
      <c r="Q1191" s="5678"/>
      <c r="R1191" s="2468"/>
      <c r="S1191" s="544"/>
      <c r="T1191" s="545"/>
      <c r="U1191" s="546"/>
      <c r="V1191" s="547"/>
      <c r="W1191" s="548"/>
      <c r="X1191" s="277"/>
      <c r="Y1191" s="277"/>
      <c r="Z1191" s="187"/>
      <c r="AA1191" s="6301"/>
      <c r="AB1191" s="139"/>
      <c r="AC1191" s="139"/>
      <c r="AD1191" s="139"/>
      <c r="AE1191" s="139"/>
      <c r="AF1191" s="139"/>
      <c r="AG1191" s="139"/>
      <c r="AH1191" s="139"/>
      <c r="AI1191" s="139"/>
      <c r="AJ1191" s="139"/>
      <c r="AK1191" s="139"/>
      <c r="AL1191" s="139"/>
      <c r="AM1191" s="139"/>
      <c r="AN1191" s="139"/>
      <c r="AO1191" s="139"/>
      <c r="AP1191" s="139"/>
      <c r="AQ1191" s="139"/>
      <c r="AR1191" s="139"/>
      <c r="AS1191" s="139"/>
      <c r="AT1191" s="139"/>
      <c r="AU1191" s="139"/>
      <c r="AV1191" s="139"/>
      <c r="AW1191" s="139"/>
      <c r="AX1191" s="139"/>
      <c r="AY1191" s="139"/>
      <c r="AZ1191" s="139"/>
      <c r="BA1191" s="139"/>
      <c r="BB1191" s="139"/>
      <c r="BC1191" s="139"/>
      <c r="BD1191" s="139"/>
      <c r="BE1191" s="139"/>
      <c r="BF1191" s="139"/>
      <c r="BG1191" s="139"/>
      <c r="BH1191" s="139"/>
    </row>
    <row r="1192" spans="2:60" s="11" customFormat="1" ht="20.100000000000001" customHeight="1">
      <c r="B1192" s="1360"/>
      <c r="C1192" s="5598"/>
      <c r="D1192" s="9598" t="s">
        <v>631</v>
      </c>
      <c r="E1192" s="9600"/>
      <c r="F1192" s="492" t="s">
        <v>732</v>
      </c>
      <c r="G1192" s="666"/>
      <c r="H1192" s="666"/>
      <c r="I1192" s="9582" t="s">
        <v>147</v>
      </c>
      <c r="J1192" s="9583"/>
      <c r="K1192" s="132" t="s">
        <v>734</v>
      </c>
      <c r="L1192" s="5594">
        <v>7</v>
      </c>
      <c r="M1192" s="5671" t="s">
        <v>751</v>
      </c>
      <c r="N1192" s="5724">
        <v>30</v>
      </c>
      <c r="O1192" s="5680" t="s">
        <v>751</v>
      </c>
      <c r="P1192" s="5725">
        <v>30</v>
      </c>
      <c r="Q1192" s="5678"/>
      <c r="R1192" s="2468"/>
      <c r="S1192" s="544"/>
      <c r="T1192" s="545"/>
      <c r="U1192" s="546"/>
      <c r="V1192" s="547"/>
      <c r="W1192" s="548"/>
      <c r="X1192" s="277"/>
      <c r="Y1192" s="277"/>
      <c r="Z1192" s="187"/>
      <c r="AA1192" s="6301"/>
      <c r="AB1192" s="139"/>
      <c r="AC1192" s="139"/>
      <c r="AD1192" s="139"/>
      <c r="AE1192" s="139"/>
      <c r="AF1192" s="139"/>
      <c r="AG1192" s="139"/>
      <c r="AH1192" s="139"/>
      <c r="AI1192" s="139"/>
      <c r="AJ1192" s="139"/>
      <c r="AK1192" s="139"/>
      <c r="AL1192" s="139"/>
      <c r="AM1192" s="139"/>
      <c r="AN1192" s="139"/>
      <c r="AO1192" s="139"/>
      <c r="AP1192" s="139"/>
      <c r="AQ1192" s="139"/>
      <c r="AR1192" s="139"/>
      <c r="AS1192" s="139"/>
      <c r="AT1192" s="139"/>
      <c r="AU1192" s="139"/>
      <c r="AV1192" s="139"/>
      <c r="AW1192" s="139"/>
      <c r="AX1192" s="139"/>
      <c r="AY1192" s="139"/>
      <c r="AZ1192" s="139"/>
      <c r="BA1192" s="139"/>
      <c r="BB1192" s="139"/>
      <c r="BC1192" s="139"/>
      <c r="BD1192" s="139"/>
      <c r="BE1192" s="139"/>
      <c r="BF1192" s="139"/>
      <c r="BG1192" s="139"/>
      <c r="BH1192" s="139"/>
    </row>
    <row r="1193" spans="2:60" s="11" customFormat="1" ht="20.100000000000001" customHeight="1">
      <c r="B1193" s="1360"/>
      <c r="C1193" s="5598"/>
      <c r="D1193" s="9598" t="s">
        <v>633</v>
      </c>
      <c r="E1193" s="9600"/>
      <c r="F1193" s="492" t="s">
        <v>732</v>
      </c>
      <c r="G1193" s="666"/>
      <c r="H1193" s="666"/>
      <c r="I1193" s="9582" t="s">
        <v>150</v>
      </c>
      <c r="J1193" s="9583"/>
      <c r="K1193" s="132" t="s">
        <v>734</v>
      </c>
      <c r="L1193" s="5594">
        <v>30</v>
      </c>
      <c r="M1193" s="5671"/>
      <c r="N1193" s="5724">
        <v>34</v>
      </c>
      <c r="O1193" s="5680"/>
      <c r="P1193" s="5725">
        <v>68</v>
      </c>
      <c r="Q1193" s="5678"/>
      <c r="R1193" s="2468"/>
      <c r="S1193" s="544"/>
      <c r="T1193" s="545"/>
      <c r="U1193" s="546"/>
      <c r="V1193" s="547"/>
      <c r="W1193" s="548"/>
      <c r="X1193" s="277"/>
      <c r="Y1193" s="277"/>
      <c r="Z1193" s="187"/>
      <c r="AA1193" s="6301"/>
      <c r="AB1193" s="139"/>
      <c r="AC1193" s="139"/>
      <c r="AD1193" s="139"/>
      <c r="AE1193" s="139"/>
      <c r="AF1193" s="139"/>
      <c r="AG1193" s="139"/>
      <c r="AH1193" s="139"/>
      <c r="AI1193" s="139"/>
      <c r="AJ1193" s="139"/>
      <c r="AK1193" s="139"/>
      <c r="AL1193" s="139"/>
      <c r="AM1193" s="139"/>
      <c r="AN1193" s="139"/>
      <c r="AO1193" s="139"/>
      <c r="AP1193" s="139"/>
      <c r="AQ1193" s="139"/>
      <c r="AR1193" s="139"/>
      <c r="AS1193" s="139"/>
      <c r="AT1193" s="139"/>
      <c r="AU1193" s="139"/>
      <c r="AV1193" s="139"/>
      <c r="AW1193" s="139"/>
      <c r="AX1193" s="139"/>
      <c r="AY1193" s="139"/>
      <c r="AZ1193" s="139"/>
      <c r="BA1193" s="139"/>
      <c r="BB1193" s="139"/>
      <c r="BC1193" s="139"/>
      <c r="BD1193" s="139"/>
      <c r="BE1193" s="139"/>
      <c r="BF1193" s="139"/>
      <c r="BG1193" s="139"/>
      <c r="BH1193" s="139"/>
    </row>
    <row r="1194" spans="2:60" s="11" customFormat="1" ht="20.100000000000001" customHeight="1">
      <c r="B1194" s="1360"/>
      <c r="C1194" s="1023"/>
      <c r="D1194" s="9584" t="s">
        <v>830</v>
      </c>
      <c r="E1194" s="9585"/>
      <c r="F1194" s="492" t="s">
        <v>732</v>
      </c>
      <c r="G1194" s="286"/>
      <c r="H1194" s="286"/>
      <c r="I1194" s="9584" t="s">
        <v>905</v>
      </c>
      <c r="J1194" s="9585"/>
      <c r="K1194" s="132" t="s">
        <v>734</v>
      </c>
      <c r="L1194" s="5653" t="str">
        <f>IF(COUNTBLANK(L1195:L1200)&gt;0,"미취합법인有",SUM(L1195:L1200))</f>
        <v>미취합법인有</v>
      </c>
      <c r="M1194" s="5657"/>
      <c r="N1194" s="5654" t="str">
        <f>IF(COUNTBLANK(N1195:N1200)&gt;0,"미취합법인有",SUM(N1195:N1200))</f>
        <v>미취합법인有</v>
      </c>
      <c r="O1194" s="5945"/>
      <c r="P1194" s="5781" t="str">
        <f>IF(COUNTBLANK(P1195:P1200)&gt;0,"미취합법인有",SUM(P1195:P1200))</f>
        <v>미취합법인有</v>
      </c>
      <c r="Q1194" s="785"/>
      <c r="R1194" s="2468" t="s">
        <v>901</v>
      </c>
      <c r="S1194" s="276" t="s">
        <v>906</v>
      </c>
      <c r="T1194" s="99" t="s">
        <v>737</v>
      </c>
      <c r="U1194" s="547" t="s">
        <v>800</v>
      </c>
      <c r="V1194" s="547"/>
      <c r="W1194" s="99"/>
      <c r="X1194" s="620" t="s">
        <v>899</v>
      </c>
      <c r="Y1194" s="620" t="s">
        <v>884</v>
      </c>
      <c r="Z1194" s="159"/>
      <c r="AA1194" s="6301"/>
      <c r="AB1194" s="139"/>
      <c r="AC1194" s="139"/>
      <c r="AD1194" s="139"/>
      <c r="AE1194" s="139"/>
      <c r="AF1194" s="139"/>
      <c r="AG1194" s="139"/>
      <c r="AH1194" s="139"/>
      <c r="AI1194" s="139"/>
      <c r="AJ1194" s="139"/>
      <c r="AK1194" s="139"/>
      <c r="AL1194" s="139"/>
      <c r="AM1194" s="139"/>
      <c r="AN1194" s="139"/>
      <c r="AO1194" s="139"/>
      <c r="AP1194" s="139"/>
      <c r="AQ1194" s="139"/>
      <c r="AR1194" s="139"/>
      <c r="AS1194" s="139"/>
      <c r="AT1194" s="139"/>
      <c r="AU1194" s="139"/>
      <c r="AV1194" s="139"/>
      <c r="AW1194" s="139"/>
      <c r="AX1194" s="139"/>
      <c r="AY1194" s="139"/>
      <c r="AZ1194" s="139"/>
      <c r="BA1194" s="139"/>
      <c r="BB1194" s="139"/>
      <c r="BC1194" s="139"/>
      <c r="BD1194" s="139"/>
      <c r="BE1194" s="139"/>
      <c r="BF1194" s="139"/>
      <c r="BG1194" s="139"/>
      <c r="BH1194" s="139"/>
    </row>
    <row r="1195" spans="2:60" s="11" customFormat="1" ht="20.100000000000001" customHeight="1">
      <c r="B1195" s="1360"/>
      <c r="C1195" s="5598"/>
      <c r="D1195" s="9598" t="s">
        <v>134</v>
      </c>
      <c r="E1195" s="9600"/>
      <c r="F1195" s="492" t="s">
        <v>732</v>
      </c>
      <c r="G1195" s="666"/>
      <c r="H1195" s="666"/>
      <c r="I1195" s="9579" t="s">
        <v>135</v>
      </c>
      <c r="J1195" s="9581"/>
      <c r="K1195" s="132" t="s">
        <v>734</v>
      </c>
      <c r="L1195" s="5594">
        <v>121</v>
      </c>
      <c r="M1195" s="5671" t="s">
        <v>746</v>
      </c>
      <c r="N1195" s="5724">
        <v>49</v>
      </c>
      <c r="O1195" s="5680" t="s">
        <v>747</v>
      </c>
      <c r="P1195" s="5678">
        <v>31</v>
      </c>
      <c r="Q1195" s="5678" t="s">
        <v>746</v>
      </c>
      <c r="R1195" s="2468"/>
      <c r="S1195" s="544"/>
      <c r="T1195" s="545"/>
      <c r="U1195" s="546"/>
      <c r="V1195" s="547"/>
      <c r="W1195" s="548"/>
      <c r="X1195" s="277"/>
      <c r="Y1195" s="277"/>
      <c r="Z1195" s="187"/>
      <c r="AA1195" s="6301"/>
      <c r="AB1195" s="139"/>
      <c r="AC1195" s="139"/>
      <c r="AD1195" s="139"/>
      <c r="AE1195" s="139"/>
      <c r="AF1195" s="139"/>
      <c r="AG1195" s="139"/>
      <c r="AH1195" s="139"/>
      <c r="AI1195" s="139"/>
      <c r="AJ1195" s="139"/>
      <c r="AK1195" s="139"/>
      <c r="AL1195" s="139"/>
      <c r="AM1195" s="139"/>
      <c r="AN1195" s="139"/>
      <c r="AO1195" s="139"/>
      <c r="AP1195" s="139"/>
      <c r="AQ1195" s="139"/>
      <c r="AR1195" s="139"/>
      <c r="AS1195" s="139"/>
      <c r="AT1195" s="139"/>
      <c r="AU1195" s="139"/>
      <c r="AV1195" s="139"/>
      <c r="AW1195" s="139"/>
      <c r="AX1195" s="139"/>
      <c r="AY1195" s="139"/>
      <c r="AZ1195" s="139"/>
      <c r="BA1195" s="139"/>
      <c r="BB1195" s="139"/>
      <c r="BC1195" s="139"/>
      <c r="BD1195" s="139"/>
      <c r="BE1195" s="139"/>
      <c r="BF1195" s="139"/>
      <c r="BG1195" s="139"/>
      <c r="BH1195" s="139"/>
    </row>
    <row r="1196" spans="2:60" s="11" customFormat="1" ht="20.100000000000001" customHeight="1">
      <c r="B1196" s="1360"/>
      <c r="C1196" s="5598"/>
      <c r="D1196" s="9598" t="s">
        <v>137</v>
      </c>
      <c r="E1196" s="9600"/>
      <c r="F1196" s="492" t="s">
        <v>732</v>
      </c>
      <c r="G1196" s="666"/>
      <c r="H1196" s="666"/>
      <c r="I1196" s="9579" t="s">
        <v>138</v>
      </c>
      <c r="J1196" s="9581"/>
      <c r="K1196" s="132" t="s">
        <v>734</v>
      </c>
      <c r="L1196" s="5594">
        <v>1</v>
      </c>
      <c r="M1196" s="5671"/>
      <c r="N1196" s="5724">
        <v>3</v>
      </c>
      <c r="O1196" s="5680"/>
      <c r="P1196" s="5725">
        <v>1</v>
      </c>
      <c r="Q1196" s="5678"/>
      <c r="R1196" s="2468"/>
      <c r="S1196" s="544"/>
      <c r="T1196" s="545"/>
      <c r="U1196" s="546"/>
      <c r="V1196" s="547"/>
      <c r="W1196" s="548"/>
      <c r="X1196" s="277"/>
      <c r="Y1196" s="277"/>
      <c r="Z1196" s="187"/>
      <c r="AA1196" s="6301"/>
      <c r="AB1196" s="139"/>
      <c r="AC1196" s="139"/>
      <c r="AD1196" s="139"/>
      <c r="AE1196" s="139"/>
      <c r="AF1196" s="139"/>
      <c r="AG1196" s="139"/>
      <c r="AH1196" s="139"/>
      <c r="AI1196" s="139"/>
      <c r="AJ1196" s="139"/>
      <c r="AK1196" s="139"/>
      <c r="AL1196" s="139"/>
      <c r="AM1196" s="139"/>
      <c r="AN1196" s="139"/>
      <c r="AO1196" s="139"/>
      <c r="AP1196" s="139"/>
      <c r="AQ1196" s="139"/>
      <c r="AR1196" s="139"/>
      <c r="AS1196" s="139"/>
      <c r="AT1196" s="139"/>
      <c r="AU1196" s="139"/>
      <c r="AV1196" s="139"/>
      <c r="AW1196" s="139"/>
      <c r="AX1196" s="139"/>
      <c r="AY1196" s="139"/>
      <c r="AZ1196" s="139"/>
      <c r="BA1196" s="139"/>
      <c r="BB1196" s="139"/>
      <c r="BC1196" s="139"/>
      <c r="BD1196" s="139"/>
      <c r="BE1196" s="139"/>
      <c r="BF1196" s="139"/>
      <c r="BG1196" s="139"/>
      <c r="BH1196" s="139"/>
    </row>
    <row r="1197" spans="2:60" s="11" customFormat="1" ht="20.100000000000001" customHeight="1">
      <c r="B1197" s="1360"/>
      <c r="C1197" s="5598"/>
      <c r="D1197" s="9598" t="s">
        <v>140</v>
      </c>
      <c r="E1197" s="9600"/>
      <c r="F1197" s="492" t="s">
        <v>732</v>
      </c>
      <c r="G1197" s="666"/>
      <c r="H1197" s="666"/>
      <c r="I1197" s="9582" t="s">
        <v>141</v>
      </c>
      <c r="J1197" s="9583"/>
      <c r="K1197" s="132" t="s">
        <v>734</v>
      </c>
      <c r="L1197" s="5594">
        <v>0</v>
      </c>
      <c r="M1197" s="5671" t="s">
        <v>748</v>
      </c>
      <c r="N1197" s="5724">
        <v>0</v>
      </c>
      <c r="O1197" s="5680" t="s">
        <v>748</v>
      </c>
      <c r="P1197" s="5725">
        <v>0</v>
      </c>
      <c r="Q1197" s="5678" t="s">
        <v>748</v>
      </c>
      <c r="R1197" s="2468"/>
      <c r="S1197" s="544"/>
      <c r="T1197" s="545"/>
      <c r="U1197" s="546"/>
      <c r="V1197" s="547"/>
      <c r="W1197" s="548"/>
      <c r="X1197" s="277"/>
      <c r="Y1197" s="277"/>
      <c r="Z1197" s="187"/>
      <c r="AA1197" s="6301"/>
      <c r="AB1197" s="139"/>
      <c r="AC1197" s="139"/>
      <c r="AD1197" s="139"/>
      <c r="AE1197" s="139"/>
      <c r="AF1197" s="139"/>
      <c r="AG1197" s="139"/>
      <c r="AH1197" s="139"/>
      <c r="AI1197" s="139"/>
      <c r="AJ1197" s="139"/>
      <c r="AK1197" s="139"/>
      <c r="AL1197" s="139"/>
      <c r="AM1197" s="139"/>
      <c r="AN1197" s="139"/>
      <c r="AO1197" s="139"/>
      <c r="AP1197" s="139"/>
      <c r="AQ1197" s="139"/>
      <c r="AR1197" s="139"/>
      <c r="AS1197" s="139"/>
      <c r="AT1197" s="139"/>
      <c r="AU1197" s="139"/>
      <c r="AV1197" s="139"/>
      <c r="AW1197" s="139"/>
      <c r="AX1197" s="139"/>
      <c r="AY1197" s="139"/>
      <c r="AZ1197" s="139"/>
      <c r="BA1197" s="139"/>
      <c r="BB1197" s="139"/>
      <c r="BC1197" s="139"/>
      <c r="BD1197" s="139"/>
      <c r="BE1197" s="139"/>
      <c r="BF1197" s="139"/>
      <c r="BG1197" s="139"/>
      <c r="BH1197" s="139"/>
    </row>
    <row r="1198" spans="2:60" s="11" customFormat="1" ht="20.100000000000001" customHeight="1">
      <c r="B1198" s="1360"/>
      <c r="C1198" s="5598"/>
      <c r="D1198" s="9598" t="s">
        <v>143</v>
      </c>
      <c r="E1198" s="9600"/>
      <c r="F1198" s="492" t="s">
        <v>732</v>
      </c>
      <c r="G1198" s="666"/>
      <c r="H1198" s="666"/>
      <c r="I1198" s="9582" t="s">
        <v>144</v>
      </c>
      <c r="J1198" s="9583"/>
      <c r="K1198" s="132" t="s">
        <v>734</v>
      </c>
      <c r="L1198" s="5594"/>
      <c r="M1198" s="5671" t="s">
        <v>801</v>
      </c>
      <c r="N1198" s="5601"/>
      <c r="O1198" s="5680" t="s">
        <v>801</v>
      </c>
      <c r="P1198" s="5725">
        <v>0</v>
      </c>
      <c r="Q1198" s="5678"/>
      <c r="R1198" s="2468"/>
      <c r="S1198" s="544"/>
      <c r="T1198" s="545"/>
      <c r="U1198" s="546"/>
      <c r="V1198" s="547"/>
      <c r="W1198" s="548"/>
      <c r="X1198" s="277"/>
      <c r="Y1198" s="277"/>
      <c r="Z1198" s="187"/>
      <c r="AA1198" s="6301"/>
      <c r="AB1198" s="139"/>
      <c r="AC1198" s="139"/>
      <c r="AD1198" s="139"/>
      <c r="AE1198" s="139"/>
      <c r="AF1198" s="139"/>
      <c r="AG1198" s="139"/>
      <c r="AH1198" s="139"/>
      <c r="AI1198" s="139"/>
      <c r="AJ1198" s="139"/>
      <c r="AK1198" s="139"/>
      <c r="AL1198" s="139"/>
      <c r="AM1198" s="139"/>
      <c r="AN1198" s="139"/>
      <c r="AO1198" s="139"/>
      <c r="AP1198" s="139"/>
      <c r="AQ1198" s="139"/>
      <c r="AR1198" s="139"/>
      <c r="AS1198" s="139"/>
      <c r="AT1198" s="139"/>
      <c r="AU1198" s="139"/>
      <c r="AV1198" s="139"/>
      <c r="AW1198" s="139"/>
      <c r="AX1198" s="139"/>
      <c r="AY1198" s="139"/>
      <c r="AZ1198" s="139"/>
      <c r="BA1198" s="139"/>
      <c r="BB1198" s="139"/>
      <c r="BC1198" s="139"/>
      <c r="BD1198" s="139"/>
      <c r="BE1198" s="139"/>
      <c r="BF1198" s="139"/>
      <c r="BG1198" s="139"/>
      <c r="BH1198" s="139"/>
    </row>
    <row r="1199" spans="2:60" s="11" customFormat="1" ht="20.100000000000001" customHeight="1">
      <c r="B1199" s="1360"/>
      <c r="C1199" s="5598"/>
      <c r="D1199" s="9598" t="s">
        <v>631</v>
      </c>
      <c r="E1199" s="9600"/>
      <c r="F1199" s="492" t="s">
        <v>732</v>
      </c>
      <c r="G1199" s="666"/>
      <c r="H1199" s="666"/>
      <c r="I1199" s="9582" t="s">
        <v>147</v>
      </c>
      <c r="J1199" s="9583"/>
      <c r="K1199" s="132" t="s">
        <v>734</v>
      </c>
      <c r="L1199" s="5594">
        <v>0</v>
      </c>
      <c r="M1199" s="5671" t="s">
        <v>751</v>
      </c>
      <c r="N1199" s="5724">
        <v>2</v>
      </c>
      <c r="O1199" s="5680" t="s">
        <v>751</v>
      </c>
      <c r="P1199" s="5725"/>
      <c r="Q1199" s="5678"/>
      <c r="R1199" s="2468"/>
      <c r="S1199" s="544"/>
      <c r="T1199" s="545"/>
      <c r="U1199" s="546"/>
      <c r="V1199" s="547"/>
      <c r="W1199" s="548"/>
      <c r="X1199" s="277"/>
      <c r="Y1199" s="277"/>
      <c r="Z1199" s="187"/>
      <c r="AA1199" s="6301"/>
      <c r="AB1199" s="139"/>
      <c r="AC1199" s="139"/>
      <c r="AD1199" s="139"/>
      <c r="AE1199" s="139"/>
      <c r="AF1199" s="139"/>
      <c r="AG1199" s="139"/>
      <c r="AH1199" s="139"/>
      <c r="AI1199" s="139"/>
      <c r="AJ1199" s="139"/>
      <c r="AK1199" s="139"/>
      <c r="AL1199" s="139"/>
      <c r="AM1199" s="139"/>
      <c r="AN1199" s="139"/>
      <c r="AO1199" s="139"/>
      <c r="AP1199" s="139"/>
      <c r="AQ1199" s="139"/>
      <c r="AR1199" s="139"/>
      <c r="AS1199" s="139"/>
      <c r="AT1199" s="139"/>
      <c r="AU1199" s="139"/>
      <c r="AV1199" s="139"/>
      <c r="AW1199" s="139"/>
      <c r="AX1199" s="139"/>
      <c r="AY1199" s="139"/>
      <c r="AZ1199" s="139"/>
      <c r="BA1199" s="139"/>
      <c r="BB1199" s="139"/>
      <c r="BC1199" s="139"/>
      <c r="BD1199" s="139"/>
      <c r="BE1199" s="139"/>
      <c r="BF1199" s="139"/>
      <c r="BG1199" s="139"/>
      <c r="BH1199" s="139"/>
    </row>
    <row r="1200" spans="2:60" s="11" customFormat="1" ht="20.100000000000001" customHeight="1">
      <c r="B1200" s="1360"/>
      <c r="C1200" s="5598"/>
      <c r="D1200" s="9598" t="s">
        <v>633</v>
      </c>
      <c r="E1200" s="9600"/>
      <c r="F1200" s="492" t="s">
        <v>732</v>
      </c>
      <c r="G1200" s="666"/>
      <c r="H1200" s="746"/>
      <c r="I1200" s="9582" t="s">
        <v>150</v>
      </c>
      <c r="J1200" s="9583"/>
      <c r="K1200" s="132" t="s">
        <v>734</v>
      </c>
      <c r="L1200" s="5594">
        <v>1</v>
      </c>
      <c r="M1200" s="5671"/>
      <c r="N1200" s="5724">
        <v>1</v>
      </c>
      <c r="O1200" s="5680"/>
      <c r="P1200" s="5725">
        <v>7</v>
      </c>
      <c r="Q1200" s="5678"/>
      <c r="R1200" s="2468"/>
      <c r="S1200" s="544"/>
      <c r="T1200" s="545"/>
      <c r="U1200" s="546"/>
      <c r="V1200" s="547"/>
      <c r="W1200" s="548"/>
      <c r="X1200" s="277"/>
      <c r="Y1200" s="277"/>
      <c r="Z1200" s="187"/>
      <c r="AA1200" s="6301"/>
      <c r="AB1200" s="139"/>
      <c r="AC1200" s="139"/>
      <c r="AD1200" s="139"/>
      <c r="AE1200" s="139"/>
      <c r="AF1200" s="139"/>
      <c r="AG1200" s="139"/>
      <c r="AH1200" s="139"/>
      <c r="AI1200" s="139"/>
      <c r="AJ1200" s="139"/>
      <c r="AK1200" s="139"/>
      <c r="AL1200" s="139"/>
      <c r="AM1200" s="139"/>
      <c r="AN1200" s="139"/>
      <c r="AO1200" s="139"/>
      <c r="AP1200" s="139"/>
      <c r="AQ1200" s="139"/>
      <c r="AR1200" s="139"/>
      <c r="AS1200" s="139"/>
      <c r="AT1200" s="139"/>
      <c r="AU1200" s="139"/>
      <c r="AV1200" s="139"/>
      <c r="AW1200" s="139"/>
      <c r="AX1200" s="139"/>
      <c r="AY1200" s="139"/>
      <c r="AZ1200" s="139"/>
      <c r="BA1200" s="139"/>
      <c r="BB1200" s="139"/>
      <c r="BC1200" s="139"/>
      <c r="BD1200" s="139"/>
      <c r="BE1200" s="139"/>
      <c r="BF1200" s="139"/>
      <c r="BG1200" s="139"/>
      <c r="BH1200" s="139"/>
    </row>
    <row r="1201" spans="2:60" s="11" customFormat="1" ht="20.100000000000001" customHeight="1">
      <c r="B1201" s="1360"/>
      <c r="C1201" s="9689" t="s">
        <v>907</v>
      </c>
      <c r="D1201" s="9623"/>
      <c r="E1201" s="9624"/>
      <c r="F1201" s="492" t="s">
        <v>742</v>
      </c>
      <c r="G1201" s="490"/>
      <c r="H1201" s="9622" t="s">
        <v>908</v>
      </c>
      <c r="I1201" s="9623"/>
      <c r="J1201" s="9624"/>
      <c r="K1201" s="132" t="s">
        <v>734</v>
      </c>
      <c r="L1201" s="5653" t="str">
        <f>IF(COUNTBLANK(L1202:L1207)&gt;0,"미취합법인有",SUM(L1202:L1207))</f>
        <v>미취합법인有</v>
      </c>
      <c r="M1201" s="5657"/>
      <c r="N1201" s="5654" t="str">
        <f>IF(COUNTBLANK(N1202:N1207)&gt;0,"미취합법인有",SUM(N1202:N1207))</f>
        <v>미취합법인有</v>
      </c>
      <c r="O1201" s="5945"/>
      <c r="P1201" s="5781" t="str">
        <f>IF(COUNTBLANK(P1202:P1207)&gt;0,"미취합법인有",SUM(P1202:P1207))</f>
        <v>미취합법인有</v>
      </c>
      <c r="Q1201" s="785"/>
      <c r="R1201" s="2468" t="s">
        <v>909</v>
      </c>
      <c r="S1201" s="276" t="s">
        <v>910</v>
      </c>
      <c r="T1201" s="99" t="s">
        <v>737</v>
      </c>
      <c r="U1201" s="547" t="s">
        <v>800</v>
      </c>
      <c r="V1201" s="547"/>
      <c r="W1201" s="299" t="s">
        <v>193</v>
      </c>
      <c r="X1201" s="620" t="s">
        <v>911</v>
      </c>
      <c r="Y1201" s="620" t="s">
        <v>884</v>
      </c>
      <c r="Z1201" s="159"/>
      <c r="AA1201" s="6301"/>
      <c r="AB1201" s="139" t="s">
        <v>912</v>
      </c>
      <c r="AC1201" s="1377" t="s">
        <v>913</v>
      </c>
      <c r="AD1201" s="139"/>
      <c r="AE1201" s="139"/>
      <c r="AF1201" s="139"/>
      <c r="AG1201" s="139"/>
      <c r="AH1201" s="139"/>
      <c r="AI1201" s="139"/>
      <c r="AJ1201" s="139"/>
      <c r="AK1201" s="139"/>
      <c r="AL1201" s="139"/>
      <c r="AM1201" s="139"/>
      <c r="AN1201" s="139"/>
      <c r="AO1201" s="139"/>
      <c r="AP1201" s="139"/>
      <c r="AQ1201" s="139"/>
      <c r="AR1201" s="139"/>
      <c r="AS1201" s="139"/>
      <c r="AT1201" s="139"/>
      <c r="AU1201" s="139"/>
      <c r="AV1201" s="139"/>
      <c r="AW1201" s="139"/>
      <c r="AX1201" s="139"/>
      <c r="AY1201" s="139"/>
      <c r="AZ1201" s="139"/>
      <c r="BA1201" s="139"/>
      <c r="BB1201" s="139"/>
      <c r="BC1201" s="139"/>
      <c r="BD1201" s="139"/>
      <c r="BE1201" s="139"/>
      <c r="BF1201" s="139"/>
      <c r="BG1201" s="139"/>
      <c r="BH1201" s="139"/>
    </row>
    <row r="1202" spans="2:60" s="11" customFormat="1" ht="19.5" customHeight="1">
      <c r="B1202" s="1360"/>
      <c r="C1202" s="9647" t="s">
        <v>134</v>
      </c>
      <c r="D1202" s="9648"/>
      <c r="E1202" s="9649"/>
      <c r="F1202" s="492" t="s">
        <v>732</v>
      </c>
      <c r="G1202" s="666"/>
      <c r="H1202" s="9627" t="s">
        <v>135</v>
      </c>
      <c r="I1202" s="9628"/>
      <c r="J1202" s="9629"/>
      <c r="K1202" s="132" t="s">
        <v>734</v>
      </c>
      <c r="L1202" s="5594">
        <v>20</v>
      </c>
      <c r="M1202" s="5671" t="s">
        <v>914</v>
      </c>
      <c r="N1202" s="5601">
        <v>89</v>
      </c>
      <c r="O1202" s="5680" t="s">
        <v>914</v>
      </c>
      <c r="P1202" s="5693">
        <v>75</v>
      </c>
      <c r="Q1202" s="5678" t="s">
        <v>914</v>
      </c>
      <c r="R1202" s="2468"/>
      <c r="S1202" s="544"/>
      <c r="T1202" s="545"/>
      <c r="U1202" s="546"/>
      <c r="V1202" s="547"/>
      <c r="W1202" s="299" t="s">
        <v>193</v>
      </c>
      <c r="X1202" s="277"/>
      <c r="Y1202" s="277"/>
      <c r="Z1202" s="187"/>
      <c r="AA1202" s="6301"/>
      <c r="AB1202" s="139"/>
      <c r="AC1202" s="139"/>
      <c r="AD1202" s="139"/>
      <c r="AE1202" s="139"/>
      <c r="AF1202" s="139"/>
      <c r="AG1202" s="139"/>
      <c r="AH1202" s="139"/>
      <c r="AI1202" s="139"/>
      <c r="AJ1202" s="139"/>
      <c r="AK1202" s="139"/>
      <c r="AL1202" s="139"/>
      <c r="AM1202" s="139"/>
      <c r="AN1202" s="139"/>
      <c r="AO1202" s="139"/>
      <c r="AP1202" s="139"/>
      <c r="AQ1202" s="139"/>
      <c r="AR1202" s="139"/>
      <c r="AS1202" s="139"/>
      <c r="AT1202" s="139"/>
      <c r="AU1202" s="139"/>
      <c r="AV1202" s="139"/>
      <c r="AW1202" s="139"/>
      <c r="AX1202" s="139"/>
      <c r="AY1202" s="139"/>
      <c r="AZ1202" s="139"/>
      <c r="BA1202" s="139"/>
      <c r="BB1202" s="139"/>
      <c r="BC1202" s="139"/>
      <c r="BD1202" s="139"/>
      <c r="BE1202" s="139"/>
      <c r="BF1202" s="139"/>
      <c r="BG1202" s="139"/>
      <c r="BH1202" s="139"/>
    </row>
    <row r="1203" spans="2:60" s="11" customFormat="1" ht="20.100000000000001" customHeight="1">
      <c r="B1203" s="1360"/>
      <c r="C1203" s="9647" t="s">
        <v>137</v>
      </c>
      <c r="D1203" s="9648"/>
      <c r="E1203" s="9649"/>
      <c r="F1203" s="492" t="s">
        <v>732</v>
      </c>
      <c r="G1203" s="666"/>
      <c r="H1203" s="9579" t="s">
        <v>138</v>
      </c>
      <c r="I1203" s="9580"/>
      <c r="J1203" s="9581"/>
      <c r="K1203" s="132" t="s">
        <v>734</v>
      </c>
      <c r="L1203" s="5594"/>
      <c r="M1203" s="5671"/>
      <c r="N1203" s="5601"/>
      <c r="O1203" s="5680"/>
      <c r="P1203" s="5602"/>
      <c r="Q1203" s="5678"/>
      <c r="R1203" s="2468"/>
      <c r="S1203" s="544"/>
      <c r="T1203" s="545"/>
      <c r="U1203" s="546"/>
      <c r="V1203" s="547"/>
      <c r="W1203" s="299" t="s">
        <v>193</v>
      </c>
      <c r="X1203" s="277"/>
      <c r="Y1203" s="277"/>
      <c r="Z1203" s="187"/>
      <c r="AA1203" s="6301"/>
      <c r="AB1203" s="139"/>
      <c r="AC1203" s="139"/>
      <c r="AD1203" s="139"/>
      <c r="AE1203" s="139"/>
      <c r="AF1203" s="139"/>
      <c r="AG1203" s="139"/>
      <c r="AH1203" s="139"/>
      <c r="AI1203" s="139"/>
      <c r="AJ1203" s="139"/>
      <c r="AK1203" s="139"/>
      <c r="AL1203" s="139"/>
      <c r="AM1203" s="139"/>
      <c r="AN1203" s="139"/>
      <c r="AO1203" s="139"/>
      <c r="AP1203" s="139"/>
      <c r="AQ1203" s="139"/>
      <c r="AR1203" s="139"/>
      <c r="AS1203" s="139"/>
      <c r="AT1203" s="139"/>
      <c r="AU1203" s="139"/>
      <c r="AV1203" s="139"/>
      <c r="AW1203" s="139"/>
      <c r="AX1203" s="139"/>
      <c r="AY1203" s="139"/>
      <c r="AZ1203" s="139"/>
      <c r="BA1203" s="139"/>
      <c r="BB1203" s="139"/>
      <c r="BC1203" s="139"/>
      <c r="BD1203" s="139"/>
      <c r="BE1203" s="139"/>
      <c r="BF1203" s="139"/>
      <c r="BG1203" s="139"/>
      <c r="BH1203" s="139"/>
    </row>
    <row r="1204" spans="2:60" s="11" customFormat="1" ht="20.100000000000001" customHeight="1">
      <c r="B1204" s="1360"/>
      <c r="C1204" s="9647" t="s">
        <v>140</v>
      </c>
      <c r="D1204" s="9648"/>
      <c r="E1204" s="9649"/>
      <c r="F1204" s="492" t="s">
        <v>732</v>
      </c>
      <c r="G1204" s="666"/>
      <c r="H1204" s="9579" t="s">
        <v>141</v>
      </c>
      <c r="I1204" s="9580"/>
      <c r="J1204" s="9581"/>
      <c r="K1204" s="132" t="s">
        <v>734</v>
      </c>
      <c r="L1204" s="5594">
        <v>0</v>
      </c>
      <c r="M1204" s="5671"/>
      <c r="N1204" s="5601">
        <v>0</v>
      </c>
      <c r="O1204" s="5671"/>
      <c r="P1204" s="516">
        <v>0</v>
      </c>
      <c r="Q1204" s="5672"/>
      <c r="R1204" s="2468"/>
      <c r="S1204" s="544"/>
      <c r="T1204" s="545"/>
      <c r="U1204" s="546"/>
      <c r="V1204" s="547"/>
      <c r="W1204" s="299" t="s">
        <v>193</v>
      </c>
      <c r="X1204" s="277"/>
      <c r="Y1204" s="277"/>
      <c r="Z1204" s="187"/>
      <c r="AA1204" s="6301"/>
      <c r="AB1204" s="139"/>
      <c r="AC1204" s="1377" t="s">
        <v>913</v>
      </c>
      <c r="AD1204" s="139"/>
      <c r="AE1204" s="139"/>
      <c r="AF1204" s="139"/>
      <c r="AG1204" s="139"/>
      <c r="AH1204" s="139"/>
      <c r="AI1204" s="139"/>
      <c r="AJ1204" s="139"/>
      <c r="AK1204" s="139"/>
      <c r="AL1204" s="139"/>
      <c r="AM1204" s="139"/>
      <c r="AN1204" s="139"/>
      <c r="AO1204" s="139"/>
      <c r="AP1204" s="139"/>
      <c r="AQ1204" s="139"/>
      <c r="AR1204" s="139"/>
      <c r="AS1204" s="139"/>
      <c r="AT1204" s="139"/>
      <c r="AU1204" s="139"/>
      <c r="AV1204" s="139"/>
      <c r="AW1204" s="139"/>
      <c r="AX1204" s="139"/>
      <c r="AY1204" s="139"/>
      <c r="AZ1204" s="139"/>
      <c r="BA1204" s="139"/>
      <c r="BB1204" s="139"/>
      <c r="BC1204" s="139"/>
      <c r="BD1204" s="139"/>
      <c r="BE1204" s="139"/>
      <c r="BF1204" s="139"/>
      <c r="BG1204" s="139"/>
      <c r="BH1204" s="139"/>
    </row>
    <row r="1205" spans="2:60" s="11" customFormat="1" ht="20.100000000000001" customHeight="1">
      <c r="B1205" s="1360"/>
      <c r="C1205" s="9647" t="s">
        <v>143</v>
      </c>
      <c r="D1205" s="9648"/>
      <c r="E1205" s="9649"/>
      <c r="F1205" s="492" t="s">
        <v>732</v>
      </c>
      <c r="G1205" s="666"/>
      <c r="H1205" s="9579" t="s">
        <v>144</v>
      </c>
      <c r="I1205" s="9580"/>
      <c r="J1205" s="9581"/>
      <c r="K1205" s="132" t="s">
        <v>734</v>
      </c>
      <c r="L1205" s="5594"/>
      <c r="M1205" s="5671"/>
      <c r="N1205" s="5601"/>
      <c r="O1205" s="5680"/>
      <c r="P1205" s="5602"/>
      <c r="Q1205" s="5678"/>
      <c r="R1205" s="2468"/>
      <c r="S1205" s="544"/>
      <c r="T1205" s="545"/>
      <c r="U1205" s="546"/>
      <c r="V1205" s="547"/>
      <c r="W1205" s="299" t="s">
        <v>193</v>
      </c>
      <c r="X1205" s="277"/>
      <c r="Y1205" s="277"/>
      <c r="Z1205" s="187"/>
      <c r="AA1205" s="6301"/>
      <c r="AB1205" s="139"/>
      <c r="AC1205" s="1377" t="s">
        <v>913</v>
      </c>
      <c r="AD1205" s="139"/>
      <c r="AE1205" s="139"/>
      <c r="AF1205" s="139"/>
      <c r="AG1205" s="139"/>
      <c r="AH1205" s="139"/>
      <c r="AI1205" s="139"/>
      <c r="AJ1205" s="139"/>
      <c r="AK1205" s="139"/>
      <c r="AL1205" s="139"/>
      <c r="AM1205" s="139"/>
      <c r="AN1205" s="139"/>
      <c r="AO1205" s="139"/>
      <c r="AP1205" s="139"/>
      <c r="AQ1205" s="139"/>
      <c r="AR1205" s="139"/>
      <c r="AS1205" s="139"/>
      <c r="AT1205" s="139"/>
      <c r="AU1205" s="139"/>
      <c r="AV1205" s="139"/>
      <c r="AW1205" s="139"/>
      <c r="AX1205" s="139"/>
      <c r="AY1205" s="139"/>
      <c r="AZ1205" s="139"/>
      <c r="BA1205" s="139"/>
      <c r="BB1205" s="139"/>
      <c r="BC1205" s="139"/>
      <c r="BD1205" s="139"/>
      <c r="BE1205" s="139"/>
      <c r="BF1205" s="139"/>
      <c r="BG1205" s="139"/>
      <c r="BH1205" s="139"/>
    </row>
    <row r="1206" spans="2:60" s="11" customFormat="1" ht="20.100000000000001" customHeight="1">
      <c r="B1206" s="1360"/>
      <c r="C1206" s="9647" t="s">
        <v>631</v>
      </c>
      <c r="D1206" s="9648"/>
      <c r="E1206" s="9649"/>
      <c r="F1206" s="492" t="s">
        <v>732</v>
      </c>
      <c r="G1206" s="666"/>
      <c r="H1206" s="9579" t="s">
        <v>147</v>
      </c>
      <c r="I1206" s="9580"/>
      <c r="J1206" s="9581"/>
      <c r="K1206" s="132" t="s">
        <v>734</v>
      </c>
      <c r="L1206" s="5594"/>
      <c r="M1206" s="5671"/>
      <c r="N1206" s="5601"/>
      <c r="O1206" s="5680"/>
      <c r="P1206" s="5602"/>
      <c r="Q1206" s="5678"/>
      <c r="R1206" s="2468"/>
      <c r="S1206" s="544"/>
      <c r="T1206" s="545"/>
      <c r="U1206" s="546"/>
      <c r="V1206" s="547"/>
      <c r="W1206" s="299" t="s">
        <v>193</v>
      </c>
      <c r="X1206" s="277"/>
      <c r="Y1206" s="277"/>
      <c r="Z1206" s="187"/>
      <c r="AA1206" s="6301"/>
      <c r="AB1206" s="139"/>
      <c r="AC1206" s="1377" t="s">
        <v>913</v>
      </c>
      <c r="AD1206" s="139"/>
      <c r="AE1206" s="139"/>
      <c r="AF1206" s="139"/>
      <c r="AG1206" s="139"/>
      <c r="AH1206" s="139"/>
      <c r="AI1206" s="139"/>
      <c r="AJ1206" s="139"/>
      <c r="AK1206" s="139"/>
      <c r="AL1206" s="139"/>
      <c r="AM1206" s="139"/>
      <c r="AN1206" s="139"/>
      <c r="AO1206" s="139"/>
      <c r="AP1206" s="139"/>
      <c r="AQ1206" s="139"/>
      <c r="AR1206" s="139"/>
      <c r="AS1206" s="139"/>
      <c r="AT1206" s="139"/>
      <c r="AU1206" s="139"/>
      <c r="AV1206" s="139"/>
      <c r="AW1206" s="139"/>
      <c r="AX1206" s="139"/>
      <c r="AY1206" s="139"/>
      <c r="AZ1206" s="139"/>
      <c r="BA1206" s="139"/>
      <c r="BB1206" s="139"/>
      <c r="BC1206" s="139"/>
      <c r="BD1206" s="139"/>
      <c r="BE1206" s="139"/>
      <c r="BF1206" s="139"/>
      <c r="BG1206" s="139"/>
      <c r="BH1206" s="139"/>
    </row>
    <row r="1207" spans="2:60" s="11" customFormat="1" ht="20.100000000000001" customHeight="1">
      <c r="B1207" s="1360"/>
      <c r="C1207" s="9647" t="s">
        <v>633</v>
      </c>
      <c r="D1207" s="9648"/>
      <c r="E1207" s="9649"/>
      <c r="F1207" s="492" t="s">
        <v>732</v>
      </c>
      <c r="G1207" s="666"/>
      <c r="H1207" s="9579" t="s">
        <v>150</v>
      </c>
      <c r="I1207" s="9580"/>
      <c r="J1207" s="9581"/>
      <c r="K1207" s="132" t="s">
        <v>734</v>
      </c>
      <c r="L1207" s="5594"/>
      <c r="M1207" s="5671"/>
      <c r="N1207" s="5601"/>
      <c r="O1207" s="5671"/>
      <c r="P1207" s="5601"/>
      <c r="Q1207" s="5678"/>
      <c r="R1207" s="2468"/>
      <c r="S1207" s="544"/>
      <c r="T1207" s="545"/>
      <c r="U1207" s="546"/>
      <c r="V1207" s="547"/>
      <c r="W1207" s="299" t="s">
        <v>193</v>
      </c>
      <c r="X1207" s="277"/>
      <c r="Y1207" s="277"/>
      <c r="Z1207" s="187"/>
      <c r="AA1207" s="6301"/>
      <c r="AB1207" s="139"/>
      <c r="AC1207" s="1377" t="s">
        <v>913</v>
      </c>
      <c r="AD1207" s="139"/>
      <c r="AE1207" s="139"/>
      <c r="AF1207" s="139"/>
      <c r="AG1207" s="139"/>
      <c r="AH1207" s="139"/>
      <c r="AI1207" s="139"/>
      <c r="AJ1207" s="139"/>
      <c r="AK1207" s="139"/>
      <c r="AL1207" s="139"/>
      <c r="AM1207" s="139"/>
      <c r="AN1207" s="139"/>
      <c r="AO1207" s="139"/>
      <c r="AP1207" s="139"/>
      <c r="AQ1207" s="139"/>
      <c r="AR1207" s="139"/>
      <c r="AS1207" s="139"/>
      <c r="AT1207" s="139"/>
      <c r="AU1207" s="139"/>
      <c r="AV1207" s="139"/>
      <c r="AW1207" s="139"/>
      <c r="AX1207" s="139"/>
      <c r="AY1207" s="139"/>
      <c r="AZ1207" s="139"/>
      <c r="BA1207" s="139"/>
      <c r="BB1207" s="139"/>
      <c r="BC1207" s="139"/>
      <c r="BD1207" s="139"/>
      <c r="BE1207" s="139"/>
      <c r="BF1207" s="139"/>
      <c r="BG1207" s="139"/>
      <c r="BH1207" s="139"/>
    </row>
    <row r="1208" spans="2:60" s="11" customFormat="1" ht="20.100000000000001" customHeight="1">
      <c r="B1208" s="1360"/>
      <c r="C1208" s="9656" t="s">
        <v>915</v>
      </c>
      <c r="D1208" s="9587"/>
      <c r="E1208" s="9588"/>
      <c r="F1208" s="285" t="s">
        <v>742</v>
      </c>
      <c r="G1208" s="490"/>
      <c r="H1208" s="9586" t="s">
        <v>916</v>
      </c>
      <c r="I1208" s="9625"/>
      <c r="J1208" s="9626"/>
      <c r="K1208" s="132" t="s">
        <v>734</v>
      </c>
      <c r="L1208" s="5783">
        <f>IF(COUNTBLANK(L1209:L1214)&gt;0,"미취합법인有",SUM(L1209:L1214))</f>
        <v>5826</v>
      </c>
      <c r="M1208" s="5784"/>
      <c r="N1208" s="5785">
        <f>IF(COUNTBLANK(N1209:N1214)&gt;0,"미취합법인有",SUM(N1209:N1214))</f>
        <v>8408</v>
      </c>
      <c r="O1208" s="5663"/>
      <c r="P1208" s="5781">
        <f>IF(COUNTBLANK(P1209:P1214)&gt;0,"미취합법인有",SUM(P1209:P1214))</f>
        <v>9159</v>
      </c>
      <c r="Q1208" s="785"/>
      <c r="R1208" s="2472" t="s">
        <v>917</v>
      </c>
      <c r="S1208" s="457" t="s">
        <v>918</v>
      </c>
      <c r="T1208" s="99" t="s">
        <v>737</v>
      </c>
      <c r="U1208" s="547" t="s">
        <v>800</v>
      </c>
      <c r="V1208" s="547"/>
      <c r="W1208" s="99"/>
      <c r="X1208" s="620" t="s">
        <v>919</v>
      </c>
      <c r="Y1208" s="620" t="s">
        <v>884</v>
      </c>
      <c r="Z1208" s="159"/>
      <c r="AA1208" s="6301"/>
      <c r="AB1208" s="139"/>
      <c r="AC1208" s="139"/>
      <c r="AD1208" s="139"/>
      <c r="AE1208" s="139"/>
      <c r="AF1208" s="139"/>
      <c r="AG1208" s="139"/>
      <c r="AH1208" s="139"/>
      <c r="AI1208" s="139"/>
      <c r="AJ1208" s="139"/>
      <c r="AK1208" s="139"/>
      <c r="AL1208" s="139"/>
      <c r="AM1208" s="139"/>
      <c r="AN1208" s="139"/>
      <c r="AO1208" s="139"/>
      <c r="AP1208" s="139"/>
      <c r="AQ1208" s="139"/>
      <c r="AR1208" s="139"/>
      <c r="AS1208" s="139"/>
      <c r="AT1208" s="139"/>
      <c r="AU1208" s="139"/>
      <c r="AV1208" s="139"/>
      <c r="AW1208" s="139"/>
      <c r="AX1208" s="139"/>
      <c r="AY1208" s="139"/>
      <c r="AZ1208" s="139"/>
      <c r="BA1208" s="139"/>
      <c r="BB1208" s="139"/>
      <c r="BC1208" s="139"/>
      <c r="BD1208" s="139"/>
      <c r="BE1208" s="139"/>
      <c r="BF1208" s="139"/>
      <c r="BG1208" s="139"/>
      <c r="BH1208" s="139"/>
    </row>
    <row r="1209" spans="2:60" s="11" customFormat="1" ht="20.100000000000001" customHeight="1">
      <c r="B1209" s="1360"/>
      <c r="C1209" s="9647" t="s">
        <v>134</v>
      </c>
      <c r="D1209" s="9648"/>
      <c r="E1209" s="9649"/>
      <c r="F1209" s="492" t="s">
        <v>732</v>
      </c>
      <c r="G1209" s="666"/>
      <c r="H1209" s="9627" t="s">
        <v>135</v>
      </c>
      <c r="I1209" s="9628"/>
      <c r="J1209" s="9629"/>
      <c r="K1209" s="132" t="s">
        <v>734</v>
      </c>
      <c r="L1209" s="5594">
        <v>3241</v>
      </c>
      <c r="M1209" s="5658"/>
      <c r="N1209" s="5658">
        <v>5079</v>
      </c>
      <c r="O1209" s="5658"/>
      <c r="P1209" s="5658">
        <v>5855</v>
      </c>
      <c r="Q1209" s="1814"/>
      <c r="R1209" s="2468"/>
      <c r="S1209" s="544"/>
      <c r="T1209" s="545"/>
      <c r="U1209" s="546"/>
      <c r="V1209" s="547"/>
      <c r="W1209" s="548"/>
      <c r="X1209" s="277"/>
      <c r="Y1209" s="277"/>
      <c r="Z1209" s="187"/>
      <c r="AA1209" s="6301"/>
      <c r="AB1209" s="139"/>
      <c r="AC1209" s="139"/>
      <c r="AD1209" s="139"/>
      <c r="AE1209" s="139"/>
      <c r="AF1209" s="139"/>
      <c r="AG1209" s="139"/>
      <c r="AH1209" s="139"/>
      <c r="AI1209" s="139"/>
      <c r="AJ1209" s="139"/>
      <c r="AK1209" s="139"/>
      <c r="AL1209" s="139"/>
      <c r="AM1209" s="139"/>
      <c r="AN1209" s="139"/>
      <c r="AO1209" s="139"/>
      <c r="AP1209" s="139"/>
      <c r="AQ1209" s="139"/>
      <c r="AR1209" s="139"/>
      <c r="AS1209" s="139"/>
      <c r="AT1209" s="139"/>
      <c r="AU1209" s="139"/>
      <c r="AV1209" s="139"/>
      <c r="AW1209" s="139"/>
      <c r="AX1209" s="139"/>
      <c r="AY1209" s="139"/>
      <c r="AZ1209" s="139"/>
      <c r="BA1209" s="139"/>
      <c r="BB1209" s="139"/>
      <c r="BC1209" s="139"/>
      <c r="BD1209" s="139"/>
      <c r="BE1209" s="139"/>
      <c r="BF1209" s="139"/>
      <c r="BG1209" s="139"/>
      <c r="BH1209" s="139"/>
    </row>
    <row r="1210" spans="2:60" s="11" customFormat="1" ht="20.100000000000001" customHeight="1">
      <c r="B1210" s="1360"/>
      <c r="C1210" s="9647" t="s">
        <v>137</v>
      </c>
      <c r="D1210" s="9648"/>
      <c r="E1210" s="9649"/>
      <c r="F1210" s="492" t="s">
        <v>732</v>
      </c>
      <c r="G1210" s="666"/>
      <c r="H1210" s="9579" t="s">
        <v>138</v>
      </c>
      <c r="I1210" s="9580"/>
      <c r="J1210" s="9581"/>
      <c r="K1210" s="132" t="s">
        <v>734</v>
      </c>
      <c r="L1210" s="5594">
        <v>71</v>
      </c>
      <c r="M1210" s="5658"/>
      <c r="N1210" s="5658">
        <v>44</v>
      </c>
      <c r="O1210" s="5658"/>
      <c r="P1210" s="5658">
        <v>47</v>
      </c>
      <c r="Q1210" s="1814"/>
      <c r="R1210" s="2468"/>
      <c r="S1210" s="544"/>
      <c r="T1210" s="545"/>
      <c r="U1210" s="546"/>
      <c r="V1210" s="547"/>
      <c r="W1210" s="548"/>
      <c r="X1210" s="277"/>
      <c r="Y1210" s="277"/>
      <c r="Z1210" s="187"/>
      <c r="AA1210" s="6301"/>
      <c r="AB1210" s="139"/>
      <c r="AC1210" s="139"/>
      <c r="AD1210" s="139"/>
      <c r="AE1210" s="139"/>
      <c r="AF1210" s="139"/>
      <c r="AG1210" s="139"/>
      <c r="AH1210" s="139"/>
      <c r="AI1210" s="139"/>
      <c r="AJ1210" s="139"/>
      <c r="AK1210" s="139"/>
      <c r="AL1210" s="139"/>
      <c r="AM1210" s="139"/>
      <c r="AN1210" s="139"/>
      <c r="AO1210" s="139"/>
      <c r="AP1210" s="139"/>
      <c r="AQ1210" s="139"/>
      <c r="AR1210" s="139"/>
      <c r="AS1210" s="139"/>
      <c r="AT1210" s="139"/>
      <c r="AU1210" s="139"/>
      <c r="AV1210" s="139"/>
      <c r="AW1210" s="139"/>
      <c r="AX1210" s="139"/>
      <c r="AY1210" s="139"/>
      <c r="AZ1210" s="139"/>
      <c r="BA1210" s="139"/>
      <c r="BB1210" s="139"/>
      <c r="BC1210" s="139"/>
      <c r="BD1210" s="139"/>
      <c r="BE1210" s="139"/>
      <c r="BF1210" s="139"/>
      <c r="BG1210" s="139"/>
      <c r="BH1210" s="139"/>
    </row>
    <row r="1211" spans="2:60" s="11" customFormat="1" ht="20.100000000000001" customHeight="1">
      <c r="B1211" s="1360"/>
      <c r="C1211" s="9647" t="s">
        <v>140</v>
      </c>
      <c r="D1211" s="9648"/>
      <c r="E1211" s="9649"/>
      <c r="F1211" s="492" t="s">
        <v>732</v>
      </c>
      <c r="G1211" s="666"/>
      <c r="H1211" s="9579" t="s">
        <v>141</v>
      </c>
      <c r="I1211" s="9580"/>
      <c r="J1211" s="9581"/>
      <c r="K1211" s="132" t="s">
        <v>734</v>
      </c>
      <c r="L1211" s="5594">
        <v>437</v>
      </c>
      <c r="M1211" s="5658"/>
      <c r="N1211" s="5658">
        <v>231</v>
      </c>
      <c r="O1211" s="5658"/>
      <c r="P1211" s="5658">
        <v>245</v>
      </c>
      <c r="Q1211" s="1814"/>
      <c r="R1211" s="2468"/>
      <c r="S1211" s="544"/>
      <c r="T1211" s="545"/>
      <c r="U1211" s="546"/>
      <c r="V1211" s="547"/>
      <c r="W1211" s="548"/>
      <c r="X1211" s="277"/>
      <c r="Y1211" s="277"/>
      <c r="Z1211" s="187"/>
      <c r="AA1211" s="6301"/>
      <c r="AB1211" s="139"/>
      <c r="AC1211" s="139"/>
      <c r="AD1211" s="139"/>
      <c r="AE1211" s="139"/>
      <c r="AF1211" s="139"/>
      <c r="AG1211" s="139"/>
      <c r="AH1211" s="139"/>
      <c r="AI1211" s="139"/>
      <c r="AJ1211" s="139"/>
      <c r="AK1211" s="139"/>
      <c r="AL1211" s="139"/>
      <c r="AM1211" s="139"/>
      <c r="AN1211" s="139"/>
      <c r="AO1211" s="139"/>
      <c r="AP1211" s="139"/>
      <c r="AQ1211" s="139"/>
      <c r="AR1211" s="139"/>
      <c r="AS1211" s="139"/>
      <c r="AT1211" s="139"/>
      <c r="AU1211" s="139"/>
      <c r="AV1211" s="139"/>
      <c r="AW1211" s="139"/>
      <c r="AX1211" s="139"/>
      <c r="AY1211" s="139"/>
      <c r="AZ1211" s="139"/>
      <c r="BA1211" s="139"/>
      <c r="BB1211" s="139"/>
      <c r="BC1211" s="139"/>
      <c r="BD1211" s="139"/>
      <c r="BE1211" s="139"/>
      <c r="BF1211" s="139"/>
      <c r="BG1211" s="139"/>
      <c r="BH1211" s="139"/>
    </row>
    <row r="1212" spans="2:60" s="11" customFormat="1" ht="20.100000000000001" customHeight="1">
      <c r="B1212" s="1360"/>
      <c r="C1212" s="9647" t="s">
        <v>143</v>
      </c>
      <c r="D1212" s="9648"/>
      <c r="E1212" s="9649"/>
      <c r="F1212" s="492" t="s">
        <v>732</v>
      </c>
      <c r="G1212" s="666"/>
      <c r="H1212" s="9579" t="s">
        <v>144</v>
      </c>
      <c r="I1212" s="9580"/>
      <c r="J1212" s="9581"/>
      <c r="K1212" s="132" t="s">
        <v>734</v>
      </c>
      <c r="L1212" s="5594">
        <v>1241</v>
      </c>
      <c r="M1212" s="5658"/>
      <c r="N1212" s="5658">
        <v>2122</v>
      </c>
      <c r="O1212" s="5658"/>
      <c r="P1212" s="5658">
        <v>2050</v>
      </c>
      <c r="Q1212" s="1814"/>
      <c r="R1212" s="2468"/>
      <c r="S1212" s="544"/>
      <c r="T1212" s="545"/>
      <c r="U1212" s="546"/>
      <c r="V1212" s="547"/>
      <c r="W1212" s="548"/>
      <c r="X1212" s="277"/>
      <c r="Y1212" s="277"/>
      <c r="Z1212" s="187"/>
      <c r="AA1212" s="6301"/>
      <c r="AB1212" s="139"/>
      <c r="AC1212" s="139"/>
      <c r="AD1212" s="139"/>
      <c r="AE1212" s="139"/>
      <c r="AF1212" s="139"/>
      <c r="AG1212" s="139"/>
      <c r="AH1212" s="139"/>
      <c r="AI1212" s="139"/>
      <c r="AJ1212" s="139"/>
      <c r="AK1212" s="139"/>
      <c r="AL1212" s="139"/>
      <c r="AM1212" s="139"/>
      <c r="AN1212" s="139"/>
      <c r="AO1212" s="139"/>
      <c r="AP1212" s="139"/>
      <c r="AQ1212" s="139"/>
      <c r="AR1212" s="139"/>
      <c r="AS1212" s="139"/>
      <c r="AT1212" s="139"/>
      <c r="AU1212" s="139"/>
      <c r="AV1212" s="139"/>
      <c r="AW1212" s="139"/>
      <c r="AX1212" s="139"/>
      <c r="AY1212" s="139"/>
      <c r="AZ1212" s="139"/>
      <c r="BA1212" s="139"/>
      <c r="BB1212" s="139"/>
      <c r="BC1212" s="139"/>
      <c r="BD1212" s="139"/>
      <c r="BE1212" s="139"/>
      <c r="BF1212" s="139"/>
      <c r="BG1212" s="139"/>
      <c r="BH1212" s="139"/>
    </row>
    <row r="1213" spans="2:60" s="11" customFormat="1" ht="20.100000000000001" customHeight="1">
      <c r="B1213" s="1360"/>
      <c r="C1213" s="9647" t="s">
        <v>631</v>
      </c>
      <c r="D1213" s="9648"/>
      <c r="E1213" s="9649"/>
      <c r="F1213" s="492" t="s">
        <v>732</v>
      </c>
      <c r="G1213" s="666"/>
      <c r="H1213" s="9579" t="s">
        <v>147</v>
      </c>
      <c r="I1213" s="9580"/>
      <c r="J1213" s="9581"/>
      <c r="K1213" s="132" t="s">
        <v>734</v>
      </c>
      <c r="L1213" s="5594">
        <v>103</v>
      </c>
      <c r="M1213" s="5658"/>
      <c r="N1213" s="5658">
        <v>74</v>
      </c>
      <c r="O1213" s="5658"/>
      <c r="P1213" s="5658">
        <v>75</v>
      </c>
      <c r="Q1213" s="1814"/>
      <c r="R1213" s="2468"/>
      <c r="S1213" s="544"/>
      <c r="T1213" s="545"/>
      <c r="U1213" s="546"/>
      <c r="V1213" s="547"/>
      <c r="W1213" s="548"/>
      <c r="X1213" s="277"/>
      <c r="Y1213" s="277"/>
      <c r="Z1213" s="187"/>
      <c r="AA1213" s="6301"/>
      <c r="AB1213" s="139"/>
      <c r="AC1213" s="139"/>
      <c r="AD1213" s="139"/>
      <c r="AE1213" s="139"/>
      <c r="AF1213" s="139"/>
      <c r="AG1213" s="139"/>
      <c r="AH1213" s="139"/>
      <c r="AI1213" s="139"/>
      <c r="AJ1213" s="139"/>
      <c r="AK1213" s="139"/>
      <c r="AL1213" s="139"/>
      <c r="AM1213" s="139"/>
      <c r="AN1213" s="139"/>
      <c r="AO1213" s="139"/>
      <c r="AP1213" s="139"/>
      <c r="AQ1213" s="139"/>
      <c r="AR1213" s="139"/>
      <c r="AS1213" s="139"/>
      <c r="AT1213" s="139"/>
      <c r="AU1213" s="139"/>
      <c r="AV1213" s="139"/>
      <c r="AW1213" s="139"/>
      <c r="AX1213" s="139"/>
      <c r="AY1213" s="139"/>
      <c r="AZ1213" s="139"/>
      <c r="BA1213" s="139"/>
      <c r="BB1213" s="139"/>
      <c r="BC1213" s="139"/>
      <c r="BD1213" s="139"/>
      <c r="BE1213" s="139"/>
      <c r="BF1213" s="139"/>
      <c r="BG1213" s="139"/>
      <c r="BH1213" s="139"/>
    </row>
    <row r="1214" spans="2:60" s="11" customFormat="1" ht="20.100000000000001" customHeight="1">
      <c r="B1214" s="1360"/>
      <c r="C1214" s="9647" t="s">
        <v>633</v>
      </c>
      <c r="D1214" s="9648"/>
      <c r="E1214" s="9649"/>
      <c r="F1214" s="492" t="s">
        <v>732</v>
      </c>
      <c r="G1214" s="746"/>
      <c r="H1214" s="9579" t="s">
        <v>150</v>
      </c>
      <c r="I1214" s="9580"/>
      <c r="J1214" s="9581"/>
      <c r="K1214" s="132" t="s">
        <v>734</v>
      </c>
      <c r="L1214" s="5594">
        <v>733</v>
      </c>
      <c r="M1214" s="5658"/>
      <c r="N1214" s="5658">
        <v>858</v>
      </c>
      <c r="O1214" s="5658"/>
      <c r="P1214" s="5658">
        <v>887</v>
      </c>
      <c r="Q1214" s="1814"/>
      <c r="R1214" s="2468"/>
      <c r="S1214" s="544"/>
      <c r="T1214" s="545"/>
      <c r="U1214" s="546"/>
      <c r="V1214" s="547"/>
      <c r="W1214" s="548"/>
      <c r="X1214" s="277"/>
      <c r="Y1214" s="277"/>
      <c r="Z1214" s="187"/>
      <c r="AA1214" s="6301"/>
      <c r="AB1214" s="139"/>
      <c r="AC1214" s="139"/>
      <c r="AD1214" s="139"/>
      <c r="AE1214" s="139"/>
      <c r="AF1214" s="139"/>
      <c r="AG1214" s="139"/>
      <c r="AH1214" s="139"/>
      <c r="AI1214" s="139"/>
      <c r="AJ1214" s="139"/>
      <c r="AK1214" s="139"/>
      <c r="AL1214" s="139"/>
      <c r="AM1214" s="139"/>
      <c r="AN1214" s="139"/>
      <c r="AO1214" s="139"/>
      <c r="AP1214" s="139"/>
      <c r="AQ1214" s="139"/>
      <c r="AR1214" s="139"/>
      <c r="AS1214" s="139"/>
      <c r="AT1214" s="139"/>
      <c r="AU1214" s="139"/>
      <c r="AV1214" s="139"/>
      <c r="AW1214" s="139"/>
      <c r="AX1214" s="139"/>
      <c r="AY1214" s="139"/>
      <c r="AZ1214" s="139"/>
      <c r="BA1214" s="139"/>
      <c r="BB1214" s="139"/>
      <c r="BC1214" s="139"/>
      <c r="BD1214" s="139"/>
      <c r="BE1214" s="139"/>
      <c r="BF1214" s="139"/>
      <c r="BG1214" s="139"/>
      <c r="BH1214" s="139"/>
    </row>
    <row r="1215" spans="2:60" s="11" customFormat="1" ht="20.100000000000001" customHeight="1">
      <c r="B1215" s="1360"/>
      <c r="C1215" s="1375"/>
      <c r="D1215" s="9584" t="s">
        <v>920</v>
      </c>
      <c r="E1215" s="9585"/>
      <c r="F1215" s="285" t="s">
        <v>742</v>
      </c>
      <c r="G1215" s="286"/>
      <c r="H1215" s="1776"/>
      <c r="I1215" s="9584" t="s">
        <v>921</v>
      </c>
      <c r="J1215" s="9585"/>
      <c r="K1215" s="132" t="s">
        <v>734</v>
      </c>
      <c r="L1215" s="5783">
        <f>IF(COUNTBLANK(L1216:L1221)&gt;0,"미취합법인有",SUM(L1216:L1221))</f>
        <v>3924</v>
      </c>
      <c r="M1215" s="5784"/>
      <c r="N1215" s="5785">
        <f>IF(COUNTBLANK(N1216:N1221)&gt;0,"미취합법인有",SUM(N1216:N1221))</f>
        <v>6677</v>
      </c>
      <c r="O1215" s="5663"/>
      <c r="P1215" s="5781">
        <f>IF(COUNTBLANK(P1216:P1221)&gt;0,"미취합법인有",SUM(P1216:P1221))</f>
        <v>7312</v>
      </c>
      <c r="Q1215" s="785"/>
      <c r="R1215" s="2472"/>
      <c r="S1215" s="457"/>
      <c r="T1215" s="99" t="s">
        <v>737</v>
      </c>
      <c r="U1215" s="547" t="s">
        <v>800</v>
      </c>
      <c r="V1215" s="547"/>
      <c r="W1215" s="99"/>
      <c r="X1215" s="620" t="s">
        <v>922</v>
      </c>
      <c r="Y1215" s="620" t="s">
        <v>884</v>
      </c>
      <c r="Z1215" s="159"/>
      <c r="AA1215" s="6301"/>
      <c r="AB1215" s="139"/>
      <c r="AC1215" s="139"/>
      <c r="AD1215" s="139"/>
      <c r="AE1215" s="139"/>
      <c r="AF1215" s="139"/>
      <c r="AG1215" s="139"/>
      <c r="AH1215" s="139"/>
      <c r="AI1215" s="139"/>
      <c r="AJ1215" s="139"/>
      <c r="AK1215" s="139"/>
      <c r="AL1215" s="139"/>
      <c r="AM1215" s="139"/>
      <c r="AN1215" s="139"/>
      <c r="AO1215" s="139"/>
      <c r="AP1215" s="139"/>
      <c r="AQ1215" s="139"/>
      <c r="AR1215" s="139"/>
      <c r="AS1215" s="139"/>
      <c r="AT1215" s="139"/>
      <c r="AU1215" s="139"/>
      <c r="AV1215" s="139"/>
      <c r="AW1215" s="139"/>
      <c r="AX1215" s="139"/>
      <c r="AY1215" s="139"/>
      <c r="AZ1215" s="139"/>
      <c r="BA1215" s="139"/>
      <c r="BB1215" s="139"/>
      <c r="BC1215" s="139"/>
      <c r="BD1215" s="139"/>
      <c r="BE1215" s="139"/>
      <c r="BF1215" s="139"/>
      <c r="BG1215" s="139"/>
      <c r="BH1215" s="139"/>
    </row>
    <row r="1216" spans="2:60" s="11" customFormat="1" ht="20.100000000000001" customHeight="1">
      <c r="B1216" s="1360"/>
      <c r="C1216" s="5598"/>
      <c r="D1216" s="9598" t="s">
        <v>134</v>
      </c>
      <c r="E1216" s="9600"/>
      <c r="F1216" s="492" t="s">
        <v>732</v>
      </c>
      <c r="G1216" s="666"/>
      <c r="H1216" s="684"/>
      <c r="I1216" s="9579" t="s">
        <v>135</v>
      </c>
      <c r="J1216" s="9581"/>
      <c r="K1216" s="132" t="s">
        <v>734</v>
      </c>
      <c r="L1216" s="5594">
        <v>1683</v>
      </c>
      <c r="M1216" s="5671" t="s">
        <v>746</v>
      </c>
      <c r="N1216" s="5724">
        <v>3659</v>
      </c>
      <c r="O1216" s="5680" t="s">
        <v>747</v>
      </c>
      <c r="P1216" s="5854">
        <v>4274</v>
      </c>
      <c r="Q1216" s="5678" t="s">
        <v>746</v>
      </c>
      <c r="R1216" s="2468"/>
      <c r="S1216" s="544"/>
      <c r="T1216" s="545"/>
      <c r="U1216" s="546"/>
      <c r="V1216" s="547"/>
      <c r="W1216" s="548"/>
      <c r="X1216" s="277"/>
      <c r="Y1216" s="277"/>
      <c r="Z1216" s="187"/>
      <c r="AA1216" s="6301"/>
      <c r="AB1216" s="139"/>
      <c r="AC1216" s="139"/>
      <c r="AD1216" s="139"/>
      <c r="AE1216" s="139"/>
      <c r="AF1216" s="139"/>
      <c r="AG1216" s="139"/>
      <c r="AH1216" s="139"/>
      <c r="AI1216" s="139"/>
      <c r="AJ1216" s="139"/>
      <c r="AK1216" s="139"/>
      <c r="AL1216" s="139"/>
      <c r="AM1216" s="139"/>
      <c r="AN1216" s="139"/>
      <c r="AO1216" s="139"/>
      <c r="AP1216" s="139"/>
      <c r="AQ1216" s="139"/>
      <c r="AR1216" s="139"/>
      <c r="AS1216" s="139"/>
      <c r="AT1216" s="139"/>
      <c r="AU1216" s="139"/>
      <c r="AV1216" s="139"/>
      <c r="AW1216" s="139"/>
      <c r="AX1216" s="139"/>
      <c r="AY1216" s="139"/>
      <c r="AZ1216" s="139"/>
      <c r="BA1216" s="139"/>
      <c r="BB1216" s="139"/>
      <c r="BC1216" s="139"/>
      <c r="BD1216" s="139"/>
      <c r="BE1216" s="139"/>
      <c r="BF1216" s="139"/>
      <c r="BG1216" s="139"/>
      <c r="BH1216" s="139"/>
    </row>
    <row r="1217" spans="2:60" s="11" customFormat="1" ht="20.100000000000001" customHeight="1">
      <c r="B1217" s="1360"/>
      <c r="C1217" s="5598"/>
      <c r="D1217" s="9598" t="s">
        <v>137</v>
      </c>
      <c r="E1217" s="9600"/>
      <c r="F1217" s="492" t="s">
        <v>732</v>
      </c>
      <c r="G1217" s="666"/>
      <c r="H1217" s="684"/>
      <c r="I1217" s="9579" t="s">
        <v>138</v>
      </c>
      <c r="J1217" s="9581"/>
      <c r="K1217" s="132" t="s">
        <v>734</v>
      </c>
      <c r="L1217" s="5594">
        <v>49</v>
      </c>
      <c r="M1217" s="5671"/>
      <c r="N1217" s="5671">
        <v>35</v>
      </c>
      <c r="O1217" s="5671"/>
      <c r="P1217" s="5671">
        <v>35</v>
      </c>
      <c r="Q1217" s="5678"/>
      <c r="R1217" s="2468"/>
      <c r="S1217" s="544"/>
      <c r="T1217" s="545"/>
      <c r="U1217" s="546"/>
      <c r="V1217" s="547"/>
      <c r="W1217" s="548"/>
      <c r="X1217" s="277"/>
      <c r="Y1217" s="277"/>
      <c r="Z1217" s="187"/>
      <c r="AA1217" s="6301"/>
      <c r="AB1217" s="139"/>
      <c r="AC1217" s="139"/>
      <c r="AD1217" s="139"/>
      <c r="AE1217" s="139"/>
      <c r="AF1217" s="139"/>
      <c r="AG1217" s="139"/>
      <c r="AH1217" s="139"/>
      <c r="AI1217" s="139"/>
      <c r="AJ1217" s="139"/>
      <c r="AK1217" s="139"/>
      <c r="AL1217" s="139"/>
      <c r="AM1217" s="139"/>
      <c r="AN1217" s="139"/>
      <c r="AO1217" s="139"/>
      <c r="AP1217" s="139"/>
      <c r="AQ1217" s="139"/>
      <c r="AR1217" s="139"/>
      <c r="AS1217" s="139"/>
      <c r="AT1217" s="139"/>
      <c r="AU1217" s="139"/>
      <c r="AV1217" s="139"/>
      <c r="AW1217" s="139"/>
      <c r="AX1217" s="139"/>
      <c r="AY1217" s="139"/>
      <c r="AZ1217" s="139"/>
      <c r="BA1217" s="139"/>
      <c r="BB1217" s="139"/>
      <c r="BC1217" s="139"/>
      <c r="BD1217" s="139"/>
      <c r="BE1217" s="139"/>
      <c r="BF1217" s="139"/>
      <c r="BG1217" s="139"/>
      <c r="BH1217" s="139"/>
    </row>
    <row r="1218" spans="2:60" s="11" customFormat="1" ht="20.100000000000001" customHeight="1">
      <c r="B1218" s="1360"/>
      <c r="C1218" s="5598"/>
      <c r="D1218" s="9598" t="s">
        <v>140</v>
      </c>
      <c r="E1218" s="9600"/>
      <c r="F1218" s="492" t="s">
        <v>732</v>
      </c>
      <c r="G1218" s="666"/>
      <c r="H1218" s="684"/>
      <c r="I1218" s="9582" t="s">
        <v>141</v>
      </c>
      <c r="J1218" s="9583"/>
      <c r="K1218" s="132" t="s">
        <v>734</v>
      </c>
      <c r="L1218" s="5594">
        <v>202</v>
      </c>
      <c r="M1218" s="5671" t="s">
        <v>748</v>
      </c>
      <c r="N1218" s="5724">
        <v>84</v>
      </c>
      <c r="O1218" s="5680" t="s">
        <v>748</v>
      </c>
      <c r="P1218" s="5725">
        <v>97</v>
      </c>
      <c r="Q1218" s="5678" t="s">
        <v>748</v>
      </c>
      <c r="R1218" s="2468"/>
      <c r="S1218" s="544"/>
      <c r="T1218" s="545"/>
      <c r="U1218" s="546"/>
      <c r="V1218" s="547"/>
      <c r="W1218" s="548"/>
      <c r="X1218" s="277"/>
      <c r="Y1218" s="277"/>
      <c r="Z1218" s="187"/>
      <c r="AA1218" s="6301"/>
      <c r="AB1218" s="139"/>
      <c r="AC1218" s="139"/>
      <c r="AD1218" s="139"/>
      <c r="AE1218" s="139"/>
      <c r="AF1218" s="139"/>
      <c r="AG1218" s="139"/>
      <c r="AH1218" s="139"/>
      <c r="AI1218" s="139"/>
      <c r="AJ1218" s="139"/>
      <c r="AK1218" s="139"/>
      <c r="AL1218" s="139"/>
      <c r="AM1218" s="139"/>
      <c r="AN1218" s="139"/>
      <c r="AO1218" s="139"/>
      <c r="AP1218" s="139"/>
      <c r="AQ1218" s="139"/>
      <c r="AR1218" s="139"/>
      <c r="AS1218" s="139"/>
      <c r="AT1218" s="139"/>
      <c r="AU1218" s="139"/>
      <c r="AV1218" s="139"/>
      <c r="AW1218" s="139"/>
      <c r="AX1218" s="139"/>
      <c r="AY1218" s="139"/>
      <c r="AZ1218" s="139"/>
      <c r="BA1218" s="139"/>
      <c r="BB1218" s="139"/>
      <c r="BC1218" s="139"/>
      <c r="BD1218" s="139"/>
      <c r="BE1218" s="139"/>
      <c r="BF1218" s="139"/>
      <c r="BG1218" s="139"/>
      <c r="BH1218" s="139"/>
    </row>
    <row r="1219" spans="2:60" s="11" customFormat="1" ht="20.100000000000001" customHeight="1">
      <c r="B1219" s="1360"/>
      <c r="C1219" s="5598"/>
      <c r="D1219" s="9598" t="s">
        <v>143</v>
      </c>
      <c r="E1219" s="9600"/>
      <c r="F1219" s="492" t="s">
        <v>732</v>
      </c>
      <c r="G1219" s="666"/>
      <c r="H1219" s="684"/>
      <c r="I1219" s="9582" t="s">
        <v>144</v>
      </c>
      <c r="J1219" s="9583"/>
      <c r="K1219" s="132" t="s">
        <v>734</v>
      </c>
      <c r="L1219" s="5594">
        <v>1212</v>
      </c>
      <c r="M1219" s="5671" t="s">
        <v>801</v>
      </c>
      <c r="N1219" s="5724">
        <v>2112</v>
      </c>
      <c r="O1219" s="5680" t="s">
        <v>801</v>
      </c>
      <c r="P1219" s="5725">
        <v>2038</v>
      </c>
      <c r="Q1219" s="5678"/>
      <c r="R1219" s="2468"/>
      <c r="S1219" s="544"/>
      <c r="T1219" s="545"/>
      <c r="U1219" s="546"/>
      <c r="V1219" s="547"/>
      <c r="W1219" s="548"/>
      <c r="X1219" s="277"/>
      <c r="Y1219" s="277"/>
      <c r="Z1219" s="187"/>
      <c r="AA1219" s="6301"/>
      <c r="AB1219" s="139"/>
      <c r="AC1219" s="139"/>
      <c r="AD1219" s="139"/>
      <c r="AE1219" s="139"/>
      <c r="AF1219" s="139"/>
      <c r="AG1219" s="139"/>
      <c r="AH1219" s="139"/>
      <c r="AI1219" s="139"/>
      <c r="AJ1219" s="139"/>
      <c r="AK1219" s="139"/>
      <c r="AL1219" s="139"/>
      <c r="AM1219" s="139"/>
      <c r="AN1219" s="139"/>
      <c r="AO1219" s="139"/>
      <c r="AP1219" s="139"/>
      <c r="AQ1219" s="139"/>
      <c r="AR1219" s="139"/>
      <c r="AS1219" s="139"/>
      <c r="AT1219" s="139"/>
      <c r="AU1219" s="139"/>
      <c r="AV1219" s="139"/>
      <c r="AW1219" s="139"/>
      <c r="AX1219" s="139"/>
      <c r="AY1219" s="139"/>
      <c r="AZ1219" s="139"/>
      <c r="BA1219" s="139"/>
      <c r="BB1219" s="139"/>
      <c r="BC1219" s="139"/>
      <c r="BD1219" s="139"/>
      <c r="BE1219" s="139"/>
      <c r="BF1219" s="139"/>
      <c r="BG1219" s="139"/>
      <c r="BH1219" s="139"/>
    </row>
    <row r="1220" spans="2:60" s="11" customFormat="1" ht="20.100000000000001" customHeight="1">
      <c r="B1220" s="1360"/>
      <c r="C1220" s="5598"/>
      <c r="D1220" s="9598" t="s">
        <v>631</v>
      </c>
      <c r="E1220" s="9600"/>
      <c r="F1220" s="492" t="s">
        <v>732</v>
      </c>
      <c r="G1220" s="666"/>
      <c r="H1220" s="684"/>
      <c r="I1220" s="9582" t="s">
        <v>147</v>
      </c>
      <c r="J1220" s="9583"/>
      <c r="K1220" s="132" t="s">
        <v>734</v>
      </c>
      <c r="L1220" s="5594">
        <v>103</v>
      </c>
      <c r="M1220" s="5671" t="s">
        <v>751</v>
      </c>
      <c r="N1220" s="5724">
        <v>74</v>
      </c>
      <c r="O1220" s="5680" t="s">
        <v>751</v>
      </c>
      <c r="P1220" s="5725">
        <v>75</v>
      </c>
      <c r="Q1220" s="5678"/>
      <c r="R1220" s="2468"/>
      <c r="S1220" s="544"/>
      <c r="T1220" s="545"/>
      <c r="U1220" s="546"/>
      <c r="V1220" s="547"/>
      <c r="W1220" s="548"/>
      <c r="X1220" s="277"/>
      <c r="Y1220" s="277"/>
      <c r="Z1220" s="187"/>
      <c r="AA1220" s="6301"/>
      <c r="AB1220" s="139"/>
      <c r="AC1220" s="139"/>
      <c r="AD1220" s="139"/>
      <c r="AE1220" s="139"/>
      <c r="AF1220" s="139"/>
      <c r="AG1220" s="139"/>
      <c r="AH1220" s="139"/>
      <c r="AI1220" s="139"/>
      <c r="AJ1220" s="139"/>
      <c r="AK1220" s="139"/>
      <c r="AL1220" s="139"/>
      <c r="AM1220" s="139"/>
      <c r="AN1220" s="139"/>
      <c r="AO1220" s="139"/>
      <c r="AP1220" s="139"/>
      <c r="AQ1220" s="139"/>
      <c r="AR1220" s="139"/>
      <c r="AS1220" s="139"/>
      <c r="AT1220" s="139"/>
      <c r="AU1220" s="139"/>
      <c r="AV1220" s="139"/>
      <c r="AW1220" s="139"/>
      <c r="AX1220" s="139"/>
      <c r="AY1220" s="139"/>
      <c r="AZ1220" s="139"/>
      <c r="BA1220" s="139"/>
      <c r="BB1220" s="139"/>
      <c r="BC1220" s="139"/>
      <c r="BD1220" s="139"/>
      <c r="BE1220" s="139"/>
      <c r="BF1220" s="139"/>
      <c r="BG1220" s="139"/>
      <c r="BH1220" s="139"/>
    </row>
    <row r="1221" spans="2:60" s="11" customFormat="1" ht="20.100000000000001" customHeight="1">
      <c r="B1221" s="1360"/>
      <c r="C1221" s="5598"/>
      <c r="D1221" s="9598" t="s">
        <v>633</v>
      </c>
      <c r="E1221" s="9600"/>
      <c r="F1221" s="492" t="s">
        <v>732</v>
      </c>
      <c r="G1221" s="666"/>
      <c r="H1221" s="684"/>
      <c r="I1221" s="9582" t="s">
        <v>150</v>
      </c>
      <c r="J1221" s="9583"/>
      <c r="K1221" s="132" t="s">
        <v>734</v>
      </c>
      <c r="L1221" s="5594">
        <v>675</v>
      </c>
      <c r="M1221" s="5671"/>
      <c r="N1221" s="5724">
        <v>713</v>
      </c>
      <c r="O1221" s="5680"/>
      <c r="P1221" s="5725">
        <v>793</v>
      </c>
      <c r="Q1221" s="5678"/>
      <c r="R1221" s="2468"/>
      <c r="S1221" s="544"/>
      <c r="T1221" s="545"/>
      <c r="U1221" s="546"/>
      <c r="V1221" s="547"/>
      <c r="W1221" s="548"/>
      <c r="X1221" s="277"/>
      <c r="Y1221" s="277"/>
      <c r="Z1221" s="187"/>
      <c r="AA1221" s="6301"/>
      <c r="AB1221" s="139"/>
      <c r="AC1221" s="139"/>
      <c r="AD1221" s="139"/>
      <c r="AE1221" s="139"/>
      <c r="AF1221" s="139"/>
      <c r="AG1221" s="139"/>
      <c r="AH1221" s="139"/>
      <c r="AI1221" s="139"/>
      <c r="AJ1221" s="139"/>
      <c r="AK1221" s="139"/>
      <c r="AL1221" s="139"/>
      <c r="AM1221" s="139"/>
      <c r="AN1221" s="139"/>
      <c r="AO1221" s="139"/>
      <c r="AP1221" s="139"/>
      <c r="AQ1221" s="139"/>
      <c r="AR1221" s="139"/>
      <c r="AS1221" s="139"/>
      <c r="AT1221" s="139"/>
      <c r="AU1221" s="139"/>
      <c r="AV1221" s="139"/>
      <c r="AW1221" s="139"/>
      <c r="AX1221" s="139"/>
      <c r="AY1221" s="139"/>
      <c r="AZ1221" s="139"/>
      <c r="BA1221" s="139"/>
      <c r="BB1221" s="139"/>
      <c r="BC1221" s="139"/>
      <c r="BD1221" s="139"/>
      <c r="BE1221" s="139"/>
      <c r="BF1221" s="139"/>
      <c r="BG1221" s="139"/>
      <c r="BH1221" s="139"/>
    </row>
    <row r="1222" spans="2:60" s="11" customFormat="1" ht="20.100000000000001" customHeight="1">
      <c r="B1222" s="1360"/>
      <c r="C1222" s="1375"/>
      <c r="D1222" s="9584" t="s">
        <v>923</v>
      </c>
      <c r="E1222" s="9585"/>
      <c r="F1222" s="285" t="s">
        <v>742</v>
      </c>
      <c r="G1222" s="286"/>
      <c r="H1222" s="1776"/>
      <c r="I1222" s="9584" t="s">
        <v>924</v>
      </c>
      <c r="J1222" s="9585"/>
      <c r="K1222" s="132" t="s">
        <v>734</v>
      </c>
      <c r="L1222" s="5783">
        <f>IF(COUNTBLANK(L1223:L1228)&gt;0,"미취합법인有",SUM(L1223:L1228))</f>
        <v>1902</v>
      </c>
      <c r="M1222" s="5784"/>
      <c r="N1222" s="5785">
        <f>IF(COUNTBLANK(N1223:N1228)&gt;0,"미취합법인有",SUM(N1223:N1228))</f>
        <v>1731</v>
      </c>
      <c r="O1222" s="5945"/>
      <c r="P1222" s="5781">
        <f>IF(COUNTBLANK(P1223:P1228)&gt;0,"미취합법인有",SUM(P1223:P1228))</f>
        <v>1847</v>
      </c>
      <c r="Q1222" s="785"/>
      <c r="R1222" s="2472"/>
      <c r="S1222" s="457"/>
      <c r="T1222" s="99" t="s">
        <v>737</v>
      </c>
      <c r="U1222" s="547" t="s">
        <v>800</v>
      </c>
      <c r="V1222" s="547"/>
      <c r="W1222" s="99"/>
      <c r="X1222" s="620" t="s">
        <v>919</v>
      </c>
      <c r="Y1222" s="620" t="s">
        <v>884</v>
      </c>
      <c r="Z1222" s="159"/>
      <c r="AA1222" s="6301"/>
      <c r="AB1222" s="139"/>
      <c r="AC1222" s="139"/>
      <c r="AD1222" s="139"/>
      <c r="AE1222" s="139"/>
      <c r="AF1222" s="139"/>
      <c r="AG1222" s="139"/>
      <c r="AH1222" s="139"/>
      <c r="AI1222" s="139"/>
      <c r="AJ1222" s="139"/>
      <c r="AK1222" s="139"/>
      <c r="AL1222" s="139"/>
      <c r="AM1222" s="139"/>
      <c r="AN1222" s="139"/>
      <c r="AO1222" s="139"/>
      <c r="AP1222" s="139"/>
      <c r="AQ1222" s="139"/>
      <c r="AR1222" s="139"/>
      <c r="AS1222" s="139"/>
      <c r="AT1222" s="139"/>
      <c r="AU1222" s="139"/>
      <c r="AV1222" s="139"/>
      <c r="AW1222" s="139"/>
      <c r="AX1222" s="139"/>
      <c r="AY1222" s="139"/>
      <c r="AZ1222" s="139"/>
      <c r="BA1222" s="139"/>
      <c r="BB1222" s="139"/>
      <c r="BC1222" s="139"/>
      <c r="BD1222" s="139"/>
      <c r="BE1222" s="139"/>
      <c r="BF1222" s="139"/>
      <c r="BG1222" s="139"/>
      <c r="BH1222" s="139"/>
    </row>
    <row r="1223" spans="2:60" s="11" customFormat="1" ht="20.100000000000001" customHeight="1">
      <c r="B1223" s="1360"/>
      <c r="C1223" s="5598"/>
      <c r="D1223" s="9598" t="s">
        <v>134</v>
      </c>
      <c r="E1223" s="9600"/>
      <c r="F1223" s="492" t="s">
        <v>732</v>
      </c>
      <c r="G1223" s="666"/>
      <c r="H1223" s="684"/>
      <c r="I1223" s="9579" t="s">
        <v>135</v>
      </c>
      <c r="J1223" s="9581"/>
      <c r="K1223" s="132" t="s">
        <v>734</v>
      </c>
      <c r="L1223" s="5594">
        <v>1558</v>
      </c>
      <c r="M1223" s="5671" t="s">
        <v>746</v>
      </c>
      <c r="N1223" s="5724">
        <v>1420</v>
      </c>
      <c r="O1223" s="5680" t="s">
        <v>747</v>
      </c>
      <c r="P1223" s="5854">
        <v>1581</v>
      </c>
      <c r="Q1223" s="5678" t="s">
        <v>746</v>
      </c>
      <c r="R1223" s="2468"/>
      <c r="S1223" s="544"/>
      <c r="T1223" s="545"/>
      <c r="U1223" s="546"/>
      <c r="V1223" s="547"/>
      <c r="W1223" s="548"/>
      <c r="X1223" s="277"/>
      <c r="Y1223" s="277"/>
      <c r="Z1223" s="187"/>
      <c r="AA1223" s="6301"/>
      <c r="AB1223" s="139"/>
      <c r="AC1223" s="139"/>
      <c r="AD1223" s="139"/>
      <c r="AE1223" s="139"/>
      <c r="AF1223" s="139"/>
      <c r="AG1223" s="139"/>
      <c r="AH1223" s="139"/>
      <c r="AI1223" s="139"/>
      <c r="AJ1223" s="139"/>
      <c r="AK1223" s="139"/>
      <c r="AL1223" s="139"/>
      <c r="AM1223" s="139"/>
      <c r="AN1223" s="139"/>
      <c r="AO1223" s="139"/>
      <c r="AP1223" s="139"/>
      <c r="AQ1223" s="139"/>
      <c r="AR1223" s="139"/>
      <c r="AS1223" s="139"/>
      <c r="AT1223" s="139"/>
      <c r="AU1223" s="139"/>
      <c r="AV1223" s="139"/>
      <c r="AW1223" s="139"/>
      <c r="AX1223" s="139"/>
      <c r="AY1223" s="139"/>
      <c r="AZ1223" s="139"/>
      <c r="BA1223" s="139"/>
      <c r="BB1223" s="139"/>
      <c r="BC1223" s="139"/>
      <c r="BD1223" s="139"/>
      <c r="BE1223" s="139"/>
      <c r="BF1223" s="139"/>
      <c r="BG1223" s="139"/>
      <c r="BH1223" s="139"/>
    </row>
    <row r="1224" spans="2:60" s="11" customFormat="1" ht="20.100000000000001" customHeight="1">
      <c r="B1224" s="1360"/>
      <c r="C1224" s="5598"/>
      <c r="D1224" s="9598" t="s">
        <v>137</v>
      </c>
      <c r="E1224" s="9600"/>
      <c r="F1224" s="492" t="s">
        <v>732</v>
      </c>
      <c r="G1224" s="666"/>
      <c r="H1224" s="684"/>
      <c r="I1224" s="9579" t="s">
        <v>138</v>
      </c>
      <c r="J1224" s="9581"/>
      <c r="K1224" s="132" t="s">
        <v>734</v>
      </c>
      <c r="L1224" s="5594">
        <v>22</v>
      </c>
      <c r="M1224" s="5671"/>
      <c r="N1224" s="5724">
        <v>9</v>
      </c>
      <c r="O1224" s="5680"/>
      <c r="P1224" s="5725">
        <v>12</v>
      </c>
      <c r="Q1224" s="5678"/>
      <c r="R1224" s="2468"/>
      <c r="S1224" s="544"/>
      <c r="T1224" s="545"/>
      <c r="U1224" s="546"/>
      <c r="V1224" s="547"/>
      <c r="W1224" s="548"/>
      <c r="X1224" s="277"/>
      <c r="Y1224" s="277"/>
      <c r="Z1224" s="187"/>
      <c r="AA1224" s="6301"/>
      <c r="AB1224" s="139"/>
      <c r="AC1224" s="139"/>
      <c r="AD1224" s="139"/>
      <c r="AE1224" s="139"/>
      <c r="AF1224" s="139"/>
      <c r="AG1224" s="139"/>
      <c r="AH1224" s="139"/>
      <c r="AI1224" s="139"/>
      <c r="AJ1224" s="139"/>
      <c r="AK1224" s="139"/>
      <c r="AL1224" s="139"/>
      <c r="AM1224" s="139"/>
      <c r="AN1224" s="139"/>
      <c r="AO1224" s="139"/>
      <c r="AP1224" s="139"/>
      <c r="AQ1224" s="139"/>
      <c r="AR1224" s="139"/>
      <c r="AS1224" s="139"/>
      <c r="AT1224" s="139"/>
      <c r="AU1224" s="139"/>
      <c r="AV1224" s="139"/>
      <c r="AW1224" s="139"/>
      <c r="AX1224" s="139"/>
      <c r="AY1224" s="139"/>
      <c r="AZ1224" s="139"/>
      <c r="BA1224" s="139"/>
      <c r="BB1224" s="139"/>
      <c r="BC1224" s="139"/>
      <c r="BD1224" s="139"/>
      <c r="BE1224" s="139"/>
      <c r="BF1224" s="139"/>
      <c r="BG1224" s="139"/>
      <c r="BH1224" s="139"/>
    </row>
    <row r="1225" spans="2:60" s="11" customFormat="1" ht="20.100000000000001" customHeight="1">
      <c r="B1225" s="1360"/>
      <c r="C1225" s="5598"/>
      <c r="D1225" s="9598" t="s">
        <v>140</v>
      </c>
      <c r="E1225" s="9600"/>
      <c r="F1225" s="492" t="s">
        <v>732</v>
      </c>
      <c r="G1225" s="666"/>
      <c r="H1225" s="684"/>
      <c r="I1225" s="9582" t="s">
        <v>141</v>
      </c>
      <c r="J1225" s="9583"/>
      <c r="K1225" s="132" t="s">
        <v>734</v>
      </c>
      <c r="L1225" s="5594">
        <v>235</v>
      </c>
      <c r="M1225" s="5671" t="s">
        <v>748</v>
      </c>
      <c r="N1225" s="5724">
        <v>147</v>
      </c>
      <c r="O1225" s="5680" t="s">
        <v>748</v>
      </c>
      <c r="P1225" s="5725">
        <v>148</v>
      </c>
      <c r="Q1225" s="5678" t="s">
        <v>748</v>
      </c>
      <c r="R1225" s="2468"/>
      <c r="S1225" s="544"/>
      <c r="T1225" s="545"/>
      <c r="U1225" s="546"/>
      <c r="V1225" s="547"/>
      <c r="W1225" s="548"/>
      <c r="X1225" s="277"/>
      <c r="Y1225" s="277"/>
      <c r="Z1225" s="187"/>
      <c r="AA1225" s="6301"/>
      <c r="AB1225" s="139"/>
      <c r="AC1225" s="139"/>
      <c r="AD1225" s="139"/>
      <c r="AE1225" s="139"/>
      <c r="AF1225" s="139"/>
      <c r="AG1225" s="139"/>
      <c r="AH1225" s="139"/>
      <c r="AI1225" s="139"/>
      <c r="AJ1225" s="139"/>
      <c r="AK1225" s="139"/>
      <c r="AL1225" s="139"/>
      <c r="AM1225" s="139"/>
      <c r="AN1225" s="139"/>
      <c r="AO1225" s="139"/>
      <c r="AP1225" s="139"/>
      <c r="AQ1225" s="139"/>
      <c r="AR1225" s="139"/>
      <c r="AS1225" s="139"/>
      <c r="AT1225" s="139"/>
      <c r="AU1225" s="139"/>
      <c r="AV1225" s="139"/>
      <c r="AW1225" s="139"/>
      <c r="AX1225" s="139"/>
      <c r="AY1225" s="139"/>
      <c r="AZ1225" s="139"/>
      <c r="BA1225" s="139"/>
      <c r="BB1225" s="139"/>
      <c r="BC1225" s="139"/>
      <c r="BD1225" s="139"/>
      <c r="BE1225" s="139"/>
      <c r="BF1225" s="139"/>
      <c r="BG1225" s="139"/>
      <c r="BH1225" s="139"/>
    </row>
    <row r="1226" spans="2:60" s="11" customFormat="1" ht="20.100000000000001" customHeight="1">
      <c r="B1226" s="1360"/>
      <c r="C1226" s="5598"/>
      <c r="D1226" s="9598" t="s">
        <v>143</v>
      </c>
      <c r="E1226" s="9600"/>
      <c r="F1226" s="492" t="s">
        <v>732</v>
      </c>
      <c r="G1226" s="666"/>
      <c r="H1226" s="684"/>
      <c r="I1226" s="9582" t="s">
        <v>144</v>
      </c>
      <c r="J1226" s="9583"/>
      <c r="K1226" s="132" t="s">
        <v>734</v>
      </c>
      <c r="L1226" s="5594">
        <v>29</v>
      </c>
      <c r="M1226" s="5671" t="s">
        <v>801</v>
      </c>
      <c r="N1226" s="5724">
        <v>10</v>
      </c>
      <c r="O1226" s="5680" t="s">
        <v>801</v>
      </c>
      <c r="P1226" s="5725">
        <v>12</v>
      </c>
      <c r="Q1226" s="5678"/>
      <c r="R1226" s="2468"/>
      <c r="S1226" s="544"/>
      <c r="T1226" s="545"/>
      <c r="U1226" s="546"/>
      <c r="V1226" s="547"/>
      <c r="W1226" s="548"/>
      <c r="X1226" s="277"/>
      <c r="Y1226" s="277"/>
      <c r="Z1226" s="187"/>
      <c r="AA1226" s="6301"/>
      <c r="AB1226" s="139"/>
      <c r="AC1226" s="139"/>
      <c r="AD1226" s="139"/>
      <c r="AE1226" s="139"/>
      <c r="AF1226" s="139"/>
      <c r="AG1226" s="139"/>
      <c r="AH1226" s="139"/>
      <c r="AI1226" s="139"/>
      <c r="AJ1226" s="139"/>
      <c r="AK1226" s="139"/>
      <c r="AL1226" s="139"/>
      <c r="AM1226" s="139"/>
      <c r="AN1226" s="139"/>
      <c r="AO1226" s="139"/>
      <c r="AP1226" s="139"/>
      <c r="AQ1226" s="139"/>
      <c r="AR1226" s="139"/>
      <c r="AS1226" s="139"/>
      <c r="AT1226" s="139"/>
      <c r="AU1226" s="139"/>
      <c r="AV1226" s="139"/>
      <c r="AW1226" s="139"/>
      <c r="AX1226" s="139"/>
      <c r="AY1226" s="139"/>
      <c r="AZ1226" s="139"/>
      <c r="BA1226" s="139"/>
      <c r="BB1226" s="139"/>
      <c r="BC1226" s="139"/>
      <c r="BD1226" s="139"/>
      <c r="BE1226" s="139"/>
      <c r="BF1226" s="139"/>
      <c r="BG1226" s="139"/>
      <c r="BH1226" s="139"/>
    </row>
    <row r="1227" spans="2:60" s="11" customFormat="1" ht="20.100000000000001" customHeight="1">
      <c r="B1227" s="1360"/>
      <c r="C1227" s="5598"/>
      <c r="D1227" s="9598" t="s">
        <v>631</v>
      </c>
      <c r="E1227" s="9600"/>
      <c r="F1227" s="492" t="s">
        <v>732</v>
      </c>
      <c r="G1227" s="666"/>
      <c r="H1227" s="684"/>
      <c r="I1227" s="9582" t="s">
        <v>147</v>
      </c>
      <c r="J1227" s="9583"/>
      <c r="K1227" s="132" t="s">
        <v>734</v>
      </c>
      <c r="L1227" s="5594">
        <v>0</v>
      </c>
      <c r="M1227" s="5671" t="s">
        <v>751</v>
      </c>
      <c r="N1227" s="5724">
        <v>0</v>
      </c>
      <c r="O1227" s="5680" t="s">
        <v>751</v>
      </c>
      <c r="P1227" s="5725">
        <v>0</v>
      </c>
      <c r="Q1227" s="5678"/>
      <c r="R1227" s="2468"/>
      <c r="S1227" s="4849"/>
      <c r="T1227" s="545"/>
      <c r="U1227" s="546"/>
      <c r="V1227" s="547"/>
      <c r="W1227" s="548"/>
      <c r="X1227" s="277"/>
      <c r="Y1227" s="277"/>
      <c r="Z1227" s="187"/>
      <c r="AA1227" s="6301"/>
      <c r="AB1227" s="139"/>
      <c r="AC1227" s="139"/>
      <c r="AD1227" s="139"/>
      <c r="AE1227" s="139"/>
      <c r="AF1227" s="139"/>
      <c r="AG1227" s="139"/>
      <c r="AH1227" s="139"/>
      <c r="AI1227" s="139"/>
      <c r="AJ1227" s="139"/>
      <c r="AK1227" s="139"/>
      <c r="AL1227" s="139"/>
      <c r="AM1227" s="139"/>
      <c r="AN1227" s="139"/>
      <c r="AO1227" s="139"/>
      <c r="AP1227" s="139"/>
      <c r="AQ1227" s="139"/>
      <c r="AR1227" s="139"/>
      <c r="AS1227" s="139"/>
      <c r="AT1227" s="139"/>
      <c r="AU1227" s="139"/>
      <c r="AV1227" s="139"/>
      <c r="AW1227" s="139"/>
      <c r="AX1227" s="139"/>
      <c r="AY1227" s="139"/>
      <c r="AZ1227" s="139"/>
      <c r="BA1227" s="139"/>
      <c r="BB1227" s="139"/>
      <c r="BC1227" s="139"/>
      <c r="BD1227" s="139"/>
      <c r="BE1227" s="139"/>
      <c r="BF1227" s="139"/>
      <c r="BG1227" s="139"/>
      <c r="BH1227" s="139"/>
    </row>
    <row r="1228" spans="2:60" s="11" customFormat="1" ht="20.100000000000001" customHeight="1">
      <c r="B1228" s="1360"/>
      <c r="C1228" s="5598"/>
      <c r="D1228" s="9598" t="s">
        <v>633</v>
      </c>
      <c r="E1228" s="9600"/>
      <c r="F1228" s="492" t="s">
        <v>732</v>
      </c>
      <c r="G1228" s="746"/>
      <c r="H1228" s="6175"/>
      <c r="I1228" s="9582" t="s">
        <v>150</v>
      </c>
      <c r="J1228" s="9583"/>
      <c r="K1228" s="132" t="s">
        <v>734</v>
      </c>
      <c r="L1228" s="5594">
        <v>58</v>
      </c>
      <c r="M1228" s="5671"/>
      <c r="N1228" s="5724">
        <v>145</v>
      </c>
      <c r="O1228" s="5680"/>
      <c r="P1228" s="5725">
        <v>94</v>
      </c>
      <c r="Q1228" s="5678"/>
      <c r="R1228" s="2468"/>
      <c r="S1228" s="4849"/>
      <c r="T1228" s="545"/>
      <c r="U1228" s="546"/>
      <c r="V1228" s="547"/>
      <c r="W1228" s="548"/>
      <c r="X1228" s="277"/>
      <c r="Y1228" s="277"/>
      <c r="Z1228" s="187"/>
      <c r="AA1228" s="6301"/>
      <c r="AB1228" s="139"/>
      <c r="AC1228" s="139"/>
      <c r="AD1228" s="139"/>
      <c r="AE1228" s="139"/>
      <c r="AF1228" s="139"/>
      <c r="AG1228" s="139"/>
      <c r="AH1228" s="139"/>
      <c r="AI1228" s="139"/>
      <c r="AJ1228" s="139"/>
      <c r="AK1228" s="139"/>
      <c r="AL1228" s="139"/>
      <c r="AM1228" s="139"/>
      <c r="AN1228" s="139"/>
      <c r="AO1228" s="139"/>
      <c r="AP1228" s="139"/>
      <c r="AQ1228" s="139"/>
      <c r="AR1228" s="139"/>
      <c r="AS1228" s="139"/>
      <c r="AT1228" s="139"/>
      <c r="AU1228" s="139"/>
      <c r="AV1228" s="139"/>
      <c r="AW1228" s="139"/>
      <c r="AX1228" s="139"/>
      <c r="AY1228" s="139"/>
      <c r="AZ1228" s="139"/>
      <c r="BA1228" s="139"/>
      <c r="BB1228" s="139"/>
      <c r="BC1228" s="139"/>
      <c r="BD1228" s="139"/>
      <c r="BE1228" s="139"/>
      <c r="BF1228" s="139"/>
      <c r="BG1228" s="139"/>
      <c r="BH1228" s="139"/>
    </row>
    <row r="1229" spans="2:60" s="11" customFormat="1" ht="20.100000000000001" customHeight="1">
      <c r="B1229" s="1360"/>
      <c r="C1229" s="9690" t="s">
        <v>925</v>
      </c>
      <c r="D1229" s="9691"/>
      <c r="E1229" s="9691"/>
      <c r="F1229" s="9691"/>
      <c r="G1229" s="9691"/>
      <c r="H1229" s="9691" t="s">
        <v>926</v>
      </c>
      <c r="I1229" s="9691"/>
      <c r="J1229" s="9691"/>
      <c r="K1229" s="9691" t="s">
        <v>168</v>
      </c>
      <c r="L1229" s="9691"/>
      <c r="M1229" s="9691"/>
      <c r="N1229" s="9691"/>
      <c r="O1229" s="9691"/>
      <c r="P1229" s="9691"/>
      <c r="Q1229" s="9692"/>
      <c r="R1229" s="4849"/>
      <c r="S1229" s="4849"/>
      <c r="T1229" s="99" t="s">
        <v>737</v>
      </c>
      <c r="U1229" s="547" t="s">
        <v>800</v>
      </c>
      <c r="V1229" s="547"/>
      <c r="W1229" s="99"/>
      <c r="X1229" s="620" t="s">
        <v>927</v>
      </c>
      <c r="Y1229" s="620" t="s">
        <v>884</v>
      </c>
      <c r="Z1229" s="159"/>
      <c r="AA1229" s="6301"/>
      <c r="AB1229" s="139"/>
      <c r="AC1229" s="139"/>
      <c r="AD1229" s="139"/>
      <c r="AE1229" s="139"/>
      <c r="AF1229" s="139"/>
      <c r="AG1229" s="139"/>
      <c r="AH1229" s="139"/>
      <c r="AI1229" s="139"/>
      <c r="AJ1229" s="139"/>
      <c r="AK1229" s="139"/>
      <c r="AL1229" s="139"/>
      <c r="AM1229" s="139"/>
      <c r="AN1229" s="139"/>
      <c r="AO1229" s="139"/>
      <c r="AP1229" s="139"/>
      <c r="AQ1229" s="139"/>
      <c r="AR1229" s="139"/>
      <c r="AS1229" s="139"/>
      <c r="AT1229" s="139"/>
      <c r="AU1229" s="139"/>
      <c r="AV1229" s="139"/>
      <c r="AW1229" s="139"/>
      <c r="AX1229" s="139"/>
      <c r="AY1229" s="139"/>
      <c r="AZ1229" s="139"/>
      <c r="BA1229" s="139"/>
      <c r="BB1229" s="139"/>
      <c r="BC1229" s="139"/>
      <c r="BD1229" s="139"/>
      <c r="BE1229" s="139"/>
      <c r="BF1229" s="139"/>
      <c r="BG1229" s="139"/>
      <c r="BH1229" s="139"/>
    </row>
    <row r="1230" spans="2:60" s="11" customFormat="1" ht="20.100000000000001" customHeight="1">
      <c r="B1230" s="1360"/>
      <c r="C1230" s="5598"/>
      <c r="D1230" s="9584" t="s">
        <v>796</v>
      </c>
      <c r="E1230" s="9585"/>
      <c r="F1230" s="285" t="s">
        <v>156</v>
      </c>
      <c r="G1230" s="286"/>
      <c r="H1230" s="1776"/>
      <c r="I1230" s="9584" t="s">
        <v>928</v>
      </c>
      <c r="J1230" s="9585"/>
      <c r="K1230" s="105" t="s">
        <v>156</v>
      </c>
      <c r="L1230" s="5968">
        <f>IF(COUNTBLANK(L1231:L1236)&gt;0,"미취합법인有",AVERAGE(L1231:L1236))</f>
        <v>59.666666666666664</v>
      </c>
      <c r="M1230" s="5657"/>
      <c r="N1230" s="5654">
        <f>IF(COUNTBLANK(N1231:N1236)&gt;0,"미취합법인有",AVERAGE(N1231:N1236))</f>
        <v>53.833333333333336</v>
      </c>
      <c r="O1230" s="5663"/>
      <c r="P1230" s="5781">
        <f>IF(COUNTBLANK(P1231:P1236)&gt;0,"미취합법인有",AVERAGE(P1231:P1236))</f>
        <v>61.333333333333336</v>
      </c>
      <c r="Q1230" s="785"/>
      <c r="R1230" s="1069" t="s">
        <v>929</v>
      </c>
      <c r="S1230" s="6296" t="s">
        <v>930</v>
      </c>
      <c r="T1230" s="99" t="s">
        <v>737</v>
      </c>
      <c r="U1230" s="547" t="s">
        <v>800</v>
      </c>
      <c r="V1230" s="547"/>
      <c r="W1230" s="99"/>
      <c r="X1230" s="620" t="s">
        <v>927</v>
      </c>
      <c r="Y1230" s="620" t="s">
        <v>884</v>
      </c>
      <c r="Z1230" s="159"/>
      <c r="AA1230" s="6301"/>
      <c r="AB1230" s="139"/>
      <c r="AC1230" s="139"/>
      <c r="AD1230" s="139"/>
      <c r="AE1230" s="139"/>
      <c r="AF1230" s="139"/>
      <c r="AG1230" s="139"/>
      <c r="AH1230" s="139"/>
      <c r="AI1230" s="139"/>
      <c r="AJ1230" s="139"/>
      <c r="AK1230" s="139"/>
      <c r="AL1230" s="139"/>
      <c r="AM1230" s="139"/>
      <c r="AN1230" s="139"/>
      <c r="AO1230" s="139"/>
      <c r="AP1230" s="139"/>
      <c r="AQ1230" s="139"/>
      <c r="AR1230" s="139"/>
      <c r="AS1230" s="139"/>
      <c r="AT1230" s="139"/>
      <c r="AU1230" s="139"/>
      <c r="AV1230" s="139"/>
      <c r="AW1230" s="139"/>
      <c r="AX1230" s="139"/>
      <c r="AY1230" s="139"/>
      <c r="AZ1230" s="139"/>
      <c r="BA1230" s="139"/>
      <c r="BB1230" s="139"/>
      <c r="BC1230" s="139"/>
      <c r="BD1230" s="139"/>
      <c r="BE1230" s="139"/>
      <c r="BF1230" s="139"/>
      <c r="BG1230" s="139"/>
      <c r="BH1230" s="139"/>
    </row>
    <row r="1231" spans="2:60" s="11" customFormat="1" ht="20.100000000000001" customHeight="1">
      <c r="B1231" s="1360"/>
      <c r="C1231" s="5598"/>
      <c r="D1231" s="9598" t="s">
        <v>134</v>
      </c>
      <c r="E1231" s="9600"/>
      <c r="F1231" s="674" t="s">
        <v>156</v>
      </c>
      <c r="G1231" s="666"/>
      <c r="H1231" s="684"/>
      <c r="I1231" s="9579" t="s">
        <v>135</v>
      </c>
      <c r="J1231" s="9581"/>
      <c r="K1231" s="105" t="s">
        <v>156</v>
      </c>
      <c r="L1231" s="6034">
        <f>0.55*100</f>
        <v>55.000000000000007</v>
      </c>
      <c r="M1231" s="5697"/>
      <c r="N1231" s="6036">
        <f>0.74*100</f>
        <v>74</v>
      </c>
      <c r="O1231" s="5699" t="s">
        <v>931</v>
      </c>
      <c r="P1231" s="6038">
        <v>89</v>
      </c>
      <c r="Q1231" s="5701"/>
      <c r="R1231" s="2468"/>
      <c r="S1231" s="4849"/>
      <c r="T1231" s="545"/>
      <c r="U1231" s="546"/>
      <c r="V1231" s="547"/>
      <c r="W1231" s="548"/>
      <c r="X1231" s="277"/>
      <c r="Y1231" s="277"/>
      <c r="Z1231" s="187"/>
      <c r="AA1231" s="6301"/>
      <c r="AB1231" s="139"/>
      <c r="AC1231" s="139"/>
      <c r="AD1231" s="139"/>
      <c r="AE1231" s="139"/>
      <c r="AF1231" s="139"/>
      <c r="AG1231" s="139"/>
      <c r="AH1231" s="139"/>
      <c r="AI1231" s="139"/>
      <c r="AJ1231" s="139"/>
      <c r="AK1231" s="139"/>
      <c r="AL1231" s="139"/>
      <c r="AM1231" s="139"/>
      <c r="AN1231" s="139"/>
      <c r="AO1231" s="139"/>
      <c r="AP1231" s="139"/>
      <c r="AQ1231" s="139"/>
      <c r="AR1231" s="139"/>
      <c r="AS1231" s="139"/>
      <c r="AT1231" s="139"/>
      <c r="AU1231" s="139"/>
      <c r="AV1231" s="139"/>
      <c r="AW1231" s="139"/>
      <c r="AX1231" s="139"/>
      <c r="AY1231" s="139"/>
      <c r="AZ1231" s="139"/>
      <c r="BA1231" s="139"/>
      <c r="BB1231" s="139"/>
      <c r="BC1231" s="139"/>
      <c r="BD1231" s="139"/>
      <c r="BE1231" s="139"/>
      <c r="BF1231" s="139"/>
      <c r="BG1231" s="139"/>
      <c r="BH1231" s="139"/>
    </row>
    <row r="1232" spans="2:60" s="11" customFormat="1" ht="20.100000000000001" customHeight="1">
      <c r="B1232" s="1360"/>
      <c r="C1232" s="5598"/>
      <c r="D1232" s="9598" t="s">
        <v>137</v>
      </c>
      <c r="E1232" s="9600"/>
      <c r="F1232" s="674" t="s">
        <v>156</v>
      </c>
      <c r="G1232" s="666"/>
      <c r="H1232" s="684"/>
      <c r="I1232" s="9579" t="s">
        <v>138</v>
      </c>
      <c r="J1232" s="9581"/>
      <c r="K1232" s="105" t="s">
        <v>156</v>
      </c>
      <c r="L1232" s="6034">
        <v>100</v>
      </c>
      <c r="M1232" s="5684"/>
      <c r="N1232" s="6065">
        <v>50</v>
      </c>
      <c r="O1232" s="5886"/>
      <c r="P1232" s="6078">
        <v>91</v>
      </c>
      <c r="Q1232" s="5887"/>
      <c r="R1232" s="2468"/>
      <c r="S1232" s="4849"/>
      <c r="T1232" s="545"/>
      <c r="U1232" s="546"/>
      <c r="V1232" s="547"/>
      <c r="W1232" s="548"/>
      <c r="X1232" s="277"/>
      <c r="Y1232" s="277"/>
      <c r="Z1232" s="187"/>
      <c r="AA1232" s="6301"/>
      <c r="AB1232" s="139" t="s">
        <v>932</v>
      </c>
      <c r="AC1232" s="139"/>
      <c r="AD1232" s="139"/>
      <c r="AE1232" s="139"/>
      <c r="AF1232" s="139"/>
      <c r="AG1232" s="139"/>
      <c r="AH1232" s="139"/>
      <c r="AI1232" s="139"/>
      <c r="AJ1232" s="139"/>
      <c r="AK1232" s="139"/>
      <c r="AL1232" s="139"/>
      <c r="AM1232" s="139"/>
      <c r="AN1232" s="139"/>
      <c r="AO1232" s="139"/>
      <c r="AP1232" s="139"/>
      <c r="AQ1232" s="139"/>
      <c r="AR1232" s="139"/>
      <c r="AS1232" s="139"/>
      <c r="AT1232" s="139"/>
      <c r="AU1232" s="139"/>
      <c r="AV1232" s="139"/>
      <c r="AW1232" s="139"/>
      <c r="AX1232" s="139"/>
      <c r="AY1232" s="139"/>
      <c r="AZ1232" s="139"/>
      <c r="BA1232" s="139"/>
      <c r="BB1232" s="139"/>
      <c r="BC1232" s="139"/>
      <c r="BD1232" s="139"/>
      <c r="BE1232" s="139"/>
      <c r="BF1232" s="139"/>
      <c r="BG1232" s="139"/>
      <c r="BH1232" s="139"/>
    </row>
    <row r="1233" spans="2:60" s="11" customFormat="1" ht="20.100000000000001" customHeight="1">
      <c r="B1233" s="1360"/>
      <c r="C1233" s="5598"/>
      <c r="D1233" s="9598" t="s">
        <v>140</v>
      </c>
      <c r="E1233" s="9600"/>
      <c r="F1233" s="674" t="s">
        <v>156</v>
      </c>
      <c r="G1233" s="666"/>
      <c r="H1233" s="684"/>
      <c r="I1233" s="9582" t="s">
        <v>141</v>
      </c>
      <c r="J1233" s="9583"/>
      <c r="K1233" s="105" t="s">
        <v>156</v>
      </c>
      <c r="L1233" s="6034">
        <v>24</v>
      </c>
      <c r="M1233" s="5702"/>
      <c r="N1233" s="6036">
        <v>21</v>
      </c>
      <c r="O1233" s="5686"/>
      <c r="P1233" s="6038">
        <v>25</v>
      </c>
      <c r="Q1233" s="5703">
        <v>62</v>
      </c>
      <c r="R1233" s="2468"/>
      <c r="S1233" s="4849"/>
      <c r="T1233" s="545"/>
      <c r="U1233" s="546"/>
      <c r="V1233" s="547"/>
      <c r="W1233" s="548"/>
      <c r="X1233" s="277"/>
      <c r="Y1233" s="277"/>
      <c r="Z1233" s="187"/>
      <c r="AA1233" s="6301"/>
      <c r="AB1233" s="139"/>
      <c r="AC1233" s="139"/>
      <c r="AD1233" s="139"/>
      <c r="AE1233" s="139"/>
      <c r="AF1233" s="139"/>
      <c r="AG1233" s="139"/>
      <c r="AH1233" s="139"/>
      <c r="AI1233" s="139"/>
      <c r="AJ1233" s="139"/>
      <c r="AK1233" s="139"/>
      <c r="AL1233" s="139"/>
      <c r="AM1233" s="139"/>
      <c r="AN1233" s="139"/>
      <c r="AO1233" s="139"/>
      <c r="AP1233" s="139"/>
      <c r="AQ1233" s="139"/>
      <c r="AR1233" s="139"/>
      <c r="AS1233" s="139"/>
      <c r="AT1233" s="139"/>
      <c r="AU1233" s="139"/>
      <c r="AV1233" s="139"/>
      <c r="AW1233" s="139"/>
      <c r="AX1233" s="139"/>
      <c r="AY1233" s="139"/>
      <c r="AZ1233" s="139"/>
      <c r="BA1233" s="139"/>
      <c r="BB1233" s="139"/>
      <c r="BC1233" s="139"/>
      <c r="BD1233" s="139"/>
      <c r="BE1233" s="139"/>
      <c r="BF1233" s="139"/>
      <c r="BG1233" s="139"/>
      <c r="BH1233" s="139"/>
    </row>
    <row r="1234" spans="2:60" s="11" customFormat="1" ht="20.100000000000001" customHeight="1">
      <c r="B1234" s="1360"/>
      <c r="C1234" s="5598"/>
      <c r="D1234" s="9598" t="s">
        <v>143</v>
      </c>
      <c r="E1234" s="9600"/>
      <c r="F1234" s="674" t="s">
        <v>156</v>
      </c>
      <c r="G1234" s="666"/>
      <c r="H1234" s="684"/>
      <c r="I1234" s="9582" t="s">
        <v>144</v>
      </c>
      <c r="J1234" s="9583"/>
      <c r="K1234" s="105" t="s">
        <v>156</v>
      </c>
      <c r="L1234" s="6034">
        <v>49</v>
      </c>
      <c r="M1234" s="5954" t="s">
        <v>801</v>
      </c>
      <c r="N1234" s="6036">
        <v>48</v>
      </c>
      <c r="O1234" s="5874" t="s">
        <v>801</v>
      </c>
      <c r="P1234" s="6038">
        <v>49</v>
      </c>
      <c r="Q1234" s="5701"/>
      <c r="R1234" s="2468"/>
      <c r="S1234" s="4849"/>
      <c r="T1234" s="545"/>
      <c r="U1234" s="546"/>
      <c r="V1234" s="547"/>
      <c r="W1234" s="548"/>
      <c r="X1234" s="277"/>
      <c r="Y1234" s="277"/>
      <c r="Z1234" s="187"/>
      <c r="AA1234" s="6301"/>
      <c r="AB1234" s="139"/>
      <c r="AC1234" s="139"/>
      <c r="AD1234" s="139"/>
      <c r="AE1234" s="139"/>
      <c r="AF1234" s="139"/>
      <c r="AG1234" s="139"/>
      <c r="AH1234" s="139"/>
      <c r="AI1234" s="139"/>
      <c r="AJ1234" s="139"/>
      <c r="AK1234" s="139"/>
      <c r="AL1234" s="139"/>
      <c r="AM1234" s="139"/>
      <c r="AN1234" s="139"/>
      <c r="AO1234" s="139"/>
      <c r="AP1234" s="139"/>
      <c r="AQ1234" s="139"/>
      <c r="AR1234" s="139"/>
      <c r="AS1234" s="139"/>
      <c r="AT1234" s="139"/>
      <c r="AU1234" s="139"/>
      <c r="AV1234" s="139"/>
      <c r="AW1234" s="139"/>
      <c r="AX1234" s="139"/>
      <c r="AY1234" s="139"/>
      <c r="AZ1234" s="139"/>
      <c r="BA1234" s="139"/>
      <c r="BB1234" s="139"/>
      <c r="BC1234" s="139"/>
      <c r="BD1234" s="139"/>
      <c r="BE1234" s="139"/>
      <c r="BF1234" s="139"/>
      <c r="BG1234" s="139"/>
      <c r="BH1234" s="139"/>
    </row>
    <row r="1235" spans="2:60" s="11" customFormat="1" ht="20.100000000000001" customHeight="1">
      <c r="B1235" s="1360"/>
      <c r="C1235" s="5598"/>
      <c r="D1235" s="9598" t="s">
        <v>631</v>
      </c>
      <c r="E1235" s="9600"/>
      <c r="F1235" s="674" t="s">
        <v>156</v>
      </c>
      <c r="G1235" s="666"/>
      <c r="H1235" s="684"/>
      <c r="I1235" s="9582" t="s">
        <v>147</v>
      </c>
      <c r="J1235" s="9583"/>
      <c r="K1235" s="105" t="s">
        <v>156</v>
      </c>
      <c r="L1235" s="6035">
        <v>71</v>
      </c>
      <c r="M1235" s="5697"/>
      <c r="N1235" s="6037">
        <v>75</v>
      </c>
      <c r="O1235" s="5686"/>
      <c r="P1235" s="6039">
        <v>61</v>
      </c>
      <c r="Q1235" s="5701"/>
      <c r="R1235" s="2468"/>
      <c r="S1235" s="4849"/>
      <c r="T1235" s="545"/>
      <c r="U1235" s="546"/>
      <c r="V1235" s="547"/>
      <c r="W1235" s="548"/>
      <c r="X1235" s="277"/>
      <c r="Y1235" s="277"/>
      <c r="Z1235" s="187"/>
      <c r="AA1235" s="6301"/>
      <c r="AB1235" s="139"/>
      <c r="AC1235" s="139"/>
      <c r="AD1235" s="139"/>
      <c r="AE1235" s="139"/>
      <c r="AF1235" s="139"/>
      <c r="AG1235" s="139"/>
      <c r="AH1235" s="139"/>
      <c r="AI1235" s="139"/>
      <c r="AJ1235" s="139"/>
      <c r="AK1235" s="139"/>
      <c r="AL1235" s="139"/>
      <c r="AM1235" s="139"/>
      <c r="AN1235" s="139"/>
      <c r="AO1235" s="139"/>
      <c r="AP1235" s="139"/>
      <c r="AQ1235" s="139"/>
      <c r="AR1235" s="139"/>
      <c r="AS1235" s="139"/>
      <c r="AT1235" s="139"/>
      <c r="AU1235" s="139"/>
      <c r="AV1235" s="139"/>
      <c r="AW1235" s="139"/>
      <c r="AX1235" s="139"/>
      <c r="AY1235" s="139"/>
      <c r="AZ1235" s="139"/>
      <c r="BA1235" s="139"/>
      <c r="BB1235" s="139"/>
      <c r="BC1235" s="139"/>
      <c r="BD1235" s="139"/>
      <c r="BE1235" s="139"/>
      <c r="BF1235" s="139"/>
      <c r="BG1235" s="139"/>
      <c r="BH1235" s="139"/>
    </row>
    <row r="1236" spans="2:60" s="11" customFormat="1" ht="20.100000000000001" customHeight="1">
      <c r="B1236" s="1360"/>
      <c r="C1236" s="5598"/>
      <c r="D1236" s="9598" t="s">
        <v>633</v>
      </c>
      <c r="E1236" s="9600"/>
      <c r="F1236" s="674" t="s">
        <v>156</v>
      </c>
      <c r="G1236" s="666"/>
      <c r="H1236" s="684"/>
      <c r="I1236" s="9582" t="s">
        <v>150</v>
      </c>
      <c r="J1236" s="9583"/>
      <c r="K1236" s="105" t="s">
        <v>156</v>
      </c>
      <c r="L1236" s="6034">
        <v>59</v>
      </c>
      <c r="M1236" s="5697"/>
      <c r="N1236" s="6036">
        <v>55</v>
      </c>
      <c r="O1236" s="5684"/>
      <c r="P1236" s="6036">
        <v>53</v>
      </c>
      <c r="Q1236" s="5701"/>
      <c r="R1236" s="2468"/>
      <c r="S1236" s="4849"/>
      <c r="T1236" s="545"/>
      <c r="U1236" s="546"/>
      <c r="V1236" s="547"/>
      <c r="W1236" s="548"/>
      <c r="X1236" s="277"/>
      <c r="Y1236" s="277"/>
      <c r="Z1236" s="187"/>
      <c r="AA1236" s="6301"/>
      <c r="AB1236" s="139"/>
      <c r="AC1236" s="139"/>
      <c r="AD1236" s="139"/>
      <c r="AE1236" s="139"/>
      <c r="AF1236" s="139"/>
      <c r="AG1236" s="139"/>
      <c r="AH1236" s="139"/>
      <c r="AI1236" s="139"/>
      <c r="AJ1236" s="139"/>
      <c r="AK1236" s="139"/>
      <c r="AL1236" s="139"/>
      <c r="AM1236" s="139"/>
      <c r="AN1236" s="139"/>
      <c r="AO1236" s="139"/>
      <c r="AP1236" s="139"/>
      <c r="AQ1236" s="139"/>
      <c r="AR1236" s="139"/>
      <c r="AS1236" s="139"/>
      <c r="AT1236" s="139"/>
      <c r="AU1236" s="139"/>
      <c r="AV1236" s="139"/>
      <c r="AW1236" s="139"/>
      <c r="AX1236" s="139"/>
      <c r="AY1236" s="139"/>
      <c r="AZ1236" s="139"/>
      <c r="BA1236" s="139"/>
      <c r="BB1236" s="139"/>
      <c r="BC1236" s="139"/>
      <c r="BD1236" s="139"/>
      <c r="BE1236" s="139"/>
      <c r="BF1236" s="139"/>
      <c r="BG1236" s="139"/>
      <c r="BH1236" s="139"/>
    </row>
    <row r="1237" spans="2:60" s="11" customFormat="1" ht="20.100000000000001" customHeight="1">
      <c r="B1237" s="1360"/>
      <c r="C1237" s="5598"/>
      <c r="D1237" s="9584" t="s">
        <v>802</v>
      </c>
      <c r="E1237" s="9585"/>
      <c r="F1237" s="285" t="s">
        <v>156</v>
      </c>
      <c r="G1237" s="286"/>
      <c r="H1237" s="1776"/>
      <c r="I1237" s="9584" t="s">
        <v>933</v>
      </c>
      <c r="J1237" s="9585"/>
      <c r="K1237" s="105" t="s">
        <v>156</v>
      </c>
      <c r="L1237" s="5968">
        <f>IF(COUNTBLANK(L1238:L1243)&gt;0,"미취합법인有",AVERAGE(L1238:L1243))</f>
        <v>32.166666666666664</v>
      </c>
      <c r="M1237" s="5657"/>
      <c r="N1237" s="5654">
        <f>IF(COUNTBLANK(N1238:N1243)&gt;0,"미취합법인有",AVERAGE(N1238:N1243))</f>
        <v>42.833333333333336</v>
      </c>
      <c r="O1237" s="5663"/>
      <c r="P1237" s="5781">
        <f>IF(COUNTBLANK(P1238:P1243)&gt;0,"미취합법인有",AVERAGE(P1238:P1243))</f>
        <v>46.833333333333336</v>
      </c>
      <c r="Q1237" s="785"/>
      <c r="R1237" s="1069"/>
      <c r="S1237" s="6296"/>
      <c r="T1237" s="99" t="s">
        <v>737</v>
      </c>
      <c r="U1237" s="547" t="s">
        <v>800</v>
      </c>
      <c r="V1237" s="547"/>
      <c r="W1237" s="99"/>
      <c r="X1237" s="620" t="s">
        <v>927</v>
      </c>
      <c r="Y1237" s="620" t="s">
        <v>884</v>
      </c>
      <c r="Z1237" s="159"/>
      <c r="AA1237" s="6301"/>
      <c r="AB1237" s="139"/>
      <c r="AC1237" s="139"/>
      <c r="AD1237" s="139"/>
      <c r="AE1237" s="139"/>
      <c r="AF1237" s="139"/>
      <c r="AG1237" s="139"/>
      <c r="AH1237" s="139"/>
      <c r="AI1237" s="139"/>
      <c r="AJ1237" s="139"/>
      <c r="AK1237" s="139"/>
      <c r="AL1237" s="139"/>
      <c r="AM1237" s="139"/>
      <c r="AN1237" s="139"/>
      <c r="AO1237" s="139"/>
      <c r="AP1237" s="139"/>
      <c r="AQ1237" s="139"/>
      <c r="AR1237" s="139"/>
      <c r="AS1237" s="139"/>
      <c r="AT1237" s="139"/>
      <c r="AU1237" s="139"/>
      <c r="AV1237" s="139"/>
      <c r="AW1237" s="139"/>
      <c r="AX1237" s="139"/>
      <c r="AY1237" s="139"/>
      <c r="AZ1237" s="139"/>
      <c r="BA1237" s="139"/>
      <c r="BB1237" s="139"/>
      <c r="BC1237" s="139"/>
      <c r="BD1237" s="139"/>
      <c r="BE1237" s="139"/>
      <c r="BF1237" s="139"/>
      <c r="BG1237" s="139"/>
      <c r="BH1237" s="139"/>
    </row>
    <row r="1238" spans="2:60" s="11" customFormat="1" ht="20.100000000000001" customHeight="1">
      <c r="B1238" s="1360"/>
      <c r="C1238" s="5598"/>
      <c r="D1238" s="9598" t="s">
        <v>134</v>
      </c>
      <c r="E1238" s="9600"/>
      <c r="F1238" s="674" t="s">
        <v>156</v>
      </c>
      <c r="G1238" s="666"/>
      <c r="H1238" s="684"/>
      <c r="I1238" s="9579" t="s">
        <v>135</v>
      </c>
      <c r="J1238" s="9581"/>
      <c r="K1238" s="105" t="s">
        <v>156</v>
      </c>
      <c r="L1238" s="6034">
        <v>50</v>
      </c>
      <c r="M1238" s="5684"/>
      <c r="N1238" s="6036">
        <v>70</v>
      </c>
      <c r="O1238" s="5686" t="s">
        <v>934</v>
      </c>
      <c r="P1238" s="6038">
        <v>89</v>
      </c>
      <c r="Q1238" s="5701"/>
      <c r="R1238" s="2468"/>
      <c r="S1238" s="4849"/>
      <c r="T1238" s="545"/>
      <c r="U1238" s="546"/>
      <c r="V1238" s="547"/>
      <c r="W1238" s="548"/>
      <c r="X1238" s="277"/>
      <c r="Y1238" s="277"/>
      <c r="Z1238" s="187"/>
      <c r="AA1238" s="6301"/>
      <c r="AB1238" s="139"/>
      <c r="AC1238" s="139"/>
      <c r="AD1238" s="139"/>
      <c r="AE1238" s="139"/>
      <c r="AF1238" s="139"/>
      <c r="AG1238" s="139"/>
      <c r="AH1238" s="139"/>
      <c r="AI1238" s="139"/>
      <c r="AJ1238" s="139"/>
      <c r="AK1238" s="139"/>
      <c r="AL1238" s="139"/>
      <c r="AM1238" s="139"/>
      <c r="AN1238" s="139"/>
      <c r="AO1238" s="139"/>
      <c r="AP1238" s="139"/>
      <c r="AQ1238" s="139"/>
      <c r="AR1238" s="139"/>
      <c r="AS1238" s="139"/>
      <c r="AT1238" s="139"/>
      <c r="AU1238" s="139"/>
      <c r="AV1238" s="139"/>
      <c r="AW1238" s="139"/>
      <c r="AX1238" s="139"/>
      <c r="AY1238" s="139"/>
      <c r="AZ1238" s="139"/>
      <c r="BA1238" s="139"/>
      <c r="BB1238" s="139"/>
      <c r="BC1238" s="139"/>
      <c r="BD1238" s="139"/>
      <c r="BE1238" s="139"/>
      <c r="BF1238" s="139"/>
      <c r="BG1238" s="139"/>
      <c r="BH1238" s="139"/>
    </row>
    <row r="1239" spans="2:60" s="11" customFormat="1" ht="20.100000000000001" customHeight="1">
      <c r="B1239" s="1360"/>
      <c r="C1239" s="5598"/>
      <c r="D1239" s="9598" t="s">
        <v>137</v>
      </c>
      <c r="E1239" s="9600"/>
      <c r="F1239" s="674" t="s">
        <v>156</v>
      </c>
      <c r="G1239" s="666"/>
      <c r="H1239" s="684"/>
      <c r="I1239" s="9579" t="s">
        <v>138</v>
      </c>
      <c r="J1239" s="9581"/>
      <c r="K1239" s="105" t="s">
        <v>156</v>
      </c>
      <c r="L1239" s="6034">
        <v>0</v>
      </c>
      <c r="M1239" s="5684"/>
      <c r="N1239" s="6065">
        <v>50</v>
      </c>
      <c r="O1239" s="5686"/>
      <c r="P1239" s="6078">
        <v>41</v>
      </c>
      <c r="Q1239" s="5701"/>
      <c r="R1239" s="2468"/>
      <c r="S1239" s="4849"/>
      <c r="T1239" s="545"/>
      <c r="U1239" s="546"/>
      <c r="V1239" s="547"/>
      <c r="W1239" s="548"/>
      <c r="X1239" s="277"/>
      <c r="Y1239" s="277"/>
      <c r="Z1239" s="187"/>
      <c r="AA1239" s="6301"/>
      <c r="AB1239" s="139" t="s">
        <v>935</v>
      </c>
      <c r="AC1239" s="139"/>
      <c r="AD1239" s="139"/>
      <c r="AE1239" s="139"/>
      <c r="AF1239" s="139"/>
      <c r="AG1239" s="139"/>
      <c r="AH1239" s="139"/>
      <c r="AI1239" s="139"/>
      <c r="AJ1239" s="139"/>
      <c r="AK1239" s="139"/>
      <c r="AL1239" s="139"/>
      <c r="AM1239" s="139"/>
      <c r="AN1239" s="139"/>
      <c r="AO1239" s="139"/>
      <c r="AP1239" s="139"/>
      <c r="AQ1239" s="139"/>
      <c r="AR1239" s="139"/>
      <c r="AS1239" s="139"/>
      <c r="AT1239" s="139"/>
      <c r="AU1239" s="139"/>
      <c r="AV1239" s="139"/>
      <c r="AW1239" s="139"/>
      <c r="AX1239" s="139"/>
      <c r="AY1239" s="139"/>
      <c r="AZ1239" s="139"/>
      <c r="BA1239" s="139"/>
      <c r="BB1239" s="139"/>
      <c r="BC1239" s="139"/>
      <c r="BD1239" s="139"/>
      <c r="BE1239" s="139"/>
      <c r="BF1239" s="139"/>
      <c r="BG1239" s="139"/>
      <c r="BH1239" s="139"/>
    </row>
    <row r="1240" spans="2:60" s="11" customFormat="1" ht="20.100000000000001" customHeight="1">
      <c r="B1240" s="1360"/>
      <c r="C1240" s="5598"/>
      <c r="D1240" s="9598" t="s">
        <v>140</v>
      </c>
      <c r="E1240" s="9600"/>
      <c r="F1240" s="674" t="s">
        <v>156</v>
      </c>
      <c r="G1240" s="666"/>
      <c r="H1240" s="684"/>
      <c r="I1240" s="9582" t="s">
        <v>141</v>
      </c>
      <c r="J1240" s="9583"/>
      <c r="K1240" s="105" t="s">
        <v>156</v>
      </c>
      <c r="L1240" s="6034">
        <v>22</v>
      </c>
      <c r="M1240" s="5684"/>
      <c r="N1240" s="6036">
        <v>15</v>
      </c>
      <c r="O1240" s="5686"/>
      <c r="P1240" s="6038">
        <v>14</v>
      </c>
      <c r="Q1240" s="5701"/>
      <c r="R1240" s="2468"/>
      <c r="S1240" s="4849"/>
      <c r="T1240" s="545"/>
      <c r="U1240" s="546"/>
      <c r="V1240" s="547"/>
      <c r="W1240" s="548"/>
      <c r="X1240" s="277"/>
      <c r="Y1240" s="277"/>
      <c r="Z1240" s="187"/>
      <c r="AA1240" s="6301"/>
      <c r="AB1240" s="139"/>
      <c r="AC1240" s="139"/>
      <c r="AD1240" s="139"/>
      <c r="AE1240" s="139"/>
      <c r="AF1240" s="139"/>
      <c r="AG1240" s="139"/>
      <c r="AH1240" s="139"/>
      <c r="AI1240" s="139"/>
      <c r="AJ1240" s="139"/>
      <c r="AK1240" s="139"/>
      <c r="AL1240" s="139"/>
      <c r="AM1240" s="139"/>
      <c r="AN1240" s="139"/>
      <c r="AO1240" s="139"/>
      <c r="AP1240" s="139"/>
      <c r="AQ1240" s="139"/>
      <c r="AR1240" s="139"/>
      <c r="AS1240" s="139"/>
      <c r="AT1240" s="139"/>
      <c r="AU1240" s="139"/>
      <c r="AV1240" s="139"/>
      <c r="AW1240" s="139"/>
      <c r="AX1240" s="139"/>
      <c r="AY1240" s="139"/>
      <c r="AZ1240" s="139"/>
      <c r="BA1240" s="139"/>
      <c r="BB1240" s="139"/>
      <c r="BC1240" s="139"/>
      <c r="BD1240" s="139"/>
      <c r="BE1240" s="139"/>
      <c r="BF1240" s="139"/>
      <c r="BG1240" s="139"/>
      <c r="BH1240" s="139"/>
    </row>
    <row r="1241" spans="2:60" s="11" customFormat="1" ht="20.100000000000001" customHeight="1">
      <c r="B1241" s="1360"/>
      <c r="C1241" s="5598"/>
      <c r="D1241" s="9598" t="s">
        <v>143</v>
      </c>
      <c r="E1241" s="9600"/>
      <c r="F1241" s="674" t="s">
        <v>156</v>
      </c>
      <c r="G1241" s="666"/>
      <c r="H1241" s="684"/>
      <c r="I1241" s="9582" t="s">
        <v>144</v>
      </c>
      <c r="J1241" s="9583"/>
      <c r="K1241" s="105" t="s">
        <v>156</v>
      </c>
      <c r="L1241" s="6034">
        <v>51</v>
      </c>
      <c r="M1241" s="5955" t="s">
        <v>801</v>
      </c>
      <c r="N1241" s="6036">
        <v>52</v>
      </c>
      <c r="O1241" s="5874" t="s">
        <v>801</v>
      </c>
      <c r="P1241" s="6038">
        <v>51</v>
      </c>
      <c r="Q1241" s="5701"/>
      <c r="R1241" s="2468"/>
      <c r="S1241" s="4849"/>
      <c r="T1241" s="545"/>
      <c r="U1241" s="546"/>
      <c r="V1241" s="547"/>
      <c r="W1241" s="548"/>
      <c r="X1241" s="277"/>
      <c r="Y1241" s="277"/>
      <c r="Z1241" s="187"/>
      <c r="AA1241" s="6301"/>
      <c r="AB1241" s="139"/>
      <c r="AC1241" s="139"/>
      <c r="AD1241" s="139"/>
      <c r="AE1241" s="139"/>
      <c r="AF1241" s="139"/>
      <c r="AG1241" s="139"/>
      <c r="AH1241" s="139"/>
      <c r="AI1241" s="139"/>
      <c r="AJ1241" s="139"/>
      <c r="AK1241" s="139"/>
      <c r="AL1241" s="139"/>
      <c r="AM1241" s="139"/>
      <c r="AN1241" s="139"/>
      <c r="AO1241" s="139"/>
      <c r="AP1241" s="139"/>
      <c r="AQ1241" s="139"/>
      <c r="AR1241" s="139"/>
      <c r="AS1241" s="139"/>
      <c r="AT1241" s="139"/>
      <c r="AU1241" s="139"/>
      <c r="AV1241" s="139"/>
      <c r="AW1241" s="139"/>
      <c r="AX1241" s="139"/>
      <c r="AY1241" s="139"/>
      <c r="AZ1241" s="139"/>
      <c r="BA1241" s="139"/>
      <c r="BB1241" s="139"/>
      <c r="BC1241" s="139"/>
      <c r="BD1241" s="139"/>
      <c r="BE1241" s="139"/>
      <c r="BF1241" s="139"/>
      <c r="BG1241" s="139"/>
      <c r="BH1241" s="139"/>
    </row>
    <row r="1242" spans="2:60" s="11" customFormat="1" ht="20.100000000000001" customHeight="1">
      <c r="B1242" s="1360"/>
      <c r="C1242" s="5598"/>
      <c r="D1242" s="9598" t="s">
        <v>631</v>
      </c>
      <c r="E1242" s="9600"/>
      <c r="F1242" s="674" t="s">
        <v>156</v>
      </c>
      <c r="G1242" s="666"/>
      <c r="H1242" s="684"/>
      <c r="I1242" s="9582" t="s">
        <v>147</v>
      </c>
      <c r="J1242" s="9583"/>
      <c r="K1242" s="105" t="s">
        <v>156</v>
      </c>
      <c r="L1242" s="6035">
        <v>29</v>
      </c>
      <c r="M1242" s="5684"/>
      <c r="N1242" s="6037">
        <v>25</v>
      </c>
      <c r="O1242" s="5686"/>
      <c r="P1242" s="6039">
        <v>39</v>
      </c>
      <c r="Q1242" s="5701"/>
      <c r="R1242" s="2468"/>
      <c r="S1242" s="4849"/>
      <c r="T1242" s="545"/>
      <c r="U1242" s="546"/>
      <c r="V1242" s="547"/>
      <c r="W1242" s="548"/>
      <c r="X1242" s="277"/>
      <c r="Y1242" s="277"/>
      <c r="Z1242" s="187"/>
      <c r="AA1242" s="6301"/>
      <c r="AB1242" s="139"/>
      <c r="AC1242" s="139"/>
      <c r="AD1242" s="139"/>
      <c r="AE1242" s="139"/>
      <c r="AF1242" s="139"/>
      <c r="AG1242" s="139"/>
      <c r="AH1242" s="139"/>
      <c r="AI1242" s="139"/>
      <c r="AJ1242" s="139"/>
      <c r="AK1242" s="139"/>
      <c r="AL1242" s="139"/>
      <c r="AM1242" s="139"/>
      <c r="AN1242" s="139"/>
      <c r="AO1242" s="139"/>
      <c r="AP1242" s="139"/>
      <c r="AQ1242" s="139"/>
      <c r="AR1242" s="139"/>
      <c r="AS1242" s="139"/>
      <c r="AT1242" s="139"/>
      <c r="AU1242" s="139"/>
      <c r="AV1242" s="139"/>
      <c r="AW1242" s="139"/>
      <c r="AX1242" s="139"/>
      <c r="AY1242" s="139"/>
      <c r="AZ1242" s="139"/>
      <c r="BA1242" s="139"/>
      <c r="BB1242" s="139"/>
      <c r="BC1242" s="139"/>
      <c r="BD1242" s="139"/>
      <c r="BE1242" s="139"/>
      <c r="BF1242" s="139"/>
      <c r="BG1242" s="139"/>
      <c r="BH1242" s="139"/>
    </row>
    <row r="1243" spans="2:60" s="11" customFormat="1" ht="20.100000000000001" customHeight="1">
      <c r="B1243" s="1360"/>
      <c r="C1243" s="5598"/>
      <c r="D1243" s="9598" t="s">
        <v>633</v>
      </c>
      <c r="E1243" s="9600"/>
      <c r="F1243" s="674" t="s">
        <v>156</v>
      </c>
      <c r="G1243" s="666"/>
      <c r="H1243" s="684"/>
      <c r="I1243" s="9582" t="s">
        <v>150</v>
      </c>
      <c r="J1243" s="9583"/>
      <c r="K1243" s="105" t="s">
        <v>156</v>
      </c>
      <c r="L1243" s="6034">
        <v>41</v>
      </c>
      <c r="M1243" s="5684"/>
      <c r="N1243" s="6036">
        <v>45</v>
      </c>
      <c r="O1243" s="5684"/>
      <c r="P1243" s="6036">
        <v>47</v>
      </c>
      <c r="Q1243" s="5701"/>
      <c r="R1243" s="2468"/>
      <c r="S1243" s="6296"/>
      <c r="T1243" s="545"/>
      <c r="U1243" s="546"/>
      <c r="V1243" s="547"/>
      <c r="W1243" s="548"/>
      <c r="X1243" s="277"/>
      <c r="Y1243" s="277"/>
      <c r="Z1243" s="187"/>
      <c r="AA1243" s="6301"/>
      <c r="AB1243" s="139"/>
      <c r="AC1243" s="139"/>
      <c r="AD1243" s="139"/>
      <c r="AE1243" s="139"/>
      <c r="AF1243" s="139"/>
      <c r="AG1243" s="139"/>
      <c r="AH1243" s="139"/>
      <c r="AI1243" s="139"/>
      <c r="AJ1243" s="139"/>
      <c r="AK1243" s="139"/>
      <c r="AL1243" s="139"/>
      <c r="AM1243" s="139"/>
      <c r="AN1243" s="139"/>
      <c r="AO1243" s="139"/>
      <c r="AP1243" s="139"/>
      <c r="AQ1243" s="139"/>
      <c r="AR1243" s="139"/>
      <c r="AS1243" s="139"/>
      <c r="AT1243" s="139"/>
      <c r="AU1243" s="139"/>
      <c r="AV1243" s="139"/>
      <c r="AW1243" s="139"/>
      <c r="AX1243" s="139"/>
      <c r="AY1243" s="139"/>
      <c r="AZ1243" s="139"/>
      <c r="BA1243" s="139"/>
      <c r="BB1243" s="139"/>
      <c r="BC1243" s="139"/>
      <c r="BD1243" s="139"/>
      <c r="BE1243" s="139"/>
      <c r="BF1243" s="139"/>
      <c r="BG1243" s="139"/>
      <c r="BH1243" s="139"/>
    </row>
    <row r="1244" spans="2:60" s="11" customFormat="1" ht="20.100000000000001" customHeight="1">
      <c r="B1244" s="1360"/>
      <c r="C1244" s="5598"/>
      <c r="D1244" s="9584" t="s">
        <v>823</v>
      </c>
      <c r="E1244" s="9585"/>
      <c r="F1244" s="285" t="s">
        <v>156</v>
      </c>
      <c r="G1244" s="286"/>
      <c r="H1244" s="1776"/>
      <c r="I1244" s="9584" t="s">
        <v>936</v>
      </c>
      <c r="J1244" s="9585"/>
      <c r="K1244" s="105" t="s">
        <v>156</v>
      </c>
      <c r="L1244" s="5968" t="str">
        <f>IF(COUNTBLANK(L1245:L1250)&gt;0,"미취합법인有",AVERAGE(L1245:L1250))</f>
        <v>미취합법인有</v>
      </c>
      <c r="M1244" s="5657"/>
      <c r="N1244" s="5654" t="str">
        <f>IF(COUNTBLANK(N1245:N1250)&gt;0,"미취합법인有",AVERAGE(N1245:N1250))</f>
        <v>미취합법인有</v>
      </c>
      <c r="O1244" s="5663"/>
      <c r="P1244" s="5781" t="str">
        <f>IF(COUNTBLANK(P1245:P1250)&gt;0,"미취합법인有",AVERAGE(P1245:P1250))</f>
        <v>미취합법인有</v>
      </c>
      <c r="Q1244" s="785"/>
      <c r="R1244" s="1069"/>
      <c r="S1244" s="4849"/>
      <c r="T1244" s="99" t="s">
        <v>737</v>
      </c>
      <c r="U1244" s="547" t="s">
        <v>800</v>
      </c>
      <c r="V1244" s="547"/>
      <c r="W1244" s="99"/>
      <c r="X1244" s="620" t="s">
        <v>927</v>
      </c>
      <c r="Y1244" s="620" t="s">
        <v>884</v>
      </c>
      <c r="Z1244" s="159"/>
      <c r="AA1244" s="6301"/>
      <c r="AB1244" s="139"/>
      <c r="AC1244" s="139"/>
      <c r="AD1244" s="139"/>
      <c r="AE1244" s="139"/>
      <c r="AF1244" s="139"/>
      <c r="AG1244" s="139"/>
      <c r="AH1244" s="139"/>
      <c r="AI1244" s="139"/>
      <c r="AJ1244" s="139"/>
      <c r="AK1244" s="139"/>
      <c r="AL1244" s="139"/>
      <c r="AM1244" s="139"/>
      <c r="AN1244" s="139"/>
      <c r="AO1244" s="139"/>
      <c r="AP1244" s="139"/>
      <c r="AQ1244" s="139"/>
      <c r="AR1244" s="139"/>
      <c r="AS1244" s="139"/>
      <c r="AT1244" s="139"/>
      <c r="AU1244" s="139"/>
      <c r="AV1244" s="139"/>
      <c r="AW1244" s="139"/>
      <c r="AX1244" s="139"/>
      <c r="AY1244" s="139"/>
      <c r="AZ1244" s="139"/>
      <c r="BA1244" s="139"/>
      <c r="BB1244" s="139"/>
      <c r="BC1244" s="139"/>
      <c r="BD1244" s="139"/>
      <c r="BE1244" s="139"/>
      <c r="BF1244" s="139"/>
      <c r="BG1244" s="139"/>
      <c r="BH1244" s="139"/>
    </row>
    <row r="1245" spans="2:60" s="11" customFormat="1" ht="20.100000000000001" customHeight="1">
      <c r="B1245" s="1360"/>
      <c r="C1245" s="5598"/>
      <c r="D1245" s="9598" t="s">
        <v>134</v>
      </c>
      <c r="E1245" s="9600"/>
      <c r="F1245" s="674" t="s">
        <v>156</v>
      </c>
      <c r="G1245" s="666"/>
      <c r="H1245" s="684"/>
      <c r="I1245" s="9579" t="s">
        <v>135</v>
      </c>
      <c r="J1245" s="9581"/>
      <c r="K1245" s="105" t="s">
        <v>156</v>
      </c>
      <c r="L1245" s="5723">
        <v>53</v>
      </c>
      <c r="M1245" s="5697"/>
      <c r="N1245" s="5987">
        <v>73</v>
      </c>
      <c r="O1245" s="5699" t="s">
        <v>937</v>
      </c>
      <c r="P1245" s="6032">
        <v>1</v>
      </c>
      <c r="Q1245" s="5701"/>
      <c r="R1245" s="2468"/>
      <c r="S1245" s="4849"/>
      <c r="T1245" s="545"/>
      <c r="U1245" s="546"/>
      <c r="V1245" s="547"/>
      <c r="W1245" s="548"/>
      <c r="X1245" s="277"/>
      <c r="Y1245" s="277"/>
      <c r="Z1245" s="187"/>
      <c r="AA1245" s="6301"/>
      <c r="AB1245" s="139"/>
      <c r="AC1245" s="139"/>
      <c r="AD1245" s="139"/>
      <c r="AE1245" s="139"/>
      <c r="AF1245" s="139"/>
      <c r="AG1245" s="139"/>
      <c r="AH1245" s="139"/>
      <c r="AI1245" s="139"/>
      <c r="AJ1245" s="139"/>
      <c r="AK1245" s="139"/>
      <c r="AL1245" s="139"/>
      <c r="AM1245" s="139"/>
      <c r="AN1245" s="139"/>
      <c r="AO1245" s="139"/>
      <c r="AP1245" s="139"/>
      <c r="AQ1245" s="139"/>
      <c r="AR1245" s="139"/>
      <c r="AS1245" s="139"/>
      <c r="AT1245" s="139"/>
      <c r="AU1245" s="139"/>
      <c r="AV1245" s="139"/>
      <c r="AW1245" s="139"/>
      <c r="AX1245" s="139"/>
      <c r="AY1245" s="139"/>
      <c r="AZ1245" s="139"/>
      <c r="BA1245" s="139"/>
      <c r="BB1245" s="139"/>
      <c r="BC1245" s="139"/>
      <c r="BD1245" s="139"/>
      <c r="BE1245" s="139"/>
      <c r="BF1245" s="139"/>
      <c r="BG1245" s="139"/>
      <c r="BH1245" s="139"/>
    </row>
    <row r="1246" spans="2:60" s="11" customFormat="1" ht="20.100000000000001" customHeight="1">
      <c r="B1246" s="1360"/>
      <c r="C1246" s="5598"/>
      <c r="D1246" s="9598" t="s">
        <v>137</v>
      </c>
      <c r="E1246" s="9600"/>
      <c r="F1246" s="674" t="s">
        <v>156</v>
      </c>
      <c r="G1246" s="666"/>
      <c r="H1246" s="684"/>
      <c r="I1246" s="9579" t="s">
        <v>138</v>
      </c>
      <c r="J1246" s="9581"/>
      <c r="K1246" s="105" t="s">
        <v>156</v>
      </c>
      <c r="L1246" s="5723"/>
      <c r="M1246" s="5697"/>
      <c r="N1246" s="5987"/>
      <c r="O1246" s="5699"/>
      <c r="P1246" s="6032"/>
      <c r="Q1246" s="5701"/>
      <c r="R1246" s="2468"/>
      <c r="S1246" s="4849"/>
      <c r="T1246" s="545"/>
      <c r="U1246" s="546"/>
      <c r="V1246" s="547"/>
      <c r="W1246" s="548"/>
      <c r="X1246" s="277"/>
      <c r="Y1246" s="277"/>
      <c r="Z1246" s="187"/>
      <c r="AA1246" s="6301"/>
      <c r="AB1246" s="139"/>
      <c r="AC1246" s="139"/>
      <c r="AD1246" s="139"/>
      <c r="AE1246" s="139"/>
      <c r="AF1246" s="139"/>
      <c r="AG1246" s="139"/>
      <c r="AH1246" s="139"/>
      <c r="AI1246" s="139"/>
      <c r="AJ1246" s="139"/>
      <c r="AK1246" s="139"/>
      <c r="AL1246" s="139"/>
      <c r="AM1246" s="139"/>
      <c r="AN1246" s="139"/>
      <c r="AO1246" s="139"/>
      <c r="AP1246" s="139"/>
      <c r="AQ1246" s="139"/>
      <c r="AR1246" s="139"/>
      <c r="AS1246" s="139"/>
      <c r="AT1246" s="139"/>
      <c r="AU1246" s="139"/>
      <c r="AV1246" s="139"/>
      <c r="AW1246" s="139"/>
      <c r="AX1246" s="139"/>
      <c r="AY1246" s="139"/>
      <c r="AZ1246" s="139"/>
      <c r="BA1246" s="139"/>
      <c r="BB1246" s="139"/>
      <c r="BC1246" s="139"/>
      <c r="BD1246" s="139"/>
      <c r="BE1246" s="139"/>
      <c r="BF1246" s="139"/>
      <c r="BG1246" s="139"/>
      <c r="BH1246" s="139"/>
    </row>
    <row r="1247" spans="2:60" s="11" customFormat="1" ht="20.100000000000001" customHeight="1">
      <c r="B1247" s="1360"/>
      <c r="C1247" s="5598"/>
      <c r="D1247" s="9598" t="s">
        <v>140</v>
      </c>
      <c r="E1247" s="9600"/>
      <c r="F1247" s="674" t="s">
        <v>156</v>
      </c>
      <c r="G1247" s="666"/>
      <c r="H1247" s="684"/>
      <c r="I1247" s="9582" t="s">
        <v>141</v>
      </c>
      <c r="J1247" s="9583"/>
      <c r="K1247" s="105" t="s">
        <v>156</v>
      </c>
      <c r="L1247" s="5723">
        <v>24</v>
      </c>
      <c r="M1247" s="5697"/>
      <c r="N1247" s="5987">
        <v>11</v>
      </c>
      <c r="O1247" s="5699"/>
      <c r="P1247" s="6032">
        <v>16</v>
      </c>
      <c r="Q1247" s="5701"/>
      <c r="R1247" s="2468"/>
      <c r="S1247" s="4849"/>
      <c r="T1247" s="545"/>
      <c r="U1247" s="546"/>
      <c r="V1247" s="547"/>
      <c r="W1247" s="548"/>
      <c r="X1247" s="277"/>
      <c r="Y1247" s="277"/>
      <c r="Z1247" s="187"/>
      <c r="AA1247" s="6301"/>
      <c r="AB1247" s="139"/>
      <c r="AC1247" s="139"/>
      <c r="AD1247" s="139"/>
      <c r="AE1247" s="139"/>
      <c r="AF1247" s="139"/>
      <c r="AG1247" s="139"/>
      <c r="AH1247" s="139"/>
      <c r="AI1247" s="139"/>
      <c r="AJ1247" s="139"/>
      <c r="AK1247" s="139"/>
      <c r="AL1247" s="139"/>
      <c r="AM1247" s="139"/>
      <c r="AN1247" s="139"/>
      <c r="AO1247" s="139"/>
      <c r="AP1247" s="139"/>
      <c r="AQ1247" s="139"/>
      <c r="AR1247" s="139"/>
      <c r="AS1247" s="139"/>
      <c r="AT1247" s="139"/>
      <c r="AU1247" s="139"/>
      <c r="AV1247" s="139"/>
      <c r="AW1247" s="139"/>
      <c r="AX1247" s="139"/>
      <c r="AY1247" s="139"/>
      <c r="AZ1247" s="139"/>
      <c r="BA1247" s="139"/>
      <c r="BB1247" s="139"/>
      <c r="BC1247" s="139"/>
      <c r="BD1247" s="139"/>
      <c r="BE1247" s="139"/>
      <c r="BF1247" s="139"/>
      <c r="BG1247" s="139"/>
      <c r="BH1247" s="139"/>
    </row>
    <row r="1248" spans="2:60" s="11" customFormat="1" ht="20.100000000000001" customHeight="1">
      <c r="B1248" s="1360"/>
      <c r="C1248" s="5598"/>
      <c r="D1248" s="9598" t="s">
        <v>143</v>
      </c>
      <c r="E1248" s="9600"/>
      <c r="F1248" s="674" t="s">
        <v>156</v>
      </c>
      <c r="G1248" s="666"/>
      <c r="H1248" s="684"/>
      <c r="I1248" s="9582" t="s">
        <v>144</v>
      </c>
      <c r="J1248" s="9583"/>
      <c r="K1248" s="105" t="s">
        <v>156</v>
      </c>
      <c r="L1248" s="5723">
        <v>93</v>
      </c>
      <c r="M1248" s="5954" t="s">
        <v>801</v>
      </c>
      <c r="N1248" s="5987">
        <v>97</v>
      </c>
      <c r="O1248" s="5716" t="s">
        <v>801</v>
      </c>
      <c r="P1248" s="6032">
        <v>98</v>
      </c>
      <c r="Q1248" s="5701"/>
      <c r="R1248" s="2468"/>
      <c r="S1248" s="6296"/>
      <c r="T1248" s="545"/>
      <c r="U1248" s="546"/>
      <c r="V1248" s="547"/>
      <c r="W1248" s="548"/>
      <c r="X1248" s="277"/>
      <c r="Y1248" s="277"/>
      <c r="Z1248" s="187"/>
      <c r="AA1248" s="6301"/>
      <c r="AB1248" s="139"/>
      <c r="AC1248" s="139"/>
      <c r="AD1248" s="139"/>
      <c r="AE1248" s="139"/>
      <c r="AF1248" s="139"/>
      <c r="AG1248" s="139"/>
      <c r="AH1248" s="139"/>
      <c r="AI1248" s="139"/>
      <c r="AJ1248" s="139"/>
      <c r="AK1248" s="139"/>
      <c r="AL1248" s="139"/>
      <c r="AM1248" s="139"/>
      <c r="AN1248" s="139"/>
      <c r="AO1248" s="139"/>
      <c r="AP1248" s="139"/>
      <c r="AQ1248" s="139"/>
      <c r="AR1248" s="139"/>
      <c r="AS1248" s="139"/>
      <c r="AT1248" s="139"/>
      <c r="AU1248" s="139"/>
      <c r="AV1248" s="139"/>
      <c r="AW1248" s="139"/>
      <c r="AX1248" s="139"/>
      <c r="AY1248" s="139"/>
      <c r="AZ1248" s="139"/>
      <c r="BA1248" s="139"/>
      <c r="BB1248" s="139"/>
      <c r="BC1248" s="139"/>
      <c r="BD1248" s="139"/>
      <c r="BE1248" s="139"/>
      <c r="BF1248" s="139"/>
      <c r="BG1248" s="139"/>
      <c r="BH1248" s="139"/>
    </row>
    <row r="1249" spans="2:60" s="11" customFormat="1" ht="20.100000000000001" customHeight="1">
      <c r="B1249" s="1360"/>
      <c r="C1249" s="5598"/>
      <c r="D1249" s="9598" t="s">
        <v>631</v>
      </c>
      <c r="E1249" s="9600"/>
      <c r="F1249" s="674" t="s">
        <v>156</v>
      </c>
      <c r="G1249" s="666"/>
      <c r="H1249" s="684"/>
      <c r="I1249" s="9582" t="s">
        <v>147</v>
      </c>
      <c r="J1249" s="9583"/>
      <c r="K1249" s="105" t="s">
        <v>156</v>
      </c>
      <c r="L1249" s="6031">
        <v>47</v>
      </c>
      <c r="M1249" s="5697"/>
      <c r="N1249" s="5989">
        <v>27</v>
      </c>
      <c r="O1249" s="5699"/>
      <c r="P1249" s="6033">
        <v>31</v>
      </c>
      <c r="Q1249" s="5701"/>
      <c r="R1249" s="2468"/>
      <c r="S1249" s="4849"/>
      <c r="T1249" s="545"/>
      <c r="U1249" s="546"/>
      <c r="V1249" s="547"/>
      <c r="W1249" s="548"/>
      <c r="X1249" s="277"/>
      <c r="Y1249" s="277"/>
      <c r="Z1249" s="187"/>
      <c r="AA1249" s="6301"/>
      <c r="AB1249" s="139"/>
      <c r="AC1249" s="139"/>
      <c r="AD1249" s="139"/>
      <c r="AE1249" s="139"/>
      <c r="AF1249" s="139"/>
      <c r="AG1249" s="139"/>
      <c r="AH1249" s="139"/>
      <c r="AI1249" s="139"/>
      <c r="AJ1249" s="139"/>
      <c r="AK1249" s="139"/>
      <c r="AL1249" s="139"/>
      <c r="AM1249" s="139"/>
      <c r="AN1249" s="139"/>
      <c r="AO1249" s="139"/>
      <c r="AP1249" s="139"/>
      <c r="AQ1249" s="139"/>
      <c r="AR1249" s="139"/>
      <c r="AS1249" s="139"/>
      <c r="AT1249" s="139"/>
      <c r="AU1249" s="139"/>
      <c r="AV1249" s="139"/>
      <c r="AW1249" s="139"/>
      <c r="AX1249" s="139"/>
      <c r="AY1249" s="139"/>
      <c r="AZ1249" s="139"/>
      <c r="BA1249" s="139"/>
      <c r="BB1249" s="139"/>
      <c r="BC1249" s="139"/>
      <c r="BD1249" s="139"/>
      <c r="BE1249" s="139"/>
      <c r="BF1249" s="139"/>
      <c r="BG1249" s="139"/>
      <c r="BH1249" s="139"/>
    </row>
    <row r="1250" spans="2:60" s="11" customFormat="1" ht="20.100000000000001" customHeight="1">
      <c r="B1250" s="1360"/>
      <c r="C1250" s="5598"/>
      <c r="D1250" s="9598" t="s">
        <v>633</v>
      </c>
      <c r="E1250" s="9600"/>
      <c r="F1250" s="674" t="s">
        <v>156</v>
      </c>
      <c r="G1250" s="666"/>
      <c r="H1250" s="684"/>
      <c r="I1250" s="9582" t="s">
        <v>150</v>
      </c>
      <c r="J1250" s="9583"/>
      <c r="K1250" s="105" t="s">
        <v>156</v>
      </c>
      <c r="L1250" s="5723">
        <v>79</v>
      </c>
      <c r="M1250" s="5697"/>
      <c r="N1250" s="5987">
        <v>92</v>
      </c>
      <c r="O1250" s="5697"/>
      <c r="P1250" s="5987">
        <v>86</v>
      </c>
      <c r="Q1250" s="5701"/>
      <c r="R1250" s="2468"/>
      <c r="S1250" s="4849"/>
      <c r="T1250" s="545"/>
      <c r="U1250" s="546"/>
      <c r="V1250" s="547"/>
      <c r="W1250" s="548"/>
      <c r="X1250" s="277"/>
      <c r="Y1250" s="277"/>
      <c r="Z1250" s="187"/>
      <c r="AA1250" s="6301"/>
      <c r="AB1250" s="139"/>
      <c r="AC1250" s="139"/>
      <c r="AD1250" s="139"/>
      <c r="AE1250" s="139"/>
      <c r="AF1250" s="139"/>
      <c r="AG1250" s="139"/>
      <c r="AH1250" s="139"/>
      <c r="AI1250" s="139"/>
      <c r="AJ1250" s="139"/>
      <c r="AK1250" s="139"/>
      <c r="AL1250" s="139"/>
      <c r="AM1250" s="139"/>
      <c r="AN1250" s="139"/>
      <c r="AO1250" s="139"/>
      <c r="AP1250" s="139"/>
      <c r="AQ1250" s="139"/>
      <c r="AR1250" s="139"/>
      <c r="AS1250" s="139"/>
      <c r="AT1250" s="139"/>
      <c r="AU1250" s="139"/>
      <c r="AV1250" s="139"/>
      <c r="AW1250" s="139"/>
      <c r="AX1250" s="139"/>
      <c r="AY1250" s="139"/>
      <c r="AZ1250" s="139"/>
      <c r="BA1250" s="139"/>
      <c r="BB1250" s="139"/>
      <c r="BC1250" s="139"/>
      <c r="BD1250" s="139"/>
      <c r="BE1250" s="139"/>
      <c r="BF1250" s="139"/>
      <c r="BG1250" s="139"/>
      <c r="BH1250" s="139"/>
    </row>
    <row r="1251" spans="2:60" s="11" customFormat="1" ht="20.100000000000001" customHeight="1">
      <c r="B1251" s="1360"/>
      <c r="C1251" s="5598"/>
      <c r="D1251" s="9584" t="s">
        <v>827</v>
      </c>
      <c r="E1251" s="9585"/>
      <c r="F1251" s="285" t="s">
        <v>156</v>
      </c>
      <c r="G1251" s="286"/>
      <c r="H1251" s="1776"/>
      <c r="I1251" s="9584" t="s">
        <v>938</v>
      </c>
      <c r="J1251" s="9585"/>
      <c r="K1251" s="105" t="s">
        <v>156</v>
      </c>
      <c r="L1251" s="5968" t="str">
        <f>IF(COUNTBLANK(L1252:L1257)&gt;0,"미취합법인有",AVERAGE(L1252:L1257))</f>
        <v>미취합법인有</v>
      </c>
      <c r="M1251" s="5657"/>
      <c r="N1251" s="5654" t="str">
        <f>IF(COUNTBLANK(N1252:N1257)&gt;0,"미취합법인有",AVERAGE(N1252:N1257))</f>
        <v>미취합법인有</v>
      </c>
      <c r="O1251" s="5663"/>
      <c r="P1251" s="5781" t="str">
        <f>IF(COUNTBLANK(P1252:P1257)&gt;0,"미취합법인有",AVERAGE(P1252:P1257))</f>
        <v>미취합법인有</v>
      </c>
      <c r="Q1251" s="785"/>
      <c r="R1251" s="1069"/>
      <c r="S1251" s="4849"/>
      <c r="T1251" s="99" t="s">
        <v>737</v>
      </c>
      <c r="U1251" s="547" t="s">
        <v>800</v>
      </c>
      <c r="V1251" s="547"/>
      <c r="W1251" s="99"/>
      <c r="X1251" s="620" t="s">
        <v>927</v>
      </c>
      <c r="Y1251" s="620" t="s">
        <v>884</v>
      </c>
      <c r="Z1251" s="159"/>
      <c r="AA1251" s="6301"/>
      <c r="AB1251" s="139"/>
      <c r="AC1251" s="139"/>
      <c r="AD1251" s="139"/>
      <c r="AE1251" s="139"/>
      <c r="AF1251" s="139"/>
      <c r="AG1251" s="139"/>
      <c r="AH1251" s="139"/>
      <c r="AI1251" s="139"/>
      <c r="AJ1251" s="139"/>
      <c r="AK1251" s="139"/>
      <c r="AL1251" s="139"/>
      <c r="AM1251" s="139"/>
      <c r="AN1251" s="139"/>
      <c r="AO1251" s="139"/>
      <c r="AP1251" s="139"/>
      <c r="AQ1251" s="139"/>
      <c r="AR1251" s="139"/>
      <c r="AS1251" s="139"/>
      <c r="AT1251" s="139"/>
      <c r="AU1251" s="139"/>
      <c r="AV1251" s="139"/>
      <c r="AW1251" s="139"/>
      <c r="AX1251" s="139"/>
      <c r="AY1251" s="139"/>
      <c r="AZ1251" s="139"/>
      <c r="BA1251" s="139"/>
      <c r="BB1251" s="139"/>
      <c r="BC1251" s="139"/>
      <c r="BD1251" s="139"/>
      <c r="BE1251" s="139"/>
      <c r="BF1251" s="139"/>
      <c r="BG1251" s="139"/>
      <c r="BH1251" s="139"/>
    </row>
    <row r="1252" spans="2:60" s="11" customFormat="1" ht="20.100000000000001" customHeight="1">
      <c r="B1252" s="1360"/>
      <c r="C1252" s="5598"/>
      <c r="D1252" s="9598" t="s">
        <v>134</v>
      </c>
      <c r="E1252" s="9600"/>
      <c r="F1252" s="674" t="s">
        <v>156</v>
      </c>
      <c r="G1252" s="666"/>
      <c r="H1252" s="684"/>
      <c r="I1252" s="9579" t="s">
        <v>135</v>
      </c>
      <c r="J1252" s="9581"/>
      <c r="K1252" s="105" t="s">
        <v>156</v>
      </c>
      <c r="L1252" s="5723">
        <v>45</v>
      </c>
      <c r="M1252" s="5697"/>
      <c r="N1252" s="5987">
        <v>70</v>
      </c>
      <c r="O1252" s="5699" t="s">
        <v>939</v>
      </c>
      <c r="P1252" s="6032">
        <v>90</v>
      </c>
      <c r="Q1252" s="5701"/>
      <c r="R1252" s="2468"/>
      <c r="S1252" s="4849"/>
      <c r="T1252" s="545"/>
      <c r="U1252" s="546"/>
      <c r="V1252" s="547"/>
      <c r="W1252" s="548"/>
      <c r="X1252" s="277"/>
      <c r="Y1252" s="277"/>
      <c r="Z1252" s="187"/>
      <c r="AA1252" s="6301"/>
      <c r="AB1252" s="139"/>
      <c r="AC1252" s="139"/>
      <c r="AD1252" s="139"/>
      <c r="AE1252" s="139"/>
      <c r="AF1252" s="139"/>
      <c r="AG1252" s="139"/>
      <c r="AH1252" s="139"/>
      <c r="AI1252" s="139"/>
      <c r="AJ1252" s="139"/>
      <c r="AK1252" s="139"/>
      <c r="AL1252" s="139"/>
      <c r="AM1252" s="139"/>
      <c r="AN1252" s="139"/>
      <c r="AO1252" s="139"/>
      <c r="AP1252" s="139"/>
      <c r="AQ1252" s="139"/>
      <c r="AR1252" s="139"/>
      <c r="AS1252" s="139"/>
      <c r="AT1252" s="139"/>
      <c r="AU1252" s="139"/>
      <c r="AV1252" s="139"/>
      <c r="AW1252" s="139"/>
      <c r="AX1252" s="139"/>
      <c r="AY1252" s="139"/>
      <c r="AZ1252" s="139"/>
      <c r="BA1252" s="139"/>
      <c r="BB1252" s="139"/>
      <c r="BC1252" s="139"/>
      <c r="BD1252" s="139"/>
      <c r="BE1252" s="139"/>
      <c r="BF1252" s="139"/>
      <c r="BG1252" s="139"/>
      <c r="BH1252" s="139"/>
    </row>
    <row r="1253" spans="2:60" s="11" customFormat="1" ht="20.100000000000001" customHeight="1">
      <c r="B1253" s="1360"/>
      <c r="C1253" s="5598"/>
      <c r="D1253" s="9598" t="s">
        <v>137</v>
      </c>
      <c r="E1253" s="9600"/>
      <c r="F1253" s="674" t="s">
        <v>156</v>
      </c>
      <c r="G1253" s="666"/>
      <c r="H1253" s="684"/>
      <c r="I1253" s="9579" t="s">
        <v>138</v>
      </c>
      <c r="J1253" s="9581"/>
      <c r="K1253" s="105" t="s">
        <v>156</v>
      </c>
      <c r="L1253" s="5723"/>
      <c r="M1253" s="5684"/>
      <c r="N1253" s="5987"/>
      <c r="O1253" s="5686"/>
      <c r="P1253" s="6032"/>
      <c r="Q1253" s="5701"/>
      <c r="R1253" s="2468"/>
      <c r="S1253" s="4849"/>
      <c r="T1253" s="545"/>
      <c r="U1253" s="546"/>
      <c r="V1253" s="547"/>
      <c r="W1253" s="548"/>
      <c r="X1253" s="277"/>
      <c r="Y1253" s="277"/>
      <c r="Z1253" s="187"/>
      <c r="AA1253" s="6301"/>
      <c r="AB1253" s="139"/>
      <c r="AC1253" s="139"/>
      <c r="AD1253" s="139"/>
      <c r="AE1253" s="139"/>
      <c r="AF1253" s="139"/>
      <c r="AG1253" s="139"/>
      <c r="AH1253" s="139"/>
      <c r="AI1253" s="139"/>
      <c r="AJ1253" s="139"/>
      <c r="AK1253" s="139"/>
      <c r="AL1253" s="139"/>
      <c r="AM1253" s="139"/>
      <c r="AN1253" s="139"/>
      <c r="AO1253" s="139"/>
      <c r="AP1253" s="139"/>
      <c r="AQ1253" s="139"/>
      <c r="AR1253" s="139"/>
      <c r="AS1253" s="139"/>
      <c r="AT1253" s="139"/>
      <c r="AU1253" s="139"/>
      <c r="AV1253" s="139"/>
      <c r="AW1253" s="139"/>
      <c r="AX1253" s="139"/>
      <c r="AY1253" s="139"/>
      <c r="AZ1253" s="139"/>
      <c r="BA1253" s="139"/>
      <c r="BB1253" s="139"/>
      <c r="BC1253" s="139"/>
      <c r="BD1253" s="139"/>
      <c r="BE1253" s="139"/>
      <c r="BF1253" s="139"/>
      <c r="BG1253" s="139"/>
      <c r="BH1253" s="139"/>
    </row>
    <row r="1254" spans="2:60" s="11" customFormat="1" ht="20.100000000000001" customHeight="1">
      <c r="B1254" s="1360"/>
      <c r="C1254" s="5598"/>
      <c r="D1254" s="9598" t="s">
        <v>140</v>
      </c>
      <c r="E1254" s="9600"/>
      <c r="F1254" s="674" t="s">
        <v>156</v>
      </c>
      <c r="G1254" s="666"/>
      <c r="H1254" s="684"/>
      <c r="I1254" s="9582" t="s">
        <v>141</v>
      </c>
      <c r="J1254" s="9583"/>
      <c r="K1254" s="105" t="s">
        <v>156</v>
      </c>
      <c r="L1254" s="5723">
        <v>22</v>
      </c>
      <c r="M1254" s="5697"/>
      <c r="N1254" s="5987">
        <v>26</v>
      </c>
      <c r="O1254" s="5699"/>
      <c r="P1254" s="6032">
        <v>24</v>
      </c>
      <c r="Q1254" s="5701"/>
      <c r="R1254" s="2468"/>
      <c r="S1254" s="4849"/>
      <c r="T1254" s="545"/>
      <c r="U1254" s="546"/>
      <c r="V1254" s="547"/>
      <c r="W1254" s="548"/>
      <c r="X1254" s="277"/>
      <c r="Y1254" s="277"/>
      <c r="Z1254" s="187"/>
      <c r="AA1254" s="6301"/>
      <c r="AB1254" s="139"/>
      <c r="AC1254" s="139"/>
      <c r="AD1254" s="139"/>
      <c r="AE1254" s="139"/>
      <c r="AF1254" s="139"/>
      <c r="AG1254" s="139"/>
      <c r="AH1254" s="139"/>
      <c r="AI1254" s="139"/>
      <c r="AJ1254" s="139"/>
      <c r="AK1254" s="139"/>
      <c r="AL1254" s="139"/>
      <c r="AM1254" s="139"/>
      <c r="AN1254" s="139"/>
      <c r="AO1254" s="139"/>
      <c r="AP1254" s="139"/>
      <c r="AQ1254" s="139"/>
      <c r="AR1254" s="139"/>
      <c r="AS1254" s="139"/>
      <c r="AT1254" s="139"/>
      <c r="AU1254" s="139"/>
      <c r="AV1254" s="139"/>
      <c r="AW1254" s="139"/>
      <c r="AX1254" s="139"/>
      <c r="AY1254" s="139"/>
      <c r="AZ1254" s="139"/>
      <c r="BA1254" s="139"/>
      <c r="BB1254" s="139"/>
      <c r="BC1254" s="139"/>
      <c r="BD1254" s="139"/>
      <c r="BE1254" s="139"/>
      <c r="BF1254" s="139"/>
      <c r="BG1254" s="139"/>
      <c r="BH1254" s="139"/>
    </row>
    <row r="1255" spans="2:60" s="11" customFormat="1" ht="20.100000000000001" customHeight="1">
      <c r="B1255" s="1360"/>
      <c r="C1255" s="5598"/>
      <c r="D1255" s="9598" t="s">
        <v>143</v>
      </c>
      <c r="E1255" s="9600"/>
      <c r="F1255" s="674" t="s">
        <v>156</v>
      </c>
      <c r="G1255" s="666"/>
      <c r="H1255" s="684"/>
      <c r="I1255" s="9582" t="s">
        <v>144</v>
      </c>
      <c r="J1255" s="9583"/>
      <c r="K1255" s="105" t="s">
        <v>156</v>
      </c>
      <c r="L1255" s="5723">
        <v>7</v>
      </c>
      <c r="M1255" s="5954" t="s">
        <v>801</v>
      </c>
      <c r="N1255" s="5987">
        <v>3</v>
      </c>
      <c r="O1255" s="5716" t="s">
        <v>801</v>
      </c>
      <c r="P1255" s="6032">
        <v>2</v>
      </c>
      <c r="Q1255" s="5701"/>
      <c r="R1255" s="2468"/>
      <c r="S1255" s="4849"/>
      <c r="T1255" s="545"/>
      <c r="U1255" s="546"/>
      <c r="V1255" s="547"/>
      <c r="W1255" s="548"/>
      <c r="X1255" s="277"/>
      <c r="Y1255" s="277"/>
      <c r="Z1255" s="187"/>
      <c r="AA1255" s="6301"/>
      <c r="AB1255" s="139"/>
      <c r="AC1255" s="139"/>
      <c r="AD1255" s="139"/>
      <c r="AE1255" s="139"/>
      <c r="AF1255" s="139"/>
      <c r="AG1255" s="139"/>
      <c r="AH1255" s="139"/>
      <c r="AI1255" s="139"/>
      <c r="AJ1255" s="139"/>
      <c r="AK1255" s="139"/>
      <c r="AL1255" s="139"/>
      <c r="AM1255" s="139"/>
      <c r="AN1255" s="139"/>
      <c r="AO1255" s="139"/>
      <c r="AP1255" s="139"/>
      <c r="AQ1255" s="139"/>
      <c r="AR1255" s="139"/>
      <c r="AS1255" s="139"/>
      <c r="AT1255" s="139"/>
      <c r="AU1255" s="139"/>
      <c r="AV1255" s="139"/>
      <c r="AW1255" s="139"/>
      <c r="AX1255" s="139"/>
      <c r="AY1255" s="139"/>
      <c r="AZ1255" s="139"/>
      <c r="BA1255" s="139"/>
      <c r="BB1255" s="139"/>
      <c r="BC1255" s="139"/>
      <c r="BD1255" s="139"/>
      <c r="BE1255" s="139"/>
      <c r="BF1255" s="139"/>
      <c r="BG1255" s="139"/>
      <c r="BH1255" s="139"/>
    </row>
    <row r="1256" spans="2:60" s="11" customFormat="1" ht="20.100000000000001" customHeight="1">
      <c r="B1256" s="1360"/>
      <c r="C1256" s="5598"/>
      <c r="D1256" s="9598" t="s">
        <v>631</v>
      </c>
      <c r="E1256" s="9600"/>
      <c r="F1256" s="674" t="s">
        <v>156</v>
      </c>
      <c r="G1256" s="666"/>
      <c r="H1256" s="684"/>
      <c r="I1256" s="9582" t="s">
        <v>147</v>
      </c>
      <c r="J1256" s="9583"/>
      <c r="K1256" s="105" t="s">
        <v>156</v>
      </c>
      <c r="L1256" s="6031">
        <v>53</v>
      </c>
      <c r="M1256" s="5697"/>
      <c r="N1256" s="5989">
        <v>70</v>
      </c>
      <c r="O1256" s="5699"/>
      <c r="P1256" s="6033">
        <v>65</v>
      </c>
      <c r="Q1256" s="5701"/>
      <c r="R1256" s="2468"/>
      <c r="S1256" s="4849"/>
      <c r="T1256" s="545"/>
      <c r="U1256" s="546"/>
      <c r="V1256" s="547"/>
      <c r="W1256" s="548"/>
      <c r="X1256" s="277"/>
      <c r="Y1256" s="277"/>
      <c r="Z1256" s="187"/>
      <c r="AA1256" s="6301"/>
      <c r="AB1256" s="139"/>
      <c r="AC1256" s="139"/>
      <c r="AD1256" s="139"/>
      <c r="AE1256" s="139"/>
      <c r="AF1256" s="139"/>
      <c r="AG1256" s="139"/>
      <c r="AH1256" s="139"/>
      <c r="AI1256" s="139"/>
      <c r="AJ1256" s="139"/>
      <c r="AK1256" s="139"/>
      <c r="AL1256" s="139"/>
      <c r="AM1256" s="139"/>
      <c r="AN1256" s="139"/>
      <c r="AO1256" s="139"/>
      <c r="AP1256" s="139"/>
      <c r="AQ1256" s="139"/>
      <c r="AR1256" s="139"/>
      <c r="AS1256" s="139"/>
      <c r="AT1256" s="139"/>
      <c r="AU1256" s="139"/>
      <c r="AV1256" s="139"/>
      <c r="AW1256" s="139"/>
      <c r="AX1256" s="139"/>
      <c r="AY1256" s="139"/>
      <c r="AZ1256" s="139"/>
      <c r="BA1256" s="139"/>
      <c r="BB1256" s="139"/>
      <c r="BC1256" s="139"/>
      <c r="BD1256" s="139"/>
      <c r="BE1256" s="139"/>
      <c r="BF1256" s="139"/>
      <c r="BG1256" s="139"/>
      <c r="BH1256" s="139"/>
    </row>
    <row r="1257" spans="2:60" s="11" customFormat="1" ht="20.100000000000001" customHeight="1">
      <c r="B1257" s="1360"/>
      <c r="C1257" s="5598"/>
      <c r="D1257" s="9598" t="s">
        <v>633</v>
      </c>
      <c r="E1257" s="9600"/>
      <c r="F1257" s="674" t="s">
        <v>156</v>
      </c>
      <c r="G1257" s="666"/>
      <c r="H1257" s="684"/>
      <c r="I1257" s="9582" t="s">
        <v>150</v>
      </c>
      <c r="J1257" s="9583"/>
      <c r="K1257" s="105" t="s">
        <v>156</v>
      </c>
      <c r="L1257" s="5723">
        <v>20</v>
      </c>
      <c r="M1257" s="5697"/>
      <c r="N1257" s="5987">
        <v>8</v>
      </c>
      <c r="O1257" s="5697"/>
      <c r="P1257" s="5987">
        <v>13</v>
      </c>
      <c r="Q1257" s="5701"/>
      <c r="R1257" s="2468"/>
      <c r="S1257" s="4849"/>
      <c r="T1257" s="545"/>
      <c r="U1257" s="546"/>
      <c r="V1257" s="547"/>
      <c r="W1257" s="548"/>
      <c r="X1257" s="277"/>
      <c r="Y1257" s="277"/>
      <c r="Z1257" s="187"/>
      <c r="AA1257" s="6301"/>
      <c r="AB1257" s="139"/>
      <c r="AC1257" s="139"/>
      <c r="AD1257" s="139"/>
      <c r="AE1257" s="139"/>
      <c r="AF1257" s="139"/>
      <c r="AG1257" s="139"/>
      <c r="AH1257" s="139"/>
      <c r="AI1257" s="139"/>
      <c r="AJ1257" s="139"/>
      <c r="AK1257" s="139"/>
      <c r="AL1257" s="139"/>
      <c r="AM1257" s="139"/>
      <c r="AN1257" s="139"/>
      <c r="AO1257" s="139"/>
      <c r="AP1257" s="139"/>
      <c r="AQ1257" s="139"/>
      <c r="AR1257" s="139"/>
      <c r="AS1257" s="139"/>
      <c r="AT1257" s="139"/>
      <c r="AU1257" s="139"/>
      <c r="AV1257" s="139"/>
      <c r="AW1257" s="139"/>
      <c r="AX1257" s="139"/>
      <c r="AY1257" s="139"/>
      <c r="AZ1257" s="139"/>
      <c r="BA1257" s="139"/>
      <c r="BB1257" s="139"/>
      <c r="BC1257" s="139"/>
      <c r="BD1257" s="139"/>
      <c r="BE1257" s="139"/>
      <c r="BF1257" s="139"/>
      <c r="BG1257" s="139"/>
      <c r="BH1257" s="139"/>
    </row>
    <row r="1258" spans="2:60" s="11" customFormat="1" ht="20.100000000000001" customHeight="1">
      <c r="B1258" s="1360"/>
      <c r="C1258" s="915"/>
      <c r="D1258" s="9584" t="s">
        <v>830</v>
      </c>
      <c r="E1258" s="9585"/>
      <c r="F1258" s="285" t="s">
        <v>156</v>
      </c>
      <c r="G1258" s="286"/>
      <c r="H1258" s="1776"/>
      <c r="I1258" s="9584" t="s">
        <v>940</v>
      </c>
      <c r="J1258" s="9585"/>
      <c r="K1258" s="105" t="s">
        <v>156</v>
      </c>
      <c r="L1258" s="5968" t="str">
        <f>IF(COUNTBLANK(L1259:L1264)&gt;0,"미취합법인有",AVERAGE(L1259:L1264))</f>
        <v>미취합법인有</v>
      </c>
      <c r="M1258" s="5657"/>
      <c r="N1258" s="5654" t="str">
        <f>IF(COUNTBLANK(N1259:N1264)&gt;0,"미취합법인有",AVERAGE(N1259:N1264))</f>
        <v>미취합법인有</v>
      </c>
      <c r="O1258" s="5663"/>
      <c r="P1258" s="5781" t="str">
        <f>IF(COUNTBLANK(P1259:P1264)&gt;0,"미취합법인有",AVERAGE(P1259:P1264))</f>
        <v>미취합법인有</v>
      </c>
      <c r="Q1258" s="785"/>
      <c r="R1258" s="1069"/>
      <c r="S1258" s="6296"/>
      <c r="T1258" s="99" t="s">
        <v>737</v>
      </c>
      <c r="U1258" s="547" t="s">
        <v>800</v>
      </c>
      <c r="V1258" s="547"/>
      <c r="W1258" s="99"/>
      <c r="X1258" s="620" t="s">
        <v>927</v>
      </c>
      <c r="Y1258" s="620" t="s">
        <v>884</v>
      </c>
      <c r="Z1258" s="159"/>
      <c r="AA1258" s="6301"/>
      <c r="AB1258" s="139"/>
      <c r="AC1258" s="139"/>
      <c r="AD1258" s="139"/>
      <c r="AE1258" s="139"/>
      <c r="AF1258" s="139"/>
      <c r="AG1258" s="139"/>
      <c r="AH1258" s="139"/>
      <c r="AI1258" s="139"/>
      <c r="AJ1258" s="139"/>
      <c r="AK1258" s="139"/>
      <c r="AL1258" s="139"/>
      <c r="AM1258" s="139"/>
      <c r="AN1258" s="139"/>
      <c r="AO1258" s="139"/>
      <c r="AP1258" s="139"/>
      <c r="AQ1258" s="139"/>
      <c r="AR1258" s="139"/>
      <c r="AS1258" s="139"/>
      <c r="AT1258" s="139"/>
      <c r="AU1258" s="139"/>
      <c r="AV1258" s="139"/>
      <c r="AW1258" s="139"/>
      <c r="AX1258" s="139"/>
      <c r="AY1258" s="139"/>
      <c r="AZ1258" s="139"/>
      <c r="BA1258" s="139"/>
      <c r="BB1258" s="139"/>
      <c r="BC1258" s="139"/>
      <c r="BD1258" s="139"/>
      <c r="BE1258" s="139"/>
      <c r="BF1258" s="139"/>
      <c r="BG1258" s="139"/>
      <c r="BH1258" s="139"/>
    </row>
    <row r="1259" spans="2:60" s="11" customFormat="1" ht="20.100000000000001" customHeight="1">
      <c r="B1259" s="1360"/>
      <c r="C1259" s="5598"/>
      <c r="D1259" s="9598" t="s">
        <v>134</v>
      </c>
      <c r="E1259" s="9600"/>
      <c r="F1259" s="674" t="s">
        <v>156</v>
      </c>
      <c r="G1259" s="666"/>
      <c r="H1259" s="684"/>
      <c r="I1259" s="9579" t="s">
        <v>135</v>
      </c>
      <c r="J1259" s="9581"/>
      <c r="K1259" s="105" t="s">
        <v>156</v>
      </c>
      <c r="L1259" s="5723">
        <v>36</v>
      </c>
      <c r="M1259" s="5684"/>
      <c r="N1259" s="6388">
        <v>27</v>
      </c>
      <c r="O1259" s="5686" t="s">
        <v>941</v>
      </c>
      <c r="P1259" s="6032">
        <v>0</v>
      </c>
      <c r="Q1259" s="5701"/>
      <c r="R1259" s="2468"/>
      <c r="S1259" s="4849"/>
      <c r="T1259" s="545"/>
      <c r="U1259" s="546"/>
      <c r="V1259" s="547"/>
      <c r="W1259" s="548"/>
      <c r="X1259" s="277"/>
      <c r="Y1259" s="277"/>
      <c r="Z1259" s="187"/>
      <c r="AA1259" s="6301"/>
      <c r="AB1259" s="139" t="s">
        <v>942</v>
      </c>
      <c r="AC1259" s="139"/>
      <c r="AD1259" s="139"/>
      <c r="AE1259" s="139"/>
      <c r="AF1259" s="139"/>
      <c r="AG1259" s="139"/>
      <c r="AH1259" s="139"/>
      <c r="AI1259" s="139"/>
      <c r="AJ1259" s="139"/>
      <c r="AK1259" s="139"/>
      <c r="AL1259" s="139"/>
      <c r="AM1259" s="139"/>
      <c r="AN1259" s="139"/>
      <c r="AO1259" s="139"/>
      <c r="AP1259" s="139"/>
      <c r="AQ1259" s="139"/>
      <c r="AR1259" s="139"/>
      <c r="AS1259" s="139"/>
      <c r="AT1259" s="139"/>
      <c r="AU1259" s="139"/>
      <c r="AV1259" s="139"/>
      <c r="AW1259" s="139"/>
      <c r="AX1259" s="139"/>
      <c r="AY1259" s="139"/>
      <c r="AZ1259" s="139"/>
      <c r="BA1259" s="139"/>
      <c r="BB1259" s="139"/>
      <c r="BC1259" s="139"/>
      <c r="BD1259" s="139"/>
      <c r="BE1259" s="139"/>
      <c r="BF1259" s="139"/>
      <c r="BG1259" s="139"/>
      <c r="BH1259" s="139"/>
    </row>
    <row r="1260" spans="2:60" s="11" customFormat="1" ht="20.100000000000001" customHeight="1">
      <c r="B1260" s="1360"/>
      <c r="C1260" s="5598"/>
      <c r="D1260" s="9598" t="s">
        <v>137</v>
      </c>
      <c r="E1260" s="9600"/>
      <c r="F1260" s="674" t="s">
        <v>156</v>
      </c>
      <c r="G1260" s="666"/>
      <c r="H1260" s="684"/>
      <c r="I1260" s="9579" t="s">
        <v>138</v>
      </c>
      <c r="J1260" s="9581"/>
      <c r="K1260" s="105" t="s">
        <v>156</v>
      </c>
      <c r="L1260" s="5723"/>
      <c r="M1260" s="5684"/>
      <c r="N1260" s="5987"/>
      <c r="O1260" s="5686"/>
      <c r="P1260" s="6032"/>
      <c r="Q1260" s="5701"/>
      <c r="R1260" s="2468"/>
      <c r="S1260" s="4849"/>
      <c r="T1260" s="545"/>
      <c r="U1260" s="546"/>
      <c r="V1260" s="547"/>
      <c r="W1260" s="548"/>
      <c r="X1260" s="277"/>
      <c r="Y1260" s="277"/>
      <c r="Z1260" s="187"/>
      <c r="AA1260" s="6301"/>
      <c r="AB1260" s="139"/>
      <c r="AC1260" s="139"/>
      <c r="AD1260" s="139"/>
      <c r="AE1260" s="139"/>
      <c r="AF1260" s="139"/>
      <c r="AG1260" s="139"/>
      <c r="AH1260" s="139"/>
      <c r="AI1260" s="139"/>
      <c r="AJ1260" s="139"/>
      <c r="AK1260" s="139"/>
      <c r="AL1260" s="139"/>
      <c r="AM1260" s="139"/>
      <c r="AN1260" s="139"/>
      <c r="AO1260" s="139"/>
      <c r="AP1260" s="139"/>
      <c r="AQ1260" s="139"/>
      <c r="AR1260" s="139"/>
      <c r="AS1260" s="139"/>
      <c r="AT1260" s="139"/>
      <c r="AU1260" s="139"/>
      <c r="AV1260" s="139"/>
      <c r="AW1260" s="139"/>
      <c r="AX1260" s="139"/>
      <c r="AY1260" s="139"/>
      <c r="AZ1260" s="139"/>
      <c r="BA1260" s="139"/>
      <c r="BB1260" s="139"/>
      <c r="BC1260" s="139"/>
      <c r="BD1260" s="139"/>
      <c r="BE1260" s="139"/>
      <c r="BF1260" s="139"/>
      <c r="BG1260" s="139"/>
      <c r="BH1260" s="139"/>
    </row>
    <row r="1261" spans="2:60" s="11" customFormat="1" ht="20.100000000000001" customHeight="1">
      <c r="B1261" s="1360"/>
      <c r="C1261" s="5598"/>
      <c r="D1261" s="9598" t="s">
        <v>140</v>
      </c>
      <c r="E1261" s="9600"/>
      <c r="F1261" s="674" t="s">
        <v>156</v>
      </c>
      <c r="G1261" s="666"/>
      <c r="H1261" s="684"/>
      <c r="I1261" s="9582" t="s">
        <v>141</v>
      </c>
      <c r="J1261" s="9583"/>
      <c r="K1261" s="105" t="s">
        <v>156</v>
      </c>
      <c r="L1261" s="5723">
        <v>0</v>
      </c>
      <c r="M1261" s="5684"/>
      <c r="N1261" s="5987">
        <v>0</v>
      </c>
      <c r="O1261" s="5686"/>
      <c r="P1261" s="6032">
        <v>0</v>
      </c>
      <c r="Q1261" s="5701"/>
      <c r="R1261" s="2468"/>
      <c r="S1261" s="4849"/>
      <c r="T1261" s="545"/>
      <c r="U1261" s="546"/>
      <c r="V1261" s="547"/>
      <c r="W1261" s="548"/>
      <c r="X1261" s="277"/>
      <c r="Y1261" s="277"/>
      <c r="Z1261" s="187"/>
      <c r="AA1261" s="6301"/>
      <c r="AB1261" s="139"/>
      <c r="AC1261" s="139"/>
      <c r="AD1261" s="139"/>
      <c r="AE1261" s="139"/>
      <c r="AF1261" s="139"/>
      <c r="AG1261" s="139"/>
      <c r="AH1261" s="139"/>
      <c r="AI1261" s="139"/>
      <c r="AJ1261" s="139"/>
      <c r="AK1261" s="139"/>
      <c r="AL1261" s="139"/>
      <c r="AM1261" s="139"/>
      <c r="AN1261" s="139"/>
      <c r="AO1261" s="139"/>
      <c r="AP1261" s="139"/>
      <c r="AQ1261" s="139"/>
      <c r="AR1261" s="139"/>
      <c r="AS1261" s="139"/>
      <c r="AT1261" s="139"/>
      <c r="AU1261" s="139"/>
      <c r="AV1261" s="139"/>
      <c r="AW1261" s="139"/>
      <c r="AX1261" s="139"/>
      <c r="AY1261" s="139"/>
      <c r="AZ1261" s="139"/>
      <c r="BA1261" s="139"/>
      <c r="BB1261" s="139"/>
      <c r="BC1261" s="139"/>
      <c r="BD1261" s="139"/>
      <c r="BE1261" s="139"/>
      <c r="BF1261" s="139"/>
      <c r="BG1261" s="139"/>
      <c r="BH1261" s="139"/>
    </row>
    <row r="1262" spans="2:60" s="11" customFormat="1" ht="20.100000000000001" customHeight="1">
      <c r="B1262" s="1360"/>
      <c r="C1262" s="5598"/>
      <c r="D1262" s="9598" t="s">
        <v>143</v>
      </c>
      <c r="E1262" s="9600"/>
      <c r="F1262" s="674" t="s">
        <v>156</v>
      </c>
      <c r="G1262" s="666"/>
      <c r="H1262" s="684"/>
      <c r="I1262" s="9582" t="s">
        <v>144</v>
      </c>
      <c r="J1262" s="9583"/>
      <c r="K1262" s="105" t="s">
        <v>156</v>
      </c>
      <c r="L1262" s="5723">
        <v>0</v>
      </c>
      <c r="M1262" s="5871" t="s">
        <v>801</v>
      </c>
      <c r="N1262" s="5987">
        <v>4.71253534401508E-4</v>
      </c>
      <c r="O1262" s="5874" t="s">
        <v>801</v>
      </c>
      <c r="P1262" s="6032">
        <v>0</v>
      </c>
      <c r="Q1262" s="5701"/>
      <c r="R1262" s="2468"/>
      <c r="S1262" s="4849"/>
      <c r="T1262" s="545"/>
      <c r="U1262" s="546"/>
      <c r="V1262" s="547"/>
      <c r="W1262" s="548"/>
      <c r="X1262" s="277"/>
      <c r="Y1262" s="277"/>
      <c r="Z1262" s="187"/>
      <c r="AA1262" s="6301"/>
      <c r="AB1262" s="139"/>
      <c r="AC1262" s="139"/>
      <c r="AD1262" s="139"/>
      <c r="AE1262" s="139"/>
      <c r="AF1262" s="139"/>
      <c r="AG1262" s="139"/>
      <c r="AH1262" s="139"/>
      <c r="AI1262" s="139"/>
      <c r="AJ1262" s="139"/>
      <c r="AK1262" s="139"/>
      <c r="AL1262" s="139"/>
      <c r="AM1262" s="139"/>
      <c r="AN1262" s="139"/>
      <c r="AO1262" s="139"/>
      <c r="AP1262" s="139"/>
      <c r="AQ1262" s="139"/>
      <c r="AR1262" s="139"/>
      <c r="AS1262" s="139"/>
      <c r="AT1262" s="139"/>
      <c r="AU1262" s="139"/>
      <c r="AV1262" s="139"/>
      <c r="AW1262" s="139"/>
      <c r="AX1262" s="139"/>
      <c r="AY1262" s="139"/>
      <c r="AZ1262" s="139"/>
      <c r="BA1262" s="139"/>
      <c r="BB1262" s="139"/>
      <c r="BC1262" s="139"/>
      <c r="BD1262" s="139"/>
      <c r="BE1262" s="139"/>
      <c r="BF1262" s="139"/>
      <c r="BG1262" s="139"/>
      <c r="BH1262" s="139"/>
    </row>
    <row r="1263" spans="2:60" s="11" customFormat="1" ht="20.100000000000001" customHeight="1">
      <c r="B1263" s="1360"/>
      <c r="C1263" s="5598"/>
      <c r="D1263" s="9598" t="s">
        <v>631</v>
      </c>
      <c r="E1263" s="9600"/>
      <c r="F1263" s="674" t="s">
        <v>156</v>
      </c>
      <c r="G1263" s="666"/>
      <c r="H1263" s="684"/>
      <c r="I1263" s="9582" t="s">
        <v>147</v>
      </c>
      <c r="J1263" s="9583"/>
      <c r="K1263" s="105" t="s">
        <v>156</v>
      </c>
      <c r="L1263" s="6031">
        <v>0</v>
      </c>
      <c r="M1263" s="5684"/>
      <c r="N1263" s="5989">
        <v>0.03</v>
      </c>
      <c r="O1263" s="5686"/>
      <c r="P1263" s="6033">
        <v>0.04</v>
      </c>
      <c r="Q1263" s="5701"/>
      <c r="R1263" s="2468"/>
      <c r="S1263" s="4849"/>
      <c r="T1263" s="545"/>
      <c r="U1263" s="546"/>
      <c r="V1263" s="547"/>
      <c r="W1263" s="548"/>
      <c r="X1263" s="277"/>
      <c r="Y1263" s="277"/>
      <c r="Z1263" s="187"/>
      <c r="AA1263" s="6301"/>
      <c r="AB1263" s="139"/>
      <c r="AC1263" s="139"/>
      <c r="AD1263" s="139"/>
      <c r="AE1263" s="139"/>
      <c r="AF1263" s="139"/>
      <c r="AG1263" s="139"/>
      <c r="AH1263" s="139"/>
      <c r="AI1263" s="139"/>
      <c r="AJ1263" s="139"/>
      <c r="AK1263" s="139"/>
      <c r="AL1263" s="139"/>
      <c r="AM1263" s="139"/>
      <c r="AN1263" s="139"/>
      <c r="AO1263" s="139"/>
      <c r="AP1263" s="139"/>
      <c r="AQ1263" s="139"/>
      <c r="AR1263" s="139"/>
      <c r="AS1263" s="139"/>
      <c r="AT1263" s="139"/>
      <c r="AU1263" s="139"/>
      <c r="AV1263" s="139"/>
      <c r="AW1263" s="139"/>
      <c r="AX1263" s="139"/>
      <c r="AY1263" s="139"/>
      <c r="AZ1263" s="139"/>
      <c r="BA1263" s="139"/>
      <c r="BB1263" s="139"/>
      <c r="BC1263" s="139"/>
      <c r="BD1263" s="139"/>
      <c r="BE1263" s="139"/>
      <c r="BF1263" s="139"/>
      <c r="BG1263" s="139"/>
      <c r="BH1263" s="139"/>
    </row>
    <row r="1264" spans="2:60" s="11" customFormat="1" ht="20.100000000000001" customHeight="1">
      <c r="B1264" s="1360"/>
      <c r="C1264" s="5598"/>
      <c r="D1264" s="9598" t="s">
        <v>633</v>
      </c>
      <c r="E1264" s="9600"/>
      <c r="F1264" s="674" t="s">
        <v>156</v>
      </c>
      <c r="G1264" s="666"/>
      <c r="H1264" s="684"/>
      <c r="I1264" s="9582" t="s">
        <v>150</v>
      </c>
      <c r="J1264" s="9583"/>
      <c r="K1264" s="105" t="s">
        <v>156</v>
      </c>
      <c r="L1264" s="5723">
        <v>0</v>
      </c>
      <c r="M1264" s="5684"/>
      <c r="N1264" s="5987">
        <v>0</v>
      </c>
      <c r="O1264" s="5684"/>
      <c r="P1264" s="5987">
        <v>1</v>
      </c>
      <c r="Q1264" s="5701"/>
      <c r="R1264" s="2468"/>
      <c r="S1264" s="676"/>
      <c r="T1264" s="545"/>
      <c r="U1264" s="546"/>
      <c r="V1264" s="547"/>
      <c r="W1264" s="548"/>
      <c r="X1264" s="277"/>
      <c r="Y1264" s="277"/>
      <c r="Z1264" s="187"/>
      <c r="AA1264" s="6301"/>
      <c r="AB1264" s="139"/>
      <c r="AC1264" s="139"/>
      <c r="AD1264" s="139"/>
      <c r="AE1264" s="139"/>
      <c r="AF1264" s="139"/>
      <c r="AG1264" s="139"/>
      <c r="AH1264" s="139"/>
      <c r="AI1264" s="139"/>
      <c r="AJ1264" s="139"/>
      <c r="AK1264" s="139"/>
      <c r="AL1264" s="139"/>
      <c r="AM1264" s="139"/>
      <c r="AN1264" s="139"/>
      <c r="AO1264" s="139"/>
      <c r="AP1264" s="139"/>
      <c r="AQ1264" s="139"/>
      <c r="AR1264" s="139"/>
      <c r="AS1264" s="139"/>
      <c r="AT1264" s="139"/>
      <c r="AU1264" s="139"/>
      <c r="AV1264" s="139"/>
      <c r="AW1264" s="139"/>
      <c r="AX1264" s="139"/>
      <c r="AY1264" s="139"/>
      <c r="AZ1264" s="139"/>
      <c r="BA1264" s="139"/>
      <c r="BB1264" s="139"/>
      <c r="BC1264" s="139"/>
      <c r="BD1264" s="139"/>
      <c r="BE1264" s="139"/>
      <c r="BF1264" s="139"/>
      <c r="BG1264" s="139"/>
      <c r="BH1264" s="139"/>
    </row>
    <row r="1265" spans="2:60" s="11" customFormat="1" ht="20.100000000000001" customHeight="1">
      <c r="B1265" s="1360"/>
      <c r="C1265" s="9690" t="s">
        <v>943</v>
      </c>
      <c r="D1265" s="9691"/>
      <c r="E1265" s="9691"/>
      <c r="F1265" s="9691"/>
      <c r="G1265" s="9691"/>
      <c r="H1265" s="9691" t="s">
        <v>944</v>
      </c>
      <c r="I1265" s="9691"/>
      <c r="J1265" s="9691"/>
      <c r="K1265" s="9691" t="s">
        <v>168</v>
      </c>
      <c r="L1265" s="9691"/>
      <c r="M1265" s="9691"/>
      <c r="N1265" s="9691"/>
      <c r="O1265" s="9691"/>
      <c r="P1265" s="9691"/>
      <c r="Q1265" s="9692"/>
      <c r="R1265" s="2468"/>
      <c r="S1265" s="4849"/>
      <c r="T1265" s="99" t="s">
        <v>737</v>
      </c>
      <c r="U1265" s="547" t="s">
        <v>800</v>
      </c>
      <c r="V1265" s="547"/>
      <c r="W1265" s="99"/>
      <c r="X1265" s="620" t="s">
        <v>919</v>
      </c>
      <c r="Y1265" s="620" t="s">
        <v>884</v>
      </c>
      <c r="Z1265" s="159"/>
      <c r="AA1265" s="6301"/>
      <c r="AB1265" s="139"/>
      <c r="AC1265" s="139"/>
      <c r="AD1265" s="139"/>
      <c r="AE1265" s="139"/>
      <c r="AF1265" s="139"/>
      <c r="AG1265" s="139"/>
      <c r="AH1265" s="139"/>
      <c r="AI1265" s="139"/>
      <c r="AJ1265" s="139"/>
      <c r="AK1265" s="139"/>
      <c r="AL1265" s="139"/>
      <c r="AM1265" s="139"/>
      <c r="AN1265" s="139"/>
      <c r="AO1265" s="139"/>
      <c r="AP1265" s="139"/>
      <c r="AQ1265" s="139"/>
      <c r="AR1265" s="139"/>
      <c r="AS1265" s="139"/>
      <c r="AT1265" s="139"/>
      <c r="AU1265" s="139"/>
      <c r="AV1265" s="139"/>
      <c r="AW1265" s="139"/>
      <c r="AX1265" s="139"/>
      <c r="AY1265" s="139"/>
      <c r="AZ1265" s="139"/>
      <c r="BA1265" s="139"/>
      <c r="BB1265" s="139"/>
      <c r="BC1265" s="139"/>
      <c r="BD1265" s="139"/>
      <c r="BE1265" s="139"/>
      <c r="BF1265" s="139"/>
      <c r="BG1265" s="139"/>
      <c r="BH1265" s="139"/>
    </row>
    <row r="1266" spans="2:60" s="11" customFormat="1" ht="20.100000000000001" customHeight="1">
      <c r="B1266" s="1360"/>
      <c r="C1266" s="5598"/>
      <c r="D1266" s="9584" t="s">
        <v>796</v>
      </c>
      <c r="E1266" s="9585"/>
      <c r="F1266" s="285" t="s">
        <v>156</v>
      </c>
      <c r="G1266" s="286"/>
      <c r="H1266" s="1776"/>
      <c r="I1266" s="9584" t="s">
        <v>928</v>
      </c>
      <c r="J1266" s="9585"/>
      <c r="K1266" s="105" t="s">
        <v>156</v>
      </c>
      <c r="L1266" s="5968">
        <f>IF(COUNTBLANK(L1267:L1272)&gt;0,"미취합법인有",AVERAGE(L1267:L1272))</f>
        <v>38.302</v>
      </c>
      <c r="M1266" s="5657"/>
      <c r="N1266" s="5654">
        <f>IF(COUNTBLANK(N1267:N1272)&gt;0,"미취합법인有",AVERAGE(N1267:N1272))</f>
        <v>36.281999999999996</v>
      </c>
      <c r="O1266" s="5663"/>
      <c r="P1266" s="5781">
        <f>IF(COUNTBLANK(P1267:P1272)&gt;0,"미취합법인有",AVERAGE(P1267:P1272))</f>
        <v>28.521276595744684</v>
      </c>
      <c r="Q1266" s="785"/>
      <c r="R1266" s="348" t="s">
        <v>945</v>
      </c>
      <c r="S1266" s="4849" t="s">
        <v>946</v>
      </c>
      <c r="T1266" s="99" t="s">
        <v>737</v>
      </c>
      <c r="U1266" s="547" t="s">
        <v>800</v>
      </c>
      <c r="V1266" s="547"/>
      <c r="W1266" s="99"/>
      <c r="X1266" s="620" t="s">
        <v>919</v>
      </c>
      <c r="Y1266" s="620" t="s">
        <v>884</v>
      </c>
      <c r="Z1266" s="159"/>
      <c r="AA1266" s="6301"/>
      <c r="AB1266" s="139"/>
      <c r="AC1266" s="139"/>
      <c r="AD1266" s="139"/>
      <c r="AE1266" s="139"/>
      <c r="AF1266" s="139"/>
      <c r="AG1266" s="139"/>
      <c r="AH1266" s="139"/>
      <c r="AI1266" s="139"/>
      <c r="AJ1266" s="139"/>
      <c r="AK1266" s="139"/>
      <c r="AL1266" s="139"/>
      <c r="AM1266" s="139"/>
      <c r="AN1266" s="139"/>
      <c r="AO1266" s="139"/>
      <c r="AP1266" s="139"/>
      <c r="AQ1266" s="139"/>
      <c r="AR1266" s="139"/>
      <c r="AS1266" s="139"/>
      <c r="AT1266" s="139"/>
      <c r="AU1266" s="139"/>
      <c r="AV1266" s="139"/>
      <c r="AW1266" s="139"/>
      <c r="AX1266" s="139"/>
      <c r="AY1266" s="139"/>
      <c r="AZ1266" s="139"/>
      <c r="BA1266" s="139"/>
      <c r="BB1266" s="139"/>
      <c r="BC1266" s="139"/>
      <c r="BD1266" s="139"/>
      <c r="BE1266" s="139"/>
      <c r="BF1266" s="139"/>
      <c r="BG1266" s="139"/>
      <c r="BH1266" s="139"/>
    </row>
    <row r="1267" spans="2:60" s="11" customFormat="1" ht="20.100000000000001" customHeight="1">
      <c r="B1267" s="1360"/>
      <c r="C1267" s="5598"/>
      <c r="D1267" s="9598" t="s">
        <v>134</v>
      </c>
      <c r="E1267" s="9600"/>
      <c r="F1267" s="674" t="s">
        <v>156</v>
      </c>
      <c r="G1267" s="666"/>
      <c r="H1267" s="684"/>
      <c r="I1267" s="9579" t="s">
        <v>135</v>
      </c>
      <c r="J1267" s="9581"/>
      <c r="K1267" s="105" t="s">
        <v>156</v>
      </c>
      <c r="L1267" s="5714">
        <v>45</v>
      </c>
      <c r="M1267" s="5684"/>
      <c r="N1267" s="5987">
        <v>26</v>
      </c>
      <c r="O1267" s="5699" t="s">
        <v>947</v>
      </c>
      <c r="P1267" s="5988">
        <v>11</v>
      </c>
      <c r="Q1267" s="5701"/>
      <c r="R1267" s="2468"/>
      <c r="S1267" s="4849"/>
      <c r="T1267" s="545"/>
      <c r="U1267" s="546"/>
      <c r="V1267" s="547"/>
      <c r="W1267" s="548"/>
      <c r="X1267" s="277"/>
      <c r="Y1267" s="277"/>
      <c r="Z1267" s="187"/>
      <c r="AA1267" s="6301"/>
      <c r="AB1267" s="139"/>
      <c r="AC1267" s="139"/>
      <c r="AD1267" s="139"/>
      <c r="AE1267" s="139"/>
      <c r="AF1267" s="139"/>
      <c r="AG1267" s="139"/>
      <c r="AH1267" s="139"/>
      <c r="AI1267" s="139"/>
      <c r="AJ1267" s="139"/>
      <c r="AK1267" s="139"/>
      <c r="AL1267" s="139"/>
      <c r="AM1267" s="139"/>
      <c r="AN1267" s="139"/>
      <c r="AO1267" s="139"/>
      <c r="AP1267" s="139"/>
      <c r="AQ1267" s="139"/>
      <c r="AR1267" s="139"/>
      <c r="AS1267" s="139"/>
      <c r="AT1267" s="139"/>
      <c r="AU1267" s="139"/>
      <c r="AV1267" s="139"/>
      <c r="AW1267" s="139"/>
      <c r="AX1267" s="139"/>
      <c r="AY1267" s="139"/>
      <c r="AZ1267" s="139"/>
      <c r="BA1267" s="139"/>
      <c r="BB1267" s="139"/>
      <c r="BC1267" s="139"/>
      <c r="BD1267" s="139"/>
      <c r="BE1267" s="139"/>
      <c r="BF1267" s="139"/>
      <c r="BG1267" s="139"/>
      <c r="BH1267" s="139"/>
    </row>
    <row r="1268" spans="2:60" s="11" customFormat="1" ht="20.100000000000001" customHeight="1">
      <c r="B1268" s="1360"/>
      <c r="C1268" s="5598"/>
      <c r="D1268" s="9598" t="s">
        <v>137</v>
      </c>
      <c r="E1268" s="9600"/>
      <c r="F1268" s="674" t="s">
        <v>156</v>
      </c>
      <c r="G1268" s="666"/>
      <c r="H1268" s="684"/>
      <c r="I1268" s="9579" t="s">
        <v>138</v>
      </c>
      <c r="J1268" s="9581"/>
      <c r="K1268" s="105" t="s">
        <v>156</v>
      </c>
      <c r="L1268" s="6047" t="s">
        <v>168</v>
      </c>
      <c r="M1268" s="5897" t="s">
        <v>640</v>
      </c>
      <c r="N1268" s="5987" t="s">
        <v>169</v>
      </c>
      <c r="O1268" s="5686" t="s">
        <v>641</v>
      </c>
      <c r="P1268" s="6352">
        <v>6</v>
      </c>
      <c r="Q1268" s="5701"/>
      <c r="R1268" s="2468"/>
      <c r="S1268" s="4849"/>
      <c r="T1268" s="545"/>
      <c r="U1268" s="546"/>
      <c r="V1268" s="547"/>
      <c r="W1268" s="548"/>
      <c r="X1268" s="277"/>
      <c r="Y1268" s="277"/>
      <c r="Z1268" s="187"/>
      <c r="AA1268" s="6301"/>
      <c r="AB1268" s="139" t="s">
        <v>948</v>
      </c>
      <c r="AC1268" s="139"/>
      <c r="AD1268" s="139"/>
      <c r="AE1268" s="139"/>
      <c r="AF1268" s="139"/>
      <c r="AG1268" s="139"/>
      <c r="AH1268" s="139"/>
      <c r="AI1268" s="139"/>
      <c r="AJ1268" s="139"/>
      <c r="AK1268" s="139"/>
      <c r="AL1268" s="139"/>
      <c r="AM1268" s="139"/>
      <c r="AN1268" s="139"/>
      <c r="AO1268" s="139"/>
      <c r="AP1268" s="139"/>
      <c r="AQ1268" s="139"/>
      <c r="AR1268" s="139"/>
      <c r="AS1268" s="139"/>
      <c r="AT1268" s="139"/>
      <c r="AU1268" s="139"/>
      <c r="AV1268" s="139"/>
      <c r="AW1268" s="139"/>
      <c r="AX1268" s="139"/>
      <c r="AY1268" s="139"/>
      <c r="AZ1268" s="139"/>
      <c r="BA1268" s="139"/>
      <c r="BB1268" s="139"/>
      <c r="BC1268" s="139"/>
      <c r="BD1268" s="139"/>
      <c r="BE1268" s="139"/>
      <c r="BF1268" s="139"/>
      <c r="BG1268" s="139"/>
      <c r="BH1268" s="139"/>
    </row>
    <row r="1269" spans="2:60" s="11" customFormat="1" ht="20.100000000000001" customHeight="1">
      <c r="B1269" s="1360"/>
      <c r="C1269" s="5598"/>
      <c r="D1269" s="9598" t="s">
        <v>140</v>
      </c>
      <c r="E1269" s="9600"/>
      <c r="F1269" s="674" t="s">
        <v>156</v>
      </c>
      <c r="G1269" s="666"/>
      <c r="H1269" s="684"/>
      <c r="I1269" s="9582" t="s">
        <v>141</v>
      </c>
      <c r="J1269" s="9583"/>
      <c r="K1269" s="105" t="s">
        <v>156</v>
      </c>
      <c r="L1269" s="5714">
        <v>29</v>
      </c>
      <c r="M1269" s="5684"/>
      <c r="N1269" s="5987">
        <v>43</v>
      </c>
      <c r="O1269" s="5699"/>
      <c r="P1269" s="5988">
        <v>27</v>
      </c>
      <c r="Q1269" s="5701"/>
      <c r="R1269" s="2468"/>
      <c r="S1269" s="4849"/>
      <c r="T1269" s="545"/>
      <c r="U1269" s="546"/>
      <c r="V1269" s="547"/>
      <c r="W1269" s="548"/>
      <c r="X1269" s="277"/>
      <c r="Y1269" s="277"/>
      <c r="Z1269" s="187"/>
      <c r="AA1269" s="6301"/>
      <c r="AB1269" s="139"/>
      <c r="AC1269" s="139"/>
      <c r="AD1269" s="139"/>
      <c r="AE1269" s="139"/>
      <c r="AF1269" s="139"/>
      <c r="AG1269" s="139"/>
      <c r="AH1269" s="139"/>
      <c r="AI1269" s="139"/>
      <c r="AJ1269" s="139"/>
      <c r="AK1269" s="139"/>
      <c r="AL1269" s="139"/>
      <c r="AM1269" s="139"/>
      <c r="AN1269" s="139"/>
      <c r="AO1269" s="139"/>
      <c r="AP1269" s="139"/>
      <c r="AQ1269" s="139"/>
      <c r="AR1269" s="139"/>
      <c r="AS1269" s="139"/>
      <c r="AT1269" s="139"/>
      <c r="AU1269" s="139"/>
      <c r="AV1269" s="139"/>
      <c r="AW1269" s="139"/>
      <c r="AX1269" s="139"/>
      <c r="AY1269" s="139"/>
      <c r="AZ1269" s="139"/>
      <c r="BA1269" s="139"/>
      <c r="BB1269" s="139"/>
      <c r="BC1269" s="139"/>
      <c r="BD1269" s="139"/>
      <c r="BE1269" s="139"/>
      <c r="BF1269" s="139"/>
      <c r="BG1269" s="139"/>
      <c r="BH1269" s="139"/>
    </row>
    <row r="1270" spans="2:60" s="11" customFormat="1" ht="20.100000000000001" customHeight="1">
      <c r="B1270" s="1360"/>
      <c r="C1270" s="5598"/>
      <c r="D1270" s="9598" t="s">
        <v>143</v>
      </c>
      <c r="E1270" s="9600"/>
      <c r="F1270" s="674" t="s">
        <v>156</v>
      </c>
      <c r="G1270" s="666"/>
      <c r="H1270" s="684"/>
      <c r="I1270" s="9582" t="s">
        <v>144</v>
      </c>
      <c r="J1270" s="9583"/>
      <c r="K1270" s="105" t="s">
        <v>156</v>
      </c>
      <c r="L1270" s="5714">
        <v>52</v>
      </c>
      <c r="M1270" s="5871" t="s">
        <v>801</v>
      </c>
      <c r="N1270" s="5987">
        <v>60</v>
      </c>
      <c r="O1270" s="5716" t="s">
        <v>801</v>
      </c>
      <c r="P1270" s="5988">
        <v>75</v>
      </c>
      <c r="Q1270" s="5701"/>
      <c r="R1270" s="2468"/>
      <c r="S1270" s="4849"/>
      <c r="T1270" s="545"/>
      <c r="U1270" s="546"/>
      <c r="V1270" s="547"/>
      <c r="W1270" s="548"/>
      <c r="X1270" s="277"/>
      <c r="Y1270" s="277"/>
      <c r="Z1270" s="187"/>
      <c r="AA1270" s="6301"/>
      <c r="AB1270" s="139"/>
      <c r="AC1270" s="139"/>
      <c r="AD1270" s="139"/>
      <c r="AE1270" s="139"/>
      <c r="AF1270" s="139"/>
      <c r="AG1270" s="139"/>
      <c r="AH1270" s="139"/>
      <c r="AI1270" s="139"/>
      <c r="AJ1270" s="139"/>
      <c r="AK1270" s="139"/>
      <c r="AL1270" s="139"/>
      <c r="AM1270" s="139"/>
      <c r="AN1270" s="139"/>
      <c r="AO1270" s="139"/>
      <c r="AP1270" s="139"/>
      <c r="AQ1270" s="139"/>
      <c r="AR1270" s="139"/>
      <c r="AS1270" s="139"/>
      <c r="AT1270" s="139"/>
      <c r="AU1270" s="139"/>
      <c r="AV1270" s="139"/>
      <c r="AW1270" s="139"/>
      <c r="AX1270" s="139"/>
      <c r="AY1270" s="139"/>
      <c r="AZ1270" s="139"/>
      <c r="BA1270" s="139"/>
      <c r="BB1270" s="139"/>
      <c r="BC1270" s="139"/>
      <c r="BD1270" s="139"/>
      <c r="BE1270" s="139"/>
      <c r="BF1270" s="139"/>
      <c r="BG1270" s="139"/>
      <c r="BH1270" s="139"/>
    </row>
    <row r="1271" spans="2:60" s="11" customFormat="1" ht="20.100000000000001" customHeight="1">
      <c r="B1271" s="1360"/>
      <c r="C1271" s="5598"/>
      <c r="D1271" s="9598" t="s">
        <v>631</v>
      </c>
      <c r="E1271" s="9600"/>
      <c r="F1271" s="674" t="s">
        <v>156</v>
      </c>
      <c r="G1271" s="666"/>
      <c r="H1271" s="684"/>
      <c r="I1271" s="9582" t="s">
        <v>147</v>
      </c>
      <c r="J1271" s="9583"/>
      <c r="K1271" s="105" t="s">
        <v>156</v>
      </c>
      <c r="L1271" s="5714">
        <v>0</v>
      </c>
      <c r="M1271" s="5684"/>
      <c r="N1271" s="5987">
        <v>0</v>
      </c>
      <c r="O1271" s="5699"/>
      <c r="P1271" s="5988">
        <v>0</v>
      </c>
      <c r="Q1271" s="5701"/>
      <c r="R1271" s="2468"/>
      <c r="S1271" s="676"/>
      <c r="T1271" s="545"/>
      <c r="U1271" s="546"/>
      <c r="V1271" s="547"/>
      <c r="W1271" s="548"/>
      <c r="X1271" s="277"/>
      <c r="Y1271" s="277"/>
      <c r="Z1271" s="187"/>
      <c r="AA1271" s="6301"/>
      <c r="AB1271" s="139"/>
      <c r="AC1271" s="139"/>
      <c r="AD1271" s="139"/>
      <c r="AE1271" s="139"/>
      <c r="AF1271" s="139"/>
      <c r="AG1271" s="139"/>
      <c r="AH1271" s="139"/>
      <c r="AI1271" s="139"/>
      <c r="AJ1271" s="139"/>
      <c r="AK1271" s="139"/>
      <c r="AL1271" s="139"/>
      <c r="AM1271" s="139"/>
      <c r="AN1271" s="139"/>
      <c r="AO1271" s="139"/>
      <c r="AP1271" s="139"/>
      <c r="AQ1271" s="139"/>
      <c r="AR1271" s="139"/>
      <c r="AS1271" s="139"/>
      <c r="AT1271" s="139"/>
      <c r="AU1271" s="139"/>
      <c r="AV1271" s="139"/>
      <c r="AW1271" s="139"/>
      <c r="AX1271" s="139"/>
      <c r="AY1271" s="139"/>
      <c r="AZ1271" s="139"/>
      <c r="BA1271" s="139"/>
      <c r="BB1271" s="139"/>
      <c r="BC1271" s="139"/>
      <c r="BD1271" s="139"/>
      <c r="BE1271" s="139"/>
      <c r="BF1271" s="139"/>
      <c r="BG1271" s="139"/>
      <c r="BH1271" s="139"/>
    </row>
    <row r="1272" spans="2:60" s="11" customFormat="1" ht="20.100000000000001" customHeight="1">
      <c r="B1272" s="1360"/>
      <c r="C1272" s="5598"/>
      <c r="D1272" s="9598" t="s">
        <v>633</v>
      </c>
      <c r="E1272" s="9600"/>
      <c r="F1272" s="674" t="s">
        <v>156</v>
      </c>
      <c r="G1272" s="666"/>
      <c r="H1272" s="684"/>
      <c r="I1272" s="9582" t="s">
        <v>150</v>
      </c>
      <c r="J1272" s="9583"/>
      <c r="K1272" s="105" t="s">
        <v>156</v>
      </c>
      <c r="L1272" s="5714">
        <v>65.510000000000005</v>
      </c>
      <c r="M1272" s="5684"/>
      <c r="N1272" s="5993">
        <v>52.41</v>
      </c>
      <c r="O1272" s="5697"/>
      <c r="P1272" s="5993">
        <v>52.127659574468098</v>
      </c>
      <c r="Q1272" s="5701"/>
      <c r="R1272" s="2468"/>
      <c r="S1272" s="4849"/>
      <c r="T1272" s="545"/>
      <c r="U1272" s="546"/>
      <c r="V1272" s="547"/>
      <c r="W1272" s="548"/>
      <c r="X1272" s="277"/>
      <c r="Y1272" s="277"/>
      <c r="Z1272" s="187"/>
      <c r="AA1272" s="6301"/>
      <c r="AB1272" s="139"/>
      <c r="AC1272" s="139"/>
      <c r="AD1272" s="139"/>
      <c r="AE1272" s="139"/>
      <c r="AF1272" s="139"/>
      <c r="AG1272" s="139"/>
      <c r="AH1272" s="139"/>
      <c r="AI1272" s="139"/>
      <c r="AJ1272" s="139"/>
      <c r="AK1272" s="139"/>
      <c r="AL1272" s="139"/>
      <c r="AM1272" s="139"/>
      <c r="AN1272" s="139"/>
      <c r="AO1272" s="139"/>
      <c r="AP1272" s="139"/>
      <c r="AQ1272" s="139"/>
      <c r="AR1272" s="139"/>
      <c r="AS1272" s="139"/>
      <c r="AT1272" s="139"/>
      <c r="AU1272" s="139"/>
      <c r="AV1272" s="139"/>
      <c r="AW1272" s="139"/>
      <c r="AX1272" s="139"/>
      <c r="AY1272" s="139"/>
      <c r="AZ1272" s="139"/>
      <c r="BA1272" s="139"/>
      <c r="BB1272" s="139"/>
      <c r="BC1272" s="139"/>
      <c r="BD1272" s="139"/>
      <c r="BE1272" s="139"/>
      <c r="BF1272" s="139"/>
      <c r="BG1272" s="139"/>
      <c r="BH1272" s="139"/>
    </row>
    <row r="1273" spans="2:60" s="11" customFormat="1" ht="20.100000000000001" customHeight="1">
      <c r="B1273" s="1360"/>
      <c r="C1273" s="5598"/>
      <c r="D1273" s="9584" t="s">
        <v>802</v>
      </c>
      <c r="E1273" s="9585"/>
      <c r="F1273" s="285" t="s">
        <v>156</v>
      </c>
      <c r="G1273" s="286"/>
      <c r="H1273" s="1776"/>
      <c r="I1273" s="9584" t="s">
        <v>933</v>
      </c>
      <c r="J1273" s="9585"/>
      <c r="K1273" s="105" t="s">
        <v>156</v>
      </c>
      <c r="L1273" s="5968">
        <f>IF(COUNTBLANK(L1274:L1279)&gt;0,"미취합법인有",AVERAGE(L1274:L1279))</f>
        <v>31.4</v>
      </c>
      <c r="M1273" s="5657"/>
      <c r="N1273" s="5654">
        <f>IF(COUNTBLANK(N1274:N1279)&gt;0,"미취합법인有",AVERAGE(N1274:N1279))</f>
        <v>27.6</v>
      </c>
      <c r="O1273" s="5663"/>
      <c r="P1273" s="5781">
        <f>IF(COUNTBLANK(P1274:P1279)&gt;0,"미취합법인有",AVERAGE(P1274:P1279))</f>
        <v>27.833333333333332</v>
      </c>
      <c r="Q1273" s="785"/>
      <c r="R1273" s="348"/>
      <c r="S1273" s="4849"/>
      <c r="T1273" s="99" t="s">
        <v>737</v>
      </c>
      <c r="U1273" s="547" t="s">
        <v>800</v>
      </c>
      <c r="V1273" s="547"/>
      <c r="W1273" s="99"/>
      <c r="X1273" s="620" t="s">
        <v>919</v>
      </c>
      <c r="Y1273" s="620" t="s">
        <v>884</v>
      </c>
      <c r="Z1273" s="159"/>
      <c r="AA1273" s="6301"/>
      <c r="AB1273" s="139"/>
      <c r="AC1273" s="139"/>
      <c r="AD1273" s="139"/>
      <c r="AE1273" s="139"/>
      <c r="AF1273" s="139"/>
      <c r="AG1273" s="139"/>
      <c r="AH1273" s="139"/>
      <c r="AI1273" s="139"/>
      <c r="AJ1273" s="139"/>
      <c r="AK1273" s="139"/>
      <c r="AL1273" s="139"/>
      <c r="AM1273" s="139"/>
      <c r="AN1273" s="139"/>
      <c r="AO1273" s="139"/>
      <c r="AP1273" s="139"/>
      <c r="AQ1273" s="139"/>
      <c r="AR1273" s="139"/>
      <c r="AS1273" s="139"/>
      <c r="AT1273" s="139"/>
      <c r="AU1273" s="139"/>
      <c r="AV1273" s="139"/>
      <c r="AW1273" s="139"/>
      <c r="AX1273" s="139"/>
      <c r="AY1273" s="139"/>
      <c r="AZ1273" s="139"/>
      <c r="BA1273" s="139"/>
      <c r="BB1273" s="139"/>
      <c r="BC1273" s="139"/>
      <c r="BD1273" s="139"/>
      <c r="BE1273" s="139"/>
      <c r="BF1273" s="139"/>
      <c r="BG1273" s="139"/>
      <c r="BH1273" s="139"/>
    </row>
    <row r="1274" spans="2:60" s="11" customFormat="1" ht="20.100000000000001" customHeight="1">
      <c r="B1274" s="1360"/>
      <c r="C1274" s="5598"/>
      <c r="D1274" s="9598" t="s">
        <v>134</v>
      </c>
      <c r="E1274" s="9600"/>
      <c r="F1274" s="674" t="s">
        <v>156</v>
      </c>
      <c r="G1274" s="666"/>
      <c r="H1274" s="684"/>
      <c r="I1274" s="9579" t="s">
        <v>135</v>
      </c>
      <c r="J1274" s="9581"/>
      <c r="K1274" s="105" t="s">
        <v>156</v>
      </c>
      <c r="L1274" s="5714">
        <v>50</v>
      </c>
      <c r="M1274" s="5684"/>
      <c r="N1274" s="5987">
        <v>30</v>
      </c>
      <c r="O1274" s="5686" t="s">
        <v>947</v>
      </c>
      <c r="P1274" s="5988">
        <v>11</v>
      </c>
      <c r="Q1274" s="5701"/>
      <c r="R1274" s="2468"/>
      <c r="S1274" s="4849"/>
      <c r="T1274" s="545"/>
      <c r="U1274" s="546"/>
      <c r="V1274" s="547"/>
      <c r="W1274" s="548"/>
      <c r="X1274" s="277"/>
      <c r="Y1274" s="277"/>
      <c r="Z1274" s="187"/>
      <c r="AA1274" s="6301"/>
      <c r="AB1274" s="139"/>
      <c r="AC1274" s="139"/>
      <c r="AD1274" s="139"/>
      <c r="AE1274" s="139"/>
      <c r="AF1274" s="139"/>
      <c r="AG1274" s="139"/>
      <c r="AH1274" s="139"/>
      <c r="AI1274" s="139"/>
      <c r="AJ1274" s="139"/>
      <c r="AK1274" s="139"/>
      <c r="AL1274" s="139"/>
      <c r="AM1274" s="139"/>
      <c r="AN1274" s="139"/>
      <c r="AO1274" s="139"/>
      <c r="AP1274" s="139"/>
      <c r="AQ1274" s="139"/>
      <c r="AR1274" s="139"/>
      <c r="AS1274" s="139"/>
      <c r="AT1274" s="139"/>
      <c r="AU1274" s="139"/>
      <c r="AV1274" s="139"/>
      <c r="AW1274" s="139"/>
      <c r="AX1274" s="139"/>
      <c r="AY1274" s="139"/>
      <c r="AZ1274" s="139"/>
      <c r="BA1274" s="139"/>
      <c r="BB1274" s="139"/>
      <c r="BC1274" s="139"/>
      <c r="BD1274" s="139"/>
      <c r="BE1274" s="139"/>
      <c r="BF1274" s="139"/>
      <c r="BG1274" s="139"/>
      <c r="BH1274" s="139"/>
    </row>
    <row r="1275" spans="2:60" s="11" customFormat="1" ht="20.100000000000001" customHeight="1">
      <c r="B1275" s="1360"/>
      <c r="C1275" s="5598"/>
      <c r="D1275" s="9598" t="s">
        <v>137</v>
      </c>
      <c r="E1275" s="9600"/>
      <c r="F1275" s="674" t="s">
        <v>156</v>
      </c>
      <c r="G1275" s="666"/>
      <c r="H1275" s="684"/>
      <c r="I1275" s="9579" t="s">
        <v>138</v>
      </c>
      <c r="J1275" s="9581"/>
      <c r="K1275" s="105" t="s">
        <v>156</v>
      </c>
      <c r="L1275" s="6047" t="s">
        <v>168</v>
      </c>
      <c r="M1275" s="5897" t="s">
        <v>640</v>
      </c>
      <c r="N1275" s="5987" t="s">
        <v>169</v>
      </c>
      <c r="O1275" s="5686" t="s">
        <v>641</v>
      </c>
      <c r="P1275" s="6352">
        <v>50</v>
      </c>
      <c r="Q1275" s="5701"/>
      <c r="R1275" s="2468"/>
      <c r="S1275" s="4849"/>
      <c r="T1275" s="545"/>
      <c r="U1275" s="546"/>
      <c r="V1275" s="547"/>
      <c r="W1275" s="548"/>
      <c r="X1275" s="277"/>
      <c r="Y1275" s="277"/>
      <c r="Z1275" s="187"/>
      <c r="AA1275" s="6301"/>
      <c r="AB1275" s="139" t="s">
        <v>948</v>
      </c>
      <c r="AC1275" s="139"/>
      <c r="AD1275" s="139"/>
      <c r="AE1275" s="139"/>
      <c r="AF1275" s="139"/>
      <c r="AG1275" s="139"/>
      <c r="AH1275" s="139"/>
      <c r="AI1275" s="139"/>
      <c r="AJ1275" s="139"/>
      <c r="AK1275" s="139"/>
      <c r="AL1275" s="139"/>
      <c r="AM1275" s="139"/>
      <c r="AN1275" s="139"/>
      <c r="AO1275" s="139"/>
      <c r="AP1275" s="139"/>
      <c r="AQ1275" s="139"/>
      <c r="AR1275" s="139"/>
      <c r="AS1275" s="139"/>
      <c r="AT1275" s="139"/>
      <c r="AU1275" s="139"/>
      <c r="AV1275" s="139"/>
      <c r="AW1275" s="139"/>
      <c r="AX1275" s="139"/>
      <c r="AY1275" s="139"/>
      <c r="AZ1275" s="139"/>
      <c r="BA1275" s="139"/>
      <c r="BB1275" s="139"/>
      <c r="BC1275" s="139"/>
      <c r="BD1275" s="139"/>
      <c r="BE1275" s="139"/>
      <c r="BF1275" s="139"/>
      <c r="BG1275" s="139"/>
      <c r="BH1275" s="139"/>
    </row>
    <row r="1276" spans="2:60" s="11" customFormat="1" ht="20.100000000000001" customHeight="1">
      <c r="B1276" s="1360"/>
      <c r="C1276" s="5598"/>
      <c r="D1276" s="9598" t="s">
        <v>140</v>
      </c>
      <c r="E1276" s="9600"/>
      <c r="F1276" s="674" t="s">
        <v>156</v>
      </c>
      <c r="G1276" s="666"/>
      <c r="H1276" s="684"/>
      <c r="I1276" s="9582" t="s">
        <v>141</v>
      </c>
      <c r="J1276" s="9583"/>
      <c r="K1276" s="105" t="s">
        <v>156</v>
      </c>
      <c r="L1276" s="5714">
        <v>25</v>
      </c>
      <c r="M1276" s="5684"/>
      <c r="N1276" s="5987">
        <v>20</v>
      </c>
      <c r="O1276" s="5686"/>
      <c r="P1276" s="5988">
        <v>33</v>
      </c>
      <c r="Q1276" s="5701"/>
      <c r="R1276" s="2468"/>
      <c r="S1276" s="4849"/>
      <c r="T1276" s="545"/>
      <c r="U1276" s="546"/>
      <c r="V1276" s="547"/>
      <c r="W1276" s="548"/>
      <c r="X1276" s="277"/>
      <c r="Y1276" s="277"/>
      <c r="Z1276" s="187"/>
      <c r="AA1276" s="6301"/>
      <c r="AB1276" s="139"/>
      <c r="AC1276" s="139"/>
      <c r="AD1276" s="139"/>
      <c r="AE1276" s="139"/>
      <c r="AF1276" s="139"/>
      <c r="AG1276" s="139"/>
      <c r="AH1276" s="139"/>
      <c r="AI1276" s="139"/>
      <c r="AJ1276" s="139"/>
      <c r="AK1276" s="139"/>
      <c r="AL1276" s="139"/>
      <c r="AM1276" s="139"/>
      <c r="AN1276" s="139"/>
      <c r="AO1276" s="139"/>
      <c r="AP1276" s="139"/>
      <c r="AQ1276" s="139"/>
      <c r="AR1276" s="139"/>
      <c r="AS1276" s="139"/>
      <c r="AT1276" s="139"/>
      <c r="AU1276" s="139"/>
      <c r="AV1276" s="139"/>
      <c r="AW1276" s="139"/>
      <c r="AX1276" s="139"/>
      <c r="AY1276" s="139"/>
      <c r="AZ1276" s="139"/>
      <c r="BA1276" s="139"/>
      <c r="BB1276" s="139"/>
      <c r="BC1276" s="139"/>
      <c r="BD1276" s="139"/>
      <c r="BE1276" s="139"/>
      <c r="BF1276" s="139"/>
      <c r="BG1276" s="139"/>
      <c r="BH1276" s="139"/>
    </row>
    <row r="1277" spans="2:60" s="11" customFormat="1" ht="20.100000000000001" customHeight="1">
      <c r="B1277" s="1360"/>
      <c r="C1277" s="5598"/>
      <c r="D1277" s="9598" t="s">
        <v>143</v>
      </c>
      <c r="E1277" s="9600"/>
      <c r="F1277" s="674" t="s">
        <v>156</v>
      </c>
      <c r="G1277" s="666"/>
      <c r="H1277" s="684"/>
      <c r="I1277" s="9582" t="s">
        <v>144</v>
      </c>
      <c r="J1277" s="9583"/>
      <c r="K1277" s="105" t="s">
        <v>156</v>
      </c>
      <c r="L1277" s="5714">
        <v>48</v>
      </c>
      <c r="M1277" s="5871" t="s">
        <v>801</v>
      </c>
      <c r="N1277" s="5987">
        <v>40</v>
      </c>
      <c r="O1277" s="5874" t="s">
        <v>801</v>
      </c>
      <c r="P1277" s="5988">
        <v>25</v>
      </c>
      <c r="Q1277" s="5701"/>
      <c r="R1277" s="2468"/>
      <c r="S1277" s="4849"/>
      <c r="T1277" s="545"/>
      <c r="U1277" s="546"/>
      <c r="V1277" s="547"/>
      <c r="W1277" s="548"/>
      <c r="X1277" s="277"/>
      <c r="Y1277" s="277"/>
      <c r="Z1277" s="187"/>
      <c r="AA1277" s="6301"/>
      <c r="AB1277" s="139"/>
      <c r="AC1277" s="139"/>
      <c r="AD1277" s="139"/>
      <c r="AE1277" s="139"/>
      <c r="AF1277" s="139"/>
      <c r="AG1277" s="139"/>
      <c r="AH1277" s="139"/>
      <c r="AI1277" s="139"/>
      <c r="AJ1277" s="139"/>
      <c r="AK1277" s="139"/>
      <c r="AL1277" s="139"/>
      <c r="AM1277" s="139"/>
      <c r="AN1277" s="139"/>
      <c r="AO1277" s="139"/>
      <c r="AP1277" s="139"/>
      <c r="AQ1277" s="139"/>
      <c r="AR1277" s="139"/>
      <c r="AS1277" s="139"/>
      <c r="AT1277" s="139"/>
      <c r="AU1277" s="139"/>
      <c r="AV1277" s="139"/>
      <c r="AW1277" s="139"/>
      <c r="AX1277" s="139"/>
      <c r="AY1277" s="139"/>
      <c r="AZ1277" s="139"/>
      <c r="BA1277" s="139"/>
      <c r="BB1277" s="139"/>
      <c r="BC1277" s="139"/>
      <c r="BD1277" s="139"/>
      <c r="BE1277" s="139"/>
      <c r="BF1277" s="139"/>
      <c r="BG1277" s="139"/>
      <c r="BH1277" s="139"/>
    </row>
    <row r="1278" spans="2:60" s="11" customFormat="1" ht="20.100000000000001" customHeight="1">
      <c r="B1278" s="1360"/>
      <c r="C1278" s="5598"/>
      <c r="D1278" s="9598" t="s">
        <v>631</v>
      </c>
      <c r="E1278" s="9600"/>
      <c r="F1278" s="674" t="s">
        <v>156</v>
      </c>
      <c r="G1278" s="666"/>
      <c r="H1278" s="684"/>
      <c r="I1278" s="9582" t="s">
        <v>147</v>
      </c>
      <c r="J1278" s="9583"/>
      <c r="K1278" s="105" t="s">
        <v>156</v>
      </c>
      <c r="L1278" s="5714">
        <v>0</v>
      </c>
      <c r="M1278" s="5684"/>
      <c r="N1278" s="5987">
        <v>0</v>
      </c>
      <c r="O1278" s="5686"/>
      <c r="P1278" s="5988">
        <v>0</v>
      </c>
      <c r="Q1278" s="5701"/>
      <c r="R1278" s="2468"/>
      <c r="S1278" s="4849"/>
      <c r="T1278" s="545"/>
      <c r="U1278" s="546"/>
      <c r="V1278" s="547"/>
      <c r="W1278" s="548"/>
      <c r="X1278" s="277"/>
      <c r="Y1278" s="277"/>
      <c r="Z1278" s="187"/>
      <c r="AA1278" s="6301"/>
      <c r="AB1278" s="139"/>
      <c r="AC1278" s="139"/>
      <c r="AD1278" s="139"/>
      <c r="AE1278" s="139"/>
      <c r="AF1278" s="139"/>
      <c r="AG1278" s="139"/>
      <c r="AH1278" s="139"/>
      <c r="AI1278" s="139"/>
      <c r="AJ1278" s="139"/>
      <c r="AK1278" s="139"/>
      <c r="AL1278" s="139"/>
      <c r="AM1278" s="139"/>
      <c r="AN1278" s="139"/>
      <c r="AO1278" s="139"/>
      <c r="AP1278" s="139"/>
      <c r="AQ1278" s="139"/>
      <c r="AR1278" s="139"/>
      <c r="AS1278" s="139"/>
      <c r="AT1278" s="139"/>
      <c r="AU1278" s="139"/>
      <c r="AV1278" s="139"/>
      <c r="AW1278" s="139"/>
      <c r="AX1278" s="139"/>
      <c r="AY1278" s="139"/>
      <c r="AZ1278" s="139"/>
      <c r="BA1278" s="139"/>
      <c r="BB1278" s="139"/>
      <c r="BC1278" s="139"/>
      <c r="BD1278" s="139"/>
      <c r="BE1278" s="139"/>
      <c r="BF1278" s="139"/>
      <c r="BG1278" s="139"/>
      <c r="BH1278" s="139"/>
    </row>
    <row r="1279" spans="2:60" s="11" customFormat="1" ht="20.100000000000001" customHeight="1">
      <c r="B1279" s="1360"/>
      <c r="C1279" s="5598"/>
      <c r="D1279" s="9598" t="s">
        <v>633</v>
      </c>
      <c r="E1279" s="9600"/>
      <c r="F1279" s="674" t="s">
        <v>156</v>
      </c>
      <c r="G1279" s="666"/>
      <c r="H1279" s="684"/>
      <c r="I1279" s="9582" t="s">
        <v>150</v>
      </c>
      <c r="J1279" s="9583"/>
      <c r="K1279" s="105" t="s">
        <v>156</v>
      </c>
      <c r="L1279" s="5714">
        <v>34</v>
      </c>
      <c r="M1279" s="5684"/>
      <c r="N1279" s="5987">
        <v>48</v>
      </c>
      <c r="O1279" s="5684"/>
      <c r="P1279" s="5987">
        <v>48</v>
      </c>
      <c r="Q1279" s="5701"/>
      <c r="R1279" s="2468"/>
      <c r="S1279" s="676"/>
      <c r="T1279" s="545"/>
      <c r="U1279" s="546"/>
      <c r="V1279" s="547"/>
      <c r="W1279" s="548"/>
      <c r="X1279" s="277"/>
      <c r="Y1279" s="277"/>
      <c r="Z1279" s="187"/>
      <c r="AA1279" s="6301"/>
      <c r="AB1279" s="139"/>
      <c r="AC1279" s="139"/>
      <c r="AD1279" s="139"/>
      <c r="AE1279" s="139"/>
      <c r="AF1279" s="139"/>
      <c r="AG1279" s="139"/>
      <c r="AH1279" s="139"/>
      <c r="AI1279" s="139"/>
      <c r="AJ1279" s="139"/>
      <c r="AK1279" s="139"/>
      <c r="AL1279" s="139"/>
      <c r="AM1279" s="139"/>
      <c r="AN1279" s="139"/>
      <c r="AO1279" s="139"/>
      <c r="AP1279" s="139"/>
      <c r="AQ1279" s="139"/>
      <c r="AR1279" s="139"/>
      <c r="AS1279" s="139"/>
      <c r="AT1279" s="139"/>
      <c r="AU1279" s="139"/>
      <c r="AV1279" s="139"/>
      <c r="AW1279" s="139"/>
      <c r="AX1279" s="139"/>
      <c r="AY1279" s="139"/>
      <c r="AZ1279" s="139"/>
      <c r="BA1279" s="139"/>
      <c r="BB1279" s="139"/>
      <c r="BC1279" s="139"/>
      <c r="BD1279" s="139"/>
      <c r="BE1279" s="139"/>
      <c r="BF1279" s="139"/>
      <c r="BG1279" s="139"/>
      <c r="BH1279" s="139"/>
    </row>
    <row r="1280" spans="2:60" s="11" customFormat="1" ht="20.100000000000001" customHeight="1">
      <c r="B1280" s="1360"/>
      <c r="C1280" s="5598"/>
      <c r="D1280" s="9584" t="s">
        <v>823</v>
      </c>
      <c r="E1280" s="9585"/>
      <c r="F1280" s="285" t="s">
        <v>156</v>
      </c>
      <c r="G1280" s="286"/>
      <c r="H1280" s="1776"/>
      <c r="I1280" s="9584" t="s">
        <v>936</v>
      </c>
      <c r="J1280" s="9585"/>
      <c r="K1280" s="105" t="s">
        <v>156</v>
      </c>
      <c r="L1280" s="5968">
        <f>IF(COUNTBLANK(L1281:L1286)&gt;0,"미취합법인有",AVERAGE(L1281:L1286))</f>
        <v>30.4</v>
      </c>
      <c r="M1280" s="5657"/>
      <c r="N1280" s="5654">
        <f>IF(COUNTBLANK(N1281:N1286)&gt;0,"미취합법인有",AVERAGE(N1281:N1286))</f>
        <v>31</v>
      </c>
      <c r="O1280" s="5663"/>
      <c r="P1280" s="5781">
        <f>IF(COUNTBLANK(P1281:P1286)&gt;0,"미취합법인有",AVERAGE(P1281:P1286))</f>
        <v>30.5</v>
      </c>
      <c r="Q1280" s="785"/>
      <c r="R1280" s="348"/>
      <c r="S1280" s="4849"/>
      <c r="T1280" s="99" t="s">
        <v>737</v>
      </c>
      <c r="U1280" s="547" t="s">
        <v>800</v>
      </c>
      <c r="V1280" s="547"/>
      <c r="W1280" s="99"/>
      <c r="X1280" s="620" t="s">
        <v>919</v>
      </c>
      <c r="Y1280" s="620" t="s">
        <v>884</v>
      </c>
      <c r="Z1280" s="159"/>
      <c r="AA1280" s="6301"/>
      <c r="AB1280" s="139"/>
      <c r="AC1280" s="139"/>
      <c r="AD1280" s="139"/>
      <c r="AE1280" s="139"/>
      <c r="AF1280" s="139"/>
      <c r="AG1280" s="139"/>
      <c r="AH1280" s="139"/>
      <c r="AI1280" s="139"/>
      <c r="AJ1280" s="139"/>
      <c r="AK1280" s="139"/>
      <c r="AL1280" s="139"/>
      <c r="AM1280" s="139"/>
      <c r="AN1280" s="139"/>
      <c r="AO1280" s="139"/>
      <c r="AP1280" s="139"/>
      <c r="AQ1280" s="139"/>
      <c r="AR1280" s="139"/>
      <c r="AS1280" s="139"/>
      <c r="AT1280" s="139"/>
      <c r="AU1280" s="139"/>
      <c r="AV1280" s="139"/>
      <c r="AW1280" s="139"/>
      <c r="AX1280" s="139"/>
      <c r="AY1280" s="139"/>
      <c r="AZ1280" s="139"/>
      <c r="BA1280" s="139"/>
      <c r="BB1280" s="139"/>
      <c r="BC1280" s="139"/>
      <c r="BD1280" s="139"/>
      <c r="BE1280" s="139"/>
      <c r="BF1280" s="139"/>
      <c r="BG1280" s="139"/>
      <c r="BH1280" s="139"/>
    </row>
    <row r="1281" spans="2:60" s="11" customFormat="1" ht="20.100000000000001" customHeight="1">
      <c r="B1281" s="1360"/>
      <c r="C1281" s="5598"/>
      <c r="D1281" s="9598" t="s">
        <v>134</v>
      </c>
      <c r="E1281" s="9600"/>
      <c r="F1281" s="674" t="s">
        <v>156</v>
      </c>
      <c r="G1281" s="666"/>
      <c r="H1281" s="684"/>
      <c r="I1281" s="9579" t="s">
        <v>135</v>
      </c>
      <c r="J1281" s="9581"/>
      <c r="K1281" s="105" t="s">
        <v>156</v>
      </c>
      <c r="L1281" s="5714">
        <v>47</v>
      </c>
      <c r="M1281" s="5684"/>
      <c r="N1281" s="6388">
        <v>27</v>
      </c>
      <c r="O1281" s="5686" t="s">
        <v>941</v>
      </c>
      <c r="P1281" s="5988">
        <v>0</v>
      </c>
      <c r="Q1281" s="5701"/>
      <c r="R1281" s="2468"/>
      <c r="S1281" s="4849"/>
      <c r="T1281" s="545"/>
      <c r="U1281" s="546"/>
      <c r="V1281" s="547"/>
      <c r="W1281" s="548"/>
      <c r="X1281" s="277"/>
      <c r="Y1281" s="277"/>
      <c r="Z1281" s="187"/>
      <c r="AA1281" s="6301"/>
      <c r="AB1281" s="139" t="s">
        <v>942</v>
      </c>
      <c r="AC1281" s="139"/>
      <c r="AD1281" s="139"/>
      <c r="AE1281" s="139"/>
      <c r="AF1281" s="139"/>
      <c r="AG1281" s="139"/>
      <c r="AH1281" s="139"/>
      <c r="AI1281" s="139"/>
      <c r="AJ1281" s="139"/>
      <c r="AK1281" s="139"/>
      <c r="AL1281" s="139"/>
      <c r="AM1281" s="139"/>
      <c r="AN1281" s="139"/>
      <c r="AO1281" s="139"/>
      <c r="AP1281" s="139"/>
      <c r="AQ1281" s="139"/>
      <c r="AR1281" s="139"/>
      <c r="AS1281" s="139"/>
      <c r="AT1281" s="139"/>
      <c r="AU1281" s="139"/>
      <c r="AV1281" s="139"/>
      <c r="AW1281" s="139"/>
      <c r="AX1281" s="139"/>
      <c r="AY1281" s="139"/>
      <c r="AZ1281" s="139"/>
      <c r="BA1281" s="139"/>
      <c r="BB1281" s="139"/>
      <c r="BC1281" s="139"/>
      <c r="BD1281" s="139"/>
      <c r="BE1281" s="139"/>
      <c r="BF1281" s="139"/>
      <c r="BG1281" s="139"/>
      <c r="BH1281" s="139"/>
    </row>
    <row r="1282" spans="2:60" s="11" customFormat="1" ht="20.100000000000001" customHeight="1">
      <c r="B1282" s="1360"/>
      <c r="C1282" s="5598"/>
      <c r="D1282" s="9598" t="s">
        <v>137</v>
      </c>
      <c r="E1282" s="9600"/>
      <c r="F1282" s="674" t="s">
        <v>156</v>
      </c>
      <c r="G1282" s="666"/>
      <c r="H1282" s="684"/>
      <c r="I1282" s="9579" t="s">
        <v>138</v>
      </c>
      <c r="J1282" s="9581"/>
      <c r="K1282" s="105" t="s">
        <v>156</v>
      </c>
      <c r="L1282" s="6047" t="s">
        <v>168</v>
      </c>
      <c r="M1282" s="5897" t="s">
        <v>640</v>
      </c>
      <c r="N1282" s="5987" t="s">
        <v>169</v>
      </c>
      <c r="O1282" s="5686" t="s">
        <v>641</v>
      </c>
      <c r="P1282" s="6352">
        <v>50</v>
      </c>
      <c r="Q1282" s="5701"/>
      <c r="R1282" s="2468"/>
      <c r="S1282" s="4849"/>
      <c r="T1282" s="545"/>
      <c r="U1282" s="546"/>
      <c r="V1282" s="547"/>
      <c r="W1282" s="548"/>
      <c r="X1282" s="277"/>
      <c r="Y1282" s="277"/>
      <c r="Z1282" s="187"/>
      <c r="AA1282" s="6301"/>
      <c r="AB1282" s="139" t="s">
        <v>949</v>
      </c>
      <c r="AC1282" s="139"/>
      <c r="AD1282" s="139"/>
      <c r="AE1282" s="139"/>
      <c r="AF1282" s="139"/>
      <c r="AG1282" s="139"/>
      <c r="AH1282" s="139"/>
      <c r="AI1282" s="139"/>
      <c r="AJ1282" s="139"/>
      <c r="AK1282" s="139"/>
      <c r="AL1282" s="139"/>
      <c r="AM1282" s="139"/>
      <c r="AN1282" s="139"/>
      <c r="AO1282" s="139"/>
      <c r="AP1282" s="139"/>
      <c r="AQ1282" s="139"/>
      <c r="AR1282" s="139"/>
      <c r="AS1282" s="139"/>
      <c r="AT1282" s="139"/>
      <c r="AU1282" s="139"/>
      <c r="AV1282" s="139"/>
      <c r="AW1282" s="139"/>
      <c r="AX1282" s="139"/>
      <c r="AY1282" s="139"/>
      <c r="AZ1282" s="139"/>
      <c r="BA1282" s="139"/>
      <c r="BB1282" s="139"/>
      <c r="BC1282" s="139"/>
      <c r="BD1282" s="139"/>
      <c r="BE1282" s="139"/>
      <c r="BF1282" s="139"/>
      <c r="BG1282" s="139"/>
      <c r="BH1282" s="139"/>
    </row>
    <row r="1283" spans="2:60" s="11" customFormat="1" ht="20.100000000000001" customHeight="1">
      <c r="B1283" s="1360"/>
      <c r="C1283" s="5598"/>
      <c r="D1283" s="9598" t="s">
        <v>140</v>
      </c>
      <c r="E1283" s="9600"/>
      <c r="F1283" s="674" t="s">
        <v>156</v>
      </c>
      <c r="G1283" s="666"/>
      <c r="H1283" s="684"/>
      <c r="I1283" s="9582" t="s">
        <v>141</v>
      </c>
      <c r="J1283" s="9583"/>
      <c r="K1283" s="105" t="s">
        <v>156</v>
      </c>
      <c r="L1283" s="5714">
        <v>10</v>
      </c>
      <c r="M1283" s="5684"/>
      <c r="N1283" s="5987">
        <v>12</v>
      </c>
      <c r="O1283" s="5686"/>
      <c r="P1283" s="5988">
        <v>13</v>
      </c>
      <c r="Q1283" s="5701"/>
      <c r="R1283" s="2468"/>
      <c r="S1283" s="4849"/>
      <c r="T1283" s="545"/>
      <c r="U1283" s="546"/>
      <c r="V1283" s="547"/>
      <c r="W1283" s="548"/>
      <c r="X1283" s="277"/>
      <c r="Y1283" s="277"/>
      <c r="Z1283" s="187"/>
      <c r="AA1283" s="6301"/>
      <c r="AB1283" s="139"/>
      <c r="AC1283" s="139"/>
      <c r="AD1283" s="139"/>
      <c r="AE1283" s="139"/>
      <c r="AF1283" s="139"/>
      <c r="AG1283" s="139"/>
      <c r="AH1283" s="139"/>
      <c r="AI1283" s="139"/>
      <c r="AJ1283" s="139"/>
      <c r="AK1283" s="139"/>
      <c r="AL1283" s="139"/>
      <c r="AM1283" s="139"/>
      <c r="AN1283" s="139"/>
      <c r="AO1283" s="139"/>
      <c r="AP1283" s="139"/>
      <c r="AQ1283" s="139"/>
      <c r="AR1283" s="139"/>
      <c r="AS1283" s="139"/>
      <c r="AT1283" s="139"/>
      <c r="AU1283" s="139"/>
      <c r="AV1283" s="139"/>
      <c r="AW1283" s="139"/>
      <c r="AX1283" s="139"/>
      <c r="AY1283" s="139"/>
      <c r="AZ1283" s="139"/>
      <c r="BA1283" s="139"/>
      <c r="BB1283" s="139"/>
      <c r="BC1283" s="139"/>
      <c r="BD1283" s="139"/>
      <c r="BE1283" s="139"/>
      <c r="BF1283" s="139"/>
      <c r="BG1283" s="139"/>
      <c r="BH1283" s="139"/>
    </row>
    <row r="1284" spans="2:60" s="11" customFormat="1" ht="20.100000000000001" customHeight="1">
      <c r="B1284" s="1360"/>
      <c r="C1284" s="5598"/>
      <c r="D1284" s="9598" t="s">
        <v>143</v>
      </c>
      <c r="E1284" s="9600"/>
      <c r="F1284" s="674" t="s">
        <v>156</v>
      </c>
      <c r="G1284" s="666"/>
      <c r="H1284" s="684"/>
      <c r="I1284" s="9582" t="s">
        <v>144</v>
      </c>
      <c r="J1284" s="9583"/>
      <c r="K1284" s="105" t="s">
        <v>156</v>
      </c>
      <c r="L1284" s="5714">
        <v>52</v>
      </c>
      <c r="M1284" s="5871" t="s">
        <v>801</v>
      </c>
      <c r="N1284" s="5987">
        <v>80</v>
      </c>
      <c r="O1284" s="5874" t="s">
        <v>801</v>
      </c>
      <c r="P1284" s="5988">
        <v>50</v>
      </c>
      <c r="Q1284" s="5701"/>
      <c r="R1284" s="2468"/>
      <c r="S1284" s="4849"/>
      <c r="T1284" s="545"/>
      <c r="U1284" s="546"/>
      <c r="V1284" s="547"/>
      <c r="W1284" s="548"/>
      <c r="X1284" s="277"/>
      <c r="Y1284" s="277"/>
      <c r="Z1284" s="187"/>
      <c r="AA1284" s="6301"/>
      <c r="AB1284" s="139"/>
      <c r="AC1284" s="139"/>
      <c r="AD1284" s="139"/>
      <c r="AE1284" s="139"/>
      <c r="AF1284" s="139"/>
      <c r="AG1284" s="139"/>
      <c r="AH1284" s="139"/>
      <c r="AI1284" s="139"/>
      <c r="AJ1284" s="139"/>
      <c r="AK1284" s="139"/>
      <c r="AL1284" s="139"/>
      <c r="AM1284" s="139"/>
      <c r="AN1284" s="139"/>
      <c r="AO1284" s="139"/>
      <c r="AP1284" s="139"/>
      <c r="AQ1284" s="139"/>
      <c r="AR1284" s="139"/>
      <c r="AS1284" s="139"/>
      <c r="AT1284" s="139"/>
      <c r="AU1284" s="139"/>
      <c r="AV1284" s="139"/>
      <c r="AW1284" s="139"/>
      <c r="AX1284" s="139"/>
      <c r="AY1284" s="139"/>
      <c r="AZ1284" s="139"/>
      <c r="BA1284" s="139"/>
      <c r="BB1284" s="139"/>
      <c r="BC1284" s="139"/>
      <c r="BD1284" s="139"/>
      <c r="BE1284" s="139"/>
      <c r="BF1284" s="139"/>
      <c r="BG1284" s="139"/>
      <c r="BH1284" s="139"/>
    </row>
    <row r="1285" spans="2:60" s="11" customFormat="1" ht="20.100000000000001" customHeight="1">
      <c r="B1285" s="1360"/>
      <c r="C1285" s="5598"/>
      <c r="D1285" s="9598" t="s">
        <v>631</v>
      </c>
      <c r="E1285" s="9600"/>
      <c r="F1285" s="674" t="s">
        <v>156</v>
      </c>
      <c r="G1285" s="666"/>
      <c r="H1285" s="684"/>
      <c r="I1285" s="9582" t="s">
        <v>147</v>
      </c>
      <c r="J1285" s="9583"/>
      <c r="K1285" s="105" t="s">
        <v>156</v>
      </c>
      <c r="L1285" s="5714">
        <v>0</v>
      </c>
      <c r="M1285" s="5684"/>
      <c r="N1285" s="5987">
        <v>0</v>
      </c>
      <c r="O1285" s="5686"/>
      <c r="P1285" s="5988">
        <v>0</v>
      </c>
      <c r="Q1285" s="5701"/>
      <c r="R1285" s="2468"/>
      <c r="S1285" s="4849"/>
      <c r="T1285" s="545"/>
      <c r="U1285" s="546"/>
      <c r="V1285" s="547"/>
      <c r="W1285" s="548"/>
      <c r="X1285" s="277"/>
      <c r="Y1285" s="277"/>
      <c r="Z1285" s="187"/>
      <c r="AA1285" s="6301"/>
      <c r="AB1285" s="139"/>
      <c r="AC1285" s="139"/>
      <c r="AD1285" s="139"/>
      <c r="AE1285" s="139"/>
      <c r="AF1285" s="139"/>
      <c r="AG1285" s="139"/>
      <c r="AH1285" s="139"/>
      <c r="AI1285" s="139"/>
      <c r="AJ1285" s="139"/>
      <c r="AK1285" s="139"/>
      <c r="AL1285" s="139"/>
      <c r="AM1285" s="139"/>
      <c r="AN1285" s="139"/>
      <c r="AO1285" s="139"/>
      <c r="AP1285" s="139"/>
      <c r="AQ1285" s="139"/>
      <c r="AR1285" s="139"/>
      <c r="AS1285" s="139"/>
      <c r="AT1285" s="139"/>
      <c r="AU1285" s="139"/>
      <c r="AV1285" s="139"/>
      <c r="AW1285" s="139"/>
      <c r="AX1285" s="139"/>
      <c r="AY1285" s="139"/>
      <c r="AZ1285" s="139"/>
      <c r="BA1285" s="139"/>
      <c r="BB1285" s="139"/>
      <c r="BC1285" s="139"/>
      <c r="BD1285" s="139"/>
      <c r="BE1285" s="139"/>
      <c r="BF1285" s="139"/>
      <c r="BG1285" s="139"/>
      <c r="BH1285" s="139"/>
    </row>
    <row r="1286" spans="2:60" s="11" customFormat="1" ht="20.100000000000001" customHeight="1">
      <c r="B1286" s="1360"/>
      <c r="C1286" s="5598"/>
      <c r="D1286" s="9598" t="s">
        <v>633</v>
      </c>
      <c r="E1286" s="9600"/>
      <c r="F1286" s="674" t="s">
        <v>156</v>
      </c>
      <c r="G1286" s="666"/>
      <c r="H1286" s="684"/>
      <c r="I1286" s="9582" t="s">
        <v>150</v>
      </c>
      <c r="J1286" s="9583"/>
      <c r="K1286" s="105" t="s">
        <v>156</v>
      </c>
      <c r="L1286" s="5714">
        <v>43</v>
      </c>
      <c r="M1286" s="5684"/>
      <c r="N1286" s="5987">
        <v>36</v>
      </c>
      <c r="O1286" s="5684"/>
      <c r="P1286" s="5987">
        <v>70</v>
      </c>
      <c r="Q1286" s="5701"/>
      <c r="R1286" s="2468"/>
      <c r="S1286" s="4849"/>
      <c r="T1286" s="545"/>
      <c r="U1286" s="546"/>
      <c r="V1286" s="547"/>
      <c r="W1286" s="548"/>
      <c r="X1286" s="277"/>
      <c r="Y1286" s="277"/>
      <c r="Z1286" s="187"/>
      <c r="AA1286" s="6301"/>
      <c r="AB1286" s="139"/>
      <c r="AC1286" s="139"/>
      <c r="AD1286" s="139"/>
      <c r="AE1286" s="139"/>
      <c r="AF1286" s="139"/>
      <c r="AG1286" s="139"/>
      <c r="AH1286" s="139"/>
      <c r="AI1286" s="139"/>
      <c r="AJ1286" s="139"/>
      <c r="AK1286" s="139"/>
      <c r="AL1286" s="139"/>
      <c r="AM1286" s="139"/>
      <c r="AN1286" s="139"/>
      <c r="AO1286" s="139"/>
      <c r="AP1286" s="139"/>
      <c r="AQ1286" s="139"/>
      <c r="AR1286" s="139"/>
      <c r="AS1286" s="139"/>
      <c r="AT1286" s="139"/>
      <c r="AU1286" s="139"/>
      <c r="AV1286" s="139"/>
      <c r="AW1286" s="139"/>
      <c r="AX1286" s="139"/>
      <c r="AY1286" s="139"/>
      <c r="AZ1286" s="139"/>
      <c r="BA1286" s="139"/>
      <c r="BB1286" s="139"/>
      <c r="BC1286" s="139"/>
      <c r="BD1286" s="139"/>
      <c r="BE1286" s="139"/>
      <c r="BF1286" s="139"/>
      <c r="BG1286" s="139"/>
      <c r="BH1286" s="139"/>
    </row>
    <row r="1287" spans="2:60" s="11" customFormat="1" ht="20.100000000000001" customHeight="1">
      <c r="B1287" s="1360"/>
      <c r="C1287" s="5598"/>
      <c r="D1287" s="9584" t="s">
        <v>827</v>
      </c>
      <c r="E1287" s="9585"/>
      <c r="F1287" s="105" t="s">
        <v>156</v>
      </c>
      <c r="G1287" s="253"/>
      <c r="H1287" s="742"/>
      <c r="I1287" s="9584" t="s">
        <v>938</v>
      </c>
      <c r="J1287" s="9585"/>
      <c r="K1287" s="105" t="s">
        <v>156</v>
      </c>
      <c r="L1287" s="5968">
        <f>IF(COUNTBLANK(L1288:L1293)&gt;0,"미취합법인有",AVERAGE(L1288:L1293))</f>
        <v>40.200000000000003</v>
      </c>
      <c r="M1287" s="5657"/>
      <c r="N1287" s="5654">
        <f>IF(COUNTBLANK(N1288:N1293)&gt;0,"미취합법인有",AVERAGE(N1288:N1293))</f>
        <v>22.8</v>
      </c>
      <c r="O1287" s="5663"/>
      <c r="P1287" s="5781">
        <f>IF(COUNTBLANK(P1288:P1293)&gt;0,"미취합법인有",AVERAGE(P1288:P1293))</f>
        <v>31</v>
      </c>
      <c r="Q1287" s="785"/>
      <c r="R1287" s="348"/>
      <c r="S1287" s="676"/>
      <c r="T1287" s="99" t="s">
        <v>737</v>
      </c>
      <c r="U1287" s="547" t="s">
        <v>800</v>
      </c>
      <c r="V1287" s="547"/>
      <c r="W1287" s="99"/>
      <c r="X1287" s="620" t="s">
        <v>919</v>
      </c>
      <c r="Y1287" s="620" t="s">
        <v>884</v>
      </c>
      <c r="Z1287" s="159"/>
      <c r="AA1287" s="6301"/>
      <c r="AB1287" s="139"/>
      <c r="AC1287" s="139"/>
      <c r="AD1287" s="139"/>
      <c r="AE1287" s="139"/>
      <c r="AF1287" s="139"/>
      <c r="AG1287" s="139"/>
      <c r="AH1287" s="139"/>
      <c r="AI1287" s="139"/>
      <c r="AJ1287" s="139"/>
      <c r="AK1287" s="139"/>
      <c r="AL1287" s="139"/>
      <c r="AM1287" s="139"/>
      <c r="AN1287" s="139"/>
      <c r="AO1287" s="139"/>
      <c r="AP1287" s="139"/>
      <c r="AQ1287" s="139"/>
      <c r="AR1287" s="139"/>
      <c r="AS1287" s="139"/>
      <c r="AT1287" s="139"/>
      <c r="AU1287" s="139"/>
      <c r="AV1287" s="139"/>
      <c r="AW1287" s="139"/>
      <c r="AX1287" s="139"/>
      <c r="AY1287" s="139"/>
      <c r="AZ1287" s="139"/>
      <c r="BA1287" s="139"/>
      <c r="BB1287" s="139"/>
      <c r="BC1287" s="139"/>
      <c r="BD1287" s="139"/>
      <c r="BE1287" s="139"/>
      <c r="BF1287" s="139"/>
      <c r="BG1287" s="139"/>
      <c r="BH1287" s="139"/>
    </row>
    <row r="1288" spans="2:60" s="11" customFormat="1" ht="20.100000000000001" customHeight="1">
      <c r="B1288" s="1360"/>
      <c r="C1288" s="5598"/>
      <c r="D1288" s="9598" t="s">
        <v>134</v>
      </c>
      <c r="E1288" s="9600"/>
      <c r="F1288" s="674" t="s">
        <v>156</v>
      </c>
      <c r="G1288" s="666"/>
      <c r="H1288" s="684"/>
      <c r="I1288" s="9579" t="s">
        <v>135</v>
      </c>
      <c r="J1288" s="9581"/>
      <c r="K1288" s="105" t="s">
        <v>156</v>
      </c>
      <c r="L1288" s="5714">
        <v>55</v>
      </c>
      <c r="M1288" s="5684"/>
      <c r="N1288" s="5987">
        <v>30</v>
      </c>
      <c r="O1288" s="5686" t="s">
        <v>950</v>
      </c>
      <c r="P1288" s="5988">
        <v>10</v>
      </c>
      <c r="Q1288" s="5701"/>
      <c r="R1288" s="2468"/>
      <c r="S1288" s="4849"/>
      <c r="T1288" s="545"/>
      <c r="U1288" s="546"/>
      <c r="V1288" s="547"/>
      <c r="W1288" s="548"/>
      <c r="X1288" s="277"/>
      <c r="Y1288" s="277"/>
      <c r="Z1288" s="187"/>
      <c r="AA1288" s="6301"/>
      <c r="AB1288" s="139"/>
      <c r="AC1288" s="139"/>
      <c r="AD1288" s="139"/>
      <c r="AE1288" s="139"/>
      <c r="AF1288" s="139"/>
      <c r="AG1288" s="139"/>
      <c r="AH1288" s="139"/>
      <c r="AI1288" s="139"/>
      <c r="AJ1288" s="139"/>
      <c r="AK1288" s="139"/>
      <c r="AL1288" s="139"/>
      <c r="AM1288" s="139"/>
      <c r="AN1288" s="139"/>
      <c r="AO1288" s="139"/>
      <c r="AP1288" s="139"/>
      <c r="AQ1288" s="139"/>
      <c r="AR1288" s="139"/>
      <c r="AS1288" s="139"/>
      <c r="AT1288" s="139"/>
      <c r="AU1288" s="139"/>
      <c r="AV1288" s="139"/>
      <c r="AW1288" s="139"/>
      <c r="AX1288" s="139"/>
      <c r="AY1288" s="139"/>
      <c r="AZ1288" s="139"/>
      <c r="BA1288" s="139"/>
      <c r="BB1288" s="139"/>
      <c r="BC1288" s="139"/>
      <c r="BD1288" s="139"/>
      <c r="BE1288" s="139"/>
      <c r="BF1288" s="139"/>
      <c r="BG1288" s="139"/>
      <c r="BH1288" s="139"/>
    </row>
    <row r="1289" spans="2:60" s="11" customFormat="1" ht="20.100000000000001" customHeight="1">
      <c r="B1289" s="1360"/>
      <c r="C1289" s="5598"/>
      <c r="D1289" s="9598" t="s">
        <v>137</v>
      </c>
      <c r="E1289" s="9600"/>
      <c r="F1289" s="674" t="s">
        <v>156</v>
      </c>
      <c r="G1289" s="666"/>
      <c r="H1289" s="684"/>
      <c r="I1289" s="9579" t="s">
        <v>138</v>
      </c>
      <c r="J1289" s="9581"/>
      <c r="K1289" s="105" t="s">
        <v>156</v>
      </c>
      <c r="L1289" s="6047" t="s">
        <v>168</v>
      </c>
      <c r="M1289" s="5897" t="s">
        <v>640</v>
      </c>
      <c r="N1289" s="5987" t="s">
        <v>169</v>
      </c>
      <c r="O1289" s="5686" t="s">
        <v>641</v>
      </c>
      <c r="P1289" s="6352">
        <v>50</v>
      </c>
      <c r="Q1289" s="5701"/>
      <c r="R1289" s="2468"/>
      <c r="S1289" s="4849"/>
      <c r="T1289" s="545"/>
      <c r="U1289" s="546"/>
      <c r="V1289" s="547"/>
      <c r="W1289" s="548"/>
      <c r="X1289" s="277"/>
      <c r="Y1289" s="277"/>
      <c r="Z1289" s="187"/>
      <c r="AA1289" s="6301"/>
      <c r="AB1289" s="139" t="s">
        <v>949</v>
      </c>
      <c r="AC1289" s="139"/>
      <c r="AD1289" s="139"/>
      <c r="AE1289" s="139"/>
      <c r="AF1289" s="139"/>
      <c r="AG1289" s="139"/>
      <c r="AH1289" s="139"/>
      <c r="AI1289" s="139"/>
      <c r="AJ1289" s="139"/>
      <c r="AK1289" s="139"/>
      <c r="AL1289" s="139"/>
      <c r="AM1289" s="139"/>
      <c r="AN1289" s="139"/>
      <c r="AO1289" s="139"/>
      <c r="AP1289" s="139"/>
      <c r="AQ1289" s="139"/>
      <c r="AR1289" s="139"/>
      <c r="AS1289" s="139"/>
      <c r="AT1289" s="139"/>
      <c r="AU1289" s="139"/>
      <c r="AV1289" s="139"/>
      <c r="AW1289" s="139"/>
      <c r="AX1289" s="139"/>
      <c r="AY1289" s="139"/>
      <c r="AZ1289" s="139"/>
      <c r="BA1289" s="139"/>
      <c r="BB1289" s="139"/>
      <c r="BC1289" s="139"/>
      <c r="BD1289" s="139"/>
      <c r="BE1289" s="139"/>
      <c r="BF1289" s="139"/>
      <c r="BG1289" s="139"/>
      <c r="BH1289" s="139"/>
    </row>
    <row r="1290" spans="2:60" s="11" customFormat="1" ht="20.100000000000001" customHeight="1">
      <c r="B1290" s="1360"/>
      <c r="C1290" s="5598"/>
      <c r="D1290" s="9598" t="s">
        <v>140</v>
      </c>
      <c r="E1290" s="9600"/>
      <c r="F1290" s="674" t="s">
        <v>156</v>
      </c>
      <c r="G1290" s="666"/>
      <c r="H1290" s="684"/>
      <c r="I1290" s="9582" t="s">
        <v>141</v>
      </c>
      <c r="J1290" s="9583"/>
      <c r="K1290" s="105" t="s">
        <v>156</v>
      </c>
      <c r="L1290" s="5714">
        <v>43</v>
      </c>
      <c r="M1290" s="5684"/>
      <c r="N1290" s="5987">
        <v>52</v>
      </c>
      <c r="O1290" s="5686"/>
      <c r="P1290" s="5988">
        <v>46</v>
      </c>
      <c r="Q1290" s="5701"/>
      <c r="R1290" s="2468"/>
      <c r="S1290" s="4849"/>
      <c r="T1290" s="545"/>
      <c r="U1290" s="546"/>
      <c r="V1290" s="547"/>
      <c r="W1290" s="548"/>
      <c r="X1290" s="277"/>
      <c r="Y1290" s="277"/>
      <c r="Z1290" s="187"/>
      <c r="AA1290" s="6301"/>
      <c r="AB1290" s="139"/>
      <c r="AC1290" s="139"/>
      <c r="AD1290" s="139"/>
      <c r="AE1290" s="139"/>
      <c r="AF1290" s="139"/>
      <c r="AG1290" s="139"/>
      <c r="AH1290" s="139"/>
      <c r="AI1290" s="139"/>
      <c r="AJ1290" s="139"/>
      <c r="AK1290" s="139"/>
      <c r="AL1290" s="139"/>
      <c r="AM1290" s="139"/>
      <c r="AN1290" s="139"/>
      <c r="AO1290" s="139"/>
      <c r="AP1290" s="139"/>
      <c r="AQ1290" s="139"/>
      <c r="AR1290" s="139"/>
      <c r="AS1290" s="139"/>
      <c r="AT1290" s="139"/>
      <c r="AU1290" s="139"/>
      <c r="AV1290" s="139"/>
      <c r="AW1290" s="139"/>
      <c r="AX1290" s="139"/>
      <c r="AY1290" s="139"/>
      <c r="AZ1290" s="139"/>
      <c r="BA1290" s="139"/>
      <c r="BB1290" s="139"/>
      <c r="BC1290" s="139"/>
      <c r="BD1290" s="139"/>
      <c r="BE1290" s="139"/>
      <c r="BF1290" s="139"/>
      <c r="BG1290" s="139"/>
      <c r="BH1290" s="139"/>
    </row>
    <row r="1291" spans="2:60" s="11" customFormat="1" ht="20.100000000000001" customHeight="1">
      <c r="B1291" s="1360"/>
      <c r="C1291" s="5598"/>
      <c r="D1291" s="9598" t="s">
        <v>143</v>
      </c>
      <c r="E1291" s="9600"/>
      <c r="F1291" s="674" t="s">
        <v>156</v>
      </c>
      <c r="G1291" s="666"/>
      <c r="H1291" s="684"/>
      <c r="I1291" s="9582" t="s">
        <v>144</v>
      </c>
      <c r="J1291" s="9583"/>
      <c r="K1291" s="105" t="s">
        <v>156</v>
      </c>
      <c r="L1291" s="5714">
        <v>48</v>
      </c>
      <c r="M1291" s="5871" t="s">
        <v>801</v>
      </c>
      <c r="N1291" s="5987">
        <v>20</v>
      </c>
      <c r="O1291" s="5874" t="s">
        <v>801</v>
      </c>
      <c r="P1291" s="5988">
        <v>50</v>
      </c>
      <c r="Q1291" s="5701"/>
      <c r="R1291" s="2468"/>
      <c r="S1291" s="4849"/>
      <c r="T1291" s="545"/>
      <c r="U1291" s="546"/>
      <c r="V1291" s="547"/>
      <c r="W1291" s="548"/>
      <c r="X1291" s="277"/>
      <c r="Y1291" s="277"/>
      <c r="Z1291" s="187"/>
      <c r="AA1291" s="6301"/>
      <c r="AB1291" s="139"/>
      <c r="AC1291" s="139"/>
      <c r="AD1291" s="139"/>
      <c r="AE1291" s="139"/>
      <c r="AF1291" s="139"/>
      <c r="AG1291" s="139"/>
      <c r="AH1291" s="139"/>
      <c r="AI1291" s="139"/>
      <c r="AJ1291" s="139"/>
      <c r="AK1291" s="139"/>
      <c r="AL1291" s="139"/>
      <c r="AM1291" s="139"/>
      <c r="AN1291" s="139"/>
      <c r="AO1291" s="139"/>
      <c r="AP1291" s="139"/>
      <c r="AQ1291" s="139"/>
      <c r="AR1291" s="139"/>
      <c r="AS1291" s="139"/>
      <c r="AT1291" s="139"/>
      <c r="AU1291" s="139"/>
      <c r="AV1291" s="139"/>
      <c r="AW1291" s="139"/>
      <c r="AX1291" s="139"/>
      <c r="AY1291" s="139"/>
      <c r="AZ1291" s="139"/>
      <c r="BA1291" s="139"/>
      <c r="BB1291" s="139"/>
      <c r="BC1291" s="139"/>
      <c r="BD1291" s="139"/>
      <c r="BE1291" s="139"/>
      <c r="BF1291" s="139"/>
      <c r="BG1291" s="139"/>
      <c r="BH1291" s="139"/>
    </row>
    <row r="1292" spans="2:60" s="11" customFormat="1" ht="20.100000000000001" customHeight="1">
      <c r="B1292" s="1360"/>
      <c r="C1292" s="5598"/>
      <c r="D1292" s="9598" t="s">
        <v>631</v>
      </c>
      <c r="E1292" s="9600"/>
      <c r="F1292" s="674" t="s">
        <v>156</v>
      </c>
      <c r="G1292" s="666"/>
      <c r="H1292" s="684"/>
      <c r="I1292" s="9582" t="s">
        <v>147</v>
      </c>
      <c r="J1292" s="9583"/>
      <c r="K1292" s="105" t="s">
        <v>156</v>
      </c>
      <c r="L1292" s="5714">
        <v>0</v>
      </c>
      <c r="M1292" s="5684"/>
      <c r="N1292" s="5987">
        <v>0</v>
      </c>
      <c r="O1292" s="5686"/>
      <c r="P1292" s="5988">
        <v>0</v>
      </c>
      <c r="Q1292" s="5701"/>
      <c r="R1292" s="2468"/>
      <c r="S1292" s="4849"/>
      <c r="T1292" s="545"/>
      <c r="U1292" s="546"/>
      <c r="V1292" s="547"/>
      <c r="W1292" s="548"/>
      <c r="X1292" s="277"/>
      <c r="Y1292" s="277"/>
      <c r="Z1292" s="187"/>
      <c r="AA1292" s="6301"/>
      <c r="AB1292" s="139"/>
      <c r="AC1292" s="139"/>
      <c r="AD1292" s="139"/>
      <c r="AE1292" s="139"/>
      <c r="AF1292" s="139"/>
      <c r="AG1292" s="139"/>
      <c r="AH1292" s="139"/>
      <c r="AI1292" s="139"/>
      <c r="AJ1292" s="139"/>
      <c r="AK1292" s="139"/>
      <c r="AL1292" s="139"/>
      <c r="AM1292" s="139"/>
      <c r="AN1292" s="139"/>
      <c r="AO1292" s="139"/>
      <c r="AP1292" s="139"/>
      <c r="AQ1292" s="139"/>
      <c r="AR1292" s="139"/>
      <c r="AS1292" s="139"/>
      <c r="AT1292" s="139"/>
      <c r="AU1292" s="139"/>
      <c r="AV1292" s="139"/>
      <c r="AW1292" s="139"/>
      <c r="AX1292" s="139"/>
      <c r="AY1292" s="139"/>
      <c r="AZ1292" s="139"/>
      <c r="BA1292" s="139"/>
      <c r="BB1292" s="139"/>
      <c r="BC1292" s="139"/>
      <c r="BD1292" s="139"/>
      <c r="BE1292" s="139"/>
      <c r="BF1292" s="139"/>
      <c r="BG1292" s="139"/>
      <c r="BH1292" s="139"/>
    </row>
    <row r="1293" spans="2:60" s="11" customFormat="1" ht="20.100000000000001" customHeight="1">
      <c r="B1293" s="1360"/>
      <c r="C1293" s="5598"/>
      <c r="D1293" s="9598" t="s">
        <v>633</v>
      </c>
      <c r="E1293" s="9600"/>
      <c r="F1293" s="674" t="s">
        <v>156</v>
      </c>
      <c r="G1293" s="666"/>
      <c r="H1293" s="684"/>
      <c r="I1293" s="9582" t="s">
        <v>150</v>
      </c>
      <c r="J1293" s="9583"/>
      <c r="K1293" s="105" t="s">
        <v>156</v>
      </c>
      <c r="L1293" s="5714">
        <v>55</v>
      </c>
      <c r="M1293" s="5684"/>
      <c r="N1293" s="5987">
        <v>12</v>
      </c>
      <c r="O1293" s="5684"/>
      <c r="P1293" s="5987">
        <v>30</v>
      </c>
      <c r="Q1293" s="5701"/>
      <c r="R1293" s="2468"/>
      <c r="S1293" s="4849"/>
      <c r="T1293" s="545"/>
      <c r="U1293" s="546"/>
      <c r="V1293" s="547"/>
      <c r="W1293" s="548"/>
      <c r="X1293" s="277"/>
      <c r="Y1293" s="277"/>
      <c r="Z1293" s="187"/>
      <c r="AA1293" s="6301"/>
      <c r="AB1293" s="139"/>
      <c r="AC1293" s="139"/>
      <c r="AD1293" s="139"/>
      <c r="AE1293" s="139"/>
      <c r="AF1293" s="139"/>
      <c r="AG1293" s="139"/>
      <c r="AH1293" s="139"/>
      <c r="AI1293" s="139"/>
      <c r="AJ1293" s="139"/>
      <c r="AK1293" s="139"/>
      <c r="AL1293" s="139"/>
      <c r="AM1293" s="139"/>
      <c r="AN1293" s="139"/>
      <c r="AO1293" s="139"/>
      <c r="AP1293" s="139"/>
      <c r="AQ1293" s="139"/>
      <c r="AR1293" s="139"/>
      <c r="AS1293" s="139"/>
      <c r="AT1293" s="139"/>
      <c r="AU1293" s="139"/>
      <c r="AV1293" s="139"/>
      <c r="AW1293" s="139"/>
      <c r="AX1293" s="139"/>
      <c r="AY1293" s="139"/>
      <c r="AZ1293" s="139"/>
      <c r="BA1293" s="139"/>
      <c r="BB1293" s="139"/>
      <c r="BC1293" s="139"/>
      <c r="BD1293" s="139"/>
      <c r="BE1293" s="139"/>
      <c r="BF1293" s="139"/>
      <c r="BG1293" s="139"/>
      <c r="BH1293" s="139"/>
    </row>
    <row r="1294" spans="2:60" s="11" customFormat="1" ht="20.100000000000001" customHeight="1">
      <c r="B1294" s="1360"/>
      <c r="C1294" s="5598"/>
      <c r="D1294" s="9584" t="s">
        <v>830</v>
      </c>
      <c r="E1294" s="9585"/>
      <c r="F1294" s="105" t="s">
        <v>156</v>
      </c>
      <c r="G1294" s="253"/>
      <c r="H1294" s="742"/>
      <c r="I1294" s="9584" t="s">
        <v>940</v>
      </c>
      <c r="J1294" s="9585"/>
      <c r="K1294" s="105" t="s">
        <v>156</v>
      </c>
      <c r="L1294" s="5968">
        <f>IF(COUNTBLANK(L1295:L1300)&gt;0,"미취합법인有",AVERAGE(L1295:L1300))</f>
        <v>13.200915331807781</v>
      </c>
      <c r="M1294" s="5657"/>
      <c r="N1294" s="5654">
        <f>IF(COUNTBLANK(N1295:N1300)&gt;0,"미취합법인有",AVERAGE(N1295:N1300))</f>
        <v>14.6</v>
      </c>
      <c r="O1294" s="5663"/>
      <c r="P1294" s="5781">
        <f>IF(COUNTBLANK(P1295:P1300)&gt;0,"미취합법인有",AVERAGE(P1295:P1300))</f>
        <v>0.33333333333333331</v>
      </c>
      <c r="Q1294" s="785"/>
      <c r="R1294" s="348"/>
      <c r="S1294" s="676"/>
      <c r="T1294" s="99" t="s">
        <v>737</v>
      </c>
      <c r="U1294" s="547" t="s">
        <v>800</v>
      </c>
      <c r="V1294" s="547"/>
      <c r="W1294" s="99"/>
      <c r="X1294" s="620" t="s">
        <v>919</v>
      </c>
      <c r="Y1294" s="620" t="s">
        <v>884</v>
      </c>
      <c r="Z1294" s="159"/>
      <c r="AA1294" s="6301"/>
      <c r="AB1294" s="139"/>
      <c r="AC1294" s="139"/>
      <c r="AD1294" s="139"/>
      <c r="AE1294" s="139"/>
      <c r="AF1294" s="139"/>
      <c r="AG1294" s="139"/>
      <c r="AH1294" s="139"/>
      <c r="AI1294" s="139"/>
      <c r="AJ1294" s="139"/>
      <c r="AK1294" s="139"/>
      <c r="AL1294" s="139"/>
      <c r="AM1294" s="139"/>
      <c r="AN1294" s="139"/>
      <c r="AO1294" s="139"/>
      <c r="AP1294" s="139"/>
      <c r="AQ1294" s="139"/>
      <c r="AR1294" s="139"/>
      <c r="AS1294" s="139"/>
      <c r="AT1294" s="139"/>
      <c r="AU1294" s="139"/>
      <c r="AV1294" s="139"/>
      <c r="AW1294" s="139"/>
      <c r="AX1294" s="139"/>
      <c r="AY1294" s="139"/>
      <c r="AZ1294" s="139"/>
      <c r="BA1294" s="139"/>
      <c r="BB1294" s="139"/>
      <c r="BC1294" s="139"/>
      <c r="BD1294" s="139"/>
      <c r="BE1294" s="139"/>
      <c r="BF1294" s="139"/>
      <c r="BG1294" s="139"/>
      <c r="BH1294" s="139"/>
    </row>
    <row r="1295" spans="2:60" s="11" customFormat="1" ht="20.100000000000001" customHeight="1">
      <c r="B1295" s="1360"/>
      <c r="C1295" s="5598"/>
      <c r="D1295" s="9598" t="s">
        <v>134</v>
      </c>
      <c r="E1295" s="9600"/>
      <c r="F1295" s="674" t="s">
        <v>156</v>
      </c>
      <c r="G1295" s="666"/>
      <c r="H1295" s="684"/>
      <c r="I1295" s="9579" t="s">
        <v>135</v>
      </c>
      <c r="J1295" s="9581"/>
      <c r="K1295" s="105" t="s">
        <v>156</v>
      </c>
      <c r="L1295" s="5714">
        <v>64</v>
      </c>
      <c r="M1295" s="5684"/>
      <c r="N1295" s="5993">
        <v>73</v>
      </c>
      <c r="O1295" s="5686" t="s">
        <v>951</v>
      </c>
      <c r="P1295" s="5988">
        <v>1</v>
      </c>
      <c r="Q1295" s="5887"/>
      <c r="R1295" s="2468"/>
      <c r="S1295" s="4849"/>
      <c r="T1295" s="545"/>
      <c r="U1295" s="546"/>
      <c r="V1295" s="547"/>
      <c r="W1295" s="548"/>
      <c r="X1295" s="277"/>
      <c r="Y1295" s="277"/>
      <c r="Z1295" s="187"/>
      <c r="AA1295" s="6301"/>
      <c r="AB1295" s="139"/>
      <c r="AC1295" s="139"/>
      <c r="AD1295" s="139"/>
      <c r="AE1295" s="139"/>
      <c r="AF1295" s="139"/>
      <c r="AG1295" s="139"/>
      <c r="AH1295" s="139"/>
      <c r="AI1295" s="139"/>
      <c r="AJ1295" s="139"/>
      <c r="AK1295" s="139"/>
      <c r="AL1295" s="139"/>
      <c r="AM1295" s="139"/>
      <c r="AN1295" s="139"/>
      <c r="AO1295" s="139"/>
      <c r="AP1295" s="139"/>
      <c r="AQ1295" s="139"/>
      <c r="AR1295" s="139"/>
      <c r="AS1295" s="139"/>
      <c r="AT1295" s="139"/>
      <c r="AU1295" s="139"/>
      <c r="AV1295" s="139"/>
      <c r="AW1295" s="139"/>
      <c r="AX1295" s="139"/>
      <c r="AY1295" s="139"/>
      <c r="AZ1295" s="139"/>
      <c r="BA1295" s="139"/>
      <c r="BB1295" s="139"/>
      <c r="BC1295" s="139"/>
      <c r="BD1295" s="139"/>
      <c r="BE1295" s="139"/>
      <c r="BF1295" s="139"/>
      <c r="BG1295" s="139"/>
      <c r="BH1295" s="139"/>
    </row>
    <row r="1296" spans="2:60" s="11" customFormat="1" ht="20.100000000000001" customHeight="1">
      <c r="B1296" s="1360"/>
      <c r="C1296" s="5598"/>
      <c r="D1296" s="9598" t="s">
        <v>137</v>
      </c>
      <c r="E1296" s="9600"/>
      <c r="F1296" s="674" t="s">
        <v>156</v>
      </c>
      <c r="G1296" s="666"/>
      <c r="H1296" s="684"/>
      <c r="I1296" s="9579" t="s">
        <v>138</v>
      </c>
      <c r="J1296" s="9581"/>
      <c r="K1296" s="105" t="s">
        <v>156</v>
      </c>
      <c r="L1296" s="6047" t="s">
        <v>168</v>
      </c>
      <c r="M1296" s="5897" t="s">
        <v>640</v>
      </c>
      <c r="N1296" s="5993" t="s">
        <v>169</v>
      </c>
      <c r="O1296" s="5886" t="s">
        <v>641</v>
      </c>
      <c r="P1296" s="6352">
        <v>0</v>
      </c>
      <c r="Q1296" s="5887"/>
      <c r="R1296" s="2468"/>
      <c r="S1296" s="544"/>
      <c r="T1296" s="545"/>
      <c r="U1296" s="546"/>
      <c r="V1296" s="547"/>
      <c r="W1296" s="548"/>
      <c r="X1296" s="277"/>
      <c r="Y1296" s="277"/>
      <c r="Z1296" s="187"/>
      <c r="AA1296" s="6301"/>
      <c r="AB1296" s="139" t="s">
        <v>949</v>
      </c>
      <c r="AC1296" s="139"/>
      <c r="AD1296" s="139"/>
      <c r="AE1296" s="139"/>
      <c r="AF1296" s="139"/>
      <c r="AG1296" s="139"/>
      <c r="AH1296" s="139"/>
      <c r="AI1296" s="139"/>
      <c r="AJ1296" s="139"/>
      <c r="AK1296" s="139"/>
      <c r="AL1296" s="139"/>
      <c r="AM1296" s="139"/>
      <c r="AN1296" s="139"/>
      <c r="AO1296" s="139"/>
      <c r="AP1296" s="139"/>
      <c r="AQ1296" s="139"/>
      <c r="AR1296" s="139"/>
      <c r="AS1296" s="139"/>
      <c r="AT1296" s="139"/>
      <c r="AU1296" s="139"/>
      <c r="AV1296" s="139"/>
      <c r="AW1296" s="139"/>
      <c r="AX1296" s="139"/>
      <c r="AY1296" s="139"/>
      <c r="AZ1296" s="139"/>
      <c r="BA1296" s="139"/>
      <c r="BB1296" s="139"/>
      <c r="BC1296" s="139"/>
      <c r="BD1296" s="139"/>
      <c r="BE1296" s="139"/>
      <c r="BF1296" s="139"/>
      <c r="BG1296" s="139"/>
      <c r="BH1296" s="139"/>
    </row>
    <row r="1297" spans="2:60" s="11" customFormat="1" ht="20.100000000000001" customHeight="1">
      <c r="B1297" s="1360"/>
      <c r="C1297" s="5598"/>
      <c r="D1297" s="9598" t="s">
        <v>140</v>
      </c>
      <c r="E1297" s="9600"/>
      <c r="F1297" s="674" t="s">
        <v>156</v>
      </c>
      <c r="G1297" s="666"/>
      <c r="H1297" s="684"/>
      <c r="I1297" s="9582" t="s">
        <v>141</v>
      </c>
      <c r="J1297" s="9583"/>
      <c r="K1297" s="105" t="s">
        <v>156</v>
      </c>
      <c r="L1297" s="5714">
        <v>4.5766590389016018E-3</v>
      </c>
      <c r="M1297" s="5684"/>
      <c r="N1297" s="5993">
        <v>0</v>
      </c>
      <c r="O1297" s="5886"/>
      <c r="P1297" s="5988">
        <v>1</v>
      </c>
      <c r="Q1297" s="5887"/>
      <c r="R1297" s="2468"/>
      <c r="S1297" s="544"/>
      <c r="T1297" s="545"/>
      <c r="U1297" s="546"/>
      <c r="V1297" s="547"/>
      <c r="W1297" s="548"/>
      <c r="X1297" s="277"/>
      <c r="Y1297" s="277"/>
      <c r="Z1297" s="187"/>
      <c r="AA1297" s="6301"/>
      <c r="AB1297" s="139"/>
      <c r="AC1297" s="139"/>
      <c r="AD1297" s="139"/>
      <c r="AE1297" s="139"/>
      <c r="AF1297" s="139"/>
      <c r="AG1297" s="139"/>
      <c r="AH1297" s="139"/>
      <c r="AI1297" s="139"/>
      <c r="AJ1297" s="139"/>
      <c r="AK1297" s="139"/>
      <c r="AL1297" s="139"/>
      <c r="AM1297" s="139"/>
      <c r="AN1297" s="139"/>
      <c r="AO1297" s="139"/>
      <c r="AP1297" s="139"/>
      <c r="AQ1297" s="139"/>
      <c r="AR1297" s="139"/>
      <c r="AS1297" s="139"/>
      <c r="AT1297" s="139"/>
      <c r="AU1297" s="139"/>
      <c r="AV1297" s="139"/>
      <c r="AW1297" s="139"/>
      <c r="AX1297" s="139"/>
      <c r="AY1297" s="139"/>
      <c r="AZ1297" s="139"/>
      <c r="BA1297" s="139"/>
      <c r="BB1297" s="139"/>
      <c r="BC1297" s="139"/>
      <c r="BD1297" s="139"/>
      <c r="BE1297" s="139"/>
      <c r="BF1297" s="139"/>
      <c r="BG1297" s="139"/>
      <c r="BH1297" s="139"/>
    </row>
    <row r="1298" spans="2:60" s="11" customFormat="1" ht="20.100000000000001" customHeight="1">
      <c r="B1298" s="1360"/>
      <c r="C1298" s="5598"/>
      <c r="D1298" s="9598" t="s">
        <v>143</v>
      </c>
      <c r="E1298" s="9600"/>
      <c r="F1298" s="674" t="s">
        <v>156</v>
      </c>
      <c r="G1298" s="666"/>
      <c r="H1298" s="684"/>
      <c r="I1298" s="9582" t="s">
        <v>144</v>
      </c>
      <c r="J1298" s="9583"/>
      <c r="K1298" s="105" t="s">
        <v>156</v>
      </c>
      <c r="L1298" s="5714">
        <v>0</v>
      </c>
      <c r="M1298" s="5871" t="s">
        <v>801</v>
      </c>
      <c r="N1298" s="5993">
        <v>0</v>
      </c>
      <c r="O1298" s="5874" t="s">
        <v>801</v>
      </c>
      <c r="P1298" s="5988">
        <v>0</v>
      </c>
      <c r="Q1298" s="5887"/>
      <c r="R1298" s="2468"/>
      <c r="S1298" s="544"/>
      <c r="T1298" s="545"/>
      <c r="U1298" s="546"/>
      <c r="V1298" s="547"/>
      <c r="W1298" s="548"/>
      <c r="X1298" s="277"/>
      <c r="Y1298" s="277"/>
      <c r="Z1298" s="187"/>
      <c r="AA1298" s="6301"/>
      <c r="AB1298" s="139"/>
      <c r="AC1298" s="139"/>
      <c r="AD1298" s="139"/>
      <c r="AE1298" s="139"/>
      <c r="AF1298" s="139"/>
      <c r="AG1298" s="139"/>
      <c r="AH1298" s="139"/>
      <c r="AI1298" s="139"/>
      <c r="AJ1298" s="139"/>
      <c r="AK1298" s="139"/>
      <c r="AL1298" s="139"/>
      <c r="AM1298" s="139"/>
      <c r="AN1298" s="139"/>
      <c r="AO1298" s="139"/>
      <c r="AP1298" s="139"/>
      <c r="AQ1298" s="139"/>
      <c r="AR1298" s="139"/>
      <c r="AS1298" s="139"/>
      <c r="AT1298" s="139"/>
      <c r="AU1298" s="139"/>
      <c r="AV1298" s="139"/>
      <c r="AW1298" s="139"/>
      <c r="AX1298" s="139"/>
      <c r="AY1298" s="139"/>
      <c r="AZ1298" s="139"/>
      <c r="BA1298" s="139"/>
      <c r="BB1298" s="139"/>
      <c r="BC1298" s="139"/>
      <c r="BD1298" s="139"/>
      <c r="BE1298" s="139"/>
      <c r="BF1298" s="139"/>
      <c r="BG1298" s="139"/>
      <c r="BH1298" s="139"/>
    </row>
    <row r="1299" spans="2:60" s="11" customFormat="1" ht="20.100000000000001" customHeight="1">
      <c r="B1299" s="1360"/>
      <c r="C1299" s="5598"/>
      <c r="D1299" s="9598" t="s">
        <v>631</v>
      </c>
      <c r="E1299" s="9600"/>
      <c r="F1299" s="674" t="s">
        <v>156</v>
      </c>
      <c r="G1299" s="666"/>
      <c r="H1299" s="684"/>
      <c r="I1299" s="9582" t="s">
        <v>147</v>
      </c>
      <c r="J1299" s="9583"/>
      <c r="K1299" s="105" t="s">
        <v>156</v>
      </c>
      <c r="L1299" s="5714">
        <v>0</v>
      </c>
      <c r="M1299" s="5684"/>
      <c r="N1299" s="5993">
        <v>0</v>
      </c>
      <c r="O1299" s="5886"/>
      <c r="P1299" s="5988">
        <v>0</v>
      </c>
      <c r="Q1299" s="5887"/>
      <c r="R1299" s="2468"/>
      <c r="S1299" s="544"/>
      <c r="T1299" s="545"/>
      <c r="U1299" s="546"/>
      <c r="V1299" s="547"/>
      <c r="W1299" s="548"/>
      <c r="X1299" s="277"/>
      <c r="Y1299" s="277"/>
      <c r="Z1299" s="187"/>
      <c r="AA1299" s="6301"/>
      <c r="AB1299" s="139"/>
      <c r="AC1299" s="139"/>
      <c r="AD1299" s="139"/>
      <c r="AE1299" s="139"/>
      <c r="AF1299" s="139"/>
      <c r="AG1299" s="139"/>
      <c r="AH1299" s="139"/>
      <c r="AI1299" s="139"/>
      <c r="AJ1299" s="139"/>
      <c r="AK1299" s="139"/>
      <c r="AL1299" s="139"/>
      <c r="AM1299" s="139"/>
      <c r="AN1299" s="139"/>
      <c r="AO1299" s="139"/>
      <c r="AP1299" s="139"/>
      <c r="AQ1299" s="139"/>
      <c r="AR1299" s="139"/>
      <c r="AS1299" s="139"/>
      <c r="AT1299" s="139"/>
      <c r="AU1299" s="139"/>
      <c r="AV1299" s="139"/>
      <c r="AW1299" s="139"/>
      <c r="AX1299" s="139"/>
      <c r="AY1299" s="139"/>
      <c r="AZ1299" s="139"/>
      <c r="BA1299" s="139"/>
      <c r="BB1299" s="139"/>
      <c r="BC1299" s="139"/>
      <c r="BD1299" s="139"/>
      <c r="BE1299" s="139"/>
      <c r="BF1299" s="139"/>
      <c r="BG1299" s="139"/>
      <c r="BH1299" s="139"/>
    </row>
    <row r="1300" spans="2:60" s="11" customFormat="1" ht="20.100000000000001" customHeight="1" thickBot="1">
      <c r="B1300" s="1360"/>
      <c r="C1300" s="5598"/>
      <c r="D1300" s="9598" t="s">
        <v>633</v>
      </c>
      <c r="E1300" s="9600"/>
      <c r="F1300" s="674" t="s">
        <v>156</v>
      </c>
      <c r="G1300" s="6161"/>
      <c r="H1300" s="4693"/>
      <c r="I1300" s="9589" t="s">
        <v>150</v>
      </c>
      <c r="J1300" s="9590"/>
      <c r="K1300" s="105" t="s">
        <v>156</v>
      </c>
      <c r="L1300" s="5714">
        <v>2</v>
      </c>
      <c r="M1300" s="5684"/>
      <c r="N1300" s="5993">
        <v>0</v>
      </c>
      <c r="O1300" s="5684"/>
      <c r="P1300" s="5993">
        <v>0</v>
      </c>
      <c r="Q1300" s="6122"/>
      <c r="R1300" s="2468"/>
      <c r="S1300" s="544"/>
      <c r="T1300" s="545"/>
      <c r="U1300" s="546"/>
      <c r="V1300" s="547"/>
      <c r="W1300" s="548"/>
      <c r="X1300" s="277"/>
      <c r="Y1300" s="277"/>
      <c r="Z1300" s="187"/>
      <c r="AA1300" s="6301"/>
      <c r="AB1300" s="139"/>
      <c r="AC1300" s="139"/>
      <c r="AD1300" s="139"/>
      <c r="AE1300" s="139"/>
      <c r="AF1300" s="139"/>
      <c r="AG1300" s="139"/>
      <c r="AH1300" s="139"/>
      <c r="AI1300" s="139"/>
      <c r="AJ1300" s="139"/>
      <c r="AK1300" s="139"/>
      <c r="AL1300" s="139"/>
      <c r="AM1300" s="139"/>
      <c r="AN1300" s="139"/>
      <c r="AO1300" s="139"/>
      <c r="AP1300" s="139"/>
      <c r="AQ1300" s="139"/>
      <c r="AR1300" s="139"/>
      <c r="AS1300" s="139"/>
      <c r="AT1300" s="139"/>
      <c r="AU1300" s="139"/>
      <c r="AV1300" s="139"/>
      <c r="AW1300" s="139"/>
      <c r="AX1300" s="139"/>
      <c r="AY1300" s="139"/>
      <c r="AZ1300" s="139"/>
      <c r="BA1300" s="139"/>
      <c r="BB1300" s="139"/>
      <c r="BC1300" s="139"/>
      <c r="BD1300" s="139"/>
      <c r="BE1300" s="139"/>
      <c r="BF1300" s="139"/>
      <c r="BG1300" s="139"/>
      <c r="BH1300" s="139"/>
    </row>
    <row r="1301" spans="2:60" s="11" customFormat="1" ht="27" thickBot="1">
      <c r="B1301" s="123" t="s">
        <v>952</v>
      </c>
      <c r="C1301" s="124"/>
      <c r="D1301" s="124"/>
      <c r="E1301" s="124"/>
      <c r="F1301" s="78"/>
      <c r="G1301" s="125" t="s">
        <v>953</v>
      </c>
      <c r="H1301" s="126"/>
      <c r="I1301" s="521"/>
      <c r="J1301" s="521"/>
      <c r="K1301" s="78"/>
      <c r="L1301" s="5599"/>
      <c r="M1301" s="5600"/>
      <c r="N1301" s="5600"/>
      <c r="O1301" s="5600"/>
      <c r="P1301" s="5600"/>
      <c r="Q1301" s="5600"/>
      <c r="R1301" s="80"/>
      <c r="S1301" s="80"/>
      <c r="T1301" s="129"/>
      <c r="U1301" s="80"/>
      <c r="V1301" s="80"/>
      <c r="W1301" s="6023"/>
      <c r="X1301" s="752"/>
      <c r="Y1301" s="328"/>
      <c r="Z1301" s="329"/>
      <c r="AA1301" s="6301"/>
      <c r="AB1301" s="139"/>
      <c r="AC1301" s="139"/>
      <c r="AD1301" s="139"/>
      <c r="AE1301" s="139"/>
      <c r="AF1301" s="139"/>
      <c r="AG1301" s="139"/>
      <c r="AH1301" s="139"/>
      <c r="AI1301" s="139"/>
      <c r="AJ1301" s="139"/>
      <c r="AK1301" s="139"/>
      <c r="AL1301" s="139"/>
      <c r="AM1301" s="139"/>
      <c r="AN1301" s="139"/>
      <c r="AO1301" s="139"/>
      <c r="AP1301" s="139"/>
      <c r="AQ1301" s="139"/>
      <c r="AR1301" s="139"/>
      <c r="AS1301" s="139"/>
      <c r="AT1301" s="139"/>
      <c r="AU1301" s="139"/>
      <c r="AV1301" s="139"/>
      <c r="AW1301" s="139"/>
      <c r="AX1301" s="139"/>
      <c r="AY1301" s="139"/>
      <c r="AZ1301" s="139"/>
      <c r="BA1301" s="139"/>
      <c r="BB1301" s="139"/>
      <c r="BC1301" s="139"/>
      <c r="BD1301" s="139"/>
      <c r="BE1301" s="139"/>
      <c r="BF1301" s="139"/>
      <c r="BG1301" s="139"/>
      <c r="BH1301" s="139"/>
    </row>
    <row r="1302" spans="2:60" s="11" customFormat="1" ht="20.100000000000001" customHeight="1">
      <c r="B1302" s="1359"/>
      <c r="C1302" s="9656" t="s">
        <v>954</v>
      </c>
      <c r="D1302" s="9587"/>
      <c r="E1302" s="9588"/>
      <c r="F1302" s="755" t="s">
        <v>557</v>
      </c>
      <c r="G1302" s="6176"/>
      <c r="H1302" s="9702" t="s">
        <v>955</v>
      </c>
      <c r="I1302" s="9670"/>
      <c r="J1302" s="9683"/>
      <c r="K1302" s="755" t="s">
        <v>559</v>
      </c>
      <c r="L1302" s="5653" t="str">
        <f>IF(COUNTBLANK(L1303:L1308)&gt;0,"미취합법인有",SUM(L1303:L1308))</f>
        <v>미취합법인有</v>
      </c>
      <c r="M1302" s="5657"/>
      <c r="N1302" s="5654" t="str">
        <f>IF(COUNTBLANK(N1303:N1308)&gt;0,"미취합법인有",SUM(N1303:N1308))</f>
        <v>미취합법인有</v>
      </c>
      <c r="O1302" s="5663"/>
      <c r="P1302" s="5781" t="str">
        <f>IF(COUNTBLANK(P1303:P1308)&gt;0,"미취합법인有",SUM(P1303:P1308))</f>
        <v>미취합법인有</v>
      </c>
      <c r="Q1302" s="6108"/>
      <c r="R1302" s="1021" t="s">
        <v>956</v>
      </c>
      <c r="S1302" s="262" t="s">
        <v>957</v>
      </c>
      <c r="T1302" s="642" t="s">
        <v>737</v>
      </c>
      <c r="U1302" s="534"/>
      <c r="V1302" s="767"/>
      <c r="W1302" s="642"/>
      <c r="X1302" s="768" t="s">
        <v>958</v>
      </c>
      <c r="Y1302" s="769"/>
      <c r="Z1302" s="770"/>
      <c r="AA1302" s="6301"/>
      <c r="AB1302" s="139"/>
      <c r="AC1302" s="6442" t="s">
        <v>959</v>
      </c>
      <c r="AD1302" s="139"/>
      <c r="AE1302" s="139"/>
      <c r="AF1302" s="139"/>
      <c r="AG1302" s="139"/>
      <c r="AH1302" s="139"/>
      <c r="AI1302" s="139"/>
      <c r="AJ1302" s="139"/>
      <c r="AK1302" s="139"/>
      <c r="AL1302" s="139"/>
      <c r="AM1302" s="139"/>
      <c r="AN1302" s="139"/>
      <c r="AO1302" s="139"/>
      <c r="AP1302" s="139"/>
      <c r="AQ1302" s="139"/>
      <c r="AR1302" s="139"/>
      <c r="AS1302" s="139"/>
      <c r="AT1302" s="139"/>
      <c r="AU1302" s="139"/>
      <c r="AV1302" s="139"/>
      <c r="AW1302" s="139"/>
      <c r="AX1302" s="139"/>
      <c r="AY1302" s="139"/>
      <c r="AZ1302" s="139"/>
      <c r="BA1302" s="139"/>
      <c r="BB1302" s="139"/>
      <c r="BC1302" s="139"/>
      <c r="BD1302" s="139"/>
      <c r="BE1302" s="139"/>
      <c r="BF1302" s="139"/>
      <c r="BG1302" s="139"/>
      <c r="BH1302" s="139"/>
    </row>
    <row r="1303" spans="2:60" s="11" customFormat="1" ht="20.100000000000001" customHeight="1">
      <c r="B1303" s="1360"/>
      <c r="C1303" s="9647" t="s">
        <v>134</v>
      </c>
      <c r="D1303" s="9648"/>
      <c r="E1303" s="9649"/>
      <c r="F1303" s="492" t="s">
        <v>557</v>
      </c>
      <c r="G1303" s="535"/>
      <c r="H1303" s="9579" t="s">
        <v>135</v>
      </c>
      <c r="I1303" s="9580"/>
      <c r="J1303" s="9581"/>
      <c r="K1303" s="492" t="s">
        <v>559</v>
      </c>
      <c r="L1303" s="5594">
        <v>4</v>
      </c>
      <c r="M1303" s="5671" t="s">
        <v>960</v>
      </c>
      <c r="N1303" s="5724">
        <v>7</v>
      </c>
      <c r="O1303" s="5680" t="s">
        <v>960</v>
      </c>
      <c r="P1303" s="5854">
        <v>5</v>
      </c>
      <c r="Q1303" s="5678"/>
      <c r="R1303" s="2468"/>
      <c r="S1303" s="544"/>
      <c r="T1303" s="545"/>
      <c r="U1303" s="546"/>
      <c r="V1303" s="547"/>
      <c r="W1303" s="548"/>
      <c r="X1303" s="277"/>
      <c r="Y1303" s="277"/>
      <c r="Z1303" s="187"/>
      <c r="AA1303" s="6301"/>
      <c r="AB1303" s="139"/>
      <c r="AC1303" s="6443"/>
      <c r="AD1303" s="139"/>
      <c r="AE1303" s="139"/>
      <c r="AF1303" s="139"/>
      <c r="AG1303" s="139"/>
      <c r="AH1303" s="139"/>
      <c r="AI1303" s="139"/>
      <c r="AJ1303" s="139"/>
      <c r="AK1303" s="139"/>
      <c r="AL1303" s="139"/>
      <c r="AM1303" s="139"/>
      <c r="AN1303" s="139"/>
      <c r="AO1303" s="139"/>
      <c r="AP1303" s="139"/>
      <c r="AQ1303" s="139"/>
      <c r="AR1303" s="139"/>
      <c r="AS1303" s="139"/>
      <c r="AT1303" s="139"/>
      <c r="AU1303" s="139"/>
      <c r="AV1303" s="139"/>
      <c r="AW1303" s="139"/>
      <c r="AX1303" s="139"/>
      <c r="AY1303" s="139"/>
      <c r="AZ1303" s="139"/>
      <c r="BA1303" s="139"/>
      <c r="BB1303" s="139"/>
      <c r="BC1303" s="139"/>
      <c r="BD1303" s="139"/>
      <c r="BE1303" s="139"/>
      <c r="BF1303" s="139"/>
      <c r="BG1303" s="139"/>
      <c r="BH1303" s="139"/>
    </row>
    <row r="1304" spans="2:60" s="11" customFormat="1" ht="20.100000000000001" customHeight="1">
      <c r="B1304" s="1360"/>
      <c r="C1304" s="9647" t="s">
        <v>137</v>
      </c>
      <c r="D1304" s="9648"/>
      <c r="E1304" s="9649"/>
      <c r="F1304" s="492" t="s">
        <v>557</v>
      </c>
      <c r="G1304" s="535"/>
      <c r="H1304" s="9579" t="s">
        <v>138</v>
      </c>
      <c r="I1304" s="9580"/>
      <c r="J1304" s="9581"/>
      <c r="K1304" s="492" t="s">
        <v>559</v>
      </c>
      <c r="L1304" s="5594">
        <v>0</v>
      </c>
      <c r="M1304" s="5671"/>
      <c r="N1304" s="5724">
        <v>0</v>
      </c>
      <c r="O1304" s="5680"/>
      <c r="P1304" s="5725">
        <v>0</v>
      </c>
      <c r="Q1304" s="5678"/>
      <c r="R1304" s="2468"/>
      <c r="S1304" s="544"/>
      <c r="T1304" s="545"/>
      <c r="U1304" s="546"/>
      <c r="V1304" s="547"/>
      <c r="W1304" s="548"/>
      <c r="X1304" s="277"/>
      <c r="Y1304" s="277"/>
      <c r="Z1304" s="187"/>
      <c r="AA1304" s="6301"/>
      <c r="AB1304" s="139"/>
      <c r="AC1304" s="6443"/>
      <c r="AD1304" s="139"/>
      <c r="AE1304" s="139"/>
      <c r="AF1304" s="139"/>
      <c r="AG1304" s="139"/>
      <c r="AH1304" s="139"/>
      <c r="AI1304" s="139"/>
      <c r="AJ1304" s="139"/>
      <c r="AK1304" s="139"/>
      <c r="AL1304" s="139"/>
      <c r="AM1304" s="139"/>
      <c r="AN1304" s="139"/>
      <c r="AO1304" s="139"/>
      <c r="AP1304" s="139"/>
      <c r="AQ1304" s="139"/>
      <c r="AR1304" s="139"/>
      <c r="AS1304" s="139"/>
      <c r="AT1304" s="139"/>
      <c r="AU1304" s="139"/>
      <c r="AV1304" s="139"/>
      <c r="AW1304" s="139"/>
      <c r="AX1304" s="139"/>
      <c r="AY1304" s="139"/>
      <c r="AZ1304" s="139"/>
      <c r="BA1304" s="139"/>
      <c r="BB1304" s="139"/>
      <c r="BC1304" s="139"/>
      <c r="BD1304" s="139"/>
      <c r="BE1304" s="139"/>
      <c r="BF1304" s="139"/>
      <c r="BG1304" s="139"/>
      <c r="BH1304" s="139"/>
    </row>
    <row r="1305" spans="2:60" s="11" customFormat="1" ht="20.100000000000001" customHeight="1">
      <c r="B1305" s="1360"/>
      <c r="C1305" s="9647" t="s">
        <v>140</v>
      </c>
      <c r="D1305" s="9648"/>
      <c r="E1305" s="9649"/>
      <c r="F1305" s="492" t="s">
        <v>557</v>
      </c>
      <c r="G1305" s="535"/>
      <c r="H1305" s="9579" t="s">
        <v>141</v>
      </c>
      <c r="I1305" s="9580"/>
      <c r="J1305" s="9581"/>
      <c r="K1305" s="492" t="s">
        <v>559</v>
      </c>
      <c r="L1305" s="5594">
        <v>0</v>
      </c>
      <c r="M1305" s="5671"/>
      <c r="N1305" s="5724">
        <v>0</v>
      </c>
      <c r="O1305" s="5680"/>
      <c r="P1305" s="5725">
        <v>0</v>
      </c>
      <c r="Q1305" s="5678"/>
      <c r="R1305" s="2468"/>
      <c r="S1305" s="544"/>
      <c r="T1305" s="545"/>
      <c r="U1305" s="546"/>
      <c r="V1305" s="547"/>
      <c r="W1305" s="548"/>
      <c r="X1305" s="277"/>
      <c r="Y1305" s="277"/>
      <c r="Z1305" s="187"/>
      <c r="AA1305" s="6301"/>
      <c r="AB1305" s="139"/>
      <c r="AC1305" s="6442" t="s">
        <v>959</v>
      </c>
      <c r="AD1305" s="139"/>
      <c r="AE1305" s="139"/>
      <c r="AF1305" s="139"/>
      <c r="AG1305" s="139"/>
      <c r="AH1305" s="139"/>
      <c r="AI1305" s="139"/>
      <c r="AJ1305" s="139"/>
      <c r="AK1305" s="139"/>
      <c r="AL1305" s="139"/>
      <c r="AM1305" s="139"/>
      <c r="AN1305" s="139"/>
      <c r="AO1305" s="139"/>
      <c r="AP1305" s="139"/>
      <c r="AQ1305" s="139"/>
      <c r="AR1305" s="139"/>
      <c r="AS1305" s="139"/>
      <c r="AT1305" s="139"/>
      <c r="AU1305" s="139"/>
      <c r="AV1305" s="139"/>
      <c r="AW1305" s="139"/>
      <c r="AX1305" s="139"/>
      <c r="AY1305" s="139"/>
      <c r="AZ1305" s="139"/>
      <c r="BA1305" s="139"/>
      <c r="BB1305" s="139"/>
      <c r="BC1305" s="139"/>
      <c r="BD1305" s="139"/>
      <c r="BE1305" s="139"/>
      <c r="BF1305" s="139"/>
      <c r="BG1305" s="139"/>
      <c r="BH1305" s="139"/>
    </row>
    <row r="1306" spans="2:60" s="11" customFormat="1" ht="20.100000000000001" customHeight="1">
      <c r="B1306" s="1360"/>
      <c r="C1306" s="9647" t="s">
        <v>143</v>
      </c>
      <c r="D1306" s="9648"/>
      <c r="E1306" s="9649"/>
      <c r="F1306" s="492" t="s">
        <v>557</v>
      </c>
      <c r="G1306" s="535"/>
      <c r="H1306" s="9579" t="s">
        <v>144</v>
      </c>
      <c r="I1306" s="9580"/>
      <c r="J1306" s="9581"/>
      <c r="K1306" s="492" t="s">
        <v>559</v>
      </c>
      <c r="L1306" s="5594"/>
      <c r="M1306" s="5671"/>
      <c r="N1306" s="5724"/>
      <c r="O1306" s="5680"/>
      <c r="P1306" s="5725"/>
      <c r="Q1306" s="5678"/>
      <c r="R1306" s="2468"/>
      <c r="S1306" s="544"/>
      <c r="T1306" s="545"/>
      <c r="U1306" s="546"/>
      <c r="V1306" s="547"/>
      <c r="W1306" s="548"/>
      <c r="X1306" s="277"/>
      <c r="Y1306" s="277"/>
      <c r="Z1306" s="187"/>
      <c r="AA1306" s="6301"/>
      <c r="AB1306" s="139"/>
      <c r="AC1306" s="6442" t="s">
        <v>959</v>
      </c>
      <c r="AD1306" s="139"/>
      <c r="AE1306" s="139"/>
      <c r="AF1306" s="139"/>
      <c r="AG1306" s="139"/>
      <c r="AH1306" s="139"/>
      <c r="AI1306" s="139"/>
      <c r="AJ1306" s="139"/>
      <c r="AK1306" s="139"/>
      <c r="AL1306" s="139"/>
      <c r="AM1306" s="139"/>
      <c r="AN1306" s="139"/>
      <c r="AO1306" s="139"/>
      <c r="AP1306" s="139"/>
      <c r="AQ1306" s="139"/>
      <c r="AR1306" s="139"/>
      <c r="AS1306" s="139"/>
      <c r="AT1306" s="139"/>
      <c r="AU1306" s="139"/>
      <c r="AV1306" s="139"/>
      <c r="AW1306" s="139"/>
      <c r="AX1306" s="139"/>
      <c r="AY1306" s="139"/>
      <c r="AZ1306" s="139"/>
      <c r="BA1306" s="139"/>
      <c r="BB1306" s="139"/>
      <c r="BC1306" s="139"/>
      <c r="BD1306" s="139"/>
      <c r="BE1306" s="139"/>
      <c r="BF1306" s="139"/>
      <c r="BG1306" s="139"/>
      <c r="BH1306" s="139"/>
    </row>
    <row r="1307" spans="2:60" s="11" customFormat="1" ht="20.100000000000001" customHeight="1">
      <c r="B1307" s="1360"/>
      <c r="C1307" s="9647" t="s">
        <v>631</v>
      </c>
      <c r="D1307" s="9648"/>
      <c r="E1307" s="9649"/>
      <c r="F1307" s="492" t="s">
        <v>557</v>
      </c>
      <c r="G1307" s="535"/>
      <c r="H1307" s="9579" t="s">
        <v>147</v>
      </c>
      <c r="I1307" s="9580"/>
      <c r="J1307" s="9581"/>
      <c r="K1307" s="492" t="s">
        <v>559</v>
      </c>
      <c r="L1307" s="5594"/>
      <c r="M1307" s="5671"/>
      <c r="N1307" s="5724"/>
      <c r="O1307" s="5680"/>
      <c r="P1307" s="5725"/>
      <c r="Q1307" s="5678"/>
      <c r="R1307" s="2468"/>
      <c r="S1307" s="544"/>
      <c r="T1307" s="545"/>
      <c r="U1307" s="546"/>
      <c r="V1307" s="547"/>
      <c r="W1307" s="548"/>
      <c r="X1307" s="277"/>
      <c r="Y1307" s="277"/>
      <c r="Z1307" s="187"/>
      <c r="AA1307" s="6301"/>
      <c r="AB1307" s="139"/>
      <c r="AC1307" s="6442" t="s">
        <v>959</v>
      </c>
      <c r="AD1307" s="139"/>
      <c r="AE1307" s="139"/>
      <c r="AF1307" s="139"/>
      <c r="AG1307" s="139"/>
      <c r="AH1307" s="139"/>
      <c r="AI1307" s="139"/>
      <c r="AJ1307" s="139"/>
      <c r="AK1307" s="139"/>
      <c r="AL1307" s="139"/>
      <c r="AM1307" s="139"/>
      <c r="AN1307" s="139"/>
      <c r="AO1307" s="139"/>
      <c r="AP1307" s="139"/>
      <c r="AQ1307" s="139"/>
      <c r="AR1307" s="139"/>
      <c r="AS1307" s="139"/>
      <c r="AT1307" s="139"/>
      <c r="AU1307" s="139"/>
      <c r="AV1307" s="139"/>
      <c r="AW1307" s="139"/>
      <c r="AX1307" s="139"/>
      <c r="AY1307" s="139"/>
      <c r="AZ1307" s="139"/>
      <c r="BA1307" s="139"/>
      <c r="BB1307" s="139"/>
      <c r="BC1307" s="139"/>
      <c r="BD1307" s="139"/>
      <c r="BE1307" s="139"/>
      <c r="BF1307" s="139"/>
      <c r="BG1307" s="139"/>
      <c r="BH1307" s="139"/>
    </row>
    <row r="1308" spans="2:60" s="11" customFormat="1" ht="20.100000000000001" customHeight="1">
      <c r="B1308" s="1360"/>
      <c r="C1308" s="9647" t="s">
        <v>633</v>
      </c>
      <c r="D1308" s="9648"/>
      <c r="E1308" s="9649"/>
      <c r="F1308" s="492" t="s">
        <v>557</v>
      </c>
      <c r="G1308" s="535"/>
      <c r="H1308" s="9579" t="s">
        <v>150</v>
      </c>
      <c r="I1308" s="9580"/>
      <c r="J1308" s="9581"/>
      <c r="K1308" s="492" t="s">
        <v>559</v>
      </c>
      <c r="L1308" s="5594"/>
      <c r="M1308" s="5671"/>
      <c r="N1308" s="5724"/>
      <c r="O1308" s="5671"/>
      <c r="P1308" s="5724"/>
      <c r="Q1308" s="5678"/>
      <c r="R1308" s="2468"/>
      <c r="S1308" s="544"/>
      <c r="T1308" s="545"/>
      <c r="U1308" s="546"/>
      <c r="V1308" s="547"/>
      <c r="W1308" s="548"/>
      <c r="X1308" s="277"/>
      <c r="Y1308" s="277"/>
      <c r="Z1308" s="187"/>
      <c r="AA1308" s="6301"/>
      <c r="AB1308" s="139"/>
      <c r="AC1308" s="6442" t="s">
        <v>959</v>
      </c>
      <c r="AD1308" s="139"/>
      <c r="AE1308" s="139"/>
      <c r="AF1308" s="139"/>
      <c r="AG1308" s="139"/>
      <c r="AH1308" s="139"/>
      <c r="AI1308" s="139"/>
      <c r="AJ1308" s="139"/>
      <c r="AK1308" s="139"/>
      <c r="AL1308" s="139"/>
      <c r="AM1308" s="139"/>
      <c r="AN1308" s="139"/>
      <c r="AO1308" s="139"/>
      <c r="AP1308" s="139"/>
      <c r="AQ1308" s="139"/>
      <c r="AR1308" s="139"/>
      <c r="AS1308" s="139"/>
      <c r="AT1308" s="139"/>
      <c r="AU1308" s="139"/>
      <c r="AV1308" s="139"/>
      <c r="AW1308" s="139"/>
      <c r="AX1308" s="139"/>
      <c r="AY1308" s="139"/>
      <c r="AZ1308" s="139"/>
      <c r="BA1308" s="139"/>
      <c r="BB1308" s="139"/>
      <c r="BC1308" s="139"/>
      <c r="BD1308" s="139"/>
      <c r="BE1308" s="139"/>
      <c r="BF1308" s="139"/>
      <c r="BG1308" s="139"/>
      <c r="BH1308" s="139"/>
    </row>
    <row r="1309" spans="2:60" s="11" customFormat="1" ht="20.100000000000001" customHeight="1">
      <c r="B1309" s="1360"/>
      <c r="C1309" s="9656" t="s">
        <v>961</v>
      </c>
      <c r="D1309" s="9587"/>
      <c r="E1309" s="9588"/>
      <c r="F1309" s="285" t="s">
        <v>557</v>
      </c>
      <c r="G1309" s="6177"/>
      <c r="H1309" s="9586" t="s">
        <v>962</v>
      </c>
      <c r="I1309" s="9587"/>
      <c r="J1309" s="9588"/>
      <c r="K1309" s="285" t="s">
        <v>559</v>
      </c>
      <c r="L1309" s="5653" t="str">
        <f>IF(COUNTBLANK(L1310:L1315)&gt;0,"미취합법인有",SUM(L1310:L1315))</f>
        <v>미취합법인有</v>
      </c>
      <c r="M1309" s="5657"/>
      <c r="N1309" s="5654" t="str">
        <f>IF(COUNTBLANK(N1310:N1315)&gt;0,"미취합법인有",SUM(N1310:N1315))</f>
        <v>미취합법인有</v>
      </c>
      <c r="O1309" s="5663"/>
      <c r="P1309" s="5781" t="str">
        <f>IF(COUNTBLANK(P1310:P1315)&gt;0,"미취합법인有",SUM(P1310:P1315))</f>
        <v>미취합법인有</v>
      </c>
      <c r="Q1309" s="785"/>
      <c r="R1309" s="498" t="s">
        <v>963</v>
      </c>
      <c r="S1309" s="367" t="s">
        <v>964</v>
      </c>
      <c r="T1309" s="99" t="s">
        <v>737</v>
      </c>
      <c r="U1309" s="547"/>
      <c r="V1309" s="773"/>
      <c r="W1309" s="99"/>
      <c r="X1309" s="774" t="s">
        <v>965</v>
      </c>
      <c r="Y1309" s="775"/>
      <c r="Z1309" s="776"/>
      <c r="AA1309" s="6301"/>
      <c r="AB1309" s="139"/>
      <c r="AC1309" s="139"/>
      <c r="AD1309" s="139"/>
      <c r="AE1309" s="139"/>
      <c r="AF1309" s="139"/>
      <c r="AG1309" s="139"/>
      <c r="AH1309" s="139"/>
      <c r="AI1309" s="139"/>
      <c r="AJ1309" s="139"/>
      <c r="AK1309" s="139"/>
      <c r="AL1309" s="139"/>
      <c r="AM1309" s="139"/>
      <c r="AN1309" s="139"/>
      <c r="AO1309" s="139"/>
      <c r="AP1309" s="139"/>
      <c r="AQ1309" s="139"/>
      <c r="AR1309" s="139"/>
      <c r="AS1309" s="139"/>
      <c r="AT1309" s="139"/>
      <c r="AU1309" s="139"/>
      <c r="AV1309" s="139"/>
      <c r="AW1309" s="139"/>
      <c r="AX1309" s="139"/>
      <c r="AY1309" s="139"/>
      <c r="AZ1309" s="139"/>
      <c r="BA1309" s="139"/>
      <c r="BB1309" s="139"/>
      <c r="BC1309" s="139"/>
      <c r="BD1309" s="139"/>
      <c r="BE1309" s="139"/>
      <c r="BF1309" s="139"/>
      <c r="BG1309" s="139"/>
      <c r="BH1309" s="139"/>
    </row>
    <row r="1310" spans="2:60" s="11" customFormat="1" ht="20.100000000000001" customHeight="1">
      <c r="B1310" s="1360"/>
      <c r="C1310" s="9647" t="s">
        <v>134</v>
      </c>
      <c r="D1310" s="9648"/>
      <c r="E1310" s="9649"/>
      <c r="F1310" s="492" t="s">
        <v>557</v>
      </c>
      <c r="G1310" s="535"/>
      <c r="H1310" s="9579" t="s">
        <v>135</v>
      </c>
      <c r="I1310" s="9580"/>
      <c r="J1310" s="9581"/>
      <c r="K1310" s="492" t="s">
        <v>559</v>
      </c>
      <c r="L1310" s="5594">
        <v>4</v>
      </c>
      <c r="M1310" s="5671" t="s">
        <v>960</v>
      </c>
      <c r="N1310" s="5724">
        <v>4</v>
      </c>
      <c r="O1310" s="5680" t="s">
        <v>960</v>
      </c>
      <c r="P1310" s="5854">
        <v>4</v>
      </c>
      <c r="Q1310" s="5678"/>
      <c r="R1310" s="2468"/>
      <c r="S1310" s="544"/>
      <c r="T1310" s="545"/>
      <c r="U1310" s="546"/>
      <c r="V1310" s="547"/>
      <c r="W1310" s="548"/>
      <c r="X1310" s="277"/>
      <c r="Y1310" s="277"/>
      <c r="Z1310" s="187"/>
      <c r="AA1310" s="6301"/>
      <c r="AB1310" s="139"/>
      <c r="AC1310" s="139"/>
      <c r="AD1310" s="139"/>
      <c r="AE1310" s="139"/>
      <c r="AF1310" s="139"/>
      <c r="AG1310" s="139"/>
      <c r="AH1310" s="139"/>
      <c r="AI1310" s="139"/>
      <c r="AJ1310" s="139"/>
      <c r="AK1310" s="139"/>
      <c r="AL1310" s="139"/>
      <c r="AM1310" s="139"/>
      <c r="AN1310" s="139"/>
      <c r="AO1310" s="139"/>
      <c r="AP1310" s="139"/>
      <c r="AQ1310" s="139"/>
      <c r="AR1310" s="139"/>
      <c r="AS1310" s="139"/>
      <c r="AT1310" s="139"/>
      <c r="AU1310" s="139"/>
      <c r="AV1310" s="139"/>
      <c r="AW1310" s="139"/>
      <c r="AX1310" s="139"/>
      <c r="AY1310" s="139"/>
      <c r="AZ1310" s="139"/>
      <c r="BA1310" s="139"/>
      <c r="BB1310" s="139"/>
      <c r="BC1310" s="139"/>
      <c r="BD1310" s="139"/>
      <c r="BE1310" s="139"/>
      <c r="BF1310" s="139"/>
      <c r="BG1310" s="139"/>
      <c r="BH1310" s="139"/>
    </row>
    <row r="1311" spans="2:60" s="11" customFormat="1" ht="20.100000000000001" customHeight="1">
      <c r="B1311" s="1360"/>
      <c r="C1311" s="9647" t="s">
        <v>137</v>
      </c>
      <c r="D1311" s="9648"/>
      <c r="E1311" s="9649"/>
      <c r="F1311" s="492" t="s">
        <v>557</v>
      </c>
      <c r="G1311" s="535"/>
      <c r="H1311" s="9579" t="s">
        <v>138</v>
      </c>
      <c r="I1311" s="9580"/>
      <c r="J1311" s="9581"/>
      <c r="K1311" s="492" t="s">
        <v>559</v>
      </c>
      <c r="L1311" s="5594">
        <v>0</v>
      </c>
      <c r="M1311" s="5671"/>
      <c r="N1311" s="5724">
        <v>0</v>
      </c>
      <c r="O1311" s="5680"/>
      <c r="P1311" s="5725">
        <v>0</v>
      </c>
      <c r="Q1311" s="5678"/>
      <c r="R1311" s="2468"/>
      <c r="S1311" s="544"/>
      <c r="T1311" s="545"/>
      <c r="U1311" s="546"/>
      <c r="V1311" s="547"/>
      <c r="W1311" s="548"/>
      <c r="X1311" s="277"/>
      <c r="Y1311" s="277"/>
      <c r="Z1311" s="187"/>
      <c r="AA1311" s="6301"/>
      <c r="AB1311" s="139"/>
      <c r="AC1311" s="139"/>
      <c r="AD1311" s="139"/>
      <c r="AE1311" s="139"/>
      <c r="AF1311" s="139"/>
      <c r="AG1311" s="139"/>
      <c r="AH1311" s="139"/>
      <c r="AI1311" s="139"/>
      <c r="AJ1311" s="139"/>
      <c r="AK1311" s="139"/>
      <c r="AL1311" s="139"/>
      <c r="AM1311" s="139"/>
      <c r="AN1311" s="139"/>
      <c r="AO1311" s="139"/>
      <c r="AP1311" s="139"/>
      <c r="AQ1311" s="139"/>
      <c r="AR1311" s="139"/>
      <c r="AS1311" s="139"/>
      <c r="AT1311" s="139"/>
      <c r="AU1311" s="139"/>
      <c r="AV1311" s="139"/>
      <c r="AW1311" s="139"/>
      <c r="AX1311" s="139"/>
      <c r="AY1311" s="139"/>
      <c r="AZ1311" s="139"/>
      <c r="BA1311" s="139"/>
      <c r="BB1311" s="139"/>
      <c r="BC1311" s="139"/>
      <c r="BD1311" s="139"/>
      <c r="BE1311" s="139"/>
      <c r="BF1311" s="139"/>
      <c r="BG1311" s="139"/>
      <c r="BH1311" s="139"/>
    </row>
    <row r="1312" spans="2:60" s="11" customFormat="1" ht="20.100000000000001" customHeight="1">
      <c r="B1312" s="1360"/>
      <c r="C1312" s="9647" t="s">
        <v>140</v>
      </c>
      <c r="D1312" s="9648"/>
      <c r="E1312" s="9649"/>
      <c r="F1312" s="492" t="s">
        <v>557</v>
      </c>
      <c r="G1312" s="535"/>
      <c r="H1312" s="9579" t="s">
        <v>141</v>
      </c>
      <c r="I1312" s="9580"/>
      <c r="J1312" s="9581"/>
      <c r="K1312" s="492" t="s">
        <v>559</v>
      </c>
      <c r="L1312" s="5594">
        <v>0</v>
      </c>
      <c r="M1312" s="5671"/>
      <c r="N1312" s="5724">
        <v>0</v>
      </c>
      <c r="O1312" s="5680"/>
      <c r="P1312" s="5725">
        <v>0</v>
      </c>
      <c r="Q1312" s="5678"/>
      <c r="R1312" s="2468"/>
      <c r="S1312" s="544"/>
      <c r="T1312" s="545"/>
      <c r="U1312" s="546"/>
      <c r="V1312" s="547"/>
      <c r="W1312" s="548"/>
      <c r="X1312" s="277"/>
      <c r="Y1312" s="277"/>
      <c r="Z1312" s="187"/>
      <c r="AA1312" s="6301"/>
      <c r="AB1312" s="139"/>
      <c r="AC1312" s="6442" t="s">
        <v>966</v>
      </c>
      <c r="AD1312" s="139"/>
      <c r="AE1312" s="139"/>
      <c r="AF1312" s="139"/>
      <c r="AG1312" s="139"/>
      <c r="AH1312" s="139"/>
      <c r="AI1312" s="139"/>
      <c r="AJ1312" s="139"/>
      <c r="AK1312" s="139"/>
      <c r="AL1312" s="139"/>
      <c r="AM1312" s="139"/>
      <c r="AN1312" s="139"/>
      <c r="AO1312" s="139"/>
      <c r="AP1312" s="139"/>
      <c r="AQ1312" s="139"/>
      <c r="AR1312" s="139"/>
      <c r="AS1312" s="139"/>
      <c r="AT1312" s="139"/>
      <c r="AU1312" s="139"/>
      <c r="AV1312" s="139"/>
      <c r="AW1312" s="139"/>
      <c r="AX1312" s="139"/>
      <c r="AY1312" s="139"/>
      <c r="AZ1312" s="139"/>
      <c r="BA1312" s="139"/>
      <c r="BB1312" s="139"/>
      <c r="BC1312" s="139"/>
      <c r="BD1312" s="139"/>
      <c r="BE1312" s="139"/>
      <c r="BF1312" s="139"/>
      <c r="BG1312" s="139"/>
      <c r="BH1312" s="139"/>
    </row>
    <row r="1313" spans="2:60" s="11" customFormat="1" ht="20.100000000000001" customHeight="1">
      <c r="B1313" s="1360"/>
      <c r="C1313" s="9647" t="s">
        <v>143</v>
      </c>
      <c r="D1313" s="9648"/>
      <c r="E1313" s="9649"/>
      <c r="F1313" s="492" t="s">
        <v>557</v>
      </c>
      <c r="G1313" s="535"/>
      <c r="H1313" s="9579" t="s">
        <v>144</v>
      </c>
      <c r="I1313" s="9580"/>
      <c r="J1313" s="9581"/>
      <c r="K1313" s="492" t="s">
        <v>559</v>
      </c>
      <c r="L1313" s="5594"/>
      <c r="M1313" s="5671"/>
      <c r="N1313" s="5724"/>
      <c r="O1313" s="5680"/>
      <c r="P1313" s="5725"/>
      <c r="Q1313" s="5678"/>
      <c r="R1313" s="2468"/>
      <c r="S1313" s="544"/>
      <c r="T1313" s="545"/>
      <c r="U1313" s="546"/>
      <c r="V1313" s="547"/>
      <c r="W1313" s="548"/>
      <c r="X1313" s="277"/>
      <c r="Y1313" s="277"/>
      <c r="Z1313" s="187"/>
      <c r="AA1313" s="6301"/>
      <c r="AB1313" s="139"/>
      <c r="AC1313" s="6442" t="s">
        <v>966</v>
      </c>
      <c r="AD1313" s="139"/>
      <c r="AE1313" s="139"/>
      <c r="AF1313" s="139"/>
      <c r="AG1313" s="139"/>
      <c r="AH1313" s="139"/>
      <c r="AI1313" s="139"/>
      <c r="AJ1313" s="139"/>
      <c r="AK1313" s="139"/>
      <c r="AL1313" s="139"/>
      <c r="AM1313" s="139"/>
      <c r="AN1313" s="139"/>
      <c r="AO1313" s="139"/>
      <c r="AP1313" s="139"/>
      <c r="AQ1313" s="139"/>
      <c r="AR1313" s="139"/>
      <c r="AS1313" s="139"/>
      <c r="AT1313" s="139"/>
      <c r="AU1313" s="139"/>
      <c r="AV1313" s="139"/>
      <c r="AW1313" s="139"/>
      <c r="AX1313" s="139"/>
      <c r="AY1313" s="139"/>
      <c r="AZ1313" s="139"/>
      <c r="BA1313" s="139"/>
      <c r="BB1313" s="139"/>
      <c r="BC1313" s="139"/>
      <c r="BD1313" s="139"/>
      <c r="BE1313" s="139"/>
      <c r="BF1313" s="139"/>
      <c r="BG1313" s="139"/>
      <c r="BH1313" s="139"/>
    </row>
    <row r="1314" spans="2:60" s="11" customFormat="1" ht="20.100000000000001" customHeight="1">
      <c r="B1314" s="1360"/>
      <c r="C1314" s="9647" t="s">
        <v>631</v>
      </c>
      <c r="D1314" s="9648"/>
      <c r="E1314" s="9649"/>
      <c r="F1314" s="492" t="s">
        <v>557</v>
      </c>
      <c r="G1314" s="535"/>
      <c r="H1314" s="9579" t="s">
        <v>147</v>
      </c>
      <c r="I1314" s="9580"/>
      <c r="J1314" s="9581"/>
      <c r="K1314" s="492" t="s">
        <v>559</v>
      </c>
      <c r="L1314" s="5594"/>
      <c r="M1314" s="5671"/>
      <c r="N1314" s="5724"/>
      <c r="O1314" s="5680"/>
      <c r="P1314" s="5725"/>
      <c r="Q1314" s="5678"/>
      <c r="R1314" s="2468"/>
      <c r="S1314" s="544"/>
      <c r="T1314" s="545"/>
      <c r="U1314" s="546"/>
      <c r="V1314" s="547"/>
      <c r="W1314" s="548"/>
      <c r="X1314" s="277"/>
      <c r="Y1314" s="277"/>
      <c r="Z1314" s="187"/>
      <c r="AA1314" s="6301"/>
      <c r="AB1314" s="139"/>
      <c r="AC1314" s="6442" t="s">
        <v>966</v>
      </c>
      <c r="AD1314" s="139"/>
      <c r="AE1314" s="139"/>
      <c r="AF1314" s="139"/>
      <c r="AG1314" s="139"/>
      <c r="AH1314" s="139"/>
      <c r="AI1314" s="139"/>
      <c r="AJ1314" s="139"/>
      <c r="AK1314" s="139"/>
      <c r="AL1314" s="139"/>
      <c r="AM1314" s="139"/>
      <c r="AN1314" s="139"/>
      <c r="AO1314" s="139"/>
      <c r="AP1314" s="139"/>
      <c r="AQ1314" s="139"/>
      <c r="AR1314" s="139"/>
      <c r="AS1314" s="139"/>
      <c r="AT1314" s="139"/>
      <c r="AU1314" s="139"/>
      <c r="AV1314" s="139"/>
      <c r="AW1314" s="139"/>
      <c r="AX1314" s="139"/>
      <c r="AY1314" s="139"/>
      <c r="AZ1314" s="139"/>
      <c r="BA1314" s="139"/>
      <c r="BB1314" s="139"/>
      <c r="BC1314" s="139"/>
      <c r="BD1314" s="139"/>
      <c r="BE1314" s="139"/>
      <c r="BF1314" s="139"/>
      <c r="BG1314" s="139"/>
      <c r="BH1314" s="139"/>
    </row>
    <row r="1315" spans="2:60" s="11" customFormat="1" ht="20.100000000000001" customHeight="1">
      <c r="B1315" s="1360"/>
      <c r="C1315" s="9647" t="s">
        <v>633</v>
      </c>
      <c r="D1315" s="9648"/>
      <c r="E1315" s="9649"/>
      <c r="F1315" s="492" t="s">
        <v>557</v>
      </c>
      <c r="G1315" s="535"/>
      <c r="H1315" s="9579" t="s">
        <v>150</v>
      </c>
      <c r="I1315" s="9580"/>
      <c r="J1315" s="9581"/>
      <c r="K1315" s="492" t="s">
        <v>559</v>
      </c>
      <c r="L1315" s="5594"/>
      <c r="M1315" s="5671"/>
      <c r="N1315" s="5724"/>
      <c r="O1315" s="5671"/>
      <c r="P1315" s="5724"/>
      <c r="Q1315" s="5678"/>
      <c r="R1315" s="2468"/>
      <c r="S1315" s="544"/>
      <c r="T1315" s="545"/>
      <c r="U1315" s="546"/>
      <c r="V1315" s="547"/>
      <c r="W1315" s="548"/>
      <c r="X1315" s="277"/>
      <c r="Y1315" s="277"/>
      <c r="Z1315" s="187"/>
      <c r="AA1315" s="6301"/>
      <c r="AB1315" s="139"/>
      <c r="AC1315" s="6442" t="s">
        <v>966</v>
      </c>
      <c r="AD1315" s="139"/>
      <c r="AE1315" s="139"/>
      <c r="AF1315" s="139"/>
      <c r="AG1315" s="139"/>
      <c r="AH1315" s="139"/>
      <c r="AI1315" s="139"/>
      <c r="AJ1315" s="139"/>
      <c r="AK1315" s="139"/>
      <c r="AL1315" s="139"/>
      <c r="AM1315" s="139"/>
      <c r="AN1315" s="139"/>
      <c r="AO1315" s="139"/>
      <c r="AP1315" s="139"/>
      <c r="AQ1315" s="139"/>
      <c r="AR1315" s="139"/>
      <c r="AS1315" s="139"/>
      <c r="AT1315" s="139"/>
      <c r="AU1315" s="139"/>
      <c r="AV1315" s="139"/>
      <c r="AW1315" s="139"/>
      <c r="AX1315" s="139"/>
      <c r="AY1315" s="139"/>
      <c r="AZ1315" s="139"/>
      <c r="BA1315" s="139"/>
      <c r="BB1315" s="139"/>
      <c r="BC1315" s="139"/>
      <c r="BD1315" s="139"/>
      <c r="BE1315" s="139"/>
      <c r="BF1315" s="139"/>
      <c r="BG1315" s="139"/>
      <c r="BH1315" s="139"/>
    </row>
    <row r="1316" spans="2:60" s="11" customFormat="1" ht="20.100000000000001" customHeight="1">
      <c r="B1316" s="1360"/>
      <c r="C1316" s="9656" t="s">
        <v>967</v>
      </c>
      <c r="D1316" s="9587"/>
      <c r="E1316" s="9588"/>
      <c r="F1316" s="285" t="s">
        <v>168</v>
      </c>
      <c r="G1316" s="961"/>
      <c r="H1316" s="9586" t="s">
        <v>968</v>
      </c>
      <c r="I1316" s="9587"/>
      <c r="J1316" s="9588"/>
      <c r="K1316" s="5622" t="s">
        <v>168</v>
      </c>
      <c r="L1316" s="5653" t="str">
        <f>IF(COUNTBLANK(L1317:L1322)&gt;0,"미취합법인有",SUM(L1317:L1322))</f>
        <v>미취합법인有</v>
      </c>
      <c r="M1316" s="5657"/>
      <c r="N1316" s="5654" t="str">
        <f>IF(COUNTBLANK(N1317:N1322)&gt;0,"미취합법인有",SUM(N1317:N1322))</f>
        <v>미취합법인有</v>
      </c>
      <c r="O1316" s="5663"/>
      <c r="P1316" s="5781" t="str">
        <f>IF(COUNTBLANK(P1317:P1322)&gt;0,"미취합법인有",SUM(P1317:P1322))</f>
        <v>미취합법인有</v>
      </c>
      <c r="Q1316" s="785"/>
      <c r="R1316" s="498" t="s">
        <v>969</v>
      </c>
      <c r="S1316" s="367" t="s">
        <v>970</v>
      </c>
      <c r="T1316" s="99" t="s">
        <v>737</v>
      </c>
      <c r="U1316" s="547"/>
      <c r="V1316" s="773"/>
      <c r="W1316" s="99"/>
      <c r="X1316" s="780" t="s">
        <v>971</v>
      </c>
      <c r="Y1316" s="775"/>
      <c r="Z1316" s="776"/>
      <c r="AA1316" s="6301"/>
      <c r="AB1316" s="139"/>
      <c r="AC1316" s="139"/>
      <c r="AD1316" s="139"/>
      <c r="AE1316" s="139"/>
      <c r="AF1316" s="139"/>
      <c r="AG1316" s="139"/>
      <c r="AH1316" s="139"/>
      <c r="AI1316" s="139"/>
      <c r="AJ1316" s="139"/>
      <c r="AK1316" s="139"/>
      <c r="AL1316" s="139"/>
      <c r="AM1316" s="139"/>
      <c r="AN1316" s="139"/>
      <c r="AO1316" s="139"/>
      <c r="AP1316" s="139"/>
      <c r="AQ1316" s="139"/>
      <c r="AR1316" s="139"/>
      <c r="AS1316" s="139"/>
      <c r="AT1316" s="139"/>
      <c r="AU1316" s="139"/>
      <c r="AV1316" s="139"/>
      <c r="AW1316" s="139"/>
      <c r="AX1316" s="139"/>
      <c r="AY1316" s="139"/>
      <c r="AZ1316" s="139"/>
      <c r="BA1316" s="139"/>
      <c r="BB1316" s="139"/>
      <c r="BC1316" s="139"/>
      <c r="BD1316" s="139"/>
      <c r="BE1316" s="139"/>
      <c r="BF1316" s="139"/>
      <c r="BG1316" s="139"/>
      <c r="BH1316" s="139"/>
    </row>
    <row r="1317" spans="2:60" s="11" customFormat="1" ht="20.100000000000001" customHeight="1">
      <c r="B1317" s="1360"/>
      <c r="C1317" s="9647" t="s">
        <v>134</v>
      </c>
      <c r="D1317" s="9648"/>
      <c r="E1317" s="9649"/>
      <c r="F1317" s="285" t="s">
        <v>168</v>
      </c>
      <c r="G1317" s="535"/>
      <c r="H1317" s="9579" t="s">
        <v>135</v>
      </c>
      <c r="I1317" s="9580"/>
      <c r="J1317" s="9581"/>
      <c r="K1317" s="5622" t="s">
        <v>168</v>
      </c>
      <c r="L1317" s="5594"/>
      <c r="M1317" s="5669"/>
      <c r="N1317" s="5601"/>
      <c r="O1317" s="5667"/>
      <c r="P1317" s="5593"/>
      <c r="Q1317" s="5593"/>
      <c r="R1317" s="2468"/>
      <c r="S1317" s="544"/>
      <c r="T1317" s="545"/>
      <c r="U1317" s="546"/>
      <c r="V1317" s="547"/>
      <c r="W1317" s="548"/>
      <c r="X1317" s="277"/>
      <c r="Y1317" s="277"/>
      <c r="Z1317" s="187"/>
      <c r="AA1317" s="6301"/>
      <c r="AB1317" s="139"/>
      <c r="AC1317" s="139"/>
      <c r="AD1317" s="139"/>
      <c r="AE1317" s="139"/>
      <c r="AF1317" s="139"/>
      <c r="AG1317" s="139"/>
      <c r="AH1317" s="139"/>
      <c r="AI1317" s="139"/>
      <c r="AJ1317" s="139"/>
      <c r="AK1317" s="139"/>
      <c r="AL1317" s="139"/>
      <c r="AM1317" s="139"/>
      <c r="AN1317" s="139"/>
      <c r="AO1317" s="139"/>
      <c r="AP1317" s="139"/>
      <c r="AQ1317" s="139"/>
      <c r="AR1317" s="139"/>
      <c r="AS1317" s="139"/>
      <c r="AT1317" s="139"/>
      <c r="AU1317" s="139"/>
      <c r="AV1317" s="139"/>
      <c r="AW1317" s="139"/>
      <c r="AX1317" s="139"/>
      <c r="AY1317" s="139"/>
      <c r="AZ1317" s="139"/>
      <c r="BA1317" s="139"/>
      <c r="BB1317" s="139"/>
      <c r="BC1317" s="139"/>
      <c r="BD1317" s="139"/>
      <c r="BE1317" s="139"/>
      <c r="BF1317" s="139"/>
      <c r="BG1317" s="139"/>
      <c r="BH1317" s="139"/>
    </row>
    <row r="1318" spans="2:60" s="11" customFormat="1" ht="20.100000000000001" customHeight="1">
      <c r="B1318" s="1360"/>
      <c r="C1318" s="9647" t="s">
        <v>137</v>
      </c>
      <c r="D1318" s="9648"/>
      <c r="E1318" s="9649"/>
      <c r="F1318" s="285" t="s">
        <v>168</v>
      </c>
      <c r="G1318" s="535"/>
      <c r="H1318" s="9579" t="s">
        <v>138</v>
      </c>
      <c r="I1318" s="9580"/>
      <c r="J1318" s="9581"/>
      <c r="K1318" s="5622" t="s">
        <v>168</v>
      </c>
      <c r="L1318" s="5594"/>
      <c r="M1318" s="5669"/>
      <c r="N1318" s="5601"/>
      <c r="O1318" s="5667"/>
      <c r="P1318" s="5602"/>
      <c r="Q1318" s="5593"/>
      <c r="R1318" s="2468"/>
      <c r="S1318" s="544"/>
      <c r="T1318" s="545"/>
      <c r="U1318" s="546"/>
      <c r="V1318" s="547"/>
      <c r="W1318" s="548"/>
      <c r="X1318" s="277"/>
      <c r="Y1318" s="277"/>
      <c r="Z1318" s="187"/>
      <c r="AA1318" s="6301"/>
      <c r="AB1318" s="139"/>
      <c r="AC1318" s="139"/>
      <c r="AD1318" s="139"/>
      <c r="AE1318" s="139"/>
      <c r="AF1318" s="139"/>
      <c r="AG1318" s="139"/>
      <c r="AH1318" s="139"/>
      <c r="AI1318" s="139"/>
      <c r="AJ1318" s="139"/>
      <c r="AK1318" s="139"/>
      <c r="AL1318" s="139"/>
      <c r="AM1318" s="139"/>
      <c r="AN1318" s="139"/>
      <c r="AO1318" s="139"/>
      <c r="AP1318" s="139"/>
      <c r="AQ1318" s="139"/>
      <c r="AR1318" s="139"/>
      <c r="AS1318" s="139"/>
      <c r="AT1318" s="139"/>
      <c r="AU1318" s="139"/>
      <c r="AV1318" s="139"/>
      <c r="AW1318" s="139"/>
      <c r="AX1318" s="139"/>
      <c r="AY1318" s="139"/>
      <c r="AZ1318" s="139"/>
      <c r="BA1318" s="139"/>
      <c r="BB1318" s="139"/>
      <c r="BC1318" s="139"/>
      <c r="BD1318" s="139"/>
      <c r="BE1318" s="139"/>
      <c r="BF1318" s="139"/>
      <c r="BG1318" s="139"/>
      <c r="BH1318" s="139"/>
    </row>
    <row r="1319" spans="2:60" s="11" customFormat="1" ht="20.100000000000001" customHeight="1">
      <c r="B1319" s="1360"/>
      <c r="C1319" s="9647" t="s">
        <v>140</v>
      </c>
      <c r="D1319" s="9648"/>
      <c r="E1319" s="9649"/>
      <c r="F1319" s="285" t="s">
        <v>168</v>
      </c>
      <c r="G1319" s="535"/>
      <c r="H1319" s="9579" t="s">
        <v>141</v>
      </c>
      <c r="I1319" s="9580"/>
      <c r="J1319" s="9581"/>
      <c r="K1319" s="5622" t="s">
        <v>168</v>
      </c>
      <c r="L1319" s="5594"/>
      <c r="M1319" s="5658"/>
      <c r="N1319" s="5601"/>
      <c r="O1319" s="5667"/>
      <c r="P1319" s="5602"/>
      <c r="Q1319" s="5593"/>
      <c r="R1319" s="2468"/>
      <c r="S1319" s="544"/>
      <c r="T1319" s="545"/>
      <c r="U1319" s="546"/>
      <c r="V1319" s="547"/>
      <c r="W1319" s="548"/>
      <c r="X1319" s="277"/>
      <c r="Y1319" s="277"/>
      <c r="Z1319" s="187"/>
      <c r="AA1319" s="6301"/>
      <c r="AB1319" s="139"/>
      <c r="AC1319" s="139"/>
      <c r="AD1319" s="139"/>
      <c r="AE1319" s="139"/>
      <c r="AF1319" s="139"/>
      <c r="AG1319" s="139"/>
      <c r="AH1319" s="139"/>
      <c r="AI1319" s="139"/>
      <c r="AJ1319" s="139"/>
      <c r="AK1319" s="139"/>
      <c r="AL1319" s="139"/>
      <c r="AM1319" s="139"/>
      <c r="AN1319" s="139"/>
      <c r="AO1319" s="139"/>
      <c r="AP1319" s="139"/>
      <c r="AQ1319" s="139"/>
      <c r="AR1319" s="139"/>
      <c r="AS1319" s="139"/>
      <c r="AT1319" s="139"/>
      <c r="AU1319" s="139"/>
      <c r="AV1319" s="139"/>
      <c r="AW1319" s="139"/>
      <c r="AX1319" s="139"/>
      <c r="AY1319" s="139"/>
      <c r="AZ1319" s="139"/>
      <c r="BA1319" s="139"/>
      <c r="BB1319" s="139"/>
      <c r="BC1319" s="139"/>
      <c r="BD1319" s="139"/>
      <c r="BE1319" s="139"/>
      <c r="BF1319" s="139"/>
      <c r="BG1319" s="139"/>
      <c r="BH1319" s="139"/>
    </row>
    <row r="1320" spans="2:60" s="11" customFormat="1" ht="20.100000000000001" customHeight="1">
      <c r="B1320" s="1360"/>
      <c r="C1320" s="9647" t="s">
        <v>143</v>
      </c>
      <c r="D1320" s="9648"/>
      <c r="E1320" s="9649"/>
      <c r="F1320" s="285" t="s">
        <v>168</v>
      </c>
      <c r="G1320" s="535"/>
      <c r="H1320" s="9579" t="s">
        <v>144</v>
      </c>
      <c r="I1320" s="9580"/>
      <c r="J1320" s="9581"/>
      <c r="K1320" s="5622" t="s">
        <v>168</v>
      </c>
      <c r="L1320" s="5594"/>
      <c r="M1320" s="5658"/>
      <c r="N1320" s="5601"/>
      <c r="O1320" s="5667"/>
      <c r="P1320" s="5602"/>
      <c r="Q1320" s="5593"/>
      <c r="R1320" s="2468"/>
      <c r="S1320" s="544"/>
      <c r="T1320" s="545"/>
      <c r="U1320" s="546"/>
      <c r="V1320" s="547"/>
      <c r="W1320" s="548"/>
      <c r="X1320" s="277"/>
      <c r="Y1320" s="277"/>
      <c r="Z1320" s="187"/>
      <c r="AA1320" s="6301"/>
      <c r="AB1320" s="139"/>
      <c r="AC1320" s="139"/>
      <c r="AD1320" s="139"/>
      <c r="AE1320" s="139"/>
      <c r="AF1320" s="139"/>
      <c r="AG1320" s="139"/>
      <c r="AH1320" s="139"/>
      <c r="AI1320" s="139"/>
      <c r="AJ1320" s="139"/>
      <c r="AK1320" s="139"/>
      <c r="AL1320" s="139"/>
      <c r="AM1320" s="139"/>
      <c r="AN1320" s="139"/>
      <c r="AO1320" s="139"/>
      <c r="AP1320" s="139"/>
      <c r="AQ1320" s="139"/>
      <c r="AR1320" s="139"/>
      <c r="AS1320" s="139"/>
      <c r="AT1320" s="139"/>
      <c r="AU1320" s="139"/>
      <c r="AV1320" s="139"/>
      <c r="AW1320" s="139"/>
      <c r="AX1320" s="139"/>
      <c r="AY1320" s="139"/>
      <c r="AZ1320" s="139"/>
      <c r="BA1320" s="139"/>
      <c r="BB1320" s="139"/>
      <c r="BC1320" s="139"/>
      <c r="BD1320" s="139"/>
      <c r="BE1320" s="139"/>
      <c r="BF1320" s="139"/>
      <c r="BG1320" s="139"/>
      <c r="BH1320" s="139"/>
    </row>
    <row r="1321" spans="2:60" s="11" customFormat="1" ht="20.100000000000001" customHeight="1">
      <c r="B1321" s="1360"/>
      <c r="C1321" s="9647" t="s">
        <v>631</v>
      </c>
      <c r="D1321" s="9648"/>
      <c r="E1321" s="9649"/>
      <c r="F1321" s="285" t="s">
        <v>168</v>
      </c>
      <c r="G1321" s="535"/>
      <c r="H1321" s="9579" t="s">
        <v>147</v>
      </c>
      <c r="I1321" s="9580"/>
      <c r="J1321" s="9581"/>
      <c r="K1321" s="5622" t="s">
        <v>168</v>
      </c>
      <c r="L1321" s="5594"/>
      <c r="M1321" s="5658"/>
      <c r="N1321" s="5601"/>
      <c r="O1321" s="5667"/>
      <c r="P1321" s="5602"/>
      <c r="Q1321" s="5593"/>
      <c r="R1321" s="2468"/>
      <c r="S1321" s="544"/>
      <c r="T1321" s="545"/>
      <c r="U1321" s="546"/>
      <c r="V1321" s="547"/>
      <c r="W1321" s="548"/>
      <c r="X1321" s="277"/>
      <c r="Y1321" s="277"/>
      <c r="Z1321" s="187"/>
      <c r="AA1321" s="6301"/>
      <c r="AB1321" s="139"/>
      <c r="AC1321" s="139"/>
      <c r="AD1321" s="139"/>
      <c r="AE1321" s="139"/>
      <c r="AF1321" s="139"/>
      <c r="AG1321" s="139"/>
      <c r="AH1321" s="139"/>
      <c r="AI1321" s="139"/>
      <c r="AJ1321" s="139"/>
      <c r="AK1321" s="139"/>
      <c r="AL1321" s="139"/>
      <c r="AM1321" s="139"/>
      <c r="AN1321" s="139"/>
      <c r="AO1321" s="139"/>
      <c r="AP1321" s="139"/>
      <c r="AQ1321" s="139"/>
      <c r="AR1321" s="139"/>
      <c r="AS1321" s="139"/>
      <c r="AT1321" s="139"/>
      <c r="AU1321" s="139"/>
      <c r="AV1321" s="139"/>
      <c r="AW1321" s="139"/>
      <c r="AX1321" s="139"/>
      <c r="AY1321" s="139"/>
      <c r="AZ1321" s="139"/>
      <c r="BA1321" s="139"/>
      <c r="BB1321" s="139"/>
      <c r="BC1321" s="139"/>
      <c r="BD1321" s="139"/>
      <c r="BE1321" s="139"/>
      <c r="BF1321" s="139"/>
      <c r="BG1321" s="139"/>
      <c r="BH1321" s="139"/>
    </row>
    <row r="1322" spans="2:60" s="11" customFormat="1" ht="20.100000000000001" customHeight="1">
      <c r="B1322" s="1360"/>
      <c r="C1322" s="9647" t="s">
        <v>633</v>
      </c>
      <c r="D1322" s="9648"/>
      <c r="E1322" s="9649"/>
      <c r="F1322" s="285" t="s">
        <v>168</v>
      </c>
      <c r="G1322" s="535"/>
      <c r="H1322" s="9579" t="s">
        <v>150</v>
      </c>
      <c r="I1322" s="9580"/>
      <c r="J1322" s="9581"/>
      <c r="K1322" s="5622" t="s">
        <v>168</v>
      </c>
      <c r="L1322" s="5956" t="s">
        <v>168</v>
      </c>
      <c r="M1322" s="5682" t="s">
        <v>641</v>
      </c>
      <c r="N1322" s="5601" t="s">
        <v>168</v>
      </c>
      <c r="O1322" s="5682" t="s">
        <v>641</v>
      </c>
      <c r="P1322" s="5601" t="s">
        <v>168</v>
      </c>
      <c r="Q1322" s="5593" t="s">
        <v>641</v>
      </c>
      <c r="R1322" s="2468"/>
      <c r="S1322" s="544"/>
      <c r="T1322" s="545"/>
      <c r="U1322" s="546"/>
      <c r="V1322" s="547"/>
      <c r="W1322" s="548"/>
      <c r="X1322" s="277"/>
      <c r="Y1322" s="277"/>
      <c r="Z1322" s="187"/>
      <c r="AA1322" s="6301"/>
      <c r="AB1322" s="139"/>
      <c r="AC1322" s="139"/>
      <c r="AD1322" s="139"/>
      <c r="AE1322" s="139"/>
      <c r="AF1322" s="139"/>
      <c r="AG1322" s="139"/>
      <c r="AH1322" s="139"/>
      <c r="AI1322" s="139"/>
      <c r="AJ1322" s="139"/>
      <c r="AK1322" s="139"/>
      <c r="AL1322" s="139"/>
      <c r="AM1322" s="139"/>
      <c r="AN1322" s="139"/>
      <c r="AO1322" s="139"/>
      <c r="AP1322" s="139"/>
      <c r="AQ1322" s="139"/>
      <c r="AR1322" s="139"/>
      <c r="AS1322" s="139"/>
      <c r="AT1322" s="139"/>
      <c r="AU1322" s="139"/>
      <c r="AV1322" s="139"/>
      <c r="AW1322" s="139"/>
      <c r="AX1322" s="139"/>
      <c r="AY1322" s="139"/>
      <c r="AZ1322" s="139"/>
      <c r="BA1322" s="139"/>
      <c r="BB1322" s="139"/>
      <c r="BC1322" s="139"/>
      <c r="BD1322" s="139"/>
      <c r="BE1322" s="139"/>
      <c r="BF1322" s="139"/>
      <c r="BG1322" s="139"/>
      <c r="BH1322" s="139"/>
    </row>
    <row r="1323" spans="2:60" s="11" customFormat="1" ht="20.100000000000001" customHeight="1">
      <c r="B1323" s="1662"/>
      <c r="C1323" s="9656" t="s">
        <v>972</v>
      </c>
      <c r="D1323" s="9587"/>
      <c r="E1323" s="9588"/>
      <c r="F1323" s="285" t="s">
        <v>156</v>
      </c>
      <c r="G1323" s="961"/>
      <c r="H1323" s="9586" t="s">
        <v>973</v>
      </c>
      <c r="I1323" s="9587"/>
      <c r="J1323" s="9588"/>
      <c r="K1323" s="5623" t="s">
        <v>156</v>
      </c>
      <c r="L1323" s="5968" t="str">
        <f>IF(COUNTBLANK(L1324:L1329)&gt;0,"미취합법인有",AVERAGE(L1324:L1329))</f>
        <v>미취합법인有</v>
      </c>
      <c r="M1323" s="5657"/>
      <c r="N1323" s="5654" t="str">
        <f>IF(COUNTBLANK(N1324:N1329)&gt;0,"미취합법인有",AVERAGE(N1324:N1329))</f>
        <v>미취합법인有</v>
      </c>
      <c r="O1323" s="5663"/>
      <c r="P1323" s="5781" t="str">
        <f>IF(COUNTBLANK(P1324:P1329)&gt;0,"미취합법인有",AVERAGE(P1324:P1329))</f>
        <v>미취합법인有</v>
      </c>
      <c r="Q1323" s="785"/>
      <c r="R1323" s="498" t="s">
        <v>974</v>
      </c>
      <c r="S1323" s="367" t="s">
        <v>975</v>
      </c>
      <c r="T1323" s="99" t="s">
        <v>189</v>
      </c>
      <c r="U1323" s="547"/>
      <c r="V1323" s="773"/>
      <c r="W1323" s="99"/>
      <c r="X1323" s="786" t="s">
        <v>976</v>
      </c>
      <c r="Y1323" s="775"/>
      <c r="Z1323" s="776"/>
      <c r="AA1323" s="6301"/>
      <c r="AB1323" s="139"/>
      <c r="AC1323" s="1377" t="s">
        <v>977</v>
      </c>
      <c r="AD1323" s="139"/>
      <c r="AE1323" s="139"/>
      <c r="AF1323" s="139"/>
      <c r="AG1323" s="139"/>
      <c r="AH1323" s="139"/>
      <c r="AI1323" s="139"/>
      <c r="AJ1323" s="139"/>
      <c r="AK1323" s="139"/>
      <c r="AL1323" s="139"/>
      <c r="AM1323" s="139"/>
      <c r="AN1323" s="139"/>
      <c r="AO1323" s="139"/>
      <c r="AP1323" s="139"/>
      <c r="AQ1323" s="139"/>
      <c r="AR1323" s="139"/>
      <c r="AS1323" s="139"/>
      <c r="AT1323" s="139"/>
      <c r="AU1323" s="139"/>
      <c r="AV1323" s="139"/>
      <c r="AW1323" s="139"/>
      <c r="AX1323" s="139"/>
      <c r="AY1323" s="139"/>
      <c r="AZ1323" s="139"/>
      <c r="BA1323" s="139"/>
      <c r="BB1323" s="139"/>
      <c r="BC1323" s="139"/>
      <c r="BD1323" s="139"/>
      <c r="BE1323" s="139"/>
      <c r="BF1323" s="139"/>
      <c r="BG1323" s="139"/>
      <c r="BH1323" s="139"/>
    </row>
    <row r="1324" spans="2:60" s="11" customFormat="1" ht="19.899999999999999" customHeight="1">
      <c r="B1324" s="5590"/>
      <c r="C1324" s="9647" t="s">
        <v>134</v>
      </c>
      <c r="D1324" s="9648"/>
      <c r="E1324" s="9649"/>
      <c r="F1324" s="285" t="s">
        <v>156</v>
      </c>
      <c r="G1324" s="253"/>
      <c r="H1324" s="9579" t="s">
        <v>135</v>
      </c>
      <c r="I1324" s="9580"/>
      <c r="J1324" s="9581"/>
      <c r="K1324" s="5623" t="s">
        <v>156</v>
      </c>
      <c r="L1324" s="6029">
        <v>99.788806758183739</v>
      </c>
      <c r="M1324" s="5692"/>
      <c r="N1324" s="5840">
        <v>99.602780536246271</v>
      </c>
      <c r="O1324" s="5658"/>
      <c r="P1324" s="5840">
        <v>100</v>
      </c>
      <c r="Q1324" s="5593"/>
      <c r="R1324" s="1033"/>
      <c r="S1324" s="263"/>
      <c r="T1324" s="99"/>
      <c r="U1324" s="138"/>
      <c r="V1324" s="138"/>
      <c r="W1324" s="99"/>
      <c r="X1324" s="264"/>
      <c r="Y1324" s="277"/>
      <c r="Z1324" s="187"/>
      <c r="AA1324" s="6301"/>
      <c r="AB1324" s="139"/>
      <c r="AC1324" s="139"/>
      <c r="AD1324" s="139"/>
      <c r="AE1324" s="139"/>
      <c r="AF1324" s="139"/>
      <c r="AG1324" s="139"/>
      <c r="AH1324" s="139"/>
      <c r="AI1324" s="139"/>
      <c r="AJ1324" s="139"/>
      <c r="AK1324" s="139"/>
      <c r="AL1324" s="139"/>
      <c r="AM1324" s="139"/>
      <c r="AN1324" s="139"/>
      <c r="AO1324" s="139"/>
      <c r="AP1324" s="139"/>
      <c r="AQ1324" s="139"/>
      <c r="AR1324" s="139"/>
      <c r="AS1324" s="139"/>
      <c r="AT1324" s="139"/>
      <c r="AU1324" s="139"/>
      <c r="AV1324" s="139"/>
      <c r="AW1324" s="139"/>
      <c r="AX1324" s="139"/>
      <c r="AY1324" s="139"/>
      <c r="AZ1324" s="139"/>
      <c r="BA1324" s="139"/>
      <c r="BB1324" s="139"/>
      <c r="BC1324" s="139"/>
      <c r="BD1324" s="139"/>
      <c r="BE1324" s="139"/>
      <c r="BF1324" s="139"/>
      <c r="BG1324" s="139"/>
      <c r="BH1324" s="139"/>
    </row>
    <row r="1325" spans="2:60" s="11" customFormat="1" ht="19.899999999999999" customHeight="1">
      <c r="B1325" s="5590"/>
      <c r="C1325" s="9647" t="s">
        <v>137</v>
      </c>
      <c r="D1325" s="9648"/>
      <c r="E1325" s="9649"/>
      <c r="F1325" s="285" t="s">
        <v>156</v>
      </c>
      <c r="G1325" s="253"/>
      <c r="H1325" s="9579" t="s">
        <v>138</v>
      </c>
      <c r="I1325" s="9580"/>
      <c r="J1325" s="9581"/>
      <c r="K1325" s="5623" t="s">
        <v>156</v>
      </c>
      <c r="L1325" s="6029">
        <v>98.425196850393704</v>
      </c>
      <c r="M1325" s="5692"/>
      <c r="N1325" s="6030">
        <v>97.604790419161674</v>
      </c>
      <c r="O1325" s="5682"/>
      <c r="P1325" s="6030">
        <v>99.519230769230774</v>
      </c>
      <c r="Q1325" s="5593"/>
      <c r="R1325" s="1033"/>
      <c r="S1325" s="263"/>
      <c r="T1325" s="99"/>
      <c r="U1325" s="138"/>
      <c r="V1325" s="138"/>
      <c r="W1325" s="99"/>
      <c r="X1325" s="264"/>
      <c r="Y1325" s="277"/>
      <c r="Z1325" s="187"/>
      <c r="AA1325" s="6301"/>
      <c r="AB1325" s="139"/>
      <c r="AC1325" s="139"/>
      <c r="AD1325" s="139"/>
      <c r="AE1325" s="139"/>
      <c r="AF1325" s="139"/>
      <c r="AG1325" s="139"/>
      <c r="AH1325" s="139"/>
      <c r="AI1325" s="139"/>
      <c r="AJ1325" s="139"/>
      <c r="AK1325" s="139"/>
      <c r="AL1325" s="139"/>
      <c r="AM1325" s="139"/>
      <c r="AN1325" s="139"/>
      <c r="AO1325" s="139"/>
      <c r="AP1325" s="139"/>
      <c r="AQ1325" s="139"/>
      <c r="AR1325" s="139"/>
      <c r="AS1325" s="139"/>
      <c r="AT1325" s="139"/>
      <c r="AU1325" s="139"/>
      <c r="AV1325" s="139"/>
      <c r="AW1325" s="139"/>
      <c r="AX1325" s="139"/>
      <c r="AY1325" s="139"/>
      <c r="AZ1325" s="139"/>
      <c r="BA1325" s="139"/>
      <c r="BB1325" s="139"/>
      <c r="BC1325" s="139"/>
      <c r="BD1325" s="139"/>
      <c r="BE1325" s="139"/>
      <c r="BF1325" s="139"/>
      <c r="BG1325" s="139"/>
      <c r="BH1325" s="139"/>
    </row>
    <row r="1326" spans="2:60" s="11" customFormat="1" ht="19.899999999999999" customHeight="1">
      <c r="B1326" s="5590"/>
      <c r="C1326" s="9647" t="s">
        <v>140</v>
      </c>
      <c r="D1326" s="9648"/>
      <c r="E1326" s="9649"/>
      <c r="F1326" s="285" t="s">
        <v>156</v>
      </c>
      <c r="G1326" s="253"/>
      <c r="H1326" s="9579" t="s">
        <v>141</v>
      </c>
      <c r="I1326" s="9580"/>
      <c r="J1326" s="9581"/>
      <c r="K1326" s="5623" t="s">
        <v>156</v>
      </c>
      <c r="L1326" s="5691" t="s">
        <v>169</v>
      </c>
      <c r="M1326" s="5692"/>
      <c r="N1326" s="5682" t="s">
        <v>169</v>
      </c>
      <c r="O1326" s="5682"/>
      <c r="P1326" s="5682" t="s">
        <v>169</v>
      </c>
      <c r="Q1326" s="5593"/>
      <c r="R1326" s="1033"/>
      <c r="S1326" s="263"/>
      <c r="T1326" s="99"/>
      <c r="U1326" s="138"/>
      <c r="V1326" s="138"/>
      <c r="W1326" s="99"/>
      <c r="X1326" s="264"/>
      <c r="Y1326" s="277"/>
      <c r="Z1326" s="187"/>
      <c r="AA1326" s="6301"/>
      <c r="AB1326" s="139"/>
      <c r="AC1326" s="1377" t="s">
        <v>977</v>
      </c>
      <c r="AD1326" s="139"/>
      <c r="AE1326" s="139"/>
      <c r="AF1326" s="139"/>
      <c r="AG1326" s="139"/>
      <c r="AH1326" s="139"/>
      <c r="AI1326" s="139"/>
      <c r="AJ1326" s="139"/>
      <c r="AK1326" s="139"/>
      <c r="AL1326" s="139"/>
      <c r="AM1326" s="139"/>
      <c r="AN1326" s="139"/>
      <c r="AO1326" s="139"/>
      <c r="AP1326" s="139"/>
      <c r="AQ1326" s="139"/>
      <c r="AR1326" s="139"/>
      <c r="AS1326" s="139"/>
      <c r="AT1326" s="139"/>
      <c r="AU1326" s="139"/>
      <c r="AV1326" s="139"/>
      <c r="AW1326" s="139"/>
      <c r="AX1326" s="139"/>
      <c r="AY1326" s="139"/>
      <c r="AZ1326" s="139"/>
      <c r="BA1326" s="139"/>
      <c r="BB1326" s="139"/>
      <c r="BC1326" s="139"/>
      <c r="BD1326" s="139"/>
      <c r="BE1326" s="139"/>
      <c r="BF1326" s="139"/>
      <c r="BG1326" s="139"/>
      <c r="BH1326" s="139"/>
    </row>
    <row r="1327" spans="2:60" s="11" customFormat="1" ht="19.899999999999999" customHeight="1">
      <c r="B1327" s="1360"/>
      <c r="C1327" s="9647" t="s">
        <v>143</v>
      </c>
      <c r="D1327" s="9648"/>
      <c r="E1327" s="9649"/>
      <c r="F1327" s="492" t="s">
        <v>156</v>
      </c>
      <c r="G1327" s="535"/>
      <c r="H1327" s="9579" t="s">
        <v>144</v>
      </c>
      <c r="I1327" s="9580"/>
      <c r="J1327" s="9581"/>
      <c r="K1327" s="5623" t="s">
        <v>156</v>
      </c>
      <c r="L1327" s="5594"/>
      <c r="M1327" s="5658"/>
      <c r="N1327" s="5601"/>
      <c r="O1327" s="5667"/>
      <c r="P1327" s="5602"/>
      <c r="Q1327" s="5593"/>
      <c r="R1327" s="2468"/>
      <c r="S1327" s="544"/>
      <c r="T1327" s="545"/>
      <c r="U1327" s="546"/>
      <c r="V1327" s="547"/>
      <c r="W1327" s="548"/>
      <c r="X1327" s="277"/>
      <c r="Y1327" s="277"/>
      <c r="Z1327" s="187"/>
      <c r="AA1327" s="6301"/>
      <c r="AB1327" s="139"/>
      <c r="AC1327" s="1377" t="s">
        <v>977</v>
      </c>
      <c r="AD1327" s="139"/>
      <c r="AE1327" s="139"/>
      <c r="AF1327" s="139"/>
      <c r="AG1327" s="139"/>
      <c r="AH1327" s="139"/>
      <c r="AI1327" s="139"/>
      <c r="AJ1327" s="139"/>
      <c r="AK1327" s="139"/>
      <c r="AL1327" s="139"/>
      <c r="AM1327" s="139"/>
      <c r="AN1327" s="139"/>
      <c r="AO1327" s="139"/>
      <c r="AP1327" s="139"/>
      <c r="AQ1327" s="139"/>
      <c r="AR1327" s="139"/>
      <c r="AS1327" s="139"/>
      <c r="AT1327" s="139"/>
      <c r="AU1327" s="139"/>
      <c r="AV1327" s="139"/>
      <c r="AW1327" s="139"/>
      <c r="AX1327" s="139"/>
      <c r="AY1327" s="139"/>
      <c r="AZ1327" s="139"/>
      <c r="BA1327" s="139"/>
      <c r="BB1327" s="139"/>
      <c r="BC1327" s="139"/>
      <c r="BD1327" s="139"/>
      <c r="BE1327" s="139"/>
      <c r="BF1327" s="139"/>
      <c r="BG1327" s="139"/>
      <c r="BH1327" s="139"/>
    </row>
    <row r="1328" spans="2:60" s="11" customFormat="1" ht="19.899999999999999" customHeight="1">
      <c r="B1328" s="1360"/>
      <c r="C1328" s="9647" t="s">
        <v>631</v>
      </c>
      <c r="D1328" s="9648"/>
      <c r="E1328" s="9649"/>
      <c r="F1328" s="492" t="s">
        <v>156</v>
      </c>
      <c r="G1328" s="535"/>
      <c r="H1328" s="9579" t="s">
        <v>147</v>
      </c>
      <c r="I1328" s="9580"/>
      <c r="J1328" s="9581"/>
      <c r="K1328" s="5623" t="s">
        <v>156</v>
      </c>
      <c r="L1328" s="5594"/>
      <c r="M1328" s="5658"/>
      <c r="N1328" s="5601"/>
      <c r="O1328" s="5667"/>
      <c r="P1328" s="5602"/>
      <c r="Q1328" s="5593"/>
      <c r="R1328" s="2468"/>
      <c r="S1328" s="544"/>
      <c r="T1328" s="545"/>
      <c r="U1328" s="546"/>
      <c r="V1328" s="547"/>
      <c r="W1328" s="548"/>
      <c r="X1328" s="277"/>
      <c r="Y1328" s="277"/>
      <c r="Z1328" s="187"/>
      <c r="AA1328" s="6301"/>
      <c r="AB1328" s="139"/>
      <c r="AC1328" s="1377" t="s">
        <v>977</v>
      </c>
      <c r="AD1328" s="139"/>
      <c r="AE1328" s="139"/>
      <c r="AF1328" s="139"/>
      <c r="AG1328" s="139"/>
      <c r="AH1328" s="139"/>
      <c r="AI1328" s="139"/>
      <c r="AJ1328" s="139"/>
      <c r="AK1328" s="139"/>
      <c r="AL1328" s="139"/>
      <c r="AM1328" s="139"/>
      <c r="AN1328" s="139"/>
      <c r="AO1328" s="139"/>
      <c r="AP1328" s="139"/>
      <c r="AQ1328" s="139"/>
      <c r="AR1328" s="139"/>
      <c r="AS1328" s="139"/>
      <c r="AT1328" s="139"/>
      <c r="AU1328" s="139"/>
      <c r="AV1328" s="139"/>
      <c r="AW1328" s="139"/>
      <c r="AX1328" s="139"/>
      <c r="AY1328" s="139"/>
      <c r="AZ1328" s="139"/>
      <c r="BA1328" s="139"/>
      <c r="BB1328" s="139"/>
      <c r="BC1328" s="139"/>
      <c r="BD1328" s="139"/>
      <c r="BE1328" s="139"/>
      <c r="BF1328" s="139"/>
      <c r="BG1328" s="139"/>
      <c r="BH1328" s="139"/>
    </row>
    <row r="1329" spans="2:60" s="11" customFormat="1" ht="19.899999999999999" customHeight="1">
      <c r="B1329" s="5590"/>
      <c r="C1329" s="9647" t="s">
        <v>633</v>
      </c>
      <c r="D1329" s="9648"/>
      <c r="E1329" s="9649"/>
      <c r="F1329" s="285" t="s">
        <v>156</v>
      </c>
      <c r="G1329" s="253"/>
      <c r="H1329" s="9579" t="s">
        <v>150</v>
      </c>
      <c r="I1329" s="9580"/>
      <c r="J1329" s="9581"/>
      <c r="K1329" s="5623" t="s">
        <v>156</v>
      </c>
      <c r="L1329" s="5691" t="s">
        <v>169</v>
      </c>
      <c r="M1329" s="5692"/>
      <c r="N1329" s="5682" t="s">
        <v>169</v>
      </c>
      <c r="O1329" s="5682"/>
      <c r="P1329" s="5682" t="s">
        <v>169</v>
      </c>
      <c r="Q1329" s="5593"/>
      <c r="R1329" s="1033"/>
      <c r="S1329" s="263"/>
      <c r="T1329" s="99"/>
      <c r="U1329" s="138"/>
      <c r="V1329" s="138"/>
      <c r="W1329" s="99"/>
      <c r="X1329" s="264"/>
      <c r="Y1329" s="277"/>
      <c r="Z1329" s="187"/>
      <c r="AA1329" s="6301"/>
      <c r="AB1329" s="139"/>
      <c r="AC1329" s="1377" t="s">
        <v>977</v>
      </c>
      <c r="AD1329" s="139"/>
      <c r="AE1329" s="139"/>
      <c r="AF1329" s="139"/>
      <c r="AG1329" s="139"/>
      <c r="AH1329" s="139"/>
      <c r="AI1329" s="139"/>
      <c r="AJ1329" s="139"/>
      <c r="AK1329" s="139"/>
      <c r="AL1329" s="139"/>
      <c r="AM1329" s="139"/>
      <c r="AN1329" s="139"/>
      <c r="AO1329" s="139"/>
      <c r="AP1329" s="139"/>
      <c r="AQ1329" s="139"/>
      <c r="AR1329" s="139"/>
      <c r="AS1329" s="139"/>
      <c r="AT1329" s="139"/>
      <c r="AU1329" s="139"/>
      <c r="AV1329" s="139"/>
      <c r="AW1329" s="139"/>
      <c r="AX1329" s="139"/>
      <c r="AY1329" s="139"/>
      <c r="AZ1329" s="139"/>
      <c r="BA1329" s="139"/>
      <c r="BB1329" s="139"/>
      <c r="BC1329" s="139"/>
      <c r="BD1329" s="139"/>
      <c r="BE1329" s="139"/>
      <c r="BF1329" s="139"/>
      <c r="BG1329" s="139"/>
      <c r="BH1329" s="139"/>
    </row>
    <row r="1330" spans="2:60" s="11" customFormat="1" ht="20.100000000000001" customHeight="1">
      <c r="B1330" s="1360"/>
      <c r="C1330" s="1379"/>
      <c r="D1330" s="9584" t="s">
        <v>978</v>
      </c>
      <c r="E1330" s="9585"/>
      <c r="F1330" s="285" t="s">
        <v>742</v>
      </c>
      <c r="G1330" s="771"/>
      <c r="H1330" s="788"/>
      <c r="I1330" s="9584" t="s">
        <v>979</v>
      </c>
      <c r="J1330" s="9585"/>
      <c r="K1330" s="5623" t="s">
        <v>734</v>
      </c>
      <c r="L1330" s="5653" t="str">
        <f>IF(COUNTBLANK(L1331:L1336)&gt;0,"미취합법인有",SUM(L1331:L1336))</f>
        <v>미취합법인有</v>
      </c>
      <c r="M1330" s="5657"/>
      <c r="N1330" s="5654" t="str">
        <f>IF(COUNTBLANK(N1331:N1336)&gt;0,"미취합법인有",SUM(N1331:N1336))</f>
        <v>미취합법인有</v>
      </c>
      <c r="O1330" s="5663"/>
      <c r="P1330" s="5781" t="str">
        <f>IF(COUNTBLANK(P1331:P1336)&gt;0,"미취합법인有",SUM(P1331:P1336))</f>
        <v>미취합법인有</v>
      </c>
      <c r="Q1330" s="785"/>
      <c r="R1330" s="498" t="s">
        <v>980</v>
      </c>
      <c r="S1330" s="367"/>
      <c r="T1330" s="99" t="s">
        <v>189</v>
      </c>
      <c r="U1330" s="547"/>
      <c r="V1330" s="773"/>
      <c r="W1330" s="99"/>
      <c r="X1330" s="775" t="s">
        <v>976</v>
      </c>
      <c r="Y1330" s="775"/>
      <c r="Z1330" s="776"/>
      <c r="AA1330" s="6301"/>
      <c r="AB1330" s="139"/>
      <c r="AC1330" s="1377" t="s">
        <v>981</v>
      </c>
      <c r="AD1330" s="139"/>
      <c r="AE1330" s="139"/>
      <c r="AF1330" s="139"/>
      <c r="AG1330" s="139"/>
      <c r="AH1330" s="139"/>
      <c r="AI1330" s="139"/>
      <c r="AJ1330" s="139"/>
      <c r="AK1330" s="139"/>
      <c r="AL1330" s="139"/>
      <c r="AM1330" s="139"/>
      <c r="AN1330" s="139"/>
      <c r="AO1330" s="139"/>
      <c r="AP1330" s="139"/>
      <c r="AQ1330" s="139"/>
      <c r="AR1330" s="139"/>
      <c r="AS1330" s="139"/>
      <c r="AT1330" s="139"/>
      <c r="AU1330" s="139"/>
      <c r="AV1330" s="139"/>
      <c r="AW1330" s="139"/>
      <c r="AX1330" s="139"/>
      <c r="AY1330" s="139"/>
      <c r="AZ1330" s="139"/>
      <c r="BA1330" s="139"/>
      <c r="BB1330" s="139"/>
      <c r="BC1330" s="139"/>
      <c r="BD1330" s="139"/>
      <c r="BE1330" s="139"/>
      <c r="BF1330" s="139"/>
      <c r="BG1330" s="139"/>
      <c r="BH1330" s="139"/>
    </row>
    <row r="1331" spans="2:60" s="11" customFormat="1" ht="20.100000000000001" customHeight="1">
      <c r="B1331" s="1360"/>
      <c r="C1331" s="5598"/>
      <c r="D1331" s="9598" t="s">
        <v>134</v>
      </c>
      <c r="E1331" s="9600"/>
      <c r="F1331" s="285" t="s">
        <v>742</v>
      </c>
      <c r="G1331" s="666"/>
      <c r="H1331" s="684"/>
      <c r="I1331" s="9579" t="s">
        <v>135</v>
      </c>
      <c r="J1331" s="9581"/>
      <c r="K1331" s="5623" t="s">
        <v>734</v>
      </c>
      <c r="L1331" s="5696">
        <v>945</v>
      </c>
      <c r="M1331" s="5718"/>
      <c r="N1331" s="6005">
        <v>1003</v>
      </c>
      <c r="O1331" s="6007"/>
      <c r="P1331" s="6008">
        <v>1035</v>
      </c>
      <c r="Q1331" s="5717"/>
      <c r="R1331" s="2468"/>
      <c r="S1331" s="544"/>
      <c r="T1331" s="545"/>
      <c r="U1331" s="546"/>
      <c r="V1331" s="547"/>
      <c r="W1331" s="548"/>
      <c r="X1331" s="277"/>
      <c r="Y1331" s="277"/>
      <c r="Z1331" s="187"/>
      <c r="AA1331" s="6301"/>
      <c r="AB1331" s="139"/>
      <c r="AC1331" s="139"/>
      <c r="AD1331" s="139"/>
      <c r="AE1331" s="139"/>
      <c r="AF1331" s="139"/>
      <c r="AG1331" s="139"/>
      <c r="AH1331" s="139"/>
      <c r="AI1331" s="139"/>
      <c r="AJ1331" s="139"/>
      <c r="AK1331" s="139"/>
      <c r="AL1331" s="139"/>
      <c r="AM1331" s="139"/>
      <c r="AN1331" s="139"/>
      <c r="AO1331" s="139"/>
      <c r="AP1331" s="139"/>
      <c r="AQ1331" s="139"/>
      <c r="AR1331" s="139"/>
      <c r="AS1331" s="139"/>
      <c r="AT1331" s="139"/>
      <c r="AU1331" s="139"/>
      <c r="AV1331" s="139"/>
      <c r="AW1331" s="139"/>
      <c r="AX1331" s="139"/>
      <c r="AY1331" s="139"/>
      <c r="AZ1331" s="139"/>
      <c r="BA1331" s="139"/>
      <c r="BB1331" s="139"/>
      <c r="BC1331" s="139"/>
      <c r="BD1331" s="139"/>
      <c r="BE1331" s="139"/>
      <c r="BF1331" s="139"/>
      <c r="BG1331" s="139"/>
      <c r="BH1331" s="139"/>
    </row>
    <row r="1332" spans="2:60" s="11" customFormat="1" ht="20.100000000000001" customHeight="1">
      <c r="B1332" s="1360"/>
      <c r="C1332" s="5598"/>
      <c r="D1332" s="9598" t="s">
        <v>137</v>
      </c>
      <c r="E1332" s="9600"/>
      <c r="F1332" s="285" t="s">
        <v>742</v>
      </c>
      <c r="G1332" s="666"/>
      <c r="H1332" s="684"/>
      <c r="I1332" s="9579" t="s">
        <v>138</v>
      </c>
      <c r="J1332" s="9581"/>
      <c r="K1332" s="5623" t="s">
        <v>734</v>
      </c>
      <c r="L1332" s="5705">
        <v>125</v>
      </c>
      <c r="M1332" s="5719" t="s">
        <v>982</v>
      </c>
      <c r="N1332" s="5730">
        <v>163</v>
      </c>
      <c r="O1332" s="5720" t="s">
        <v>983</v>
      </c>
      <c r="P1332" s="5856">
        <v>207</v>
      </c>
      <c r="Q1332" s="5717"/>
      <c r="R1332" s="2468"/>
      <c r="S1332" s="544"/>
      <c r="T1332" s="545"/>
      <c r="U1332" s="546"/>
      <c r="V1332" s="547"/>
      <c r="W1332" s="548"/>
      <c r="X1332" s="277"/>
      <c r="Y1332" s="277"/>
      <c r="Z1332" s="187"/>
      <c r="AA1332" s="6301"/>
      <c r="AB1332" s="139"/>
      <c r="AC1332" s="139"/>
      <c r="AD1332" s="139"/>
      <c r="AE1332" s="139"/>
      <c r="AF1332" s="139"/>
      <c r="AG1332" s="139"/>
      <c r="AH1332" s="139"/>
      <c r="AI1332" s="139"/>
      <c r="AJ1332" s="139"/>
      <c r="AK1332" s="139"/>
      <c r="AL1332" s="139"/>
      <c r="AM1332" s="139"/>
      <c r="AN1332" s="139"/>
      <c r="AO1332" s="139"/>
      <c r="AP1332" s="139"/>
      <c r="AQ1332" s="139"/>
      <c r="AR1332" s="139"/>
      <c r="AS1332" s="139"/>
      <c r="AT1332" s="139"/>
      <c r="AU1332" s="139"/>
      <c r="AV1332" s="139"/>
      <c r="AW1332" s="139"/>
      <c r="AX1332" s="139"/>
      <c r="AY1332" s="139"/>
      <c r="AZ1332" s="139"/>
      <c r="BA1332" s="139"/>
      <c r="BB1332" s="139"/>
      <c r="BC1332" s="139"/>
      <c r="BD1332" s="139"/>
      <c r="BE1332" s="139"/>
      <c r="BF1332" s="139"/>
      <c r="BG1332" s="139"/>
      <c r="BH1332" s="139"/>
    </row>
    <row r="1333" spans="2:60" s="11" customFormat="1" ht="20.100000000000001" customHeight="1">
      <c r="B1333" s="1360"/>
      <c r="C1333" s="5598"/>
      <c r="D1333" s="9598" t="s">
        <v>140</v>
      </c>
      <c r="E1333" s="9600"/>
      <c r="F1333" s="285" t="s">
        <v>742</v>
      </c>
      <c r="G1333" s="666"/>
      <c r="H1333" s="684"/>
      <c r="I1333" s="9582" t="s">
        <v>141</v>
      </c>
      <c r="J1333" s="9583"/>
      <c r="K1333" s="5623" t="s">
        <v>734</v>
      </c>
      <c r="L1333" s="5696">
        <v>0</v>
      </c>
      <c r="M1333" s="5718"/>
      <c r="N1333" s="5729">
        <v>0</v>
      </c>
      <c r="O1333" s="5716"/>
      <c r="P1333" s="5855">
        <v>0</v>
      </c>
      <c r="Q1333" s="5717"/>
      <c r="R1333" s="2468"/>
      <c r="S1333" s="544"/>
      <c r="T1333" s="545"/>
      <c r="U1333" s="546"/>
      <c r="V1333" s="547"/>
      <c r="W1333" s="548"/>
      <c r="X1333" s="277"/>
      <c r="Y1333" s="277"/>
      <c r="Z1333" s="187"/>
      <c r="AA1333" s="6301"/>
      <c r="AB1333" s="139"/>
      <c r="AC1333" s="1377" t="s">
        <v>981</v>
      </c>
      <c r="AD1333" s="139"/>
      <c r="AE1333" s="139"/>
      <c r="AF1333" s="139"/>
      <c r="AG1333" s="139"/>
      <c r="AH1333" s="139"/>
      <c r="AI1333" s="139"/>
      <c r="AJ1333" s="139"/>
      <c r="AK1333" s="139"/>
      <c r="AL1333" s="139"/>
      <c r="AM1333" s="139"/>
      <c r="AN1333" s="139"/>
      <c r="AO1333" s="139"/>
      <c r="AP1333" s="139"/>
      <c r="AQ1333" s="139"/>
      <c r="AR1333" s="139"/>
      <c r="AS1333" s="139"/>
      <c r="AT1333" s="139"/>
      <c r="AU1333" s="139"/>
      <c r="AV1333" s="139"/>
      <c r="AW1333" s="139"/>
      <c r="AX1333" s="139"/>
      <c r="AY1333" s="139"/>
      <c r="AZ1333" s="139"/>
      <c r="BA1333" s="139"/>
      <c r="BB1333" s="139"/>
      <c r="BC1333" s="139"/>
      <c r="BD1333" s="139"/>
      <c r="BE1333" s="139"/>
      <c r="BF1333" s="139"/>
      <c r="BG1333" s="139"/>
      <c r="BH1333" s="139"/>
    </row>
    <row r="1334" spans="2:60" s="11" customFormat="1" ht="20.100000000000001" customHeight="1">
      <c r="B1334" s="1360"/>
      <c r="C1334" s="5598"/>
      <c r="D1334" s="9598" t="s">
        <v>143</v>
      </c>
      <c r="E1334" s="9600"/>
      <c r="F1334" s="285" t="s">
        <v>742</v>
      </c>
      <c r="G1334" s="666"/>
      <c r="H1334" s="684"/>
      <c r="I1334" s="9582" t="s">
        <v>144</v>
      </c>
      <c r="J1334" s="9583"/>
      <c r="K1334" s="5623" t="s">
        <v>734</v>
      </c>
      <c r="L1334" s="5696"/>
      <c r="M1334" s="5718"/>
      <c r="N1334" s="5729"/>
      <c r="O1334" s="5716"/>
      <c r="P1334" s="5855"/>
      <c r="Q1334" s="5717"/>
      <c r="R1334" s="2468"/>
      <c r="S1334" s="544"/>
      <c r="T1334" s="545"/>
      <c r="U1334" s="546"/>
      <c r="V1334" s="547"/>
      <c r="W1334" s="548"/>
      <c r="X1334" s="277"/>
      <c r="Y1334" s="277"/>
      <c r="Z1334" s="187"/>
      <c r="AA1334" s="6301"/>
      <c r="AB1334" s="139"/>
      <c r="AC1334" s="1377" t="s">
        <v>981</v>
      </c>
      <c r="AD1334" s="139"/>
      <c r="AE1334" s="139"/>
      <c r="AF1334" s="139"/>
      <c r="AG1334" s="139"/>
      <c r="AH1334" s="139"/>
      <c r="AI1334" s="139"/>
      <c r="AJ1334" s="139"/>
      <c r="AK1334" s="139"/>
      <c r="AL1334" s="139"/>
      <c r="AM1334" s="139"/>
      <c r="AN1334" s="139"/>
      <c r="AO1334" s="139"/>
      <c r="AP1334" s="139"/>
      <c r="AQ1334" s="139"/>
      <c r="AR1334" s="139"/>
      <c r="AS1334" s="139"/>
      <c r="AT1334" s="139"/>
      <c r="AU1334" s="139"/>
      <c r="AV1334" s="139"/>
      <c r="AW1334" s="139"/>
      <c r="AX1334" s="139"/>
      <c r="AY1334" s="139"/>
      <c r="AZ1334" s="139"/>
      <c r="BA1334" s="139"/>
      <c r="BB1334" s="139"/>
      <c r="BC1334" s="139"/>
      <c r="BD1334" s="139"/>
      <c r="BE1334" s="139"/>
      <c r="BF1334" s="139"/>
      <c r="BG1334" s="139"/>
      <c r="BH1334" s="139"/>
    </row>
    <row r="1335" spans="2:60" s="11" customFormat="1" ht="20.100000000000001" customHeight="1">
      <c r="B1335" s="1360"/>
      <c r="C1335" s="5598"/>
      <c r="D1335" s="9598" t="s">
        <v>631</v>
      </c>
      <c r="E1335" s="9600"/>
      <c r="F1335" s="285" t="s">
        <v>742</v>
      </c>
      <c r="G1335" s="666"/>
      <c r="H1335" s="684"/>
      <c r="I1335" s="9582" t="s">
        <v>147</v>
      </c>
      <c r="J1335" s="9583"/>
      <c r="K1335" s="5623" t="s">
        <v>734</v>
      </c>
      <c r="L1335" s="5696"/>
      <c r="M1335" s="5718"/>
      <c r="N1335" s="5729"/>
      <c r="O1335" s="5716"/>
      <c r="P1335" s="5855"/>
      <c r="Q1335" s="5717"/>
      <c r="R1335" s="2468"/>
      <c r="S1335" s="544"/>
      <c r="T1335" s="545"/>
      <c r="U1335" s="546"/>
      <c r="V1335" s="547"/>
      <c r="W1335" s="548"/>
      <c r="X1335" s="277"/>
      <c r="Y1335" s="277"/>
      <c r="Z1335" s="187"/>
      <c r="AA1335" s="6301"/>
      <c r="AB1335" s="139"/>
      <c r="AC1335" s="1377" t="s">
        <v>981</v>
      </c>
      <c r="AD1335" s="139"/>
      <c r="AE1335" s="139"/>
      <c r="AF1335" s="139"/>
      <c r="AG1335" s="139"/>
      <c r="AH1335" s="139"/>
      <c r="AI1335" s="139"/>
      <c r="AJ1335" s="139"/>
      <c r="AK1335" s="139"/>
      <c r="AL1335" s="139"/>
      <c r="AM1335" s="139"/>
      <c r="AN1335" s="139"/>
      <c r="AO1335" s="139"/>
      <c r="AP1335" s="139"/>
      <c r="AQ1335" s="139"/>
      <c r="AR1335" s="139"/>
      <c r="AS1335" s="139"/>
      <c r="AT1335" s="139"/>
      <c r="AU1335" s="139"/>
      <c r="AV1335" s="139"/>
      <c r="AW1335" s="139"/>
      <c r="AX1335" s="139"/>
      <c r="AY1335" s="139"/>
      <c r="AZ1335" s="139"/>
      <c r="BA1335" s="139"/>
      <c r="BB1335" s="139"/>
      <c r="BC1335" s="139"/>
      <c r="BD1335" s="139"/>
      <c r="BE1335" s="139"/>
      <c r="BF1335" s="139"/>
      <c r="BG1335" s="139"/>
      <c r="BH1335" s="139"/>
    </row>
    <row r="1336" spans="2:60" s="11" customFormat="1" ht="20.100000000000001" customHeight="1">
      <c r="B1336" s="1360"/>
      <c r="C1336" s="5598"/>
      <c r="D1336" s="9598" t="s">
        <v>633</v>
      </c>
      <c r="E1336" s="9600"/>
      <c r="F1336" s="285" t="s">
        <v>742</v>
      </c>
      <c r="G1336" s="666"/>
      <c r="H1336" s="684"/>
      <c r="I1336" s="9582" t="s">
        <v>150</v>
      </c>
      <c r="J1336" s="9583"/>
      <c r="K1336" s="5623" t="s">
        <v>734</v>
      </c>
      <c r="L1336" s="5696"/>
      <c r="M1336" s="5718"/>
      <c r="N1336" s="5729"/>
      <c r="O1336" s="5718"/>
      <c r="P1336" s="5729"/>
      <c r="Q1336" s="5717"/>
      <c r="R1336" s="2468"/>
      <c r="S1336" s="544"/>
      <c r="T1336" s="545"/>
      <c r="U1336" s="546"/>
      <c r="V1336" s="547"/>
      <c r="W1336" s="548"/>
      <c r="X1336" s="277"/>
      <c r="Y1336" s="277"/>
      <c r="Z1336" s="187"/>
      <c r="AA1336" s="6301"/>
      <c r="AB1336" s="139"/>
      <c r="AC1336" s="1377" t="s">
        <v>981</v>
      </c>
      <c r="AD1336" s="139"/>
      <c r="AE1336" s="139"/>
      <c r="AF1336" s="139"/>
      <c r="AG1336" s="139"/>
      <c r="AH1336" s="139"/>
      <c r="AI1336" s="139"/>
      <c r="AJ1336" s="139"/>
      <c r="AK1336" s="139"/>
      <c r="AL1336" s="139"/>
      <c r="AM1336" s="139"/>
      <c r="AN1336" s="139"/>
      <c r="AO1336" s="139"/>
      <c r="AP1336" s="139"/>
      <c r="AQ1336" s="139"/>
      <c r="AR1336" s="139"/>
      <c r="AS1336" s="139"/>
      <c r="AT1336" s="139"/>
      <c r="AU1336" s="139"/>
      <c r="AV1336" s="139"/>
      <c r="AW1336" s="139"/>
      <c r="AX1336" s="139"/>
      <c r="AY1336" s="139"/>
      <c r="AZ1336" s="139"/>
      <c r="BA1336" s="139"/>
      <c r="BB1336" s="139"/>
      <c r="BC1336" s="139"/>
      <c r="BD1336" s="139"/>
      <c r="BE1336" s="139"/>
      <c r="BF1336" s="139"/>
      <c r="BG1336" s="139"/>
      <c r="BH1336" s="139"/>
    </row>
    <row r="1337" spans="2:60" s="11" customFormat="1" ht="20.100000000000001" customHeight="1">
      <c r="B1337" s="1360"/>
      <c r="C1337" s="1379"/>
      <c r="D1337" s="9584" t="s">
        <v>984</v>
      </c>
      <c r="E1337" s="9585"/>
      <c r="F1337" s="285" t="s">
        <v>742</v>
      </c>
      <c r="G1337" s="771"/>
      <c r="H1337" s="788"/>
      <c r="I1337" s="9584" t="s">
        <v>985</v>
      </c>
      <c r="J1337" s="9585"/>
      <c r="K1337" s="5623" t="s">
        <v>734</v>
      </c>
      <c r="L1337" s="5653" t="str">
        <f>IF(COUNTBLANK(L1338:L1343)&gt;0,"미취합법인有",SUM(L1338:L1343))</f>
        <v>미취합법인有</v>
      </c>
      <c r="M1337" s="5657"/>
      <c r="N1337" s="5654" t="str">
        <f>IF(COUNTBLANK(N1338:N1343)&gt;0,"미취합법인有",SUM(N1338:N1343))</f>
        <v>미취합법인有</v>
      </c>
      <c r="O1337" s="5663"/>
      <c r="P1337" s="5781" t="str">
        <f>IF(COUNTBLANK(P1338:P1343)&gt;0,"미취합법인有",SUM(P1338:P1343))</f>
        <v>미취합법인有</v>
      </c>
      <c r="Q1337" s="785"/>
      <c r="R1337" s="498"/>
      <c r="S1337" s="367"/>
      <c r="T1337" s="99" t="s">
        <v>189</v>
      </c>
      <c r="U1337" s="547"/>
      <c r="V1337" s="773"/>
      <c r="W1337" s="99"/>
      <c r="X1337" s="775" t="s">
        <v>976</v>
      </c>
      <c r="Y1337" s="775"/>
      <c r="Z1337" s="776"/>
      <c r="AA1337" s="6301"/>
      <c r="AB1337" s="139"/>
      <c r="AC1337" s="1377" t="s">
        <v>981</v>
      </c>
      <c r="AD1337" s="139"/>
      <c r="AE1337" s="139"/>
      <c r="AF1337" s="139"/>
      <c r="AG1337" s="139"/>
      <c r="AH1337" s="139"/>
      <c r="AI1337" s="139"/>
      <c r="AJ1337" s="139"/>
      <c r="AK1337" s="139"/>
      <c r="AL1337" s="139"/>
      <c r="AM1337" s="139"/>
      <c r="AN1337" s="139"/>
      <c r="AO1337" s="139"/>
      <c r="AP1337" s="139"/>
      <c r="AQ1337" s="139"/>
      <c r="AR1337" s="139"/>
      <c r="AS1337" s="139"/>
      <c r="AT1337" s="139"/>
      <c r="AU1337" s="139"/>
      <c r="AV1337" s="139"/>
      <c r="AW1337" s="139"/>
      <c r="AX1337" s="139"/>
      <c r="AY1337" s="139"/>
      <c r="AZ1337" s="139"/>
      <c r="BA1337" s="139"/>
      <c r="BB1337" s="139"/>
      <c r="BC1337" s="139"/>
      <c r="BD1337" s="139"/>
      <c r="BE1337" s="139"/>
      <c r="BF1337" s="139"/>
      <c r="BG1337" s="139"/>
      <c r="BH1337" s="139"/>
    </row>
    <row r="1338" spans="2:60" s="11" customFormat="1" ht="20.100000000000001" customHeight="1">
      <c r="B1338" s="1360"/>
      <c r="C1338" s="5598"/>
      <c r="D1338" s="9598" t="s">
        <v>134</v>
      </c>
      <c r="E1338" s="9600"/>
      <c r="F1338" s="285" t="s">
        <v>742</v>
      </c>
      <c r="G1338" s="666"/>
      <c r="H1338" s="684"/>
      <c r="I1338" s="9579" t="s">
        <v>135</v>
      </c>
      <c r="J1338" s="9581"/>
      <c r="K1338" s="5623" t="s">
        <v>734</v>
      </c>
      <c r="L1338" s="5696">
        <v>947</v>
      </c>
      <c r="M1338" s="5718" t="s">
        <v>986</v>
      </c>
      <c r="N1338" s="6005">
        <v>1007</v>
      </c>
      <c r="O1338" s="5716" t="s">
        <v>986</v>
      </c>
      <c r="P1338" s="6008">
        <v>1035</v>
      </c>
      <c r="Q1338" s="5717"/>
      <c r="R1338" s="2468"/>
      <c r="S1338" s="544"/>
      <c r="T1338" s="545"/>
      <c r="U1338" s="546"/>
      <c r="V1338" s="547"/>
      <c r="W1338" s="548"/>
      <c r="X1338" s="277"/>
      <c r="Y1338" s="277"/>
      <c r="Z1338" s="187"/>
      <c r="AA1338" s="6301"/>
      <c r="AB1338" s="139"/>
      <c r="AC1338" s="1377" t="s">
        <v>981</v>
      </c>
      <c r="AD1338" s="139"/>
      <c r="AE1338" s="139"/>
      <c r="AF1338" s="139"/>
      <c r="AG1338" s="139"/>
      <c r="AH1338" s="139"/>
      <c r="AI1338" s="139"/>
      <c r="AJ1338" s="139"/>
      <c r="AK1338" s="139"/>
      <c r="AL1338" s="139"/>
      <c r="AM1338" s="139"/>
      <c r="AN1338" s="139"/>
      <c r="AO1338" s="139"/>
      <c r="AP1338" s="139"/>
      <c r="AQ1338" s="139"/>
      <c r="AR1338" s="139"/>
      <c r="AS1338" s="139"/>
      <c r="AT1338" s="139"/>
      <c r="AU1338" s="139"/>
      <c r="AV1338" s="139"/>
      <c r="AW1338" s="139"/>
      <c r="AX1338" s="139"/>
      <c r="AY1338" s="139"/>
      <c r="AZ1338" s="139"/>
      <c r="BA1338" s="139"/>
      <c r="BB1338" s="139"/>
      <c r="BC1338" s="139"/>
      <c r="BD1338" s="139"/>
      <c r="BE1338" s="139"/>
      <c r="BF1338" s="139"/>
      <c r="BG1338" s="139"/>
      <c r="BH1338" s="139"/>
    </row>
    <row r="1339" spans="2:60" s="11" customFormat="1" ht="20.100000000000001" customHeight="1">
      <c r="B1339" s="1360"/>
      <c r="C1339" s="5598"/>
      <c r="D1339" s="9598" t="s">
        <v>137</v>
      </c>
      <c r="E1339" s="9600"/>
      <c r="F1339" s="285" t="s">
        <v>742</v>
      </c>
      <c r="G1339" s="666"/>
      <c r="H1339" s="684"/>
      <c r="I1339" s="9579" t="s">
        <v>138</v>
      </c>
      <c r="J1339" s="9581"/>
      <c r="K1339" s="5623" t="s">
        <v>734</v>
      </c>
      <c r="L1339" s="5705">
        <v>127</v>
      </c>
      <c r="M1339" s="5719" t="s">
        <v>987</v>
      </c>
      <c r="N1339" s="5730">
        <v>167</v>
      </c>
      <c r="O1339" s="5720" t="s">
        <v>987</v>
      </c>
      <c r="P1339" s="5856">
        <v>208</v>
      </c>
      <c r="Q1339" s="5717"/>
      <c r="R1339" s="2468"/>
      <c r="S1339" s="544"/>
      <c r="T1339" s="545"/>
      <c r="U1339" s="546"/>
      <c r="V1339" s="547"/>
      <c r="W1339" s="548"/>
      <c r="X1339" s="277"/>
      <c r="Y1339" s="277"/>
      <c r="Z1339" s="187"/>
      <c r="AA1339" s="6301"/>
      <c r="AB1339" s="139"/>
      <c r="AC1339" s="1377" t="s">
        <v>981</v>
      </c>
      <c r="AD1339" s="139"/>
      <c r="AE1339" s="139"/>
      <c r="AF1339" s="139"/>
      <c r="AG1339" s="139"/>
      <c r="AH1339" s="139"/>
      <c r="AI1339" s="139"/>
      <c r="AJ1339" s="139"/>
      <c r="AK1339" s="139"/>
      <c r="AL1339" s="139"/>
      <c r="AM1339" s="139"/>
      <c r="AN1339" s="139"/>
      <c r="AO1339" s="139"/>
      <c r="AP1339" s="139"/>
      <c r="AQ1339" s="139"/>
      <c r="AR1339" s="139"/>
      <c r="AS1339" s="139"/>
      <c r="AT1339" s="139"/>
      <c r="AU1339" s="139"/>
      <c r="AV1339" s="139"/>
      <c r="AW1339" s="139"/>
      <c r="AX1339" s="139"/>
      <c r="AY1339" s="139"/>
      <c r="AZ1339" s="139"/>
      <c r="BA1339" s="139"/>
      <c r="BB1339" s="139"/>
      <c r="BC1339" s="139"/>
      <c r="BD1339" s="139"/>
      <c r="BE1339" s="139"/>
      <c r="BF1339" s="139"/>
      <c r="BG1339" s="139"/>
      <c r="BH1339" s="139"/>
    </row>
    <row r="1340" spans="2:60" s="11" customFormat="1" ht="20.100000000000001" customHeight="1">
      <c r="B1340" s="1360"/>
      <c r="C1340" s="5598"/>
      <c r="D1340" s="9598" t="s">
        <v>140</v>
      </c>
      <c r="E1340" s="9600"/>
      <c r="F1340" s="285" t="s">
        <v>742</v>
      </c>
      <c r="G1340" s="666"/>
      <c r="H1340" s="684"/>
      <c r="I1340" s="9582" t="s">
        <v>141</v>
      </c>
      <c r="J1340" s="9583"/>
      <c r="K1340" s="5623" t="s">
        <v>734</v>
      </c>
      <c r="L1340" s="5696">
        <v>0</v>
      </c>
      <c r="M1340" s="5718"/>
      <c r="N1340" s="5729">
        <v>0</v>
      </c>
      <c r="O1340" s="5716"/>
      <c r="P1340" s="5855">
        <v>0</v>
      </c>
      <c r="Q1340" s="5717"/>
      <c r="R1340" s="2468"/>
      <c r="S1340" s="544"/>
      <c r="T1340" s="545"/>
      <c r="U1340" s="546"/>
      <c r="V1340" s="547"/>
      <c r="W1340" s="548"/>
      <c r="X1340" s="277"/>
      <c r="Y1340" s="277"/>
      <c r="Z1340" s="187"/>
      <c r="AA1340" s="6301"/>
      <c r="AB1340" s="139"/>
      <c r="AC1340" s="1377" t="s">
        <v>981</v>
      </c>
      <c r="AD1340" s="139"/>
      <c r="AE1340" s="139"/>
      <c r="AF1340" s="139"/>
      <c r="AG1340" s="139"/>
      <c r="AH1340" s="139"/>
      <c r="AI1340" s="139"/>
      <c r="AJ1340" s="139"/>
      <c r="AK1340" s="139"/>
      <c r="AL1340" s="139"/>
      <c r="AM1340" s="139"/>
      <c r="AN1340" s="139"/>
      <c r="AO1340" s="139"/>
      <c r="AP1340" s="139"/>
      <c r="AQ1340" s="139"/>
      <c r="AR1340" s="139"/>
      <c r="AS1340" s="139"/>
      <c r="AT1340" s="139"/>
      <c r="AU1340" s="139"/>
      <c r="AV1340" s="139"/>
      <c r="AW1340" s="139"/>
      <c r="AX1340" s="139"/>
      <c r="AY1340" s="139"/>
      <c r="AZ1340" s="139"/>
      <c r="BA1340" s="139"/>
      <c r="BB1340" s="139"/>
      <c r="BC1340" s="139"/>
      <c r="BD1340" s="139"/>
      <c r="BE1340" s="139"/>
      <c r="BF1340" s="139"/>
      <c r="BG1340" s="139"/>
      <c r="BH1340" s="139"/>
    </row>
    <row r="1341" spans="2:60" s="11" customFormat="1" ht="20.100000000000001" customHeight="1">
      <c r="B1341" s="1360"/>
      <c r="C1341" s="5598"/>
      <c r="D1341" s="9598" t="s">
        <v>143</v>
      </c>
      <c r="E1341" s="9600"/>
      <c r="F1341" s="285" t="s">
        <v>742</v>
      </c>
      <c r="G1341" s="666"/>
      <c r="H1341" s="684"/>
      <c r="I1341" s="9582" t="s">
        <v>144</v>
      </c>
      <c r="J1341" s="9583"/>
      <c r="K1341" s="5623" t="s">
        <v>734</v>
      </c>
      <c r="L1341" s="5696"/>
      <c r="M1341" s="5718"/>
      <c r="N1341" s="5729"/>
      <c r="O1341" s="5716"/>
      <c r="P1341" s="5855"/>
      <c r="Q1341" s="5717"/>
      <c r="R1341" s="2468"/>
      <c r="S1341" s="544"/>
      <c r="T1341" s="545"/>
      <c r="U1341" s="546"/>
      <c r="V1341" s="547"/>
      <c r="W1341" s="548"/>
      <c r="X1341" s="277"/>
      <c r="Y1341" s="277"/>
      <c r="Z1341" s="187"/>
      <c r="AA1341" s="6301"/>
      <c r="AB1341" s="139"/>
      <c r="AC1341" s="1377" t="s">
        <v>981</v>
      </c>
      <c r="AD1341" s="139"/>
      <c r="AE1341" s="139"/>
      <c r="AF1341" s="139"/>
      <c r="AG1341" s="139"/>
      <c r="AH1341" s="139"/>
      <c r="AI1341" s="139"/>
      <c r="AJ1341" s="139"/>
      <c r="AK1341" s="139"/>
      <c r="AL1341" s="139"/>
      <c r="AM1341" s="139"/>
      <c r="AN1341" s="139"/>
      <c r="AO1341" s="139"/>
      <c r="AP1341" s="139"/>
      <c r="AQ1341" s="139"/>
      <c r="AR1341" s="139"/>
      <c r="AS1341" s="139"/>
      <c r="AT1341" s="139"/>
      <c r="AU1341" s="139"/>
      <c r="AV1341" s="139"/>
      <c r="AW1341" s="139"/>
      <c r="AX1341" s="139"/>
      <c r="AY1341" s="139"/>
      <c r="AZ1341" s="139"/>
      <c r="BA1341" s="139"/>
      <c r="BB1341" s="139"/>
      <c r="BC1341" s="139"/>
      <c r="BD1341" s="139"/>
      <c r="BE1341" s="139"/>
      <c r="BF1341" s="139"/>
      <c r="BG1341" s="139"/>
      <c r="BH1341" s="139"/>
    </row>
    <row r="1342" spans="2:60" s="11" customFormat="1" ht="20.100000000000001" customHeight="1">
      <c r="B1342" s="1360"/>
      <c r="C1342" s="5598"/>
      <c r="D1342" s="9598" t="s">
        <v>631</v>
      </c>
      <c r="E1342" s="9600"/>
      <c r="F1342" s="285" t="s">
        <v>742</v>
      </c>
      <c r="G1342" s="666"/>
      <c r="H1342" s="684"/>
      <c r="I1342" s="9582" t="s">
        <v>147</v>
      </c>
      <c r="J1342" s="9583"/>
      <c r="K1342" s="5623" t="s">
        <v>734</v>
      </c>
      <c r="L1342" s="5696"/>
      <c r="M1342" s="5718"/>
      <c r="N1342" s="5729"/>
      <c r="O1342" s="5716"/>
      <c r="P1342" s="5855"/>
      <c r="Q1342" s="5717"/>
      <c r="R1342" s="2468"/>
      <c r="S1342" s="544"/>
      <c r="T1342" s="545"/>
      <c r="U1342" s="546"/>
      <c r="V1342" s="547"/>
      <c r="W1342" s="548"/>
      <c r="X1342" s="277"/>
      <c r="Y1342" s="277"/>
      <c r="Z1342" s="187"/>
      <c r="AA1342" s="6301"/>
      <c r="AB1342" s="139"/>
      <c r="AC1342" s="1377" t="s">
        <v>981</v>
      </c>
      <c r="AD1342" s="139"/>
      <c r="AE1342" s="139"/>
      <c r="AF1342" s="139"/>
      <c r="AG1342" s="139"/>
      <c r="AH1342" s="139"/>
      <c r="AI1342" s="139"/>
      <c r="AJ1342" s="139"/>
      <c r="AK1342" s="139"/>
      <c r="AL1342" s="139"/>
      <c r="AM1342" s="139"/>
      <c r="AN1342" s="139"/>
      <c r="AO1342" s="139"/>
      <c r="AP1342" s="139"/>
      <c r="AQ1342" s="139"/>
      <c r="AR1342" s="139"/>
      <c r="AS1342" s="139"/>
      <c r="AT1342" s="139"/>
      <c r="AU1342" s="139"/>
      <c r="AV1342" s="139"/>
      <c r="AW1342" s="139"/>
      <c r="AX1342" s="139"/>
      <c r="AY1342" s="139"/>
      <c r="AZ1342" s="139"/>
      <c r="BA1342" s="139"/>
      <c r="BB1342" s="139"/>
      <c r="BC1342" s="139"/>
      <c r="BD1342" s="139"/>
      <c r="BE1342" s="139"/>
      <c r="BF1342" s="139"/>
      <c r="BG1342" s="139"/>
      <c r="BH1342" s="139"/>
    </row>
    <row r="1343" spans="2:60" s="11" customFormat="1" ht="20.100000000000001" customHeight="1">
      <c r="B1343" s="1360"/>
      <c r="C1343" s="5598"/>
      <c r="D1343" s="9598" t="s">
        <v>633</v>
      </c>
      <c r="E1343" s="9600"/>
      <c r="F1343" s="285" t="s">
        <v>742</v>
      </c>
      <c r="G1343" s="666"/>
      <c r="H1343" s="684"/>
      <c r="I1343" s="9582" t="s">
        <v>150</v>
      </c>
      <c r="J1343" s="9583"/>
      <c r="K1343" s="5623" t="s">
        <v>734</v>
      </c>
      <c r="L1343" s="5696"/>
      <c r="M1343" s="5718"/>
      <c r="N1343" s="5729"/>
      <c r="O1343" s="5718"/>
      <c r="P1343" s="5729"/>
      <c r="Q1343" s="5717"/>
      <c r="R1343" s="2468"/>
      <c r="S1343" s="544"/>
      <c r="T1343" s="545"/>
      <c r="U1343" s="546"/>
      <c r="V1343" s="547"/>
      <c r="W1343" s="548"/>
      <c r="X1343" s="277"/>
      <c r="Y1343" s="277"/>
      <c r="Z1343" s="187"/>
      <c r="AA1343" s="6301"/>
      <c r="AB1343" s="139"/>
      <c r="AC1343" s="1377" t="s">
        <v>981</v>
      </c>
      <c r="AD1343" s="139"/>
      <c r="AE1343" s="139"/>
      <c r="AF1343" s="139"/>
      <c r="AG1343" s="139"/>
      <c r="AH1343" s="139"/>
      <c r="AI1343" s="139"/>
      <c r="AJ1343" s="139"/>
      <c r="AK1343" s="139"/>
      <c r="AL1343" s="139"/>
      <c r="AM1343" s="139"/>
      <c r="AN1343" s="139"/>
      <c r="AO1343" s="139"/>
      <c r="AP1343" s="139"/>
      <c r="AQ1343" s="139"/>
      <c r="AR1343" s="139"/>
      <c r="AS1343" s="139"/>
      <c r="AT1343" s="139"/>
      <c r="AU1343" s="139"/>
      <c r="AV1343" s="139"/>
      <c r="AW1343" s="139"/>
      <c r="AX1343" s="139"/>
      <c r="AY1343" s="139"/>
      <c r="AZ1343" s="139"/>
      <c r="BA1343" s="139"/>
      <c r="BB1343" s="139"/>
      <c r="BC1343" s="139"/>
      <c r="BD1343" s="139"/>
      <c r="BE1343" s="139"/>
      <c r="BF1343" s="139"/>
      <c r="BG1343" s="139"/>
      <c r="BH1343" s="139"/>
    </row>
    <row r="1344" spans="2:60" s="11" customFormat="1" ht="20.100000000000001" customHeight="1">
      <c r="B1344" s="1662"/>
      <c r="C1344" s="9656" t="s">
        <v>988</v>
      </c>
      <c r="D1344" s="9587"/>
      <c r="E1344" s="9588"/>
      <c r="F1344" s="285" t="s">
        <v>156</v>
      </c>
      <c r="G1344" s="184"/>
      <c r="H1344" s="9586" t="s">
        <v>989</v>
      </c>
      <c r="I1344" s="9587"/>
      <c r="J1344" s="9588"/>
      <c r="K1344" s="5623" t="s">
        <v>156</v>
      </c>
      <c r="L1344" s="5968" t="str">
        <f>IF(COUNTBLANK(L1345:L1350)&gt;0,"미취합법인有",AVERAGE(L1345:L1350))</f>
        <v>미취합법인有</v>
      </c>
      <c r="M1344" s="5657"/>
      <c r="N1344" s="5654" t="str">
        <f>IF(COUNTBLANK(N1345:N1350)&gt;0,"미취합법인有",AVERAGE(N1345:N1350))</f>
        <v>미취합법인有</v>
      </c>
      <c r="O1344" s="5663"/>
      <c r="P1344" s="5781" t="str">
        <f>IF(COUNTBLANK(P1345:P1350)&gt;0,"미취합법인有",AVERAGE(P1345:P1350))</f>
        <v>미취합법인有</v>
      </c>
      <c r="Q1344" s="785"/>
      <c r="R1344" s="498" t="s">
        <v>990</v>
      </c>
      <c r="S1344" s="367" t="s">
        <v>991</v>
      </c>
      <c r="T1344" s="99" t="s">
        <v>189</v>
      </c>
      <c r="U1344" s="547"/>
      <c r="V1344" s="773"/>
      <c r="W1344" s="99"/>
      <c r="X1344" s="775" t="s">
        <v>992</v>
      </c>
      <c r="Y1344" s="775"/>
      <c r="Z1344" s="776"/>
      <c r="AA1344" s="6301"/>
      <c r="AB1344" s="139"/>
      <c r="AC1344" s="139"/>
      <c r="AD1344" s="139"/>
      <c r="AE1344" s="139"/>
      <c r="AF1344" s="139"/>
      <c r="AG1344" s="139"/>
      <c r="AH1344" s="139"/>
      <c r="AI1344" s="139"/>
      <c r="AJ1344" s="139"/>
      <c r="AK1344" s="139"/>
      <c r="AL1344" s="139"/>
      <c r="AM1344" s="139"/>
      <c r="AN1344" s="139"/>
      <c r="AO1344" s="139"/>
      <c r="AP1344" s="139"/>
      <c r="AQ1344" s="139"/>
      <c r="AR1344" s="139"/>
      <c r="AS1344" s="139"/>
      <c r="AT1344" s="139"/>
      <c r="AU1344" s="139"/>
      <c r="AV1344" s="139"/>
      <c r="AW1344" s="139"/>
      <c r="AX1344" s="139"/>
      <c r="AY1344" s="139"/>
      <c r="AZ1344" s="139"/>
      <c r="BA1344" s="139"/>
      <c r="BB1344" s="139"/>
      <c r="BC1344" s="139"/>
      <c r="BD1344" s="139"/>
      <c r="BE1344" s="139"/>
      <c r="BF1344" s="139"/>
      <c r="BG1344" s="139"/>
      <c r="BH1344" s="139"/>
    </row>
    <row r="1345" spans="2:60" s="11" customFormat="1" ht="20.100000000000001" customHeight="1">
      <c r="B1345" s="1360"/>
      <c r="C1345" s="9647" t="s">
        <v>134</v>
      </c>
      <c r="D1345" s="9648"/>
      <c r="E1345" s="9649"/>
      <c r="F1345" s="285" t="s">
        <v>156</v>
      </c>
      <c r="G1345" s="666"/>
      <c r="H1345" s="9579" t="s">
        <v>135</v>
      </c>
      <c r="I1345" s="9580"/>
      <c r="J1345" s="9581"/>
      <c r="K1345" s="5623" t="s">
        <v>156</v>
      </c>
      <c r="L1345" s="6029">
        <v>95.938104448742749</v>
      </c>
      <c r="M1345" s="5658"/>
      <c r="N1345" s="6030">
        <v>99.214145383104125</v>
      </c>
      <c r="O1345" s="5658"/>
      <c r="P1345" s="6030">
        <v>100</v>
      </c>
      <c r="Q1345" s="5593"/>
      <c r="R1345" s="2468"/>
      <c r="S1345" s="544"/>
      <c r="T1345" s="545"/>
      <c r="U1345" s="546"/>
      <c r="V1345" s="547"/>
      <c r="W1345" s="548"/>
      <c r="X1345" s="277"/>
      <c r="Y1345" s="277"/>
      <c r="Z1345" s="187"/>
      <c r="AA1345" s="6301"/>
      <c r="AB1345" s="139"/>
      <c r="AC1345" s="139"/>
      <c r="AD1345" s="139"/>
      <c r="AE1345" s="139"/>
      <c r="AF1345" s="139"/>
      <c r="AG1345" s="139"/>
      <c r="AH1345" s="139"/>
      <c r="AI1345" s="139"/>
      <c r="AJ1345" s="139"/>
      <c r="AK1345" s="139"/>
      <c r="AL1345" s="139"/>
      <c r="AM1345" s="139"/>
      <c r="AN1345" s="139"/>
      <c r="AO1345" s="139"/>
      <c r="AP1345" s="139"/>
      <c r="AQ1345" s="139"/>
      <c r="AR1345" s="139"/>
      <c r="AS1345" s="139"/>
      <c r="AT1345" s="139"/>
      <c r="AU1345" s="139"/>
      <c r="AV1345" s="139"/>
      <c r="AW1345" s="139"/>
      <c r="AX1345" s="139"/>
      <c r="AY1345" s="139"/>
      <c r="AZ1345" s="139"/>
      <c r="BA1345" s="139"/>
      <c r="BB1345" s="139"/>
      <c r="BC1345" s="139"/>
      <c r="BD1345" s="139"/>
      <c r="BE1345" s="139"/>
      <c r="BF1345" s="139"/>
      <c r="BG1345" s="139"/>
      <c r="BH1345" s="139"/>
    </row>
    <row r="1346" spans="2:60" s="11" customFormat="1" ht="20.100000000000001" customHeight="1">
      <c r="B1346" s="1360"/>
      <c r="C1346" s="9647" t="s">
        <v>137</v>
      </c>
      <c r="D1346" s="9648"/>
      <c r="E1346" s="9649"/>
      <c r="F1346" s="285" t="s">
        <v>156</v>
      </c>
      <c r="G1346" s="666"/>
      <c r="H1346" s="9579" t="s">
        <v>138</v>
      </c>
      <c r="I1346" s="9580"/>
      <c r="J1346" s="9581"/>
      <c r="K1346" s="5623" t="s">
        <v>156</v>
      </c>
      <c r="L1346" s="6029">
        <v>90.07633587786259</v>
      </c>
      <c r="M1346" s="5658"/>
      <c r="N1346" s="6030">
        <v>94.53125</v>
      </c>
      <c r="O1346" s="5658"/>
      <c r="P1346" s="6030">
        <v>99.029126213592235</v>
      </c>
      <c r="Q1346" s="5593"/>
      <c r="R1346" s="2468"/>
      <c r="S1346" s="544"/>
      <c r="T1346" s="545"/>
      <c r="U1346" s="546"/>
      <c r="V1346" s="547"/>
      <c r="W1346" s="548"/>
      <c r="X1346" s="277"/>
      <c r="Y1346" s="277"/>
      <c r="Z1346" s="187"/>
      <c r="AA1346" s="6301"/>
      <c r="AB1346" s="139"/>
      <c r="AC1346" s="139"/>
      <c r="AD1346" s="139"/>
      <c r="AE1346" s="139"/>
      <c r="AF1346" s="139"/>
      <c r="AG1346" s="139"/>
      <c r="AH1346" s="139"/>
      <c r="AI1346" s="139"/>
      <c r="AJ1346" s="139"/>
      <c r="AK1346" s="139"/>
      <c r="AL1346" s="139"/>
      <c r="AM1346" s="139"/>
      <c r="AN1346" s="139"/>
      <c r="AO1346" s="139"/>
      <c r="AP1346" s="139"/>
      <c r="AQ1346" s="139"/>
      <c r="AR1346" s="139"/>
      <c r="AS1346" s="139"/>
      <c r="AT1346" s="139"/>
      <c r="AU1346" s="139"/>
      <c r="AV1346" s="139"/>
      <c r="AW1346" s="139"/>
      <c r="AX1346" s="139"/>
      <c r="AY1346" s="139"/>
      <c r="AZ1346" s="139"/>
      <c r="BA1346" s="139"/>
      <c r="BB1346" s="139"/>
      <c r="BC1346" s="139"/>
      <c r="BD1346" s="139"/>
      <c r="BE1346" s="139"/>
      <c r="BF1346" s="139"/>
      <c r="BG1346" s="139"/>
      <c r="BH1346" s="139"/>
    </row>
    <row r="1347" spans="2:60" s="11" customFormat="1" ht="20.100000000000001" customHeight="1">
      <c r="B1347" s="1360"/>
      <c r="C1347" s="9647" t="s">
        <v>140</v>
      </c>
      <c r="D1347" s="9648"/>
      <c r="E1347" s="9649"/>
      <c r="F1347" s="285" t="s">
        <v>156</v>
      </c>
      <c r="G1347" s="666"/>
      <c r="H1347" s="9579" t="s">
        <v>141</v>
      </c>
      <c r="I1347" s="9580"/>
      <c r="J1347" s="9581"/>
      <c r="K1347" s="5623" t="s">
        <v>156</v>
      </c>
      <c r="L1347" s="5691" t="s">
        <v>169</v>
      </c>
      <c r="M1347" s="5658"/>
      <c r="N1347" s="5682" t="s">
        <v>169</v>
      </c>
      <c r="O1347" s="5658"/>
      <c r="P1347" s="5682" t="s">
        <v>169</v>
      </c>
      <c r="Q1347" s="5593"/>
      <c r="R1347" s="2468"/>
      <c r="S1347" s="544"/>
      <c r="T1347" s="545"/>
      <c r="U1347" s="546"/>
      <c r="V1347" s="547"/>
      <c r="W1347" s="548"/>
      <c r="X1347" s="277"/>
      <c r="Y1347" s="277"/>
      <c r="Z1347" s="187"/>
      <c r="AA1347" s="6301"/>
      <c r="AB1347" s="139"/>
      <c r="AC1347" s="1377" t="s">
        <v>993</v>
      </c>
      <c r="AD1347" s="139"/>
      <c r="AE1347" s="139"/>
      <c r="AF1347" s="139"/>
      <c r="AG1347" s="139"/>
      <c r="AH1347" s="139"/>
      <c r="AI1347" s="139"/>
      <c r="AJ1347" s="139"/>
      <c r="AK1347" s="139"/>
      <c r="AL1347" s="139"/>
      <c r="AM1347" s="139"/>
      <c r="AN1347" s="139"/>
      <c r="AO1347" s="139"/>
      <c r="AP1347" s="139"/>
      <c r="AQ1347" s="139"/>
      <c r="AR1347" s="139"/>
      <c r="AS1347" s="139"/>
      <c r="AT1347" s="139"/>
      <c r="AU1347" s="139"/>
      <c r="AV1347" s="139"/>
      <c r="AW1347" s="139"/>
      <c r="AX1347" s="139"/>
      <c r="AY1347" s="139"/>
      <c r="AZ1347" s="139"/>
      <c r="BA1347" s="139"/>
      <c r="BB1347" s="139"/>
      <c r="BC1347" s="139"/>
      <c r="BD1347" s="139"/>
      <c r="BE1347" s="139"/>
      <c r="BF1347" s="139"/>
      <c r="BG1347" s="139"/>
      <c r="BH1347" s="139"/>
    </row>
    <row r="1348" spans="2:60" s="11" customFormat="1" ht="20.100000000000001" customHeight="1">
      <c r="B1348" s="1360"/>
      <c r="C1348" s="9647" t="s">
        <v>143</v>
      </c>
      <c r="D1348" s="9648"/>
      <c r="E1348" s="9649"/>
      <c r="F1348" s="285" t="s">
        <v>156</v>
      </c>
      <c r="G1348" s="666"/>
      <c r="H1348" s="9579" t="s">
        <v>144</v>
      </c>
      <c r="I1348" s="9580"/>
      <c r="J1348" s="9581"/>
      <c r="K1348" s="5623" t="s">
        <v>156</v>
      </c>
      <c r="L1348" s="5691"/>
      <c r="M1348" s="5658"/>
      <c r="N1348" s="5682"/>
      <c r="O1348" s="5658"/>
      <c r="P1348" s="5682"/>
      <c r="Q1348" s="5593"/>
      <c r="R1348" s="2468"/>
      <c r="S1348" s="544"/>
      <c r="T1348" s="545"/>
      <c r="U1348" s="546"/>
      <c r="V1348" s="547"/>
      <c r="W1348" s="548"/>
      <c r="X1348" s="277"/>
      <c r="Y1348" s="277"/>
      <c r="Z1348" s="187"/>
      <c r="AA1348" s="6301"/>
      <c r="AB1348" s="139"/>
      <c r="AC1348" s="1377" t="s">
        <v>993</v>
      </c>
      <c r="AD1348" s="139"/>
      <c r="AE1348" s="139"/>
      <c r="AF1348" s="139"/>
      <c r="AG1348" s="139"/>
      <c r="AH1348" s="139"/>
      <c r="AI1348" s="139"/>
      <c r="AJ1348" s="139"/>
      <c r="AK1348" s="139"/>
      <c r="AL1348" s="139"/>
      <c r="AM1348" s="139"/>
      <c r="AN1348" s="139"/>
      <c r="AO1348" s="139"/>
      <c r="AP1348" s="139"/>
      <c r="AQ1348" s="139"/>
      <c r="AR1348" s="139"/>
      <c r="AS1348" s="139"/>
      <c r="AT1348" s="139"/>
      <c r="AU1348" s="139"/>
      <c r="AV1348" s="139"/>
      <c r="AW1348" s="139"/>
      <c r="AX1348" s="139"/>
      <c r="AY1348" s="139"/>
      <c r="AZ1348" s="139"/>
      <c r="BA1348" s="139"/>
      <c r="BB1348" s="139"/>
      <c r="BC1348" s="139"/>
      <c r="BD1348" s="139"/>
      <c r="BE1348" s="139"/>
      <c r="BF1348" s="139"/>
      <c r="BG1348" s="139"/>
      <c r="BH1348" s="139"/>
    </row>
    <row r="1349" spans="2:60" s="11" customFormat="1" ht="20.100000000000001" customHeight="1">
      <c r="B1349" s="1360"/>
      <c r="C1349" s="9647" t="s">
        <v>631</v>
      </c>
      <c r="D1349" s="9648"/>
      <c r="E1349" s="9649"/>
      <c r="F1349" s="285" t="s">
        <v>156</v>
      </c>
      <c r="G1349" s="666"/>
      <c r="H1349" s="9579" t="s">
        <v>147</v>
      </c>
      <c r="I1349" s="9580"/>
      <c r="J1349" s="9581"/>
      <c r="K1349" s="5623" t="s">
        <v>156</v>
      </c>
      <c r="L1349" s="5691"/>
      <c r="M1349" s="5658"/>
      <c r="N1349" s="5682"/>
      <c r="O1349" s="5658"/>
      <c r="P1349" s="5682"/>
      <c r="Q1349" s="5593"/>
      <c r="R1349" s="2468"/>
      <c r="S1349" s="544"/>
      <c r="T1349" s="545"/>
      <c r="U1349" s="546"/>
      <c r="V1349" s="547"/>
      <c r="W1349" s="548"/>
      <c r="X1349" s="277"/>
      <c r="Y1349" s="277"/>
      <c r="Z1349" s="187"/>
      <c r="AA1349" s="6301"/>
      <c r="AB1349" s="139"/>
      <c r="AC1349" s="1377" t="s">
        <v>993</v>
      </c>
      <c r="AD1349" s="139"/>
      <c r="AE1349" s="139"/>
      <c r="AF1349" s="139"/>
      <c r="AG1349" s="139"/>
      <c r="AH1349" s="139"/>
      <c r="AI1349" s="139"/>
      <c r="AJ1349" s="139"/>
      <c r="AK1349" s="139"/>
      <c r="AL1349" s="139"/>
      <c r="AM1349" s="139"/>
      <c r="AN1349" s="139"/>
      <c r="AO1349" s="139"/>
      <c r="AP1349" s="139"/>
      <c r="AQ1349" s="139"/>
      <c r="AR1349" s="139"/>
      <c r="AS1349" s="139"/>
      <c r="AT1349" s="139"/>
      <c r="AU1349" s="139"/>
      <c r="AV1349" s="139"/>
      <c r="AW1349" s="139"/>
      <c r="AX1349" s="139"/>
      <c r="AY1349" s="139"/>
      <c r="AZ1349" s="139"/>
      <c r="BA1349" s="139"/>
      <c r="BB1349" s="139"/>
      <c r="BC1349" s="139"/>
      <c r="BD1349" s="139"/>
      <c r="BE1349" s="139"/>
      <c r="BF1349" s="139"/>
      <c r="BG1349" s="139"/>
      <c r="BH1349" s="139"/>
    </row>
    <row r="1350" spans="2:60" s="11" customFormat="1" ht="20.100000000000001" customHeight="1">
      <c r="B1350" s="1360"/>
      <c r="C1350" s="9647" t="s">
        <v>633</v>
      </c>
      <c r="D1350" s="9648"/>
      <c r="E1350" s="9649"/>
      <c r="F1350" s="285" t="s">
        <v>156</v>
      </c>
      <c r="G1350" s="666"/>
      <c r="H1350" s="9579" t="s">
        <v>150</v>
      </c>
      <c r="I1350" s="9580"/>
      <c r="J1350" s="9581"/>
      <c r="K1350" s="5623" t="s">
        <v>156</v>
      </c>
      <c r="L1350" s="5691" t="s">
        <v>169</v>
      </c>
      <c r="M1350" s="5658"/>
      <c r="N1350" s="5682" t="s">
        <v>169</v>
      </c>
      <c r="O1350" s="5658"/>
      <c r="P1350" s="5682" t="s">
        <v>169</v>
      </c>
      <c r="Q1350" s="5593"/>
      <c r="R1350" s="2468"/>
      <c r="S1350" s="544"/>
      <c r="T1350" s="545"/>
      <c r="U1350" s="546"/>
      <c r="V1350" s="547"/>
      <c r="W1350" s="548"/>
      <c r="X1350" s="277"/>
      <c r="Y1350" s="277"/>
      <c r="Z1350" s="187"/>
      <c r="AA1350" s="6301"/>
      <c r="AB1350" s="139"/>
      <c r="AC1350" s="1377" t="s">
        <v>993</v>
      </c>
      <c r="AD1350" s="139"/>
      <c r="AE1350" s="139"/>
      <c r="AF1350" s="139"/>
      <c r="AG1350" s="139"/>
      <c r="AH1350" s="139"/>
      <c r="AI1350" s="139"/>
      <c r="AJ1350" s="139"/>
      <c r="AK1350" s="139"/>
      <c r="AL1350" s="139"/>
      <c r="AM1350" s="139"/>
      <c r="AN1350" s="139"/>
      <c r="AO1350" s="139"/>
      <c r="AP1350" s="139"/>
      <c r="AQ1350" s="139"/>
      <c r="AR1350" s="139"/>
      <c r="AS1350" s="139"/>
      <c r="AT1350" s="139"/>
      <c r="AU1350" s="139"/>
      <c r="AV1350" s="139"/>
      <c r="AW1350" s="139"/>
      <c r="AX1350" s="139"/>
      <c r="AY1350" s="139"/>
      <c r="AZ1350" s="139"/>
      <c r="BA1350" s="139"/>
      <c r="BB1350" s="139"/>
      <c r="BC1350" s="139"/>
      <c r="BD1350" s="139"/>
      <c r="BE1350" s="139"/>
      <c r="BF1350" s="139"/>
      <c r="BG1350" s="139"/>
      <c r="BH1350" s="139"/>
    </row>
    <row r="1351" spans="2:60" s="11" customFormat="1" ht="20.100000000000001" customHeight="1">
      <c r="B1351" s="1360"/>
      <c r="C1351" s="1380"/>
      <c r="D1351" s="9584" t="s">
        <v>994</v>
      </c>
      <c r="E1351" s="9585"/>
      <c r="F1351" s="285" t="s">
        <v>742</v>
      </c>
      <c r="G1351" s="201"/>
      <c r="H1351" s="201"/>
      <c r="I1351" s="9584" t="s">
        <v>995</v>
      </c>
      <c r="J1351" s="9585"/>
      <c r="K1351" s="5623" t="s">
        <v>734</v>
      </c>
      <c r="L1351" s="5653" t="str">
        <f>IF(COUNTBLANK(L1352:L1357)&gt;0,"미취합법인有",SUM(L1352:L1357))</f>
        <v>미취합법인有</v>
      </c>
      <c r="M1351" s="5657"/>
      <c r="N1351" s="5654" t="str">
        <f>IF(COUNTBLANK(N1352:N1357)&gt;0,"미취합법인有",SUM(N1352:N1357))</f>
        <v>미취합법인有</v>
      </c>
      <c r="O1351" s="5663"/>
      <c r="P1351" s="5781" t="str">
        <f>IF(COUNTBLANK(P1352:P1357)&gt;0,"미취합법인有",SUM(P1352:P1357))</f>
        <v>미취합법인有</v>
      </c>
      <c r="Q1351" s="785"/>
      <c r="R1351" s="498"/>
      <c r="S1351" s="367"/>
      <c r="T1351" s="99" t="s">
        <v>189</v>
      </c>
      <c r="U1351" s="547"/>
      <c r="V1351" s="773"/>
      <c r="W1351" s="99"/>
      <c r="X1351" s="775" t="s">
        <v>992</v>
      </c>
      <c r="Y1351" s="775"/>
      <c r="Z1351" s="776"/>
      <c r="AA1351" s="6301"/>
      <c r="AB1351" s="139"/>
      <c r="AC1351" s="139"/>
      <c r="AD1351" s="139"/>
      <c r="AE1351" s="139"/>
      <c r="AF1351" s="139"/>
      <c r="AG1351" s="139"/>
      <c r="AH1351" s="139"/>
      <c r="AI1351" s="139"/>
      <c r="AJ1351" s="139"/>
      <c r="AK1351" s="139"/>
      <c r="AL1351" s="139"/>
      <c r="AM1351" s="139"/>
      <c r="AN1351" s="139"/>
      <c r="AO1351" s="139"/>
      <c r="AP1351" s="139"/>
      <c r="AQ1351" s="139"/>
      <c r="AR1351" s="139"/>
      <c r="AS1351" s="139"/>
      <c r="AT1351" s="139"/>
      <c r="AU1351" s="139"/>
      <c r="AV1351" s="139"/>
      <c r="AW1351" s="139"/>
      <c r="AX1351" s="139"/>
      <c r="AY1351" s="139"/>
      <c r="AZ1351" s="139"/>
      <c r="BA1351" s="139"/>
      <c r="BB1351" s="139"/>
      <c r="BC1351" s="139"/>
      <c r="BD1351" s="139"/>
      <c r="BE1351" s="139"/>
      <c r="BF1351" s="139"/>
      <c r="BG1351" s="139"/>
      <c r="BH1351" s="139"/>
    </row>
    <row r="1352" spans="2:60" s="11" customFormat="1" ht="20.100000000000001" customHeight="1">
      <c r="B1352" s="1360"/>
      <c r="C1352" s="5598"/>
      <c r="D1352" s="9598" t="s">
        <v>134</v>
      </c>
      <c r="E1352" s="9600"/>
      <c r="F1352" s="285" t="s">
        <v>742</v>
      </c>
      <c r="G1352" s="666"/>
      <c r="H1352" s="666"/>
      <c r="I1352" s="9579" t="s">
        <v>135</v>
      </c>
      <c r="J1352" s="9581"/>
      <c r="K1352" s="5623" t="s">
        <v>734</v>
      </c>
      <c r="L1352" s="5696">
        <v>992</v>
      </c>
      <c r="M1352" s="5718" t="s">
        <v>996</v>
      </c>
      <c r="N1352" s="6005">
        <v>1010</v>
      </c>
      <c r="O1352" s="5716">
        <v>0</v>
      </c>
      <c r="P1352" s="6008">
        <v>1023</v>
      </c>
      <c r="Q1352" s="5717"/>
      <c r="R1352" s="2468"/>
      <c r="S1352" s="544"/>
      <c r="T1352" s="545"/>
      <c r="U1352" s="546"/>
      <c r="V1352" s="547"/>
      <c r="W1352" s="548"/>
      <c r="X1352" s="277"/>
      <c r="Y1352" s="277"/>
      <c r="Z1352" s="187"/>
      <c r="AA1352" s="6301"/>
      <c r="AB1352" s="139"/>
      <c r="AC1352" s="139"/>
      <c r="AD1352" s="139"/>
      <c r="AE1352" s="139"/>
      <c r="AF1352" s="139"/>
      <c r="AG1352" s="139"/>
      <c r="AH1352" s="139"/>
      <c r="AI1352" s="139"/>
      <c r="AJ1352" s="139"/>
      <c r="AK1352" s="139"/>
      <c r="AL1352" s="139"/>
      <c r="AM1352" s="139"/>
      <c r="AN1352" s="139"/>
      <c r="AO1352" s="139"/>
      <c r="AP1352" s="139"/>
      <c r="AQ1352" s="139"/>
      <c r="AR1352" s="139"/>
      <c r="AS1352" s="139"/>
      <c r="AT1352" s="139"/>
      <c r="AU1352" s="139"/>
      <c r="AV1352" s="139"/>
      <c r="AW1352" s="139"/>
      <c r="AX1352" s="139"/>
      <c r="AY1352" s="139"/>
      <c r="AZ1352" s="139"/>
      <c r="BA1352" s="139"/>
      <c r="BB1352" s="139"/>
      <c r="BC1352" s="139"/>
      <c r="BD1352" s="139"/>
      <c r="BE1352" s="139"/>
      <c r="BF1352" s="139"/>
      <c r="BG1352" s="139"/>
      <c r="BH1352" s="139"/>
    </row>
    <row r="1353" spans="2:60" s="11" customFormat="1" ht="20.100000000000001" customHeight="1">
      <c r="B1353" s="1360"/>
      <c r="C1353" s="5598"/>
      <c r="D1353" s="9598" t="s">
        <v>137</v>
      </c>
      <c r="E1353" s="9600"/>
      <c r="F1353" s="285" t="s">
        <v>742</v>
      </c>
      <c r="G1353" s="666"/>
      <c r="H1353" s="666"/>
      <c r="I1353" s="9579" t="s">
        <v>138</v>
      </c>
      <c r="J1353" s="9581"/>
      <c r="K1353" s="5623" t="s">
        <v>734</v>
      </c>
      <c r="L1353" s="5705">
        <v>118</v>
      </c>
      <c r="M1353" s="5719" t="s">
        <v>997</v>
      </c>
      <c r="N1353" s="5730">
        <v>121</v>
      </c>
      <c r="O1353" s="5720" t="s">
        <v>998</v>
      </c>
      <c r="P1353" s="5856">
        <v>204</v>
      </c>
      <c r="Q1353" s="5717"/>
      <c r="R1353" s="2468"/>
      <c r="S1353" s="544"/>
      <c r="T1353" s="545"/>
      <c r="U1353" s="546"/>
      <c r="V1353" s="547"/>
      <c r="W1353" s="548"/>
      <c r="X1353" s="277"/>
      <c r="Y1353" s="277"/>
      <c r="Z1353" s="187"/>
      <c r="AA1353" s="6301"/>
      <c r="AB1353" s="139"/>
      <c r="AC1353" s="139"/>
      <c r="AD1353" s="139"/>
      <c r="AE1353" s="139"/>
      <c r="AF1353" s="139"/>
      <c r="AG1353" s="139"/>
      <c r="AH1353" s="139"/>
      <c r="AI1353" s="139"/>
      <c r="AJ1353" s="139"/>
      <c r="AK1353" s="139"/>
      <c r="AL1353" s="139"/>
      <c r="AM1353" s="139"/>
      <c r="AN1353" s="139"/>
      <c r="AO1353" s="139"/>
      <c r="AP1353" s="139"/>
      <c r="AQ1353" s="139"/>
      <c r="AR1353" s="139"/>
      <c r="AS1353" s="139"/>
      <c r="AT1353" s="139"/>
      <c r="AU1353" s="139"/>
      <c r="AV1353" s="139"/>
      <c r="AW1353" s="139"/>
      <c r="AX1353" s="139"/>
      <c r="AY1353" s="139"/>
      <c r="AZ1353" s="139"/>
      <c r="BA1353" s="139"/>
      <c r="BB1353" s="139"/>
      <c r="BC1353" s="139"/>
      <c r="BD1353" s="139"/>
      <c r="BE1353" s="139"/>
      <c r="BF1353" s="139"/>
      <c r="BG1353" s="139"/>
      <c r="BH1353" s="139"/>
    </row>
    <row r="1354" spans="2:60" s="11" customFormat="1" ht="20.100000000000001" customHeight="1">
      <c r="B1354" s="1360"/>
      <c r="C1354" s="5598"/>
      <c r="D1354" s="9598" t="s">
        <v>140</v>
      </c>
      <c r="E1354" s="9600"/>
      <c r="F1354" s="285" t="s">
        <v>742</v>
      </c>
      <c r="G1354" s="666"/>
      <c r="H1354" s="666"/>
      <c r="I1354" s="9582" t="s">
        <v>141</v>
      </c>
      <c r="J1354" s="9583"/>
      <c r="K1354" s="5623" t="s">
        <v>734</v>
      </c>
      <c r="L1354" s="5696">
        <v>0</v>
      </c>
      <c r="M1354" s="5718"/>
      <c r="N1354" s="5729">
        <v>0</v>
      </c>
      <c r="O1354" s="5716"/>
      <c r="P1354" s="5855">
        <v>0</v>
      </c>
      <c r="Q1354" s="5717"/>
      <c r="R1354" s="2468"/>
      <c r="S1354" s="544"/>
      <c r="T1354" s="545"/>
      <c r="U1354" s="546"/>
      <c r="V1354" s="547"/>
      <c r="W1354" s="548"/>
      <c r="X1354" s="277"/>
      <c r="Y1354" s="277"/>
      <c r="Z1354" s="187"/>
      <c r="AA1354" s="6301"/>
      <c r="AB1354" s="139"/>
      <c r="AC1354" s="1377" t="s">
        <v>993</v>
      </c>
      <c r="AD1354" s="139"/>
      <c r="AE1354" s="139"/>
      <c r="AF1354" s="139"/>
      <c r="AG1354" s="139"/>
      <c r="AH1354" s="139"/>
      <c r="AI1354" s="139"/>
      <c r="AJ1354" s="139"/>
      <c r="AK1354" s="139"/>
      <c r="AL1354" s="139"/>
      <c r="AM1354" s="139"/>
      <c r="AN1354" s="139"/>
      <c r="AO1354" s="139"/>
      <c r="AP1354" s="139"/>
      <c r="AQ1354" s="139"/>
      <c r="AR1354" s="139"/>
      <c r="AS1354" s="139"/>
      <c r="AT1354" s="139"/>
      <c r="AU1354" s="139"/>
      <c r="AV1354" s="139"/>
      <c r="AW1354" s="139"/>
      <c r="AX1354" s="139"/>
      <c r="AY1354" s="139"/>
      <c r="AZ1354" s="139"/>
      <c r="BA1354" s="139"/>
      <c r="BB1354" s="139"/>
      <c r="BC1354" s="139"/>
      <c r="BD1354" s="139"/>
      <c r="BE1354" s="139"/>
      <c r="BF1354" s="139"/>
      <c r="BG1354" s="139"/>
      <c r="BH1354" s="139"/>
    </row>
    <row r="1355" spans="2:60" s="11" customFormat="1" ht="20.100000000000001" customHeight="1">
      <c r="B1355" s="1360"/>
      <c r="C1355" s="5598"/>
      <c r="D1355" s="9598" t="s">
        <v>143</v>
      </c>
      <c r="E1355" s="9600"/>
      <c r="F1355" s="285" t="s">
        <v>742</v>
      </c>
      <c r="G1355" s="666"/>
      <c r="H1355" s="666"/>
      <c r="I1355" s="9582" t="s">
        <v>144</v>
      </c>
      <c r="J1355" s="9583"/>
      <c r="K1355" s="5623" t="s">
        <v>734</v>
      </c>
      <c r="L1355" s="5696"/>
      <c r="M1355" s="5718"/>
      <c r="N1355" s="5729"/>
      <c r="O1355" s="5716"/>
      <c r="P1355" s="5855"/>
      <c r="Q1355" s="5717"/>
      <c r="R1355" s="2468"/>
      <c r="S1355" s="544"/>
      <c r="T1355" s="545"/>
      <c r="U1355" s="546"/>
      <c r="V1355" s="547"/>
      <c r="W1355" s="548"/>
      <c r="X1355" s="277"/>
      <c r="Y1355" s="277"/>
      <c r="Z1355" s="187"/>
      <c r="AA1355" s="6301"/>
      <c r="AB1355" s="139"/>
      <c r="AC1355" s="1377" t="s">
        <v>993</v>
      </c>
      <c r="AD1355" s="139"/>
      <c r="AE1355" s="139"/>
      <c r="AF1355" s="139"/>
      <c r="AG1355" s="139"/>
      <c r="AH1355" s="139"/>
      <c r="AI1355" s="139"/>
      <c r="AJ1355" s="139"/>
      <c r="AK1355" s="139"/>
      <c r="AL1355" s="139"/>
      <c r="AM1355" s="139"/>
      <c r="AN1355" s="139"/>
      <c r="AO1355" s="139"/>
      <c r="AP1355" s="139"/>
      <c r="AQ1355" s="139"/>
      <c r="AR1355" s="139"/>
      <c r="AS1355" s="139"/>
      <c r="AT1355" s="139"/>
      <c r="AU1355" s="139"/>
      <c r="AV1355" s="139"/>
      <c r="AW1355" s="139"/>
      <c r="AX1355" s="139"/>
      <c r="AY1355" s="139"/>
      <c r="AZ1355" s="139"/>
      <c r="BA1355" s="139"/>
      <c r="BB1355" s="139"/>
      <c r="BC1355" s="139"/>
      <c r="BD1355" s="139"/>
      <c r="BE1355" s="139"/>
      <c r="BF1355" s="139"/>
      <c r="BG1355" s="139"/>
      <c r="BH1355" s="139"/>
    </row>
    <row r="1356" spans="2:60" s="11" customFormat="1" ht="20.100000000000001" customHeight="1">
      <c r="B1356" s="1360"/>
      <c r="C1356" s="5598"/>
      <c r="D1356" s="9598" t="s">
        <v>631</v>
      </c>
      <c r="E1356" s="9600"/>
      <c r="F1356" s="285" t="s">
        <v>742</v>
      </c>
      <c r="G1356" s="666"/>
      <c r="H1356" s="666"/>
      <c r="I1356" s="9582" t="s">
        <v>147</v>
      </c>
      <c r="J1356" s="9583"/>
      <c r="K1356" s="5623" t="s">
        <v>734</v>
      </c>
      <c r="L1356" s="5696"/>
      <c r="M1356" s="5718"/>
      <c r="N1356" s="5729"/>
      <c r="O1356" s="5716"/>
      <c r="P1356" s="5855"/>
      <c r="Q1356" s="5717"/>
      <c r="R1356" s="2468"/>
      <c r="S1356" s="544"/>
      <c r="T1356" s="545"/>
      <c r="U1356" s="546"/>
      <c r="V1356" s="547"/>
      <c r="W1356" s="548"/>
      <c r="X1356" s="277"/>
      <c r="Y1356" s="277"/>
      <c r="Z1356" s="187"/>
      <c r="AA1356" s="6301"/>
      <c r="AB1356" s="139"/>
      <c r="AC1356" s="1377" t="s">
        <v>993</v>
      </c>
      <c r="AD1356" s="139"/>
      <c r="AE1356" s="139"/>
      <c r="AF1356" s="139"/>
      <c r="AG1356" s="139"/>
      <c r="AH1356" s="139"/>
      <c r="AI1356" s="139"/>
      <c r="AJ1356" s="139"/>
      <c r="AK1356" s="139"/>
      <c r="AL1356" s="139"/>
      <c r="AM1356" s="139"/>
      <c r="AN1356" s="139"/>
      <c r="AO1356" s="139"/>
      <c r="AP1356" s="139"/>
      <c r="AQ1356" s="139"/>
      <c r="AR1356" s="139"/>
      <c r="AS1356" s="139"/>
      <c r="AT1356" s="139"/>
      <c r="AU1356" s="139"/>
      <c r="AV1356" s="139"/>
      <c r="AW1356" s="139"/>
      <c r="AX1356" s="139"/>
      <c r="AY1356" s="139"/>
      <c r="AZ1356" s="139"/>
      <c r="BA1356" s="139"/>
      <c r="BB1356" s="139"/>
      <c r="BC1356" s="139"/>
      <c r="BD1356" s="139"/>
      <c r="BE1356" s="139"/>
      <c r="BF1356" s="139"/>
      <c r="BG1356" s="139"/>
      <c r="BH1356" s="139"/>
    </row>
    <row r="1357" spans="2:60" s="11" customFormat="1" ht="20.100000000000001" customHeight="1">
      <c r="B1357" s="1360"/>
      <c r="C1357" s="5598"/>
      <c r="D1357" s="9598" t="s">
        <v>633</v>
      </c>
      <c r="E1357" s="9600"/>
      <c r="F1357" s="285" t="s">
        <v>742</v>
      </c>
      <c r="G1357" s="666"/>
      <c r="H1357" s="666"/>
      <c r="I1357" s="9582" t="s">
        <v>150</v>
      </c>
      <c r="J1357" s="9583"/>
      <c r="K1357" s="5623" t="s">
        <v>734</v>
      </c>
      <c r="L1357" s="5696"/>
      <c r="M1357" s="5718"/>
      <c r="N1357" s="5729"/>
      <c r="O1357" s="5718"/>
      <c r="P1357" s="5729"/>
      <c r="Q1357" s="5717"/>
      <c r="R1357" s="2468"/>
      <c r="S1357" s="544"/>
      <c r="T1357" s="545"/>
      <c r="U1357" s="546"/>
      <c r="V1357" s="547"/>
      <c r="W1357" s="548"/>
      <c r="X1357" s="277"/>
      <c r="Y1357" s="277"/>
      <c r="Z1357" s="187"/>
      <c r="AA1357" s="6301"/>
      <c r="AB1357" s="139"/>
      <c r="AC1357" s="1377" t="s">
        <v>993</v>
      </c>
      <c r="AD1357" s="139"/>
      <c r="AE1357" s="139"/>
      <c r="AF1357" s="139"/>
      <c r="AG1357" s="139"/>
      <c r="AH1357" s="139"/>
      <c r="AI1357" s="139"/>
      <c r="AJ1357" s="139"/>
      <c r="AK1357" s="139"/>
      <c r="AL1357" s="139"/>
      <c r="AM1357" s="139"/>
      <c r="AN1357" s="139"/>
      <c r="AO1357" s="139"/>
      <c r="AP1357" s="139"/>
      <c r="AQ1357" s="139"/>
      <c r="AR1357" s="139"/>
      <c r="AS1357" s="139"/>
      <c r="AT1357" s="139"/>
      <c r="AU1357" s="139"/>
      <c r="AV1357" s="139"/>
      <c r="AW1357" s="139"/>
      <c r="AX1357" s="139"/>
      <c r="AY1357" s="139"/>
      <c r="AZ1357" s="139"/>
      <c r="BA1357" s="139"/>
      <c r="BB1357" s="139"/>
      <c r="BC1357" s="139"/>
      <c r="BD1357" s="139"/>
      <c r="BE1357" s="139"/>
      <c r="BF1357" s="139"/>
      <c r="BG1357" s="139"/>
      <c r="BH1357" s="139"/>
    </row>
    <row r="1358" spans="2:60" s="11" customFormat="1" ht="20.100000000000001" customHeight="1">
      <c r="B1358" s="1360"/>
      <c r="C1358" s="1380"/>
      <c r="D1358" s="9584" t="s">
        <v>999</v>
      </c>
      <c r="E1358" s="9585"/>
      <c r="F1358" s="285" t="s">
        <v>742</v>
      </c>
      <c r="G1358" s="201"/>
      <c r="H1358" s="201"/>
      <c r="I1358" s="9584" t="s">
        <v>995</v>
      </c>
      <c r="J1358" s="9585"/>
      <c r="K1358" s="5623" t="s">
        <v>734</v>
      </c>
      <c r="L1358" s="5653" t="str">
        <f>IF(COUNTBLANK(L1359:L1364)&gt;0,"미취합법인有",SUM(L1359:L1364))</f>
        <v>미취합법인有</v>
      </c>
      <c r="M1358" s="5657"/>
      <c r="N1358" s="5654" t="str">
        <f>IF(COUNTBLANK(N1359:N1364)&gt;0,"미취합법인有",SUM(N1359:N1364))</f>
        <v>미취합법인有</v>
      </c>
      <c r="O1358" s="5663"/>
      <c r="P1358" s="5781" t="str">
        <f>IF(COUNTBLANK(P1359:P1364)&gt;0,"미취합법인有",SUM(P1359:P1364))</f>
        <v>미취합법인有</v>
      </c>
      <c r="Q1358" s="785"/>
      <c r="R1358" s="498"/>
      <c r="S1358" s="367"/>
      <c r="T1358" s="99" t="s">
        <v>189</v>
      </c>
      <c r="U1358" s="547"/>
      <c r="V1358" s="773"/>
      <c r="W1358" s="99"/>
      <c r="X1358" s="775" t="s">
        <v>992</v>
      </c>
      <c r="Y1358" s="775"/>
      <c r="Z1358" s="776"/>
      <c r="AA1358" s="6301"/>
      <c r="AB1358" s="139"/>
      <c r="AC1358" s="139"/>
      <c r="AD1358" s="139"/>
      <c r="AE1358" s="139"/>
      <c r="AF1358" s="139"/>
      <c r="AG1358" s="139"/>
      <c r="AH1358" s="139"/>
      <c r="AI1358" s="139"/>
      <c r="AJ1358" s="139"/>
      <c r="AK1358" s="139"/>
      <c r="AL1358" s="139"/>
      <c r="AM1358" s="139"/>
      <c r="AN1358" s="139"/>
      <c r="AO1358" s="139"/>
      <c r="AP1358" s="139"/>
      <c r="AQ1358" s="139"/>
      <c r="AR1358" s="139"/>
      <c r="AS1358" s="139"/>
      <c r="AT1358" s="139"/>
      <c r="AU1358" s="139"/>
      <c r="AV1358" s="139"/>
      <c r="AW1358" s="139"/>
      <c r="AX1358" s="139"/>
      <c r="AY1358" s="139"/>
      <c r="AZ1358" s="139"/>
      <c r="BA1358" s="139"/>
      <c r="BB1358" s="139"/>
      <c r="BC1358" s="139"/>
      <c r="BD1358" s="139"/>
      <c r="BE1358" s="139"/>
      <c r="BF1358" s="139"/>
      <c r="BG1358" s="139"/>
      <c r="BH1358" s="139"/>
    </row>
    <row r="1359" spans="2:60" s="11" customFormat="1" ht="20.100000000000001" customHeight="1">
      <c r="B1359" s="1360"/>
      <c r="C1359" s="5598"/>
      <c r="D1359" s="9598" t="s">
        <v>134</v>
      </c>
      <c r="E1359" s="9600"/>
      <c r="F1359" s="285" t="s">
        <v>742</v>
      </c>
      <c r="G1359" s="666"/>
      <c r="H1359" s="666"/>
      <c r="I1359" s="9579" t="s">
        <v>135</v>
      </c>
      <c r="J1359" s="9581"/>
      <c r="K1359" s="5623" t="s">
        <v>734</v>
      </c>
      <c r="L1359" s="5789">
        <v>1034</v>
      </c>
      <c r="M1359" s="5718" t="s">
        <v>986</v>
      </c>
      <c r="N1359" s="6005">
        <v>1018</v>
      </c>
      <c r="O1359" s="5716" t="s">
        <v>986</v>
      </c>
      <c r="P1359" s="6008">
        <v>1023</v>
      </c>
      <c r="Q1359" s="5717"/>
      <c r="R1359" s="2468"/>
      <c r="S1359" s="544"/>
      <c r="T1359" s="545"/>
      <c r="U1359" s="546"/>
      <c r="V1359" s="547"/>
      <c r="W1359" s="548"/>
      <c r="X1359" s="277"/>
      <c r="Y1359" s="277"/>
      <c r="Z1359" s="187"/>
      <c r="AA1359" s="6301"/>
      <c r="AB1359" s="139"/>
      <c r="AC1359" s="139"/>
      <c r="AD1359" s="139"/>
      <c r="AE1359" s="139"/>
      <c r="AF1359" s="139"/>
      <c r="AG1359" s="139"/>
      <c r="AH1359" s="139"/>
      <c r="AI1359" s="139"/>
      <c r="AJ1359" s="139"/>
      <c r="AK1359" s="139"/>
      <c r="AL1359" s="139"/>
      <c r="AM1359" s="139"/>
      <c r="AN1359" s="139"/>
      <c r="AO1359" s="139"/>
      <c r="AP1359" s="139"/>
      <c r="AQ1359" s="139"/>
      <c r="AR1359" s="139"/>
      <c r="AS1359" s="139"/>
      <c r="AT1359" s="139"/>
      <c r="AU1359" s="139"/>
      <c r="AV1359" s="139"/>
      <c r="AW1359" s="139"/>
      <c r="AX1359" s="139"/>
      <c r="AY1359" s="139"/>
      <c r="AZ1359" s="139"/>
      <c r="BA1359" s="139"/>
      <c r="BB1359" s="139"/>
      <c r="BC1359" s="139"/>
      <c r="BD1359" s="139"/>
      <c r="BE1359" s="139"/>
      <c r="BF1359" s="139"/>
      <c r="BG1359" s="139"/>
      <c r="BH1359" s="139"/>
    </row>
    <row r="1360" spans="2:60" s="11" customFormat="1" ht="20.100000000000001" customHeight="1">
      <c r="B1360" s="1360"/>
      <c r="C1360" s="5598"/>
      <c r="D1360" s="9598" t="s">
        <v>137</v>
      </c>
      <c r="E1360" s="9600"/>
      <c r="F1360" s="285" t="s">
        <v>742</v>
      </c>
      <c r="G1360" s="666"/>
      <c r="H1360" s="666"/>
      <c r="I1360" s="9579" t="s">
        <v>138</v>
      </c>
      <c r="J1360" s="9581"/>
      <c r="K1360" s="5623" t="s">
        <v>734</v>
      </c>
      <c r="L1360" s="5705">
        <v>131</v>
      </c>
      <c r="M1360" s="5719" t="s">
        <v>987</v>
      </c>
      <c r="N1360" s="5730">
        <v>128</v>
      </c>
      <c r="O1360" s="5720" t="s">
        <v>987</v>
      </c>
      <c r="P1360" s="5856">
        <v>206</v>
      </c>
      <c r="Q1360" s="6123"/>
      <c r="R1360" s="2468"/>
      <c r="S1360" s="544"/>
      <c r="T1360" s="545"/>
      <c r="U1360" s="546"/>
      <c r="V1360" s="547"/>
      <c r="W1360" s="548"/>
      <c r="X1360" s="277"/>
      <c r="Y1360" s="277"/>
      <c r="Z1360" s="187"/>
      <c r="AA1360" s="6301"/>
      <c r="AB1360" s="139"/>
      <c r="AC1360" s="139"/>
      <c r="AD1360" s="139"/>
      <c r="AE1360" s="139"/>
      <c r="AF1360" s="139"/>
      <c r="AG1360" s="139"/>
      <c r="AH1360" s="139"/>
      <c r="AI1360" s="139"/>
      <c r="AJ1360" s="139"/>
      <c r="AK1360" s="139"/>
      <c r="AL1360" s="139"/>
      <c r="AM1360" s="139"/>
      <c r="AN1360" s="139"/>
      <c r="AO1360" s="139"/>
      <c r="AP1360" s="139"/>
      <c r="AQ1360" s="139"/>
      <c r="AR1360" s="139"/>
      <c r="AS1360" s="139"/>
      <c r="AT1360" s="139"/>
      <c r="AU1360" s="139"/>
      <c r="AV1360" s="139"/>
      <c r="AW1360" s="139"/>
      <c r="AX1360" s="139"/>
      <c r="AY1360" s="139"/>
      <c r="AZ1360" s="139"/>
      <c r="BA1360" s="139"/>
      <c r="BB1360" s="139"/>
      <c r="BC1360" s="139"/>
      <c r="BD1360" s="139"/>
      <c r="BE1360" s="139"/>
      <c r="BF1360" s="139"/>
      <c r="BG1360" s="139"/>
      <c r="BH1360" s="139"/>
    </row>
    <row r="1361" spans="2:60" s="11" customFormat="1" ht="20.100000000000001" customHeight="1">
      <c r="B1361" s="1360"/>
      <c r="C1361" s="5598"/>
      <c r="D1361" s="9598" t="s">
        <v>140</v>
      </c>
      <c r="E1361" s="9600"/>
      <c r="F1361" s="285" t="s">
        <v>742</v>
      </c>
      <c r="G1361" s="666"/>
      <c r="H1361" s="666"/>
      <c r="I1361" s="9582" t="s">
        <v>141</v>
      </c>
      <c r="J1361" s="9583"/>
      <c r="K1361" s="5623" t="s">
        <v>734</v>
      </c>
      <c r="L1361" s="5696">
        <v>0</v>
      </c>
      <c r="M1361" s="5718"/>
      <c r="N1361" s="5729">
        <v>0</v>
      </c>
      <c r="O1361" s="5716"/>
      <c r="P1361" s="5855">
        <v>0</v>
      </c>
      <c r="Q1361" s="5717"/>
      <c r="R1361" s="2468"/>
      <c r="S1361" s="544"/>
      <c r="T1361" s="545"/>
      <c r="U1361" s="546"/>
      <c r="V1361" s="547"/>
      <c r="W1361" s="548"/>
      <c r="X1361" s="277"/>
      <c r="Y1361" s="277"/>
      <c r="Z1361" s="187"/>
      <c r="AA1361" s="6301"/>
      <c r="AB1361" s="139"/>
      <c r="AC1361" s="1377" t="s">
        <v>993</v>
      </c>
      <c r="AD1361" s="139"/>
      <c r="AE1361" s="139"/>
      <c r="AF1361" s="139"/>
      <c r="AG1361" s="139"/>
      <c r="AH1361" s="139"/>
      <c r="AI1361" s="139"/>
      <c r="AJ1361" s="139"/>
      <c r="AK1361" s="139"/>
      <c r="AL1361" s="139"/>
      <c r="AM1361" s="139"/>
      <c r="AN1361" s="139"/>
      <c r="AO1361" s="139"/>
      <c r="AP1361" s="139"/>
      <c r="AQ1361" s="139"/>
      <c r="AR1361" s="139"/>
      <c r="AS1361" s="139"/>
      <c r="AT1361" s="139"/>
      <c r="AU1361" s="139"/>
      <c r="AV1361" s="139"/>
      <c r="AW1361" s="139"/>
      <c r="AX1361" s="139"/>
      <c r="AY1361" s="139"/>
      <c r="AZ1361" s="139"/>
      <c r="BA1361" s="139"/>
      <c r="BB1361" s="139"/>
      <c r="BC1361" s="139"/>
      <c r="BD1361" s="139"/>
      <c r="BE1361" s="139"/>
      <c r="BF1361" s="139"/>
      <c r="BG1361" s="139"/>
      <c r="BH1361" s="139"/>
    </row>
    <row r="1362" spans="2:60" s="11" customFormat="1" ht="20.100000000000001" customHeight="1">
      <c r="B1362" s="1360"/>
      <c r="C1362" s="5598"/>
      <c r="D1362" s="9598" t="s">
        <v>143</v>
      </c>
      <c r="E1362" s="9600"/>
      <c r="F1362" s="285" t="s">
        <v>742</v>
      </c>
      <c r="G1362" s="666"/>
      <c r="H1362" s="666"/>
      <c r="I1362" s="9582" t="s">
        <v>144</v>
      </c>
      <c r="J1362" s="9583"/>
      <c r="K1362" s="5623" t="s">
        <v>734</v>
      </c>
      <c r="L1362" s="5696"/>
      <c r="M1362" s="5718"/>
      <c r="N1362" s="5729"/>
      <c r="O1362" s="5716"/>
      <c r="P1362" s="5855"/>
      <c r="Q1362" s="5717"/>
      <c r="R1362" s="2468"/>
      <c r="S1362" s="544"/>
      <c r="T1362" s="545"/>
      <c r="U1362" s="546"/>
      <c r="V1362" s="547"/>
      <c r="W1362" s="548"/>
      <c r="X1362" s="277"/>
      <c r="Y1362" s="277"/>
      <c r="Z1362" s="187"/>
      <c r="AA1362" s="6301"/>
      <c r="AB1362" s="139"/>
      <c r="AC1362" s="1377" t="s">
        <v>993</v>
      </c>
      <c r="AD1362" s="139"/>
      <c r="AE1362" s="139"/>
      <c r="AF1362" s="139"/>
      <c r="AG1362" s="139"/>
      <c r="AH1362" s="139"/>
      <c r="AI1362" s="139"/>
      <c r="AJ1362" s="139"/>
      <c r="AK1362" s="139"/>
      <c r="AL1362" s="139"/>
      <c r="AM1362" s="139"/>
      <c r="AN1362" s="139"/>
      <c r="AO1362" s="139"/>
      <c r="AP1362" s="139"/>
      <c r="AQ1362" s="139"/>
      <c r="AR1362" s="139"/>
      <c r="AS1362" s="139"/>
      <c r="AT1362" s="139"/>
      <c r="AU1362" s="139"/>
      <c r="AV1362" s="139"/>
      <c r="AW1362" s="139"/>
      <c r="AX1362" s="139"/>
      <c r="AY1362" s="139"/>
      <c r="AZ1362" s="139"/>
      <c r="BA1362" s="139"/>
      <c r="BB1362" s="139"/>
      <c r="BC1362" s="139"/>
      <c r="BD1362" s="139"/>
      <c r="BE1362" s="139"/>
      <c r="BF1362" s="139"/>
      <c r="BG1362" s="139"/>
      <c r="BH1362" s="139"/>
    </row>
    <row r="1363" spans="2:60" s="11" customFormat="1" ht="20.100000000000001" customHeight="1">
      <c r="B1363" s="1360"/>
      <c r="C1363" s="5598"/>
      <c r="D1363" s="9598" t="s">
        <v>631</v>
      </c>
      <c r="E1363" s="9600"/>
      <c r="F1363" s="285" t="s">
        <v>742</v>
      </c>
      <c r="G1363" s="666"/>
      <c r="H1363" s="666"/>
      <c r="I1363" s="9582" t="s">
        <v>147</v>
      </c>
      <c r="J1363" s="9583"/>
      <c r="K1363" s="5623" t="s">
        <v>734</v>
      </c>
      <c r="L1363" s="5696"/>
      <c r="M1363" s="5718"/>
      <c r="N1363" s="5729"/>
      <c r="O1363" s="5716"/>
      <c r="P1363" s="5855"/>
      <c r="Q1363" s="5717"/>
      <c r="R1363" s="2468"/>
      <c r="S1363" s="544"/>
      <c r="T1363" s="545"/>
      <c r="U1363" s="546"/>
      <c r="V1363" s="547"/>
      <c r="W1363" s="548"/>
      <c r="X1363" s="277"/>
      <c r="Y1363" s="277"/>
      <c r="Z1363" s="187"/>
      <c r="AA1363" s="6301"/>
      <c r="AB1363" s="139"/>
      <c r="AC1363" s="1377" t="s">
        <v>993</v>
      </c>
      <c r="AD1363" s="139"/>
      <c r="AE1363" s="139"/>
      <c r="AF1363" s="139"/>
      <c r="AG1363" s="139"/>
      <c r="AH1363" s="139"/>
      <c r="AI1363" s="139"/>
      <c r="AJ1363" s="139"/>
      <c r="AK1363" s="139"/>
      <c r="AL1363" s="139"/>
      <c r="AM1363" s="139"/>
      <c r="AN1363" s="139"/>
      <c r="AO1363" s="139"/>
      <c r="AP1363" s="139"/>
      <c r="AQ1363" s="139"/>
      <c r="AR1363" s="139"/>
      <c r="AS1363" s="139"/>
      <c r="AT1363" s="139"/>
      <c r="AU1363" s="139"/>
      <c r="AV1363" s="139"/>
      <c r="AW1363" s="139"/>
      <c r="AX1363" s="139"/>
      <c r="AY1363" s="139"/>
      <c r="AZ1363" s="139"/>
      <c r="BA1363" s="139"/>
      <c r="BB1363" s="139"/>
      <c r="BC1363" s="139"/>
      <c r="BD1363" s="139"/>
      <c r="BE1363" s="139"/>
      <c r="BF1363" s="139"/>
      <c r="BG1363" s="139"/>
      <c r="BH1363" s="139"/>
    </row>
    <row r="1364" spans="2:60" s="11" customFormat="1" ht="20.100000000000001" customHeight="1">
      <c r="B1364" s="1360"/>
      <c r="C1364" s="5598"/>
      <c r="D1364" s="9598" t="s">
        <v>633</v>
      </c>
      <c r="E1364" s="9600"/>
      <c r="F1364" s="285" t="s">
        <v>742</v>
      </c>
      <c r="G1364" s="666"/>
      <c r="H1364" s="666"/>
      <c r="I1364" s="9582" t="s">
        <v>150</v>
      </c>
      <c r="J1364" s="9583"/>
      <c r="K1364" s="5623" t="s">
        <v>734</v>
      </c>
      <c r="L1364" s="5696"/>
      <c r="M1364" s="5718"/>
      <c r="N1364" s="5729"/>
      <c r="O1364" s="5718"/>
      <c r="P1364" s="5729"/>
      <c r="Q1364" s="5717"/>
      <c r="R1364" s="2468"/>
      <c r="S1364" s="544"/>
      <c r="T1364" s="545"/>
      <c r="U1364" s="546"/>
      <c r="V1364" s="547"/>
      <c r="W1364" s="548"/>
      <c r="X1364" s="277"/>
      <c r="Y1364" s="277"/>
      <c r="Z1364" s="187"/>
      <c r="AA1364" s="6301"/>
      <c r="AB1364" s="139"/>
      <c r="AC1364" s="1377" t="s">
        <v>993</v>
      </c>
      <c r="AD1364" s="139"/>
      <c r="AE1364" s="139"/>
      <c r="AF1364" s="139"/>
      <c r="AG1364" s="139"/>
      <c r="AH1364" s="139"/>
      <c r="AI1364" s="139"/>
      <c r="AJ1364" s="139"/>
      <c r="AK1364" s="139"/>
      <c r="AL1364" s="139"/>
      <c r="AM1364" s="139"/>
      <c r="AN1364" s="139"/>
      <c r="AO1364" s="139"/>
      <c r="AP1364" s="139"/>
      <c r="AQ1364" s="139"/>
      <c r="AR1364" s="139"/>
      <c r="AS1364" s="139"/>
      <c r="AT1364" s="139"/>
      <c r="AU1364" s="139"/>
      <c r="AV1364" s="139"/>
      <c r="AW1364" s="139"/>
      <c r="AX1364" s="139"/>
      <c r="AY1364" s="139"/>
      <c r="AZ1364" s="139"/>
      <c r="BA1364" s="139"/>
      <c r="BB1364" s="139"/>
      <c r="BC1364" s="139"/>
      <c r="BD1364" s="139"/>
      <c r="BE1364" s="139"/>
      <c r="BF1364" s="139"/>
      <c r="BG1364" s="139"/>
      <c r="BH1364" s="139"/>
    </row>
    <row r="1365" spans="2:60" s="11" customFormat="1" ht="20.100000000000001" customHeight="1">
      <c r="B1365" s="1360"/>
      <c r="C1365" s="9656" t="s">
        <v>1000</v>
      </c>
      <c r="D1365" s="9587"/>
      <c r="E1365" s="9588"/>
      <c r="F1365" s="285" t="s">
        <v>156</v>
      </c>
      <c r="G1365" s="4550"/>
      <c r="H1365" s="9586" t="s">
        <v>1001</v>
      </c>
      <c r="I1365" s="9587"/>
      <c r="J1365" s="9588"/>
      <c r="K1365" s="87" t="s">
        <v>156</v>
      </c>
      <c r="L1365" s="5968" t="str">
        <f>IF(COUNTBLANK(L1366:L1371)&gt;0,"미취합법인有",AVERAGE(L1366:L1371))</f>
        <v>미취합법인有</v>
      </c>
      <c r="M1365" s="5657"/>
      <c r="N1365" s="5654" t="str">
        <f>IF(COUNTBLANK(N1366:N1371)&gt;0,"미취합법인有",AVERAGE(N1366:N1371))</f>
        <v>미취합법인有</v>
      </c>
      <c r="O1365" s="5663"/>
      <c r="P1365" s="5781" t="str">
        <f>IF(COUNTBLANK(P1366:P1371)&gt;0,"미취합법인有",AVERAGE(P1366:P1371))</f>
        <v>미취합법인有</v>
      </c>
      <c r="Q1365" s="785"/>
      <c r="R1365" s="2483" t="s">
        <v>1002</v>
      </c>
      <c r="S1365" s="544" t="s">
        <v>1001</v>
      </c>
      <c r="T1365" s="99" t="s">
        <v>189</v>
      </c>
      <c r="U1365" s="547"/>
      <c r="V1365" s="547"/>
      <c r="W1365" s="808"/>
      <c r="X1365" s="775" t="s">
        <v>1003</v>
      </c>
      <c r="Y1365" s="620" t="s">
        <v>1004</v>
      </c>
      <c r="Z1365" s="159"/>
      <c r="AA1365" s="6301"/>
      <c r="AB1365" s="139"/>
      <c r="AC1365" s="139"/>
      <c r="AD1365" s="139"/>
      <c r="AE1365" s="139"/>
      <c r="AF1365" s="139"/>
      <c r="AG1365" s="139"/>
      <c r="AH1365" s="139"/>
      <c r="AI1365" s="139"/>
      <c r="AJ1365" s="139"/>
      <c r="AK1365" s="139"/>
      <c r="AL1365" s="139"/>
      <c r="AM1365" s="139"/>
      <c r="AN1365" s="139"/>
      <c r="AO1365" s="139"/>
      <c r="AP1365" s="139"/>
      <c r="AQ1365" s="139"/>
      <c r="AR1365" s="139"/>
      <c r="AS1365" s="139"/>
      <c r="AT1365" s="139"/>
      <c r="AU1365" s="139"/>
      <c r="AV1365" s="139"/>
      <c r="AW1365" s="139"/>
      <c r="AX1365" s="139"/>
      <c r="AY1365" s="139"/>
      <c r="AZ1365" s="139"/>
      <c r="BA1365" s="139"/>
      <c r="BB1365" s="139"/>
      <c r="BC1365" s="139"/>
      <c r="BD1365" s="139"/>
      <c r="BE1365" s="139"/>
      <c r="BF1365" s="139"/>
      <c r="BG1365" s="139"/>
      <c r="BH1365" s="139"/>
    </row>
    <row r="1366" spans="2:60" s="11" customFormat="1" ht="20.100000000000001" customHeight="1">
      <c r="B1366" s="1360"/>
      <c r="C1366" s="9647" t="s">
        <v>134</v>
      </c>
      <c r="D1366" s="9648"/>
      <c r="E1366" s="9649"/>
      <c r="F1366" s="285" t="s">
        <v>156</v>
      </c>
      <c r="G1366" s="666"/>
      <c r="H1366" s="9579" t="s">
        <v>135</v>
      </c>
      <c r="I1366" s="9580"/>
      <c r="J1366" s="9581"/>
      <c r="K1366" s="87" t="s">
        <v>156</v>
      </c>
      <c r="L1366" s="6025">
        <v>100</v>
      </c>
      <c r="M1366" s="5658"/>
      <c r="N1366" s="6026">
        <v>100</v>
      </c>
      <c r="O1366" s="5667"/>
      <c r="P1366" s="6026">
        <v>100</v>
      </c>
      <c r="Q1366" s="5593"/>
      <c r="R1366" s="2468"/>
      <c r="S1366" s="544"/>
      <c r="T1366" s="545"/>
      <c r="U1366" s="546"/>
      <c r="V1366" s="547"/>
      <c r="W1366" s="548"/>
      <c r="X1366" s="277"/>
      <c r="Y1366" s="277"/>
      <c r="Z1366" s="187"/>
      <c r="AA1366" s="6301"/>
      <c r="AB1366" s="139"/>
      <c r="AC1366" s="139"/>
      <c r="AD1366" s="139"/>
      <c r="AE1366" s="139"/>
      <c r="AF1366" s="139"/>
      <c r="AG1366" s="139"/>
      <c r="AH1366" s="139"/>
      <c r="AI1366" s="139"/>
      <c r="AJ1366" s="139"/>
      <c r="AK1366" s="139"/>
      <c r="AL1366" s="139"/>
      <c r="AM1366" s="139"/>
      <c r="AN1366" s="139"/>
      <c r="AO1366" s="139"/>
      <c r="AP1366" s="139"/>
      <c r="AQ1366" s="139"/>
      <c r="AR1366" s="139"/>
      <c r="AS1366" s="139"/>
      <c r="AT1366" s="139"/>
      <c r="AU1366" s="139"/>
      <c r="AV1366" s="139"/>
      <c r="AW1366" s="139"/>
      <c r="AX1366" s="139"/>
      <c r="AY1366" s="139"/>
      <c r="AZ1366" s="139"/>
      <c r="BA1366" s="139"/>
      <c r="BB1366" s="139"/>
      <c r="BC1366" s="139"/>
      <c r="BD1366" s="139"/>
      <c r="BE1366" s="139"/>
      <c r="BF1366" s="139"/>
      <c r="BG1366" s="139"/>
      <c r="BH1366" s="139"/>
    </row>
    <row r="1367" spans="2:60" s="11" customFormat="1" ht="20.100000000000001" customHeight="1">
      <c r="B1367" s="1360"/>
      <c r="C1367" s="9647" t="s">
        <v>137</v>
      </c>
      <c r="D1367" s="9648"/>
      <c r="E1367" s="9649"/>
      <c r="F1367" s="285" t="s">
        <v>156</v>
      </c>
      <c r="G1367" s="666"/>
      <c r="H1367" s="9579" t="s">
        <v>138</v>
      </c>
      <c r="I1367" s="9580"/>
      <c r="J1367" s="9581"/>
      <c r="K1367" s="87" t="s">
        <v>156</v>
      </c>
      <c r="L1367" s="5594"/>
      <c r="M1367" s="5671"/>
      <c r="N1367" s="6027">
        <v>100</v>
      </c>
      <c r="O1367" s="5680"/>
      <c r="P1367" s="5725"/>
      <c r="Q1367" s="5678"/>
      <c r="R1367" s="2468"/>
      <c r="S1367" s="544"/>
      <c r="T1367" s="545"/>
      <c r="U1367" s="546"/>
      <c r="V1367" s="547"/>
      <c r="W1367" s="548"/>
      <c r="X1367" s="277"/>
      <c r="Y1367" s="277"/>
      <c r="Z1367" s="187"/>
      <c r="AA1367" s="6301"/>
      <c r="AB1367" s="139"/>
      <c r="AC1367" s="139"/>
      <c r="AD1367" s="139"/>
      <c r="AE1367" s="139"/>
      <c r="AF1367" s="139"/>
      <c r="AG1367" s="139"/>
      <c r="AH1367" s="139"/>
      <c r="AI1367" s="139"/>
      <c r="AJ1367" s="139"/>
      <c r="AK1367" s="139"/>
      <c r="AL1367" s="139"/>
      <c r="AM1367" s="139"/>
      <c r="AN1367" s="139"/>
      <c r="AO1367" s="139"/>
      <c r="AP1367" s="139"/>
      <c r="AQ1367" s="139"/>
      <c r="AR1367" s="139"/>
      <c r="AS1367" s="139"/>
      <c r="AT1367" s="139"/>
      <c r="AU1367" s="139"/>
      <c r="AV1367" s="139"/>
      <c r="AW1367" s="139"/>
      <c r="AX1367" s="139"/>
      <c r="AY1367" s="139"/>
      <c r="AZ1367" s="139"/>
      <c r="BA1367" s="139"/>
      <c r="BB1367" s="139"/>
      <c r="BC1367" s="139"/>
      <c r="BD1367" s="139"/>
      <c r="BE1367" s="139"/>
      <c r="BF1367" s="139"/>
      <c r="BG1367" s="139"/>
      <c r="BH1367" s="139"/>
    </row>
    <row r="1368" spans="2:60" s="11" customFormat="1" ht="20.100000000000001" customHeight="1">
      <c r="B1368" s="1360"/>
      <c r="C1368" s="9647" t="s">
        <v>140</v>
      </c>
      <c r="D1368" s="9648"/>
      <c r="E1368" s="9649"/>
      <c r="F1368" s="285" t="s">
        <v>156</v>
      </c>
      <c r="G1368" s="666"/>
      <c r="H1368" s="9579" t="s">
        <v>141</v>
      </c>
      <c r="I1368" s="9580"/>
      <c r="J1368" s="9581"/>
      <c r="K1368" s="87" t="s">
        <v>156</v>
      </c>
      <c r="L1368" s="5594"/>
      <c r="M1368" s="5671"/>
      <c r="N1368" s="5724"/>
      <c r="O1368" s="5680"/>
      <c r="P1368" s="5725"/>
      <c r="Q1368" s="5678"/>
      <c r="R1368" s="2468"/>
      <c r="S1368" s="544"/>
      <c r="T1368" s="545"/>
      <c r="U1368" s="546"/>
      <c r="V1368" s="547"/>
      <c r="W1368" s="548"/>
      <c r="X1368" s="277"/>
      <c r="Y1368" s="277"/>
      <c r="Z1368" s="187"/>
      <c r="AA1368" s="6301"/>
      <c r="AB1368" s="139"/>
      <c r="AC1368" s="139"/>
      <c r="AD1368" s="139"/>
      <c r="AE1368" s="139"/>
      <c r="AF1368" s="139"/>
      <c r="AG1368" s="139"/>
      <c r="AH1368" s="139"/>
      <c r="AI1368" s="139"/>
      <c r="AJ1368" s="139"/>
      <c r="AK1368" s="139"/>
      <c r="AL1368" s="139"/>
      <c r="AM1368" s="139"/>
      <c r="AN1368" s="139"/>
      <c r="AO1368" s="139"/>
      <c r="AP1368" s="139"/>
      <c r="AQ1368" s="139"/>
      <c r="AR1368" s="139"/>
      <c r="AS1368" s="139"/>
      <c r="AT1368" s="139"/>
      <c r="AU1368" s="139"/>
      <c r="AV1368" s="139"/>
      <c r="AW1368" s="139"/>
      <c r="AX1368" s="139"/>
      <c r="AY1368" s="139"/>
      <c r="AZ1368" s="139"/>
      <c r="BA1368" s="139"/>
      <c r="BB1368" s="139"/>
      <c r="BC1368" s="139"/>
      <c r="BD1368" s="139"/>
      <c r="BE1368" s="139"/>
      <c r="BF1368" s="139"/>
      <c r="BG1368" s="139"/>
      <c r="BH1368" s="139"/>
    </row>
    <row r="1369" spans="2:60" s="11" customFormat="1" ht="20.100000000000001" customHeight="1">
      <c r="B1369" s="1360"/>
      <c r="C1369" s="9647" t="s">
        <v>143</v>
      </c>
      <c r="D1369" s="9648"/>
      <c r="E1369" s="9649"/>
      <c r="F1369" s="285" t="s">
        <v>156</v>
      </c>
      <c r="G1369" s="666"/>
      <c r="H1369" s="9579" t="s">
        <v>144</v>
      </c>
      <c r="I1369" s="9580"/>
      <c r="J1369" s="9581"/>
      <c r="K1369" s="87" t="s">
        <v>156</v>
      </c>
      <c r="L1369" s="5990">
        <v>12</v>
      </c>
      <c r="M1369" s="5671" t="s">
        <v>1005</v>
      </c>
      <c r="N1369" s="5991">
        <v>16</v>
      </c>
      <c r="O1369" s="5680" t="s">
        <v>1005</v>
      </c>
      <c r="P1369" s="5992">
        <v>17</v>
      </c>
      <c r="Q1369" s="5678"/>
      <c r="R1369" s="2468"/>
      <c r="S1369" s="544"/>
      <c r="T1369" s="545"/>
      <c r="U1369" s="546"/>
      <c r="V1369" s="547"/>
      <c r="W1369" s="548"/>
      <c r="X1369" s="277"/>
      <c r="Y1369" s="277"/>
      <c r="Z1369" s="187"/>
      <c r="AA1369" s="6301"/>
      <c r="AB1369" s="139"/>
      <c r="AC1369" s="139"/>
      <c r="AD1369" s="139"/>
      <c r="AE1369" s="139"/>
      <c r="AF1369" s="139"/>
      <c r="AG1369" s="139"/>
      <c r="AH1369" s="139"/>
      <c r="AI1369" s="139"/>
      <c r="AJ1369" s="139"/>
      <c r="AK1369" s="139"/>
      <c r="AL1369" s="139"/>
      <c r="AM1369" s="139"/>
      <c r="AN1369" s="139"/>
      <c r="AO1369" s="139"/>
      <c r="AP1369" s="139"/>
      <c r="AQ1369" s="139"/>
      <c r="AR1369" s="139"/>
      <c r="AS1369" s="139"/>
      <c r="AT1369" s="139"/>
      <c r="AU1369" s="139"/>
      <c r="AV1369" s="139"/>
      <c r="AW1369" s="139"/>
      <c r="AX1369" s="139"/>
      <c r="AY1369" s="139"/>
      <c r="AZ1369" s="139"/>
      <c r="BA1369" s="139"/>
      <c r="BB1369" s="139"/>
      <c r="BC1369" s="139"/>
      <c r="BD1369" s="139"/>
      <c r="BE1369" s="139"/>
      <c r="BF1369" s="139"/>
      <c r="BG1369" s="139"/>
      <c r="BH1369" s="139"/>
    </row>
    <row r="1370" spans="2:60" s="11" customFormat="1" ht="20.100000000000001" customHeight="1">
      <c r="B1370" s="1360"/>
      <c r="C1370" s="9647" t="s">
        <v>631</v>
      </c>
      <c r="D1370" s="9648"/>
      <c r="E1370" s="9649"/>
      <c r="F1370" s="285" t="s">
        <v>156</v>
      </c>
      <c r="G1370" s="666"/>
      <c r="H1370" s="9579" t="s">
        <v>147</v>
      </c>
      <c r="I1370" s="9580"/>
      <c r="J1370" s="9581"/>
      <c r="K1370" s="87" t="s">
        <v>156</v>
      </c>
      <c r="L1370" s="5594"/>
      <c r="M1370" s="5671"/>
      <c r="N1370" s="5724"/>
      <c r="O1370" s="5680"/>
      <c r="P1370" s="6028"/>
      <c r="Q1370" s="5678"/>
      <c r="R1370" s="2468"/>
      <c r="S1370" s="544"/>
      <c r="T1370" s="545"/>
      <c r="U1370" s="546"/>
      <c r="V1370" s="547"/>
      <c r="W1370" s="548"/>
      <c r="X1370" s="277"/>
      <c r="Y1370" s="277"/>
      <c r="Z1370" s="187"/>
      <c r="AA1370" s="6301"/>
      <c r="AB1370" s="139"/>
      <c r="AC1370" s="139"/>
      <c r="AD1370" s="139"/>
      <c r="AE1370" s="139"/>
      <c r="AF1370" s="139"/>
      <c r="AG1370" s="139"/>
      <c r="AH1370" s="139"/>
      <c r="AI1370" s="139"/>
      <c r="AJ1370" s="139"/>
      <c r="AK1370" s="139"/>
      <c r="AL1370" s="139"/>
      <c r="AM1370" s="139"/>
      <c r="AN1370" s="139"/>
      <c r="AO1370" s="139"/>
      <c r="AP1370" s="139"/>
      <c r="AQ1370" s="139"/>
      <c r="AR1370" s="139"/>
      <c r="AS1370" s="139"/>
      <c r="AT1370" s="139"/>
      <c r="AU1370" s="139"/>
      <c r="AV1370" s="139"/>
      <c r="AW1370" s="139"/>
      <c r="AX1370" s="139"/>
      <c r="AY1370" s="139"/>
      <c r="AZ1370" s="139"/>
      <c r="BA1370" s="139"/>
      <c r="BB1370" s="139"/>
      <c r="BC1370" s="139"/>
      <c r="BD1370" s="139"/>
      <c r="BE1370" s="139"/>
      <c r="BF1370" s="139"/>
      <c r="BG1370" s="139"/>
      <c r="BH1370" s="139"/>
    </row>
    <row r="1371" spans="2:60" s="11" customFormat="1" ht="20.100000000000001" customHeight="1">
      <c r="B1371" s="1360"/>
      <c r="C1371" s="9647" t="s">
        <v>633</v>
      </c>
      <c r="D1371" s="9648"/>
      <c r="E1371" s="9649"/>
      <c r="F1371" s="285" t="s">
        <v>156</v>
      </c>
      <c r="G1371" s="666"/>
      <c r="H1371" s="9579" t="s">
        <v>150</v>
      </c>
      <c r="I1371" s="9580"/>
      <c r="J1371" s="9581"/>
      <c r="K1371" s="87" t="s">
        <v>156</v>
      </c>
      <c r="L1371" s="5594"/>
      <c r="M1371" s="5671"/>
      <c r="N1371" s="5724"/>
      <c r="O1371" s="5671"/>
      <c r="P1371" s="5724"/>
      <c r="Q1371" s="5678"/>
      <c r="R1371" s="2468"/>
      <c r="S1371" s="544"/>
      <c r="T1371" s="545"/>
      <c r="U1371" s="546"/>
      <c r="V1371" s="547"/>
      <c r="W1371" s="548"/>
      <c r="X1371" s="277"/>
      <c r="Y1371" s="277"/>
      <c r="Z1371" s="187"/>
      <c r="AA1371" s="6301"/>
      <c r="AB1371" s="139"/>
      <c r="AC1371" s="139"/>
      <c r="AD1371" s="139"/>
      <c r="AE1371" s="139"/>
      <c r="AF1371" s="139"/>
      <c r="AG1371" s="139"/>
      <c r="AH1371" s="139"/>
      <c r="AI1371" s="139"/>
      <c r="AJ1371" s="139"/>
      <c r="AK1371" s="139"/>
      <c r="AL1371" s="139"/>
      <c r="AM1371" s="139"/>
      <c r="AN1371" s="139"/>
      <c r="AO1371" s="139"/>
      <c r="AP1371" s="139"/>
      <c r="AQ1371" s="139"/>
      <c r="AR1371" s="139"/>
      <c r="AS1371" s="139"/>
      <c r="AT1371" s="139"/>
      <c r="AU1371" s="139"/>
      <c r="AV1371" s="139"/>
      <c r="AW1371" s="139"/>
      <c r="AX1371" s="139"/>
      <c r="AY1371" s="139"/>
      <c r="AZ1371" s="139"/>
      <c r="BA1371" s="139"/>
      <c r="BB1371" s="139"/>
      <c r="BC1371" s="139"/>
      <c r="BD1371" s="139"/>
      <c r="BE1371" s="139"/>
      <c r="BF1371" s="139"/>
      <c r="BG1371" s="139"/>
      <c r="BH1371" s="139"/>
    </row>
    <row r="1372" spans="2:60" s="11" customFormat="1" ht="20.100000000000001" customHeight="1">
      <c r="B1372" s="1360"/>
      <c r="C1372" s="9656" t="s">
        <v>1006</v>
      </c>
      <c r="D1372" s="9587"/>
      <c r="E1372" s="9588"/>
      <c r="F1372" s="809" t="s">
        <v>742</v>
      </c>
      <c r="G1372" s="349"/>
      <c r="H1372" s="9586" t="s">
        <v>1007</v>
      </c>
      <c r="I1372" s="9587"/>
      <c r="J1372" s="9588"/>
      <c r="K1372" s="809" t="s">
        <v>734</v>
      </c>
      <c r="L1372" s="5653" t="str">
        <f>IF(COUNTBLANK(L1373:L1378)&gt;0,"미취합법인有",SUM(L1373:L1378))</f>
        <v>미취합법인有</v>
      </c>
      <c r="M1372" s="5657"/>
      <c r="N1372" s="5654" t="str">
        <f>IF(COUNTBLANK(N1373:N1378)&gt;0,"미취합법인有",SUM(N1373:N1378))</f>
        <v>미취합법인有</v>
      </c>
      <c r="O1372" s="5663"/>
      <c r="P1372" s="5781" t="str">
        <f>IF(COUNTBLANK(P1373:P1378)&gt;0,"미취합법인有",SUM(P1373:P1378))</f>
        <v>미취합법인有</v>
      </c>
      <c r="Q1372" s="785"/>
      <c r="R1372" s="2472"/>
      <c r="S1372" s="457"/>
      <c r="T1372" s="99" t="s">
        <v>189</v>
      </c>
      <c r="U1372" s="547"/>
      <c r="V1372" s="547"/>
      <c r="W1372" s="99"/>
      <c r="X1372" s="775" t="s">
        <v>1003</v>
      </c>
      <c r="Y1372" s="277" t="s">
        <v>1004</v>
      </c>
      <c r="Z1372" s="187"/>
      <c r="AA1372" s="6301"/>
      <c r="AB1372" s="139"/>
      <c r="AC1372" s="1377"/>
      <c r="AD1372" s="139"/>
      <c r="AE1372" s="139"/>
      <c r="AF1372" s="139"/>
      <c r="AG1372" s="139"/>
      <c r="AH1372" s="139"/>
      <c r="AI1372" s="139"/>
      <c r="AJ1372" s="139"/>
      <c r="AK1372" s="139"/>
      <c r="AL1372" s="139"/>
      <c r="AM1372" s="139"/>
      <c r="AN1372" s="139"/>
      <c r="AO1372" s="139"/>
      <c r="AP1372" s="139"/>
      <c r="AQ1372" s="139"/>
      <c r="AR1372" s="139"/>
      <c r="AS1372" s="139"/>
      <c r="AT1372" s="139"/>
      <c r="AU1372" s="139"/>
      <c r="AV1372" s="139"/>
      <c r="AW1372" s="139"/>
      <c r="AX1372" s="139"/>
      <c r="AY1372" s="139"/>
      <c r="AZ1372" s="139"/>
      <c r="BA1372" s="139"/>
      <c r="BB1372" s="139"/>
      <c r="BC1372" s="139"/>
      <c r="BD1372" s="139"/>
      <c r="BE1372" s="139"/>
      <c r="BF1372" s="139"/>
      <c r="BG1372" s="139"/>
      <c r="BH1372" s="139"/>
    </row>
    <row r="1373" spans="2:60" s="11" customFormat="1" ht="20.100000000000001" customHeight="1">
      <c r="B1373" s="1360"/>
      <c r="C1373" s="9647" t="s">
        <v>134</v>
      </c>
      <c r="D1373" s="9648"/>
      <c r="E1373" s="9649"/>
      <c r="F1373" s="809" t="s">
        <v>742</v>
      </c>
      <c r="G1373" s="666"/>
      <c r="H1373" s="9579" t="s">
        <v>135</v>
      </c>
      <c r="I1373" s="9580"/>
      <c r="J1373" s="9581"/>
      <c r="K1373" s="809" t="s">
        <v>734</v>
      </c>
      <c r="L1373" s="5594">
        <v>1135</v>
      </c>
      <c r="M1373" s="5671"/>
      <c r="N1373" s="5724">
        <v>1097</v>
      </c>
      <c r="O1373" s="5680"/>
      <c r="P1373" s="5724">
        <v>1096</v>
      </c>
      <c r="Q1373" s="5678"/>
      <c r="R1373" s="2468"/>
      <c r="S1373" s="544"/>
      <c r="T1373" s="545"/>
      <c r="U1373" s="546"/>
      <c r="V1373" s="547"/>
      <c r="W1373" s="548"/>
      <c r="X1373" s="277"/>
      <c r="Y1373" s="277"/>
      <c r="Z1373" s="187"/>
      <c r="AA1373" s="6301"/>
      <c r="AB1373" s="139"/>
      <c r="AC1373" s="139"/>
      <c r="AD1373" s="139"/>
      <c r="AE1373" s="139"/>
      <c r="AF1373" s="139"/>
      <c r="AG1373" s="139"/>
      <c r="AH1373" s="139"/>
      <c r="AI1373" s="139"/>
      <c r="AJ1373" s="139"/>
      <c r="AK1373" s="139"/>
      <c r="AL1373" s="139"/>
      <c r="AM1373" s="139"/>
      <c r="AN1373" s="139"/>
      <c r="AO1373" s="139"/>
      <c r="AP1373" s="139"/>
      <c r="AQ1373" s="139"/>
      <c r="AR1373" s="139"/>
      <c r="AS1373" s="139"/>
      <c r="AT1373" s="139"/>
      <c r="AU1373" s="139"/>
      <c r="AV1373" s="139"/>
      <c r="AW1373" s="139"/>
      <c r="AX1373" s="139"/>
      <c r="AY1373" s="139"/>
      <c r="AZ1373" s="139"/>
      <c r="BA1373" s="139"/>
      <c r="BB1373" s="139"/>
      <c r="BC1373" s="139"/>
      <c r="BD1373" s="139"/>
      <c r="BE1373" s="139"/>
      <c r="BF1373" s="139"/>
      <c r="BG1373" s="139"/>
      <c r="BH1373" s="139"/>
    </row>
    <row r="1374" spans="2:60" s="11" customFormat="1" ht="20.100000000000001" customHeight="1">
      <c r="B1374" s="1360"/>
      <c r="C1374" s="9647" t="s">
        <v>137</v>
      </c>
      <c r="D1374" s="9648"/>
      <c r="E1374" s="9649"/>
      <c r="F1374" s="809" t="s">
        <v>742</v>
      </c>
      <c r="G1374" s="666"/>
      <c r="H1374" s="9579" t="s">
        <v>138</v>
      </c>
      <c r="I1374" s="9580"/>
      <c r="J1374" s="9581"/>
      <c r="K1374" s="809" t="s">
        <v>734</v>
      </c>
      <c r="L1374" s="5594"/>
      <c r="M1374" s="5671"/>
      <c r="N1374" s="5724">
        <v>231</v>
      </c>
      <c r="O1374" s="5680"/>
      <c r="P1374" s="5725">
        <v>223</v>
      </c>
      <c r="Q1374" s="5678"/>
      <c r="R1374" s="2468"/>
      <c r="S1374" s="544"/>
      <c r="T1374" s="545"/>
      <c r="U1374" s="546"/>
      <c r="V1374" s="547"/>
      <c r="W1374" s="548"/>
      <c r="X1374" s="277"/>
      <c r="Y1374" s="277"/>
      <c r="Z1374" s="187"/>
      <c r="AA1374" s="6301"/>
      <c r="AB1374" s="139"/>
      <c r="AC1374" s="139"/>
      <c r="AD1374" s="139"/>
      <c r="AE1374" s="139"/>
      <c r="AF1374" s="139"/>
      <c r="AG1374" s="139"/>
      <c r="AH1374" s="139"/>
      <c r="AI1374" s="139"/>
      <c r="AJ1374" s="139"/>
      <c r="AK1374" s="139"/>
      <c r="AL1374" s="139"/>
      <c r="AM1374" s="139"/>
      <c r="AN1374" s="139"/>
      <c r="AO1374" s="139"/>
      <c r="AP1374" s="139"/>
      <c r="AQ1374" s="139"/>
      <c r="AR1374" s="139"/>
      <c r="AS1374" s="139"/>
      <c r="AT1374" s="139"/>
      <c r="AU1374" s="139"/>
      <c r="AV1374" s="139"/>
      <c r="AW1374" s="139"/>
      <c r="AX1374" s="139"/>
      <c r="AY1374" s="139"/>
      <c r="AZ1374" s="139"/>
      <c r="BA1374" s="139"/>
      <c r="BB1374" s="139"/>
      <c r="BC1374" s="139"/>
      <c r="BD1374" s="139"/>
      <c r="BE1374" s="139"/>
      <c r="BF1374" s="139"/>
      <c r="BG1374" s="139"/>
      <c r="BH1374" s="139"/>
    </row>
    <row r="1375" spans="2:60" s="11" customFormat="1" ht="20.100000000000001" customHeight="1">
      <c r="B1375" s="1360"/>
      <c r="C1375" s="9647" t="s">
        <v>140</v>
      </c>
      <c r="D1375" s="9648"/>
      <c r="E1375" s="9649"/>
      <c r="F1375" s="809" t="s">
        <v>742</v>
      </c>
      <c r="G1375" s="666"/>
      <c r="H1375" s="9579" t="s">
        <v>141</v>
      </c>
      <c r="I1375" s="9580"/>
      <c r="J1375" s="9581"/>
      <c r="K1375" s="809" t="s">
        <v>734</v>
      </c>
      <c r="L1375" s="5594">
        <v>0</v>
      </c>
      <c r="M1375" s="5671"/>
      <c r="N1375" s="5724">
        <v>0</v>
      </c>
      <c r="O1375" s="5680"/>
      <c r="P1375" s="5725"/>
      <c r="Q1375" s="5678"/>
      <c r="R1375" s="2468"/>
      <c r="S1375" s="544"/>
      <c r="T1375" s="545"/>
      <c r="U1375" s="546"/>
      <c r="V1375" s="547"/>
      <c r="W1375" s="548"/>
      <c r="X1375" s="277"/>
      <c r="Y1375" s="277"/>
      <c r="Z1375" s="187"/>
      <c r="AA1375" s="6301"/>
      <c r="AB1375" s="139"/>
      <c r="AC1375" s="1377" t="s">
        <v>1008</v>
      </c>
      <c r="AD1375" s="139"/>
      <c r="AE1375" s="139"/>
      <c r="AF1375" s="139"/>
      <c r="AG1375" s="139"/>
      <c r="AH1375" s="139"/>
      <c r="AI1375" s="139"/>
      <c r="AJ1375" s="139"/>
      <c r="AK1375" s="139"/>
      <c r="AL1375" s="139"/>
      <c r="AM1375" s="139"/>
      <c r="AN1375" s="139"/>
      <c r="AO1375" s="139"/>
      <c r="AP1375" s="139"/>
      <c r="AQ1375" s="139"/>
      <c r="AR1375" s="139"/>
      <c r="AS1375" s="139"/>
      <c r="AT1375" s="139"/>
      <c r="AU1375" s="139"/>
      <c r="AV1375" s="139"/>
      <c r="AW1375" s="139"/>
      <c r="AX1375" s="139"/>
      <c r="AY1375" s="139"/>
      <c r="AZ1375" s="139"/>
      <c r="BA1375" s="139"/>
      <c r="BB1375" s="139"/>
      <c r="BC1375" s="139"/>
      <c r="BD1375" s="139"/>
      <c r="BE1375" s="139"/>
      <c r="BF1375" s="139"/>
      <c r="BG1375" s="139"/>
      <c r="BH1375" s="139"/>
    </row>
    <row r="1376" spans="2:60" s="11" customFormat="1" ht="20.100000000000001" customHeight="1">
      <c r="B1376" s="1360"/>
      <c r="C1376" s="9647" t="s">
        <v>143</v>
      </c>
      <c r="D1376" s="9648"/>
      <c r="E1376" s="9649"/>
      <c r="F1376" s="809" t="s">
        <v>742</v>
      </c>
      <c r="G1376" s="666"/>
      <c r="H1376" s="9579" t="s">
        <v>144</v>
      </c>
      <c r="I1376" s="9580"/>
      <c r="J1376" s="9581"/>
      <c r="K1376" s="809" t="s">
        <v>734</v>
      </c>
      <c r="L1376" s="5594">
        <v>69</v>
      </c>
      <c r="M1376" s="5671" t="s">
        <v>1009</v>
      </c>
      <c r="N1376" s="5724">
        <v>91</v>
      </c>
      <c r="O1376" s="5680" t="s">
        <v>1009</v>
      </c>
      <c r="P1376" s="5725">
        <v>96</v>
      </c>
      <c r="Q1376" s="5678"/>
      <c r="R1376" s="2468"/>
      <c r="S1376" s="544"/>
      <c r="T1376" s="545"/>
      <c r="U1376" s="546"/>
      <c r="V1376" s="547"/>
      <c r="W1376" s="548"/>
      <c r="X1376" s="277"/>
      <c r="Y1376" s="277"/>
      <c r="Z1376" s="187"/>
      <c r="AA1376" s="6301"/>
      <c r="AB1376" s="139"/>
      <c r="AC1376" s="139"/>
      <c r="AD1376" s="139"/>
      <c r="AE1376" s="139"/>
      <c r="AF1376" s="139"/>
      <c r="AG1376" s="139"/>
      <c r="AH1376" s="139"/>
      <c r="AI1376" s="139"/>
      <c r="AJ1376" s="139"/>
      <c r="AK1376" s="139"/>
      <c r="AL1376" s="139"/>
      <c r="AM1376" s="139"/>
      <c r="AN1376" s="139"/>
      <c r="AO1376" s="139"/>
      <c r="AP1376" s="139"/>
      <c r="AQ1376" s="139"/>
      <c r="AR1376" s="139"/>
      <c r="AS1376" s="139"/>
      <c r="AT1376" s="139"/>
      <c r="AU1376" s="139"/>
      <c r="AV1376" s="139"/>
      <c r="AW1376" s="139"/>
      <c r="AX1376" s="139"/>
      <c r="AY1376" s="139"/>
      <c r="AZ1376" s="139"/>
      <c r="BA1376" s="139"/>
      <c r="BB1376" s="139"/>
      <c r="BC1376" s="139"/>
      <c r="BD1376" s="139"/>
      <c r="BE1376" s="139"/>
      <c r="BF1376" s="139"/>
      <c r="BG1376" s="139"/>
      <c r="BH1376" s="139"/>
    </row>
    <row r="1377" spans="2:60" s="11" customFormat="1" ht="20.100000000000001" customHeight="1">
      <c r="B1377" s="1360"/>
      <c r="C1377" s="9647" t="s">
        <v>631</v>
      </c>
      <c r="D1377" s="9648"/>
      <c r="E1377" s="9649"/>
      <c r="F1377" s="809" t="s">
        <v>742</v>
      </c>
      <c r="G1377" s="666"/>
      <c r="H1377" s="9579" t="s">
        <v>147</v>
      </c>
      <c r="I1377" s="9580"/>
      <c r="J1377" s="9581"/>
      <c r="K1377" s="809" t="s">
        <v>734</v>
      </c>
      <c r="L1377" s="5594"/>
      <c r="M1377" s="5671"/>
      <c r="N1377" s="5724"/>
      <c r="O1377" s="5680"/>
      <c r="P1377" s="5725"/>
      <c r="Q1377" s="5678"/>
      <c r="R1377" s="2468"/>
      <c r="S1377" s="544"/>
      <c r="T1377" s="545"/>
      <c r="U1377" s="546"/>
      <c r="V1377" s="547"/>
      <c r="W1377" s="548"/>
      <c r="X1377" s="277"/>
      <c r="Y1377" s="277"/>
      <c r="Z1377" s="187"/>
      <c r="AA1377" s="6301"/>
      <c r="AB1377" s="139"/>
      <c r="AC1377" s="1377" t="s">
        <v>1008</v>
      </c>
      <c r="AD1377" s="139"/>
      <c r="AE1377" s="139"/>
      <c r="AF1377" s="139"/>
      <c r="AG1377" s="139"/>
      <c r="AH1377" s="139"/>
      <c r="AI1377" s="139"/>
      <c r="AJ1377" s="139"/>
      <c r="AK1377" s="139"/>
      <c r="AL1377" s="139"/>
      <c r="AM1377" s="139"/>
      <c r="AN1377" s="139"/>
      <c r="AO1377" s="139"/>
      <c r="AP1377" s="139"/>
      <c r="AQ1377" s="139"/>
      <c r="AR1377" s="139"/>
      <c r="AS1377" s="139"/>
      <c r="AT1377" s="139"/>
      <c r="AU1377" s="139"/>
      <c r="AV1377" s="139"/>
      <c r="AW1377" s="139"/>
      <c r="AX1377" s="139"/>
      <c r="AY1377" s="139"/>
      <c r="AZ1377" s="139"/>
      <c r="BA1377" s="139"/>
      <c r="BB1377" s="139"/>
      <c r="BC1377" s="139"/>
      <c r="BD1377" s="139"/>
      <c r="BE1377" s="139"/>
      <c r="BF1377" s="139"/>
      <c r="BG1377" s="139"/>
      <c r="BH1377" s="139"/>
    </row>
    <row r="1378" spans="2:60" s="11" customFormat="1" ht="20.100000000000001" customHeight="1">
      <c r="B1378" s="1360"/>
      <c r="C1378" s="9647" t="s">
        <v>633</v>
      </c>
      <c r="D1378" s="9648"/>
      <c r="E1378" s="9649"/>
      <c r="F1378" s="809" t="s">
        <v>742</v>
      </c>
      <c r="G1378" s="666"/>
      <c r="H1378" s="9579" t="s">
        <v>150</v>
      </c>
      <c r="I1378" s="9580"/>
      <c r="J1378" s="9581"/>
      <c r="K1378" s="809" t="s">
        <v>734</v>
      </c>
      <c r="L1378" s="5594"/>
      <c r="M1378" s="5671"/>
      <c r="N1378" s="5724"/>
      <c r="O1378" s="5671"/>
      <c r="P1378" s="5724"/>
      <c r="Q1378" s="5678"/>
      <c r="R1378" s="2468"/>
      <c r="S1378" s="544"/>
      <c r="T1378" s="545"/>
      <c r="U1378" s="546"/>
      <c r="V1378" s="547"/>
      <c r="W1378" s="548"/>
      <c r="X1378" s="277"/>
      <c r="Y1378" s="277"/>
      <c r="Z1378" s="187"/>
      <c r="AA1378" s="6301"/>
      <c r="AB1378" s="139"/>
      <c r="AC1378" s="139"/>
      <c r="AD1378" s="139"/>
      <c r="AE1378" s="139"/>
      <c r="AF1378" s="139"/>
      <c r="AG1378" s="139"/>
      <c r="AH1378" s="139"/>
      <c r="AI1378" s="139"/>
      <c r="AJ1378" s="139"/>
      <c r="AK1378" s="139"/>
      <c r="AL1378" s="139"/>
      <c r="AM1378" s="139"/>
      <c r="AN1378" s="139"/>
      <c r="AO1378" s="139"/>
      <c r="AP1378" s="139"/>
      <c r="AQ1378" s="139"/>
      <c r="AR1378" s="139"/>
      <c r="AS1378" s="139"/>
      <c r="AT1378" s="139"/>
      <c r="AU1378" s="139"/>
      <c r="AV1378" s="139"/>
      <c r="AW1378" s="139"/>
      <c r="AX1378" s="139"/>
      <c r="AY1378" s="139"/>
      <c r="AZ1378" s="139"/>
      <c r="BA1378" s="139"/>
      <c r="BB1378" s="139"/>
      <c r="BC1378" s="139"/>
      <c r="BD1378" s="139"/>
      <c r="BE1378" s="139"/>
      <c r="BF1378" s="139"/>
      <c r="BG1378" s="139"/>
      <c r="BH1378" s="139"/>
    </row>
    <row r="1379" spans="2:60" s="11" customFormat="1" ht="20.100000000000001" customHeight="1">
      <c r="B1379" s="1360"/>
      <c r="C1379" s="9656" t="s">
        <v>1010</v>
      </c>
      <c r="D1379" s="9587"/>
      <c r="E1379" s="9588"/>
      <c r="F1379" s="809" t="s">
        <v>1011</v>
      </c>
      <c r="G1379" s="349"/>
      <c r="H1379" s="9586" t="s">
        <v>1012</v>
      </c>
      <c r="I1379" s="9587"/>
      <c r="J1379" s="9588"/>
      <c r="K1379" s="809" t="s">
        <v>1013</v>
      </c>
      <c r="L1379" s="5653" t="str">
        <f>IF(COUNTBLANK(L1380:L1385)&gt;0,"미취합법인有",SUM(L1380:L1385))</f>
        <v>미취합법인有</v>
      </c>
      <c r="M1379" s="5657"/>
      <c r="N1379" s="5654" t="str">
        <f>IF(COUNTBLANK(N1380:N1385)&gt;0,"미취합법인有",SUM(N1380:N1385))</f>
        <v>미취합법인有</v>
      </c>
      <c r="O1379" s="5663"/>
      <c r="P1379" s="5781" t="str">
        <f>IF(COUNTBLANK(P1380:P1385)&gt;0,"미취합법인有",SUM(P1380:P1385))</f>
        <v>미취합법인有</v>
      </c>
      <c r="Q1379" s="785"/>
      <c r="R1379" s="2472"/>
      <c r="S1379" s="457"/>
      <c r="T1379" s="99" t="s">
        <v>189</v>
      </c>
      <c r="U1379" s="547"/>
      <c r="V1379" s="547"/>
      <c r="W1379" s="99"/>
      <c r="X1379" s="775"/>
      <c r="Y1379" s="277" t="s">
        <v>1014</v>
      </c>
      <c r="Z1379" s="187"/>
      <c r="AA1379" s="6301"/>
      <c r="AB1379" s="139"/>
      <c r="AC1379" s="139"/>
      <c r="AD1379" s="139"/>
      <c r="AE1379" s="139"/>
      <c r="AF1379" s="139"/>
      <c r="AG1379" s="139"/>
      <c r="AH1379" s="139"/>
      <c r="AI1379" s="139"/>
      <c r="AJ1379" s="139"/>
      <c r="AK1379" s="139"/>
      <c r="AL1379" s="139"/>
      <c r="AM1379" s="139"/>
      <c r="AN1379" s="139"/>
      <c r="AO1379" s="139"/>
      <c r="AP1379" s="139"/>
      <c r="AQ1379" s="139"/>
      <c r="AR1379" s="139"/>
      <c r="AS1379" s="139"/>
      <c r="AT1379" s="139"/>
      <c r="AU1379" s="139"/>
      <c r="AV1379" s="139"/>
      <c r="AW1379" s="139"/>
      <c r="AX1379" s="139"/>
      <c r="AY1379" s="139"/>
      <c r="AZ1379" s="139"/>
      <c r="BA1379" s="139"/>
      <c r="BB1379" s="139"/>
      <c r="BC1379" s="139"/>
      <c r="BD1379" s="139"/>
      <c r="BE1379" s="139"/>
      <c r="BF1379" s="139"/>
      <c r="BG1379" s="139"/>
      <c r="BH1379" s="139"/>
    </row>
    <row r="1380" spans="2:60" s="11" customFormat="1" ht="20.100000000000001" customHeight="1">
      <c r="B1380" s="1360"/>
      <c r="C1380" s="9647" t="s">
        <v>134</v>
      </c>
      <c r="D1380" s="9648"/>
      <c r="E1380" s="9649"/>
      <c r="F1380" s="809" t="s">
        <v>1011</v>
      </c>
      <c r="G1380" s="666"/>
      <c r="H1380" s="9579" t="s">
        <v>135</v>
      </c>
      <c r="I1380" s="9580"/>
      <c r="J1380" s="9581"/>
      <c r="K1380" s="809" t="s">
        <v>1013</v>
      </c>
      <c r="L1380" s="5683"/>
      <c r="M1380" s="5684"/>
      <c r="N1380" s="5685"/>
      <c r="O1380" s="5686"/>
      <c r="P1380" s="5884"/>
      <c r="Q1380" s="5701"/>
      <c r="R1380" s="2468"/>
      <c r="S1380" s="544"/>
      <c r="T1380" s="545"/>
      <c r="U1380" s="546"/>
      <c r="V1380" s="547"/>
      <c r="W1380" s="548"/>
      <c r="X1380" s="277"/>
      <c r="Y1380" s="277"/>
      <c r="Z1380" s="187"/>
      <c r="AA1380" s="6301"/>
      <c r="AB1380" s="139"/>
      <c r="AC1380" s="139"/>
      <c r="AD1380" s="139"/>
      <c r="AE1380" s="139"/>
      <c r="AF1380" s="139"/>
      <c r="AG1380" s="139"/>
      <c r="AH1380" s="139"/>
      <c r="AI1380" s="139"/>
      <c r="AJ1380" s="139"/>
      <c r="AK1380" s="139"/>
      <c r="AL1380" s="139"/>
      <c r="AM1380" s="139"/>
      <c r="AN1380" s="139"/>
      <c r="AO1380" s="139"/>
      <c r="AP1380" s="139"/>
      <c r="AQ1380" s="139"/>
      <c r="AR1380" s="139"/>
      <c r="AS1380" s="139"/>
      <c r="AT1380" s="139"/>
      <c r="AU1380" s="139"/>
      <c r="AV1380" s="139"/>
      <c r="AW1380" s="139"/>
      <c r="AX1380" s="139"/>
      <c r="AY1380" s="139"/>
      <c r="AZ1380" s="139"/>
      <c r="BA1380" s="139"/>
      <c r="BB1380" s="139"/>
      <c r="BC1380" s="139"/>
      <c r="BD1380" s="139"/>
      <c r="BE1380" s="139"/>
      <c r="BF1380" s="139"/>
      <c r="BG1380" s="139"/>
      <c r="BH1380" s="139"/>
    </row>
    <row r="1381" spans="2:60" s="11" customFormat="1" ht="20.100000000000001" customHeight="1">
      <c r="B1381" s="1360"/>
      <c r="C1381" s="9647" t="s">
        <v>137</v>
      </c>
      <c r="D1381" s="9648"/>
      <c r="E1381" s="9649"/>
      <c r="F1381" s="809" t="s">
        <v>1011</v>
      </c>
      <c r="G1381" s="666"/>
      <c r="H1381" s="9579" t="s">
        <v>138</v>
      </c>
      <c r="I1381" s="9580"/>
      <c r="J1381" s="9581"/>
      <c r="K1381" s="809" t="s">
        <v>1013</v>
      </c>
      <c r="L1381" s="5594"/>
      <c r="M1381" s="5658"/>
      <c r="N1381" s="5601"/>
      <c r="O1381" s="5667"/>
      <c r="P1381" s="5602">
        <v>0</v>
      </c>
      <c r="Q1381" s="5593"/>
      <c r="R1381" s="2468"/>
      <c r="S1381" s="544"/>
      <c r="T1381" s="545"/>
      <c r="U1381" s="546"/>
      <c r="V1381" s="547"/>
      <c r="W1381" s="548"/>
      <c r="X1381" s="277"/>
      <c r="Y1381" s="277"/>
      <c r="Z1381" s="187"/>
      <c r="AA1381" s="6301"/>
      <c r="AB1381" s="139"/>
      <c r="AC1381" s="139"/>
      <c r="AD1381" s="139"/>
      <c r="AE1381" s="139"/>
      <c r="AF1381" s="139"/>
      <c r="AG1381" s="139"/>
      <c r="AH1381" s="139"/>
      <c r="AI1381" s="139"/>
      <c r="AJ1381" s="139"/>
      <c r="AK1381" s="139"/>
      <c r="AL1381" s="139"/>
      <c r="AM1381" s="139"/>
      <c r="AN1381" s="139"/>
      <c r="AO1381" s="139"/>
      <c r="AP1381" s="139"/>
      <c r="AQ1381" s="139"/>
      <c r="AR1381" s="139"/>
      <c r="AS1381" s="139"/>
      <c r="AT1381" s="139"/>
      <c r="AU1381" s="139"/>
      <c r="AV1381" s="139"/>
      <c r="AW1381" s="139"/>
      <c r="AX1381" s="139"/>
      <c r="AY1381" s="139"/>
      <c r="AZ1381" s="139"/>
      <c r="BA1381" s="139"/>
      <c r="BB1381" s="139"/>
      <c r="BC1381" s="139"/>
      <c r="BD1381" s="139"/>
      <c r="BE1381" s="139"/>
      <c r="BF1381" s="139"/>
      <c r="BG1381" s="139"/>
      <c r="BH1381" s="139"/>
    </row>
    <row r="1382" spans="2:60" s="11" customFormat="1" ht="20.100000000000001" customHeight="1">
      <c r="B1382" s="1360"/>
      <c r="C1382" s="9647" t="s">
        <v>140</v>
      </c>
      <c r="D1382" s="9648"/>
      <c r="E1382" s="9649"/>
      <c r="F1382" s="809" t="s">
        <v>1011</v>
      </c>
      <c r="G1382" s="666"/>
      <c r="H1382" s="9579" t="s">
        <v>141</v>
      </c>
      <c r="I1382" s="9580"/>
      <c r="J1382" s="9581"/>
      <c r="K1382" s="809" t="s">
        <v>1013</v>
      </c>
      <c r="L1382" s="5594"/>
      <c r="M1382" s="5658"/>
      <c r="N1382" s="5601"/>
      <c r="O1382" s="5667"/>
      <c r="P1382" s="5602"/>
      <c r="Q1382" s="5593"/>
      <c r="R1382" s="2468"/>
      <c r="S1382" s="544"/>
      <c r="T1382" s="545"/>
      <c r="U1382" s="546"/>
      <c r="V1382" s="547"/>
      <c r="W1382" s="548"/>
      <c r="X1382" s="277"/>
      <c r="Y1382" s="277"/>
      <c r="Z1382" s="187"/>
      <c r="AA1382" s="6301"/>
      <c r="AB1382" s="139"/>
      <c r="AC1382" s="139"/>
      <c r="AD1382" s="139"/>
      <c r="AE1382" s="139"/>
      <c r="AF1382" s="139"/>
      <c r="AG1382" s="139"/>
      <c r="AH1382" s="139"/>
      <c r="AI1382" s="139"/>
      <c r="AJ1382" s="139"/>
      <c r="AK1382" s="139"/>
      <c r="AL1382" s="139"/>
      <c r="AM1382" s="139"/>
      <c r="AN1382" s="139"/>
      <c r="AO1382" s="139"/>
      <c r="AP1382" s="139"/>
      <c r="AQ1382" s="139"/>
      <c r="AR1382" s="139"/>
      <c r="AS1382" s="139"/>
      <c r="AT1382" s="139"/>
      <c r="AU1382" s="139"/>
      <c r="AV1382" s="139"/>
      <c r="AW1382" s="139"/>
      <c r="AX1382" s="139"/>
      <c r="AY1382" s="139"/>
      <c r="AZ1382" s="139"/>
      <c r="BA1382" s="139"/>
      <c r="BB1382" s="139"/>
      <c r="BC1382" s="139"/>
      <c r="BD1382" s="139"/>
      <c r="BE1382" s="139"/>
      <c r="BF1382" s="139"/>
      <c r="BG1382" s="139"/>
      <c r="BH1382" s="139"/>
    </row>
    <row r="1383" spans="2:60" s="11" customFormat="1" ht="20.100000000000001" customHeight="1">
      <c r="B1383" s="1360"/>
      <c r="C1383" s="9647" t="s">
        <v>143</v>
      </c>
      <c r="D1383" s="9648"/>
      <c r="E1383" s="9649"/>
      <c r="F1383" s="809" t="s">
        <v>1011</v>
      </c>
      <c r="G1383" s="666"/>
      <c r="H1383" s="9579" t="s">
        <v>144</v>
      </c>
      <c r="I1383" s="9580"/>
      <c r="J1383" s="9581"/>
      <c r="K1383" s="809" t="s">
        <v>1013</v>
      </c>
      <c r="L1383" s="5594"/>
      <c r="M1383" s="5658"/>
      <c r="N1383" s="5601"/>
      <c r="O1383" s="5667"/>
      <c r="P1383" s="5602"/>
      <c r="Q1383" s="5593"/>
      <c r="R1383" s="2468"/>
      <c r="S1383" s="544"/>
      <c r="T1383" s="545"/>
      <c r="U1383" s="546"/>
      <c r="V1383" s="547"/>
      <c r="W1383" s="548"/>
      <c r="X1383" s="277"/>
      <c r="Y1383" s="277"/>
      <c r="Z1383" s="187"/>
      <c r="AA1383" s="6301"/>
      <c r="AB1383" s="139"/>
      <c r="AC1383" s="139"/>
      <c r="AD1383" s="139"/>
      <c r="AE1383" s="139"/>
      <c r="AF1383" s="139"/>
      <c r="AG1383" s="139"/>
      <c r="AH1383" s="139"/>
      <c r="AI1383" s="139"/>
      <c r="AJ1383" s="139"/>
      <c r="AK1383" s="139"/>
      <c r="AL1383" s="139"/>
      <c r="AM1383" s="139"/>
      <c r="AN1383" s="139"/>
      <c r="AO1383" s="139"/>
      <c r="AP1383" s="139"/>
      <c r="AQ1383" s="139"/>
      <c r="AR1383" s="139"/>
      <c r="AS1383" s="139"/>
      <c r="AT1383" s="139"/>
      <c r="AU1383" s="139"/>
      <c r="AV1383" s="139"/>
      <c r="AW1383" s="139"/>
      <c r="AX1383" s="139"/>
      <c r="AY1383" s="139"/>
      <c r="AZ1383" s="139"/>
      <c r="BA1383" s="139"/>
      <c r="BB1383" s="139"/>
      <c r="BC1383" s="139"/>
      <c r="BD1383" s="139"/>
      <c r="BE1383" s="139"/>
      <c r="BF1383" s="139"/>
      <c r="BG1383" s="139"/>
      <c r="BH1383" s="139"/>
    </row>
    <row r="1384" spans="2:60" s="11" customFormat="1" ht="20.100000000000001" customHeight="1">
      <c r="B1384" s="1360"/>
      <c r="C1384" s="9647" t="s">
        <v>631</v>
      </c>
      <c r="D1384" s="9648"/>
      <c r="E1384" s="9649"/>
      <c r="F1384" s="809" t="s">
        <v>1011</v>
      </c>
      <c r="G1384" s="666"/>
      <c r="H1384" s="9579" t="s">
        <v>147</v>
      </c>
      <c r="I1384" s="9580"/>
      <c r="J1384" s="9581"/>
      <c r="K1384" s="809" t="s">
        <v>1013</v>
      </c>
      <c r="L1384" s="5959" t="s">
        <v>168</v>
      </c>
      <c r="M1384" s="5718" t="s">
        <v>641</v>
      </c>
      <c r="N1384" s="5729" t="s">
        <v>168</v>
      </c>
      <c r="O1384" s="5718" t="s">
        <v>641</v>
      </c>
      <c r="P1384" s="5729" t="s">
        <v>168</v>
      </c>
      <c r="Q1384" s="5717" t="s">
        <v>641</v>
      </c>
      <c r="R1384" s="2468"/>
      <c r="S1384" s="544"/>
      <c r="T1384" s="545"/>
      <c r="U1384" s="546"/>
      <c r="V1384" s="547"/>
      <c r="W1384" s="548"/>
      <c r="X1384" s="277"/>
      <c r="Y1384" s="277"/>
      <c r="Z1384" s="187"/>
      <c r="AA1384" s="6301"/>
      <c r="AB1384" s="139"/>
      <c r="AC1384" s="139"/>
      <c r="AD1384" s="139"/>
      <c r="AE1384" s="139"/>
      <c r="AF1384" s="139"/>
      <c r="AG1384" s="139"/>
      <c r="AH1384" s="139"/>
      <c r="AI1384" s="139"/>
      <c r="AJ1384" s="139"/>
      <c r="AK1384" s="139"/>
      <c r="AL1384" s="139"/>
      <c r="AM1384" s="139"/>
      <c r="AN1384" s="139"/>
      <c r="AO1384" s="139"/>
      <c r="AP1384" s="139"/>
      <c r="AQ1384" s="139"/>
      <c r="AR1384" s="139"/>
      <c r="AS1384" s="139"/>
      <c r="AT1384" s="139"/>
      <c r="AU1384" s="139"/>
      <c r="AV1384" s="139"/>
      <c r="AW1384" s="139"/>
      <c r="AX1384" s="139"/>
      <c r="AY1384" s="139"/>
      <c r="AZ1384" s="139"/>
      <c r="BA1384" s="139"/>
      <c r="BB1384" s="139"/>
      <c r="BC1384" s="139"/>
      <c r="BD1384" s="139"/>
      <c r="BE1384" s="139"/>
      <c r="BF1384" s="139"/>
      <c r="BG1384" s="139"/>
      <c r="BH1384" s="139"/>
    </row>
    <row r="1385" spans="2:60" s="11" customFormat="1" ht="20.100000000000001" customHeight="1" thickBot="1">
      <c r="B1385" s="1360"/>
      <c r="C1385" s="9647" t="s">
        <v>633</v>
      </c>
      <c r="D1385" s="9648"/>
      <c r="E1385" s="9649"/>
      <c r="F1385" s="492" t="s">
        <v>1011</v>
      </c>
      <c r="G1385" s="6161"/>
      <c r="H1385" s="9579" t="s">
        <v>150</v>
      </c>
      <c r="I1385" s="9580"/>
      <c r="J1385" s="9581"/>
      <c r="K1385" s="809" t="s">
        <v>1013</v>
      </c>
      <c r="L1385" s="5959" t="s">
        <v>168</v>
      </c>
      <c r="M1385" s="5718" t="s">
        <v>641</v>
      </c>
      <c r="N1385" s="5729" t="s">
        <v>168</v>
      </c>
      <c r="O1385" s="5718" t="s">
        <v>641</v>
      </c>
      <c r="P1385" s="5729" t="s">
        <v>168</v>
      </c>
      <c r="Q1385" s="5717" t="s">
        <v>641</v>
      </c>
      <c r="R1385" s="2468"/>
      <c r="S1385" s="544"/>
      <c r="T1385" s="545"/>
      <c r="U1385" s="546"/>
      <c r="V1385" s="547"/>
      <c r="W1385" s="548"/>
      <c r="X1385" s="277"/>
      <c r="Y1385" s="277"/>
      <c r="Z1385" s="187"/>
      <c r="AA1385" s="6301"/>
      <c r="AB1385" s="139"/>
      <c r="AC1385" s="139"/>
      <c r="AD1385" s="139"/>
      <c r="AE1385" s="139"/>
      <c r="AF1385" s="139"/>
      <c r="AG1385" s="139"/>
      <c r="AH1385" s="139"/>
      <c r="AI1385" s="139"/>
      <c r="AJ1385" s="139"/>
      <c r="AK1385" s="139"/>
      <c r="AL1385" s="139"/>
      <c r="AM1385" s="139"/>
      <c r="AN1385" s="139"/>
      <c r="AO1385" s="139"/>
      <c r="AP1385" s="139"/>
      <c r="AQ1385" s="139"/>
      <c r="AR1385" s="139"/>
      <c r="AS1385" s="139"/>
      <c r="AT1385" s="139"/>
      <c r="AU1385" s="139"/>
      <c r="AV1385" s="139"/>
      <c r="AW1385" s="139"/>
      <c r="AX1385" s="139"/>
      <c r="AY1385" s="139"/>
      <c r="AZ1385" s="139"/>
      <c r="BA1385" s="139"/>
      <c r="BB1385" s="139"/>
      <c r="BC1385" s="139"/>
      <c r="BD1385" s="139"/>
      <c r="BE1385" s="139"/>
      <c r="BF1385" s="139"/>
      <c r="BG1385" s="139"/>
      <c r="BH1385" s="139"/>
    </row>
    <row r="1386" spans="2:60" s="11" customFormat="1" ht="27" thickBot="1">
      <c r="B1386" s="123" t="s">
        <v>1015</v>
      </c>
      <c r="C1386" s="124"/>
      <c r="D1386" s="124"/>
      <c r="E1386" s="124"/>
      <c r="F1386" s="78"/>
      <c r="G1386" s="125" t="s">
        <v>1016</v>
      </c>
      <c r="H1386" s="126"/>
      <c r="I1386" s="126"/>
      <c r="J1386" s="126"/>
      <c r="K1386" s="78"/>
      <c r="L1386" s="5599"/>
      <c r="M1386" s="5600"/>
      <c r="N1386" s="5600"/>
      <c r="O1386" s="5600"/>
      <c r="P1386" s="5600"/>
      <c r="Q1386" s="5600"/>
      <c r="R1386" s="80"/>
      <c r="S1386" s="80"/>
      <c r="T1386" s="129"/>
      <c r="U1386" s="129"/>
      <c r="V1386" s="129"/>
      <c r="W1386" s="6023"/>
      <c r="X1386" s="328"/>
      <c r="Y1386" s="328"/>
      <c r="Z1386" s="329"/>
      <c r="AA1386" s="6301"/>
      <c r="AB1386" s="139"/>
      <c r="AC1386" s="139"/>
      <c r="AD1386" s="139"/>
      <c r="AE1386" s="139"/>
      <c r="AF1386" s="139"/>
      <c r="AG1386" s="139"/>
      <c r="AH1386" s="139"/>
      <c r="AI1386" s="139"/>
      <c r="AJ1386" s="139"/>
      <c r="AK1386" s="139"/>
      <c r="AL1386" s="139"/>
      <c r="AM1386" s="139"/>
      <c r="AN1386" s="139"/>
      <c r="AO1386" s="139"/>
      <c r="AP1386" s="139"/>
      <c r="AQ1386" s="139"/>
      <c r="AR1386" s="139"/>
      <c r="AS1386" s="139"/>
      <c r="AT1386" s="139"/>
      <c r="AU1386" s="139"/>
      <c r="AV1386" s="139"/>
      <c r="AW1386" s="139"/>
      <c r="AX1386" s="139"/>
      <c r="AY1386" s="139"/>
      <c r="AZ1386" s="139"/>
      <c r="BA1386" s="139"/>
      <c r="BB1386" s="139"/>
      <c r="BC1386" s="139"/>
      <c r="BD1386" s="139"/>
      <c r="BE1386" s="139"/>
      <c r="BF1386" s="139"/>
      <c r="BG1386" s="139"/>
      <c r="BH1386" s="139"/>
    </row>
    <row r="1387" spans="2:60" s="11" customFormat="1" ht="20.100000000000001" customHeight="1">
      <c r="B1387" s="1662"/>
      <c r="C1387" s="9656" t="s">
        <v>1017</v>
      </c>
      <c r="D1387" s="9587"/>
      <c r="E1387" s="9588"/>
      <c r="F1387" s="492" t="s">
        <v>1018</v>
      </c>
      <c r="G1387" s="522"/>
      <c r="H1387" s="9702" t="s">
        <v>1019</v>
      </c>
      <c r="I1387" s="9670"/>
      <c r="J1387" s="9683"/>
      <c r="K1387" s="824" t="s">
        <v>1020</v>
      </c>
      <c r="L1387" s="5653">
        <f>IF(COUNTBLANK(L1388:L1393)&gt;0,"미취합법인有",SUM(L1388:L1393))</f>
        <v>16.506465589087618</v>
      </c>
      <c r="M1387" s="5657"/>
      <c r="N1387" s="5654">
        <f>IF(COUNTBLANK(N1388:N1393)&gt;0,"미취합법인有",SUM(N1388:N1393))</f>
        <v>54.512905756877416</v>
      </c>
      <c r="O1387" s="5663"/>
      <c r="P1387" s="5781">
        <f>IF(COUNTBLANK(P1388:P1393)&gt;0,"미취합법인有",SUM(P1388:P1393))</f>
        <v>71.260966185215381</v>
      </c>
      <c r="Q1387" s="6108"/>
      <c r="R1387" s="2482" t="s">
        <v>1021</v>
      </c>
      <c r="S1387" s="443" t="s">
        <v>1022</v>
      </c>
      <c r="T1387" s="99" t="s">
        <v>189</v>
      </c>
      <c r="U1387" s="534"/>
      <c r="V1387" s="534"/>
      <c r="W1387" s="642"/>
      <c r="X1387" s="620" t="s">
        <v>1023</v>
      </c>
      <c r="Y1387" s="620" t="s">
        <v>1024</v>
      </c>
      <c r="Z1387" s="159"/>
      <c r="AA1387" s="6301"/>
      <c r="AB1387" s="139"/>
      <c r="AC1387" s="139"/>
      <c r="AD1387" s="139"/>
      <c r="AE1387" s="139"/>
      <c r="AF1387" s="139"/>
      <c r="AG1387" s="139"/>
      <c r="AH1387" s="139"/>
      <c r="AI1387" s="139"/>
      <c r="AJ1387" s="139"/>
      <c r="AK1387" s="139"/>
      <c r="AL1387" s="139"/>
      <c r="AM1387" s="139"/>
      <c r="AN1387" s="139"/>
      <c r="AO1387" s="139"/>
      <c r="AP1387" s="139"/>
      <c r="AQ1387" s="139"/>
      <c r="AR1387" s="139"/>
      <c r="AS1387" s="139"/>
      <c r="AT1387" s="139"/>
      <c r="AU1387" s="139"/>
      <c r="AV1387" s="139"/>
      <c r="AW1387" s="139"/>
      <c r="AX1387" s="139"/>
      <c r="AY1387" s="139"/>
      <c r="AZ1387" s="139"/>
      <c r="BA1387" s="139"/>
      <c r="BB1387" s="139"/>
      <c r="BC1387" s="139"/>
      <c r="BD1387" s="139"/>
      <c r="BE1387" s="139"/>
      <c r="BF1387" s="139"/>
      <c r="BG1387" s="139"/>
      <c r="BH1387" s="139"/>
    </row>
    <row r="1388" spans="2:60" s="11" customFormat="1" ht="20.100000000000001" customHeight="1">
      <c r="B1388" s="1360"/>
      <c r="C1388" s="9647" t="s">
        <v>134</v>
      </c>
      <c r="D1388" s="9648"/>
      <c r="E1388" s="9649"/>
      <c r="F1388" s="492" t="s">
        <v>1018</v>
      </c>
      <c r="G1388" s="666"/>
      <c r="H1388" s="9579" t="s">
        <v>135</v>
      </c>
      <c r="I1388" s="9580"/>
      <c r="J1388" s="9581"/>
      <c r="K1388" s="492" t="s">
        <v>1020</v>
      </c>
      <c r="L1388" s="5709">
        <v>4.2412422907488994</v>
      </c>
      <c r="M1388" s="5711"/>
      <c r="N1388" s="5711">
        <v>14.481002734731085</v>
      </c>
      <c r="O1388" s="5711"/>
      <c r="P1388" s="5711">
        <v>24.28173752310536</v>
      </c>
      <c r="Q1388" s="5711"/>
      <c r="R1388" s="2468"/>
      <c r="S1388" s="544"/>
      <c r="T1388" s="545"/>
      <c r="U1388" s="546"/>
      <c r="V1388" s="547"/>
      <c r="W1388" s="548"/>
      <c r="X1388" s="277"/>
      <c r="Y1388" s="277"/>
      <c r="Z1388" s="187"/>
      <c r="AA1388" s="6301"/>
      <c r="AB1388" s="139"/>
      <c r="AC1388" s="139"/>
      <c r="AD1388" s="139"/>
      <c r="AE1388" s="139"/>
      <c r="AF1388" s="139"/>
      <c r="AG1388" s="139"/>
      <c r="AH1388" s="139"/>
      <c r="AI1388" s="139"/>
      <c r="AJ1388" s="139"/>
      <c r="AK1388" s="139"/>
      <c r="AL1388" s="139"/>
      <c r="AM1388" s="139"/>
      <c r="AN1388" s="139"/>
      <c r="AO1388" s="139"/>
      <c r="AP1388" s="139"/>
      <c r="AQ1388" s="139"/>
      <c r="AR1388" s="139"/>
      <c r="AS1388" s="139"/>
      <c r="AT1388" s="139"/>
      <c r="AU1388" s="139"/>
      <c r="AV1388" s="139"/>
      <c r="AW1388" s="139"/>
      <c r="AX1388" s="139"/>
      <c r="AY1388" s="139"/>
      <c r="AZ1388" s="139"/>
      <c r="BA1388" s="139"/>
      <c r="BB1388" s="139"/>
      <c r="BC1388" s="139"/>
      <c r="BD1388" s="139"/>
      <c r="BE1388" s="139"/>
      <c r="BF1388" s="139"/>
      <c r="BG1388" s="139"/>
      <c r="BH1388" s="139"/>
    </row>
    <row r="1389" spans="2:60" s="11" customFormat="1" ht="20.100000000000001" customHeight="1">
      <c r="B1389" s="1360"/>
      <c r="C1389" s="9647" t="s">
        <v>137</v>
      </c>
      <c r="D1389" s="9648"/>
      <c r="E1389" s="9649"/>
      <c r="F1389" s="492" t="s">
        <v>1018</v>
      </c>
      <c r="G1389" s="666"/>
      <c r="H1389" s="9579" t="s">
        <v>138</v>
      </c>
      <c r="I1389" s="9580"/>
      <c r="J1389" s="9581"/>
      <c r="K1389" s="492" t="s">
        <v>1020</v>
      </c>
      <c r="L1389" s="5709">
        <v>6.1530054644808745</v>
      </c>
      <c r="M1389" s="5710"/>
      <c r="N1389" s="5710">
        <v>29.473593073593072</v>
      </c>
      <c r="O1389" s="5710"/>
      <c r="P1389" s="5710">
        <v>30.965811965811966</v>
      </c>
      <c r="Q1389" s="5710"/>
      <c r="R1389" s="2468"/>
      <c r="S1389" s="544"/>
      <c r="T1389" s="545"/>
      <c r="U1389" s="546"/>
      <c r="V1389" s="547"/>
      <c r="W1389" s="548"/>
      <c r="X1389" s="277"/>
      <c r="Y1389" s="277"/>
      <c r="Z1389" s="187"/>
      <c r="AA1389" s="6301"/>
      <c r="AB1389" s="139"/>
      <c r="AC1389" s="139"/>
      <c r="AD1389" s="139"/>
      <c r="AE1389" s="139"/>
      <c r="AF1389" s="139"/>
      <c r="AG1389" s="139"/>
      <c r="AH1389" s="139"/>
      <c r="AI1389" s="139"/>
      <c r="AJ1389" s="139"/>
      <c r="AK1389" s="139"/>
      <c r="AL1389" s="139"/>
      <c r="AM1389" s="139"/>
      <c r="AN1389" s="139"/>
      <c r="AO1389" s="139"/>
      <c r="AP1389" s="139"/>
      <c r="AQ1389" s="139"/>
      <c r="AR1389" s="139"/>
      <c r="AS1389" s="139"/>
      <c r="AT1389" s="139"/>
      <c r="AU1389" s="139"/>
      <c r="AV1389" s="139"/>
      <c r="AW1389" s="139"/>
      <c r="AX1389" s="139"/>
      <c r="AY1389" s="139"/>
      <c r="AZ1389" s="139"/>
      <c r="BA1389" s="139"/>
      <c r="BB1389" s="139"/>
      <c r="BC1389" s="139"/>
      <c r="BD1389" s="139"/>
      <c r="BE1389" s="139"/>
      <c r="BF1389" s="139"/>
      <c r="BG1389" s="139"/>
      <c r="BH1389" s="139"/>
    </row>
    <row r="1390" spans="2:60" s="11" customFormat="1" ht="20.100000000000001" customHeight="1">
      <c r="B1390" s="1360"/>
      <c r="C1390" s="9647" t="s">
        <v>140</v>
      </c>
      <c r="D1390" s="9648"/>
      <c r="E1390" s="9649"/>
      <c r="F1390" s="492" t="s">
        <v>1018</v>
      </c>
      <c r="G1390" s="666"/>
      <c r="H1390" s="9579" t="s">
        <v>141</v>
      </c>
      <c r="I1390" s="9580"/>
      <c r="J1390" s="9581"/>
      <c r="K1390" s="492" t="s">
        <v>1020</v>
      </c>
      <c r="L1390" s="5713">
        <v>2.8823529411764706</v>
      </c>
      <c r="M1390" s="5710"/>
      <c r="N1390" s="5710">
        <v>1.2893289328932893</v>
      </c>
      <c r="O1390" s="5710"/>
      <c r="P1390" s="5710">
        <v>3.19</v>
      </c>
      <c r="Q1390" s="5710"/>
      <c r="R1390" s="2468"/>
      <c r="S1390" s="544"/>
      <c r="T1390" s="545"/>
      <c r="U1390" s="546"/>
      <c r="V1390" s="547"/>
      <c r="W1390" s="548"/>
      <c r="X1390" s="277"/>
      <c r="Y1390" s="277"/>
      <c r="Z1390" s="187"/>
      <c r="AA1390" s="6301"/>
      <c r="AB1390" s="139"/>
      <c r="AC1390" s="139"/>
      <c r="AD1390" s="139"/>
      <c r="AE1390" s="139"/>
      <c r="AF1390" s="139"/>
      <c r="AG1390" s="139"/>
      <c r="AH1390" s="139"/>
      <c r="AI1390" s="139"/>
      <c r="AJ1390" s="139"/>
      <c r="AK1390" s="139"/>
      <c r="AL1390" s="139"/>
      <c r="AM1390" s="139"/>
      <c r="AN1390" s="139"/>
      <c r="AO1390" s="139"/>
      <c r="AP1390" s="139"/>
      <c r="AQ1390" s="139"/>
      <c r="AR1390" s="139"/>
      <c r="AS1390" s="139"/>
      <c r="AT1390" s="139"/>
      <c r="AU1390" s="139"/>
      <c r="AV1390" s="139"/>
      <c r="AW1390" s="139"/>
      <c r="AX1390" s="139"/>
      <c r="AY1390" s="139"/>
      <c r="AZ1390" s="139"/>
      <c r="BA1390" s="139"/>
      <c r="BB1390" s="139"/>
      <c r="BC1390" s="139"/>
      <c r="BD1390" s="139"/>
      <c r="BE1390" s="139"/>
      <c r="BF1390" s="139"/>
      <c r="BG1390" s="139"/>
      <c r="BH1390" s="139"/>
    </row>
    <row r="1391" spans="2:60" s="11" customFormat="1" ht="20.100000000000001" customHeight="1">
      <c r="B1391" s="1360"/>
      <c r="C1391" s="9647" t="s">
        <v>143</v>
      </c>
      <c r="D1391" s="9648"/>
      <c r="E1391" s="9649"/>
      <c r="F1391" s="492" t="s">
        <v>1018</v>
      </c>
      <c r="G1391" s="666"/>
      <c r="H1391" s="9579" t="s">
        <v>144</v>
      </c>
      <c r="I1391" s="9580"/>
      <c r="J1391" s="9581"/>
      <c r="K1391" s="492" t="s">
        <v>1020</v>
      </c>
      <c r="L1391" s="5713">
        <v>1.1507092198581561</v>
      </c>
      <c r="M1391" s="5710"/>
      <c r="N1391" s="5710">
        <v>1.0797227036395147</v>
      </c>
      <c r="O1391" s="5710"/>
      <c r="P1391" s="5710">
        <v>1.3601398601398602</v>
      </c>
      <c r="Q1391" s="5710"/>
      <c r="R1391" s="2468"/>
      <c r="S1391" s="544"/>
      <c r="T1391" s="545"/>
      <c r="U1391" s="546"/>
      <c r="V1391" s="547"/>
      <c r="W1391" s="548"/>
      <c r="X1391" s="277"/>
      <c r="Y1391" s="277"/>
      <c r="Z1391" s="187"/>
      <c r="AA1391" s="6301"/>
      <c r="AB1391" s="139"/>
      <c r="AC1391" s="139"/>
      <c r="AD1391" s="139"/>
      <c r="AE1391" s="139"/>
      <c r="AF1391" s="139"/>
      <c r="AG1391" s="139"/>
      <c r="AH1391" s="139"/>
      <c r="AI1391" s="139"/>
      <c r="AJ1391" s="139"/>
      <c r="AK1391" s="139"/>
      <c r="AL1391" s="139"/>
      <c r="AM1391" s="139"/>
      <c r="AN1391" s="139"/>
      <c r="AO1391" s="139"/>
      <c r="AP1391" s="139"/>
      <c r="AQ1391" s="139"/>
      <c r="AR1391" s="139"/>
      <c r="AS1391" s="139"/>
      <c r="AT1391" s="139"/>
      <c r="AU1391" s="139"/>
      <c r="AV1391" s="139"/>
      <c r="AW1391" s="139"/>
      <c r="AX1391" s="139"/>
      <c r="AY1391" s="139"/>
      <c r="AZ1391" s="139"/>
      <c r="BA1391" s="139"/>
      <c r="BB1391" s="139"/>
      <c r="BC1391" s="139"/>
      <c r="BD1391" s="139"/>
      <c r="BE1391" s="139"/>
      <c r="BF1391" s="139"/>
      <c r="BG1391" s="139"/>
      <c r="BH1391" s="139"/>
    </row>
    <row r="1392" spans="2:60" s="11" customFormat="1" ht="20.100000000000001" customHeight="1">
      <c r="B1392" s="1360"/>
      <c r="C1392" s="9647" t="s">
        <v>631</v>
      </c>
      <c r="D1392" s="9648"/>
      <c r="E1392" s="9649"/>
      <c r="F1392" s="492" t="s">
        <v>1018</v>
      </c>
      <c r="G1392" s="666"/>
      <c r="H1392" s="9579" t="s">
        <v>147</v>
      </c>
      <c r="I1392" s="9580"/>
      <c r="J1392" s="9581"/>
      <c r="K1392" s="492" t="s">
        <v>1020</v>
      </c>
      <c r="L1392" s="5713">
        <v>2.079155672823219</v>
      </c>
      <c r="M1392" s="5710"/>
      <c r="N1392" s="5710">
        <v>8.1892583120204598</v>
      </c>
      <c r="O1392" s="5710"/>
      <c r="P1392" s="5710">
        <v>11.463276836158192</v>
      </c>
      <c r="Q1392" s="5710"/>
      <c r="R1392" s="2468"/>
      <c r="S1392" s="544"/>
      <c r="T1392" s="545"/>
      <c r="U1392" s="546"/>
      <c r="V1392" s="547"/>
      <c r="W1392" s="548"/>
      <c r="X1392" s="277"/>
      <c r="Y1392" s="277"/>
      <c r="Z1392" s="187"/>
      <c r="AA1392" s="6301"/>
      <c r="AB1392" s="139"/>
      <c r="AC1392" s="139"/>
      <c r="AD1392" s="139"/>
      <c r="AE1392" s="139"/>
      <c r="AF1392" s="139"/>
      <c r="AG1392" s="139"/>
      <c r="AH1392" s="139"/>
      <c r="AI1392" s="139"/>
      <c r="AJ1392" s="139"/>
      <c r="AK1392" s="139"/>
      <c r="AL1392" s="139"/>
      <c r="AM1392" s="139"/>
      <c r="AN1392" s="139"/>
      <c r="AO1392" s="139"/>
      <c r="AP1392" s="139"/>
      <c r="AQ1392" s="139"/>
      <c r="AR1392" s="139"/>
      <c r="AS1392" s="139"/>
      <c r="AT1392" s="139"/>
      <c r="AU1392" s="139"/>
      <c r="AV1392" s="139"/>
      <c r="AW1392" s="139"/>
      <c r="AX1392" s="139"/>
      <c r="AY1392" s="139"/>
      <c r="AZ1392" s="139"/>
      <c r="BA1392" s="139"/>
      <c r="BB1392" s="139"/>
      <c r="BC1392" s="139"/>
      <c r="BD1392" s="139"/>
      <c r="BE1392" s="139"/>
      <c r="BF1392" s="139"/>
      <c r="BG1392" s="139"/>
      <c r="BH1392" s="139"/>
    </row>
    <row r="1393" spans="2:60" s="11" customFormat="1" ht="20.100000000000001" customHeight="1">
      <c r="B1393" s="1360"/>
      <c r="C1393" s="9647" t="s">
        <v>633</v>
      </c>
      <c r="D1393" s="9648"/>
      <c r="E1393" s="9649"/>
      <c r="F1393" s="809" t="s">
        <v>1018</v>
      </c>
      <c r="G1393" s="666"/>
      <c r="H1393" s="9579" t="s">
        <v>150</v>
      </c>
      <c r="I1393" s="9580"/>
      <c r="J1393" s="9581"/>
      <c r="K1393" s="492" t="s">
        <v>1020</v>
      </c>
      <c r="L1393" s="5959" t="s">
        <v>168</v>
      </c>
      <c r="M1393" s="5718" t="s">
        <v>641</v>
      </c>
      <c r="N1393" s="5729" t="s">
        <v>168</v>
      </c>
      <c r="O1393" s="5718" t="s">
        <v>641</v>
      </c>
      <c r="P1393" s="5729" t="s">
        <v>168</v>
      </c>
      <c r="Q1393" s="5717" t="s">
        <v>641</v>
      </c>
      <c r="R1393" s="2468"/>
      <c r="S1393" s="544"/>
      <c r="T1393" s="545"/>
      <c r="U1393" s="546"/>
      <c r="V1393" s="547"/>
      <c r="W1393" s="548"/>
      <c r="X1393" s="277"/>
      <c r="Y1393" s="277"/>
      <c r="Z1393" s="187"/>
      <c r="AA1393" s="6301"/>
      <c r="AB1393" s="139"/>
      <c r="AC1393" s="139"/>
      <c r="AD1393" s="139"/>
      <c r="AE1393" s="139"/>
      <c r="AF1393" s="139"/>
      <c r="AG1393" s="139"/>
      <c r="AH1393" s="139"/>
      <c r="AI1393" s="139"/>
      <c r="AJ1393" s="139"/>
      <c r="AK1393" s="139"/>
      <c r="AL1393" s="139"/>
      <c r="AM1393" s="139"/>
      <c r="AN1393" s="139"/>
      <c r="AO1393" s="139"/>
      <c r="AP1393" s="139"/>
      <c r="AQ1393" s="139"/>
      <c r="AR1393" s="139"/>
      <c r="AS1393" s="139"/>
      <c r="AT1393" s="139"/>
      <c r="AU1393" s="139"/>
      <c r="AV1393" s="139"/>
      <c r="AW1393" s="139"/>
      <c r="AX1393" s="139"/>
      <c r="AY1393" s="139"/>
      <c r="AZ1393" s="139"/>
      <c r="BA1393" s="139"/>
      <c r="BB1393" s="139"/>
      <c r="BC1393" s="139"/>
      <c r="BD1393" s="139"/>
      <c r="BE1393" s="139"/>
      <c r="BF1393" s="139"/>
      <c r="BG1393" s="139"/>
      <c r="BH1393" s="139"/>
    </row>
    <row r="1394" spans="2:60" s="11" customFormat="1" ht="20.100000000000001" customHeight="1">
      <c r="B1394" s="1360"/>
      <c r="C1394" s="1362"/>
      <c r="D1394" s="9584" t="s">
        <v>1025</v>
      </c>
      <c r="E1394" s="9585"/>
      <c r="F1394" s="809" t="s">
        <v>1018</v>
      </c>
      <c r="G1394" s="345"/>
      <c r="H1394" s="345"/>
      <c r="I1394" s="9584" t="s">
        <v>1026</v>
      </c>
      <c r="J1394" s="9585"/>
      <c r="K1394" s="809" t="s">
        <v>1020</v>
      </c>
      <c r="L1394" s="5653">
        <f>IF(COUNTBLANK(L1395:L1400)&gt;0,"미취합법인有",SUM(L1395:L1400))</f>
        <v>10414.810000000001</v>
      </c>
      <c r="M1394" s="5657"/>
      <c r="N1394" s="5654">
        <f>IF(COUNTBLANK(N1395:N1400)&gt;0,"미취합법인有",SUM(N1395:N1400))</f>
        <v>27691.059999999998</v>
      </c>
      <c r="O1394" s="5663"/>
      <c r="P1394" s="5781">
        <f>IF(COUNTBLANK(P1395:P1400)&gt;0,"미취합법인有",SUM(P1395:P1400))</f>
        <v>40747.339999999997</v>
      </c>
      <c r="Q1394" s="785"/>
      <c r="R1394" s="2472"/>
      <c r="S1394" s="457"/>
      <c r="T1394" s="99" t="s">
        <v>189</v>
      </c>
      <c r="U1394" s="547"/>
      <c r="V1394" s="547"/>
      <c r="W1394" s="99"/>
      <c r="X1394" s="620" t="s">
        <v>1023</v>
      </c>
      <c r="Y1394" s="620" t="s">
        <v>1024</v>
      </c>
      <c r="Z1394" s="159"/>
      <c r="AA1394" s="6301"/>
      <c r="AB1394" s="139"/>
      <c r="AC1394" s="139"/>
      <c r="AD1394" s="139"/>
      <c r="AE1394" s="139"/>
      <c r="AF1394" s="139"/>
      <c r="AG1394" s="139"/>
      <c r="AH1394" s="139"/>
      <c r="AI1394" s="139"/>
      <c r="AJ1394" s="139"/>
      <c r="AK1394" s="139"/>
      <c r="AL1394" s="139"/>
      <c r="AM1394" s="139"/>
      <c r="AN1394" s="139"/>
      <c r="AO1394" s="139"/>
      <c r="AP1394" s="139"/>
      <c r="AQ1394" s="139"/>
      <c r="AR1394" s="139"/>
      <c r="AS1394" s="139"/>
      <c r="AT1394" s="139"/>
      <c r="AU1394" s="139"/>
      <c r="AV1394" s="139"/>
      <c r="AW1394" s="139"/>
      <c r="AX1394" s="139"/>
      <c r="AY1394" s="139"/>
      <c r="AZ1394" s="139"/>
      <c r="BA1394" s="139"/>
      <c r="BB1394" s="139"/>
      <c r="BC1394" s="139"/>
      <c r="BD1394" s="139"/>
      <c r="BE1394" s="139"/>
      <c r="BF1394" s="139"/>
      <c r="BG1394" s="139"/>
      <c r="BH1394" s="139"/>
    </row>
    <row r="1395" spans="2:60" s="11" customFormat="1" ht="20.100000000000001" customHeight="1">
      <c r="B1395" s="1360"/>
      <c r="C1395" s="5598"/>
      <c r="D1395" s="9598" t="s">
        <v>134</v>
      </c>
      <c r="E1395" s="9600"/>
      <c r="F1395" s="809" t="s">
        <v>1018</v>
      </c>
      <c r="G1395" s="666"/>
      <c r="H1395" s="666"/>
      <c r="I1395" s="9579" t="s">
        <v>135</v>
      </c>
      <c r="J1395" s="9581"/>
      <c r="K1395" s="492" t="s">
        <v>1020</v>
      </c>
      <c r="L1395" s="5789">
        <v>4813.8100000000004</v>
      </c>
      <c r="M1395" s="5876" t="s">
        <v>1027</v>
      </c>
      <c r="N1395" s="6005">
        <v>15885.66</v>
      </c>
      <c r="O1395" s="6007" t="s">
        <v>1027</v>
      </c>
      <c r="P1395" s="6008">
        <v>26272.84</v>
      </c>
      <c r="Q1395" s="6006"/>
      <c r="R1395" s="2468"/>
      <c r="S1395" s="544"/>
      <c r="T1395" s="545"/>
      <c r="U1395" s="546"/>
      <c r="V1395" s="547"/>
      <c r="W1395" s="548"/>
      <c r="X1395" s="277"/>
      <c r="Y1395" s="277"/>
      <c r="Z1395" s="187"/>
      <c r="AA1395" s="6301"/>
      <c r="AB1395" s="139"/>
      <c r="AC1395" s="139"/>
      <c r="AD1395" s="139"/>
      <c r="AE1395" s="139"/>
      <c r="AF1395" s="139"/>
      <c r="AG1395" s="139"/>
      <c r="AH1395" s="139"/>
      <c r="AI1395" s="139"/>
      <c r="AJ1395" s="139"/>
      <c r="AK1395" s="139"/>
      <c r="AL1395" s="139"/>
      <c r="AM1395" s="139"/>
      <c r="AN1395" s="139"/>
      <c r="AO1395" s="139"/>
      <c r="AP1395" s="139"/>
      <c r="AQ1395" s="139"/>
      <c r="AR1395" s="139"/>
      <c r="AS1395" s="139"/>
      <c r="AT1395" s="139"/>
      <c r="AU1395" s="139"/>
      <c r="AV1395" s="139"/>
      <c r="AW1395" s="139"/>
      <c r="AX1395" s="139"/>
      <c r="AY1395" s="139"/>
      <c r="AZ1395" s="139"/>
      <c r="BA1395" s="139"/>
      <c r="BB1395" s="139"/>
      <c r="BC1395" s="139"/>
      <c r="BD1395" s="139"/>
      <c r="BE1395" s="139"/>
      <c r="BF1395" s="139"/>
      <c r="BG1395" s="139"/>
      <c r="BH1395" s="139"/>
    </row>
    <row r="1396" spans="2:60" s="11" customFormat="1" ht="20.100000000000001" customHeight="1">
      <c r="B1396" s="1360"/>
      <c r="C1396" s="5598"/>
      <c r="D1396" s="9598" t="s">
        <v>137</v>
      </c>
      <c r="E1396" s="9600"/>
      <c r="F1396" s="809" t="s">
        <v>1018</v>
      </c>
      <c r="G1396" s="666"/>
      <c r="H1396" s="666"/>
      <c r="I1396" s="9579" t="s">
        <v>138</v>
      </c>
      <c r="J1396" s="9581"/>
      <c r="K1396" s="492" t="s">
        <v>1020</v>
      </c>
      <c r="L1396" s="5789">
        <v>1126</v>
      </c>
      <c r="M1396" s="5876"/>
      <c r="N1396" s="6005">
        <v>6808.4</v>
      </c>
      <c r="O1396" s="6007"/>
      <c r="P1396" s="6007">
        <v>7246</v>
      </c>
      <c r="Q1396" s="6006"/>
      <c r="R1396" s="2468"/>
      <c r="S1396" s="544"/>
      <c r="T1396" s="545"/>
      <c r="U1396" s="546"/>
      <c r="V1396" s="547"/>
      <c r="W1396" s="548"/>
      <c r="X1396" s="277"/>
      <c r="Y1396" s="277"/>
      <c r="Z1396" s="187"/>
      <c r="AA1396" s="6301"/>
      <c r="AB1396" s="139"/>
      <c r="AC1396" s="139"/>
      <c r="AD1396" s="139"/>
      <c r="AE1396" s="139"/>
      <c r="AF1396" s="139"/>
      <c r="AG1396" s="139"/>
      <c r="AH1396" s="139"/>
      <c r="AI1396" s="139"/>
      <c r="AJ1396" s="139"/>
      <c r="AK1396" s="139"/>
      <c r="AL1396" s="139"/>
      <c r="AM1396" s="139"/>
      <c r="AN1396" s="139"/>
      <c r="AO1396" s="139"/>
      <c r="AP1396" s="139"/>
      <c r="AQ1396" s="139"/>
      <c r="AR1396" s="139"/>
      <c r="AS1396" s="139"/>
      <c r="AT1396" s="139"/>
      <c r="AU1396" s="139"/>
      <c r="AV1396" s="139"/>
      <c r="AW1396" s="139"/>
      <c r="AX1396" s="139"/>
      <c r="AY1396" s="139"/>
      <c r="AZ1396" s="139"/>
      <c r="BA1396" s="139"/>
      <c r="BB1396" s="139"/>
      <c r="BC1396" s="139"/>
      <c r="BD1396" s="139"/>
      <c r="BE1396" s="139"/>
      <c r="BF1396" s="139"/>
      <c r="BG1396" s="139"/>
      <c r="BH1396" s="139"/>
    </row>
    <row r="1397" spans="2:60" s="11" customFormat="1" ht="20.100000000000001" customHeight="1">
      <c r="B1397" s="1360"/>
      <c r="C1397" s="5598"/>
      <c r="D1397" s="9598" t="s">
        <v>140</v>
      </c>
      <c r="E1397" s="9600"/>
      <c r="F1397" s="809" t="s">
        <v>1018</v>
      </c>
      <c r="G1397" s="666"/>
      <c r="H1397" s="666"/>
      <c r="I1397" s="9582" t="s">
        <v>141</v>
      </c>
      <c r="J1397" s="9583"/>
      <c r="K1397" s="492" t="s">
        <v>1020</v>
      </c>
      <c r="L1397" s="5789">
        <v>3038</v>
      </c>
      <c r="M1397" s="5876" t="s">
        <v>1028</v>
      </c>
      <c r="N1397" s="6005">
        <v>1172</v>
      </c>
      <c r="O1397" s="6007" t="s">
        <v>1029</v>
      </c>
      <c r="P1397" s="6005">
        <v>2392.5</v>
      </c>
      <c r="Q1397" s="6006"/>
      <c r="R1397" s="2468"/>
      <c r="S1397" s="544"/>
      <c r="T1397" s="545"/>
      <c r="U1397" s="546"/>
      <c r="V1397" s="547"/>
      <c r="W1397" s="548"/>
      <c r="X1397" s="277"/>
      <c r="Y1397" s="277"/>
      <c r="Z1397" s="187"/>
      <c r="AA1397" s="6301"/>
      <c r="AB1397" s="139"/>
      <c r="AC1397" s="139"/>
      <c r="AD1397" s="139"/>
      <c r="AE1397" s="139"/>
      <c r="AF1397" s="139"/>
      <c r="AG1397" s="139"/>
      <c r="AH1397" s="139"/>
      <c r="AI1397" s="139"/>
      <c r="AJ1397" s="139"/>
      <c r="AK1397" s="139"/>
      <c r="AL1397" s="139"/>
      <c r="AM1397" s="139"/>
      <c r="AN1397" s="139"/>
      <c r="AO1397" s="139"/>
      <c r="AP1397" s="139"/>
      <c r="AQ1397" s="139"/>
      <c r="AR1397" s="139"/>
      <c r="AS1397" s="139"/>
      <c r="AT1397" s="139"/>
      <c r="AU1397" s="139"/>
      <c r="AV1397" s="139"/>
      <c r="AW1397" s="139"/>
      <c r="AX1397" s="139"/>
      <c r="AY1397" s="139"/>
      <c r="AZ1397" s="139"/>
      <c r="BA1397" s="139"/>
      <c r="BB1397" s="139"/>
      <c r="BC1397" s="139"/>
      <c r="BD1397" s="139"/>
      <c r="BE1397" s="139"/>
      <c r="BF1397" s="139"/>
      <c r="BG1397" s="139"/>
      <c r="BH1397" s="139"/>
    </row>
    <row r="1398" spans="2:60" s="11" customFormat="1" ht="20.100000000000001" customHeight="1">
      <c r="B1398" s="1360"/>
      <c r="C1398" s="5598"/>
      <c r="D1398" s="9598" t="s">
        <v>143</v>
      </c>
      <c r="E1398" s="9600"/>
      <c r="F1398" s="809" t="s">
        <v>1018</v>
      </c>
      <c r="G1398" s="666"/>
      <c r="H1398" s="666"/>
      <c r="I1398" s="9582" t="s">
        <v>144</v>
      </c>
      <c r="J1398" s="9583"/>
      <c r="K1398" s="492" t="s">
        <v>1020</v>
      </c>
      <c r="L1398" s="5789">
        <v>649</v>
      </c>
      <c r="M1398" s="5876"/>
      <c r="N1398" s="6005">
        <v>623</v>
      </c>
      <c r="O1398" s="6007"/>
      <c r="P1398" s="6008">
        <v>778</v>
      </c>
      <c r="Q1398" s="6006"/>
      <c r="R1398" s="2468"/>
      <c r="S1398" s="544"/>
      <c r="T1398" s="545"/>
      <c r="U1398" s="546"/>
      <c r="V1398" s="547"/>
      <c r="W1398" s="548"/>
      <c r="X1398" s="277"/>
      <c r="Y1398" s="277"/>
      <c r="Z1398" s="187"/>
      <c r="AA1398" s="6301"/>
      <c r="AB1398" s="139"/>
      <c r="AC1398" s="139"/>
      <c r="AD1398" s="139"/>
      <c r="AE1398" s="139"/>
      <c r="AF1398" s="139"/>
      <c r="AG1398" s="139"/>
      <c r="AH1398" s="139"/>
      <c r="AI1398" s="139"/>
      <c r="AJ1398" s="139"/>
      <c r="AK1398" s="139"/>
      <c r="AL1398" s="139"/>
      <c r="AM1398" s="139"/>
      <c r="AN1398" s="139"/>
      <c r="AO1398" s="139"/>
      <c r="AP1398" s="139"/>
      <c r="AQ1398" s="139"/>
      <c r="AR1398" s="139"/>
      <c r="AS1398" s="139"/>
      <c r="AT1398" s="139"/>
      <c r="AU1398" s="139"/>
      <c r="AV1398" s="139"/>
      <c r="AW1398" s="139"/>
      <c r="AX1398" s="139"/>
      <c r="AY1398" s="139"/>
      <c r="AZ1398" s="139"/>
      <c r="BA1398" s="139"/>
      <c r="BB1398" s="139"/>
      <c r="BC1398" s="139"/>
      <c r="BD1398" s="139"/>
      <c r="BE1398" s="139"/>
      <c r="BF1398" s="139"/>
      <c r="BG1398" s="139"/>
      <c r="BH1398" s="139"/>
    </row>
    <row r="1399" spans="2:60" s="11" customFormat="1" ht="20.100000000000001" customHeight="1">
      <c r="B1399" s="1360"/>
      <c r="C1399" s="5598"/>
      <c r="D1399" s="9598" t="s">
        <v>631</v>
      </c>
      <c r="E1399" s="9600"/>
      <c r="F1399" s="809" t="s">
        <v>1018</v>
      </c>
      <c r="G1399" s="666"/>
      <c r="H1399" s="666"/>
      <c r="I1399" s="9582" t="s">
        <v>147</v>
      </c>
      <c r="J1399" s="9583"/>
      <c r="K1399" s="492" t="s">
        <v>1020</v>
      </c>
      <c r="L1399" s="5789">
        <v>788</v>
      </c>
      <c r="M1399" s="5876" t="s">
        <v>1030</v>
      </c>
      <c r="N1399" s="6005">
        <v>3202</v>
      </c>
      <c r="O1399" s="6007" t="s">
        <v>1030</v>
      </c>
      <c r="P1399" s="6008">
        <v>4058</v>
      </c>
      <c r="Q1399" s="6006"/>
      <c r="R1399" s="2468"/>
      <c r="S1399" s="544"/>
      <c r="T1399" s="545"/>
      <c r="U1399" s="546"/>
      <c r="V1399" s="547"/>
      <c r="W1399" s="548"/>
      <c r="X1399" s="277"/>
      <c r="Y1399" s="277"/>
      <c r="Z1399" s="187"/>
      <c r="AA1399" s="6301"/>
      <c r="AB1399" s="139"/>
      <c r="AC1399" s="139"/>
      <c r="AD1399" s="139"/>
      <c r="AE1399" s="139"/>
      <c r="AF1399" s="139"/>
      <c r="AG1399" s="139"/>
      <c r="AH1399" s="139"/>
      <c r="AI1399" s="139"/>
      <c r="AJ1399" s="139"/>
      <c r="AK1399" s="139"/>
      <c r="AL1399" s="139"/>
      <c r="AM1399" s="139"/>
      <c r="AN1399" s="139"/>
      <c r="AO1399" s="139"/>
      <c r="AP1399" s="139"/>
      <c r="AQ1399" s="139"/>
      <c r="AR1399" s="139"/>
      <c r="AS1399" s="139"/>
      <c r="AT1399" s="139"/>
      <c r="AU1399" s="139"/>
      <c r="AV1399" s="139"/>
      <c r="AW1399" s="139"/>
      <c r="AX1399" s="139"/>
      <c r="AY1399" s="139"/>
      <c r="AZ1399" s="139"/>
      <c r="BA1399" s="139"/>
      <c r="BB1399" s="139"/>
      <c r="BC1399" s="139"/>
      <c r="BD1399" s="139"/>
      <c r="BE1399" s="139"/>
      <c r="BF1399" s="139"/>
      <c r="BG1399" s="139"/>
      <c r="BH1399" s="139"/>
    </row>
    <row r="1400" spans="2:60" s="11" customFormat="1" ht="20.100000000000001" customHeight="1">
      <c r="B1400" s="1360"/>
      <c r="C1400" s="5598"/>
      <c r="D1400" s="9598" t="s">
        <v>633</v>
      </c>
      <c r="E1400" s="9600"/>
      <c r="F1400" s="809" t="s">
        <v>1018</v>
      </c>
      <c r="G1400" s="666"/>
      <c r="H1400" s="666"/>
      <c r="I1400" s="9582" t="s">
        <v>150</v>
      </c>
      <c r="J1400" s="9583"/>
      <c r="K1400" s="492" t="s">
        <v>1020</v>
      </c>
      <c r="L1400" s="6382" t="s">
        <v>168</v>
      </c>
      <c r="M1400" s="5876" t="s">
        <v>641</v>
      </c>
      <c r="N1400" s="6005" t="s">
        <v>168</v>
      </c>
      <c r="O1400" s="5876" t="s">
        <v>641</v>
      </c>
      <c r="P1400" s="6005" t="s">
        <v>168</v>
      </c>
      <c r="Q1400" s="6006" t="s">
        <v>641</v>
      </c>
      <c r="R1400" s="2468"/>
      <c r="S1400" s="544"/>
      <c r="T1400" s="545"/>
      <c r="U1400" s="546"/>
      <c r="V1400" s="547"/>
      <c r="W1400" s="548"/>
      <c r="X1400" s="277"/>
      <c r="Y1400" s="277"/>
      <c r="Z1400" s="187"/>
      <c r="AA1400" s="6301"/>
      <c r="AB1400" s="139"/>
      <c r="AC1400" s="139"/>
      <c r="AD1400" s="139"/>
      <c r="AE1400" s="139"/>
      <c r="AF1400" s="139"/>
      <c r="AG1400" s="139"/>
      <c r="AH1400" s="139"/>
      <c r="AI1400" s="139"/>
      <c r="AJ1400" s="139"/>
      <c r="AK1400" s="139"/>
      <c r="AL1400" s="139"/>
      <c r="AM1400" s="139"/>
      <c r="AN1400" s="139"/>
      <c r="AO1400" s="139"/>
      <c r="AP1400" s="139"/>
      <c r="AQ1400" s="139"/>
      <c r="AR1400" s="139"/>
      <c r="AS1400" s="139"/>
      <c r="AT1400" s="139"/>
      <c r="AU1400" s="139"/>
      <c r="AV1400" s="139"/>
      <c r="AW1400" s="139"/>
      <c r="AX1400" s="139"/>
      <c r="AY1400" s="139"/>
      <c r="AZ1400" s="139"/>
      <c r="BA1400" s="139"/>
      <c r="BB1400" s="139"/>
      <c r="BC1400" s="139"/>
      <c r="BD1400" s="139"/>
      <c r="BE1400" s="139"/>
      <c r="BF1400" s="139"/>
      <c r="BG1400" s="139"/>
      <c r="BH1400" s="139"/>
    </row>
    <row r="1401" spans="2:60" s="11" customFormat="1" ht="20.100000000000001" customHeight="1">
      <c r="B1401" s="1360"/>
      <c r="C1401" s="1362"/>
      <c r="D1401" s="9584" t="s">
        <v>1031</v>
      </c>
      <c r="E1401" s="9585"/>
      <c r="F1401" s="809" t="s">
        <v>742</v>
      </c>
      <c r="G1401" s="345"/>
      <c r="H1401" s="345"/>
      <c r="I1401" s="9584" t="s">
        <v>1032</v>
      </c>
      <c r="J1401" s="9585"/>
      <c r="K1401" s="809" t="s">
        <v>734</v>
      </c>
      <c r="L1401" s="5783">
        <f>IF(COUNTBLANK(L1402:L1407)&gt;0,"미취합법인有",SUM(L1402:L1407))</f>
        <v>3315</v>
      </c>
      <c r="M1401" s="5657"/>
      <c r="N1401" s="5785">
        <f>IF(COUNTBLANK(N1402:N1407)&gt;0,"미취합법인有",SUM(N1402:N1407))</f>
        <v>3205</v>
      </c>
      <c r="O1401" s="5663"/>
      <c r="P1401" s="5781">
        <f>IF(COUNTBLANK(P1402:P1407)&gt;0,"미취합법인有",SUM(P1402:P1407))</f>
        <v>3007</v>
      </c>
      <c r="Q1401" s="785"/>
      <c r="R1401" s="2472"/>
      <c r="S1401" s="457"/>
      <c r="T1401" s="99" t="s">
        <v>189</v>
      </c>
      <c r="U1401" s="547"/>
      <c r="V1401" s="547"/>
      <c r="W1401" s="99"/>
      <c r="X1401" s="620" t="s">
        <v>1023</v>
      </c>
      <c r="Y1401" s="620" t="s">
        <v>1024</v>
      </c>
      <c r="Z1401" s="159"/>
      <c r="AA1401" s="6301"/>
      <c r="AB1401" s="139"/>
      <c r="AC1401" s="139"/>
      <c r="AD1401" s="139"/>
      <c r="AE1401" s="139"/>
      <c r="AF1401" s="139"/>
      <c r="AG1401" s="139"/>
      <c r="AH1401" s="139"/>
      <c r="AI1401" s="139"/>
      <c r="AJ1401" s="139"/>
      <c r="AK1401" s="139"/>
      <c r="AL1401" s="139"/>
      <c r="AM1401" s="139"/>
      <c r="AN1401" s="139"/>
      <c r="AO1401" s="139"/>
      <c r="AP1401" s="139"/>
      <c r="AQ1401" s="139"/>
      <c r="AR1401" s="139"/>
      <c r="AS1401" s="139"/>
      <c r="AT1401" s="139"/>
      <c r="AU1401" s="139"/>
      <c r="AV1401" s="139"/>
      <c r="AW1401" s="139"/>
      <c r="AX1401" s="139"/>
      <c r="AY1401" s="139"/>
      <c r="AZ1401" s="139"/>
      <c r="BA1401" s="139"/>
      <c r="BB1401" s="139"/>
      <c r="BC1401" s="139"/>
      <c r="BD1401" s="139"/>
      <c r="BE1401" s="139"/>
      <c r="BF1401" s="139"/>
      <c r="BG1401" s="139"/>
      <c r="BH1401" s="139"/>
    </row>
    <row r="1402" spans="2:60" s="11" customFormat="1" ht="20.100000000000001" customHeight="1">
      <c r="B1402" s="1360"/>
      <c r="C1402" s="5598"/>
      <c r="D1402" s="9598" t="s">
        <v>134</v>
      </c>
      <c r="E1402" s="9600"/>
      <c r="F1402" s="285" t="s">
        <v>742</v>
      </c>
      <c r="G1402" s="666"/>
      <c r="H1402" s="666"/>
      <c r="I1402" s="9579" t="s">
        <v>135</v>
      </c>
      <c r="J1402" s="9581"/>
      <c r="K1402" s="809" t="s">
        <v>734</v>
      </c>
      <c r="L1402" s="5789">
        <v>1135</v>
      </c>
      <c r="M1402" s="5718" t="s">
        <v>1033</v>
      </c>
      <c r="N1402" s="6005">
        <v>1097</v>
      </c>
      <c r="O1402" s="5716" t="s">
        <v>1033</v>
      </c>
      <c r="P1402" s="6008">
        <v>1082</v>
      </c>
      <c r="Q1402" s="5717"/>
      <c r="R1402" s="2468"/>
      <c r="S1402" s="544"/>
      <c r="T1402" s="545"/>
      <c r="U1402" s="546"/>
      <c r="V1402" s="547"/>
      <c r="W1402" s="548"/>
      <c r="X1402" s="277"/>
      <c r="Y1402" s="277"/>
      <c r="Z1402" s="187"/>
      <c r="AA1402" s="6301"/>
      <c r="AB1402" s="139"/>
      <c r="AC1402" s="139"/>
      <c r="AD1402" s="139"/>
      <c r="AE1402" s="139"/>
      <c r="AF1402" s="139"/>
      <c r="AG1402" s="139"/>
      <c r="AH1402" s="139"/>
      <c r="AI1402" s="139"/>
      <c r="AJ1402" s="139"/>
      <c r="AK1402" s="139"/>
      <c r="AL1402" s="139"/>
      <c r="AM1402" s="139"/>
      <c r="AN1402" s="139"/>
      <c r="AO1402" s="139"/>
      <c r="AP1402" s="139"/>
      <c r="AQ1402" s="139"/>
      <c r="AR1402" s="139"/>
      <c r="AS1402" s="139"/>
      <c r="AT1402" s="139"/>
      <c r="AU1402" s="139"/>
      <c r="AV1402" s="139"/>
      <c r="AW1402" s="139"/>
      <c r="AX1402" s="139"/>
      <c r="AY1402" s="139"/>
      <c r="AZ1402" s="139"/>
      <c r="BA1402" s="139"/>
      <c r="BB1402" s="139"/>
      <c r="BC1402" s="139"/>
      <c r="BD1402" s="139"/>
      <c r="BE1402" s="139"/>
      <c r="BF1402" s="139"/>
      <c r="BG1402" s="139"/>
      <c r="BH1402" s="139"/>
    </row>
    <row r="1403" spans="2:60" s="11" customFormat="1" ht="20.100000000000001" customHeight="1">
      <c r="B1403" s="1360"/>
      <c r="C1403" s="5598"/>
      <c r="D1403" s="9598" t="s">
        <v>137</v>
      </c>
      <c r="E1403" s="9600"/>
      <c r="F1403" s="285" t="s">
        <v>742</v>
      </c>
      <c r="G1403" s="666"/>
      <c r="H1403" s="666"/>
      <c r="I1403" s="9579" t="s">
        <v>138</v>
      </c>
      <c r="J1403" s="9581"/>
      <c r="K1403" s="809" t="s">
        <v>734</v>
      </c>
      <c r="L1403" s="5789">
        <v>183</v>
      </c>
      <c r="M1403" s="5719"/>
      <c r="N1403" s="6005">
        <v>231</v>
      </c>
      <c r="O1403" s="5720"/>
      <c r="P1403" s="6007">
        <v>249</v>
      </c>
      <c r="Q1403" s="5717"/>
      <c r="R1403" s="2468"/>
      <c r="S1403" s="544"/>
      <c r="T1403" s="545"/>
      <c r="U1403" s="546"/>
      <c r="V1403" s="547"/>
      <c r="W1403" s="548"/>
      <c r="X1403" s="277"/>
      <c r="Y1403" s="277"/>
      <c r="Z1403" s="187"/>
      <c r="AA1403" s="6301"/>
      <c r="AB1403" s="139"/>
      <c r="AC1403" s="139"/>
      <c r="AD1403" s="139"/>
      <c r="AE1403" s="139"/>
      <c r="AF1403" s="139"/>
      <c r="AG1403" s="139"/>
      <c r="AH1403" s="139"/>
      <c r="AI1403" s="139"/>
      <c r="AJ1403" s="139"/>
      <c r="AK1403" s="139"/>
      <c r="AL1403" s="139"/>
      <c r="AM1403" s="139"/>
      <c r="AN1403" s="139"/>
      <c r="AO1403" s="139"/>
      <c r="AP1403" s="139"/>
      <c r="AQ1403" s="139"/>
      <c r="AR1403" s="139"/>
      <c r="AS1403" s="139"/>
      <c r="AT1403" s="139"/>
      <c r="AU1403" s="139"/>
      <c r="AV1403" s="139"/>
      <c r="AW1403" s="139"/>
      <c r="AX1403" s="139"/>
      <c r="AY1403" s="139"/>
      <c r="AZ1403" s="139"/>
      <c r="BA1403" s="139"/>
      <c r="BB1403" s="139"/>
      <c r="BC1403" s="139"/>
      <c r="BD1403" s="139"/>
      <c r="BE1403" s="139"/>
      <c r="BF1403" s="139"/>
      <c r="BG1403" s="139"/>
      <c r="BH1403" s="139"/>
    </row>
    <row r="1404" spans="2:60" s="11" customFormat="1" ht="20.100000000000001" customHeight="1">
      <c r="B1404" s="1360"/>
      <c r="C1404" s="5598"/>
      <c r="D1404" s="9598" t="s">
        <v>140</v>
      </c>
      <c r="E1404" s="9600"/>
      <c r="F1404" s="285" t="s">
        <v>742</v>
      </c>
      <c r="G1404" s="666"/>
      <c r="H1404" s="666"/>
      <c r="I1404" s="9582" t="s">
        <v>141</v>
      </c>
      <c r="J1404" s="9583"/>
      <c r="K1404" s="809" t="s">
        <v>734</v>
      </c>
      <c r="L1404" s="5789">
        <v>1054</v>
      </c>
      <c r="M1404" s="5718" t="s">
        <v>1034</v>
      </c>
      <c r="N1404" s="6005">
        <v>909</v>
      </c>
      <c r="O1404" s="5716" t="s">
        <v>1035</v>
      </c>
      <c r="P1404" s="6008">
        <v>750</v>
      </c>
      <c r="Q1404" s="5717"/>
      <c r="R1404" s="2468"/>
      <c r="S1404" s="544"/>
      <c r="T1404" s="545"/>
      <c r="U1404" s="546"/>
      <c r="V1404" s="547"/>
      <c r="W1404" s="548"/>
      <c r="X1404" s="277"/>
      <c r="Y1404" s="277"/>
      <c r="Z1404" s="187"/>
      <c r="AA1404" s="6301"/>
      <c r="AB1404" s="139"/>
      <c r="AC1404" s="139"/>
      <c r="AD1404" s="139"/>
      <c r="AE1404" s="139"/>
      <c r="AF1404" s="139"/>
      <c r="AG1404" s="139"/>
      <c r="AH1404" s="139"/>
      <c r="AI1404" s="139"/>
      <c r="AJ1404" s="139"/>
      <c r="AK1404" s="139"/>
      <c r="AL1404" s="139"/>
      <c r="AM1404" s="139"/>
      <c r="AN1404" s="139"/>
      <c r="AO1404" s="139"/>
      <c r="AP1404" s="139"/>
      <c r="AQ1404" s="139"/>
      <c r="AR1404" s="139"/>
      <c r="AS1404" s="139"/>
      <c r="AT1404" s="139"/>
      <c r="AU1404" s="139"/>
      <c r="AV1404" s="139"/>
      <c r="AW1404" s="139"/>
      <c r="AX1404" s="139"/>
      <c r="AY1404" s="139"/>
      <c r="AZ1404" s="139"/>
      <c r="BA1404" s="139"/>
      <c r="BB1404" s="139"/>
      <c r="BC1404" s="139"/>
      <c r="BD1404" s="139"/>
      <c r="BE1404" s="139"/>
      <c r="BF1404" s="139"/>
      <c r="BG1404" s="139"/>
      <c r="BH1404" s="139"/>
    </row>
    <row r="1405" spans="2:60" s="11" customFormat="1" ht="20.100000000000001" customHeight="1">
      <c r="B1405" s="1360"/>
      <c r="C1405" s="5598"/>
      <c r="D1405" s="9598" t="s">
        <v>143</v>
      </c>
      <c r="E1405" s="9600"/>
      <c r="F1405" s="285" t="s">
        <v>742</v>
      </c>
      <c r="G1405" s="666"/>
      <c r="H1405" s="666"/>
      <c r="I1405" s="9582" t="s">
        <v>144</v>
      </c>
      <c r="J1405" s="9583"/>
      <c r="K1405" s="809" t="s">
        <v>734</v>
      </c>
      <c r="L1405" s="5789">
        <v>564</v>
      </c>
      <c r="M1405" s="5718" t="s">
        <v>759</v>
      </c>
      <c r="N1405" s="6005">
        <v>577</v>
      </c>
      <c r="O1405" s="5716" t="s">
        <v>759</v>
      </c>
      <c r="P1405" s="6008">
        <v>572</v>
      </c>
      <c r="Q1405" s="5717"/>
      <c r="R1405" s="2468"/>
      <c r="S1405" s="544"/>
      <c r="T1405" s="545"/>
      <c r="U1405" s="546"/>
      <c r="V1405" s="547"/>
      <c r="W1405" s="548"/>
      <c r="X1405" s="277"/>
      <c r="Y1405" s="277"/>
      <c r="Z1405" s="187"/>
      <c r="AA1405" s="6301"/>
      <c r="AB1405" s="139"/>
      <c r="AC1405" s="139"/>
      <c r="AD1405" s="139"/>
      <c r="AE1405" s="139"/>
      <c r="AF1405" s="139"/>
      <c r="AG1405" s="139"/>
      <c r="AH1405" s="139"/>
      <c r="AI1405" s="139"/>
      <c r="AJ1405" s="139"/>
      <c r="AK1405" s="139"/>
      <c r="AL1405" s="139"/>
      <c r="AM1405" s="139"/>
      <c r="AN1405" s="139"/>
      <c r="AO1405" s="139"/>
      <c r="AP1405" s="139"/>
      <c r="AQ1405" s="139"/>
      <c r="AR1405" s="139"/>
      <c r="AS1405" s="139"/>
      <c r="AT1405" s="139"/>
      <c r="AU1405" s="139"/>
      <c r="AV1405" s="139"/>
      <c r="AW1405" s="139"/>
      <c r="AX1405" s="139"/>
      <c r="AY1405" s="139"/>
      <c r="AZ1405" s="139"/>
      <c r="BA1405" s="139"/>
      <c r="BB1405" s="139"/>
      <c r="BC1405" s="139"/>
      <c r="BD1405" s="139"/>
      <c r="BE1405" s="139"/>
      <c r="BF1405" s="139"/>
      <c r="BG1405" s="139"/>
      <c r="BH1405" s="139"/>
    </row>
    <row r="1406" spans="2:60" s="11" customFormat="1" ht="20.100000000000001" customHeight="1">
      <c r="B1406" s="1360"/>
      <c r="C1406" s="5598"/>
      <c r="D1406" s="9598" t="s">
        <v>631</v>
      </c>
      <c r="E1406" s="9600"/>
      <c r="F1406" s="285" t="s">
        <v>742</v>
      </c>
      <c r="G1406" s="666"/>
      <c r="H1406" s="666"/>
      <c r="I1406" s="9582" t="s">
        <v>147</v>
      </c>
      <c r="J1406" s="9583"/>
      <c r="K1406" s="809" t="s">
        <v>734</v>
      </c>
      <c r="L1406" s="5789">
        <v>379</v>
      </c>
      <c r="M1406" s="5718"/>
      <c r="N1406" s="6005">
        <v>391</v>
      </c>
      <c r="O1406" s="5716"/>
      <c r="P1406" s="6008">
        <v>354</v>
      </c>
      <c r="Q1406" s="5717"/>
      <c r="R1406" s="2468"/>
      <c r="S1406" s="544"/>
      <c r="T1406" s="545"/>
      <c r="U1406" s="546"/>
      <c r="V1406" s="547"/>
      <c r="W1406" s="548"/>
      <c r="X1406" s="277"/>
      <c r="Y1406" s="277"/>
      <c r="Z1406" s="187"/>
      <c r="AA1406" s="6301"/>
      <c r="AB1406" s="139"/>
      <c r="AC1406" s="139"/>
      <c r="AD1406" s="139"/>
      <c r="AE1406" s="139"/>
      <c r="AF1406" s="139"/>
      <c r="AG1406" s="139"/>
      <c r="AH1406" s="139"/>
      <c r="AI1406" s="139"/>
      <c r="AJ1406" s="139"/>
      <c r="AK1406" s="139"/>
      <c r="AL1406" s="139"/>
      <c r="AM1406" s="139"/>
      <c r="AN1406" s="139"/>
      <c r="AO1406" s="139"/>
      <c r="AP1406" s="139"/>
      <c r="AQ1406" s="139"/>
      <c r="AR1406" s="139"/>
      <c r="AS1406" s="139"/>
      <c r="AT1406" s="139"/>
      <c r="AU1406" s="139"/>
      <c r="AV1406" s="139"/>
      <c r="AW1406" s="139"/>
      <c r="AX1406" s="139"/>
      <c r="AY1406" s="139"/>
      <c r="AZ1406" s="139"/>
      <c r="BA1406" s="139"/>
      <c r="BB1406" s="139"/>
      <c r="BC1406" s="139"/>
      <c r="BD1406" s="139"/>
      <c r="BE1406" s="139"/>
      <c r="BF1406" s="139"/>
      <c r="BG1406" s="139"/>
      <c r="BH1406" s="139"/>
    </row>
    <row r="1407" spans="2:60" s="11" customFormat="1" ht="20.100000000000001" customHeight="1">
      <c r="B1407" s="1360"/>
      <c r="C1407" s="5598"/>
      <c r="D1407" s="9598" t="s">
        <v>633</v>
      </c>
      <c r="E1407" s="9600"/>
      <c r="F1407" s="285" t="s">
        <v>742</v>
      </c>
      <c r="G1407" s="666"/>
      <c r="H1407" s="666"/>
      <c r="I1407" s="9582" t="s">
        <v>150</v>
      </c>
      <c r="J1407" s="9583"/>
      <c r="K1407" s="809" t="s">
        <v>734</v>
      </c>
      <c r="L1407" s="5959" t="s">
        <v>168</v>
      </c>
      <c r="M1407" s="5718" t="s">
        <v>641</v>
      </c>
      <c r="N1407" s="5729" t="s">
        <v>168</v>
      </c>
      <c r="O1407" s="5718" t="s">
        <v>641</v>
      </c>
      <c r="P1407" s="5729" t="s">
        <v>168</v>
      </c>
      <c r="Q1407" s="5717" t="s">
        <v>641</v>
      </c>
      <c r="R1407" s="2468"/>
      <c r="S1407" s="544"/>
      <c r="T1407" s="545"/>
      <c r="U1407" s="546"/>
      <c r="V1407" s="547"/>
      <c r="W1407" s="548"/>
      <c r="X1407" s="277"/>
      <c r="Y1407" s="277"/>
      <c r="Z1407" s="187"/>
      <c r="AA1407" s="6301"/>
      <c r="AB1407" s="139"/>
      <c r="AC1407" s="139"/>
      <c r="AD1407" s="139"/>
      <c r="AE1407" s="139"/>
      <c r="AF1407" s="139"/>
      <c r="AG1407" s="139"/>
      <c r="AH1407" s="139"/>
      <c r="AI1407" s="139"/>
      <c r="AJ1407" s="139"/>
      <c r="AK1407" s="139"/>
      <c r="AL1407" s="139"/>
      <c r="AM1407" s="139"/>
      <c r="AN1407" s="139"/>
      <c r="AO1407" s="139"/>
      <c r="AP1407" s="139"/>
      <c r="AQ1407" s="139"/>
      <c r="AR1407" s="139"/>
      <c r="AS1407" s="139"/>
      <c r="AT1407" s="139"/>
      <c r="AU1407" s="139"/>
      <c r="AV1407" s="139"/>
      <c r="AW1407" s="139"/>
      <c r="AX1407" s="139"/>
      <c r="AY1407" s="139"/>
      <c r="AZ1407" s="139"/>
      <c r="BA1407" s="139"/>
      <c r="BB1407" s="139"/>
      <c r="BC1407" s="139"/>
      <c r="BD1407" s="139"/>
      <c r="BE1407" s="139"/>
      <c r="BF1407" s="139"/>
      <c r="BG1407" s="139"/>
      <c r="BH1407" s="139"/>
    </row>
    <row r="1408" spans="2:60" s="11" customFormat="1" ht="20.100000000000001" customHeight="1">
      <c r="B1408" s="1662"/>
      <c r="C1408" s="9656" t="s">
        <v>1036</v>
      </c>
      <c r="D1408" s="9587"/>
      <c r="E1408" s="9588"/>
      <c r="F1408" s="105" t="s">
        <v>628</v>
      </c>
      <c r="G1408" s="349"/>
      <c r="H1408" s="9586" t="s">
        <v>1037</v>
      </c>
      <c r="I1408" s="9587"/>
      <c r="J1408" s="9588"/>
      <c r="K1408" s="5589" t="s">
        <v>128</v>
      </c>
      <c r="L1408" s="6432">
        <f>IF(COUNTBLANK(L1409:L1414)&gt;0,"미취합법인有",SUM(L1409:L1414))</f>
        <v>1408.0034208792326</v>
      </c>
      <c r="M1408" s="5657"/>
      <c r="N1408" s="6408">
        <f>IF(COUNTBLANK(N1409:N1414)&gt;0,"미취합법인有",SUM(N1409:N1414))</f>
        <v>4268.9626932067022</v>
      </c>
      <c r="O1408" s="5663"/>
      <c r="P1408" s="6433">
        <f>IF(COUNTBLANK(P1409:P1414)&gt;0,"미취합법인有",SUM(P1409:P1414))</f>
        <v>1243133.9934990634</v>
      </c>
      <c r="Q1408" s="785"/>
      <c r="R1408" s="2472" t="s">
        <v>1038</v>
      </c>
      <c r="S1408" s="457" t="s">
        <v>1039</v>
      </c>
      <c r="T1408" s="99" t="s">
        <v>189</v>
      </c>
      <c r="U1408" s="547"/>
      <c r="V1408" s="547"/>
      <c r="W1408" s="99"/>
      <c r="X1408" s="620" t="s">
        <v>1040</v>
      </c>
      <c r="Y1408" s="620"/>
      <c r="Z1408" s="159"/>
      <c r="AA1408" s="6301"/>
      <c r="AB1408" s="139" t="s">
        <v>1041</v>
      </c>
      <c r="AC1408" s="139"/>
      <c r="AD1408" s="139"/>
      <c r="AE1408" s="139"/>
      <c r="AF1408" s="139"/>
      <c r="AG1408" s="139"/>
      <c r="AH1408" s="139"/>
      <c r="AI1408" s="139"/>
      <c r="AJ1408" s="139"/>
      <c r="AK1408" s="139"/>
      <c r="AL1408" s="139"/>
      <c r="AM1408" s="139"/>
      <c r="AN1408" s="139"/>
      <c r="AO1408" s="139"/>
      <c r="AP1408" s="139"/>
      <c r="AQ1408" s="139"/>
      <c r="AR1408" s="139"/>
      <c r="AS1408" s="139"/>
      <c r="AT1408" s="139"/>
      <c r="AU1408" s="139"/>
      <c r="AV1408" s="139"/>
      <c r="AW1408" s="139"/>
      <c r="AX1408" s="139"/>
      <c r="AY1408" s="139"/>
      <c r="AZ1408" s="139"/>
      <c r="BA1408" s="139"/>
      <c r="BB1408" s="139"/>
      <c r="BC1408" s="139"/>
      <c r="BD1408" s="139"/>
      <c r="BE1408" s="139"/>
      <c r="BF1408" s="139"/>
      <c r="BG1408" s="139"/>
      <c r="BH1408" s="139"/>
    </row>
    <row r="1409" spans="2:60" s="11" customFormat="1" ht="19.5" customHeight="1">
      <c r="B1409" s="1360"/>
      <c r="C1409" s="9647" t="s">
        <v>134</v>
      </c>
      <c r="D1409" s="9648"/>
      <c r="E1409" s="9649"/>
      <c r="F1409" s="105" t="s">
        <v>1042</v>
      </c>
      <c r="G1409" s="666"/>
      <c r="H1409" s="9579" t="s">
        <v>135</v>
      </c>
      <c r="I1409" s="9580"/>
      <c r="J1409" s="9581"/>
      <c r="K1409" s="105" t="s">
        <v>1043</v>
      </c>
      <c r="L1409" s="5839">
        <v>33.206007577092507</v>
      </c>
      <c r="M1409" s="5671"/>
      <c r="N1409" s="5674">
        <v>43.617138377392891</v>
      </c>
      <c r="O1409" s="5674"/>
      <c r="P1409" s="5674">
        <v>34.857846580406658</v>
      </c>
      <c r="Q1409" s="5674"/>
      <c r="R1409" s="2468"/>
      <c r="S1409" s="544"/>
      <c r="T1409" s="545"/>
      <c r="U1409" s="546"/>
      <c r="V1409" s="547"/>
      <c r="W1409" s="548"/>
      <c r="X1409" s="277"/>
      <c r="Y1409" s="277"/>
      <c r="Z1409" s="187"/>
      <c r="AA1409" s="6301"/>
      <c r="AB1409" s="139"/>
      <c r="AC1409" s="139"/>
      <c r="AD1409" s="139"/>
      <c r="AE1409" s="139"/>
      <c r="AF1409" s="139"/>
      <c r="AG1409" s="139"/>
      <c r="AH1409" s="139"/>
      <c r="AI1409" s="139"/>
      <c r="AJ1409" s="139"/>
      <c r="AK1409" s="139"/>
      <c r="AL1409" s="139"/>
      <c r="AM1409" s="139"/>
      <c r="AN1409" s="139"/>
      <c r="AO1409" s="139"/>
      <c r="AP1409" s="139"/>
      <c r="AQ1409" s="139"/>
      <c r="AR1409" s="139"/>
      <c r="AS1409" s="139"/>
      <c r="AT1409" s="139"/>
      <c r="AU1409" s="139"/>
      <c r="AV1409" s="139"/>
      <c r="AW1409" s="139"/>
      <c r="AX1409" s="139"/>
      <c r="AY1409" s="139"/>
      <c r="AZ1409" s="139"/>
      <c r="BA1409" s="139"/>
      <c r="BB1409" s="139"/>
      <c r="BC1409" s="139"/>
      <c r="BD1409" s="139"/>
      <c r="BE1409" s="139"/>
      <c r="BF1409" s="139"/>
      <c r="BG1409" s="139"/>
      <c r="BH1409" s="139"/>
    </row>
    <row r="1410" spans="2:60" s="11" customFormat="1" ht="20.100000000000001" customHeight="1">
      <c r="B1410" s="1360"/>
      <c r="C1410" s="9647" t="s">
        <v>137</v>
      </c>
      <c r="D1410" s="9648"/>
      <c r="E1410" s="9649"/>
      <c r="F1410" s="105" t="s">
        <v>1042</v>
      </c>
      <c r="G1410" s="666"/>
      <c r="H1410" s="9579" t="s">
        <v>138</v>
      </c>
      <c r="I1410" s="9580"/>
      <c r="J1410" s="9581"/>
      <c r="K1410" s="105" t="s">
        <v>1043</v>
      </c>
      <c r="L1410" s="5839">
        <v>9.2303234972677597</v>
      </c>
      <c r="M1410" s="5671"/>
      <c r="N1410" s="5678">
        <v>37.379054545454551</v>
      </c>
      <c r="O1410" s="5678"/>
      <c r="P1410" s="5678">
        <v>0</v>
      </c>
      <c r="Q1410" s="5678"/>
      <c r="R1410" s="2468"/>
      <c r="S1410" s="544"/>
      <c r="T1410" s="545"/>
      <c r="U1410" s="546"/>
      <c r="V1410" s="547"/>
      <c r="W1410" s="548"/>
      <c r="X1410" s="277"/>
      <c r="Y1410" s="277"/>
      <c r="Z1410" s="187"/>
      <c r="AA1410" s="6301"/>
      <c r="AB1410" s="139"/>
      <c r="AC1410" s="139"/>
      <c r="AD1410" s="139"/>
      <c r="AE1410" s="139"/>
      <c r="AF1410" s="139"/>
      <c r="AG1410" s="139"/>
      <c r="AH1410" s="139"/>
      <c r="AI1410" s="139"/>
      <c r="AJ1410" s="139"/>
      <c r="AK1410" s="139"/>
      <c r="AL1410" s="139"/>
      <c r="AM1410" s="139"/>
      <c r="AN1410" s="139"/>
      <c r="AO1410" s="139"/>
      <c r="AP1410" s="139"/>
      <c r="AQ1410" s="139"/>
      <c r="AR1410" s="139"/>
      <c r="AS1410" s="139"/>
      <c r="AT1410" s="139"/>
      <c r="AU1410" s="139"/>
      <c r="AV1410" s="139"/>
      <c r="AW1410" s="139"/>
      <c r="AX1410" s="139"/>
      <c r="AY1410" s="139"/>
      <c r="AZ1410" s="139"/>
      <c r="BA1410" s="139"/>
      <c r="BB1410" s="139"/>
      <c r="BC1410" s="139"/>
      <c r="BD1410" s="139"/>
      <c r="BE1410" s="139"/>
      <c r="BF1410" s="139"/>
      <c r="BG1410" s="139"/>
      <c r="BH1410" s="139"/>
    </row>
    <row r="1411" spans="2:60" s="11" customFormat="1" ht="20.100000000000001" customHeight="1">
      <c r="B1411" s="1360"/>
      <c r="C1411" s="9647" t="s">
        <v>140</v>
      </c>
      <c r="D1411" s="9648"/>
      <c r="E1411" s="9649"/>
      <c r="F1411" s="105" t="s">
        <v>1042</v>
      </c>
      <c r="G1411" s="666"/>
      <c r="H1411" s="9579" t="s">
        <v>141</v>
      </c>
      <c r="I1411" s="9580"/>
      <c r="J1411" s="9581"/>
      <c r="K1411" s="105" t="s">
        <v>1043</v>
      </c>
      <c r="L1411" s="5839">
        <v>37.950664136622393</v>
      </c>
      <c r="M1411" s="5671"/>
      <c r="N1411" s="5678">
        <v>0</v>
      </c>
      <c r="O1411" s="5678"/>
      <c r="P1411" s="5678">
        <v>0</v>
      </c>
      <c r="Q1411" s="5678"/>
      <c r="R1411" s="2468"/>
      <c r="S1411" s="544"/>
      <c r="T1411" s="545"/>
      <c r="U1411" s="546"/>
      <c r="V1411" s="547"/>
      <c r="W1411" s="548"/>
      <c r="X1411" s="277"/>
      <c r="Y1411" s="277"/>
      <c r="Z1411" s="187"/>
      <c r="AA1411" s="6301"/>
      <c r="AB1411" s="139"/>
      <c r="AC1411" s="139"/>
      <c r="AD1411" s="139"/>
      <c r="AE1411" s="139"/>
      <c r="AF1411" s="139"/>
      <c r="AG1411" s="139"/>
      <c r="AH1411" s="139"/>
      <c r="AI1411" s="139"/>
      <c r="AJ1411" s="139"/>
      <c r="AK1411" s="139"/>
      <c r="AL1411" s="139"/>
      <c r="AM1411" s="139"/>
      <c r="AN1411" s="139"/>
      <c r="AO1411" s="139"/>
      <c r="AP1411" s="139"/>
      <c r="AQ1411" s="139"/>
      <c r="AR1411" s="139"/>
      <c r="AS1411" s="139"/>
      <c r="AT1411" s="139"/>
      <c r="AU1411" s="139"/>
      <c r="AV1411" s="139"/>
      <c r="AW1411" s="139"/>
      <c r="AX1411" s="139"/>
      <c r="AY1411" s="139"/>
      <c r="AZ1411" s="139"/>
      <c r="BA1411" s="139"/>
      <c r="BB1411" s="139"/>
      <c r="BC1411" s="139"/>
      <c r="BD1411" s="139"/>
      <c r="BE1411" s="139"/>
      <c r="BF1411" s="139"/>
      <c r="BG1411" s="139"/>
      <c r="BH1411" s="139"/>
    </row>
    <row r="1412" spans="2:60" s="11" customFormat="1" ht="20.100000000000001" customHeight="1">
      <c r="B1412" s="1360"/>
      <c r="C1412" s="9647" t="s">
        <v>143</v>
      </c>
      <c r="D1412" s="9648"/>
      <c r="E1412" s="9649"/>
      <c r="F1412" s="105" t="s">
        <v>145</v>
      </c>
      <c r="G1412" s="666"/>
      <c r="H1412" s="9579" t="s">
        <v>144</v>
      </c>
      <c r="I1412" s="9580"/>
      <c r="J1412" s="9581"/>
      <c r="K1412" s="492" t="s">
        <v>145</v>
      </c>
      <c r="L1412" s="5594">
        <v>1132.6860088652481</v>
      </c>
      <c r="M1412" s="5671"/>
      <c r="N1412" s="5678">
        <v>2714.4675043327557</v>
      </c>
      <c r="O1412" s="5678"/>
      <c r="P1412" s="5678">
        <v>1242220.2797202796</v>
      </c>
      <c r="Q1412" s="5678"/>
      <c r="R1412" s="2468"/>
      <c r="S1412" s="544"/>
      <c r="T1412" s="545"/>
      <c r="U1412" s="546"/>
      <c r="V1412" s="547"/>
      <c r="W1412" s="548"/>
      <c r="X1412" s="277"/>
      <c r="Y1412" s="277"/>
      <c r="Z1412" s="187"/>
      <c r="AA1412" s="6301"/>
      <c r="AB1412" s="139"/>
      <c r="AC1412" s="139"/>
      <c r="AD1412" s="139"/>
      <c r="AE1412" s="139"/>
      <c r="AF1412" s="139"/>
      <c r="AG1412" s="139"/>
      <c r="AH1412" s="139"/>
      <c r="AI1412" s="139"/>
      <c r="AJ1412" s="139"/>
      <c r="AK1412" s="139"/>
      <c r="AL1412" s="139"/>
      <c r="AM1412" s="139"/>
      <c r="AN1412" s="139"/>
      <c r="AO1412" s="139"/>
      <c r="AP1412" s="139"/>
      <c r="AQ1412" s="139"/>
      <c r="AR1412" s="139"/>
      <c r="AS1412" s="139"/>
      <c r="AT1412" s="139"/>
      <c r="AU1412" s="139"/>
      <c r="AV1412" s="139"/>
      <c r="AW1412" s="139"/>
      <c r="AX1412" s="139"/>
      <c r="AY1412" s="139"/>
      <c r="AZ1412" s="139"/>
      <c r="BA1412" s="139"/>
      <c r="BB1412" s="139"/>
      <c r="BC1412" s="139"/>
      <c r="BD1412" s="139"/>
      <c r="BE1412" s="139"/>
      <c r="BF1412" s="139"/>
      <c r="BG1412" s="139"/>
      <c r="BH1412" s="139"/>
    </row>
    <row r="1413" spans="2:60" s="11" customFormat="1" ht="20.100000000000001" customHeight="1">
      <c r="B1413" s="1360"/>
      <c r="C1413" s="9647" t="s">
        <v>631</v>
      </c>
      <c r="D1413" s="9648"/>
      <c r="E1413" s="9649"/>
      <c r="F1413" s="5835" t="s">
        <v>632</v>
      </c>
      <c r="G1413" s="666"/>
      <c r="H1413" s="9579" t="s">
        <v>147</v>
      </c>
      <c r="I1413" s="9580"/>
      <c r="J1413" s="9581"/>
      <c r="K1413" s="492" t="s">
        <v>148</v>
      </c>
      <c r="L1413" s="5839">
        <v>194.93041680300195</v>
      </c>
      <c r="M1413" s="5671"/>
      <c r="N1413" s="5678">
        <v>1473.4989959510995</v>
      </c>
      <c r="O1413" s="5678"/>
      <c r="P1413" s="5678">
        <v>878.85593220338978</v>
      </c>
      <c r="Q1413" s="5678"/>
      <c r="R1413" s="2468"/>
      <c r="S1413" s="544"/>
      <c r="T1413" s="545"/>
      <c r="U1413" s="546"/>
      <c r="V1413" s="547"/>
      <c r="W1413" s="548"/>
      <c r="X1413" s="277"/>
      <c r="Y1413" s="277"/>
      <c r="Z1413" s="187"/>
      <c r="AA1413" s="6303" t="s">
        <v>1044</v>
      </c>
      <c r="AB1413" s="139"/>
      <c r="AC1413" s="139"/>
      <c r="AD1413" s="139"/>
      <c r="AE1413" s="139"/>
      <c r="AF1413" s="139"/>
      <c r="AG1413" s="139"/>
      <c r="AH1413" s="139"/>
      <c r="AI1413" s="139"/>
      <c r="AJ1413" s="139"/>
      <c r="AK1413" s="139"/>
      <c r="AL1413" s="139"/>
      <c r="AM1413" s="139"/>
      <c r="AN1413" s="139"/>
      <c r="AO1413" s="139"/>
      <c r="AP1413" s="139"/>
      <c r="AQ1413" s="139"/>
      <c r="AR1413" s="139"/>
      <c r="AS1413" s="139"/>
      <c r="AT1413" s="139"/>
      <c r="AU1413" s="139"/>
      <c r="AV1413" s="139"/>
      <c r="AW1413" s="139"/>
      <c r="AX1413" s="139"/>
      <c r="AY1413" s="139"/>
      <c r="AZ1413" s="139"/>
      <c r="BA1413" s="139"/>
      <c r="BB1413" s="139"/>
      <c r="BC1413" s="139"/>
      <c r="BD1413" s="139"/>
      <c r="BE1413" s="139"/>
      <c r="BF1413" s="139"/>
      <c r="BG1413" s="139"/>
      <c r="BH1413" s="139"/>
    </row>
    <row r="1414" spans="2:60" s="11" customFormat="1" ht="20.100000000000001" customHeight="1">
      <c r="B1414" s="1360"/>
      <c r="C1414" s="9647" t="s">
        <v>633</v>
      </c>
      <c r="D1414" s="9648"/>
      <c r="E1414" s="9649"/>
      <c r="F1414" s="105" t="s">
        <v>1042</v>
      </c>
      <c r="G1414" s="666"/>
      <c r="H1414" s="9579" t="s">
        <v>150</v>
      </c>
      <c r="I1414" s="9580"/>
      <c r="J1414" s="9581"/>
      <c r="K1414" s="105" t="s">
        <v>1043</v>
      </c>
      <c r="L1414" s="5959" t="s">
        <v>168</v>
      </c>
      <c r="M1414" s="5718" t="s">
        <v>641</v>
      </c>
      <c r="N1414" s="5729" t="s">
        <v>168</v>
      </c>
      <c r="O1414" s="5718" t="s">
        <v>641</v>
      </c>
      <c r="P1414" s="5729" t="s">
        <v>168</v>
      </c>
      <c r="Q1414" s="5717" t="s">
        <v>641</v>
      </c>
      <c r="R1414" s="2468"/>
      <c r="S1414" s="544"/>
      <c r="T1414" s="545"/>
      <c r="U1414" s="546"/>
      <c r="V1414" s="547"/>
      <c r="W1414" s="548"/>
      <c r="X1414" s="277"/>
      <c r="Y1414" s="277"/>
      <c r="Z1414" s="187"/>
      <c r="AA1414" s="6301"/>
      <c r="AB1414" s="139"/>
      <c r="AC1414" s="139"/>
      <c r="AD1414" s="139"/>
      <c r="AE1414" s="139"/>
      <c r="AF1414" s="139"/>
      <c r="AG1414" s="139"/>
      <c r="AH1414" s="139"/>
      <c r="AI1414" s="139"/>
      <c r="AJ1414" s="139"/>
      <c r="AK1414" s="139"/>
      <c r="AL1414" s="139"/>
      <c r="AM1414" s="139"/>
      <c r="AN1414" s="139"/>
      <c r="AO1414" s="139"/>
      <c r="AP1414" s="139"/>
      <c r="AQ1414" s="139"/>
      <c r="AR1414" s="139"/>
      <c r="AS1414" s="139"/>
      <c r="AT1414" s="139"/>
      <c r="AU1414" s="139"/>
      <c r="AV1414" s="139"/>
      <c r="AW1414" s="139"/>
      <c r="AX1414" s="139"/>
      <c r="AY1414" s="139"/>
      <c r="AZ1414" s="139"/>
      <c r="BA1414" s="139"/>
      <c r="BB1414" s="139"/>
      <c r="BC1414" s="139"/>
      <c r="BD1414" s="139"/>
      <c r="BE1414" s="139"/>
      <c r="BF1414" s="139"/>
      <c r="BG1414" s="139"/>
      <c r="BH1414" s="139"/>
    </row>
    <row r="1415" spans="2:60" s="11" customFormat="1" ht="20.100000000000001" customHeight="1">
      <c r="B1415" s="1360"/>
      <c r="C1415" s="1362"/>
      <c r="D1415" s="9584" t="s">
        <v>1045</v>
      </c>
      <c r="E1415" s="9585"/>
      <c r="F1415" s="105" t="s">
        <v>628</v>
      </c>
      <c r="G1415" s="358"/>
      <c r="H1415" s="384"/>
      <c r="I1415" s="9584" t="s">
        <v>1046</v>
      </c>
      <c r="J1415" s="9585"/>
      <c r="K1415" s="5589" t="s">
        <v>128</v>
      </c>
      <c r="L1415" s="6432">
        <f>IF(COUNTBLANK(L1416:L1421)&gt;0,"미취합법인有",SUM(L1416:L1421))</f>
        <v>792091.50476833771</v>
      </c>
      <c r="M1415" s="5657"/>
      <c r="N1415" s="6408">
        <f>IF(COUNTBLANK(N1416:N1421)&gt;0,"미취합법인有",SUM(N1416:N1421))</f>
        <v>2198868.4198168796</v>
      </c>
      <c r="O1415" s="5663"/>
      <c r="P1415" s="5781" t="str">
        <f>IF(COUNTBLANK(P1416:P1421)&gt;0,"미취합법인有",SUM(P1416:P1421))</f>
        <v>미취합법인有</v>
      </c>
      <c r="Q1415" s="785"/>
      <c r="R1415" s="2472"/>
      <c r="S1415" s="24"/>
      <c r="T1415" s="99" t="s">
        <v>189</v>
      </c>
      <c r="U1415" s="547"/>
      <c r="V1415" s="547"/>
      <c r="W1415" s="99"/>
      <c r="X1415" s="620" t="s">
        <v>1040</v>
      </c>
      <c r="Y1415" s="620"/>
      <c r="Z1415" s="159"/>
      <c r="AA1415" s="6301"/>
      <c r="AB1415" s="139" t="s">
        <v>1047</v>
      </c>
      <c r="AC1415" s="139"/>
      <c r="AD1415" s="139"/>
      <c r="AE1415" s="139"/>
      <c r="AF1415" s="139"/>
      <c r="AG1415" s="139"/>
      <c r="AH1415" s="139"/>
      <c r="AI1415" s="139"/>
      <c r="AJ1415" s="139"/>
      <c r="AK1415" s="139"/>
      <c r="AL1415" s="139"/>
      <c r="AM1415" s="139"/>
      <c r="AN1415" s="139"/>
      <c r="AO1415" s="139"/>
      <c r="AP1415" s="139"/>
      <c r="AQ1415" s="139"/>
      <c r="AR1415" s="139"/>
      <c r="AS1415" s="139"/>
      <c r="AT1415" s="139"/>
      <c r="AU1415" s="139"/>
      <c r="AV1415" s="139"/>
      <c r="AW1415" s="139"/>
      <c r="AX1415" s="139"/>
      <c r="AY1415" s="139"/>
      <c r="AZ1415" s="139"/>
      <c r="BA1415" s="139"/>
      <c r="BB1415" s="139"/>
      <c r="BC1415" s="139"/>
      <c r="BD1415" s="139"/>
      <c r="BE1415" s="139"/>
      <c r="BF1415" s="139"/>
      <c r="BG1415" s="139"/>
      <c r="BH1415" s="139"/>
    </row>
    <row r="1416" spans="2:60" s="11" customFormat="1" ht="20.100000000000001" customHeight="1">
      <c r="B1416" s="1360"/>
      <c r="C1416" s="5598"/>
      <c r="D1416" s="9598" t="s">
        <v>134</v>
      </c>
      <c r="E1416" s="9600"/>
      <c r="F1416" s="105" t="s">
        <v>1048</v>
      </c>
      <c r="G1416" s="666"/>
      <c r="H1416" s="666"/>
      <c r="I1416" s="9579" t="s">
        <v>135</v>
      </c>
      <c r="J1416" s="9581"/>
      <c r="K1416" s="105" t="s">
        <v>1043</v>
      </c>
      <c r="L1416" s="5789">
        <v>37688.818599999999</v>
      </c>
      <c r="M1416" s="5718">
        <v>33.206007577092507</v>
      </c>
      <c r="N1416" s="6005">
        <v>47848.000800000002</v>
      </c>
      <c r="O1416" s="5716">
        <v>43.617138377392891</v>
      </c>
      <c r="P1416" s="6005">
        <v>37716.19</v>
      </c>
      <c r="Q1416" s="5717"/>
      <c r="R1416" s="2468"/>
      <c r="S1416" s="276"/>
      <c r="T1416" s="545"/>
      <c r="U1416" s="546"/>
      <c r="V1416" s="547"/>
      <c r="W1416" s="548"/>
      <c r="X1416" s="277"/>
      <c r="Y1416" s="277"/>
      <c r="Z1416" s="187"/>
      <c r="AA1416" s="6301"/>
      <c r="AB1416" s="139"/>
      <c r="AC1416" s="139"/>
      <c r="AD1416" s="139"/>
      <c r="AE1416" s="139"/>
      <c r="AF1416" s="139"/>
      <c r="AG1416" s="139"/>
      <c r="AH1416" s="139"/>
      <c r="AI1416" s="139"/>
      <c r="AJ1416" s="139"/>
      <c r="AK1416" s="139"/>
      <c r="AL1416" s="139"/>
      <c r="AM1416" s="139"/>
      <c r="AN1416" s="139"/>
      <c r="AO1416" s="139"/>
      <c r="AP1416" s="139"/>
      <c r="AQ1416" s="139"/>
      <c r="AR1416" s="139"/>
      <c r="AS1416" s="139"/>
      <c r="AT1416" s="139"/>
      <c r="AU1416" s="139"/>
      <c r="AV1416" s="139"/>
      <c r="AW1416" s="139"/>
      <c r="AX1416" s="139"/>
      <c r="AY1416" s="139"/>
      <c r="AZ1416" s="139"/>
      <c r="BA1416" s="139"/>
      <c r="BB1416" s="139"/>
      <c r="BC1416" s="139"/>
      <c r="BD1416" s="139"/>
      <c r="BE1416" s="139"/>
      <c r="BF1416" s="139"/>
      <c r="BG1416" s="139"/>
      <c r="BH1416" s="139"/>
    </row>
    <row r="1417" spans="2:60" s="11" customFormat="1" ht="20.100000000000001" customHeight="1">
      <c r="B1417" s="1360"/>
      <c r="C1417" s="5598"/>
      <c r="D1417" s="9598" t="s">
        <v>137</v>
      </c>
      <c r="E1417" s="9600"/>
      <c r="F1417" s="105" t="s">
        <v>1048</v>
      </c>
      <c r="G1417" s="666"/>
      <c r="H1417" s="666"/>
      <c r="I1417" s="9579" t="s">
        <v>138</v>
      </c>
      <c r="J1417" s="9581"/>
      <c r="K1417" s="105" t="s">
        <v>1043</v>
      </c>
      <c r="L1417" s="5789">
        <v>1689.1492000000001</v>
      </c>
      <c r="M1417" s="5719"/>
      <c r="N1417" s="6005">
        <v>8634.5616000000009</v>
      </c>
      <c r="O1417" s="5720"/>
      <c r="P1417" s="6008"/>
      <c r="Q1417" s="5717"/>
      <c r="R1417" s="2468"/>
      <c r="S1417" s="544"/>
      <c r="T1417" s="545"/>
      <c r="U1417" s="546"/>
      <c r="V1417" s="547"/>
      <c r="W1417" s="548"/>
      <c r="X1417" s="277"/>
      <c r="Y1417" s="277"/>
      <c r="Z1417" s="187"/>
      <c r="AA1417" s="6301"/>
      <c r="AB1417" s="139"/>
      <c r="AC1417" s="139"/>
      <c r="AD1417" s="139"/>
      <c r="AE1417" s="139"/>
      <c r="AF1417" s="139"/>
      <c r="AG1417" s="139"/>
      <c r="AH1417" s="139"/>
      <c r="AI1417" s="139"/>
      <c r="AJ1417" s="139"/>
      <c r="AK1417" s="139"/>
      <c r="AL1417" s="139"/>
      <c r="AM1417" s="139"/>
      <c r="AN1417" s="139"/>
      <c r="AO1417" s="139"/>
      <c r="AP1417" s="139"/>
      <c r="AQ1417" s="139"/>
      <c r="AR1417" s="139"/>
      <c r="AS1417" s="139"/>
      <c r="AT1417" s="139"/>
      <c r="AU1417" s="139"/>
      <c r="AV1417" s="139"/>
      <c r="AW1417" s="139"/>
      <c r="AX1417" s="139"/>
      <c r="AY1417" s="139"/>
      <c r="AZ1417" s="139"/>
      <c r="BA1417" s="139"/>
      <c r="BB1417" s="139"/>
      <c r="BC1417" s="139"/>
      <c r="BD1417" s="139"/>
      <c r="BE1417" s="139"/>
      <c r="BF1417" s="139"/>
      <c r="BG1417" s="139"/>
      <c r="BH1417" s="139"/>
    </row>
    <row r="1418" spans="2:60" s="11" customFormat="1" ht="20.100000000000001" customHeight="1">
      <c r="B1418" s="1360"/>
      <c r="C1418" s="5598"/>
      <c r="D1418" s="9598" t="s">
        <v>140</v>
      </c>
      <c r="E1418" s="9600"/>
      <c r="F1418" s="105" t="s">
        <v>1048</v>
      </c>
      <c r="G1418" s="666"/>
      <c r="H1418" s="666"/>
      <c r="I1418" s="9582" t="s">
        <v>141</v>
      </c>
      <c r="J1418" s="9583"/>
      <c r="K1418" s="105" t="s">
        <v>1043</v>
      </c>
      <c r="L1418" s="5789">
        <v>40000</v>
      </c>
      <c r="M1418" s="5718">
        <v>37.950664136622393</v>
      </c>
      <c r="N1418" s="6005">
        <v>0</v>
      </c>
      <c r="O1418" s="5716" t="s">
        <v>1049</v>
      </c>
      <c r="P1418" s="6005">
        <v>0</v>
      </c>
      <c r="Q1418" s="5717"/>
      <c r="R1418" s="2468"/>
      <c r="S1418" s="544"/>
      <c r="T1418" s="545"/>
      <c r="U1418" s="546"/>
      <c r="V1418" s="547"/>
      <c r="W1418" s="548"/>
      <c r="X1418" s="277"/>
      <c r="Y1418" s="277"/>
      <c r="Z1418" s="187"/>
      <c r="AA1418" s="6301"/>
      <c r="AB1418" s="139"/>
      <c r="AC1418" s="139"/>
      <c r="AD1418" s="139"/>
      <c r="AE1418" s="139"/>
      <c r="AF1418" s="139"/>
      <c r="AG1418" s="139"/>
      <c r="AH1418" s="139"/>
      <c r="AI1418" s="139"/>
      <c r="AJ1418" s="139"/>
      <c r="AK1418" s="139"/>
      <c r="AL1418" s="139"/>
      <c r="AM1418" s="139"/>
      <c r="AN1418" s="139"/>
      <c r="AO1418" s="139"/>
      <c r="AP1418" s="139"/>
      <c r="AQ1418" s="139"/>
      <c r="AR1418" s="139"/>
      <c r="AS1418" s="139"/>
      <c r="AT1418" s="139"/>
      <c r="AU1418" s="139"/>
      <c r="AV1418" s="139"/>
      <c r="AW1418" s="139"/>
      <c r="AX1418" s="139"/>
      <c r="AY1418" s="139"/>
      <c r="AZ1418" s="139"/>
      <c r="BA1418" s="139"/>
      <c r="BB1418" s="139"/>
      <c r="BC1418" s="139"/>
      <c r="BD1418" s="139"/>
      <c r="BE1418" s="139"/>
      <c r="BF1418" s="139"/>
      <c r="BG1418" s="139"/>
      <c r="BH1418" s="139"/>
    </row>
    <row r="1419" spans="2:60" s="11" customFormat="1" ht="20.100000000000001" customHeight="1">
      <c r="B1419" s="1360"/>
      <c r="C1419" s="5598"/>
      <c r="D1419" s="9598" t="s">
        <v>143</v>
      </c>
      <c r="E1419" s="9600"/>
      <c r="F1419" s="105" t="s">
        <v>145</v>
      </c>
      <c r="G1419" s="666"/>
      <c r="H1419" s="666"/>
      <c r="I1419" s="9582" t="s">
        <v>144</v>
      </c>
      <c r="J1419" s="9583"/>
      <c r="K1419" s="492" t="s">
        <v>145</v>
      </c>
      <c r="L1419" s="5789">
        <v>638834.90899999999</v>
      </c>
      <c r="M1419" s="5718"/>
      <c r="N1419" s="6005">
        <v>1566247.75</v>
      </c>
      <c r="O1419" s="5716"/>
      <c r="P1419" s="6008">
        <v>710550000</v>
      </c>
      <c r="Q1419" s="5717"/>
      <c r="R1419" s="2468"/>
      <c r="S1419" s="544"/>
      <c r="T1419" s="545"/>
      <c r="U1419" s="546"/>
      <c r="V1419" s="547"/>
      <c r="W1419" s="548"/>
      <c r="X1419" s="277"/>
      <c r="Y1419" s="277"/>
      <c r="Z1419" s="187"/>
      <c r="AA1419" s="6301"/>
      <c r="AB1419" s="139"/>
      <c r="AC1419" s="139"/>
      <c r="AD1419" s="139"/>
      <c r="AE1419" s="139"/>
      <c r="AF1419" s="139"/>
      <c r="AG1419" s="139"/>
      <c r="AH1419" s="139"/>
      <c r="AI1419" s="139"/>
      <c r="AJ1419" s="139"/>
      <c r="AK1419" s="139"/>
      <c r="AL1419" s="139"/>
      <c r="AM1419" s="139"/>
      <c r="AN1419" s="139"/>
      <c r="AO1419" s="139"/>
      <c r="AP1419" s="139"/>
      <c r="AQ1419" s="139"/>
      <c r="AR1419" s="139"/>
      <c r="AS1419" s="139"/>
      <c r="AT1419" s="139"/>
      <c r="AU1419" s="139"/>
      <c r="AV1419" s="139"/>
      <c r="AW1419" s="139"/>
      <c r="AX1419" s="139"/>
      <c r="AY1419" s="139"/>
      <c r="AZ1419" s="139"/>
      <c r="BA1419" s="139"/>
      <c r="BB1419" s="139"/>
      <c r="BC1419" s="139"/>
      <c r="BD1419" s="139"/>
      <c r="BE1419" s="139"/>
      <c r="BF1419" s="139"/>
      <c r="BG1419" s="139"/>
      <c r="BH1419" s="139"/>
    </row>
    <row r="1420" spans="2:60" s="11" customFormat="1" ht="20.100000000000001" customHeight="1">
      <c r="B1420" s="1360"/>
      <c r="C1420" s="5598"/>
      <c r="D1420" s="9598" t="s">
        <v>631</v>
      </c>
      <c r="E1420" s="9600"/>
      <c r="F1420" s="5835" t="s">
        <v>632</v>
      </c>
      <c r="G1420" s="666"/>
      <c r="H1420" s="666"/>
      <c r="I1420" s="9582" t="s">
        <v>147</v>
      </c>
      <c r="J1420" s="9583"/>
      <c r="K1420" s="492" t="s">
        <v>148</v>
      </c>
      <c r="L1420" s="5789">
        <v>73878.627968337736</v>
      </c>
      <c r="M1420" s="5718"/>
      <c r="N1420" s="6005">
        <v>576138.10741687985</v>
      </c>
      <c r="O1420" s="5718"/>
      <c r="P1420" s="6008">
        <v>311115</v>
      </c>
      <c r="Q1420" s="5717"/>
      <c r="R1420" s="2468"/>
      <c r="S1420" s="544"/>
      <c r="T1420" s="545"/>
      <c r="U1420" s="546"/>
      <c r="V1420" s="547"/>
      <c r="W1420" s="548"/>
      <c r="X1420" s="277"/>
      <c r="Y1420" s="277"/>
      <c r="Z1420" s="187"/>
      <c r="AA1420" s="6303" t="s">
        <v>1044</v>
      </c>
      <c r="AB1420" s="139"/>
      <c r="AC1420" s="139"/>
      <c r="AD1420" s="139"/>
      <c r="AE1420" s="139"/>
      <c r="AF1420" s="139"/>
      <c r="AG1420" s="139"/>
      <c r="AH1420" s="139"/>
      <c r="AI1420" s="139"/>
      <c r="AJ1420" s="139"/>
      <c r="AK1420" s="139"/>
      <c r="AL1420" s="139"/>
      <c r="AM1420" s="139"/>
      <c r="AN1420" s="139"/>
      <c r="AO1420" s="139"/>
      <c r="AP1420" s="139"/>
      <c r="AQ1420" s="139"/>
      <c r="AR1420" s="139"/>
      <c r="AS1420" s="139"/>
      <c r="AT1420" s="139"/>
      <c r="AU1420" s="139"/>
      <c r="AV1420" s="139"/>
      <c r="AW1420" s="139"/>
      <c r="AX1420" s="139"/>
      <c r="AY1420" s="139"/>
      <c r="AZ1420" s="139"/>
      <c r="BA1420" s="139"/>
      <c r="BB1420" s="139"/>
      <c r="BC1420" s="139"/>
      <c r="BD1420" s="139"/>
      <c r="BE1420" s="139"/>
      <c r="BF1420" s="139"/>
      <c r="BG1420" s="139"/>
      <c r="BH1420" s="139"/>
    </row>
    <row r="1421" spans="2:60" s="11" customFormat="1" ht="20.100000000000001" customHeight="1">
      <c r="B1421" s="1360"/>
      <c r="C1421" s="5598"/>
      <c r="D1421" s="9598" t="s">
        <v>633</v>
      </c>
      <c r="E1421" s="9600"/>
      <c r="F1421" s="105" t="s">
        <v>1048</v>
      </c>
      <c r="G1421" s="666"/>
      <c r="H1421" s="666"/>
      <c r="I1421" s="9582" t="s">
        <v>150</v>
      </c>
      <c r="J1421" s="9583"/>
      <c r="K1421" s="105" t="s">
        <v>1043</v>
      </c>
      <c r="L1421" s="5959" t="s">
        <v>168</v>
      </c>
      <c r="M1421" s="5718" t="s">
        <v>641</v>
      </c>
      <c r="N1421" s="5729" t="s">
        <v>168</v>
      </c>
      <c r="O1421" s="5718" t="s">
        <v>641</v>
      </c>
      <c r="P1421" s="5729" t="s">
        <v>168</v>
      </c>
      <c r="Q1421" s="5717" t="s">
        <v>641</v>
      </c>
      <c r="R1421" s="2468"/>
      <c r="S1421" s="544"/>
      <c r="T1421" s="545"/>
      <c r="U1421" s="546"/>
      <c r="V1421" s="547"/>
      <c r="W1421" s="548"/>
      <c r="X1421" s="277"/>
      <c r="Y1421" s="277"/>
      <c r="Z1421" s="187"/>
      <c r="AA1421" s="6301"/>
      <c r="AB1421" s="139"/>
      <c r="AC1421" s="139"/>
      <c r="AD1421" s="139"/>
      <c r="AE1421" s="139"/>
      <c r="AF1421" s="139"/>
      <c r="AG1421" s="139"/>
      <c r="AH1421" s="139"/>
      <c r="AI1421" s="139"/>
      <c r="AJ1421" s="139"/>
      <c r="AK1421" s="139"/>
      <c r="AL1421" s="139"/>
      <c r="AM1421" s="139"/>
      <c r="AN1421" s="139"/>
      <c r="AO1421" s="139"/>
      <c r="AP1421" s="139"/>
      <c r="AQ1421" s="139"/>
      <c r="AR1421" s="139"/>
      <c r="AS1421" s="139"/>
      <c r="AT1421" s="139"/>
      <c r="AU1421" s="139"/>
      <c r="AV1421" s="139"/>
      <c r="AW1421" s="139"/>
      <c r="AX1421" s="139"/>
      <c r="AY1421" s="139"/>
      <c r="AZ1421" s="139"/>
      <c r="BA1421" s="139"/>
      <c r="BB1421" s="139"/>
      <c r="BC1421" s="139"/>
      <c r="BD1421" s="139"/>
      <c r="BE1421" s="139"/>
      <c r="BF1421" s="139"/>
      <c r="BG1421" s="139"/>
      <c r="BH1421" s="139"/>
    </row>
    <row r="1422" spans="2:60" s="837" customFormat="1" ht="20.100000000000001" customHeight="1">
      <c r="B1422" s="1662"/>
      <c r="C1422" s="9656" t="s">
        <v>1050</v>
      </c>
      <c r="D1422" s="9587"/>
      <c r="E1422" s="9588"/>
      <c r="F1422" s="285" t="s">
        <v>1051</v>
      </c>
      <c r="G1422" s="386"/>
      <c r="H1422" s="9584" t="s">
        <v>1052</v>
      </c>
      <c r="I1422" s="9619"/>
      <c r="J1422" s="9585"/>
      <c r="K1422" s="285" t="s">
        <v>1053</v>
      </c>
      <c r="L1422" s="5653" t="str">
        <f>IF(COUNTBLANK(L1423:L1428)&gt;0,"미취합법인有",SUM(L1423:L1428))</f>
        <v>미취합법인有</v>
      </c>
      <c r="M1422" s="5657"/>
      <c r="N1422" s="5654">
        <f>IF(COUNTBLANK(N1423:N1428)&gt;0,"미취합법인有",SUM(N1423:N1428))</f>
        <v>168.54426002766252</v>
      </c>
      <c r="O1422" s="5663"/>
      <c r="P1422" s="5781">
        <f>IF(COUNTBLANK(P1423:P1428)&gt;0,"미취합법인有",SUM(P1423:P1428))</f>
        <v>180.43541364296081</v>
      </c>
      <c r="Q1422" s="785"/>
      <c r="R1422" s="618" t="s">
        <v>1054</v>
      </c>
      <c r="S1422" s="830" t="s">
        <v>1055</v>
      </c>
      <c r="T1422" s="99" t="s">
        <v>737</v>
      </c>
      <c r="U1422" s="832"/>
      <c r="V1422" s="832"/>
      <c r="W1422" s="831"/>
      <c r="X1422" s="833" t="s">
        <v>1056</v>
      </c>
      <c r="Y1422" s="834"/>
      <c r="Z1422" s="835"/>
      <c r="AA1422" s="6306"/>
      <c r="AB1422" s="30"/>
      <c r="AC1422" s="1377"/>
      <c r="AD1422" s="30"/>
      <c r="AE1422" s="30"/>
      <c r="AF1422" s="30"/>
      <c r="AG1422" s="30"/>
      <c r="AH1422" s="30"/>
      <c r="AI1422" s="30"/>
      <c r="AJ1422" s="30"/>
      <c r="AK1422" s="30"/>
      <c r="AL1422" s="30"/>
      <c r="AM1422" s="30"/>
      <c r="AN1422" s="30"/>
      <c r="AO1422" s="30"/>
      <c r="AP1422" s="30"/>
      <c r="AQ1422" s="30"/>
      <c r="AR1422" s="30"/>
      <c r="AS1422" s="30"/>
      <c r="AT1422" s="30"/>
      <c r="AU1422" s="30"/>
      <c r="AV1422" s="30"/>
      <c r="AW1422" s="30"/>
      <c r="AX1422" s="30"/>
      <c r="AY1422" s="30"/>
      <c r="AZ1422" s="30"/>
      <c r="BA1422" s="30"/>
      <c r="BB1422" s="30"/>
      <c r="BC1422" s="30"/>
      <c r="BD1422" s="30"/>
      <c r="BE1422" s="30"/>
      <c r="BF1422" s="30"/>
      <c r="BG1422" s="30"/>
      <c r="BH1422" s="30"/>
    </row>
    <row r="1423" spans="2:60" s="11" customFormat="1" ht="20.100000000000001" customHeight="1">
      <c r="B1423" s="1360"/>
      <c r="C1423" s="9647" t="s">
        <v>134</v>
      </c>
      <c r="D1423" s="9648"/>
      <c r="E1423" s="9649"/>
      <c r="F1423" s="285" t="s">
        <v>1051</v>
      </c>
      <c r="G1423" s="666"/>
      <c r="H1423" s="9579" t="s">
        <v>135</v>
      </c>
      <c r="I1423" s="9580"/>
      <c r="J1423" s="9581"/>
      <c r="K1423" s="285" t="s">
        <v>1053</v>
      </c>
      <c r="L1423" s="2429" t="s">
        <v>169</v>
      </c>
      <c r="M1423" s="5674"/>
      <c r="N1423" s="5674">
        <v>82.710926694329174</v>
      </c>
      <c r="O1423" s="5674"/>
      <c r="P1423" s="5674">
        <v>92.743105950653117</v>
      </c>
      <c r="Q1423" s="5678"/>
      <c r="R1423" s="2468"/>
      <c r="S1423" s="544"/>
      <c r="T1423" s="545"/>
      <c r="U1423" s="546"/>
      <c r="V1423" s="547"/>
      <c r="W1423" s="548"/>
      <c r="X1423" s="277"/>
      <c r="Y1423" s="277"/>
      <c r="Z1423" s="187"/>
      <c r="AA1423" s="6301"/>
      <c r="AB1423" s="139"/>
      <c r="AC1423" s="139"/>
      <c r="AD1423" s="139"/>
      <c r="AE1423" s="139"/>
      <c r="AF1423" s="139"/>
      <c r="AG1423" s="139"/>
      <c r="AH1423" s="139"/>
      <c r="AI1423" s="139"/>
      <c r="AJ1423" s="139"/>
      <c r="AK1423" s="139"/>
      <c r="AL1423" s="139"/>
      <c r="AM1423" s="139"/>
      <c r="AN1423" s="139"/>
      <c r="AO1423" s="139"/>
      <c r="AP1423" s="139"/>
      <c r="AQ1423" s="139"/>
      <c r="AR1423" s="139"/>
      <c r="AS1423" s="139"/>
      <c r="AT1423" s="139"/>
      <c r="AU1423" s="139"/>
      <c r="AV1423" s="139"/>
      <c r="AW1423" s="139"/>
      <c r="AX1423" s="139"/>
      <c r="AY1423" s="139"/>
      <c r="AZ1423" s="139"/>
      <c r="BA1423" s="139"/>
      <c r="BB1423" s="139"/>
      <c r="BC1423" s="139"/>
      <c r="BD1423" s="139"/>
      <c r="BE1423" s="139"/>
      <c r="BF1423" s="139"/>
      <c r="BG1423" s="139"/>
      <c r="BH1423" s="139"/>
    </row>
    <row r="1424" spans="2:60" s="11" customFormat="1" ht="20.100000000000001" customHeight="1">
      <c r="B1424" s="1360"/>
      <c r="C1424" s="9647" t="s">
        <v>137</v>
      </c>
      <c r="D1424" s="9648"/>
      <c r="E1424" s="9649"/>
      <c r="F1424" s="285" t="s">
        <v>1051</v>
      </c>
      <c r="G1424" s="666"/>
      <c r="H1424" s="9579" t="s">
        <v>138</v>
      </c>
      <c r="I1424" s="9580"/>
      <c r="J1424" s="9581"/>
      <c r="K1424" s="285" t="s">
        <v>1053</v>
      </c>
      <c r="L1424" s="2429" t="s">
        <v>169</v>
      </c>
      <c r="M1424" s="5678"/>
      <c r="N1424" s="5678">
        <v>85.833333333333329</v>
      </c>
      <c r="O1424" s="5678"/>
      <c r="P1424" s="5678">
        <v>87.692307692307693</v>
      </c>
      <c r="Q1424" s="5678"/>
      <c r="R1424" s="2468"/>
      <c r="S1424" s="544"/>
      <c r="T1424" s="545"/>
      <c r="U1424" s="546"/>
      <c r="V1424" s="547"/>
      <c r="W1424" s="548"/>
      <c r="X1424" s="277"/>
      <c r="Y1424" s="277"/>
      <c r="Z1424" s="187"/>
      <c r="AA1424" s="6301"/>
      <c r="AB1424" s="139"/>
      <c r="AC1424" s="139"/>
      <c r="AD1424" s="139"/>
      <c r="AE1424" s="139"/>
      <c r="AF1424" s="139"/>
      <c r="AG1424" s="139"/>
      <c r="AH1424" s="139"/>
      <c r="AI1424" s="139"/>
      <c r="AJ1424" s="139"/>
      <c r="AK1424" s="139"/>
      <c r="AL1424" s="139"/>
      <c r="AM1424" s="139"/>
      <c r="AN1424" s="139"/>
      <c r="AO1424" s="139"/>
      <c r="AP1424" s="139"/>
      <c r="AQ1424" s="139"/>
      <c r="AR1424" s="139"/>
      <c r="AS1424" s="139"/>
      <c r="AT1424" s="139"/>
      <c r="AU1424" s="139"/>
      <c r="AV1424" s="139"/>
      <c r="AW1424" s="139"/>
      <c r="AX1424" s="139"/>
      <c r="AY1424" s="139"/>
      <c r="AZ1424" s="139"/>
      <c r="BA1424" s="139"/>
      <c r="BB1424" s="139"/>
      <c r="BC1424" s="139"/>
      <c r="BD1424" s="139"/>
      <c r="BE1424" s="139"/>
      <c r="BF1424" s="139"/>
      <c r="BG1424" s="139"/>
      <c r="BH1424" s="139"/>
    </row>
    <row r="1425" spans="2:60" s="11" customFormat="1" ht="20.100000000000001" customHeight="1">
      <c r="B1425" s="1360"/>
      <c r="C1425" s="9647" t="s">
        <v>140</v>
      </c>
      <c r="D1425" s="9648"/>
      <c r="E1425" s="9649"/>
      <c r="F1425" s="105" t="s">
        <v>1051</v>
      </c>
      <c r="G1425" s="666"/>
      <c r="H1425" s="9579" t="s">
        <v>141</v>
      </c>
      <c r="I1425" s="9580"/>
      <c r="J1425" s="9581"/>
      <c r="K1425" s="285" t="s">
        <v>1053</v>
      </c>
      <c r="L1425" s="2429"/>
      <c r="M1425" s="5678"/>
      <c r="N1425" s="5678" t="s">
        <v>169</v>
      </c>
      <c r="O1425" s="5678"/>
      <c r="P1425" s="5678" t="s">
        <v>169</v>
      </c>
      <c r="Q1425" s="5678"/>
      <c r="R1425" s="2468"/>
      <c r="S1425" s="544"/>
      <c r="T1425" s="545"/>
      <c r="U1425" s="546"/>
      <c r="V1425" s="547"/>
      <c r="W1425" s="548"/>
      <c r="X1425" s="277"/>
      <c r="Y1425" s="277"/>
      <c r="Z1425" s="187"/>
      <c r="AA1425" s="6301"/>
      <c r="AB1425" s="139"/>
      <c r="AC1425" s="1377" t="s">
        <v>1057</v>
      </c>
      <c r="AD1425" s="139"/>
      <c r="AE1425" s="139"/>
      <c r="AF1425" s="139"/>
      <c r="AG1425" s="139"/>
      <c r="AH1425" s="139"/>
      <c r="AI1425" s="139"/>
      <c r="AJ1425" s="139"/>
      <c r="AK1425" s="139"/>
      <c r="AL1425" s="139"/>
      <c r="AM1425" s="139"/>
      <c r="AN1425" s="139"/>
      <c r="AO1425" s="139"/>
      <c r="AP1425" s="139"/>
      <c r="AQ1425" s="139"/>
      <c r="AR1425" s="139"/>
      <c r="AS1425" s="139"/>
      <c r="AT1425" s="139"/>
      <c r="AU1425" s="139"/>
      <c r="AV1425" s="139"/>
      <c r="AW1425" s="139"/>
      <c r="AX1425" s="139"/>
      <c r="AY1425" s="139"/>
      <c r="AZ1425" s="139"/>
      <c r="BA1425" s="139"/>
      <c r="BB1425" s="139"/>
      <c r="BC1425" s="139"/>
      <c r="BD1425" s="139"/>
      <c r="BE1425" s="139"/>
      <c r="BF1425" s="139"/>
      <c r="BG1425" s="139"/>
      <c r="BH1425" s="139"/>
    </row>
    <row r="1426" spans="2:60" s="11" customFormat="1" ht="20.100000000000001" customHeight="1">
      <c r="B1426" s="1360"/>
      <c r="C1426" s="9647" t="s">
        <v>143</v>
      </c>
      <c r="D1426" s="9648"/>
      <c r="E1426" s="9649"/>
      <c r="F1426" s="105" t="s">
        <v>1051</v>
      </c>
      <c r="G1426" s="666"/>
      <c r="H1426" s="9579" t="s">
        <v>144</v>
      </c>
      <c r="I1426" s="9580"/>
      <c r="J1426" s="9581"/>
      <c r="K1426" s="285" t="s">
        <v>1053</v>
      </c>
      <c r="L1426" s="6024">
        <v>0</v>
      </c>
      <c r="M1426" s="5678"/>
      <c r="N1426" s="5678">
        <v>0</v>
      </c>
      <c r="O1426" s="5678"/>
      <c r="P1426" s="5678" t="s">
        <v>169</v>
      </c>
      <c r="Q1426" s="5678"/>
      <c r="R1426" s="2468"/>
      <c r="S1426" s="544"/>
      <c r="T1426" s="545"/>
      <c r="U1426" s="546"/>
      <c r="V1426" s="547"/>
      <c r="W1426" s="548"/>
      <c r="X1426" s="277"/>
      <c r="Y1426" s="277"/>
      <c r="Z1426" s="187"/>
      <c r="AA1426" s="6301"/>
      <c r="AB1426" s="139"/>
      <c r="AC1426" s="1377" t="s">
        <v>1057</v>
      </c>
      <c r="AD1426" s="139"/>
      <c r="AE1426" s="139"/>
      <c r="AF1426" s="139"/>
      <c r="AG1426" s="139"/>
      <c r="AH1426" s="139"/>
      <c r="AI1426" s="139"/>
      <c r="AJ1426" s="139"/>
      <c r="AK1426" s="139"/>
      <c r="AL1426" s="139"/>
      <c r="AM1426" s="139"/>
      <c r="AN1426" s="139"/>
      <c r="AO1426" s="139"/>
      <c r="AP1426" s="139"/>
      <c r="AQ1426" s="139"/>
      <c r="AR1426" s="139"/>
      <c r="AS1426" s="139"/>
      <c r="AT1426" s="139"/>
      <c r="AU1426" s="139"/>
      <c r="AV1426" s="139"/>
      <c r="AW1426" s="139"/>
      <c r="AX1426" s="139"/>
      <c r="AY1426" s="139"/>
      <c r="AZ1426" s="139"/>
      <c r="BA1426" s="139"/>
      <c r="BB1426" s="139"/>
      <c r="BC1426" s="139"/>
      <c r="BD1426" s="139"/>
      <c r="BE1426" s="139"/>
      <c r="BF1426" s="139"/>
      <c r="BG1426" s="139"/>
      <c r="BH1426" s="139"/>
    </row>
    <row r="1427" spans="2:60" s="11" customFormat="1" ht="20.100000000000001" customHeight="1">
      <c r="B1427" s="1360"/>
      <c r="C1427" s="9647" t="s">
        <v>631</v>
      </c>
      <c r="D1427" s="9648"/>
      <c r="E1427" s="9649"/>
      <c r="F1427" s="105" t="s">
        <v>1051</v>
      </c>
      <c r="G1427" s="666"/>
      <c r="H1427" s="9579" t="s">
        <v>147</v>
      </c>
      <c r="I1427" s="9580"/>
      <c r="J1427" s="9581"/>
      <c r="K1427" s="285" t="s">
        <v>1053</v>
      </c>
      <c r="L1427" s="2429" t="s">
        <v>169</v>
      </c>
      <c r="M1427" s="5678"/>
      <c r="N1427" s="5678" t="s">
        <v>169</v>
      </c>
      <c r="O1427" s="5678"/>
      <c r="P1427" s="5678" t="s">
        <v>169</v>
      </c>
      <c r="Q1427" s="5678"/>
      <c r="R1427" s="2468"/>
      <c r="S1427" s="544"/>
      <c r="T1427" s="545"/>
      <c r="U1427" s="546"/>
      <c r="V1427" s="547"/>
      <c r="W1427" s="548"/>
      <c r="X1427" s="277"/>
      <c r="Y1427" s="277"/>
      <c r="Z1427" s="187"/>
      <c r="AA1427" s="6301"/>
      <c r="AB1427" s="139"/>
      <c r="AC1427" s="1377" t="s">
        <v>1057</v>
      </c>
      <c r="AD1427" s="139"/>
      <c r="AE1427" s="139"/>
      <c r="AF1427" s="139"/>
      <c r="AG1427" s="139"/>
      <c r="AH1427" s="139"/>
      <c r="AI1427" s="139"/>
      <c r="AJ1427" s="139"/>
      <c r="AK1427" s="139"/>
      <c r="AL1427" s="139"/>
      <c r="AM1427" s="139"/>
      <c r="AN1427" s="139"/>
      <c r="AO1427" s="139"/>
      <c r="AP1427" s="139"/>
      <c r="AQ1427" s="139"/>
      <c r="AR1427" s="139"/>
      <c r="AS1427" s="139"/>
      <c r="AT1427" s="139"/>
      <c r="AU1427" s="139"/>
      <c r="AV1427" s="139"/>
      <c r="AW1427" s="139"/>
      <c r="AX1427" s="139"/>
      <c r="AY1427" s="139"/>
      <c r="AZ1427" s="139"/>
      <c r="BA1427" s="139"/>
      <c r="BB1427" s="139"/>
      <c r="BC1427" s="139"/>
      <c r="BD1427" s="139"/>
      <c r="BE1427" s="139"/>
      <c r="BF1427" s="139"/>
      <c r="BG1427" s="139"/>
      <c r="BH1427" s="139"/>
    </row>
    <row r="1428" spans="2:60" s="11" customFormat="1" ht="20.100000000000001" customHeight="1">
      <c r="B1428" s="1360"/>
      <c r="C1428" s="9647" t="s">
        <v>633</v>
      </c>
      <c r="D1428" s="9648"/>
      <c r="E1428" s="9649"/>
      <c r="F1428" s="105" t="s">
        <v>1051</v>
      </c>
      <c r="G1428" s="666"/>
      <c r="H1428" s="9579" t="s">
        <v>150</v>
      </c>
      <c r="I1428" s="9580"/>
      <c r="J1428" s="9581"/>
      <c r="K1428" s="285" t="s">
        <v>1053</v>
      </c>
      <c r="L1428" s="2429" t="s">
        <v>169</v>
      </c>
      <c r="M1428" s="5678"/>
      <c r="N1428" s="5678" t="s">
        <v>169</v>
      </c>
      <c r="O1428" s="5678"/>
      <c r="P1428" s="5678" t="s">
        <v>169</v>
      </c>
      <c r="Q1428" s="5678"/>
      <c r="R1428" s="2468"/>
      <c r="S1428" s="544"/>
      <c r="T1428" s="545"/>
      <c r="U1428" s="546"/>
      <c r="V1428" s="547"/>
      <c r="W1428" s="548"/>
      <c r="X1428" s="277"/>
      <c r="Y1428" s="277"/>
      <c r="Z1428" s="187"/>
      <c r="AA1428" s="6301"/>
      <c r="AB1428" s="139"/>
      <c r="AC1428" s="1377" t="s">
        <v>1057</v>
      </c>
      <c r="AD1428" s="139"/>
      <c r="AE1428" s="139"/>
      <c r="AF1428" s="139"/>
      <c r="AG1428" s="139"/>
      <c r="AH1428" s="139"/>
      <c r="AI1428" s="139"/>
      <c r="AJ1428" s="139"/>
      <c r="AK1428" s="139"/>
      <c r="AL1428" s="139"/>
      <c r="AM1428" s="139"/>
      <c r="AN1428" s="139"/>
      <c r="AO1428" s="139"/>
      <c r="AP1428" s="139"/>
      <c r="AQ1428" s="139"/>
      <c r="AR1428" s="139"/>
      <c r="AS1428" s="139"/>
      <c r="AT1428" s="139"/>
      <c r="AU1428" s="139"/>
      <c r="AV1428" s="139"/>
      <c r="AW1428" s="139"/>
      <c r="AX1428" s="139"/>
      <c r="AY1428" s="139"/>
      <c r="AZ1428" s="139"/>
      <c r="BA1428" s="139"/>
      <c r="BB1428" s="139"/>
      <c r="BC1428" s="139"/>
      <c r="BD1428" s="139"/>
      <c r="BE1428" s="139"/>
      <c r="BF1428" s="139"/>
      <c r="BG1428" s="139"/>
      <c r="BH1428" s="139"/>
    </row>
    <row r="1429" spans="2:60" s="837" customFormat="1" ht="20.100000000000001" customHeight="1">
      <c r="B1429" s="1360"/>
      <c r="C1429" s="614"/>
      <c r="D1429" s="9584" t="s">
        <v>1058</v>
      </c>
      <c r="E1429" s="9585"/>
      <c r="F1429" s="838" t="s">
        <v>742</v>
      </c>
      <c r="G1429" s="386"/>
      <c r="H1429" s="386"/>
      <c r="I1429" s="9584" t="s">
        <v>1059</v>
      </c>
      <c r="J1429" s="9585"/>
      <c r="K1429" s="838" t="s">
        <v>734</v>
      </c>
      <c r="L1429" s="5783">
        <f>IF(COUNTBLANK(L1430:L1435)&gt;0,"미취합법인有",SUM(L1430:L1435))</f>
        <v>0</v>
      </c>
      <c r="M1429" s="5657"/>
      <c r="N1429" s="5785">
        <f>IF(COUNTBLANK(N1430:N1435)&gt;0,"미취합법인有",SUM(N1430:N1435))</f>
        <v>701</v>
      </c>
      <c r="O1429" s="5663"/>
      <c r="P1429" s="5787">
        <f>IF(COUNTBLANK(P1430:P1435)&gt;0,"미취합법인有",SUM(P1430:P1435))</f>
        <v>753</v>
      </c>
      <c r="Q1429" s="785"/>
      <c r="R1429" s="2484"/>
      <c r="S1429" s="841"/>
      <c r="T1429" s="99" t="s">
        <v>737</v>
      </c>
      <c r="U1429" s="832"/>
      <c r="V1429" s="832"/>
      <c r="W1429" s="831"/>
      <c r="X1429" s="833" t="s">
        <v>1056</v>
      </c>
      <c r="Y1429" s="842"/>
      <c r="Z1429" s="843"/>
      <c r="AA1429" s="6306"/>
      <c r="AB1429" s="30"/>
      <c r="AC1429" s="30"/>
      <c r="AD1429" s="30"/>
      <c r="AE1429" s="30"/>
      <c r="AF1429" s="30"/>
      <c r="AG1429" s="30"/>
      <c r="AH1429" s="30"/>
      <c r="AI1429" s="30"/>
      <c r="AJ1429" s="30"/>
      <c r="AK1429" s="30"/>
      <c r="AL1429" s="30"/>
      <c r="AM1429" s="30"/>
      <c r="AN1429" s="30"/>
      <c r="AO1429" s="30"/>
      <c r="AP1429" s="30"/>
      <c r="AQ1429" s="30"/>
      <c r="AR1429" s="30"/>
      <c r="AS1429" s="30"/>
      <c r="AT1429" s="30"/>
      <c r="AU1429" s="30"/>
      <c r="AV1429" s="30"/>
      <c r="AW1429" s="30"/>
      <c r="AX1429" s="30"/>
      <c r="AY1429" s="30"/>
      <c r="AZ1429" s="30"/>
      <c r="BA1429" s="30"/>
      <c r="BB1429" s="30"/>
      <c r="BC1429" s="30"/>
      <c r="BD1429" s="30"/>
      <c r="BE1429" s="30"/>
      <c r="BF1429" s="30"/>
      <c r="BG1429" s="30"/>
      <c r="BH1429" s="30"/>
    </row>
    <row r="1430" spans="2:60" s="11" customFormat="1" ht="20.100000000000001" customHeight="1">
      <c r="B1430" s="1360"/>
      <c r="C1430" s="5598"/>
      <c r="D1430" s="9598" t="s">
        <v>134</v>
      </c>
      <c r="E1430" s="9600"/>
      <c r="F1430" s="285" t="s">
        <v>742</v>
      </c>
      <c r="G1430" s="666"/>
      <c r="H1430" s="666"/>
      <c r="I1430" s="9579" t="s">
        <v>135</v>
      </c>
      <c r="J1430" s="9581"/>
      <c r="K1430" s="838" t="s">
        <v>734</v>
      </c>
      <c r="L1430" s="5696">
        <v>0</v>
      </c>
      <c r="M1430" s="5718" t="s">
        <v>1060</v>
      </c>
      <c r="N1430" s="5729">
        <v>598</v>
      </c>
      <c r="O1430" s="5716" t="s">
        <v>1061</v>
      </c>
      <c r="P1430" s="5855">
        <v>639</v>
      </c>
      <c r="Q1430" s="5717" t="s">
        <v>1062</v>
      </c>
      <c r="R1430" s="2468"/>
      <c r="S1430" s="544"/>
      <c r="T1430" s="545"/>
      <c r="U1430" s="546"/>
      <c r="V1430" s="547"/>
      <c r="W1430" s="548"/>
      <c r="X1430" s="277"/>
      <c r="Y1430" s="277"/>
      <c r="Z1430" s="187"/>
      <c r="AA1430" s="6301"/>
      <c r="AB1430" s="139"/>
      <c r="AC1430" s="139"/>
      <c r="AD1430" s="139"/>
      <c r="AE1430" s="139"/>
      <c r="AF1430" s="139"/>
      <c r="AG1430" s="139"/>
      <c r="AH1430" s="139"/>
      <c r="AI1430" s="139"/>
      <c r="AJ1430" s="139"/>
      <c r="AK1430" s="139"/>
      <c r="AL1430" s="139"/>
      <c r="AM1430" s="139"/>
      <c r="AN1430" s="139"/>
      <c r="AO1430" s="139"/>
      <c r="AP1430" s="139"/>
      <c r="AQ1430" s="139"/>
      <c r="AR1430" s="139"/>
      <c r="AS1430" s="139"/>
      <c r="AT1430" s="139"/>
      <c r="AU1430" s="139"/>
      <c r="AV1430" s="139"/>
      <c r="AW1430" s="139"/>
      <c r="AX1430" s="139"/>
      <c r="AY1430" s="139"/>
      <c r="AZ1430" s="139"/>
      <c r="BA1430" s="139"/>
      <c r="BB1430" s="139"/>
      <c r="BC1430" s="139"/>
      <c r="BD1430" s="139"/>
      <c r="BE1430" s="139"/>
      <c r="BF1430" s="139"/>
      <c r="BG1430" s="139"/>
      <c r="BH1430" s="139"/>
    </row>
    <row r="1431" spans="2:60" s="11" customFormat="1" ht="20.100000000000001" customHeight="1">
      <c r="B1431" s="1360"/>
      <c r="C1431" s="5598"/>
      <c r="D1431" s="9598" t="s">
        <v>137</v>
      </c>
      <c r="E1431" s="9600"/>
      <c r="F1431" s="285" t="s">
        <v>742</v>
      </c>
      <c r="G1431" s="666"/>
      <c r="H1431" s="666"/>
      <c r="I1431" s="9579" t="s">
        <v>138</v>
      </c>
      <c r="J1431" s="9581"/>
      <c r="K1431" s="838" t="s">
        <v>734</v>
      </c>
      <c r="L1431" s="5705">
        <v>0</v>
      </c>
      <c r="M1431" s="5719" t="s">
        <v>1063</v>
      </c>
      <c r="N1431" s="5730">
        <v>103</v>
      </c>
      <c r="O1431" s="5720" t="s">
        <v>1064</v>
      </c>
      <c r="P1431" s="5856">
        <v>114</v>
      </c>
      <c r="Q1431" s="5717"/>
      <c r="R1431" s="2468"/>
      <c r="S1431" s="544"/>
      <c r="T1431" s="545"/>
      <c r="U1431" s="546"/>
      <c r="V1431" s="547"/>
      <c r="W1431" s="548"/>
      <c r="X1431" s="277"/>
      <c r="Y1431" s="277"/>
      <c r="Z1431" s="187"/>
      <c r="AA1431" s="6301"/>
      <c r="AB1431" s="139"/>
      <c r="AC1431" s="139"/>
      <c r="AD1431" s="139"/>
      <c r="AE1431" s="139"/>
      <c r="AF1431" s="139"/>
      <c r="AG1431" s="139"/>
      <c r="AH1431" s="139"/>
      <c r="AI1431" s="139"/>
      <c r="AJ1431" s="139"/>
      <c r="AK1431" s="139"/>
      <c r="AL1431" s="139"/>
      <c r="AM1431" s="139"/>
      <c r="AN1431" s="139"/>
      <c r="AO1431" s="139"/>
      <c r="AP1431" s="139"/>
      <c r="AQ1431" s="139"/>
      <c r="AR1431" s="139"/>
      <c r="AS1431" s="139"/>
      <c r="AT1431" s="139"/>
      <c r="AU1431" s="139"/>
      <c r="AV1431" s="139"/>
      <c r="AW1431" s="139"/>
      <c r="AX1431" s="139"/>
      <c r="AY1431" s="139"/>
      <c r="AZ1431" s="139"/>
      <c r="BA1431" s="139"/>
      <c r="BB1431" s="139"/>
      <c r="BC1431" s="139"/>
      <c r="BD1431" s="139"/>
      <c r="BE1431" s="139"/>
      <c r="BF1431" s="139"/>
      <c r="BG1431" s="139"/>
      <c r="BH1431" s="139"/>
    </row>
    <row r="1432" spans="2:60" s="11" customFormat="1" ht="20.100000000000001" customHeight="1">
      <c r="B1432" s="1360"/>
      <c r="C1432" s="5598"/>
      <c r="D1432" s="9598" t="s">
        <v>140</v>
      </c>
      <c r="E1432" s="9600"/>
      <c r="F1432" s="285" t="s">
        <v>742</v>
      </c>
      <c r="G1432" s="666"/>
      <c r="H1432" s="666"/>
      <c r="I1432" s="9582" t="s">
        <v>141</v>
      </c>
      <c r="J1432" s="9583"/>
      <c r="K1432" s="838" t="s">
        <v>734</v>
      </c>
      <c r="L1432" s="5696">
        <v>0</v>
      </c>
      <c r="M1432" s="5718" t="s">
        <v>1065</v>
      </c>
      <c r="N1432" s="5729">
        <v>0</v>
      </c>
      <c r="O1432" s="5716" t="s">
        <v>1065</v>
      </c>
      <c r="P1432" s="5855">
        <v>0</v>
      </c>
      <c r="Q1432" s="5717"/>
      <c r="R1432" s="2468"/>
      <c r="S1432" s="544"/>
      <c r="T1432" s="545"/>
      <c r="U1432" s="546"/>
      <c r="V1432" s="547"/>
      <c r="W1432" s="548"/>
      <c r="X1432" s="277"/>
      <c r="Y1432" s="277"/>
      <c r="Z1432" s="187"/>
      <c r="AA1432" s="6301"/>
      <c r="AB1432" s="139"/>
      <c r="AC1432" s="1377" t="s">
        <v>1057</v>
      </c>
      <c r="AD1432" s="139"/>
      <c r="AE1432" s="139"/>
      <c r="AF1432" s="139"/>
      <c r="AG1432" s="139"/>
      <c r="AH1432" s="139"/>
      <c r="AI1432" s="139"/>
      <c r="AJ1432" s="139"/>
      <c r="AK1432" s="139"/>
      <c r="AL1432" s="139"/>
      <c r="AM1432" s="139"/>
      <c r="AN1432" s="139"/>
      <c r="AO1432" s="139"/>
      <c r="AP1432" s="139"/>
      <c r="AQ1432" s="139"/>
      <c r="AR1432" s="139"/>
      <c r="AS1432" s="139"/>
      <c r="AT1432" s="139"/>
      <c r="AU1432" s="139"/>
      <c r="AV1432" s="139"/>
      <c r="AW1432" s="139"/>
      <c r="AX1432" s="139"/>
      <c r="AY1432" s="139"/>
      <c r="AZ1432" s="139"/>
      <c r="BA1432" s="139"/>
      <c r="BB1432" s="139"/>
      <c r="BC1432" s="139"/>
      <c r="BD1432" s="139"/>
      <c r="BE1432" s="139"/>
      <c r="BF1432" s="139"/>
      <c r="BG1432" s="139"/>
      <c r="BH1432" s="139"/>
    </row>
    <row r="1433" spans="2:60" s="11" customFormat="1" ht="20.100000000000001" customHeight="1">
      <c r="B1433" s="1360"/>
      <c r="C1433" s="5598"/>
      <c r="D1433" s="9598" t="s">
        <v>143</v>
      </c>
      <c r="E1433" s="9600"/>
      <c r="F1433" s="285" t="s">
        <v>742</v>
      </c>
      <c r="G1433" s="666"/>
      <c r="H1433" s="666"/>
      <c r="I1433" s="9582" t="s">
        <v>144</v>
      </c>
      <c r="J1433" s="9583"/>
      <c r="K1433" s="838" t="s">
        <v>734</v>
      </c>
      <c r="L1433" s="5959" t="s">
        <v>168</v>
      </c>
      <c r="M1433" s="5716" t="s">
        <v>1066</v>
      </c>
      <c r="N1433" s="5855" t="s">
        <v>168</v>
      </c>
      <c r="O1433" s="5716" t="s">
        <v>1066</v>
      </c>
      <c r="P1433" s="5855" t="s">
        <v>168</v>
      </c>
      <c r="Q1433" s="5717"/>
      <c r="R1433" s="2468"/>
      <c r="S1433" s="544"/>
      <c r="T1433" s="545"/>
      <c r="U1433" s="546"/>
      <c r="V1433" s="547"/>
      <c r="W1433" s="548"/>
      <c r="X1433" s="277"/>
      <c r="Y1433" s="277"/>
      <c r="Z1433" s="187"/>
      <c r="AA1433" s="6301"/>
      <c r="AB1433" s="139"/>
      <c r="AC1433" s="1377" t="s">
        <v>1057</v>
      </c>
      <c r="AD1433" s="139"/>
      <c r="AE1433" s="139"/>
      <c r="AF1433" s="139"/>
      <c r="AG1433" s="139"/>
      <c r="AH1433" s="139"/>
      <c r="AI1433" s="139"/>
      <c r="AJ1433" s="139"/>
      <c r="AK1433" s="139"/>
      <c r="AL1433" s="139"/>
      <c r="AM1433" s="139"/>
      <c r="AN1433" s="139"/>
      <c r="AO1433" s="139"/>
      <c r="AP1433" s="139"/>
      <c r="AQ1433" s="139"/>
      <c r="AR1433" s="139"/>
      <c r="AS1433" s="139"/>
      <c r="AT1433" s="139"/>
      <c r="AU1433" s="139"/>
      <c r="AV1433" s="139"/>
      <c r="AW1433" s="139"/>
      <c r="AX1433" s="139"/>
      <c r="AY1433" s="139"/>
      <c r="AZ1433" s="139"/>
      <c r="BA1433" s="139"/>
      <c r="BB1433" s="139"/>
      <c r="BC1433" s="139"/>
      <c r="BD1433" s="139"/>
      <c r="BE1433" s="139"/>
      <c r="BF1433" s="139"/>
      <c r="BG1433" s="139"/>
      <c r="BH1433" s="139"/>
    </row>
    <row r="1434" spans="2:60" s="11" customFormat="1" ht="20.100000000000001" customHeight="1">
      <c r="B1434" s="1360"/>
      <c r="C1434" s="5598"/>
      <c r="D1434" s="9598" t="s">
        <v>631</v>
      </c>
      <c r="E1434" s="9600"/>
      <c r="F1434" s="285" t="s">
        <v>742</v>
      </c>
      <c r="G1434" s="666"/>
      <c r="H1434" s="666"/>
      <c r="I1434" s="9582" t="s">
        <v>147</v>
      </c>
      <c r="J1434" s="9583"/>
      <c r="K1434" s="838" t="s">
        <v>734</v>
      </c>
      <c r="L1434" s="5959" t="s">
        <v>168</v>
      </c>
      <c r="M1434" s="5718" t="s">
        <v>1067</v>
      </c>
      <c r="N1434" s="5855" t="s">
        <v>168</v>
      </c>
      <c r="O1434" s="5716" t="s">
        <v>1068</v>
      </c>
      <c r="P1434" s="5855">
        <v>0</v>
      </c>
      <c r="Q1434" s="5717"/>
      <c r="R1434" s="2468"/>
      <c r="S1434" s="544"/>
      <c r="T1434" s="545"/>
      <c r="U1434" s="546"/>
      <c r="V1434" s="547"/>
      <c r="W1434" s="548"/>
      <c r="X1434" s="277"/>
      <c r="Y1434" s="277"/>
      <c r="Z1434" s="187"/>
      <c r="AA1434" s="6301"/>
      <c r="AB1434" s="139"/>
      <c r="AC1434" s="1377" t="s">
        <v>1057</v>
      </c>
      <c r="AD1434" s="139"/>
      <c r="AE1434" s="139"/>
      <c r="AF1434" s="139"/>
      <c r="AG1434" s="139"/>
      <c r="AH1434" s="139"/>
      <c r="AI1434" s="139"/>
      <c r="AJ1434" s="139"/>
      <c r="AK1434" s="139"/>
      <c r="AL1434" s="139"/>
      <c r="AM1434" s="139"/>
      <c r="AN1434" s="139"/>
      <c r="AO1434" s="139"/>
      <c r="AP1434" s="139"/>
      <c r="AQ1434" s="139"/>
      <c r="AR1434" s="139"/>
      <c r="AS1434" s="139"/>
      <c r="AT1434" s="139"/>
      <c r="AU1434" s="139"/>
      <c r="AV1434" s="139"/>
      <c r="AW1434" s="139"/>
      <c r="AX1434" s="139"/>
      <c r="AY1434" s="139"/>
      <c r="AZ1434" s="139"/>
      <c r="BA1434" s="139"/>
      <c r="BB1434" s="139"/>
      <c r="BC1434" s="139"/>
      <c r="BD1434" s="139"/>
      <c r="BE1434" s="139"/>
      <c r="BF1434" s="139"/>
      <c r="BG1434" s="139"/>
      <c r="BH1434" s="139"/>
    </row>
    <row r="1435" spans="2:60" s="11" customFormat="1" ht="20.100000000000001" customHeight="1">
      <c r="B1435" s="1360"/>
      <c r="C1435" s="5598"/>
      <c r="D1435" s="9598" t="s">
        <v>633</v>
      </c>
      <c r="E1435" s="9600"/>
      <c r="F1435" s="285" t="s">
        <v>742</v>
      </c>
      <c r="G1435" s="666"/>
      <c r="H1435" s="666"/>
      <c r="I1435" s="9582" t="s">
        <v>150</v>
      </c>
      <c r="J1435" s="9583"/>
      <c r="K1435" s="838" t="s">
        <v>734</v>
      </c>
      <c r="L1435" s="5959" t="s">
        <v>168</v>
      </c>
      <c r="M1435" s="5718" t="s">
        <v>641</v>
      </c>
      <c r="N1435" s="5729" t="s">
        <v>168</v>
      </c>
      <c r="O1435" s="5718" t="s">
        <v>641</v>
      </c>
      <c r="P1435" s="5729" t="s">
        <v>168</v>
      </c>
      <c r="Q1435" s="5717" t="s">
        <v>641</v>
      </c>
      <c r="R1435" s="2468"/>
      <c r="S1435" s="544"/>
      <c r="T1435" s="545"/>
      <c r="U1435" s="546"/>
      <c r="V1435" s="547"/>
      <c r="W1435" s="548"/>
      <c r="X1435" s="277"/>
      <c r="Y1435" s="277"/>
      <c r="Z1435" s="187"/>
      <c r="AA1435" s="6301"/>
      <c r="AB1435" s="139"/>
      <c r="AC1435" s="1377" t="s">
        <v>1057</v>
      </c>
      <c r="AD1435" s="139"/>
      <c r="AE1435" s="139"/>
      <c r="AF1435" s="139"/>
      <c r="AG1435" s="139"/>
      <c r="AH1435" s="139"/>
      <c r="AI1435" s="139"/>
      <c r="AJ1435" s="139"/>
      <c r="AK1435" s="139"/>
      <c r="AL1435" s="139"/>
      <c r="AM1435" s="139"/>
      <c r="AN1435" s="139"/>
      <c r="AO1435" s="139"/>
      <c r="AP1435" s="139"/>
      <c r="AQ1435" s="139"/>
      <c r="AR1435" s="139"/>
      <c r="AS1435" s="139"/>
      <c r="AT1435" s="139"/>
      <c r="AU1435" s="139"/>
      <c r="AV1435" s="139"/>
      <c r="AW1435" s="139"/>
      <c r="AX1435" s="139"/>
      <c r="AY1435" s="139"/>
      <c r="AZ1435" s="139"/>
      <c r="BA1435" s="139"/>
      <c r="BB1435" s="139"/>
      <c r="BC1435" s="139"/>
      <c r="BD1435" s="139"/>
      <c r="BE1435" s="139"/>
      <c r="BF1435" s="139"/>
      <c r="BG1435" s="139"/>
      <c r="BH1435" s="139"/>
    </row>
    <row r="1436" spans="2:60" s="837" customFormat="1" ht="20.100000000000001" customHeight="1">
      <c r="B1436" s="1360"/>
      <c r="C1436" s="614"/>
      <c r="D1436" s="9584" t="s">
        <v>1069</v>
      </c>
      <c r="E1436" s="9585"/>
      <c r="F1436" s="838" t="s">
        <v>742</v>
      </c>
      <c r="G1436" s="386"/>
      <c r="H1436" s="386"/>
      <c r="I1436" s="9584" t="s">
        <v>1070</v>
      </c>
      <c r="J1436" s="9585"/>
      <c r="K1436" s="838" t="s">
        <v>734</v>
      </c>
      <c r="L1436" s="5783">
        <f>IF(COUNTBLANK(L1437:L1442)&gt;0,"미취합법인有",SUM(L1437:L1442))</f>
        <v>564</v>
      </c>
      <c r="M1436" s="5657"/>
      <c r="N1436" s="5785">
        <f>IF(COUNTBLANK(N1437:N1442)&gt;0,"미취합법인有",SUM(N1437:N1442))</f>
        <v>1420</v>
      </c>
      <c r="O1436" s="5663"/>
      <c r="P1436" s="5781">
        <f>IF(COUNTBLANK(P1437:P1442)&gt;0,"미취합법인有",SUM(P1437:P1442))</f>
        <v>819</v>
      </c>
      <c r="Q1436" s="785"/>
      <c r="R1436" s="2484"/>
      <c r="S1436" s="841"/>
      <c r="T1436" s="99" t="s">
        <v>737</v>
      </c>
      <c r="U1436" s="832"/>
      <c r="V1436" s="832"/>
      <c r="W1436" s="831"/>
      <c r="X1436" s="833" t="s">
        <v>1056</v>
      </c>
      <c r="Y1436" s="842"/>
      <c r="Z1436" s="843"/>
      <c r="AA1436" s="6306"/>
      <c r="AB1436" s="30"/>
      <c r="AC1436" s="30"/>
      <c r="AD1436" s="30"/>
      <c r="AE1436" s="30"/>
      <c r="AF1436" s="30"/>
      <c r="AG1436" s="30"/>
      <c r="AH1436" s="30"/>
      <c r="AI1436" s="30"/>
      <c r="AJ1436" s="30"/>
      <c r="AK1436" s="30"/>
      <c r="AL1436" s="30"/>
      <c r="AM1436" s="30"/>
      <c r="AN1436" s="30"/>
      <c r="AO1436" s="30"/>
      <c r="AP1436" s="30"/>
      <c r="AQ1436" s="30"/>
      <c r="AR1436" s="30"/>
      <c r="AS1436" s="30"/>
      <c r="AT1436" s="30"/>
      <c r="AU1436" s="30"/>
      <c r="AV1436" s="30"/>
      <c r="AW1436" s="30"/>
      <c r="AX1436" s="30"/>
      <c r="AY1436" s="30"/>
      <c r="AZ1436" s="30"/>
      <c r="BA1436" s="30"/>
      <c r="BB1436" s="30"/>
      <c r="BC1436" s="30"/>
      <c r="BD1436" s="30"/>
      <c r="BE1436" s="30"/>
      <c r="BF1436" s="30"/>
      <c r="BG1436" s="30"/>
      <c r="BH1436" s="30"/>
    </row>
    <row r="1437" spans="2:60" s="11" customFormat="1" ht="20.100000000000001" customHeight="1">
      <c r="B1437" s="1360"/>
      <c r="C1437" s="5598"/>
      <c r="D1437" s="9598" t="s">
        <v>134</v>
      </c>
      <c r="E1437" s="9600"/>
      <c r="F1437" s="285" t="s">
        <v>742</v>
      </c>
      <c r="G1437" s="666"/>
      <c r="H1437" s="666"/>
      <c r="I1437" s="9579" t="s">
        <v>135</v>
      </c>
      <c r="J1437" s="9581"/>
      <c r="K1437" s="838" t="s">
        <v>734</v>
      </c>
      <c r="L1437" s="6368">
        <v>0</v>
      </c>
      <c r="M1437" s="5718" t="s">
        <v>1060</v>
      </c>
      <c r="N1437" s="5729">
        <v>723</v>
      </c>
      <c r="O1437" s="5716" t="s">
        <v>1071</v>
      </c>
      <c r="P1437" s="5855">
        <v>689</v>
      </c>
      <c r="Q1437" s="5717" t="s">
        <v>1072</v>
      </c>
      <c r="R1437" s="2468"/>
      <c r="S1437" s="544"/>
      <c r="T1437" s="545"/>
      <c r="U1437" s="546"/>
      <c r="V1437" s="547"/>
      <c r="W1437" s="548"/>
      <c r="X1437" s="277"/>
      <c r="Y1437" s="277"/>
      <c r="Z1437" s="187"/>
      <c r="AA1437" s="6301"/>
      <c r="AB1437" s="139"/>
      <c r="AC1437" s="139"/>
      <c r="AD1437" s="139"/>
      <c r="AE1437" s="139"/>
      <c r="AF1437" s="139"/>
      <c r="AG1437" s="139"/>
      <c r="AH1437" s="139"/>
      <c r="AI1437" s="139"/>
      <c r="AJ1437" s="139"/>
      <c r="AK1437" s="139"/>
      <c r="AL1437" s="139"/>
      <c r="AM1437" s="139"/>
      <c r="AN1437" s="139"/>
      <c r="AO1437" s="139"/>
      <c r="AP1437" s="139"/>
      <c r="AQ1437" s="139"/>
      <c r="AR1437" s="139"/>
      <c r="AS1437" s="139"/>
      <c r="AT1437" s="139"/>
      <c r="AU1437" s="139"/>
      <c r="AV1437" s="139"/>
      <c r="AW1437" s="139"/>
      <c r="AX1437" s="139"/>
      <c r="AY1437" s="139"/>
      <c r="AZ1437" s="139"/>
      <c r="BA1437" s="139"/>
      <c r="BB1437" s="139"/>
      <c r="BC1437" s="139"/>
      <c r="BD1437" s="139"/>
      <c r="BE1437" s="139"/>
      <c r="BF1437" s="139"/>
      <c r="BG1437" s="139"/>
      <c r="BH1437" s="139"/>
    </row>
    <row r="1438" spans="2:60" s="11" customFormat="1" ht="20.100000000000001" customHeight="1">
      <c r="B1438" s="1360"/>
      <c r="C1438" s="5598"/>
      <c r="D1438" s="9598" t="s">
        <v>137</v>
      </c>
      <c r="E1438" s="9600"/>
      <c r="F1438" s="285" t="s">
        <v>742</v>
      </c>
      <c r="G1438" s="666"/>
      <c r="H1438" s="666"/>
      <c r="I1438" s="9579" t="s">
        <v>138</v>
      </c>
      <c r="J1438" s="9581"/>
      <c r="K1438" s="838" t="s">
        <v>734</v>
      </c>
      <c r="L1438" s="5705">
        <v>0</v>
      </c>
      <c r="M1438" s="5719" t="s">
        <v>1063</v>
      </c>
      <c r="N1438" s="5730">
        <v>120</v>
      </c>
      <c r="O1438" s="5720"/>
      <c r="P1438" s="5856">
        <v>130</v>
      </c>
      <c r="Q1438" s="5717"/>
      <c r="R1438" s="2468"/>
      <c r="S1438" s="544"/>
      <c r="T1438" s="545"/>
      <c r="U1438" s="546"/>
      <c r="V1438" s="547"/>
      <c r="W1438" s="548"/>
      <c r="X1438" s="277"/>
      <c r="Y1438" s="277"/>
      <c r="Z1438" s="187"/>
      <c r="AA1438" s="6301"/>
      <c r="AB1438" s="139"/>
      <c r="AC1438" s="139"/>
      <c r="AD1438" s="139"/>
      <c r="AE1438" s="139"/>
      <c r="AF1438" s="139"/>
      <c r="AG1438" s="139"/>
      <c r="AH1438" s="139"/>
      <c r="AI1438" s="139"/>
      <c r="AJ1438" s="139"/>
      <c r="AK1438" s="139"/>
      <c r="AL1438" s="139"/>
      <c r="AM1438" s="139"/>
      <c r="AN1438" s="139"/>
      <c r="AO1438" s="139"/>
      <c r="AP1438" s="139"/>
      <c r="AQ1438" s="139"/>
      <c r="AR1438" s="139"/>
      <c r="AS1438" s="139"/>
      <c r="AT1438" s="139"/>
      <c r="AU1438" s="139"/>
      <c r="AV1438" s="139"/>
      <c r="AW1438" s="139"/>
      <c r="AX1438" s="139"/>
      <c r="AY1438" s="139"/>
      <c r="AZ1438" s="139"/>
      <c r="BA1438" s="139"/>
      <c r="BB1438" s="139"/>
      <c r="BC1438" s="139"/>
      <c r="BD1438" s="139"/>
      <c r="BE1438" s="139"/>
      <c r="BF1438" s="139"/>
      <c r="BG1438" s="139"/>
      <c r="BH1438" s="139"/>
    </row>
    <row r="1439" spans="2:60" s="11" customFormat="1" ht="20.100000000000001" customHeight="1">
      <c r="B1439" s="1360"/>
      <c r="C1439" s="5598"/>
      <c r="D1439" s="9598" t="s">
        <v>140</v>
      </c>
      <c r="E1439" s="9600"/>
      <c r="F1439" s="285" t="s">
        <v>742</v>
      </c>
      <c r="G1439" s="666"/>
      <c r="H1439" s="666"/>
      <c r="I1439" s="9582" t="s">
        <v>141</v>
      </c>
      <c r="J1439" s="9583"/>
      <c r="K1439" s="838" t="s">
        <v>734</v>
      </c>
      <c r="L1439" s="5696">
        <v>0</v>
      </c>
      <c r="M1439" s="5718" t="s">
        <v>1065</v>
      </c>
      <c r="N1439" s="5729">
        <v>0</v>
      </c>
      <c r="O1439" s="5716" t="s">
        <v>1065</v>
      </c>
      <c r="P1439" s="5855">
        <v>0</v>
      </c>
      <c r="Q1439" s="5717"/>
      <c r="R1439" s="2468"/>
      <c r="S1439" s="544"/>
      <c r="T1439" s="545"/>
      <c r="U1439" s="546"/>
      <c r="V1439" s="547"/>
      <c r="W1439" s="548"/>
      <c r="X1439" s="277"/>
      <c r="Y1439" s="277"/>
      <c r="Z1439" s="187"/>
      <c r="AA1439" s="6301"/>
      <c r="AB1439" s="139"/>
      <c r="AC1439" s="1377" t="s">
        <v>1057</v>
      </c>
      <c r="AD1439" s="139"/>
      <c r="AE1439" s="139"/>
      <c r="AF1439" s="139"/>
      <c r="AG1439" s="139"/>
      <c r="AH1439" s="139"/>
      <c r="AI1439" s="139"/>
      <c r="AJ1439" s="139"/>
      <c r="AK1439" s="139"/>
      <c r="AL1439" s="139"/>
      <c r="AM1439" s="139"/>
      <c r="AN1439" s="139"/>
      <c r="AO1439" s="139"/>
      <c r="AP1439" s="139"/>
      <c r="AQ1439" s="139"/>
      <c r="AR1439" s="139"/>
      <c r="AS1439" s="139"/>
      <c r="AT1439" s="139"/>
      <c r="AU1439" s="139"/>
      <c r="AV1439" s="139"/>
      <c r="AW1439" s="139"/>
      <c r="AX1439" s="139"/>
      <c r="AY1439" s="139"/>
      <c r="AZ1439" s="139"/>
      <c r="BA1439" s="139"/>
      <c r="BB1439" s="139"/>
      <c r="BC1439" s="139"/>
      <c r="BD1439" s="139"/>
      <c r="BE1439" s="139"/>
      <c r="BF1439" s="139"/>
      <c r="BG1439" s="139"/>
      <c r="BH1439" s="139"/>
    </row>
    <row r="1440" spans="2:60" s="11" customFormat="1" ht="20.100000000000001" customHeight="1">
      <c r="B1440" s="1360"/>
      <c r="C1440" s="5598"/>
      <c r="D1440" s="9598" t="s">
        <v>143</v>
      </c>
      <c r="E1440" s="9600"/>
      <c r="F1440" s="285" t="s">
        <v>742</v>
      </c>
      <c r="G1440" s="666"/>
      <c r="H1440" s="666"/>
      <c r="I1440" s="9582" t="s">
        <v>144</v>
      </c>
      <c r="J1440" s="9583"/>
      <c r="K1440" s="838" t="s">
        <v>734</v>
      </c>
      <c r="L1440" s="5696">
        <v>564</v>
      </c>
      <c r="M1440" s="5718" t="s">
        <v>1073</v>
      </c>
      <c r="N1440" s="5729">
        <v>577</v>
      </c>
      <c r="O1440" s="5716" t="s">
        <v>1073</v>
      </c>
      <c r="P1440" s="5855">
        <v>0</v>
      </c>
      <c r="Q1440" s="5717"/>
      <c r="R1440" s="2468"/>
      <c r="S1440" s="544"/>
      <c r="T1440" s="545"/>
      <c r="U1440" s="546"/>
      <c r="V1440" s="547"/>
      <c r="W1440" s="548"/>
      <c r="X1440" s="277"/>
      <c r="Y1440" s="277"/>
      <c r="Z1440" s="187"/>
      <c r="AA1440" s="6301"/>
      <c r="AB1440" s="139"/>
      <c r="AC1440" s="1377" t="s">
        <v>1057</v>
      </c>
      <c r="AD1440" s="139"/>
      <c r="AE1440" s="139"/>
      <c r="AF1440" s="139"/>
      <c r="AG1440" s="139"/>
      <c r="AH1440" s="139"/>
      <c r="AI1440" s="139"/>
      <c r="AJ1440" s="139"/>
      <c r="AK1440" s="139"/>
      <c r="AL1440" s="139"/>
      <c r="AM1440" s="139"/>
      <c r="AN1440" s="139"/>
      <c r="AO1440" s="139"/>
      <c r="AP1440" s="139"/>
      <c r="AQ1440" s="139"/>
      <c r="AR1440" s="139"/>
      <c r="AS1440" s="139"/>
      <c r="AT1440" s="139"/>
      <c r="AU1440" s="139"/>
      <c r="AV1440" s="139"/>
      <c r="AW1440" s="139"/>
      <c r="AX1440" s="139"/>
      <c r="AY1440" s="139"/>
      <c r="AZ1440" s="139"/>
      <c r="BA1440" s="139"/>
      <c r="BB1440" s="139"/>
      <c r="BC1440" s="139"/>
      <c r="BD1440" s="139"/>
      <c r="BE1440" s="139"/>
      <c r="BF1440" s="139"/>
      <c r="BG1440" s="139"/>
      <c r="BH1440" s="139"/>
    </row>
    <row r="1441" spans="2:60" s="11" customFormat="1" ht="20.100000000000001" customHeight="1">
      <c r="B1441" s="1360"/>
      <c r="C1441" s="5598"/>
      <c r="D1441" s="9598" t="s">
        <v>631</v>
      </c>
      <c r="E1441" s="9600"/>
      <c r="F1441" s="285" t="s">
        <v>742</v>
      </c>
      <c r="G1441" s="666"/>
      <c r="H1441" s="666"/>
      <c r="I1441" s="9582" t="s">
        <v>147</v>
      </c>
      <c r="J1441" s="9583"/>
      <c r="K1441" s="838" t="s">
        <v>734</v>
      </c>
      <c r="L1441" s="5959" t="s">
        <v>168</v>
      </c>
      <c r="M1441" s="5718" t="s">
        <v>1067</v>
      </c>
      <c r="N1441" s="5855" t="s">
        <v>168</v>
      </c>
      <c r="O1441" s="5716" t="s">
        <v>1068</v>
      </c>
      <c r="P1441" s="5855">
        <v>0</v>
      </c>
      <c r="Q1441" s="5717"/>
      <c r="R1441" s="2468"/>
      <c r="S1441" s="544"/>
      <c r="T1441" s="545"/>
      <c r="U1441" s="546"/>
      <c r="V1441" s="547"/>
      <c r="W1441" s="548"/>
      <c r="X1441" s="277"/>
      <c r="Y1441" s="277"/>
      <c r="Z1441" s="187"/>
      <c r="AA1441" s="6301"/>
      <c r="AB1441" s="139"/>
      <c r="AC1441" s="1377" t="s">
        <v>1057</v>
      </c>
      <c r="AD1441" s="139"/>
      <c r="AE1441" s="139"/>
      <c r="AF1441" s="139"/>
      <c r="AG1441" s="139"/>
      <c r="AH1441" s="139"/>
      <c r="AI1441" s="139"/>
      <c r="AJ1441" s="139"/>
      <c r="AK1441" s="139"/>
      <c r="AL1441" s="139"/>
      <c r="AM1441" s="139"/>
      <c r="AN1441" s="139"/>
      <c r="AO1441" s="139"/>
      <c r="AP1441" s="139"/>
      <c r="AQ1441" s="139"/>
      <c r="AR1441" s="139"/>
      <c r="AS1441" s="139"/>
      <c r="AT1441" s="139"/>
      <c r="AU1441" s="139"/>
      <c r="AV1441" s="139"/>
      <c r="AW1441" s="139"/>
      <c r="AX1441" s="139"/>
      <c r="AY1441" s="139"/>
      <c r="AZ1441" s="139"/>
      <c r="BA1441" s="139"/>
      <c r="BB1441" s="139"/>
      <c r="BC1441" s="139"/>
      <c r="BD1441" s="139"/>
      <c r="BE1441" s="139"/>
      <c r="BF1441" s="139"/>
      <c r="BG1441" s="139"/>
      <c r="BH1441" s="139"/>
    </row>
    <row r="1442" spans="2:60" s="11" customFormat="1" ht="20.100000000000001" customHeight="1" thickBot="1">
      <c r="B1442" s="1360"/>
      <c r="C1442" s="5598"/>
      <c r="D1442" s="9598" t="s">
        <v>633</v>
      </c>
      <c r="E1442" s="9600"/>
      <c r="F1442" s="285" t="s">
        <v>742</v>
      </c>
      <c r="G1442" s="6161"/>
      <c r="H1442" s="6161"/>
      <c r="I1442" s="9582" t="s">
        <v>150</v>
      </c>
      <c r="J1442" s="9583"/>
      <c r="K1442" s="838" t="s">
        <v>734</v>
      </c>
      <c r="L1442" s="5959" t="s">
        <v>168</v>
      </c>
      <c r="M1442" s="5718" t="s">
        <v>641</v>
      </c>
      <c r="N1442" s="5729" t="s">
        <v>168</v>
      </c>
      <c r="O1442" s="5718" t="s">
        <v>641</v>
      </c>
      <c r="P1442" s="5729" t="s">
        <v>168</v>
      </c>
      <c r="Q1442" s="5717" t="s">
        <v>641</v>
      </c>
      <c r="R1442" s="2468"/>
      <c r="S1442" s="544"/>
      <c r="T1442" s="545"/>
      <c r="U1442" s="546"/>
      <c r="V1442" s="547"/>
      <c r="W1442" s="548"/>
      <c r="X1442" s="277"/>
      <c r="Y1442" s="277"/>
      <c r="Z1442" s="187"/>
      <c r="AA1442" s="6301"/>
      <c r="AB1442" s="139"/>
      <c r="AC1442" s="1377" t="s">
        <v>1057</v>
      </c>
      <c r="AD1442" s="139"/>
      <c r="AE1442" s="139"/>
      <c r="AF1442" s="139"/>
      <c r="AG1442" s="139"/>
      <c r="AH1442" s="139"/>
      <c r="AI1442" s="139"/>
      <c r="AJ1442" s="139"/>
      <c r="AK1442" s="139"/>
      <c r="AL1442" s="139"/>
      <c r="AM1442" s="139"/>
      <c r="AN1442" s="139"/>
      <c r="AO1442" s="139"/>
      <c r="AP1442" s="139"/>
      <c r="AQ1442" s="139"/>
      <c r="AR1442" s="139"/>
      <c r="AS1442" s="139"/>
      <c r="AT1442" s="139"/>
      <c r="AU1442" s="139"/>
      <c r="AV1442" s="139"/>
      <c r="AW1442" s="139"/>
      <c r="AX1442" s="139"/>
      <c r="AY1442" s="139"/>
      <c r="AZ1442" s="139"/>
      <c r="BA1442" s="139"/>
      <c r="BB1442" s="139"/>
      <c r="BC1442" s="139"/>
      <c r="BD1442" s="139"/>
      <c r="BE1442" s="139"/>
      <c r="BF1442" s="139"/>
      <c r="BG1442" s="139"/>
      <c r="BH1442" s="139"/>
    </row>
    <row r="1443" spans="2:60" s="11" customFormat="1" ht="27" thickBot="1">
      <c r="B1443" s="123" t="s">
        <v>1074</v>
      </c>
      <c r="C1443" s="124"/>
      <c r="D1443" s="124"/>
      <c r="E1443" s="124"/>
      <c r="F1443" s="78"/>
      <c r="G1443" s="78"/>
      <c r="H1443" s="78"/>
      <c r="I1443" s="78"/>
      <c r="J1443" s="78"/>
      <c r="K1443" s="78"/>
      <c r="L1443" s="5599"/>
      <c r="M1443" s="5600"/>
      <c r="N1443" s="5600"/>
      <c r="O1443" s="5600"/>
      <c r="P1443" s="5600"/>
      <c r="Q1443" s="5600"/>
      <c r="R1443" s="80"/>
      <c r="S1443" s="80"/>
      <c r="T1443" s="129"/>
      <c r="U1443" s="129"/>
      <c r="V1443" s="129"/>
      <c r="W1443" s="6023"/>
      <c r="X1443" s="328"/>
      <c r="Y1443" s="328"/>
      <c r="Z1443" s="329"/>
      <c r="AA1443" s="6301"/>
      <c r="AB1443" s="139"/>
      <c r="AC1443" s="139"/>
      <c r="AD1443" s="139"/>
      <c r="AE1443" s="139"/>
      <c r="AF1443" s="139"/>
      <c r="AG1443" s="139"/>
      <c r="AH1443" s="139"/>
      <c r="AI1443" s="139"/>
      <c r="AJ1443" s="139"/>
      <c r="AK1443" s="139"/>
      <c r="AL1443" s="139"/>
      <c r="AM1443" s="139"/>
      <c r="AN1443" s="139"/>
      <c r="AO1443" s="139"/>
      <c r="AP1443" s="139"/>
      <c r="AQ1443" s="139"/>
      <c r="AR1443" s="139"/>
      <c r="AS1443" s="139"/>
      <c r="AT1443" s="139"/>
      <c r="AU1443" s="139"/>
      <c r="AV1443" s="139"/>
      <c r="AW1443" s="139"/>
      <c r="AX1443" s="139"/>
      <c r="AY1443" s="139"/>
      <c r="AZ1443" s="139"/>
      <c r="BA1443" s="139"/>
      <c r="BB1443" s="139"/>
      <c r="BC1443" s="139"/>
      <c r="BD1443" s="139"/>
      <c r="BE1443" s="139"/>
      <c r="BF1443" s="139"/>
      <c r="BG1443" s="139"/>
      <c r="BH1443" s="139"/>
    </row>
    <row r="1444" spans="2:60" s="11" customFormat="1" ht="19.350000000000001" customHeight="1">
      <c r="B1444" s="1353"/>
      <c r="C1444" s="6142" t="s">
        <v>1075</v>
      </c>
      <c r="D1444" s="6143"/>
      <c r="E1444" s="6143"/>
      <c r="F1444" s="6143"/>
      <c r="G1444" s="6143"/>
      <c r="H1444" s="6143" t="s">
        <v>1076</v>
      </c>
      <c r="I1444" s="6143"/>
      <c r="J1444" s="6143"/>
      <c r="K1444" s="6143"/>
      <c r="L1444" s="6143"/>
      <c r="M1444" s="6143"/>
      <c r="N1444" s="6143"/>
      <c r="O1444" s="6143"/>
      <c r="P1444" s="6143"/>
      <c r="Q1444" s="6144"/>
      <c r="R1444" s="6247"/>
      <c r="S1444" s="443"/>
      <c r="T1444" s="808" t="s">
        <v>758</v>
      </c>
      <c r="U1444" s="534"/>
      <c r="V1444" s="868"/>
      <c r="W1444" s="642"/>
      <c r="X1444" s="265"/>
      <c r="Y1444" s="869" t="s">
        <v>168</v>
      </c>
      <c r="Z1444" s="187"/>
      <c r="AA1444" s="6301"/>
      <c r="AB1444" s="139"/>
      <c r="AC1444" s="139"/>
      <c r="AD1444" s="139"/>
      <c r="AE1444" s="139"/>
      <c r="AF1444" s="139"/>
      <c r="AG1444" s="139"/>
      <c r="AH1444" s="139"/>
      <c r="AI1444" s="139"/>
      <c r="AJ1444" s="139"/>
      <c r="AK1444" s="139"/>
      <c r="AL1444" s="139"/>
      <c r="AM1444" s="139"/>
      <c r="AN1444" s="139"/>
      <c r="AO1444" s="139"/>
      <c r="AP1444" s="139"/>
      <c r="AQ1444" s="139"/>
      <c r="AR1444" s="139"/>
      <c r="AS1444" s="139"/>
      <c r="AT1444" s="139"/>
      <c r="AU1444" s="139"/>
      <c r="AV1444" s="139"/>
      <c r="AW1444" s="139"/>
      <c r="AX1444" s="139"/>
      <c r="AY1444" s="139"/>
      <c r="AZ1444" s="139"/>
      <c r="BA1444" s="139"/>
      <c r="BB1444" s="139"/>
      <c r="BC1444" s="139"/>
      <c r="BD1444" s="139"/>
      <c r="BE1444" s="139"/>
      <c r="BF1444" s="139"/>
      <c r="BG1444" s="139"/>
      <c r="BH1444" s="139"/>
    </row>
    <row r="1445" spans="2:60" s="11" customFormat="1" ht="19.350000000000001" customHeight="1">
      <c r="B1445" s="1360"/>
      <c r="C1445" s="614"/>
      <c r="D1445" s="9584" t="s">
        <v>1077</v>
      </c>
      <c r="E1445" s="9585"/>
      <c r="F1445" s="285" t="s">
        <v>156</v>
      </c>
      <c r="G1445" s="358"/>
      <c r="H1445" s="643"/>
      <c r="I1445" s="9584" t="s">
        <v>1078</v>
      </c>
      <c r="J1445" s="9585"/>
      <c r="K1445" s="1222" t="s">
        <v>154</v>
      </c>
      <c r="L1445" s="5968" t="str">
        <f>IF(COUNTBLANK(L1446:L1451)&gt;0,"미취합법인有",AVERAGE(L1446:L1451))</f>
        <v>미취합법인有</v>
      </c>
      <c r="M1445" s="5657"/>
      <c r="N1445" s="5654">
        <f>IF(COUNTBLANK(N1446:N1451)&gt;0,"미취합법인有",AVERAGE(N1446:N1451))</f>
        <v>5.8</v>
      </c>
      <c r="O1445" s="5663"/>
      <c r="P1445" s="5781" t="str">
        <f>IF(COUNTBLANK(P1446:P1451)&gt;0,"미취합법인有",AVERAGE(P1446:P1451))</f>
        <v>미취합법인有</v>
      </c>
      <c r="Q1445" s="785"/>
      <c r="R1445" s="2471"/>
      <c r="S1445" s="444"/>
      <c r="T1445" s="808" t="s">
        <v>758</v>
      </c>
      <c r="U1445" s="547" t="s">
        <v>800</v>
      </c>
      <c r="V1445" s="878"/>
      <c r="W1445" s="808"/>
      <c r="X1445" s="265"/>
      <c r="Y1445" s="265" t="s">
        <v>807</v>
      </c>
      <c r="Z1445" s="187"/>
      <c r="AA1445" s="6301"/>
      <c r="AB1445" s="139"/>
      <c r="AC1445" s="139"/>
      <c r="AD1445" s="139"/>
      <c r="AE1445" s="139"/>
      <c r="AF1445" s="139"/>
      <c r="AG1445" s="139"/>
      <c r="AH1445" s="139"/>
      <c r="AI1445" s="139"/>
      <c r="AJ1445" s="139"/>
      <c r="AK1445" s="139"/>
      <c r="AL1445" s="139"/>
      <c r="AM1445" s="139"/>
      <c r="AN1445" s="139"/>
      <c r="AO1445" s="139"/>
      <c r="AP1445" s="139"/>
      <c r="AQ1445" s="139"/>
      <c r="AR1445" s="139"/>
      <c r="AS1445" s="139"/>
      <c r="AT1445" s="139"/>
      <c r="AU1445" s="139"/>
      <c r="AV1445" s="139"/>
      <c r="AW1445" s="139"/>
      <c r="AX1445" s="139"/>
      <c r="AY1445" s="139"/>
      <c r="AZ1445" s="139"/>
      <c r="BA1445" s="139"/>
      <c r="BB1445" s="139"/>
      <c r="BC1445" s="139"/>
      <c r="BD1445" s="139"/>
      <c r="BE1445" s="139"/>
      <c r="BF1445" s="139"/>
      <c r="BG1445" s="139"/>
      <c r="BH1445" s="139"/>
    </row>
    <row r="1446" spans="2:60" s="11" customFormat="1" ht="20.100000000000001" customHeight="1">
      <c r="B1446" s="1360"/>
      <c r="C1446" s="5598"/>
      <c r="D1446" s="9598" t="s">
        <v>134</v>
      </c>
      <c r="E1446" s="9600"/>
      <c r="F1446" s="285" t="s">
        <v>156</v>
      </c>
      <c r="G1446" s="666"/>
      <c r="H1446" s="684"/>
      <c r="I1446" s="9579" t="s">
        <v>135</v>
      </c>
      <c r="J1446" s="9581"/>
      <c r="K1446" s="1222" t="s">
        <v>154</v>
      </c>
      <c r="L1446" s="5714">
        <v>20</v>
      </c>
      <c r="M1446" s="5718"/>
      <c r="N1446" s="5859">
        <v>0</v>
      </c>
      <c r="O1446" s="5716"/>
      <c r="P1446" s="5864">
        <v>12.5</v>
      </c>
      <c r="Q1446" s="5717"/>
      <c r="R1446" s="2468"/>
      <c r="S1446" s="544"/>
      <c r="T1446" s="545"/>
      <c r="U1446" s="546"/>
      <c r="V1446" s="547"/>
      <c r="W1446" s="548"/>
      <c r="X1446" s="277"/>
      <c r="Y1446" s="277"/>
      <c r="Z1446" s="187"/>
      <c r="AA1446" s="6301"/>
      <c r="AB1446" s="139"/>
      <c r="AC1446" s="139"/>
      <c r="AD1446" s="139"/>
      <c r="AE1446" s="139"/>
      <c r="AF1446" s="139"/>
      <c r="AG1446" s="139"/>
      <c r="AH1446" s="139"/>
      <c r="AI1446" s="139"/>
      <c r="AJ1446" s="139"/>
      <c r="AK1446" s="139"/>
      <c r="AL1446" s="139"/>
      <c r="AM1446" s="139"/>
      <c r="AN1446" s="139"/>
      <c r="AO1446" s="139"/>
      <c r="AP1446" s="139"/>
      <c r="AQ1446" s="139"/>
      <c r="AR1446" s="139"/>
      <c r="AS1446" s="139"/>
      <c r="AT1446" s="139"/>
      <c r="AU1446" s="139"/>
      <c r="AV1446" s="139"/>
      <c r="AW1446" s="139"/>
      <c r="AX1446" s="139"/>
      <c r="AY1446" s="139"/>
      <c r="AZ1446" s="139"/>
      <c r="BA1446" s="139"/>
      <c r="BB1446" s="139"/>
      <c r="BC1446" s="139"/>
      <c r="BD1446" s="139"/>
      <c r="BE1446" s="139"/>
      <c r="BF1446" s="139"/>
      <c r="BG1446" s="139"/>
      <c r="BH1446" s="139"/>
    </row>
    <row r="1447" spans="2:60" s="11" customFormat="1" ht="20.100000000000001" customHeight="1">
      <c r="B1447" s="1360"/>
      <c r="C1447" s="5598"/>
      <c r="D1447" s="9598" t="s">
        <v>137</v>
      </c>
      <c r="E1447" s="9600"/>
      <c r="F1447" s="285" t="s">
        <v>156</v>
      </c>
      <c r="G1447" s="666"/>
      <c r="H1447" s="684"/>
      <c r="I1447" s="9579" t="s">
        <v>138</v>
      </c>
      <c r="J1447" s="9581"/>
      <c r="K1447" s="1222" t="s">
        <v>154</v>
      </c>
      <c r="L1447" s="5683"/>
      <c r="M1447" s="5684"/>
      <c r="N1447" s="5859">
        <v>0</v>
      </c>
      <c r="O1447" s="5886"/>
      <c r="P1447" s="5687"/>
      <c r="Q1447" s="5887"/>
      <c r="R1447" s="2468"/>
      <c r="S1447" s="544"/>
      <c r="T1447" s="545"/>
      <c r="U1447" s="546"/>
      <c r="V1447" s="547"/>
      <c r="W1447" s="548"/>
      <c r="X1447" s="277"/>
      <c r="Y1447" s="277"/>
      <c r="Z1447" s="187"/>
      <c r="AA1447" s="6301"/>
      <c r="AB1447" s="139"/>
      <c r="AC1447" s="139"/>
      <c r="AD1447" s="139"/>
      <c r="AE1447" s="139"/>
      <c r="AF1447" s="139"/>
      <c r="AG1447" s="139"/>
      <c r="AH1447" s="139"/>
      <c r="AI1447" s="139"/>
      <c r="AJ1447" s="139"/>
      <c r="AK1447" s="139"/>
      <c r="AL1447" s="139"/>
      <c r="AM1447" s="139"/>
      <c r="AN1447" s="139"/>
      <c r="AO1447" s="139"/>
      <c r="AP1447" s="139"/>
      <c r="AQ1447" s="139"/>
      <c r="AR1447" s="139"/>
      <c r="AS1447" s="139"/>
      <c r="AT1447" s="139"/>
      <c r="AU1447" s="139"/>
      <c r="AV1447" s="139"/>
      <c r="AW1447" s="139"/>
      <c r="AX1447" s="139"/>
      <c r="AY1447" s="139"/>
      <c r="AZ1447" s="139"/>
      <c r="BA1447" s="139"/>
      <c r="BB1447" s="139"/>
      <c r="BC1447" s="139"/>
      <c r="BD1447" s="139"/>
      <c r="BE1447" s="139"/>
      <c r="BF1447" s="139"/>
      <c r="BG1447" s="139"/>
      <c r="BH1447" s="139"/>
    </row>
    <row r="1448" spans="2:60" s="11" customFormat="1" ht="20.100000000000001" customHeight="1">
      <c r="B1448" s="1360"/>
      <c r="C1448" s="5598"/>
      <c r="D1448" s="9598" t="s">
        <v>140</v>
      </c>
      <c r="E1448" s="9600"/>
      <c r="F1448" s="285" t="s">
        <v>156</v>
      </c>
      <c r="G1448" s="666"/>
      <c r="H1448" s="684"/>
      <c r="I1448" s="9582" t="s">
        <v>141</v>
      </c>
      <c r="J1448" s="9583"/>
      <c r="K1448" s="1222" t="s">
        <v>154</v>
      </c>
      <c r="L1448" s="6389">
        <v>0</v>
      </c>
      <c r="M1448" s="5718"/>
      <c r="N1448" s="6390">
        <v>0</v>
      </c>
      <c r="O1448" s="5716"/>
      <c r="P1448" s="6391">
        <v>0</v>
      </c>
      <c r="Q1448" s="5717"/>
      <c r="R1448" s="2468"/>
      <c r="S1448" s="544"/>
      <c r="T1448" s="545"/>
      <c r="U1448" s="546"/>
      <c r="V1448" s="547"/>
      <c r="W1448" s="548"/>
      <c r="X1448" s="277"/>
      <c r="Y1448" s="277"/>
      <c r="Z1448" s="187"/>
      <c r="AA1448" s="6301"/>
      <c r="AB1448" s="139" t="s">
        <v>1079</v>
      </c>
      <c r="AC1448" s="139"/>
      <c r="AD1448" s="139"/>
      <c r="AE1448" s="139"/>
      <c r="AF1448" s="139"/>
      <c r="AG1448" s="139"/>
      <c r="AH1448" s="139"/>
      <c r="AI1448" s="139"/>
      <c r="AJ1448" s="139"/>
      <c r="AK1448" s="139"/>
      <c r="AL1448" s="139"/>
      <c r="AM1448" s="139"/>
      <c r="AN1448" s="139"/>
      <c r="AO1448" s="139"/>
      <c r="AP1448" s="139"/>
      <c r="AQ1448" s="139"/>
      <c r="AR1448" s="139"/>
      <c r="AS1448" s="139"/>
      <c r="AT1448" s="139"/>
      <c r="AU1448" s="139"/>
      <c r="AV1448" s="139"/>
      <c r="AW1448" s="139"/>
      <c r="AX1448" s="139"/>
      <c r="AY1448" s="139"/>
      <c r="AZ1448" s="139"/>
      <c r="BA1448" s="139"/>
      <c r="BB1448" s="139"/>
      <c r="BC1448" s="139"/>
      <c r="BD1448" s="139"/>
      <c r="BE1448" s="139"/>
      <c r="BF1448" s="139"/>
      <c r="BG1448" s="139"/>
      <c r="BH1448" s="139"/>
    </row>
    <row r="1449" spans="2:60" s="11" customFormat="1" ht="20.100000000000001" customHeight="1">
      <c r="B1449" s="1360"/>
      <c r="C1449" s="5598"/>
      <c r="D1449" s="9598" t="s">
        <v>143</v>
      </c>
      <c r="E1449" s="9600"/>
      <c r="F1449" s="285" t="s">
        <v>156</v>
      </c>
      <c r="G1449" s="666"/>
      <c r="H1449" s="684"/>
      <c r="I1449" s="9582" t="s">
        <v>144</v>
      </c>
      <c r="J1449" s="9583"/>
      <c r="K1449" s="1222" t="s">
        <v>154</v>
      </c>
      <c r="L1449" s="5714">
        <v>0</v>
      </c>
      <c r="M1449" s="5718"/>
      <c r="N1449" s="5859">
        <v>0</v>
      </c>
      <c r="O1449" s="5716"/>
      <c r="P1449" s="5855"/>
      <c r="Q1449" s="5717"/>
      <c r="R1449" s="2468"/>
      <c r="S1449" s="544"/>
      <c r="T1449" s="545"/>
      <c r="U1449" s="546"/>
      <c r="V1449" s="547"/>
      <c r="W1449" s="548"/>
      <c r="X1449" s="277"/>
      <c r="Y1449" s="277"/>
      <c r="Z1449" s="187"/>
      <c r="AA1449" s="6301"/>
      <c r="AB1449" s="139"/>
      <c r="AC1449" s="139"/>
      <c r="AD1449" s="139"/>
      <c r="AE1449" s="139"/>
      <c r="AF1449" s="139"/>
      <c r="AG1449" s="139"/>
      <c r="AH1449" s="139"/>
      <c r="AI1449" s="139"/>
      <c r="AJ1449" s="139"/>
      <c r="AK1449" s="139"/>
      <c r="AL1449" s="139"/>
      <c r="AM1449" s="139"/>
      <c r="AN1449" s="139"/>
      <c r="AO1449" s="139"/>
      <c r="AP1449" s="139"/>
      <c r="AQ1449" s="139"/>
      <c r="AR1449" s="139"/>
      <c r="AS1449" s="139"/>
      <c r="AT1449" s="139"/>
      <c r="AU1449" s="139"/>
      <c r="AV1449" s="139"/>
      <c r="AW1449" s="139"/>
      <c r="AX1449" s="139"/>
      <c r="AY1449" s="139"/>
      <c r="AZ1449" s="139"/>
      <c r="BA1449" s="139"/>
      <c r="BB1449" s="139"/>
      <c r="BC1449" s="139"/>
      <c r="BD1449" s="139"/>
      <c r="BE1449" s="139"/>
      <c r="BF1449" s="139"/>
      <c r="BG1449" s="139"/>
      <c r="BH1449" s="139"/>
    </row>
    <row r="1450" spans="2:60" s="11" customFormat="1" ht="20.100000000000001" customHeight="1">
      <c r="B1450" s="1360"/>
      <c r="C1450" s="5598"/>
      <c r="D1450" s="9598" t="s">
        <v>631</v>
      </c>
      <c r="E1450" s="9600"/>
      <c r="F1450" s="285" t="s">
        <v>156</v>
      </c>
      <c r="G1450" s="666"/>
      <c r="H1450" s="684"/>
      <c r="I1450" s="9582" t="s">
        <v>147</v>
      </c>
      <c r="J1450" s="9583"/>
      <c r="K1450" s="1222" t="s">
        <v>154</v>
      </c>
      <c r="L1450" s="5714">
        <v>28.571428571428569</v>
      </c>
      <c r="M1450" s="6414" t="s">
        <v>1080</v>
      </c>
      <c r="N1450" s="5859">
        <v>29</v>
      </c>
      <c r="O1450" s="6415" t="s">
        <v>1080</v>
      </c>
      <c r="P1450" s="5864">
        <v>29</v>
      </c>
      <c r="Q1450" s="5717"/>
      <c r="R1450" s="2468"/>
      <c r="S1450" s="544"/>
      <c r="T1450" s="545"/>
      <c r="U1450" s="546"/>
      <c r="V1450" s="547"/>
      <c r="W1450" s="548"/>
      <c r="X1450" s="277"/>
      <c r="Y1450" s="277"/>
      <c r="Z1450" s="187"/>
      <c r="AA1450" s="6301"/>
      <c r="AB1450" s="139" t="s">
        <v>1081</v>
      </c>
      <c r="AC1450" s="139"/>
      <c r="AD1450" s="139"/>
      <c r="AE1450" s="139"/>
      <c r="AF1450" s="139"/>
      <c r="AG1450" s="139"/>
      <c r="AH1450" s="139"/>
      <c r="AI1450" s="139"/>
      <c r="AJ1450" s="139"/>
      <c r="AK1450" s="139"/>
      <c r="AL1450" s="139"/>
      <c r="AM1450" s="139"/>
      <c r="AN1450" s="139"/>
      <c r="AO1450" s="139"/>
      <c r="AP1450" s="139"/>
      <c r="AQ1450" s="139"/>
      <c r="AR1450" s="139"/>
      <c r="AS1450" s="139"/>
      <c r="AT1450" s="139"/>
      <c r="AU1450" s="139"/>
      <c r="AV1450" s="139"/>
      <c r="AW1450" s="139"/>
      <c r="AX1450" s="139"/>
      <c r="AY1450" s="139"/>
      <c r="AZ1450" s="139"/>
      <c r="BA1450" s="139"/>
      <c r="BB1450" s="139"/>
      <c r="BC1450" s="139"/>
      <c r="BD1450" s="139"/>
      <c r="BE1450" s="139"/>
      <c r="BF1450" s="139"/>
      <c r="BG1450" s="139"/>
      <c r="BH1450" s="139"/>
    </row>
    <row r="1451" spans="2:60" s="11" customFormat="1" ht="20.100000000000001" customHeight="1">
      <c r="B1451" s="1360"/>
      <c r="C1451" s="5598"/>
      <c r="D1451" s="9598" t="s">
        <v>633</v>
      </c>
      <c r="E1451" s="9600"/>
      <c r="F1451" s="285" t="s">
        <v>156</v>
      </c>
      <c r="G1451" s="666"/>
      <c r="H1451" s="684"/>
      <c r="I1451" s="9582" t="s">
        <v>150</v>
      </c>
      <c r="J1451" s="9583"/>
      <c r="K1451" s="1222" t="s">
        <v>154</v>
      </c>
      <c r="L1451" s="5959" t="s">
        <v>168</v>
      </c>
      <c r="M1451" s="5718" t="s">
        <v>641</v>
      </c>
      <c r="N1451" s="5729" t="s">
        <v>168</v>
      </c>
      <c r="O1451" s="5718" t="s">
        <v>641</v>
      </c>
      <c r="P1451" s="5729" t="s">
        <v>168</v>
      </c>
      <c r="Q1451" s="5717" t="s">
        <v>641</v>
      </c>
      <c r="R1451" s="2468"/>
      <c r="S1451" s="544"/>
      <c r="T1451" s="545"/>
      <c r="U1451" s="546"/>
      <c r="V1451" s="547"/>
      <c r="W1451" s="548"/>
      <c r="X1451" s="277"/>
      <c r="Y1451" s="277"/>
      <c r="Z1451" s="187"/>
      <c r="AA1451" s="6301"/>
      <c r="AB1451" s="139"/>
      <c r="AC1451" s="139"/>
      <c r="AD1451" s="139"/>
      <c r="AE1451" s="139"/>
      <c r="AF1451" s="139"/>
      <c r="AG1451" s="139"/>
      <c r="AH1451" s="139"/>
      <c r="AI1451" s="139"/>
      <c r="AJ1451" s="139"/>
      <c r="AK1451" s="139"/>
      <c r="AL1451" s="139"/>
      <c r="AM1451" s="139"/>
      <c r="AN1451" s="139"/>
      <c r="AO1451" s="139"/>
      <c r="AP1451" s="139"/>
      <c r="AQ1451" s="139"/>
      <c r="AR1451" s="139"/>
      <c r="AS1451" s="139"/>
      <c r="AT1451" s="139"/>
      <c r="AU1451" s="139"/>
      <c r="AV1451" s="139"/>
      <c r="AW1451" s="139"/>
      <c r="AX1451" s="139"/>
      <c r="AY1451" s="139"/>
      <c r="AZ1451" s="139"/>
      <c r="BA1451" s="139"/>
      <c r="BB1451" s="139"/>
      <c r="BC1451" s="139"/>
      <c r="BD1451" s="139"/>
      <c r="BE1451" s="139"/>
      <c r="BF1451" s="139"/>
      <c r="BG1451" s="139"/>
      <c r="BH1451" s="139"/>
    </row>
    <row r="1452" spans="2:60" s="11" customFormat="1" ht="19.350000000000001" customHeight="1">
      <c r="B1452" s="1360"/>
      <c r="C1452" s="614"/>
      <c r="D1452" s="9584" t="s">
        <v>1082</v>
      </c>
      <c r="E1452" s="9585"/>
      <c r="F1452" s="285" t="s">
        <v>154</v>
      </c>
      <c r="G1452" s="358"/>
      <c r="H1452" s="643"/>
      <c r="I1452" s="9584" t="s">
        <v>1083</v>
      </c>
      <c r="J1452" s="9585"/>
      <c r="K1452" s="1222" t="s">
        <v>154</v>
      </c>
      <c r="L1452" s="5968" t="str">
        <f>IF(COUNTBLANK(L1453:L1458)&gt;0,"미취합법인有",AVERAGE(L1453:L1458))</f>
        <v>미취합법인有</v>
      </c>
      <c r="M1452" s="5657"/>
      <c r="N1452" s="5654">
        <f>IF(COUNTBLANK(N1453:N1458)&gt;0,"미취합법인有",AVERAGE(N1453:N1458))</f>
        <v>55</v>
      </c>
      <c r="O1452" s="5663"/>
      <c r="P1452" s="5781" t="str">
        <f>IF(COUNTBLANK(P1453:P1458)&gt;0,"미취합법인有",AVERAGE(P1453:P1458))</f>
        <v>미취합법인有</v>
      </c>
      <c r="Q1452" s="785"/>
      <c r="R1452" s="2472"/>
      <c r="S1452" s="457"/>
      <c r="T1452" s="99" t="s">
        <v>758</v>
      </c>
      <c r="U1452" s="547" t="s">
        <v>800</v>
      </c>
      <c r="V1452" s="547"/>
      <c r="W1452" s="99"/>
      <c r="X1452" s="265"/>
      <c r="Y1452" s="265" t="s">
        <v>807</v>
      </c>
      <c r="Z1452" s="187"/>
      <c r="AA1452" s="6301"/>
      <c r="AB1452" s="139"/>
      <c r="AC1452" s="139"/>
      <c r="AD1452" s="139"/>
      <c r="AE1452" s="139"/>
      <c r="AF1452" s="139"/>
      <c r="AG1452" s="139"/>
      <c r="AH1452" s="139"/>
      <c r="AI1452" s="139"/>
      <c r="AJ1452" s="139"/>
      <c r="AK1452" s="139"/>
      <c r="AL1452" s="139"/>
      <c r="AM1452" s="139"/>
      <c r="AN1452" s="139"/>
      <c r="AO1452" s="139"/>
      <c r="AP1452" s="139"/>
      <c r="AQ1452" s="139"/>
      <c r="AR1452" s="139"/>
      <c r="AS1452" s="139"/>
      <c r="AT1452" s="139"/>
      <c r="AU1452" s="139"/>
      <c r="AV1452" s="139"/>
      <c r="AW1452" s="139"/>
      <c r="AX1452" s="139"/>
      <c r="AY1452" s="139"/>
      <c r="AZ1452" s="139"/>
      <c r="BA1452" s="139"/>
      <c r="BB1452" s="139"/>
      <c r="BC1452" s="139"/>
      <c r="BD1452" s="139"/>
      <c r="BE1452" s="139"/>
      <c r="BF1452" s="139"/>
      <c r="BG1452" s="139"/>
      <c r="BH1452" s="139"/>
    </row>
    <row r="1453" spans="2:60" s="11" customFormat="1" ht="20.100000000000001" customHeight="1">
      <c r="B1453" s="1360"/>
      <c r="C1453" s="5598"/>
      <c r="D1453" s="9598" t="s">
        <v>134</v>
      </c>
      <c r="E1453" s="9600"/>
      <c r="F1453" s="285" t="s">
        <v>156</v>
      </c>
      <c r="G1453" s="666"/>
      <c r="H1453" s="684"/>
      <c r="I1453" s="9579" t="s">
        <v>135</v>
      </c>
      <c r="J1453" s="9581"/>
      <c r="K1453" s="1222" t="s">
        <v>154</v>
      </c>
      <c r="L1453" s="5714">
        <v>80</v>
      </c>
      <c r="M1453" s="5718"/>
      <c r="N1453" s="5859">
        <v>100</v>
      </c>
      <c r="O1453" s="5716"/>
      <c r="P1453" s="5864">
        <v>87.5</v>
      </c>
      <c r="Q1453" s="5717"/>
      <c r="R1453" s="2468"/>
      <c r="S1453" s="544"/>
      <c r="T1453" s="545"/>
      <c r="U1453" s="546"/>
      <c r="V1453" s="547"/>
      <c r="W1453" s="548"/>
      <c r="X1453" s="277"/>
      <c r="Y1453" s="277"/>
      <c r="Z1453" s="187"/>
      <c r="AA1453" s="6301"/>
      <c r="AB1453" s="139"/>
      <c r="AC1453" s="139"/>
      <c r="AD1453" s="139"/>
      <c r="AE1453" s="139"/>
      <c r="AF1453" s="139"/>
      <c r="AG1453" s="139"/>
      <c r="AH1453" s="139"/>
      <c r="AI1453" s="139"/>
      <c r="AJ1453" s="139"/>
      <c r="AK1453" s="139"/>
      <c r="AL1453" s="139"/>
      <c r="AM1453" s="139"/>
      <c r="AN1453" s="139"/>
      <c r="AO1453" s="139"/>
      <c r="AP1453" s="139"/>
      <c r="AQ1453" s="139"/>
      <c r="AR1453" s="139"/>
      <c r="AS1453" s="139"/>
      <c r="AT1453" s="139"/>
      <c r="AU1453" s="139"/>
      <c r="AV1453" s="139"/>
      <c r="AW1453" s="139"/>
      <c r="AX1453" s="139"/>
      <c r="AY1453" s="139"/>
      <c r="AZ1453" s="139"/>
      <c r="BA1453" s="139"/>
      <c r="BB1453" s="139"/>
      <c r="BC1453" s="139"/>
      <c r="BD1453" s="139"/>
      <c r="BE1453" s="139"/>
      <c r="BF1453" s="139"/>
      <c r="BG1453" s="139"/>
      <c r="BH1453" s="139"/>
    </row>
    <row r="1454" spans="2:60" s="11" customFormat="1" ht="20.100000000000001" customHeight="1">
      <c r="B1454" s="1360"/>
      <c r="C1454" s="5598"/>
      <c r="D1454" s="9598" t="s">
        <v>137</v>
      </c>
      <c r="E1454" s="9600"/>
      <c r="F1454" s="285" t="s">
        <v>156</v>
      </c>
      <c r="G1454" s="666"/>
      <c r="H1454" s="684"/>
      <c r="I1454" s="9579" t="s">
        <v>138</v>
      </c>
      <c r="J1454" s="9581"/>
      <c r="K1454" s="1222" t="s">
        <v>154</v>
      </c>
      <c r="L1454" s="5683"/>
      <c r="M1454" s="5684"/>
      <c r="N1454" s="5993">
        <v>0</v>
      </c>
      <c r="O1454" s="5686"/>
      <c r="P1454" s="5687"/>
      <c r="Q1454" s="5701"/>
      <c r="R1454" s="2468"/>
      <c r="S1454" s="544"/>
      <c r="T1454" s="545"/>
      <c r="U1454" s="546"/>
      <c r="V1454" s="547"/>
      <c r="W1454" s="548"/>
      <c r="X1454" s="277"/>
      <c r="Y1454" s="277"/>
      <c r="Z1454" s="187"/>
      <c r="AA1454" s="6301"/>
      <c r="AB1454" s="139"/>
      <c r="AC1454" s="139"/>
      <c r="AD1454" s="139"/>
      <c r="AE1454" s="139"/>
      <c r="AF1454" s="139"/>
      <c r="AG1454" s="139"/>
      <c r="AH1454" s="139"/>
      <c r="AI1454" s="139"/>
      <c r="AJ1454" s="139"/>
      <c r="AK1454" s="139"/>
      <c r="AL1454" s="139"/>
      <c r="AM1454" s="139"/>
      <c r="AN1454" s="139"/>
      <c r="AO1454" s="139"/>
      <c r="AP1454" s="139"/>
      <c r="AQ1454" s="139"/>
      <c r="AR1454" s="139"/>
      <c r="AS1454" s="139"/>
      <c r="AT1454" s="139"/>
      <c r="AU1454" s="139"/>
      <c r="AV1454" s="139"/>
      <c r="AW1454" s="139"/>
      <c r="AX1454" s="139"/>
      <c r="AY1454" s="139"/>
      <c r="AZ1454" s="139"/>
      <c r="BA1454" s="139"/>
      <c r="BB1454" s="139"/>
      <c r="BC1454" s="139"/>
      <c r="BD1454" s="139"/>
      <c r="BE1454" s="139"/>
      <c r="BF1454" s="139"/>
      <c r="BG1454" s="139"/>
      <c r="BH1454" s="139"/>
    </row>
    <row r="1455" spans="2:60" s="11" customFormat="1" ht="20.100000000000001" customHeight="1">
      <c r="B1455" s="1360"/>
      <c r="C1455" s="5598"/>
      <c r="D1455" s="9598" t="s">
        <v>140</v>
      </c>
      <c r="E1455" s="9600"/>
      <c r="F1455" s="285" t="s">
        <v>156</v>
      </c>
      <c r="G1455" s="666"/>
      <c r="H1455" s="684"/>
      <c r="I1455" s="9582" t="s">
        <v>141</v>
      </c>
      <c r="J1455" s="9583"/>
      <c r="K1455" s="1222" t="s">
        <v>154</v>
      </c>
      <c r="L1455" s="6389">
        <v>4</v>
      </c>
      <c r="M1455" s="5718"/>
      <c r="N1455" s="6416">
        <v>4</v>
      </c>
      <c r="O1455" s="5716"/>
      <c r="P1455" s="6391">
        <v>3</v>
      </c>
      <c r="Q1455" s="5717"/>
      <c r="R1455" s="2468"/>
      <c r="S1455" s="544"/>
      <c r="T1455" s="545"/>
      <c r="U1455" s="546"/>
      <c r="V1455" s="547"/>
      <c r="W1455" s="548"/>
      <c r="X1455" s="277"/>
      <c r="Y1455" s="277"/>
      <c r="Z1455" s="187"/>
      <c r="AA1455" s="6301"/>
      <c r="AB1455" s="139" t="s">
        <v>1079</v>
      </c>
      <c r="AC1455" s="139"/>
      <c r="AD1455" s="139"/>
      <c r="AE1455" s="139"/>
      <c r="AF1455" s="139"/>
      <c r="AG1455" s="139"/>
      <c r="AH1455" s="139"/>
      <c r="AI1455" s="139"/>
      <c r="AJ1455" s="139"/>
      <c r="AK1455" s="139"/>
      <c r="AL1455" s="139"/>
      <c r="AM1455" s="139"/>
      <c r="AN1455" s="139"/>
      <c r="AO1455" s="139"/>
      <c r="AP1455" s="139"/>
      <c r="AQ1455" s="139"/>
      <c r="AR1455" s="139"/>
      <c r="AS1455" s="139"/>
      <c r="AT1455" s="139"/>
      <c r="AU1455" s="139"/>
      <c r="AV1455" s="139"/>
      <c r="AW1455" s="139"/>
      <c r="AX1455" s="139"/>
      <c r="AY1455" s="139"/>
      <c r="AZ1455" s="139"/>
      <c r="BA1455" s="139"/>
      <c r="BB1455" s="139"/>
      <c r="BC1455" s="139"/>
      <c r="BD1455" s="139"/>
      <c r="BE1455" s="139"/>
      <c r="BF1455" s="139"/>
      <c r="BG1455" s="139"/>
      <c r="BH1455" s="139"/>
    </row>
    <row r="1456" spans="2:60" s="11" customFormat="1" ht="20.100000000000001" customHeight="1">
      <c r="B1456" s="1360"/>
      <c r="C1456" s="614"/>
      <c r="D1456" s="9598" t="s">
        <v>143</v>
      </c>
      <c r="E1456" s="9600"/>
      <c r="F1456" s="285" t="s">
        <v>156</v>
      </c>
      <c r="G1456" s="666"/>
      <c r="H1456" s="684"/>
      <c r="I1456" s="9582" t="s">
        <v>144</v>
      </c>
      <c r="J1456" s="9583"/>
      <c r="K1456" s="1222" t="s">
        <v>154</v>
      </c>
      <c r="L1456" s="5714">
        <v>100</v>
      </c>
      <c r="M1456" s="6018"/>
      <c r="N1456" s="6020">
        <v>100</v>
      </c>
      <c r="O1456" s="5729"/>
      <c r="P1456" s="6020">
        <v>100</v>
      </c>
      <c r="Q1456" s="5717"/>
      <c r="R1456" s="2468"/>
      <c r="S1456" s="544"/>
      <c r="T1456" s="545"/>
      <c r="U1456" s="546"/>
      <c r="V1456" s="547"/>
      <c r="W1456" s="548"/>
      <c r="X1456" s="277"/>
      <c r="Y1456" s="277"/>
      <c r="Z1456" s="187"/>
      <c r="AA1456" s="6301"/>
      <c r="AB1456" s="139"/>
      <c r="AC1456" s="139"/>
      <c r="AD1456" s="139"/>
      <c r="AE1456" s="139"/>
      <c r="AF1456" s="139"/>
      <c r="AG1456" s="139"/>
      <c r="AH1456" s="139"/>
      <c r="AI1456" s="139"/>
      <c r="AJ1456" s="139"/>
      <c r="AK1456" s="139"/>
      <c r="AL1456" s="139"/>
      <c r="AM1456" s="139"/>
      <c r="AN1456" s="139"/>
      <c r="AO1456" s="139"/>
      <c r="AP1456" s="139"/>
      <c r="AQ1456" s="139"/>
      <c r="AR1456" s="139"/>
      <c r="AS1456" s="139"/>
      <c r="AT1456" s="139"/>
      <c r="AU1456" s="139"/>
      <c r="AV1456" s="139"/>
      <c r="AW1456" s="139"/>
      <c r="AX1456" s="139"/>
      <c r="AY1456" s="139"/>
      <c r="AZ1456" s="139"/>
      <c r="BA1456" s="139"/>
      <c r="BB1456" s="139"/>
      <c r="BC1456" s="139"/>
      <c r="BD1456" s="139"/>
      <c r="BE1456" s="139"/>
      <c r="BF1456" s="139"/>
      <c r="BG1456" s="139"/>
      <c r="BH1456" s="139"/>
    </row>
    <row r="1457" spans="2:60" s="11" customFormat="1" ht="20.100000000000001" customHeight="1">
      <c r="B1457" s="1360"/>
      <c r="C1457" s="5598"/>
      <c r="D1457" s="9598" t="s">
        <v>631</v>
      </c>
      <c r="E1457" s="9600"/>
      <c r="F1457" s="285" t="s">
        <v>156</v>
      </c>
      <c r="G1457" s="666"/>
      <c r="H1457" s="684"/>
      <c r="I1457" s="9582" t="s">
        <v>147</v>
      </c>
      <c r="J1457" s="9583"/>
      <c r="K1457" s="1222" t="s">
        <v>154</v>
      </c>
      <c r="L1457" s="5714">
        <v>71</v>
      </c>
      <c r="M1457" s="5718"/>
      <c r="N1457" s="6021">
        <v>71</v>
      </c>
      <c r="O1457" s="6019"/>
      <c r="P1457" s="6022">
        <v>71</v>
      </c>
      <c r="Q1457" s="5717"/>
      <c r="R1457" s="2468"/>
      <c r="S1457" s="544"/>
      <c r="T1457" s="545"/>
      <c r="U1457" s="546"/>
      <c r="V1457" s="547"/>
      <c r="W1457" s="548"/>
      <c r="X1457" s="277"/>
      <c r="Y1457" s="277"/>
      <c r="Z1457" s="187"/>
      <c r="AA1457" s="6301"/>
      <c r="AB1457" s="139"/>
      <c r="AC1457" s="139"/>
      <c r="AD1457" s="139"/>
      <c r="AE1457" s="139"/>
      <c r="AF1457" s="139"/>
      <c r="AG1457" s="139"/>
      <c r="AH1457" s="139"/>
      <c r="AI1457" s="139"/>
      <c r="AJ1457" s="139"/>
      <c r="AK1457" s="139"/>
      <c r="AL1457" s="139"/>
      <c r="AM1457" s="139"/>
      <c r="AN1457" s="139"/>
      <c r="AO1457" s="139"/>
      <c r="AP1457" s="139"/>
      <c r="AQ1457" s="139"/>
      <c r="AR1457" s="139"/>
      <c r="AS1457" s="139"/>
      <c r="AT1457" s="139"/>
      <c r="AU1457" s="139"/>
      <c r="AV1457" s="139"/>
      <c r="AW1457" s="139"/>
      <c r="AX1457" s="139"/>
      <c r="AY1457" s="139"/>
      <c r="AZ1457" s="139"/>
      <c r="BA1457" s="139"/>
      <c r="BB1457" s="139"/>
      <c r="BC1457" s="139"/>
      <c r="BD1457" s="139"/>
      <c r="BE1457" s="139"/>
      <c r="BF1457" s="139"/>
      <c r="BG1457" s="139"/>
      <c r="BH1457" s="139"/>
    </row>
    <row r="1458" spans="2:60" s="11" customFormat="1" ht="20.100000000000001" customHeight="1">
      <c r="B1458" s="1360"/>
      <c r="C1458" s="5598"/>
      <c r="D1458" s="9598" t="s">
        <v>633</v>
      </c>
      <c r="E1458" s="9600"/>
      <c r="F1458" s="285" t="s">
        <v>156</v>
      </c>
      <c r="G1458" s="666"/>
      <c r="H1458" s="684"/>
      <c r="I1458" s="9582" t="s">
        <v>150</v>
      </c>
      <c r="J1458" s="9583"/>
      <c r="K1458" s="1222" t="s">
        <v>154</v>
      </c>
      <c r="L1458" s="5959" t="s">
        <v>168</v>
      </c>
      <c r="M1458" s="5718" t="s">
        <v>641</v>
      </c>
      <c r="N1458" s="5729" t="s">
        <v>168</v>
      </c>
      <c r="O1458" s="5718" t="s">
        <v>641</v>
      </c>
      <c r="P1458" s="5729" t="s">
        <v>168</v>
      </c>
      <c r="Q1458" s="5717" t="s">
        <v>641</v>
      </c>
      <c r="R1458" s="2468"/>
      <c r="S1458" s="544"/>
      <c r="T1458" s="545"/>
      <c r="U1458" s="546"/>
      <c r="V1458" s="547"/>
      <c r="W1458" s="548"/>
      <c r="X1458" s="277"/>
      <c r="Y1458" s="277"/>
      <c r="Z1458" s="187"/>
      <c r="AA1458" s="6301"/>
      <c r="AB1458" s="139"/>
      <c r="AC1458" s="139"/>
      <c r="AD1458" s="139"/>
      <c r="AE1458" s="139"/>
      <c r="AF1458" s="139"/>
      <c r="AG1458" s="139"/>
      <c r="AH1458" s="139"/>
      <c r="AI1458" s="139"/>
      <c r="AJ1458" s="139"/>
      <c r="AK1458" s="139"/>
      <c r="AL1458" s="139"/>
      <c r="AM1458" s="139"/>
      <c r="AN1458" s="139"/>
      <c r="AO1458" s="139"/>
      <c r="AP1458" s="139"/>
      <c r="AQ1458" s="139"/>
      <c r="AR1458" s="139"/>
      <c r="AS1458" s="139"/>
      <c r="AT1458" s="139"/>
      <c r="AU1458" s="139"/>
      <c r="AV1458" s="139"/>
      <c r="AW1458" s="139"/>
      <c r="AX1458" s="139"/>
      <c r="AY1458" s="139"/>
      <c r="AZ1458" s="139"/>
      <c r="BA1458" s="139"/>
      <c r="BB1458" s="139"/>
      <c r="BC1458" s="139"/>
      <c r="BD1458" s="139"/>
      <c r="BE1458" s="139"/>
      <c r="BF1458" s="139"/>
      <c r="BG1458" s="139"/>
      <c r="BH1458" s="139"/>
    </row>
    <row r="1459" spans="2:60" s="11" customFormat="1" ht="19.350000000000001" customHeight="1">
      <c r="B1459" s="1360"/>
      <c r="C1459" s="5598"/>
      <c r="D1459" s="9716" t="s">
        <v>1084</v>
      </c>
      <c r="E1459" s="9692"/>
      <c r="F1459" s="6141"/>
      <c r="G1459" s="6139"/>
      <c r="H1459" s="6141"/>
      <c r="I1459" s="6141" t="s">
        <v>1085</v>
      </c>
      <c r="J1459" s="6139"/>
      <c r="K1459" s="6184" t="s">
        <v>154</v>
      </c>
      <c r="L1459" s="6186"/>
      <c r="M1459" s="6141"/>
      <c r="N1459" s="6141"/>
      <c r="O1459" s="6141"/>
      <c r="P1459" s="6141"/>
      <c r="Q1459" s="6185"/>
      <c r="R1459" s="2468"/>
      <c r="S1459" s="457"/>
      <c r="T1459" s="808" t="s">
        <v>758</v>
      </c>
      <c r="U1459" s="547" t="s">
        <v>800</v>
      </c>
      <c r="V1459" s="547"/>
      <c r="W1459" s="99"/>
      <c r="X1459" s="265"/>
      <c r="Y1459" s="265"/>
      <c r="Z1459" s="187"/>
      <c r="AA1459" s="6301"/>
      <c r="AB1459" s="139"/>
      <c r="AC1459" s="139"/>
      <c r="AD1459" s="139"/>
      <c r="AE1459" s="139"/>
      <c r="AF1459" s="139"/>
      <c r="AG1459" s="139"/>
      <c r="AH1459" s="139"/>
      <c r="AI1459" s="139"/>
      <c r="AJ1459" s="139"/>
      <c r="AK1459" s="139"/>
      <c r="AL1459" s="139"/>
      <c r="AM1459" s="139"/>
      <c r="AN1459" s="139"/>
      <c r="AO1459" s="139"/>
      <c r="AP1459" s="139"/>
      <c r="AQ1459" s="139"/>
      <c r="AR1459" s="139"/>
      <c r="AS1459" s="139"/>
      <c r="AT1459" s="139"/>
      <c r="AU1459" s="139"/>
      <c r="AV1459" s="139"/>
      <c r="AW1459" s="139"/>
      <c r="AX1459" s="139"/>
      <c r="AY1459" s="139"/>
      <c r="AZ1459" s="139"/>
      <c r="BA1459" s="139"/>
      <c r="BB1459" s="139"/>
      <c r="BC1459" s="139"/>
      <c r="BD1459" s="139"/>
      <c r="BE1459" s="139"/>
      <c r="BF1459" s="139"/>
      <c r="BG1459" s="139"/>
      <c r="BH1459" s="139"/>
    </row>
    <row r="1460" spans="2:60" s="11" customFormat="1" ht="19.350000000000001" customHeight="1">
      <c r="B1460" s="1360"/>
      <c r="C1460" s="161"/>
      <c r="D1460" s="164"/>
      <c r="E1460" s="5694" t="s">
        <v>823</v>
      </c>
      <c r="F1460" s="285" t="s">
        <v>154</v>
      </c>
      <c r="G1460" s="358"/>
      <c r="H1460" s="358"/>
      <c r="I1460" s="286"/>
      <c r="J1460" s="5694" t="s">
        <v>1086</v>
      </c>
      <c r="K1460" s="105" t="s">
        <v>154</v>
      </c>
      <c r="L1460" s="5968" t="str">
        <f>IF(COUNTBLANK(L1461:L1466)&gt;0,"미취합법인有",AVERAGE(L1461:L1466))</f>
        <v>미취합법인有</v>
      </c>
      <c r="M1460" s="5657"/>
      <c r="N1460" s="5654">
        <f>IF(COUNTBLANK(N1461:N1466)&gt;0,"미취합법인有",AVERAGE(N1461:N1466))</f>
        <v>0</v>
      </c>
      <c r="O1460" s="5663"/>
      <c r="P1460" s="5781" t="str">
        <f>IF(COUNTBLANK(P1461:P1466)&gt;0,"미취합법인有",AVERAGE(P1461:P1466))</f>
        <v>미취합법인有</v>
      </c>
      <c r="Q1460" s="785"/>
      <c r="R1460" s="2472"/>
      <c r="S1460" s="457"/>
      <c r="T1460" s="99" t="s">
        <v>758</v>
      </c>
      <c r="U1460" s="547" t="s">
        <v>800</v>
      </c>
      <c r="V1460" s="547"/>
      <c r="W1460" s="99"/>
      <c r="X1460" s="265"/>
      <c r="Y1460" s="265" t="s">
        <v>807</v>
      </c>
      <c r="Z1460" s="187"/>
      <c r="AA1460" s="6301"/>
      <c r="AB1460" s="139"/>
      <c r="AC1460" s="139"/>
      <c r="AD1460" s="139"/>
      <c r="AE1460" s="139"/>
      <c r="AF1460" s="139"/>
      <c r="AG1460" s="139"/>
      <c r="AH1460" s="139"/>
      <c r="AI1460" s="139"/>
      <c r="AJ1460" s="139"/>
      <c r="AK1460" s="139"/>
      <c r="AL1460" s="139"/>
      <c r="AM1460" s="139"/>
      <c r="AN1460" s="139"/>
      <c r="AO1460" s="139"/>
      <c r="AP1460" s="139"/>
      <c r="AQ1460" s="139"/>
      <c r="AR1460" s="139"/>
      <c r="AS1460" s="139"/>
      <c r="AT1460" s="139"/>
      <c r="AU1460" s="139"/>
      <c r="AV1460" s="139"/>
      <c r="AW1460" s="139"/>
      <c r="AX1460" s="139"/>
      <c r="AY1460" s="139"/>
      <c r="AZ1460" s="139"/>
      <c r="BA1460" s="139"/>
      <c r="BB1460" s="139"/>
      <c r="BC1460" s="139"/>
      <c r="BD1460" s="139"/>
      <c r="BE1460" s="139"/>
      <c r="BF1460" s="139"/>
      <c r="BG1460" s="139"/>
      <c r="BH1460" s="139"/>
    </row>
    <row r="1461" spans="2:60" s="11" customFormat="1" ht="20.100000000000001" customHeight="1">
      <c r="B1461" s="1360"/>
      <c r="C1461" s="5598"/>
      <c r="D1461" s="5727"/>
      <c r="E1461" s="357" t="s">
        <v>134</v>
      </c>
      <c r="F1461" s="285" t="s">
        <v>154</v>
      </c>
      <c r="G1461" s="666"/>
      <c r="H1461" s="666"/>
      <c r="I1461" s="367"/>
      <c r="J1461" s="551" t="s">
        <v>431</v>
      </c>
      <c r="K1461" s="105" t="s">
        <v>154</v>
      </c>
      <c r="L1461" s="5714">
        <v>0</v>
      </c>
      <c r="M1461" s="5702"/>
      <c r="N1461" s="5987">
        <v>0</v>
      </c>
      <c r="O1461" s="6017"/>
      <c r="P1461" s="5988">
        <v>0</v>
      </c>
      <c r="Q1461" s="5710"/>
      <c r="R1461" s="2468"/>
      <c r="S1461" s="544"/>
      <c r="T1461" s="545"/>
      <c r="U1461" s="547"/>
      <c r="V1461" s="547"/>
      <c r="W1461" s="545"/>
      <c r="X1461" s="277"/>
      <c r="Y1461" s="277"/>
      <c r="Z1461" s="187"/>
      <c r="AA1461" s="6301"/>
      <c r="AB1461" s="139"/>
      <c r="AC1461" s="139"/>
      <c r="AD1461" s="139"/>
      <c r="AE1461" s="139"/>
      <c r="AF1461" s="139"/>
      <c r="AG1461" s="139"/>
      <c r="AH1461" s="139"/>
      <c r="AI1461" s="139"/>
      <c r="AJ1461" s="139"/>
      <c r="AK1461" s="139"/>
      <c r="AL1461" s="139"/>
      <c r="AM1461" s="139"/>
      <c r="AN1461" s="139"/>
      <c r="AO1461" s="139"/>
      <c r="AP1461" s="139"/>
      <c r="AQ1461" s="139"/>
      <c r="AR1461" s="139"/>
      <c r="AS1461" s="139"/>
      <c r="AT1461" s="139"/>
      <c r="AU1461" s="139"/>
      <c r="AV1461" s="139"/>
      <c r="AW1461" s="139"/>
      <c r="AX1461" s="139"/>
      <c r="AY1461" s="139"/>
      <c r="AZ1461" s="139"/>
      <c r="BA1461" s="139"/>
      <c r="BB1461" s="139"/>
      <c r="BC1461" s="139"/>
      <c r="BD1461" s="139"/>
      <c r="BE1461" s="139"/>
      <c r="BF1461" s="139"/>
      <c r="BG1461" s="139"/>
      <c r="BH1461" s="139"/>
    </row>
    <row r="1462" spans="2:60" s="11" customFormat="1" ht="20.100000000000001" customHeight="1">
      <c r="B1462" s="1360"/>
      <c r="C1462" s="5598"/>
      <c r="D1462" s="5727"/>
      <c r="E1462" s="357" t="s">
        <v>137</v>
      </c>
      <c r="F1462" s="285" t="s">
        <v>154</v>
      </c>
      <c r="G1462" s="666"/>
      <c r="H1462" s="666"/>
      <c r="I1462" s="367"/>
      <c r="J1462" s="551" t="s">
        <v>449</v>
      </c>
      <c r="K1462" s="105" t="s">
        <v>154</v>
      </c>
      <c r="L1462" s="5714"/>
      <c r="M1462" s="5702"/>
      <c r="N1462" s="5993">
        <v>0</v>
      </c>
      <c r="O1462" s="6017"/>
      <c r="P1462" s="5988"/>
      <c r="Q1462" s="5703"/>
      <c r="R1462" s="2468"/>
      <c r="S1462" s="544"/>
      <c r="T1462" s="545"/>
      <c r="U1462" s="547"/>
      <c r="V1462" s="547"/>
      <c r="W1462" s="545"/>
      <c r="X1462" s="277"/>
      <c r="Y1462" s="277"/>
      <c r="Z1462" s="187"/>
      <c r="AA1462" s="6301"/>
      <c r="AB1462" s="139"/>
      <c r="AC1462" s="139"/>
      <c r="AD1462" s="139"/>
      <c r="AE1462" s="139"/>
      <c r="AF1462" s="139"/>
      <c r="AG1462" s="139"/>
      <c r="AH1462" s="139"/>
      <c r="AI1462" s="139"/>
      <c r="AJ1462" s="139"/>
      <c r="AK1462" s="139"/>
      <c r="AL1462" s="139"/>
      <c r="AM1462" s="139"/>
      <c r="AN1462" s="139"/>
      <c r="AO1462" s="139"/>
      <c r="AP1462" s="139"/>
      <c r="AQ1462" s="139"/>
      <c r="AR1462" s="139"/>
      <c r="AS1462" s="139"/>
      <c r="AT1462" s="139"/>
      <c r="AU1462" s="139"/>
      <c r="AV1462" s="139"/>
      <c r="AW1462" s="139"/>
      <c r="AX1462" s="139"/>
      <c r="AY1462" s="139"/>
      <c r="AZ1462" s="139"/>
      <c r="BA1462" s="139"/>
      <c r="BB1462" s="139"/>
      <c r="BC1462" s="139"/>
      <c r="BD1462" s="139"/>
      <c r="BE1462" s="139"/>
      <c r="BF1462" s="139"/>
      <c r="BG1462" s="139"/>
      <c r="BH1462" s="139"/>
    </row>
    <row r="1463" spans="2:60" s="11" customFormat="1" ht="20.100000000000001" customHeight="1">
      <c r="B1463" s="1360"/>
      <c r="C1463" s="5598"/>
      <c r="D1463" s="619"/>
      <c r="E1463" s="357" t="s">
        <v>140</v>
      </c>
      <c r="F1463" s="285" t="s">
        <v>154</v>
      </c>
      <c r="G1463" s="666"/>
      <c r="H1463" s="666"/>
      <c r="I1463" s="367"/>
      <c r="J1463" s="551" t="s">
        <v>450</v>
      </c>
      <c r="K1463" s="105" t="s">
        <v>154</v>
      </c>
      <c r="L1463" s="6389">
        <v>0</v>
      </c>
      <c r="M1463" s="5702"/>
      <c r="N1463" s="6388">
        <v>0</v>
      </c>
      <c r="O1463" s="6017"/>
      <c r="P1463" s="6352">
        <v>0</v>
      </c>
      <c r="Q1463" s="5710"/>
      <c r="R1463" s="2468"/>
      <c r="S1463" s="544"/>
      <c r="T1463" s="545"/>
      <c r="U1463" s="547"/>
      <c r="V1463" s="547"/>
      <c r="W1463" s="545"/>
      <c r="X1463" s="277"/>
      <c r="Y1463" s="277"/>
      <c r="Z1463" s="187"/>
      <c r="AA1463" s="6301"/>
      <c r="AB1463" s="139" t="s">
        <v>1087</v>
      </c>
      <c r="AC1463" s="139"/>
      <c r="AD1463" s="139"/>
      <c r="AE1463" s="139"/>
      <c r="AF1463" s="139"/>
      <c r="AG1463" s="139"/>
      <c r="AH1463" s="139"/>
      <c r="AI1463" s="139"/>
      <c r="AJ1463" s="139"/>
      <c r="AK1463" s="139"/>
      <c r="AL1463" s="139"/>
      <c r="AM1463" s="139"/>
      <c r="AN1463" s="139"/>
      <c r="AO1463" s="139"/>
      <c r="AP1463" s="139"/>
      <c r="AQ1463" s="139"/>
      <c r="AR1463" s="139"/>
      <c r="AS1463" s="139"/>
      <c r="AT1463" s="139"/>
      <c r="AU1463" s="139"/>
      <c r="AV1463" s="139"/>
      <c r="AW1463" s="139"/>
      <c r="AX1463" s="139"/>
      <c r="AY1463" s="139"/>
      <c r="AZ1463" s="139"/>
      <c r="BA1463" s="139"/>
      <c r="BB1463" s="139"/>
      <c r="BC1463" s="139"/>
      <c r="BD1463" s="139"/>
      <c r="BE1463" s="139"/>
      <c r="BF1463" s="139"/>
      <c r="BG1463" s="139"/>
      <c r="BH1463" s="139"/>
    </row>
    <row r="1464" spans="2:60" s="11" customFormat="1" ht="20.100000000000001" customHeight="1">
      <c r="B1464" s="1360"/>
      <c r="C1464" s="161"/>
      <c r="D1464" s="5727"/>
      <c r="E1464" s="357" t="s">
        <v>143</v>
      </c>
      <c r="F1464" s="285" t="s">
        <v>154</v>
      </c>
      <c r="G1464" s="666"/>
      <c r="H1464" s="666"/>
      <c r="I1464" s="367"/>
      <c r="J1464" s="551" t="s">
        <v>451</v>
      </c>
      <c r="K1464" s="105" t="s">
        <v>154</v>
      </c>
      <c r="L1464" s="5714">
        <v>0</v>
      </c>
      <c r="M1464" s="5702"/>
      <c r="N1464" s="5987">
        <v>0</v>
      </c>
      <c r="O1464" s="6017"/>
      <c r="P1464" s="5988">
        <v>0</v>
      </c>
      <c r="Q1464" s="5710"/>
      <c r="R1464" s="2468"/>
      <c r="S1464" s="544"/>
      <c r="T1464" s="545"/>
      <c r="U1464" s="547"/>
      <c r="V1464" s="547"/>
      <c r="W1464" s="545"/>
      <c r="X1464" s="277"/>
      <c r="Y1464" s="277"/>
      <c r="Z1464" s="187"/>
      <c r="AA1464" s="6301"/>
      <c r="AB1464" s="139"/>
      <c r="AC1464" s="139"/>
      <c r="AD1464" s="139"/>
      <c r="AE1464" s="139"/>
      <c r="AF1464" s="139"/>
      <c r="AG1464" s="139"/>
      <c r="AH1464" s="139"/>
      <c r="AI1464" s="139"/>
      <c r="AJ1464" s="139"/>
      <c r="AK1464" s="139"/>
      <c r="AL1464" s="139"/>
      <c r="AM1464" s="139"/>
      <c r="AN1464" s="139"/>
      <c r="AO1464" s="139"/>
      <c r="AP1464" s="139"/>
      <c r="AQ1464" s="139"/>
      <c r="AR1464" s="139"/>
      <c r="AS1464" s="139"/>
      <c r="AT1464" s="139"/>
      <c r="AU1464" s="139"/>
      <c r="AV1464" s="139"/>
      <c r="AW1464" s="139"/>
      <c r="AX1464" s="139"/>
      <c r="AY1464" s="139"/>
      <c r="AZ1464" s="139"/>
      <c r="BA1464" s="139"/>
      <c r="BB1464" s="139"/>
      <c r="BC1464" s="139"/>
      <c r="BD1464" s="139"/>
      <c r="BE1464" s="139"/>
      <c r="BF1464" s="139"/>
      <c r="BG1464" s="139"/>
      <c r="BH1464" s="139"/>
    </row>
    <row r="1465" spans="2:60" s="11" customFormat="1" ht="20.100000000000001" customHeight="1">
      <c r="B1465" s="1360"/>
      <c r="C1465" s="5598"/>
      <c r="D1465" s="5727"/>
      <c r="E1465" s="357" t="s">
        <v>631</v>
      </c>
      <c r="F1465" s="285" t="s">
        <v>154</v>
      </c>
      <c r="G1465" s="666"/>
      <c r="H1465" s="666"/>
      <c r="I1465" s="367"/>
      <c r="J1465" s="551" t="s">
        <v>452</v>
      </c>
      <c r="K1465" s="105" t="s">
        <v>154</v>
      </c>
      <c r="L1465" s="5714">
        <v>0</v>
      </c>
      <c r="M1465" s="5702"/>
      <c r="N1465" s="5987">
        <v>0</v>
      </c>
      <c r="O1465" s="6017"/>
      <c r="P1465" s="5988">
        <v>0</v>
      </c>
      <c r="Q1465" s="5710"/>
      <c r="R1465" s="2468"/>
      <c r="S1465" s="544"/>
      <c r="T1465" s="545"/>
      <c r="U1465" s="547"/>
      <c r="V1465" s="547"/>
      <c r="W1465" s="545"/>
      <c r="X1465" s="277"/>
      <c r="Y1465" s="277"/>
      <c r="Z1465" s="187"/>
      <c r="AA1465" s="6301"/>
      <c r="AB1465" s="139"/>
      <c r="AC1465" s="139"/>
      <c r="AD1465" s="139"/>
      <c r="AE1465" s="139"/>
      <c r="AF1465" s="139"/>
      <c r="AG1465" s="139"/>
      <c r="AH1465" s="139"/>
      <c r="AI1465" s="139"/>
      <c r="AJ1465" s="139"/>
      <c r="AK1465" s="139"/>
      <c r="AL1465" s="139"/>
      <c r="AM1465" s="139"/>
      <c r="AN1465" s="139"/>
      <c r="AO1465" s="139"/>
      <c r="AP1465" s="139"/>
      <c r="AQ1465" s="139"/>
      <c r="AR1465" s="139"/>
      <c r="AS1465" s="139"/>
      <c r="AT1465" s="139"/>
      <c r="AU1465" s="139"/>
      <c r="AV1465" s="139"/>
      <c r="AW1465" s="139"/>
      <c r="AX1465" s="139"/>
      <c r="AY1465" s="139"/>
      <c r="AZ1465" s="139"/>
      <c r="BA1465" s="139"/>
      <c r="BB1465" s="139"/>
      <c r="BC1465" s="139"/>
      <c r="BD1465" s="139"/>
      <c r="BE1465" s="139"/>
      <c r="BF1465" s="139"/>
      <c r="BG1465" s="139"/>
      <c r="BH1465" s="139"/>
    </row>
    <row r="1466" spans="2:60" s="11" customFormat="1" ht="20.100000000000001" customHeight="1">
      <c r="B1466" s="1360"/>
      <c r="C1466" s="5598"/>
      <c r="D1466" s="5727"/>
      <c r="E1466" s="357" t="s">
        <v>633</v>
      </c>
      <c r="F1466" s="285" t="s">
        <v>154</v>
      </c>
      <c r="G1466" s="666"/>
      <c r="H1466" s="666"/>
      <c r="I1466" s="367"/>
      <c r="J1466" s="551" t="s">
        <v>453</v>
      </c>
      <c r="K1466" s="105" t="s">
        <v>154</v>
      </c>
      <c r="L1466" s="5959" t="s">
        <v>168</v>
      </c>
      <c r="M1466" s="5718" t="s">
        <v>641</v>
      </c>
      <c r="N1466" s="5729" t="s">
        <v>168</v>
      </c>
      <c r="O1466" s="5718" t="s">
        <v>641</v>
      </c>
      <c r="P1466" s="5729" t="s">
        <v>168</v>
      </c>
      <c r="Q1466" s="5717" t="s">
        <v>641</v>
      </c>
      <c r="R1466" s="2468"/>
      <c r="S1466" s="544"/>
      <c r="T1466" s="545"/>
      <c r="U1466" s="547"/>
      <c r="V1466" s="547"/>
      <c r="W1466" s="545"/>
      <c r="X1466" s="277"/>
      <c r="Y1466" s="277"/>
      <c r="Z1466" s="187"/>
      <c r="AA1466" s="6301"/>
      <c r="AB1466" s="139"/>
      <c r="AC1466" s="139"/>
      <c r="AD1466" s="139"/>
      <c r="AE1466" s="139"/>
      <c r="AF1466" s="139"/>
      <c r="AG1466" s="139"/>
      <c r="AH1466" s="139"/>
      <c r="AI1466" s="139"/>
      <c r="AJ1466" s="139"/>
      <c r="AK1466" s="139"/>
      <c r="AL1466" s="139"/>
      <c r="AM1466" s="139"/>
      <c r="AN1466" s="139"/>
      <c r="AO1466" s="139"/>
      <c r="AP1466" s="139"/>
      <c r="AQ1466" s="139"/>
      <c r="AR1466" s="139"/>
      <c r="AS1466" s="139"/>
      <c r="AT1466" s="139"/>
      <c r="AU1466" s="139"/>
      <c r="AV1466" s="139"/>
      <c r="AW1466" s="139"/>
      <c r="AX1466" s="139"/>
      <c r="AY1466" s="139"/>
      <c r="AZ1466" s="139"/>
      <c r="BA1466" s="139"/>
      <c r="BB1466" s="139"/>
      <c r="BC1466" s="139"/>
      <c r="BD1466" s="139"/>
      <c r="BE1466" s="139"/>
      <c r="BF1466" s="139"/>
      <c r="BG1466" s="139"/>
      <c r="BH1466" s="139"/>
    </row>
    <row r="1467" spans="2:60" s="11" customFormat="1" ht="19.350000000000001" customHeight="1">
      <c r="B1467" s="1360"/>
      <c r="C1467" s="5598"/>
      <c r="D1467" s="5727"/>
      <c r="E1467" s="5694" t="s">
        <v>827</v>
      </c>
      <c r="F1467" s="285" t="s">
        <v>154</v>
      </c>
      <c r="G1467" s="358"/>
      <c r="H1467" s="358"/>
      <c r="I1467" s="6178"/>
      <c r="J1467" s="5694" t="s">
        <v>1088</v>
      </c>
      <c r="K1467" s="105" t="s">
        <v>154</v>
      </c>
      <c r="L1467" s="5968" t="str">
        <f>IF(COUNTBLANK(L1468:L1473)&gt;0,"미취합법인有",AVERAGE(L1468:L1473))</f>
        <v>미취합법인有</v>
      </c>
      <c r="M1467" s="5657"/>
      <c r="N1467" s="5654">
        <f>IF(COUNTBLANK(N1468:N1473)&gt;0,"미취합법인有",AVERAGE(N1468:N1473))</f>
        <v>28.8</v>
      </c>
      <c r="O1467" s="5663"/>
      <c r="P1467" s="5781" t="str">
        <f>IF(COUNTBLANK(P1468:P1473)&gt;0,"미취합법인有",AVERAGE(P1468:P1473))</f>
        <v>미취합법인有</v>
      </c>
      <c r="Q1467" s="785"/>
      <c r="R1467" s="2472"/>
      <c r="S1467" s="457"/>
      <c r="T1467" s="99" t="s">
        <v>758</v>
      </c>
      <c r="U1467" s="547" t="s">
        <v>800</v>
      </c>
      <c r="V1467" s="547"/>
      <c r="W1467" s="99"/>
      <c r="X1467" s="265"/>
      <c r="Y1467" s="265" t="s">
        <v>807</v>
      </c>
      <c r="Z1467" s="187"/>
      <c r="AA1467" s="6301"/>
      <c r="AB1467" s="139"/>
      <c r="AC1467" s="139"/>
      <c r="AD1467" s="139"/>
      <c r="AE1467" s="139"/>
      <c r="AF1467" s="139"/>
      <c r="AG1467" s="139"/>
      <c r="AH1467" s="139"/>
      <c r="AI1467" s="139"/>
      <c r="AJ1467" s="139"/>
      <c r="AK1467" s="139"/>
      <c r="AL1467" s="139"/>
      <c r="AM1467" s="139"/>
      <c r="AN1467" s="139"/>
      <c r="AO1467" s="139"/>
      <c r="AP1467" s="139"/>
      <c r="AQ1467" s="139"/>
      <c r="AR1467" s="139"/>
      <c r="AS1467" s="139"/>
      <c r="AT1467" s="139"/>
      <c r="AU1467" s="139"/>
      <c r="AV1467" s="139"/>
      <c r="AW1467" s="139"/>
      <c r="AX1467" s="139"/>
      <c r="AY1467" s="139"/>
      <c r="AZ1467" s="139"/>
      <c r="BA1467" s="139"/>
      <c r="BB1467" s="139"/>
      <c r="BC1467" s="139"/>
      <c r="BD1467" s="139"/>
      <c r="BE1467" s="139"/>
      <c r="BF1467" s="139"/>
      <c r="BG1467" s="139"/>
      <c r="BH1467" s="139"/>
    </row>
    <row r="1468" spans="2:60" s="11" customFormat="1" ht="20.100000000000001" customHeight="1">
      <c r="B1468" s="1360"/>
      <c r="C1468" s="161"/>
      <c r="D1468" s="5727"/>
      <c r="E1468" s="357" t="s">
        <v>134</v>
      </c>
      <c r="F1468" s="285" t="s">
        <v>154</v>
      </c>
      <c r="G1468" s="666"/>
      <c r="H1468" s="666"/>
      <c r="I1468" s="367"/>
      <c r="J1468" s="551" t="s">
        <v>135</v>
      </c>
      <c r="K1468" s="105" t="s">
        <v>154</v>
      </c>
      <c r="L1468" s="5714">
        <v>20</v>
      </c>
      <c r="M1468" s="5702"/>
      <c r="N1468" s="5987">
        <v>50</v>
      </c>
      <c r="O1468" s="6017"/>
      <c r="P1468" s="5988">
        <v>50</v>
      </c>
      <c r="Q1468" s="5710"/>
      <c r="R1468" s="2468"/>
      <c r="S1468" s="544"/>
      <c r="T1468" s="545"/>
      <c r="U1468" s="547"/>
      <c r="V1468" s="547"/>
      <c r="W1468" s="545"/>
      <c r="X1468" s="277"/>
      <c r="Y1468" s="277"/>
      <c r="Z1468" s="187"/>
      <c r="AA1468" s="6301"/>
      <c r="AB1468" s="139"/>
      <c r="AC1468" s="139"/>
      <c r="AD1468" s="139"/>
      <c r="AE1468" s="139"/>
      <c r="AF1468" s="139"/>
      <c r="AG1468" s="139"/>
      <c r="AH1468" s="139"/>
      <c r="AI1468" s="139"/>
      <c r="AJ1468" s="139"/>
      <c r="AK1468" s="139"/>
      <c r="AL1468" s="139"/>
      <c r="AM1468" s="139"/>
      <c r="AN1468" s="139"/>
      <c r="AO1468" s="139"/>
      <c r="AP1468" s="139"/>
      <c r="AQ1468" s="139"/>
      <c r="AR1468" s="139"/>
      <c r="AS1468" s="139"/>
      <c r="AT1468" s="139"/>
      <c r="AU1468" s="139"/>
      <c r="AV1468" s="139"/>
      <c r="AW1468" s="139"/>
      <c r="AX1468" s="139"/>
      <c r="AY1468" s="139"/>
      <c r="AZ1468" s="139"/>
      <c r="BA1468" s="139"/>
      <c r="BB1468" s="139"/>
      <c r="BC1468" s="139"/>
      <c r="BD1468" s="139"/>
      <c r="BE1468" s="139"/>
      <c r="BF1468" s="139"/>
      <c r="BG1468" s="139"/>
      <c r="BH1468" s="139"/>
    </row>
    <row r="1469" spans="2:60" s="11" customFormat="1" ht="20.100000000000001" customHeight="1">
      <c r="B1469" s="1360"/>
      <c r="C1469" s="5598"/>
      <c r="D1469" s="5727"/>
      <c r="E1469" s="357" t="s">
        <v>137</v>
      </c>
      <c r="F1469" s="285" t="s">
        <v>154</v>
      </c>
      <c r="G1469" s="666"/>
      <c r="H1469" s="666"/>
      <c r="I1469" s="367"/>
      <c r="J1469" s="551" t="s">
        <v>449</v>
      </c>
      <c r="K1469" s="105" t="s">
        <v>154</v>
      </c>
      <c r="L1469" s="5714"/>
      <c r="M1469" s="5702"/>
      <c r="N1469" s="5993">
        <v>0</v>
      </c>
      <c r="O1469" s="6017"/>
      <c r="P1469" s="5988"/>
      <c r="Q1469" s="5703"/>
      <c r="R1469" s="2468"/>
      <c r="S1469" s="544"/>
      <c r="T1469" s="545"/>
      <c r="U1469" s="547"/>
      <c r="V1469" s="547"/>
      <c r="W1469" s="545"/>
      <c r="X1469" s="277"/>
      <c r="Y1469" s="277"/>
      <c r="Z1469" s="187"/>
      <c r="AA1469" s="6301"/>
      <c r="AB1469" s="139"/>
      <c r="AC1469" s="139"/>
      <c r="AD1469" s="139"/>
      <c r="AE1469" s="139"/>
      <c r="AF1469" s="139"/>
      <c r="AG1469" s="139"/>
      <c r="AH1469" s="139"/>
      <c r="AI1469" s="139"/>
      <c r="AJ1469" s="139"/>
      <c r="AK1469" s="139"/>
      <c r="AL1469" s="139"/>
      <c r="AM1469" s="139"/>
      <c r="AN1469" s="139"/>
      <c r="AO1469" s="139"/>
      <c r="AP1469" s="139"/>
      <c r="AQ1469" s="139"/>
      <c r="AR1469" s="139"/>
      <c r="AS1469" s="139"/>
      <c r="AT1469" s="139"/>
      <c r="AU1469" s="139"/>
      <c r="AV1469" s="139"/>
      <c r="AW1469" s="139"/>
      <c r="AX1469" s="139"/>
      <c r="AY1469" s="139"/>
      <c r="AZ1469" s="139"/>
      <c r="BA1469" s="139"/>
      <c r="BB1469" s="139"/>
      <c r="BC1469" s="139"/>
      <c r="BD1469" s="139"/>
      <c r="BE1469" s="139"/>
      <c r="BF1469" s="139"/>
      <c r="BG1469" s="139"/>
      <c r="BH1469" s="139"/>
    </row>
    <row r="1470" spans="2:60" s="11" customFormat="1" ht="20.100000000000001" customHeight="1">
      <c r="B1470" s="1360"/>
      <c r="C1470" s="5598"/>
      <c r="D1470" s="5727"/>
      <c r="E1470" s="357" t="s">
        <v>140</v>
      </c>
      <c r="F1470" s="285" t="s">
        <v>154</v>
      </c>
      <c r="G1470" s="666"/>
      <c r="H1470" s="666"/>
      <c r="I1470" s="367"/>
      <c r="J1470" s="551" t="s">
        <v>450</v>
      </c>
      <c r="K1470" s="105" t="s">
        <v>154</v>
      </c>
      <c r="L1470" s="6389">
        <v>18</v>
      </c>
      <c r="M1470" s="5702"/>
      <c r="N1470" s="6388">
        <v>22</v>
      </c>
      <c r="O1470" s="6017"/>
      <c r="P1470" s="6352">
        <v>25</v>
      </c>
      <c r="Q1470" s="5710"/>
      <c r="R1470" s="2468"/>
      <c r="S1470" s="544"/>
      <c r="T1470" s="545"/>
      <c r="U1470" s="547"/>
      <c r="V1470" s="547"/>
      <c r="W1470" s="545"/>
      <c r="X1470" s="277"/>
      <c r="Y1470" s="277"/>
      <c r="Z1470" s="187"/>
      <c r="AA1470" s="6301"/>
      <c r="AB1470" s="139" t="s">
        <v>1087</v>
      </c>
      <c r="AC1470" s="139"/>
      <c r="AD1470" s="139"/>
      <c r="AE1470" s="139"/>
      <c r="AF1470" s="139"/>
      <c r="AG1470" s="139"/>
      <c r="AH1470" s="139"/>
      <c r="AI1470" s="139"/>
      <c r="AJ1470" s="139"/>
      <c r="AK1470" s="139"/>
      <c r="AL1470" s="139"/>
      <c r="AM1470" s="139"/>
      <c r="AN1470" s="139"/>
      <c r="AO1470" s="139"/>
      <c r="AP1470" s="139"/>
      <c r="AQ1470" s="139"/>
      <c r="AR1470" s="139"/>
      <c r="AS1470" s="139"/>
      <c r="AT1470" s="139"/>
      <c r="AU1470" s="139"/>
      <c r="AV1470" s="139"/>
      <c r="AW1470" s="139"/>
      <c r="AX1470" s="139"/>
      <c r="AY1470" s="139"/>
      <c r="AZ1470" s="139"/>
      <c r="BA1470" s="139"/>
      <c r="BB1470" s="139"/>
      <c r="BC1470" s="139"/>
      <c r="BD1470" s="139"/>
      <c r="BE1470" s="139"/>
      <c r="BF1470" s="139"/>
      <c r="BG1470" s="139"/>
      <c r="BH1470" s="139"/>
    </row>
    <row r="1471" spans="2:60" s="11" customFormat="1" ht="20.100000000000001" customHeight="1">
      <c r="B1471" s="1360"/>
      <c r="C1471" s="5598"/>
      <c r="D1471" s="5727"/>
      <c r="E1471" s="357" t="s">
        <v>143</v>
      </c>
      <c r="F1471" s="285" t="s">
        <v>154</v>
      </c>
      <c r="G1471" s="666"/>
      <c r="H1471" s="666"/>
      <c r="I1471" s="367"/>
      <c r="J1471" s="551" t="s">
        <v>451</v>
      </c>
      <c r="K1471" s="105" t="s">
        <v>154</v>
      </c>
      <c r="L1471" s="5714">
        <v>1</v>
      </c>
      <c r="M1471" s="5702"/>
      <c r="N1471" s="5987">
        <v>1</v>
      </c>
      <c r="O1471" s="6017"/>
      <c r="P1471" s="5988">
        <v>1</v>
      </c>
      <c r="Q1471" s="5710"/>
      <c r="R1471" s="2468"/>
      <c r="S1471" s="544"/>
      <c r="T1471" s="545"/>
      <c r="U1471" s="547"/>
      <c r="V1471" s="547"/>
      <c r="W1471" s="545"/>
      <c r="X1471" s="277"/>
      <c r="Y1471" s="277"/>
      <c r="Z1471" s="187"/>
      <c r="AA1471" s="6301"/>
      <c r="AB1471" s="139"/>
      <c r="AC1471" s="139"/>
      <c r="AD1471" s="139"/>
      <c r="AE1471" s="139"/>
      <c r="AF1471" s="139"/>
      <c r="AG1471" s="139"/>
      <c r="AH1471" s="139"/>
      <c r="AI1471" s="139"/>
      <c r="AJ1471" s="139"/>
      <c r="AK1471" s="139"/>
      <c r="AL1471" s="139"/>
      <c r="AM1471" s="139"/>
      <c r="AN1471" s="139"/>
      <c r="AO1471" s="139"/>
      <c r="AP1471" s="139"/>
      <c r="AQ1471" s="139"/>
      <c r="AR1471" s="139"/>
      <c r="AS1471" s="139"/>
      <c r="AT1471" s="139"/>
      <c r="AU1471" s="139"/>
      <c r="AV1471" s="139"/>
      <c r="AW1471" s="139"/>
      <c r="AX1471" s="139"/>
      <c r="AY1471" s="139"/>
      <c r="AZ1471" s="139"/>
      <c r="BA1471" s="139"/>
      <c r="BB1471" s="139"/>
      <c r="BC1471" s="139"/>
      <c r="BD1471" s="139"/>
      <c r="BE1471" s="139"/>
      <c r="BF1471" s="139"/>
      <c r="BG1471" s="139"/>
      <c r="BH1471" s="139"/>
    </row>
    <row r="1472" spans="2:60" s="11" customFormat="1" ht="20.100000000000001" customHeight="1">
      <c r="B1472" s="1360"/>
      <c r="C1472" s="5598"/>
      <c r="D1472" s="5727"/>
      <c r="E1472" s="357" t="s">
        <v>631</v>
      </c>
      <c r="F1472" s="285" t="s">
        <v>154</v>
      </c>
      <c r="G1472" s="666"/>
      <c r="H1472" s="666"/>
      <c r="I1472" s="367"/>
      <c r="J1472" s="551" t="s">
        <v>452</v>
      </c>
      <c r="K1472" s="105" t="s">
        <v>154</v>
      </c>
      <c r="L1472" s="5714">
        <v>71</v>
      </c>
      <c r="M1472" s="5702"/>
      <c r="N1472" s="5987">
        <v>71</v>
      </c>
      <c r="O1472" s="6017"/>
      <c r="P1472" s="5988">
        <v>71</v>
      </c>
      <c r="Q1472" s="5710"/>
      <c r="R1472" s="2468"/>
      <c r="S1472" s="544"/>
      <c r="T1472" s="545"/>
      <c r="U1472" s="547"/>
      <c r="V1472" s="547"/>
      <c r="W1472" s="545"/>
      <c r="X1472" s="277"/>
      <c r="Y1472" s="277"/>
      <c r="Z1472" s="187"/>
      <c r="AA1472" s="6301"/>
      <c r="AB1472" s="139"/>
      <c r="AC1472" s="139"/>
      <c r="AD1472" s="139"/>
      <c r="AE1472" s="139"/>
      <c r="AF1472" s="139"/>
      <c r="AG1472" s="139"/>
      <c r="AH1472" s="139"/>
      <c r="AI1472" s="139"/>
      <c r="AJ1472" s="139"/>
      <c r="AK1472" s="139"/>
      <c r="AL1472" s="139"/>
      <c r="AM1472" s="139"/>
      <c r="AN1472" s="139"/>
      <c r="AO1472" s="139"/>
      <c r="AP1472" s="139"/>
      <c r="AQ1472" s="139"/>
      <c r="AR1472" s="139"/>
      <c r="AS1472" s="139"/>
      <c r="AT1472" s="139"/>
      <c r="AU1472" s="139"/>
      <c r="AV1472" s="139"/>
      <c r="AW1472" s="139"/>
      <c r="AX1472" s="139"/>
      <c r="AY1472" s="139"/>
      <c r="AZ1472" s="139"/>
      <c r="BA1472" s="139"/>
      <c r="BB1472" s="139"/>
      <c r="BC1472" s="139"/>
      <c r="BD1472" s="139"/>
      <c r="BE1472" s="139"/>
      <c r="BF1472" s="139"/>
      <c r="BG1472" s="139"/>
      <c r="BH1472" s="139"/>
    </row>
    <row r="1473" spans="2:60" s="11" customFormat="1" ht="20.100000000000001" customHeight="1">
      <c r="B1473" s="1360"/>
      <c r="C1473" s="5598"/>
      <c r="D1473" s="5727"/>
      <c r="E1473" s="357" t="s">
        <v>633</v>
      </c>
      <c r="F1473" s="285" t="s">
        <v>154</v>
      </c>
      <c r="G1473" s="666"/>
      <c r="H1473" s="666"/>
      <c r="I1473" s="367"/>
      <c r="J1473" s="551" t="s">
        <v>453</v>
      </c>
      <c r="K1473" s="105" t="s">
        <v>154</v>
      </c>
      <c r="L1473" s="5959" t="s">
        <v>168</v>
      </c>
      <c r="M1473" s="5718" t="s">
        <v>641</v>
      </c>
      <c r="N1473" s="5729" t="s">
        <v>168</v>
      </c>
      <c r="O1473" s="5718" t="s">
        <v>641</v>
      </c>
      <c r="P1473" s="5729" t="s">
        <v>168</v>
      </c>
      <c r="Q1473" s="5717" t="s">
        <v>641</v>
      </c>
      <c r="R1473" s="2468"/>
      <c r="S1473" s="544"/>
      <c r="T1473" s="545"/>
      <c r="U1473" s="547"/>
      <c r="V1473" s="547"/>
      <c r="W1473" s="545"/>
      <c r="X1473" s="277"/>
      <c r="Y1473" s="277"/>
      <c r="Z1473" s="187"/>
      <c r="AA1473" s="6301"/>
      <c r="AB1473" s="139"/>
      <c r="AC1473" s="139"/>
      <c r="AD1473" s="139"/>
      <c r="AE1473" s="139"/>
      <c r="AF1473" s="139"/>
      <c r="AG1473" s="139"/>
      <c r="AH1473" s="139"/>
      <c r="AI1473" s="139"/>
      <c r="AJ1473" s="139"/>
      <c r="AK1473" s="139"/>
      <c r="AL1473" s="139"/>
      <c r="AM1473" s="139"/>
      <c r="AN1473" s="139"/>
      <c r="AO1473" s="139"/>
      <c r="AP1473" s="139"/>
      <c r="AQ1473" s="139"/>
      <c r="AR1473" s="139"/>
      <c r="AS1473" s="139"/>
      <c r="AT1473" s="139"/>
      <c r="AU1473" s="139"/>
      <c r="AV1473" s="139"/>
      <c r="AW1473" s="139"/>
      <c r="AX1473" s="139"/>
      <c r="AY1473" s="139"/>
      <c r="AZ1473" s="139"/>
      <c r="BA1473" s="139"/>
      <c r="BB1473" s="139"/>
      <c r="BC1473" s="139"/>
      <c r="BD1473" s="139"/>
      <c r="BE1473" s="139"/>
      <c r="BF1473" s="139"/>
      <c r="BG1473" s="139"/>
      <c r="BH1473" s="139"/>
    </row>
    <row r="1474" spans="2:60" s="11" customFormat="1" ht="19.350000000000001" customHeight="1">
      <c r="B1474" s="1360"/>
      <c r="C1474" s="5598"/>
      <c r="D1474" s="5727"/>
      <c r="E1474" s="5694" t="s">
        <v>830</v>
      </c>
      <c r="F1474" s="285" t="s">
        <v>154</v>
      </c>
      <c r="G1474" s="358"/>
      <c r="H1474" s="358"/>
      <c r="I1474" s="6178"/>
      <c r="J1474" s="5694" t="s">
        <v>1089</v>
      </c>
      <c r="K1474" s="105" t="s">
        <v>154</v>
      </c>
      <c r="L1474" s="5968" t="str">
        <f>IF(COUNTBLANK(L1475:L1480)&gt;0,"미취합법인有",AVERAGE(L1475:L1480))</f>
        <v>미취합법인有</v>
      </c>
      <c r="M1474" s="5657"/>
      <c r="N1474" s="5654" t="str">
        <f>IF(COUNTBLANK(N1475:N1480)&gt;0,"미취합법인有",AVERAGE(N1475:N1480))</f>
        <v>미취합법인有</v>
      </c>
      <c r="O1474" s="5663"/>
      <c r="P1474" s="5781" t="str">
        <f>IF(COUNTBLANK(P1475:P1480)&gt;0,"미취합법인有",AVERAGE(P1475:P1480))</f>
        <v>미취합법인有</v>
      </c>
      <c r="Q1474" s="785"/>
      <c r="R1474" s="2472"/>
      <c r="S1474" s="457"/>
      <c r="T1474" s="99" t="s">
        <v>758</v>
      </c>
      <c r="U1474" s="547" t="s">
        <v>800</v>
      </c>
      <c r="V1474" s="547"/>
      <c r="W1474" s="99"/>
      <c r="X1474" s="265"/>
      <c r="Y1474" s="265" t="s">
        <v>807</v>
      </c>
      <c r="Z1474" s="187"/>
      <c r="AA1474" s="6301"/>
      <c r="AB1474" s="139"/>
      <c r="AC1474" s="139"/>
      <c r="AD1474" s="139"/>
      <c r="AE1474" s="139"/>
      <c r="AF1474" s="139"/>
      <c r="AG1474" s="139"/>
      <c r="AH1474" s="139"/>
      <c r="AI1474" s="139"/>
      <c r="AJ1474" s="139"/>
      <c r="AK1474" s="139"/>
      <c r="AL1474" s="139"/>
      <c r="AM1474" s="139"/>
      <c r="AN1474" s="139"/>
      <c r="AO1474" s="139"/>
      <c r="AP1474" s="139"/>
      <c r="AQ1474" s="139"/>
      <c r="AR1474" s="139"/>
      <c r="AS1474" s="139"/>
      <c r="AT1474" s="139"/>
      <c r="AU1474" s="139"/>
      <c r="AV1474" s="139"/>
      <c r="AW1474" s="139"/>
      <c r="AX1474" s="139"/>
      <c r="AY1474" s="139"/>
      <c r="AZ1474" s="139"/>
      <c r="BA1474" s="139"/>
      <c r="BB1474" s="139"/>
      <c r="BC1474" s="139"/>
      <c r="BD1474" s="139"/>
      <c r="BE1474" s="139"/>
      <c r="BF1474" s="139"/>
      <c r="BG1474" s="139"/>
      <c r="BH1474" s="139"/>
    </row>
    <row r="1475" spans="2:60" s="11" customFormat="1" ht="20.100000000000001" customHeight="1">
      <c r="B1475" s="1360"/>
      <c r="C1475" s="5598"/>
      <c r="D1475" s="619"/>
      <c r="E1475" s="357" t="s">
        <v>134</v>
      </c>
      <c r="F1475" s="285" t="s">
        <v>154</v>
      </c>
      <c r="G1475" s="666"/>
      <c r="H1475" s="666"/>
      <c r="I1475" s="367"/>
      <c r="J1475" s="551" t="s">
        <v>431</v>
      </c>
      <c r="K1475" s="105" t="s">
        <v>154</v>
      </c>
      <c r="L1475" s="5714">
        <v>80</v>
      </c>
      <c r="M1475" s="5702"/>
      <c r="N1475" s="5987">
        <v>50</v>
      </c>
      <c r="O1475" s="6017"/>
      <c r="P1475" s="5988">
        <v>50</v>
      </c>
      <c r="Q1475" s="5704"/>
      <c r="R1475" s="2468"/>
      <c r="S1475" s="544"/>
      <c r="T1475" s="545"/>
      <c r="U1475" s="547"/>
      <c r="V1475" s="547"/>
      <c r="W1475" s="545"/>
      <c r="X1475" s="277"/>
      <c r="Y1475" s="277"/>
      <c r="Z1475" s="187"/>
      <c r="AA1475" s="6301"/>
      <c r="AB1475" s="139"/>
      <c r="AC1475" s="139"/>
      <c r="AD1475" s="139"/>
      <c r="AE1475" s="139"/>
      <c r="AF1475" s="139"/>
      <c r="AG1475" s="139"/>
      <c r="AH1475" s="139"/>
      <c r="AI1475" s="139"/>
      <c r="AJ1475" s="139"/>
      <c r="AK1475" s="139"/>
      <c r="AL1475" s="139"/>
      <c r="AM1475" s="139"/>
      <c r="AN1475" s="139"/>
      <c r="AO1475" s="139"/>
      <c r="AP1475" s="139"/>
      <c r="AQ1475" s="139"/>
      <c r="AR1475" s="139"/>
      <c r="AS1475" s="139"/>
      <c r="AT1475" s="139"/>
      <c r="AU1475" s="139"/>
      <c r="AV1475" s="139"/>
      <c r="AW1475" s="139"/>
      <c r="AX1475" s="139"/>
      <c r="AY1475" s="139"/>
      <c r="AZ1475" s="139"/>
      <c r="BA1475" s="139"/>
      <c r="BB1475" s="139"/>
      <c r="BC1475" s="139"/>
      <c r="BD1475" s="139"/>
      <c r="BE1475" s="139"/>
      <c r="BF1475" s="139"/>
      <c r="BG1475" s="139"/>
      <c r="BH1475" s="139"/>
    </row>
    <row r="1476" spans="2:60" s="11" customFormat="1" ht="20.100000000000001" customHeight="1">
      <c r="B1476" s="1360"/>
      <c r="C1476" s="5598"/>
      <c r="D1476" s="5727"/>
      <c r="E1476" s="357" t="s">
        <v>137</v>
      </c>
      <c r="F1476" s="285" t="s">
        <v>154</v>
      </c>
      <c r="G1476" s="666"/>
      <c r="H1476" s="666"/>
      <c r="I1476" s="367"/>
      <c r="J1476" s="551" t="s">
        <v>449</v>
      </c>
      <c r="K1476" s="105" t="s">
        <v>154</v>
      </c>
      <c r="L1476" s="5714"/>
      <c r="M1476" s="5702"/>
      <c r="N1476" s="5993">
        <v>0</v>
      </c>
      <c r="O1476" s="6017"/>
      <c r="P1476" s="5988"/>
      <c r="Q1476" s="5701"/>
      <c r="R1476" s="2468"/>
      <c r="S1476" s="544"/>
      <c r="T1476" s="545"/>
      <c r="U1476" s="547"/>
      <c r="V1476" s="547"/>
      <c r="W1476" s="545"/>
      <c r="X1476" s="277"/>
      <c r="Y1476" s="277"/>
      <c r="Z1476" s="187"/>
      <c r="AA1476" s="6301"/>
      <c r="AB1476" s="139"/>
      <c r="AC1476" s="139"/>
      <c r="AD1476" s="139"/>
      <c r="AE1476" s="139"/>
      <c r="AF1476" s="139"/>
      <c r="AG1476" s="139"/>
      <c r="AH1476" s="139"/>
      <c r="AI1476" s="139"/>
      <c r="AJ1476" s="139"/>
      <c r="AK1476" s="139"/>
      <c r="AL1476" s="139"/>
      <c r="AM1476" s="139"/>
      <c r="AN1476" s="139"/>
      <c r="AO1476" s="139"/>
      <c r="AP1476" s="139"/>
      <c r="AQ1476" s="139"/>
      <c r="AR1476" s="139"/>
      <c r="AS1476" s="139"/>
      <c r="AT1476" s="139"/>
      <c r="AU1476" s="139"/>
      <c r="AV1476" s="139"/>
      <c r="AW1476" s="139"/>
      <c r="AX1476" s="139"/>
      <c r="AY1476" s="139"/>
      <c r="AZ1476" s="139"/>
      <c r="BA1476" s="139"/>
      <c r="BB1476" s="139"/>
      <c r="BC1476" s="139"/>
      <c r="BD1476" s="139"/>
      <c r="BE1476" s="139"/>
      <c r="BF1476" s="139"/>
      <c r="BG1476" s="139"/>
      <c r="BH1476" s="139"/>
    </row>
    <row r="1477" spans="2:60" s="11" customFormat="1" ht="20.100000000000001" customHeight="1">
      <c r="B1477" s="1360"/>
      <c r="C1477" s="27"/>
      <c r="D1477" s="5727"/>
      <c r="E1477" s="357" t="s">
        <v>140</v>
      </c>
      <c r="F1477" s="285" t="s">
        <v>154</v>
      </c>
      <c r="G1477" s="666"/>
      <c r="H1477" s="666"/>
      <c r="I1477" s="367"/>
      <c r="J1477" s="551" t="s">
        <v>450</v>
      </c>
      <c r="K1477" s="105" t="s">
        <v>154</v>
      </c>
      <c r="L1477" s="6389">
        <v>2</v>
      </c>
      <c r="M1477" s="5863"/>
      <c r="N1477" s="6390">
        <v>1</v>
      </c>
      <c r="O1477" s="5722"/>
      <c r="P1477" s="6391">
        <v>1</v>
      </c>
      <c r="Q1477" s="5717"/>
      <c r="R1477" s="2468"/>
      <c r="S1477" s="544"/>
      <c r="T1477" s="545"/>
      <c r="U1477" s="547"/>
      <c r="V1477" s="547"/>
      <c r="W1477" s="545"/>
      <c r="X1477" s="277"/>
      <c r="Y1477" s="277"/>
      <c r="Z1477" s="187"/>
      <c r="AA1477" s="6301"/>
      <c r="AB1477" s="139" t="s">
        <v>1087</v>
      </c>
      <c r="AC1477" s="139"/>
      <c r="AD1477" s="139"/>
      <c r="AE1477" s="139"/>
      <c r="AF1477" s="139"/>
      <c r="AG1477" s="139"/>
      <c r="AH1477" s="139"/>
      <c r="AI1477" s="139"/>
      <c r="AJ1477" s="139"/>
      <c r="AK1477" s="139"/>
      <c r="AL1477" s="139"/>
      <c r="AM1477" s="139"/>
      <c r="AN1477" s="139"/>
      <c r="AO1477" s="139"/>
      <c r="AP1477" s="139"/>
      <c r="AQ1477" s="139"/>
      <c r="AR1477" s="139"/>
      <c r="AS1477" s="139"/>
      <c r="AT1477" s="139"/>
      <c r="AU1477" s="139"/>
      <c r="AV1477" s="139"/>
      <c r="AW1477" s="139"/>
      <c r="AX1477" s="139"/>
      <c r="AY1477" s="139"/>
      <c r="AZ1477" s="139"/>
      <c r="BA1477" s="139"/>
      <c r="BB1477" s="139"/>
      <c r="BC1477" s="139"/>
      <c r="BD1477" s="139"/>
      <c r="BE1477" s="139"/>
      <c r="BF1477" s="139"/>
      <c r="BG1477" s="139"/>
      <c r="BH1477" s="139"/>
    </row>
    <row r="1478" spans="2:60" s="11" customFormat="1" ht="20.100000000000001" customHeight="1">
      <c r="B1478" s="1360"/>
      <c r="C1478" s="5598"/>
      <c r="D1478" s="5727"/>
      <c r="E1478" s="357" t="s">
        <v>143</v>
      </c>
      <c r="F1478" s="285" t="s">
        <v>154</v>
      </c>
      <c r="G1478" s="666"/>
      <c r="H1478" s="666"/>
      <c r="I1478" s="367"/>
      <c r="J1478" s="551" t="s">
        <v>451</v>
      </c>
      <c r="K1478" s="105" t="s">
        <v>154</v>
      </c>
      <c r="L1478" s="5714"/>
      <c r="M1478" s="5863"/>
      <c r="N1478" s="5859"/>
      <c r="O1478" s="5722"/>
      <c r="P1478" s="5864"/>
      <c r="Q1478" s="5717"/>
      <c r="R1478" s="2468"/>
      <c r="S1478" s="544"/>
      <c r="T1478" s="545"/>
      <c r="U1478" s="547"/>
      <c r="V1478" s="547"/>
      <c r="W1478" s="545"/>
      <c r="X1478" s="277"/>
      <c r="Y1478" s="277"/>
      <c r="Z1478" s="187"/>
      <c r="AA1478" s="6301"/>
      <c r="AB1478" s="139"/>
      <c r="AC1478" s="139"/>
      <c r="AD1478" s="139"/>
      <c r="AE1478" s="139"/>
      <c r="AF1478" s="139"/>
      <c r="AG1478" s="139"/>
      <c r="AH1478" s="139"/>
      <c r="AI1478" s="139"/>
      <c r="AJ1478" s="139"/>
      <c r="AK1478" s="139"/>
      <c r="AL1478" s="139"/>
      <c r="AM1478" s="139"/>
      <c r="AN1478" s="139"/>
      <c r="AO1478" s="139"/>
      <c r="AP1478" s="139"/>
      <c r="AQ1478" s="139"/>
      <c r="AR1478" s="139"/>
      <c r="AS1478" s="139"/>
      <c r="AT1478" s="139"/>
      <c r="AU1478" s="139"/>
      <c r="AV1478" s="139"/>
      <c r="AW1478" s="139"/>
      <c r="AX1478" s="139"/>
      <c r="AY1478" s="139"/>
      <c r="AZ1478" s="139"/>
      <c r="BA1478" s="139"/>
      <c r="BB1478" s="139"/>
      <c r="BC1478" s="139"/>
      <c r="BD1478" s="139"/>
      <c r="BE1478" s="139"/>
      <c r="BF1478" s="139"/>
      <c r="BG1478" s="139"/>
      <c r="BH1478" s="139"/>
    </row>
    <row r="1479" spans="2:60" s="11" customFormat="1" ht="20.100000000000001" customHeight="1">
      <c r="B1479" s="1360"/>
      <c r="C1479" s="5598"/>
      <c r="D1479" s="5727"/>
      <c r="E1479" s="357" t="s">
        <v>631</v>
      </c>
      <c r="F1479" s="285" t="s">
        <v>154</v>
      </c>
      <c r="G1479" s="666"/>
      <c r="H1479" s="666"/>
      <c r="I1479" s="367"/>
      <c r="J1479" s="551" t="s">
        <v>452</v>
      </c>
      <c r="K1479" s="105" t="s">
        <v>154</v>
      </c>
      <c r="L1479" s="5714">
        <v>29</v>
      </c>
      <c r="M1479" s="5863"/>
      <c r="N1479" s="5859">
        <v>29</v>
      </c>
      <c r="O1479" s="5722"/>
      <c r="P1479" s="5864">
        <v>29</v>
      </c>
      <c r="Q1479" s="5717"/>
      <c r="R1479" s="2468"/>
      <c r="S1479" s="544"/>
      <c r="T1479" s="545"/>
      <c r="U1479" s="547"/>
      <c r="V1479" s="547"/>
      <c r="W1479" s="545"/>
      <c r="X1479" s="277"/>
      <c r="Y1479" s="277"/>
      <c r="Z1479" s="187"/>
      <c r="AA1479" s="6301"/>
      <c r="AB1479" s="139"/>
      <c r="AC1479" s="139"/>
      <c r="AD1479" s="139"/>
      <c r="AE1479" s="139"/>
      <c r="AF1479" s="139"/>
      <c r="AG1479" s="139"/>
      <c r="AH1479" s="139"/>
      <c r="AI1479" s="139"/>
      <c r="AJ1479" s="139"/>
      <c r="AK1479" s="139"/>
      <c r="AL1479" s="139"/>
      <c r="AM1479" s="139"/>
      <c r="AN1479" s="139"/>
      <c r="AO1479" s="139"/>
      <c r="AP1479" s="139"/>
      <c r="AQ1479" s="139"/>
      <c r="AR1479" s="139"/>
      <c r="AS1479" s="139"/>
      <c r="AT1479" s="139"/>
      <c r="AU1479" s="139"/>
      <c r="AV1479" s="139"/>
      <c r="AW1479" s="139"/>
      <c r="AX1479" s="139"/>
      <c r="AY1479" s="139"/>
      <c r="AZ1479" s="139"/>
      <c r="BA1479" s="139"/>
      <c r="BB1479" s="139"/>
      <c r="BC1479" s="139"/>
      <c r="BD1479" s="139"/>
      <c r="BE1479" s="139"/>
      <c r="BF1479" s="139"/>
      <c r="BG1479" s="139"/>
      <c r="BH1479" s="139"/>
    </row>
    <row r="1480" spans="2:60" s="11" customFormat="1" ht="20.100000000000001" customHeight="1">
      <c r="B1480" s="1360"/>
      <c r="C1480" s="5598"/>
      <c r="D1480" s="5727"/>
      <c r="E1480" s="357" t="s">
        <v>633</v>
      </c>
      <c r="F1480" s="285" t="s">
        <v>154</v>
      </c>
      <c r="G1480" s="666"/>
      <c r="H1480" s="666"/>
      <c r="I1480" s="367"/>
      <c r="J1480" s="551" t="s">
        <v>453</v>
      </c>
      <c r="K1480" s="105" t="s">
        <v>154</v>
      </c>
      <c r="L1480" s="5959" t="s">
        <v>168</v>
      </c>
      <c r="M1480" s="5718" t="s">
        <v>641</v>
      </c>
      <c r="N1480" s="5729" t="s">
        <v>168</v>
      </c>
      <c r="O1480" s="5718" t="s">
        <v>641</v>
      </c>
      <c r="P1480" s="5729" t="s">
        <v>168</v>
      </c>
      <c r="Q1480" s="5717" t="s">
        <v>641</v>
      </c>
      <c r="R1480" s="2468"/>
      <c r="S1480" s="544"/>
      <c r="T1480" s="545"/>
      <c r="U1480" s="547"/>
      <c r="V1480" s="547"/>
      <c r="W1480" s="545"/>
      <c r="X1480" s="277"/>
      <c r="Y1480" s="277"/>
      <c r="Z1480" s="187"/>
      <c r="AA1480" s="6301"/>
      <c r="AB1480" s="139"/>
      <c r="AC1480" s="139"/>
      <c r="AD1480" s="139"/>
      <c r="AE1480" s="139"/>
      <c r="AF1480" s="139"/>
      <c r="AG1480" s="139"/>
      <c r="AH1480" s="139"/>
      <c r="AI1480" s="139"/>
      <c r="AJ1480" s="139"/>
      <c r="AK1480" s="139"/>
      <c r="AL1480" s="139"/>
      <c r="AM1480" s="139"/>
      <c r="AN1480" s="139"/>
      <c r="AO1480" s="139"/>
      <c r="AP1480" s="139"/>
      <c r="AQ1480" s="139"/>
      <c r="AR1480" s="139"/>
      <c r="AS1480" s="139"/>
      <c r="AT1480" s="139"/>
      <c r="AU1480" s="139"/>
      <c r="AV1480" s="139"/>
      <c r="AW1480" s="139"/>
      <c r="AX1480" s="139"/>
      <c r="AY1480" s="139"/>
      <c r="AZ1480" s="139"/>
      <c r="BA1480" s="139"/>
      <c r="BB1480" s="139"/>
      <c r="BC1480" s="139"/>
      <c r="BD1480" s="139"/>
      <c r="BE1480" s="139"/>
      <c r="BF1480" s="139"/>
      <c r="BG1480" s="139"/>
      <c r="BH1480" s="139"/>
    </row>
    <row r="1481" spans="2:60" s="11" customFormat="1" ht="19.350000000000001" customHeight="1">
      <c r="B1481" s="1360"/>
      <c r="C1481" s="5598"/>
      <c r="D1481" s="9584" t="s">
        <v>1090</v>
      </c>
      <c r="E1481" s="9585"/>
      <c r="F1481" s="285" t="s">
        <v>154</v>
      </c>
      <c r="G1481" s="358"/>
      <c r="H1481" s="358"/>
      <c r="I1481" s="9584" t="s">
        <v>1091</v>
      </c>
      <c r="J1481" s="9585"/>
      <c r="K1481" s="105" t="s">
        <v>154</v>
      </c>
      <c r="L1481" s="5968" t="str">
        <f>IF(COUNTBLANK(L1482:L1487)&gt;0,"미취합법인有",AVERAGE(L1482:L1487))</f>
        <v>미취합법인有</v>
      </c>
      <c r="M1481" s="5657"/>
      <c r="N1481" s="5654">
        <f>IF(COUNTBLANK(N1482:N1487)&gt;0,"미취합법인有",AVERAGE(N1482:N1487))</f>
        <v>24.826609993510708</v>
      </c>
      <c r="O1481" s="5663"/>
      <c r="P1481" s="5781" t="str">
        <f>IF(COUNTBLANK(P1482:P1487)&gt;0,"미취합법인有",AVERAGE(P1482:P1487))</f>
        <v>미취합법인有</v>
      </c>
      <c r="Q1481" s="785"/>
      <c r="R1481" s="2468" t="s">
        <v>1092</v>
      </c>
      <c r="S1481" s="276" t="s">
        <v>1093</v>
      </c>
      <c r="T1481" s="99" t="s">
        <v>758</v>
      </c>
      <c r="U1481" s="547" t="s">
        <v>800</v>
      </c>
      <c r="V1481" s="547"/>
      <c r="W1481" s="99"/>
      <c r="X1481" s="265" t="s">
        <v>1094</v>
      </c>
      <c r="Y1481" s="265"/>
      <c r="Z1481" s="187"/>
      <c r="AA1481" s="6301"/>
      <c r="AB1481" s="139"/>
      <c r="AC1481" s="139"/>
      <c r="AD1481" s="139"/>
      <c r="AE1481" s="139"/>
      <c r="AF1481" s="139"/>
      <c r="AG1481" s="139"/>
      <c r="AH1481" s="139"/>
      <c r="AI1481" s="139"/>
      <c r="AJ1481" s="139"/>
      <c r="AK1481" s="139"/>
      <c r="AL1481" s="139"/>
      <c r="AM1481" s="139"/>
      <c r="AN1481" s="139"/>
      <c r="AO1481" s="139"/>
      <c r="AP1481" s="139"/>
      <c r="AQ1481" s="139"/>
      <c r="AR1481" s="139"/>
      <c r="AS1481" s="139"/>
      <c r="AT1481" s="139"/>
      <c r="AU1481" s="139"/>
      <c r="AV1481" s="139"/>
      <c r="AW1481" s="139"/>
      <c r="AX1481" s="139"/>
      <c r="AY1481" s="139"/>
      <c r="AZ1481" s="139"/>
      <c r="BA1481" s="139"/>
      <c r="BB1481" s="139"/>
      <c r="BC1481" s="139"/>
      <c r="BD1481" s="139"/>
      <c r="BE1481" s="139"/>
      <c r="BF1481" s="139"/>
      <c r="BG1481" s="139"/>
      <c r="BH1481" s="139"/>
    </row>
    <row r="1482" spans="2:60" s="11" customFormat="1" ht="20.100000000000001" customHeight="1">
      <c r="B1482" s="1360"/>
      <c r="C1482" s="5598"/>
      <c r="D1482" s="9598" t="s">
        <v>134</v>
      </c>
      <c r="E1482" s="9600"/>
      <c r="F1482" s="285" t="s">
        <v>156</v>
      </c>
      <c r="G1482" s="666"/>
      <c r="H1482" s="666"/>
      <c r="I1482" s="9579" t="s">
        <v>135</v>
      </c>
      <c r="J1482" s="9581"/>
      <c r="K1482" s="105" t="s">
        <v>154</v>
      </c>
      <c r="L1482" s="5714">
        <v>38.020833333333329</v>
      </c>
      <c r="M1482" s="5863"/>
      <c r="N1482" s="5859">
        <v>42.288557213930353</v>
      </c>
      <c r="O1482" s="5722" t="s">
        <v>1095</v>
      </c>
      <c r="P1482" s="6482">
        <v>42.3</v>
      </c>
      <c r="Q1482" s="5860"/>
      <c r="R1482" s="2468"/>
      <c r="S1482" s="544"/>
      <c r="T1482" s="545"/>
      <c r="U1482" s="546"/>
      <c r="V1482" s="547"/>
      <c r="W1482" s="548"/>
      <c r="X1482" s="277"/>
      <c r="Y1482" s="277"/>
      <c r="Z1482" s="187"/>
      <c r="AA1482" s="6301"/>
      <c r="AB1482" s="139"/>
      <c r="AC1482" s="139"/>
      <c r="AD1482" s="139"/>
      <c r="AE1482" s="139"/>
      <c r="AF1482" s="139"/>
      <c r="AG1482" s="139"/>
      <c r="AH1482" s="139"/>
      <c r="AI1482" s="139"/>
      <c r="AJ1482" s="139"/>
      <c r="AK1482" s="139"/>
      <c r="AL1482" s="139"/>
      <c r="AM1482" s="139"/>
      <c r="AN1482" s="139"/>
      <c r="AO1482" s="139"/>
      <c r="AP1482" s="139"/>
      <c r="AQ1482" s="139"/>
      <c r="AR1482" s="139"/>
      <c r="AS1482" s="139"/>
      <c r="AT1482" s="139"/>
      <c r="AU1482" s="139"/>
      <c r="AV1482" s="139"/>
      <c r="AW1482" s="139"/>
      <c r="AX1482" s="139"/>
      <c r="AY1482" s="139"/>
      <c r="AZ1482" s="139"/>
      <c r="BA1482" s="139"/>
      <c r="BB1482" s="139"/>
      <c r="BC1482" s="139"/>
      <c r="BD1482" s="139"/>
      <c r="BE1482" s="139"/>
      <c r="BF1482" s="139"/>
      <c r="BG1482" s="139"/>
      <c r="BH1482" s="139"/>
    </row>
    <row r="1483" spans="2:60" s="11" customFormat="1" ht="20.100000000000001" customHeight="1">
      <c r="B1483" s="1360"/>
      <c r="C1483" s="5598"/>
      <c r="D1483" s="9598" t="s">
        <v>137</v>
      </c>
      <c r="E1483" s="9600"/>
      <c r="F1483" s="285" t="s">
        <v>156</v>
      </c>
      <c r="G1483" s="666"/>
      <c r="H1483" s="666"/>
      <c r="I1483" s="9579" t="s">
        <v>138</v>
      </c>
      <c r="J1483" s="9581"/>
      <c r="K1483" s="105" t="s">
        <v>154</v>
      </c>
      <c r="L1483" s="5709"/>
      <c r="M1483" s="5865"/>
      <c r="N1483" s="5861">
        <v>4.3478260869565215</v>
      </c>
      <c r="O1483" s="5862"/>
      <c r="P1483" s="5687"/>
      <c r="Q1483" s="5860"/>
      <c r="R1483" s="2468"/>
      <c r="S1483" s="544"/>
      <c r="T1483" s="545"/>
      <c r="U1483" s="546"/>
      <c r="V1483" s="547"/>
      <c r="W1483" s="548"/>
      <c r="X1483" s="277"/>
      <c r="Y1483" s="277"/>
      <c r="Z1483" s="187"/>
      <c r="AA1483" s="6301"/>
      <c r="AB1483" s="139"/>
      <c r="AC1483" s="139"/>
      <c r="AD1483" s="139"/>
      <c r="AE1483" s="139"/>
      <c r="AF1483" s="139"/>
      <c r="AG1483" s="139"/>
      <c r="AH1483" s="139"/>
      <c r="AI1483" s="139"/>
      <c r="AJ1483" s="139"/>
      <c r="AK1483" s="139"/>
      <c r="AL1483" s="139"/>
      <c r="AM1483" s="139"/>
      <c r="AN1483" s="139"/>
      <c r="AO1483" s="139"/>
      <c r="AP1483" s="139"/>
      <c r="AQ1483" s="139"/>
      <c r="AR1483" s="139"/>
      <c r="AS1483" s="139"/>
      <c r="AT1483" s="139"/>
      <c r="AU1483" s="139"/>
      <c r="AV1483" s="139"/>
      <c r="AW1483" s="139"/>
      <c r="AX1483" s="139"/>
      <c r="AY1483" s="139"/>
      <c r="AZ1483" s="139"/>
      <c r="BA1483" s="139"/>
      <c r="BB1483" s="139"/>
      <c r="BC1483" s="139"/>
      <c r="BD1483" s="139"/>
      <c r="BE1483" s="139"/>
      <c r="BF1483" s="139"/>
      <c r="BG1483" s="139"/>
      <c r="BH1483" s="139"/>
    </row>
    <row r="1484" spans="2:60" s="11" customFormat="1" ht="20.100000000000001" customHeight="1">
      <c r="B1484" s="1360"/>
      <c r="C1484" s="5598"/>
      <c r="D1484" s="9598" t="s">
        <v>140</v>
      </c>
      <c r="E1484" s="9600"/>
      <c r="F1484" s="285" t="s">
        <v>156</v>
      </c>
      <c r="G1484" s="666"/>
      <c r="H1484" s="666"/>
      <c r="I1484" s="9582" t="s">
        <v>141</v>
      </c>
      <c r="J1484" s="9583"/>
      <c r="K1484" s="105" t="s">
        <v>154</v>
      </c>
      <c r="L1484" s="5714">
        <v>13.738019169329075</v>
      </c>
      <c r="M1484" s="5863"/>
      <c r="N1484" s="5859">
        <v>16</v>
      </c>
      <c r="O1484" s="5722"/>
      <c r="P1484" s="5864">
        <v>10</v>
      </c>
      <c r="Q1484" s="5860"/>
      <c r="R1484" s="2468"/>
      <c r="S1484" s="544"/>
      <c r="T1484" s="545"/>
      <c r="U1484" s="546"/>
      <c r="V1484" s="547"/>
      <c r="W1484" s="548"/>
      <c r="X1484" s="277"/>
      <c r="Y1484" s="277"/>
      <c r="Z1484" s="187"/>
      <c r="AA1484" s="6301"/>
      <c r="AB1484" s="139"/>
      <c r="AC1484" s="139"/>
      <c r="AD1484" s="139"/>
      <c r="AE1484" s="139"/>
      <c r="AF1484" s="139"/>
      <c r="AG1484" s="139"/>
      <c r="AH1484" s="139"/>
      <c r="AI1484" s="139"/>
      <c r="AJ1484" s="139"/>
      <c r="AK1484" s="139"/>
      <c r="AL1484" s="139"/>
      <c r="AM1484" s="139"/>
      <c r="AN1484" s="139"/>
      <c r="AO1484" s="139"/>
      <c r="AP1484" s="139"/>
      <c r="AQ1484" s="139"/>
      <c r="AR1484" s="139"/>
      <c r="AS1484" s="139"/>
      <c r="AT1484" s="139"/>
      <c r="AU1484" s="139"/>
      <c r="AV1484" s="139"/>
      <c r="AW1484" s="139"/>
      <c r="AX1484" s="139"/>
      <c r="AY1484" s="139"/>
      <c r="AZ1484" s="139"/>
      <c r="BA1484" s="139"/>
      <c r="BB1484" s="139"/>
      <c r="BC1484" s="139"/>
      <c r="BD1484" s="139"/>
      <c r="BE1484" s="139"/>
      <c r="BF1484" s="139"/>
      <c r="BG1484" s="139"/>
      <c r="BH1484" s="139"/>
    </row>
    <row r="1485" spans="2:60" s="11" customFormat="1" ht="20.100000000000001" customHeight="1">
      <c r="B1485" s="1360"/>
      <c r="C1485" s="614"/>
      <c r="D1485" s="9598" t="s">
        <v>143</v>
      </c>
      <c r="E1485" s="9600"/>
      <c r="F1485" s="285" t="s">
        <v>156</v>
      </c>
      <c r="G1485" s="666"/>
      <c r="H1485" s="666"/>
      <c r="I1485" s="9582" t="s">
        <v>144</v>
      </c>
      <c r="J1485" s="9583"/>
      <c r="K1485" s="105" t="s">
        <v>154</v>
      </c>
      <c r="L1485" s="5714">
        <v>46.55</v>
      </c>
      <c r="M1485" s="5863" t="s">
        <v>1096</v>
      </c>
      <c r="N1485" s="5859">
        <v>44.83</v>
      </c>
      <c r="O1485" s="5722" t="s">
        <v>1096</v>
      </c>
      <c r="P1485" s="5864">
        <v>46.88</v>
      </c>
      <c r="Q1485" s="5860"/>
      <c r="R1485" s="2468"/>
      <c r="S1485" s="544"/>
      <c r="T1485" s="545"/>
      <c r="U1485" s="546"/>
      <c r="V1485" s="547"/>
      <c r="W1485" s="548"/>
      <c r="X1485" s="277"/>
      <c r="Y1485" s="277"/>
      <c r="Z1485" s="187"/>
      <c r="AA1485" s="6301"/>
      <c r="AB1485" s="139"/>
      <c r="AC1485" s="139"/>
      <c r="AD1485" s="139"/>
      <c r="AE1485" s="139"/>
      <c r="AF1485" s="139"/>
      <c r="AG1485" s="139"/>
      <c r="AH1485" s="139"/>
      <c r="AI1485" s="139"/>
      <c r="AJ1485" s="139"/>
      <c r="AK1485" s="139"/>
      <c r="AL1485" s="139"/>
      <c r="AM1485" s="139"/>
      <c r="AN1485" s="139"/>
      <c r="AO1485" s="139"/>
      <c r="AP1485" s="139"/>
      <c r="AQ1485" s="139"/>
      <c r="AR1485" s="139"/>
      <c r="AS1485" s="139"/>
      <c r="AT1485" s="139"/>
      <c r="AU1485" s="139"/>
      <c r="AV1485" s="139"/>
      <c r="AW1485" s="139"/>
      <c r="AX1485" s="139"/>
      <c r="AY1485" s="139"/>
      <c r="AZ1485" s="139"/>
      <c r="BA1485" s="139"/>
      <c r="BB1485" s="139"/>
      <c r="BC1485" s="139"/>
      <c r="BD1485" s="139"/>
      <c r="BE1485" s="139"/>
      <c r="BF1485" s="139"/>
      <c r="BG1485" s="139"/>
      <c r="BH1485" s="139"/>
    </row>
    <row r="1486" spans="2:60" s="11" customFormat="1" ht="20.100000000000001" customHeight="1">
      <c r="B1486" s="1360"/>
      <c r="C1486" s="5598"/>
      <c r="D1486" s="9598" t="s">
        <v>631</v>
      </c>
      <c r="E1486" s="9600"/>
      <c r="F1486" s="285" t="s">
        <v>156</v>
      </c>
      <c r="G1486" s="666"/>
      <c r="H1486" s="666"/>
      <c r="I1486" s="9582" t="s">
        <v>147</v>
      </c>
      <c r="J1486" s="9583"/>
      <c r="K1486" s="105" t="s">
        <v>154</v>
      </c>
      <c r="L1486" s="5714">
        <v>15.789473684210526</v>
      </c>
      <c r="M1486" s="5863"/>
      <c r="N1486" s="5859">
        <v>16.666666666666664</v>
      </c>
      <c r="O1486" s="5722"/>
      <c r="P1486" s="5864">
        <v>26.315789473684209</v>
      </c>
      <c r="Q1486" s="5860"/>
      <c r="R1486" s="2468"/>
      <c r="S1486" s="544"/>
      <c r="T1486" s="545"/>
      <c r="U1486" s="546"/>
      <c r="V1486" s="547"/>
      <c r="W1486" s="548"/>
      <c r="X1486" s="277"/>
      <c r="Y1486" s="277"/>
      <c r="Z1486" s="187"/>
      <c r="AA1486" s="6301"/>
      <c r="AB1486" s="139"/>
      <c r="AC1486" s="139"/>
      <c r="AD1486" s="139"/>
      <c r="AE1486" s="139"/>
      <c r="AF1486" s="139"/>
      <c r="AG1486" s="139"/>
      <c r="AH1486" s="139"/>
      <c r="AI1486" s="139"/>
      <c r="AJ1486" s="139"/>
      <c r="AK1486" s="139"/>
      <c r="AL1486" s="139"/>
      <c r="AM1486" s="139"/>
      <c r="AN1486" s="139"/>
      <c r="AO1486" s="139"/>
      <c r="AP1486" s="139"/>
      <c r="AQ1486" s="139"/>
      <c r="AR1486" s="139"/>
      <c r="AS1486" s="139"/>
      <c r="AT1486" s="139"/>
      <c r="AU1486" s="139"/>
      <c r="AV1486" s="139"/>
      <c r="AW1486" s="139"/>
      <c r="AX1486" s="139"/>
      <c r="AY1486" s="139"/>
      <c r="AZ1486" s="139"/>
      <c r="BA1486" s="139"/>
      <c r="BB1486" s="139"/>
      <c r="BC1486" s="139"/>
      <c r="BD1486" s="139"/>
      <c r="BE1486" s="139"/>
      <c r="BF1486" s="139"/>
      <c r="BG1486" s="139"/>
      <c r="BH1486" s="139"/>
    </row>
    <row r="1487" spans="2:60" s="11" customFormat="1" ht="20.100000000000001" customHeight="1">
      <c r="B1487" s="1360"/>
      <c r="C1487" s="5598"/>
      <c r="D1487" s="9598" t="s">
        <v>633</v>
      </c>
      <c r="E1487" s="9600"/>
      <c r="F1487" s="285" t="s">
        <v>156</v>
      </c>
      <c r="G1487" s="666"/>
      <c r="H1487" s="666"/>
      <c r="I1487" s="9582" t="s">
        <v>150</v>
      </c>
      <c r="J1487" s="9583"/>
      <c r="K1487" s="105" t="s">
        <v>154</v>
      </c>
      <c r="L1487" s="5959" t="s">
        <v>168</v>
      </c>
      <c r="M1487" s="5718" t="s">
        <v>641</v>
      </c>
      <c r="N1487" s="5729" t="s">
        <v>168</v>
      </c>
      <c r="O1487" s="5718" t="s">
        <v>641</v>
      </c>
      <c r="P1487" s="5729" t="s">
        <v>168</v>
      </c>
      <c r="Q1487" s="5717" t="s">
        <v>641</v>
      </c>
      <c r="R1487" s="2468"/>
      <c r="S1487" s="544"/>
      <c r="T1487" s="545"/>
      <c r="U1487" s="546"/>
      <c r="V1487" s="547"/>
      <c r="W1487" s="548"/>
      <c r="X1487" s="277"/>
      <c r="Y1487" s="277"/>
      <c r="Z1487" s="187"/>
      <c r="AA1487" s="6301"/>
      <c r="AB1487" s="139"/>
      <c r="AC1487" s="139"/>
      <c r="AD1487" s="139"/>
      <c r="AE1487" s="139"/>
      <c r="AF1487" s="139"/>
      <c r="AG1487" s="139"/>
      <c r="AH1487" s="139"/>
      <c r="AI1487" s="139"/>
      <c r="AJ1487" s="139"/>
      <c r="AK1487" s="139"/>
      <c r="AL1487" s="139"/>
      <c r="AM1487" s="139"/>
      <c r="AN1487" s="139"/>
      <c r="AO1487" s="139"/>
      <c r="AP1487" s="139"/>
      <c r="AQ1487" s="139"/>
      <c r="AR1487" s="139"/>
      <c r="AS1487" s="139"/>
      <c r="AT1487" s="139"/>
      <c r="AU1487" s="139"/>
      <c r="AV1487" s="139"/>
      <c r="AW1487" s="139"/>
      <c r="AX1487" s="139"/>
      <c r="AY1487" s="139"/>
      <c r="AZ1487" s="139"/>
      <c r="BA1487" s="139"/>
      <c r="BB1487" s="139"/>
      <c r="BC1487" s="139"/>
      <c r="BD1487" s="139"/>
      <c r="BE1487" s="139"/>
      <c r="BF1487" s="139"/>
      <c r="BG1487" s="139"/>
      <c r="BH1487" s="139"/>
    </row>
    <row r="1488" spans="2:60" s="11" customFormat="1" ht="19.149999999999999" customHeight="1">
      <c r="B1488" s="1360"/>
      <c r="C1488" s="5598"/>
      <c r="D1488" s="9584" t="s">
        <v>1097</v>
      </c>
      <c r="E1488" s="9585"/>
      <c r="F1488" s="285" t="s">
        <v>154</v>
      </c>
      <c r="G1488" s="358"/>
      <c r="H1488" s="358"/>
      <c r="I1488" s="9584" t="s">
        <v>1098</v>
      </c>
      <c r="J1488" s="9585"/>
      <c r="K1488" s="105" t="s">
        <v>154</v>
      </c>
      <c r="L1488" s="5968" t="str">
        <f>IF(COUNTBLANK(L1489:L1494)&gt;0,"미취합법인有",AVERAGE(L1489:L1494))</f>
        <v>미취합법인有</v>
      </c>
      <c r="M1488" s="5657"/>
      <c r="N1488" s="5654" t="str">
        <f>IF(COUNTBLANK(N1489:N1494)&gt;0,"미취합법인有",AVERAGE(N1489:N1494))</f>
        <v>미취합법인有</v>
      </c>
      <c r="O1488" s="5663"/>
      <c r="P1488" s="5781" t="str">
        <f>IF(COUNTBLANK(P1489:P1494)&gt;0,"미취합법인有",AVERAGE(P1489:P1494))</f>
        <v>미취합법인有</v>
      </c>
      <c r="Q1488" s="785"/>
      <c r="R1488" s="2468" t="s">
        <v>1099</v>
      </c>
      <c r="S1488" s="276" t="s">
        <v>1100</v>
      </c>
      <c r="T1488" s="99" t="s">
        <v>758</v>
      </c>
      <c r="U1488" s="547" t="s">
        <v>800</v>
      </c>
      <c r="V1488" s="547"/>
      <c r="W1488" s="99"/>
      <c r="X1488" s="265" t="s">
        <v>1101</v>
      </c>
      <c r="Y1488" s="265"/>
      <c r="Z1488" s="187"/>
      <c r="AA1488" s="6301"/>
      <c r="AB1488" s="139"/>
      <c r="AC1488" s="139"/>
      <c r="AD1488" s="139"/>
      <c r="AE1488" s="139"/>
      <c r="AF1488" s="139"/>
      <c r="AG1488" s="139"/>
      <c r="AH1488" s="139"/>
      <c r="AI1488" s="139"/>
      <c r="AJ1488" s="139"/>
      <c r="AK1488" s="139"/>
      <c r="AL1488" s="139"/>
      <c r="AM1488" s="139"/>
      <c r="AN1488" s="139"/>
      <c r="AO1488" s="139"/>
      <c r="AP1488" s="139"/>
      <c r="AQ1488" s="139"/>
      <c r="AR1488" s="139"/>
      <c r="AS1488" s="139"/>
      <c r="AT1488" s="139"/>
      <c r="AU1488" s="139"/>
      <c r="AV1488" s="139"/>
      <c r="AW1488" s="139"/>
      <c r="AX1488" s="139"/>
      <c r="AY1488" s="139"/>
      <c r="AZ1488" s="139"/>
      <c r="BA1488" s="139"/>
      <c r="BB1488" s="139"/>
      <c r="BC1488" s="139"/>
      <c r="BD1488" s="139"/>
      <c r="BE1488" s="139"/>
      <c r="BF1488" s="139"/>
      <c r="BG1488" s="139"/>
      <c r="BH1488" s="139"/>
    </row>
    <row r="1489" spans="2:60" s="11" customFormat="1" ht="20.100000000000001" customHeight="1">
      <c r="B1489" s="1360"/>
      <c r="C1489" s="5598"/>
      <c r="D1489" s="9598" t="s">
        <v>134</v>
      </c>
      <c r="E1489" s="9600"/>
      <c r="F1489" s="285" t="s">
        <v>156</v>
      </c>
      <c r="G1489" s="666"/>
      <c r="H1489" s="666"/>
      <c r="I1489" s="9579" t="s">
        <v>135</v>
      </c>
      <c r="J1489" s="9581"/>
      <c r="K1489" s="105" t="s">
        <v>154</v>
      </c>
      <c r="L1489" s="5714">
        <v>18.181818181818183</v>
      </c>
      <c r="M1489" s="5863"/>
      <c r="N1489" s="5859">
        <v>17.948717948717949</v>
      </c>
      <c r="O1489" s="5722" t="s">
        <v>1102</v>
      </c>
      <c r="P1489" s="5864">
        <v>20</v>
      </c>
      <c r="Q1489" s="5717"/>
      <c r="R1489" s="2468"/>
      <c r="S1489" s="544"/>
      <c r="T1489" s="545"/>
      <c r="U1489" s="546"/>
      <c r="V1489" s="547"/>
      <c r="W1489" s="548"/>
      <c r="X1489" s="277"/>
      <c r="Y1489" s="277"/>
      <c r="Z1489" s="187"/>
      <c r="AA1489" s="6301"/>
      <c r="AB1489" s="139"/>
      <c r="AC1489" s="139"/>
      <c r="AD1489" s="139"/>
      <c r="AE1489" s="139"/>
      <c r="AF1489" s="139"/>
      <c r="AG1489" s="139"/>
      <c r="AH1489" s="139"/>
      <c r="AI1489" s="139"/>
      <c r="AJ1489" s="139"/>
      <c r="AK1489" s="139"/>
      <c r="AL1489" s="139"/>
      <c r="AM1489" s="139"/>
      <c r="AN1489" s="139"/>
      <c r="AO1489" s="139"/>
      <c r="AP1489" s="139"/>
      <c r="AQ1489" s="139"/>
      <c r="AR1489" s="139"/>
      <c r="AS1489" s="139"/>
      <c r="AT1489" s="139"/>
      <c r="AU1489" s="139"/>
      <c r="AV1489" s="139"/>
      <c r="AW1489" s="139"/>
      <c r="AX1489" s="139"/>
      <c r="AY1489" s="139"/>
      <c r="AZ1489" s="139"/>
      <c r="BA1489" s="139"/>
      <c r="BB1489" s="139"/>
      <c r="BC1489" s="139"/>
      <c r="BD1489" s="139"/>
      <c r="BE1489" s="139"/>
      <c r="BF1489" s="139"/>
      <c r="BG1489" s="139"/>
      <c r="BH1489" s="139"/>
    </row>
    <row r="1490" spans="2:60" s="11" customFormat="1" ht="20.100000000000001" customHeight="1">
      <c r="B1490" s="1360"/>
      <c r="C1490" s="5598"/>
      <c r="D1490" s="9598" t="s">
        <v>137</v>
      </c>
      <c r="E1490" s="9600"/>
      <c r="F1490" s="285" t="s">
        <v>156</v>
      </c>
      <c r="G1490" s="666"/>
      <c r="H1490" s="666"/>
      <c r="I1490" s="9579" t="s">
        <v>138</v>
      </c>
      <c r="J1490" s="9581"/>
      <c r="K1490" s="105" t="s">
        <v>154</v>
      </c>
      <c r="L1490" s="5709"/>
      <c r="M1490" s="5865"/>
      <c r="N1490" s="5861">
        <v>14.285714285714285</v>
      </c>
      <c r="O1490" s="5862"/>
      <c r="P1490" s="5687"/>
      <c r="Q1490" s="5717"/>
      <c r="R1490" s="2468"/>
      <c r="S1490" s="544"/>
      <c r="T1490" s="545"/>
      <c r="U1490" s="546"/>
      <c r="V1490" s="547"/>
      <c r="W1490" s="548"/>
      <c r="X1490" s="277"/>
      <c r="Y1490" s="277"/>
      <c r="Z1490" s="187"/>
      <c r="AA1490" s="6301"/>
      <c r="AB1490" s="139"/>
      <c r="AC1490" s="139"/>
      <c r="AD1490" s="139"/>
      <c r="AE1490" s="139"/>
      <c r="AF1490" s="139"/>
      <c r="AG1490" s="139"/>
      <c r="AH1490" s="139"/>
      <c r="AI1490" s="139"/>
      <c r="AJ1490" s="139"/>
      <c r="AK1490" s="139"/>
      <c r="AL1490" s="139"/>
      <c r="AM1490" s="139"/>
      <c r="AN1490" s="139"/>
      <c r="AO1490" s="139"/>
      <c r="AP1490" s="139"/>
      <c r="AQ1490" s="139"/>
      <c r="AR1490" s="139"/>
      <c r="AS1490" s="139"/>
      <c r="AT1490" s="139"/>
      <c r="AU1490" s="139"/>
      <c r="AV1490" s="139"/>
      <c r="AW1490" s="139"/>
      <c r="AX1490" s="139"/>
      <c r="AY1490" s="139"/>
      <c r="AZ1490" s="139"/>
      <c r="BA1490" s="139"/>
      <c r="BB1490" s="139"/>
      <c r="BC1490" s="139"/>
      <c r="BD1490" s="139"/>
      <c r="BE1490" s="139"/>
      <c r="BF1490" s="139"/>
      <c r="BG1490" s="139"/>
      <c r="BH1490" s="139"/>
    </row>
    <row r="1491" spans="2:60" s="11" customFormat="1" ht="20.100000000000001" customHeight="1">
      <c r="B1491" s="1360"/>
      <c r="C1491" s="5598"/>
      <c r="D1491" s="9598" t="s">
        <v>140</v>
      </c>
      <c r="E1491" s="9600"/>
      <c r="F1491" s="285" t="s">
        <v>156</v>
      </c>
      <c r="G1491" s="666"/>
      <c r="H1491" s="666"/>
      <c r="I1491" s="9582" t="s">
        <v>141</v>
      </c>
      <c r="J1491" s="9583"/>
      <c r="K1491" s="105" t="s">
        <v>154</v>
      </c>
      <c r="L1491" s="5714">
        <v>1.4388489208633095</v>
      </c>
      <c r="M1491" s="5863"/>
      <c r="N1491" s="5859">
        <v>3.5087719298245612</v>
      </c>
      <c r="O1491" s="5722"/>
      <c r="P1491" s="5864">
        <v>0.33333333333333331</v>
      </c>
      <c r="Q1491" s="5717"/>
      <c r="R1491" s="2468"/>
      <c r="S1491" s="544"/>
      <c r="T1491" s="545"/>
      <c r="U1491" s="546"/>
      <c r="V1491" s="547"/>
      <c r="W1491" s="548"/>
      <c r="X1491" s="277"/>
      <c r="Y1491" s="277"/>
      <c r="Z1491" s="187"/>
      <c r="AA1491" s="6301"/>
      <c r="AB1491" s="139"/>
      <c r="AC1491" s="139"/>
      <c r="AD1491" s="139"/>
      <c r="AE1491" s="139"/>
      <c r="AF1491" s="139"/>
      <c r="AG1491" s="139"/>
      <c r="AH1491" s="139"/>
      <c r="AI1491" s="139"/>
      <c r="AJ1491" s="139"/>
      <c r="AK1491" s="139"/>
      <c r="AL1491" s="139"/>
      <c r="AM1491" s="139"/>
      <c r="AN1491" s="139"/>
      <c r="AO1491" s="139"/>
      <c r="AP1491" s="139"/>
      <c r="AQ1491" s="139"/>
      <c r="AR1491" s="139"/>
      <c r="AS1491" s="139"/>
      <c r="AT1491" s="139"/>
      <c r="AU1491" s="139"/>
      <c r="AV1491" s="139"/>
      <c r="AW1491" s="139"/>
      <c r="AX1491" s="139"/>
      <c r="AY1491" s="139"/>
      <c r="AZ1491" s="139"/>
      <c r="BA1491" s="139"/>
      <c r="BB1491" s="139"/>
      <c r="BC1491" s="139"/>
      <c r="BD1491" s="139"/>
      <c r="BE1491" s="139"/>
      <c r="BF1491" s="139"/>
      <c r="BG1491" s="139"/>
      <c r="BH1491" s="139"/>
    </row>
    <row r="1492" spans="2:60" s="11" customFormat="1" ht="20.100000000000001" customHeight="1">
      <c r="B1492" s="1360"/>
      <c r="C1492" s="614"/>
      <c r="D1492" s="9598" t="s">
        <v>143</v>
      </c>
      <c r="E1492" s="9600"/>
      <c r="F1492" s="285" t="s">
        <v>156</v>
      </c>
      <c r="G1492" s="666"/>
      <c r="H1492" s="666"/>
      <c r="I1492" s="9582" t="s">
        <v>144</v>
      </c>
      <c r="J1492" s="9583"/>
      <c r="K1492" s="105" t="s">
        <v>154</v>
      </c>
      <c r="L1492" s="5714">
        <v>0</v>
      </c>
      <c r="M1492" s="5863"/>
      <c r="N1492" s="5859">
        <v>0</v>
      </c>
      <c r="O1492" s="5722"/>
      <c r="P1492" s="5857"/>
      <c r="Q1492" s="5717"/>
      <c r="R1492" s="2468"/>
      <c r="S1492" s="544"/>
      <c r="T1492" s="545"/>
      <c r="U1492" s="546"/>
      <c r="V1492" s="547"/>
      <c r="W1492" s="548"/>
      <c r="X1492" s="277"/>
      <c r="Y1492" s="277"/>
      <c r="Z1492" s="187"/>
      <c r="AA1492" s="6301"/>
      <c r="AB1492" s="139"/>
      <c r="AC1492" s="139"/>
      <c r="AD1492" s="139"/>
      <c r="AE1492" s="139"/>
      <c r="AF1492" s="139"/>
      <c r="AG1492" s="139"/>
      <c r="AH1492" s="139"/>
      <c r="AI1492" s="139"/>
      <c r="AJ1492" s="139"/>
      <c r="AK1492" s="139"/>
      <c r="AL1492" s="139"/>
      <c r="AM1492" s="139"/>
      <c r="AN1492" s="139"/>
      <c r="AO1492" s="139"/>
      <c r="AP1492" s="139"/>
      <c r="AQ1492" s="139"/>
      <c r="AR1492" s="139"/>
      <c r="AS1492" s="139"/>
      <c r="AT1492" s="139"/>
      <c r="AU1492" s="139"/>
      <c r="AV1492" s="139"/>
      <c r="AW1492" s="139"/>
      <c r="AX1492" s="139"/>
      <c r="AY1492" s="139"/>
      <c r="AZ1492" s="139"/>
      <c r="BA1492" s="139"/>
      <c r="BB1492" s="139"/>
      <c r="BC1492" s="139"/>
      <c r="BD1492" s="139"/>
      <c r="BE1492" s="139"/>
      <c r="BF1492" s="139"/>
      <c r="BG1492" s="139"/>
      <c r="BH1492" s="139"/>
    </row>
    <row r="1493" spans="2:60" s="11" customFormat="1" ht="20.100000000000001" customHeight="1">
      <c r="B1493" s="1360"/>
      <c r="C1493" s="5598"/>
      <c r="D1493" s="9598" t="s">
        <v>631</v>
      </c>
      <c r="E1493" s="9600"/>
      <c r="F1493" s="285" t="s">
        <v>156</v>
      </c>
      <c r="G1493" s="5728"/>
      <c r="H1493" s="666"/>
      <c r="I1493" s="9582" t="s">
        <v>147</v>
      </c>
      <c r="J1493" s="9583"/>
      <c r="K1493" s="105" t="s">
        <v>154</v>
      </c>
      <c r="L1493" s="5714"/>
      <c r="M1493" s="5863"/>
      <c r="N1493" s="5859"/>
      <c r="O1493" s="5722"/>
      <c r="P1493" s="5864"/>
      <c r="Q1493" s="5717"/>
      <c r="R1493" s="2468"/>
      <c r="S1493" s="544"/>
      <c r="T1493" s="545"/>
      <c r="U1493" s="546"/>
      <c r="V1493" s="547"/>
      <c r="W1493" s="548"/>
      <c r="X1493" s="277"/>
      <c r="Y1493" s="277"/>
      <c r="Z1493" s="187"/>
      <c r="AA1493" s="6301"/>
      <c r="AB1493" s="139"/>
      <c r="AC1493" s="139"/>
      <c r="AD1493" s="139"/>
      <c r="AE1493" s="139"/>
      <c r="AF1493" s="139"/>
      <c r="AG1493" s="139"/>
      <c r="AH1493" s="139"/>
      <c r="AI1493" s="139"/>
      <c r="AJ1493" s="139"/>
      <c r="AK1493" s="139"/>
      <c r="AL1493" s="139"/>
      <c r="AM1493" s="139"/>
      <c r="AN1493" s="139"/>
      <c r="AO1493" s="139"/>
      <c r="AP1493" s="139"/>
      <c r="AQ1493" s="139"/>
      <c r="AR1493" s="139"/>
      <c r="AS1493" s="139"/>
      <c r="AT1493" s="139"/>
      <c r="AU1493" s="139"/>
      <c r="AV1493" s="139"/>
      <c r="AW1493" s="139"/>
      <c r="AX1493" s="139"/>
      <c r="AY1493" s="139"/>
      <c r="AZ1493" s="139"/>
      <c r="BA1493" s="139"/>
      <c r="BB1493" s="139"/>
      <c r="BC1493" s="139"/>
      <c r="BD1493" s="139"/>
      <c r="BE1493" s="139"/>
      <c r="BF1493" s="139"/>
      <c r="BG1493" s="139"/>
      <c r="BH1493" s="139"/>
    </row>
    <row r="1494" spans="2:60" s="11" customFormat="1" ht="20.100000000000001" customHeight="1">
      <c r="B1494" s="1360"/>
      <c r="C1494" s="5598"/>
      <c r="D1494" s="9598" t="s">
        <v>633</v>
      </c>
      <c r="E1494" s="9600"/>
      <c r="F1494" s="285" t="s">
        <v>156</v>
      </c>
      <c r="G1494" s="666"/>
      <c r="H1494" s="5728"/>
      <c r="I1494" s="9582" t="s">
        <v>150</v>
      </c>
      <c r="J1494" s="9583"/>
      <c r="K1494" s="105" t="s">
        <v>154</v>
      </c>
      <c r="L1494" s="5959" t="s">
        <v>168</v>
      </c>
      <c r="M1494" s="5718" t="s">
        <v>641</v>
      </c>
      <c r="N1494" s="5729" t="s">
        <v>168</v>
      </c>
      <c r="O1494" s="5718" t="s">
        <v>641</v>
      </c>
      <c r="P1494" s="5729" t="s">
        <v>168</v>
      </c>
      <c r="Q1494" s="5717" t="s">
        <v>641</v>
      </c>
      <c r="R1494" s="2468"/>
      <c r="S1494" s="4849"/>
      <c r="T1494" s="545"/>
      <c r="U1494" s="546"/>
      <c r="V1494" s="547"/>
      <c r="W1494" s="548"/>
      <c r="X1494" s="277"/>
      <c r="Y1494" s="277"/>
      <c r="Z1494" s="187"/>
      <c r="AA1494" s="6301"/>
      <c r="AB1494" s="139"/>
      <c r="AC1494" s="139"/>
      <c r="AD1494" s="139"/>
      <c r="AE1494" s="139"/>
      <c r="AF1494" s="139"/>
      <c r="AG1494" s="139"/>
      <c r="AH1494" s="139"/>
      <c r="AI1494" s="139"/>
      <c r="AJ1494" s="139"/>
      <c r="AK1494" s="139"/>
      <c r="AL1494" s="139"/>
      <c r="AM1494" s="139"/>
      <c r="AN1494" s="139"/>
      <c r="AO1494" s="139"/>
      <c r="AP1494" s="139"/>
      <c r="AQ1494" s="139"/>
      <c r="AR1494" s="139"/>
      <c r="AS1494" s="139"/>
      <c r="AT1494" s="139"/>
      <c r="AU1494" s="139"/>
      <c r="AV1494" s="139"/>
      <c r="AW1494" s="139"/>
      <c r="AX1494" s="139"/>
      <c r="AY1494" s="139"/>
      <c r="AZ1494" s="139"/>
      <c r="BA1494" s="139"/>
      <c r="BB1494" s="139"/>
      <c r="BC1494" s="139"/>
      <c r="BD1494" s="139"/>
      <c r="BE1494" s="139"/>
      <c r="BF1494" s="139"/>
      <c r="BG1494" s="139"/>
      <c r="BH1494" s="139"/>
    </row>
    <row r="1495" spans="2:60" s="11" customFormat="1" ht="19.350000000000001" customHeight="1">
      <c r="B1495" s="1360"/>
      <c r="C1495" s="1382"/>
      <c r="D1495" s="9584" t="s">
        <v>1103</v>
      </c>
      <c r="E1495" s="9585"/>
      <c r="F1495" s="285" t="s">
        <v>154</v>
      </c>
      <c r="G1495" s="358"/>
      <c r="H1495" s="358"/>
      <c r="I1495" s="9584" t="s">
        <v>1104</v>
      </c>
      <c r="J1495" s="9585"/>
      <c r="K1495" s="105" t="s">
        <v>154</v>
      </c>
      <c r="L1495" s="5968" t="str">
        <f>IF(COUNTBLANK(L1496:L1501)&gt;0,"미취합법인有",AVERAGE(L1496:L1501))</f>
        <v>미취합법인有</v>
      </c>
      <c r="M1495" s="5657"/>
      <c r="N1495" s="5654">
        <f>IF(COUNTBLANK(N1496:N1501)&gt;0,"미취합법인有",AVERAGE(N1496:N1501))</f>
        <v>77.057078604608094</v>
      </c>
      <c r="O1495" s="5663"/>
      <c r="P1495" s="5781" t="str">
        <f>IF(COUNTBLANK(P1496:P1501)&gt;0,"미취합법인有",AVERAGE(P1496:P1501))</f>
        <v>미취합법인有</v>
      </c>
      <c r="Q1495" s="785"/>
      <c r="R1495" s="2468" t="s">
        <v>1105</v>
      </c>
      <c r="S1495" s="4849" t="s">
        <v>1106</v>
      </c>
      <c r="T1495" s="99" t="s">
        <v>737</v>
      </c>
      <c r="U1495" s="547" t="s">
        <v>800</v>
      </c>
      <c r="V1495" s="547"/>
      <c r="W1495" s="99"/>
      <c r="X1495" s="265" t="s">
        <v>1107</v>
      </c>
      <c r="Y1495" s="265" t="s">
        <v>1108</v>
      </c>
      <c r="Z1495" s="187"/>
      <c r="AA1495" s="6301"/>
      <c r="AB1495" s="139"/>
      <c r="AC1495" s="139"/>
      <c r="AD1495" s="139"/>
      <c r="AE1495" s="139"/>
      <c r="AF1495" s="139"/>
      <c r="AG1495" s="139"/>
      <c r="AH1495" s="139"/>
      <c r="AI1495" s="139"/>
      <c r="AJ1495" s="139"/>
      <c r="AK1495" s="139"/>
      <c r="AL1495" s="139"/>
      <c r="AM1495" s="139"/>
      <c r="AN1495" s="139"/>
      <c r="AO1495" s="139"/>
      <c r="AP1495" s="139"/>
      <c r="AQ1495" s="139"/>
      <c r="AR1495" s="139"/>
      <c r="AS1495" s="139"/>
      <c r="AT1495" s="139"/>
      <c r="AU1495" s="139"/>
      <c r="AV1495" s="139"/>
      <c r="AW1495" s="139"/>
      <c r="AX1495" s="139"/>
      <c r="AY1495" s="139"/>
      <c r="AZ1495" s="139"/>
      <c r="BA1495" s="139"/>
      <c r="BB1495" s="139"/>
      <c r="BC1495" s="139"/>
      <c r="BD1495" s="139"/>
      <c r="BE1495" s="139"/>
      <c r="BF1495" s="139"/>
      <c r="BG1495" s="139"/>
      <c r="BH1495" s="139"/>
    </row>
    <row r="1496" spans="2:60" s="11" customFormat="1" ht="20.100000000000001" customHeight="1">
      <c r="B1496" s="1360"/>
      <c r="C1496" s="5598"/>
      <c r="D1496" s="9598" t="s">
        <v>134</v>
      </c>
      <c r="E1496" s="9600"/>
      <c r="F1496" s="285" t="s">
        <v>156</v>
      </c>
      <c r="G1496" s="666"/>
      <c r="H1496" s="666"/>
      <c r="I1496" s="9579" t="s">
        <v>135</v>
      </c>
      <c r="J1496" s="9581"/>
      <c r="K1496" s="105" t="s">
        <v>154</v>
      </c>
      <c r="L1496" s="5714">
        <v>87.231196663517778</v>
      </c>
      <c r="M1496" s="5863"/>
      <c r="N1496" s="5859">
        <v>80.672398847835211</v>
      </c>
      <c r="O1496" s="5722"/>
      <c r="P1496" s="5687"/>
      <c r="Q1496" s="5717"/>
      <c r="R1496" s="2468"/>
      <c r="S1496" s="4849"/>
      <c r="T1496" s="545"/>
      <c r="U1496" s="546"/>
      <c r="V1496" s="547"/>
      <c r="W1496" s="548"/>
      <c r="X1496" s="277"/>
      <c r="Y1496" s="277"/>
      <c r="Z1496" s="187"/>
      <c r="AA1496" s="6301"/>
      <c r="AB1496" s="139"/>
      <c r="AC1496" s="139"/>
      <c r="AD1496" s="139"/>
      <c r="AE1496" s="139"/>
      <c r="AF1496" s="139"/>
      <c r="AG1496" s="139"/>
      <c r="AH1496" s="139"/>
      <c r="AI1496" s="139"/>
      <c r="AJ1496" s="139"/>
      <c r="AK1496" s="139"/>
      <c r="AL1496" s="139"/>
      <c r="AM1496" s="139"/>
      <c r="AN1496" s="139"/>
      <c r="AO1496" s="139"/>
      <c r="AP1496" s="139"/>
      <c r="AQ1496" s="139"/>
      <c r="AR1496" s="139"/>
      <c r="AS1496" s="139"/>
      <c r="AT1496" s="139"/>
      <c r="AU1496" s="139"/>
      <c r="AV1496" s="139"/>
      <c r="AW1496" s="139"/>
      <c r="AX1496" s="139"/>
      <c r="AY1496" s="139"/>
      <c r="AZ1496" s="139"/>
      <c r="BA1496" s="139"/>
      <c r="BB1496" s="139"/>
      <c r="BC1496" s="139"/>
      <c r="BD1496" s="139"/>
      <c r="BE1496" s="139"/>
      <c r="BF1496" s="139"/>
      <c r="BG1496" s="139"/>
      <c r="BH1496" s="139"/>
    </row>
    <row r="1497" spans="2:60" s="11" customFormat="1" ht="20.100000000000001" customHeight="1">
      <c r="B1497" s="1360"/>
      <c r="C1497" s="5598"/>
      <c r="D1497" s="9598" t="s">
        <v>137</v>
      </c>
      <c r="E1497" s="9600"/>
      <c r="F1497" s="285" t="s">
        <v>156</v>
      </c>
      <c r="G1497" s="666"/>
      <c r="H1497" s="666"/>
      <c r="I1497" s="9579" t="s">
        <v>138</v>
      </c>
      <c r="J1497" s="9581"/>
      <c r="K1497" s="105" t="s">
        <v>154</v>
      </c>
      <c r="L1497" s="5709"/>
      <c r="M1497" s="5865"/>
      <c r="N1497" s="5861">
        <v>73.524451939291737</v>
      </c>
      <c r="O1497" s="5862"/>
      <c r="P1497" s="5866"/>
      <c r="Q1497" s="5717"/>
      <c r="R1497" s="2468"/>
      <c r="S1497" s="4849"/>
      <c r="T1497" s="545"/>
      <c r="U1497" s="546"/>
      <c r="V1497" s="547"/>
      <c r="W1497" s="548"/>
      <c r="X1497" s="277"/>
      <c r="Y1497" s="277"/>
      <c r="Z1497" s="187"/>
      <c r="AA1497" s="6301"/>
      <c r="AB1497" s="139"/>
      <c r="AC1497" s="139"/>
      <c r="AD1497" s="139"/>
      <c r="AE1497" s="139"/>
      <c r="AF1497" s="139"/>
      <c r="AG1497" s="139"/>
      <c r="AH1497" s="139"/>
      <c r="AI1497" s="139"/>
      <c r="AJ1497" s="139"/>
      <c r="AK1497" s="139"/>
      <c r="AL1497" s="139"/>
      <c r="AM1497" s="139"/>
      <c r="AN1497" s="139"/>
      <c r="AO1497" s="139"/>
      <c r="AP1497" s="139"/>
      <c r="AQ1497" s="139"/>
      <c r="AR1497" s="139"/>
      <c r="AS1497" s="139"/>
      <c r="AT1497" s="139"/>
      <c r="AU1497" s="139"/>
      <c r="AV1497" s="139"/>
      <c r="AW1497" s="139"/>
      <c r="AX1497" s="139"/>
      <c r="AY1497" s="139"/>
      <c r="AZ1497" s="139"/>
      <c r="BA1497" s="139"/>
      <c r="BB1497" s="139"/>
      <c r="BC1497" s="139"/>
      <c r="BD1497" s="139"/>
      <c r="BE1497" s="139"/>
      <c r="BF1497" s="139"/>
      <c r="BG1497" s="139"/>
      <c r="BH1497" s="139"/>
    </row>
    <row r="1498" spans="2:60" s="11" customFormat="1" ht="20.100000000000001" customHeight="1">
      <c r="B1498" s="1360"/>
      <c r="C1498" s="5598"/>
      <c r="D1498" s="9598" t="s">
        <v>140</v>
      </c>
      <c r="E1498" s="9600"/>
      <c r="F1498" s="285" t="s">
        <v>156</v>
      </c>
      <c r="G1498" s="666"/>
      <c r="H1498" s="666"/>
      <c r="I1498" s="9582" t="s">
        <v>141</v>
      </c>
      <c r="J1498" s="9583"/>
      <c r="K1498" s="105" t="s">
        <v>154</v>
      </c>
      <c r="L1498" s="5714">
        <v>85.882637262472798</v>
      </c>
      <c r="M1498" s="5863"/>
      <c r="N1498" s="5859">
        <v>82.247056388175423</v>
      </c>
      <c r="O1498" s="5722"/>
      <c r="P1498" s="5864">
        <v>65.771717918957194</v>
      </c>
      <c r="Q1498" s="5717" t="s">
        <v>1109</v>
      </c>
      <c r="R1498" s="2468"/>
      <c r="S1498" s="544"/>
      <c r="T1498" s="545"/>
      <c r="U1498" s="546"/>
      <c r="V1498" s="547"/>
      <c r="W1498" s="548"/>
      <c r="X1498" s="277"/>
      <c r="Y1498" s="277"/>
      <c r="Z1498" s="187"/>
      <c r="AA1498" s="6301"/>
      <c r="AB1498" s="139"/>
      <c r="AC1498" s="139"/>
      <c r="AD1498" s="139"/>
      <c r="AE1498" s="139"/>
      <c r="AF1498" s="139"/>
      <c r="AG1498" s="139"/>
      <c r="AH1498" s="139"/>
      <c r="AI1498" s="139"/>
      <c r="AJ1498" s="139"/>
      <c r="AK1498" s="139"/>
      <c r="AL1498" s="139"/>
      <c r="AM1498" s="139"/>
      <c r="AN1498" s="139"/>
      <c r="AO1498" s="139"/>
      <c r="AP1498" s="139"/>
      <c r="AQ1498" s="139"/>
      <c r="AR1498" s="139"/>
      <c r="AS1498" s="139"/>
      <c r="AT1498" s="139"/>
      <c r="AU1498" s="139"/>
      <c r="AV1498" s="139"/>
      <c r="AW1498" s="139"/>
      <c r="AX1498" s="139"/>
      <c r="AY1498" s="139"/>
      <c r="AZ1498" s="139"/>
      <c r="BA1498" s="139"/>
      <c r="BB1498" s="139"/>
      <c r="BC1498" s="139"/>
      <c r="BD1498" s="139"/>
      <c r="BE1498" s="139"/>
      <c r="BF1498" s="139"/>
      <c r="BG1498" s="139"/>
      <c r="BH1498" s="139"/>
    </row>
    <row r="1499" spans="2:60" s="11" customFormat="1" ht="20.100000000000001" customHeight="1">
      <c r="B1499" s="1360"/>
      <c r="C1499" s="614"/>
      <c r="D1499" s="9598" t="s">
        <v>143</v>
      </c>
      <c r="E1499" s="9600"/>
      <c r="F1499" s="285" t="s">
        <v>156</v>
      </c>
      <c r="G1499" s="666"/>
      <c r="H1499" s="666"/>
      <c r="I1499" s="9582" t="s">
        <v>144</v>
      </c>
      <c r="J1499" s="9583"/>
      <c r="K1499" s="105" t="s">
        <v>154</v>
      </c>
      <c r="L1499" s="5714">
        <f>0.441818995996507*100</f>
        <v>44.181899599650698</v>
      </c>
      <c r="M1499" s="5863" t="s">
        <v>1110</v>
      </c>
      <c r="N1499" s="5859">
        <f>0.447982366624738*100</f>
        <v>44.798236662473798</v>
      </c>
      <c r="O1499" s="5722" t="s">
        <v>1110</v>
      </c>
      <c r="P1499" s="5864">
        <f>0.461035539778746*100</f>
        <v>46.103553977874597</v>
      </c>
      <c r="Q1499" s="5717"/>
      <c r="R1499" s="2468"/>
      <c r="S1499" s="544"/>
      <c r="T1499" s="545"/>
      <c r="U1499" s="546"/>
      <c r="V1499" s="547"/>
      <c r="W1499" s="548"/>
      <c r="X1499" s="277"/>
      <c r="Y1499" s="277"/>
      <c r="Z1499" s="187"/>
      <c r="AA1499" s="6301"/>
      <c r="AB1499" s="139"/>
      <c r="AC1499" s="139"/>
      <c r="AD1499" s="139"/>
      <c r="AE1499" s="139"/>
      <c r="AF1499" s="139"/>
      <c r="AG1499" s="139"/>
      <c r="AH1499" s="139"/>
      <c r="AI1499" s="139"/>
      <c r="AJ1499" s="139"/>
      <c r="AK1499" s="139"/>
      <c r="AL1499" s="139"/>
      <c r="AM1499" s="139"/>
      <c r="AN1499" s="139"/>
      <c r="AO1499" s="139"/>
      <c r="AP1499" s="139"/>
      <c r="AQ1499" s="139"/>
      <c r="AR1499" s="139"/>
      <c r="AS1499" s="139"/>
      <c r="AT1499" s="139"/>
      <c r="AU1499" s="139"/>
      <c r="AV1499" s="139"/>
      <c r="AW1499" s="139"/>
      <c r="AX1499" s="139"/>
      <c r="AY1499" s="139"/>
      <c r="AZ1499" s="139"/>
      <c r="BA1499" s="139"/>
      <c r="BB1499" s="139"/>
      <c r="BC1499" s="139"/>
      <c r="BD1499" s="139"/>
      <c r="BE1499" s="139"/>
      <c r="BF1499" s="139"/>
      <c r="BG1499" s="139"/>
      <c r="BH1499" s="139"/>
    </row>
    <row r="1500" spans="2:60" s="11" customFormat="1" ht="20.100000000000001" customHeight="1">
      <c r="B1500" s="1360"/>
      <c r="C1500" s="5598"/>
      <c r="D1500" s="9598" t="s">
        <v>631</v>
      </c>
      <c r="E1500" s="9600"/>
      <c r="F1500" s="285" t="s">
        <v>156</v>
      </c>
      <c r="G1500" s="666"/>
      <c r="H1500" s="666"/>
      <c r="I1500" s="9582" t="s">
        <v>147</v>
      </c>
      <c r="J1500" s="9583"/>
      <c r="K1500" s="105" t="s">
        <v>154</v>
      </c>
      <c r="L1500" s="6389">
        <v>156.08059219041078</v>
      </c>
      <c r="M1500" s="5863"/>
      <c r="N1500" s="6390">
        <v>104.04324918526433</v>
      </c>
      <c r="O1500" s="5863"/>
      <c r="P1500" s="6390">
        <v>101</v>
      </c>
      <c r="Q1500" s="5717"/>
      <c r="R1500" s="2468"/>
      <c r="S1500" s="544"/>
      <c r="T1500" s="545"/>
      <c r="U1500" s="546"/>
      <c r="V1500" s="547"/>
      <c r="W1500" s="548"/>
      <c r="X1500" s="277"/>
      <c r="Y1500" s="277"/>
      <c r="Z1500" s="187"/>
      <c r="AA1500" s="6301"/>
      <c r="AB1500" s="6301" t="s">
        <v>1111</v>
      </c>
      <c r="AC1500" s="139"/>
      <c r="AD1500" s="139"/>
      <c r="AE1500" s="139"/>
      <c r="AF1500" s="139"/>
      <c r="AG1500" s="139"/>
      <c r="AH1500" s="139"/>
      <c r="AI1500" s="139"/>
      <c r="AJ1500" s="139"/>
      <c r="AK1500" s="139"/>
      <c r="AL1500" s="139"/>
      <c r="AM1500" s="139"/>
      <c r="AN1500" s="139"/>
      <c r="AO1500" s="139"/>
      <c r="AP1500" s="139"/>
      <c r="AQ1500" s="139"/>
      <c r="AR1500" s="139"/>
      <c r="AS1500" s="139"/>
      <c r="AT1500" s="139"/>
      <c r="AU1500" s="139"/>
      <c r="AV1500" s="139"/>
      <c r="AW1500" s="139"/>
      <c r="AX1500" s="139"/>
      <c r="AY1500" s="139"/>
      <c r="AZ1500" s="139"/>
      <c r="BA1500" s="139"/>
      <c r="BB1500" s="139"/>
      <c r="BC1500" s="139"/>
      <c r="BD1500" s="139"/>
      <c r="BE1500" s="139"/>
      <c r="BF1500" s="139"/>
      <c r="BG1500" s="139"/>
      <c r="BH1500" s="139"/>
    </row>
    <row r="1501" spans="2:60" s="11" customFormat="1" ht="20.100000000000001" customHeight="1">
      <c r="B1501" s="1360"/>
      <c r="C1501" s="5598"/>
      <c r="D1501" s="9598" t="s">
        <v>633</v>
      </c>
      <c r="E1501" s="9600"/>
      <c r="F1501" s="285" t="s">
        <v>156</v>
      </c>
      <c r="G1501" s="746"/>
      <c r="H1501" s="746"/>
      <c r="I1501" s="9582" t="s">
        <v>150</v>
      </c>
      <c r="J1501" s="9583"/>
      <c r="K1501" s="105" t="s">
        <v>154</v>
      </c>
      <c r="L1501" s="5959" t="s">
        <v>168</v>
      </c>
      <c r="M1501" s="5718" t="s">
        <v>641</v>
      </c>
      <c r="N1501" s="5729" t="s">
        <v>168</v>
      </c>
      <c r="O1501" s="5718" t="s">
        <v>641</v>
      </c>
      <c r="P1501" s="5729" t="s">
        <v>168</v>
      </c>
      <c r="Q1501" s="5717" t="s">
        <v>641</v>
      </c>
      <c r="R1501" s="2468"/>
      <c r="S1501" s="544"/>
      <c r="T1501" s="545"/>
      <c r="U1501" s="546"/>
      <c r="V1501" s="547"/>
      <c r="W1501" s="548"/>
      <c r="X1501" s="277"/>
      <c r="Y1501" s="277"/>
      <c r="Z1501" s="187"/>
      <c r="AA1501" s="6301"/>
      <c r="AB1501" s="139"/>
      <c r="AC1501" s="139"/>
      <c r="AD1501" s="139"/>
      <c r="AE1501" s="139"/>
      <c r="AF1501" s="139"/>
      <c r="AG1501" s="139"/>
      <c r="AH1501" s="139"/>
      <c r="AI1501" s="139"/>
      <c r="AJ1501" s="139"/>
      <c r="AK1501" s="139"/>
      <c r="AL1501" s="139"/>
      <c r="AM1501" s="139"/>
      <c r="AN1501" s="139"/>
      <c r="AO1501" s="139"/>
      <c r="AP1501" s="139"/>
      <c r="AQ1501" s="139"/>
      <c r="AR1501" s="139"/>
      <c r="AS1501" s="139"/>
      <c r="AT1501" s="139"/>
      <c r="AU1501" s="139"/>
      <c r="AV1501" s="139"/>
      <c r="AW1501" s="139"/>
      <c r="AX1501" s="139"/>
      <c r="AY1501" s="139"/>
      <c r="AZ1501" s="139"/>
      <c r="BA1501" s="139"/>
      <c r="BB1501" s="139"/>
      <c r="BC1501" s="139"/>
      <c r="BD1501" s="139"/>
      <c r="BE1501" s="139"/>
      <c r="BF1501" s="139"/>
      <c r="BG1501" s="139"/>
      <c r="BH1501" s="139"/>
    </row>
    <row r="1502" spans="2:60" s="11" customFormat="1" ht="19.350000000000001" customHeight="1">
      <c r="B1502" s="1353"/>
      <c r="C1502" s="6138" t="s">
        <v>1112</v>
      </c>
      <c r="D1502" s="6139"/>
      <c r="E1502" s="6139"/>
      <c r="F1502" s="6141"/>
      <c r="G1502" s="6139"/>
      <c r="H1502" s="9716" t="s">
        <v>1113</v>
      </c>
      <c r="I1502" s="9691"/>
      <c r="J1502" s="9692"/>
      <c r="K1502" s="6141"/>
      <c r="L1502" s="6186"/>
      <c r="M1502" s="6185"/>
      <c r="N1502" s="6185"/>
      <c r="O1502" s="6185"/>
      <c r="P1502" s="6185"/>
      <c r="Q1502" s="6185"/>
      <c r="R1502" s="2468"/>
      <c r="S1502" s="4849"/>
      <c r="T1502" s="99" t="s">
        <v>737</v>
      </c>
      <c r="U1502" s="547" t="s">
        <v>800</v>
      </c>
      <c r="V1502" s="547"/>
      <c r="W1502" s="99"/>
      <c r="X1502" s="265"/>
      <c r="Y1502" s="265"/>
      <c r="Z1502" s="187"/>
      <c r="AA1502" s="6301"/>
      <c r="AB1502" s="139"/>
      <c r="AC1502" s="139"/>
      <c r="AD1502" s="139"/>
      <c r="AE1502" s="139"/>
      <c r="AF1502" s="139"/>
      <c r="AG1502" s="139"/>
      <c r="AH1502" s="139"/>
      <c r="AI1502" s="139"/>
      <c r="AJ1502" s="139"/>
      <c r="AK1502" s="139"/>
      <c r="AL1502" s="139"/>
      <c r="AM1502" s="139"/>
      <c r="AN1502" s="139"/>
      <c r="AO1502" s="139"/>
      <c r="AP1502" s="139"/>
      <c r="AQ1502" s="139"/>
      <c r="AR1502" s="139"/>
      <c r="AS1502" s="139"/>
      <c r="AT1502" s="139"/>
      <c r="AU1502" s="139"/>
      <c r="AV1502" s="139"/>
      <c r="AW1502" s="139"/>
      <c r="AX1502" s="139"/>
      <c r="AY1502" s="139"/>
      <c r="AZ1502" s="139"/>
      <c r="BA1502" s="139"/>
      <c r="BB1502" s="139"/>
      <c r="BC1502" s="139"/>
      <c r="BD1502" s="139"/>
      <c r="BE1502" s="139"/>
      <c r="BF1502" s="139"/>
      <c r="BG1502" s="139"/>
      <c r="BH1502" s="139"/>
    </row>
    <row r="1503" spans="2:60" s="11" customFormat="1" ht="19.350000000000001" customHeight="1">
      <c r="B1503" s="1360"/>
      <c r="C1503" s="915"/>
      <c r="D1503" s="6141" t="s">
        <v>1114</v>
      </c>
      <c r="E1503" s="6139"/>
      <c r="F1503" s="6141"/>
      <c r="G1503" s="6139"/>
      <c r="H1503" s="6286"/>
      <c r="I1503" s="6185" t="s">
        <v>1115</v>
      </c>
      <c r="J1503" s="6185"/>
      <c r="K1503" s="6141"/>
      <c r="L1503" s="6186"/>
      <c r="M1503" s="6185"/>
      <c r="N1503" s="6185"/>
      <c r="O1503" s="6185"/>
      <c r="P1503" s="6185"/>
      <c r="Q1503" s="6185"/>
      <c r="R1503" s="2468"/>
      <c r="S1503" s="4849"/>
      <c r="T1503" s="99" t="s">
        <v>737</v>
      </c>
      <c r="U1503" s="547" t="s">
        <v>800</v>
      </c>
      <c r="V1503" s="547"/>
      <c r="W1503" s="99"/>
      <c r="X1503" s="265"/>
      <c r="Y1503" s="265"/>
      <c r="Z1503" s="187"/>
      <c r="AA1503" s="6301"/>
      <c r="AB1503" s="139"/>
      <c r="AC1503" s="139"/>
      <c r="AD1503" s="139"/>
      <c r="AE1503" s="139"/>
      <c r="AF1503" s="139"/>
      <c r="AG1503" s="139"/>
      <c r="AH1503" s="139"/>
      <c r="AI1503" s="139"/>
      <c r="AJ1503" s="139"/>
      <c r="AK1503" s="139"/>
      <c r="AL1503" s="139"/>
      <c r="AM1503" s="139"/>
      <c r="AN1503" s="139"/>
      <c r="AO1503" s="139"/>
      <c r="AP1503" s="139"/>
      <c r="AQ1503" s="139"/>
      <c r="AR1503" s="139"/>
      <c r="AS1503" s="139"/>
      <c r="AT1503" s="139"/>
      <c r="AU1503" s="139"/>
      <c r="AV1503" s="139"/>
      <c r="AW1503" s="139"/>
      <c r="AX1503" s="139"/>
      <c r="AY1503" s="139"/>
      <c r="AZ1503" s="139"/>
      <c r="BA1503" s="139"/>
      <c r="BB1503" s="139"/>
      <c r="BC1503" s="139"/>
      <c r="BD1503" s="139"/>
      <c r="BE1503" s="139"/>
      <c r="BF1503" s="139"/>
      <c r="BG1503" s="139"/>
      <c r="BH1503" s="139"/>
    </row>
    <row r="1504" spans="2:60" s="11" customFormat="1" ht="19.350000000000001" customHeight="1">
      <c r="B1504" s="1360"/>
      <c r="C1504" s="915"/>
      <c r="D1504" s="787"/>
      <c r="E1504" s="5694" t="s">
        <v>1116</v>
      </c>
      <c r="F1504" s="285" t="s">
        <v>742</v>
      </c>
      <c r="G1504" s="358"/>
      <c r="H1504" s="643"/>
      <c r="I1504" s="613"/>
      <c r="J1504" s="5694" t="s">
        <v>1117</v>
      </c>
      <c r="K1504" s="105" t="s">
        <v>734</v>
      </c>
      <c r="L1504" s="5653" t="str">
        <f>IF(COUNTBLANK(L1505:L1510)&gt;0,"미취합법인有",SUM(L1505:L1510))</f>
        <v>미취합법인有</v>
      </c>
      <c r="M1504" s="5657"/>
      <c r="N1504" s="5654" t="str">
        <f>IF(COUNTBLANK(N1505:N1510)&gt;0,"미취합법인有",SUM(N1505:N1510))</f>
        <v>미취합법인有</v>
      </c>
      <c r="O1504" s="5663"/>
      <c r="P1504" s="5781" t="str">
        <f>IF(COUNTBLANK(P1505:P1510)&gt;0,"미취합법인有",SUM(P1505:P1510))</f>
        <v>미취합법인有</v>
      </c>
      <c r="Q1504" s="785"/>
      <c r="R1504" s="2468" t="s">
        <v>1118</v>
      </c>
      <c r="S1504" s="276" t="s">
        <v>1119</v>
      </c>
      <c r="T1504" s="99" t="s">
        <v>758</v>
      </c>
      <c r="U1504" s="547" t="s">
        <v>800</v>
      </c>
      <c r="V1504" s="547"/>
      <c r="W1504" s="99"/>
      <c r="X1504" s="265" t="s">
        <v>1120</v>
      </c>
      <c r="Y1504" s="265" t="s">
        <v>1121</v>
      </c>
      <c r="Z1504" s="187"/>
      <c r="AA1504" s="6301"/>
      <c r="AB1504" s="139"/>
      <c r="AC1504" s="1377"/>
      <c r="AD1504" s="139"/>
      <c r="AE1504" s="139"/>
      <c r="AF1504" s="139"/>
      <c r="AG1504" s="139"/>
      <c r="AH1504" s="139"/>
      <c r="AI1504" s="139"/>
      <c r="AJ1504" s="139"/>
      <c r="AK1504" s="139"/>
      <c r="AL1504" s="139"/>
      <c r="AM1504" s="139"/>
      <c r="AN1504" s="139"/>
      <c r="AO1504" s="139"/>
      <c r="AP1504" s="139"/>
      <c r="AQ1504" s="139"/>
      <c r="AR1504" s="139"/>
      <c r="AS1504" s="139"/>
      <c r="AT1504" s="139"/>
      <c r="AU1504" s="139"/>
      <c r="AV1504" s="139"/>
      <c r="AW1504" s="139"/>
      <c r="AX1504" s="139"/>
      <c r="AY1504" s="139"/>
      <c r="AZ1504" s="139"/>
      <c r="BA1504" s="139"/>
      <c r="BB1504" s="139"/>
      <c r="BC1504" s="139"/>
      <c r="BD1504" s="139"/>
      <c r="BE1504" s="139"/>
      <c r="BF1504" s="139"/>
      <c r="BG1504" s="139"/>
      <c r="BH1504" s="139"/>
    </row>
    <row r="1505" spans="2:60" s="11" customFormat="1" ht="20.100000000000001" customHeight="1">
      <c r="B1505" s="1360"/>
      <c r="C1505" s="5598"/>
      <c r="D1505" s="5591"/>
      <c r="E1505" s="357" t="s">
        <v>134</v>
      </c>
      <c r="F1505" s="285" t="s">
        <v>742</v>
      </c>
      <c r="G1505" s="666"/>
      <c r="H1505" s="6188"/>
      <c r="I1505" s="367"/>
      <c r="J1505" s="551" t="s">
        <v>431</v>
      </c>
      <c r="K1505" s="105" t="s">
        <v>734</v>
      </c>
      <c r="L1505" s="5594">
        <v>171</v>
      </c>
      <c r="M1505" s="5671"/>
      <c r="N1505" s="5724">
        <v>163</v>
      </c>
      <c r="O1505" s="5680" t="s">
        <v>1122</v>
      </c>
      <c r="P1505" s="5867">
        <v>145</v>
      </c>
      <c r="Q1505" s="5678"/>
      <c r="R1505" s="2468"/>
      <c r="S1505" s="544"/>
      <c r="T1505" s="545"/>
      <c r="U1505" s="547"/>
      <c r="V1505" s="547"/>
      <c r="W1505" s="545"/>
      <c r="X1505" s="277"/>
      <c r="Y1505" s="277"/>
      <c r="Z1505" s="187"/>
      <c r="AA1505" s="6301"/>
      <c r="AB1505" s="139"/>
      <c r="AC1505" s="139"/>
      <c r="AD1505" s="139"/>
      <c r="AE1505" s="139"/>
      <c r="AF1505" s="139"/>
      <c r="AG1505" s="139"/>
      <c r="AH1505" s="139"/>
      <c r="AI1505" s="139"/>
      <c r="AJ1505" s="139"/>
      <c r="AK1505" s="139"/>
      <c r="AL1505" s="139"/>
      <c r="AM1505" s="139"/>
      <c r="AN1505" s="139"/>
      <c r="AO1505" s="139"/>
      <c r="AP1505" s="139"/>
      <c r="AQ1505" s="139"/>
      <c r="AR1505" s="139"/>
      <c r="AS1505" s="139"/>
      <c r="AT1505" s="139"/>
      <c r="AU1505" s="139"/>
      <c r="AV1505" s="139"/>
      <c r="AW1505" s="139"/>
      <c r="AX1505" s="139"/>
      <c r="AY1505" s="139"/>
      <c r="AZ1505" s="139"/>
      <c r="BA1505" s="139"/>
      <c r="BB1505" s="139"/>
      <c r="BC1505" s="139"/>
      <c r="BD1505" s="139"/>
      <c r="BE1505" s="139"/>
      <c r="BF1505" s="139"/>
      <c r="BG1505" s="139"/>
      <c r="BH1505" s="139"/>
    </row>
    <row r="1506" spans="2:60" s="11" customFormat="1" ht="20.100000000000001" customHeight="1">
      <c r="B1506" s="1360"/>
      <c r="C1506" s="5598"/>
      <c r="D1506" s="5591"/>
      <c r="E1506" s="357" t="s">
        <v>137</v>
      </c>
      <c r="F1506" s="285" t="s">
        <v>742</v>
      </c>
      <c r="G1506" s="666"/>
      <c r="H1506" s="6188"/>
      <c r="I1506" s="367"/>
      <c r="J1506" s="551" t="s">
        <v>449</v>
      </c>
      <c r="K1506" s="105" t="s">
        <v>734</v>
      </c>
      <c r="L1506" s="5594"/>
      <c r="M1506" s="5671"/>
      <c r="N1506" s="5724">
        <v>40</v>
      </c>
      <c r="O1506" s="5680"/>
      <c r="P1506" s="5854">
        <v>34</v>
      </c>
      <c r="Q1506" s="5678"/>
      <c r="R1506" s="2468"/>
      <c r="S1506" s="544"/>
      <c r="T1506" s="545"/>
      <c r="U1506" s="547"/>
      <c r="V1506" s="547"/>
      <c r="W1506" s="545"/>
      <c r="X1506" s="277"/>
      <c r="Y1506" s="277"/>
      <c r="Z1506" s="187"/>
      <c r="AA1506" s="6301"/>
      <c r="AB1506" s="139"/>
      <c r="AC1506" s="139"/>
      <c r="AD1506" s="139"/>
      <c r="AE1506" s="139"/>
      <c r="AF1506" s="139"/>
      <c r="AG1506" s="139"/>
      <c r="AH1506" s="139"/>
      <c r="AI1506" s="139"/>
      <c r="AJ1506" s="139"/>
      <c r="AK1506" s="139"/>
      <c r="AL1506" s="139"/>
      <c r="AM1506" s="139"/>
      <c r="AN1506" s="139"/>
      <c r="AO1506" s="139"/>
      <c r="AP1506" s="139"/>
      <c r="AQ1506" s="139"/>
      <c r="AR1506" s="139"/>
      <c r="AS1506" s="139"/>
      <c r="AT1506" s="139"/>
      <c r="AU1506" s="139"/>
      <c r="AV1506" s="139"/>
      <c r="AW1506" s="139"/>
      <c r="AX1506" s="139"/>
      <c r="AY1506" s="139"/>
      <c r="AZ1506" s="139"/>
      <c r="BA1506" s="139"/>
      <c r="BB1506" s="139"/>
      <c r="BC1506" s="139"/>
      <c r="BD1506" s="139"/>
      <c r="BE1506" s="139"/>
      <c r="BF1506" s="139"/>
      <c r="BG1506" s="139"/>
      <c r="BH1506" s="139"/>
    </row>
    <row r="1507" spans="2:60" s="11" customFormat="1" ht="20.100000000000001" customHeight="1">
      <c r="B1507" s="1360"/>
      <c r="C1507" s="161"/>
      <c r="D1507" s="5591"/>
      <c r="E1507" s="357" t="s">
        <v>140</v>
      </c>
      <c r="F1507" s="285" t="s">
        <v>742</v>
      </c>
      <c r="G1507" s="666"/>
      <c r="H1507" s="6188"/>
      <c r="I1507" s="367"/>
      <c r="J1507" s="551" t="s">
        <v>450</v>
      </c>
      <c r="K1507" s="105" t="s">
        <v>734</v>
      </c>
      <c r="L1507" s="5959" t="s">
        <v>168</v>
      </c>
      <c r="M1507" s="5718" t="s">
        <v>641</v>
      </c>
      <c r="N1507" s="5729" t="s">
        <v>168</v>
      </c>
      <c r="O1507" s="5718" t="s">
        <v>641</v>
      </c>
      <c r="P1507" s="5678"/>
      <c r="Q1507" s="5678" t="s">
        <v>1123</v>
      </c>
      <c r="R1507" s="2468"/>
      <c r="S1507" s="544"/>
      <c r="T1507" s="545"/>
      <c r="U1507" s="547"/>
      <c r="V1507" s="547"/>
      <c r="W1507" s="545"/>
      <c r="X1507" s="277"/>
      <c r="Y1507" s="277"/>
      <c r="Z1507" s="187"/>
      <c r="AA1507" s="6301"/>
      <c r="AB1507" s="139"/>
      <c r="AC1507" s="1377" t="s">
        <v>1124</v>
      </c>
      <c r="AD1507" s="139"/>
      <c r="AE1507" s="139"/>
      <c r="AF1507" s="139"/>
      <c r="AG1507" s="139"/>
      <c r="AH1507" s="139"/>
      <c r="AI1507" s="139"/>
      <c r="AJ1507" s="139"/>
      <c r="AK1507" s="139"/>
      <c r="AL1507" s="139"/>
      <c r="AM1507" s="139"/>
      <c r="AN1507" s="139"/>
      <c r="AO1507" s="139"/>
      <c r="AP1507" s="139"/>
      <c r="AQ1507" s="139"/>
      <c r="AR1507" s="139"/>
      <c r="AS1507" s="139"/>
      <c r="AT1507" s="139"/>
      <c r="AU1507" s="139"/>
      <c r="AV1507" s="139"/>
      <c r="AW1507" s="139"/>
      <c r="AX1507" s="139"/>
      <c r="AY1507" s="139"/>
      <c r="AZ1507" s="139"/>
      <c r="BA1507" s="139"/>
      <c r="BB1507" s="139"/>
      <c r="BC1507" s="139"/>
      <c r="BD1507" s="139"/>
      <c r="BE1507" s="139"/>
      <c r="BF1507" s="139"/>
      <c r="BG1507" s="139"/>
      <c r="BH1507" s="139"/>
    </row>
    <row r="1508" spans="2:60" s="11" customFormat="1" ht="20.100000000000001" customHeight="1">
      <c r="B1508" s="1360"/>
      <c r="C1508" s="5598"/>
      <c r="D1508" s="5591"/>
      <c r="E1508" s="357" t="s">
        <v>143</v>
      </c>
      <c r="F1508" s="285" t="s">
        <v>742</v>
      </c>
      <c r="G1508" s="666"/>
      <c r="H1508" s="6188"/>
      <c r="I1508" s="367"/>
      <c r="J1508" s="551" t="s">
        <v>451</v>
      </c>
      <c r="K1508" s="105" t="s">
        <v>734</v>
      </c>
      <c r="L1508" s="5594"/>
      <c r="M1508" s="5671"/>
      <c r="N1508" s="5724"/>
      <c r="O1508" s="5671"/>
      <c r="P1508" s="5678"/>
      <c r="Q1508" s="5678"/>
      <c r="R1508" s="2468"/>
      <c r="S1508" s="544"/>
      <c r="T1508" s="545"/>
      <c r="U1508" s="547"/>
      <c r="V1508" s="547"/>
      <c r="W1508" s="545"/>
      <c r="X1508" s="277"/>
      <c r="Y1508" s="277"/>
      <c r="Z1508" s="187"/>
      <c r="AA1508" s="6301"/>
      <c r="AB1508" s="139"/>
      <c r="AC1508" s="1377" t="s">
        <v>1124</v>
      </c>
      <c r="AD1508" s="139"/>
      <c r="AE1508" s="139"/>
      <c r="AF1508" s="139"/>
      <c r="AG1508" s="139"/>
      <c r="AH1508" s="139"/>
      <c r="AI1508" s="139"/>
      <c r="AJ1508" s="139"/>
      <c r="AK1508" s="139"/>
      <c r="AL1508" s="139"/>
      <c r="AM1508" s="139"/>
      <c r="AN1508" s="139"/>
      <c r="AO1508" s="139"/>
      <c r="AP1508" s="139"/>
      <c r="AQ1508" s="139"/>
      <c r="AR1508" s="139"/>
      <c r="AS1508" s="139"/>
      <c r="AT1508" s="139"/>
      <c r="AU1508" s="139"/>
      <c r="AV1508" s="139"/>
      <c r="AW1508" s="139"/>
      <c r="AX1508" s="139"/>
      <c r="AY1508" s="139"/>
      <c r="AZ1508" s="139"/>
      <c r="BA1508" s="139"/>
      <c r="BB1508" s="139"/>
      <c r="BC1508" s="139"/>
      <c r="BD1508" s="139"/>
      <c r="BE1508" s="139"/>
      <c r="BF1508" s="139"/>
      <c r="BG1508" s="139"/>
      <c r="BH1508" s="139"/>
    </row>
    <row r="1509" spans="2:60" s="11" customFormat="1" ht="20.100000000000001" customHeight="1">
      <c r="B1509" s="1360"/>
      <c r="C1509" s="5598"/>
      <c r="D1509" s="5591"/>
      <c r="E1509" s="357" t="s">
        <v>631</v>
      </c>
      <c r="F1509" s="285" t="s">
        <v>742</v>
      </c>
      <c r="G1509" s="666"/>
      <c r="H1509" s="6188"/>
      <c r="I1509" s="367"/>
      <c r="J1509" s="551" t="s">
        <v>452</v>
      </c>
      <c r="K1509" s="105" t="s">
        <v>734</v>
      </c>
      <c r="L1509" s="5592"/>
      <c r="M1509" s="5674"/>
      <c r="N1509" s="5678"/>
      <c r="O1509" s="5678"/>
      <c r="P1509" s="5678"/>
      <c r="Q1509" s="5678"/>
      <c r="R1509" s="2468"/>
      <c r="S1509" s="544"/>
      <c r="T1509" s="545"/>
      <c r="U1509" s="547"/>
      <c r="V1509" s="547"/>
      <c r="W1509" s="545"/>
      <c r="X1509" s="277"/>
      <c r="Y1509" s="277"/>
      <c r="Z1509" s="187"/>
      <c r="AA1509" s="6301"/>
      <c r="AB1509" s="139"/>
      <c r="AC1509" s="1377" t="s">
        <v>1124</v>
      </c>
      <c r="AD1509" s="139"/>
      <c r="AE1509" s="139"/>
      <c r="AF1509" s="139"/>
      <c r="AG1509" s="139"/>
      <c r="AH1509" s="139"/>
      <c r="AI1509" s="139"/>
      <c r="AJ1509" s="139"/>
      <c r="AK1509" s="139"/>
      <c r="AL1509" s="139"/>
      <c r="AM1509" s="139"/>
      <c r="AN1509" s="139"/>
      <c r="AO1509" s="139"/>
      <c r="AP1509" s="139"/>
      <c r="AQ1509" s="139"/>
      <c r="AR1509" s="139"/>
      <c r="AS1509" s="139"/>
      <c r="AT1509" s="139"/>
      <c r="AU1509" s="139"/>
      <c r="AV1509" s="139"/>
      <c r="AW1509" s="139"/>
      <c r="AX1509" s="139"/>
      <c r="AY1509" s="139"/>
      <c r="AZ1509" s="139"/>
      <c r="BA1509" s="139"/>
      <c r="BB1509" s="139"/>
      <c r="BC1509" s="139"/>
      <c r="BD1509" s="139"/>
      <c r="BE1509" s="139"/>
      <c r="BF1509" s="139"/>
      <c r="BG1509" s="139"/>
      <c r="BH1509" s="139"/>
    </row>
    <row r="1510" spans="2:60" s="11" customFormat="1" ht="20.100000000000001" customHeight="1">
      <c r="B1510" s="1360"/>
      <c r="C1510" s="161"/>
      <c r="D1510" s="5591"/>
      <c r="E1510" s="357" t="s">
        <v>633</v>
      </c>
      <c r="F1510" s="285" t="s">
        <v>742</v>
      </c>
      <c r="G1510" s="666"/>
      <c r="H1510" s="6188"/>
      <c r="I1510" s="367"/>
      <c r="J1510" s="551" t="s">
        <v>453</v>
      </c>
      <c r="K1510" s="105" t="s">
        <v>734</v>
      </c>
      <c r="L1510" s="5594"/>
      <c r="M1510" s="5671"/>
      <c r="N1510" s="5724"/>
      <c r="O1510" s="5680"/>
      <c r="P1510" s="5678"/>
      <c r="Q1510" s="5678"/>
      <c r="R1510" s="2468"/>
      <c r="S1510" s="544"/>
      <c r="T1510" s="545"/>
      <c r="U1510" s="547"/>
      <c r="V1510" s="547"/>
      <c r="W1510" s="545"/>
      <c r="X1510" s="277"/>
      <c r="Y1510" s="277"/>
      <c r="Z1510" s="187"/>
      <c r="AA1510" s="6301"/>
      <c r="AB1510" s="139"/>
      <c r="AC1510" s="1377" t="s">
        <v>1124</v>
      </c>
      <c r="AD1510" s="139"/>
      <c r="AE1510" s="139"/>
      <c r="AF1510" s="139"/>
      <c r="AG1510" s="139"/>
      <c r="AH1510" s="139"/>
      <c r="AI1510" s="139"/>
      <c r="AJ1510" s="139"/>
      <c r="AK1510" s="139"/>
      <c r="AL1510" s="139"/>
      <c r="AM1510" s="139"/>
      <c r="AN1510" s="139"/>
      <c r="AO1510" s="139"/>
      <c r="AP1510" s="139"/>
      <c r="AQ1510" s="139"/>
      <c r="AR1510" s="139"/>
      <c r="AS1510" s="139"/>
      <c r="AT1510" s="139"/>
      <c r="AU1510" s="139"/>
      <c r="AV1510" s="139"/>
      <c r="AW1510" s="139"/>
      <c r="AX1510" s="139"/>
      <c r="AY1510" s="139"/>
      <c r="AZ1510" s="139"/>
      <c r="BA1510" s="139"/>
      <c r="BB1510" s="139"/>
      <c r="BC1510" s="139"/>
      <c r="BD1510" s="139"/>
      <c r="BE1510" s="139"/>
      <c r="BF1510" s="139"/>
      <c r="BG1510" s="139"/>
      <c r="BH1510" s="139"/>
    </row>
    <row r="1511" spans="2:60" s="11" customFormat="1" ht="19.350000000000001" customHeight="1">
      <c r="B1511" s="1360"/>
      <c r="C1511" s="5598"/>
      <c r="D1511" s="280"/>
      <c r="E1511" s="5694" t="s">
        <v>1125</v>
      </c>
      <c r="F1511" s="285" t="s">
        <v>742</v>
      </c>
      <c r="G1511" s="358"/>
      <c r="H1511" s="643"/>
      <c r="I1511" s="613"/>
      <c r="J1511" s="5694" t="s">
        <v>1126</v>
      </c>
      <c r="K1511" s="105" t="s">
        <v>734</v>
      </c>
      <c r="L1511" s="5653" t="str">
        <f>IF(COUNTBLANK(L1512:L1517)&gt;0,"미취합법인有",SUM(L1512:L1517))</f>
        <v>미취합법인有</v>
      </c>
      <c r="M1511" s="5657"/>
      <c r="N1511" s="5654" t="str">
        <f>IF(COUNTBLANK(N1512:N1517)&gt;0,"미취합법인有",SUM(N1512:N1517))</f>
        <v>미취합법인有</v>
      </c>
      <c r="O1511" s="5945"/>
      <c r="P1511" s="5781" t="str">
        <f>IF(COUNTBLANK(P1512:P1517)&gt;0,"미취합법인有",SUM(P1512:P1517))</f>
        <v>미취합법인有</v>
      </c>
      <c r="Q1511" s="785"/>
      <c r="R1511" s="2468" t="s">
        <v>1118</v>
      </c>
      <c r="S1511" s="276" t="s">
        <v>1119</v>
      </c>
      <c r="T1511" s="99" t="s">
        <v>758</v>
      </c>
      <c r="U1511" s="547" t="s">
        <v>800</v>
      </c>
      <c r="V1511" s="547"/>
      <c r="W1511" s="99"/>
      <c r="X1511" s="265" t="s">
        <v>1120</v>
      </c>
      <c r="Y1511" s="265" t="s">
        <v>1121</v>
      </c>
      <c r="Z1511" s="187"/>
      <c r="AA1511" s="6301"/>
      <c r="AB1511" s="139"/>
      <c r="AC1511" s="139"/>
      <c r="AD1511" s="139"/>
      <c r="AE1511" s="139"/>
      <c r="AF1511" s="139"/>
      <c r="AG1511" s="139"/>
      <c r="AH1511" s="139"/>
      <c r="AI1511" s="139"/>
      <c r="AJ1511" s="139"/>
      <c r="AK1511" s="139"/>
      <c r="AL1511" s="139"/>
      <c r="AM1511" s="139"/>
      <c r="AN1511" s="139"/>
      <c r="AO1511" s="139"/>
      <c r="AP1511" s="139"/>
      <c r="AQ1511" s="139"/>
      <c r="AR1511" s="139"/>
      <c r="AS1511" s="139"/>
      <c r="AT1511" s="139"/>
      <c r="AU1511" s="139"/>
      <c r="AV1511" s="139"/>
      <c r="AW1511" s="139"/>
      <c r="AX1511" s="139"/>
      <c r="AY1511" s="139"/>
      <c r="AZ1511" s="139"/>
      <c r="BA1511" s="139"/>
      <c r="BB1511" s="139"/>
      <c r="BC1511" s="139"/>
      <c r="BD1511" s="139"/>
      <c r="BE1511" s="139"/>
      <c r="BF1511" s="139"/>
      <c r="BG1511" s="139"/>
      <c r="BH1511" s="139"/>
    </row>
    <row r="1512" spans="2:60" s="11" customFormat="1" ht="20.100000000000001" customHeight="1">
      <c r="B1512" s="1360"/>
      <c r="C1512" s="5598"/>
      <c r="D1512" s="5591"/>
      <c r="E1512" s="357" t="s">
        <v>134</v>
      </c>
      <c r="F1512" s="285" t="s">
        <v>742</v>
      </c>
      <c r="G1512" s="666"/>
      <c r="H1512" s="6188"/>
      <c r="I1512" s="367"/>
      <c r="J1512" s="551" t="s">
        <v>431</v>
      </c>
      <c r="K1512" s="105" t="s">
        <v>734</v>
      </c>
      <c r="L1512" s="5594">
        <v>122</v>
      </c>
      <c r="M1512" s="5671"/>
      <c r="N1512" s="5724">
        <v>126</v>
      </c>
      <c r="O1512" s="5680" t="s">
        <v>1122</v>
      </c>
      <c r="P1512" s="5725">
        <v>133</v>
      </c>
      <c r="Q1512" s="5729"/>
      <c r="R1512" s="2468"/>
      <c r="S1512" s="544"/>
      <c r="T1512" s="545"/>
      <c r="U1512" s="547"/>
      <c r="V1512" s="547"/>
      <c r="W1512" s="545"/>
      <c r="X1512" s="277"/>
      <c r="Y1512" s="277"/>
      <c r="Z1512" s="187"/>
      <c r="AA1512" s="6301"/>
      <c r="AB1512" s="139"/>
      <c r="AC1512" s="139"/>
      <c r="AD1512" s="139"/>
      <c r="AE1512" s="139"/>
      <c r="AF1512" s="139"/>
      <c r="AG1512" s="139"/>
      <c r="AH1512" s="139"/>
      <c r="AI1512" s="139"/>
      <c r="AJ1512" s="139"/>
      <c r="AK1512" s="139"/>
      <c r="AL1512" s="139"/>
      <c r="AM1512" s="139"/>
      <c r="AN1512" s="139"/>
      <c r="AO1512" s="139"/>
      <c r="AP1512" s="139"/>
      <c r="AQ1512" s="139"/>
      <c r="AR1512" s="139"/>
      <c r="AS1512" s="139"/>
      <c r="AT1512" s="139"/>
      <c r="AU1512" s="139"/>
      <c r="AV1512" s="139"/>
      <c r="AW1512" s="139"/>
      <c r="AX1512" s="139"/>
      <c r="AY1512" s="139"/>
      <c r="AZ1512" s="139"/>
      <c r="BA1512" s="139"/>
      <c r="BB1512" s="139"/>
      <c r="BC1512" s="139"/>
      <c r="BD1512" s="139"/>
      <c r="BE1512" s="139"/>
      <c r="BF1512" s="139"/>
      <c r="BG1512" s="139"/>
      <c r="BH1512" s="139"/>
    </row>
    <row r="1513" spans="2:60" s="11" customFormat="1" ht="20.100000000000001" customHeight="1">
      <c r="B1513" s="1360"/>
      <c r="C1513" s="161"/>
      <c r="D1513" s="5591"/>
      <c r="E1513" s="357" t="s">
        <v>137</v>
      </c>
      <c r="F1513" s="285" t="s">
        <v>742</v>
      </c>
      <c r="G1513" s="666"/>
      <c r="H1513" s="6188"/>
      <c r="I1513" s="367"/>
      <c r="J1513" s="551" t="s">
        <v>449</v>
      </c>
      <c r="K1513" s="105" t="s">
        <v>734</v>
      </c>
      <c r="L1513" s="5594"/>
      <c r="M1513" s="5671"/>
      <c r="N1513" s="5724">
        <v>6</v>
      </c>
      <c r="O1513" s="5680"/>
      <c r="P1513" s="5725">
        <v>5</v>
      </c>
      <c r="Q1513" s="5730"/>
      <c r="R1513" s="2468"/>
      <c r="S1513" s="544"/>
      <c r="T1513" s="545"/>
      <c r="U1513" s="547"/>
      <c r="V1513" s="547"/>
      <c r="W1513" s="545"/>
      <c r="X1513" s="277"/>
      <c r="Y1513" s="277"/>
      <c r="Z1513" s="187"/>
      <c r="AA1513" s="6301"/>
      <c r="AB1513" s="139"/>
      <c r="AC1513" s="139"/>
      <c r="AD1513" s="139"/>
      <c r="AE1513" s="139"/>
      <c r="AF1513" s="139"/>
      <c r="AG1513" s="139"/>
      <c r="AH1513" s="139"/>
      <c r="AI1513" s="139"/>
      <c r="AJ1513" s="139"/>
      <c r="AK1513" s="139"/>
      <c r="AL1513" s="139"/>
      <c r="AM1513" s="139"/>
      <c r="AN1513" s="139"/>
      <c r="AO1513" s="139"/>
      <c r="AP1513" s="139"/>
      <c r="AQ1513" s="139"/>
      <c r="AR1513" s="139"/>
      <c r="AS1513" s="139"/>
      <c r="AT1513" s="139"/>
      <c r="AU1513" s="139"/>
      <c r="AV1513" s="139"/>
      <c r="AW1513" s="139"/>
      <c r="AX1513" s="139"/>
      <c r="AY1513" s="139"/>
      <c r="AZ1513" s="139"/>
      <c r="BA1513" s="139"/>
      <c r="BB1513" s="139"/>
      <c r="BC1513" s="139"/>
      <c r="BD1513" s="139"/>
      <c r="BE1513" s="139"/>
      <c r="BF1513" s="139"/>
      <c r="BG1513" s="139"/>
      <c r="BH1513" s="139"/>
    </row>
    <row r="1514" spans="2:60" s="11" customFormat="1" ht="20.100000000000001" customHeight="1">
      <c r="B1514" s="1360"/>
      <c r="C1514" s="5598"/>
      <c r="D1514" s="5591"/>
      <c r="E1514" s="357" t="s">
        <v>140</v>
      </c>
      <c r="F1514" s="285" t="s">
        <v>742</v>
      </c>
      <c r="G1514" s="666"/>
      <c r="H1514" s="6188"/>
      <c r="I1514" s="367"/>
      <c r="J1514" s="551" t="s">
        <v>450</v>
      </c>
      <c r="K1514" s="105" t="s">
        <v>734</v>
      </c>
      <c r="L1514" s="5959" t="s">
        <v>168</v>
      </c>
      <c r="M1514" s="5718" t="s">
        <v>641</v>
      </c>
      <c r="N1514" s="5729" t="s">
        <v>168</v>
      </c>
      <c r="O1514" s="5718" t="s">
        <v>641</v>
      </c>
      <c r="P1514" s="5672"/>
      <c r="Q1514" s="5678" t="s">
        <v>1123</v>
      </c>
      <c r="R1514" s="2468"/>
      <c r="S1514" s="544"/>
      <c r="T1514" s="545"/>
      <c r="U1514" s="547"/>
      <c r="V1514" s="547"/>
      <c r="W1514" s="545"/>
      <c r="X1514" s="277"/>
      <c r="Y1514" s="277"/>
      <c r="Z1514" s="187"/>
      <c r="AA1514" s="6301"/>
      <c r="AB1514" s="139"/>
      <c r="AC1514" s="1377" t="s">
        <v>1124</v>
      </c>
      <c r="AD1514" s="139"/>
      <c r="AE1514" s="139"/>
      <c r="AF1514" s="139"/>
      <c r="AG1514" s="139"/>
      <c r="AH1514" s="139"/>
      <c r="AI1514" s="139"/>
      <c r="AJ1514" s="139"/>
      <c r="AK1514" s="139"/>
      <c r="AL1514" s="139"/>
      <c r="AM1514" s="139"/>
      <c r="AN1514" s="139"/>
      <c r="AO1514" s="139"/>
      <c r="AP1514" s="139"/>
      <c r="AQ1514" s="139"/>
      <c r="AR1514" s="139"/>
      <c r="AS1514" s="139"/>
      <c r="AT1514" s="139"/>
      <c r="AU1514" s="139"/>
      <c r="AV1514" s="139"/>
      <c r="AW1514" s="139"/>
      <c r="AX1514" s="139"/>
      <c r="AY1514" s="139"/>
      <c r="AZ1514" s="139"/>
      <c r="BA1514" s="139"/>
      <c r="BB1514" s="139"/>
      <c r="BC1514" s="139"/>
      <c r="BD1514" s="139"/>
      <c r="BE1514" s="139"/>
      <c r="BF1514" s="139"/>
      <c r="BG1514" s="139"/>
      <c r="BH1514" s="139"/>
    </row>
    <row r="1515" spans="2:60" s="11" customFormat="1" ht="20.100000000000001" customHeight="1">
      <c r="B1515" s="1360"/>
      <c r="C1515" s="5598"/>
      <c r="D1515" s="5591"/>
      <c r="E1515" s="357" t="s">
        <v>143</v>
      </c>
      <c r="F1515" s="285" t="s">
        <v>742</v>
      </c>
      <c r="G1515" s="666"/>
      <c r="H1515" s="6188"/>
      <c r="I1515" s="367"/>
      <c r="J1515" s="551" t="s">
        <v>451</v>
      </c>
      <c r="K1515" s="105" t="s">
        <v>734</v>
      </c>
      <c r="L1515" s="5594"/>
      <c r="M1515" s="5671"/>
      <c r="N1515" s="5724"/>
      <c r="O1515" s="5671"/>
      <c r="P1515" s="5724"/>
      <c r="Q1515" s="5729"/>
      <c r="R1515" s="2468"/>
      <c r="S1515" s="544"/>
      <c r="T1515" s="545"/>
      <c r="U1515" s="547"/>
      <c r="V1515" s="547"/>
      <c r="W1515" s="545"/>
      <c r="X1515" s="277"/>
      <c r="Y1515" s="277"/>
      <c r="Z1515" s="187"/>
      <c r="AA1515" s="6301"/>
      <c r="AB1515" s="139"/>
      <c r="AC1515" s="1377" t="s">
        <v>1124</v>
      </c>
      <c r="AD1515" s="139"/>
      <c r="AE1515" s="139"/>
      <c r="AF1515" s="139"/>
      <c r="AG1515" s="139"/>
      <c r="AH1515" s="139"/>
      <c r="AI1515" s="139"/>
      <c r="AJ1515" s="139"/>
      <c r="AK1515" s="139"/>
      <c r="AL1515" s="139"/>
      <c r="AM1515" s="139"/>
      <c r="AN1515" s="139"/>
      <c r="AO1515" s="139"/>
      <c r="AP1515" s="139"/>
      <c r="AQ1515" s="139"/>
      <c r="AR1515" s="139"/>
      <c r="AS1515" s="139"/>
      <c r="AT1515" s="139"/>
      <c r="AU1515" s="139"/>
      <c r="AV1515" s="139"/>
      <c r="AW1515" s="139"/>
      <c r="AX1515" s="139"/>
      <c r="AY1515" s="139"/>
      <c r="AZ1515" s="139"/>
      <c r="BA1515" s="139"/>
      <c r="BB1515" s="139"/>
      <c r="BC1515" s="139"/>
      <c r="BD1515" s="139"/>
      <c r="BE1515" s="139"/>
      <c r="BF1515" s="139"/>
      <c r="BG1515" s="139"/>
      <c r="BH1515" s="139"/>
    </row>
    <row r="1516" spans="2:60" s="11" customFormat="1" ht="20.100000000000001" customHeight="1">
      <c r="B1516" s="1360"/>
      <c r="C1516" s="161"/>
      <c r="D1516" s="5591"/>
      <c r="E1516" s="357" t="s">
        <v>631</v>
      </c>
      <c r="F1516" s="285" t="s">
        <v>742</v>
      </c>
      <c r="G1516" s="666"/>
      <c r="H1516" s="6188"/>
      <c r="I1516" s="367"/>
      <c r="J1516" s="551" t="s">
        <v>452</v>
      </c>
      <c r="K1516" s="105" t="s">
        <v>734</v>
      </c>
      <c r="L1516" s="5592"/>
      <c r="M1516" s="5674"/>
      <c r="N1516" s="5678"/>
      <c r="O1516" s="5678"/>
      <c r="P1516" s="5678"/>
      <c r="Q1516" s="5729"/>
      <c r="R1516" s="2468"/>
      <c r="S1516" s="544"/>
      <c r="T1516" s="545"/>
      <c r="U1516" s="547"/>
      <c r="V1516" s="547"/>
      <c r="W1516" s="545"/>
      <c r="X1516" s="277"/>
      <c r="Y1516" s="277"/>
      <c r="Z1516" s="187"/>
      <c r="AA1516" s="6301"/>
      <c r="AB1516" s="139"/>
      <c r="AC1516" s="1377" t="s">
        <v>1124</v>
      </c>
      <c r="AD1516" s="139"/>
      <c r="AE1516" s="139"/>
      <c r="AF1516" s="139"/>
      <c r="AG1516" s="139"/>
      <c r="AH1516" s="139"/>
      <c r="AI1516" s="139"/>
      <c r="AJ1516" s="139"/>
      <c r="AK1516" s="139"/>
      <c r="AL1516" s="139"/>
      <c r="AM1516" s="139"/>
      <c r="AN1516" s="139"/>
      <c r="AO1516" s="139"/>
      <c r="AP1516" s="139"/>
      <c r="AQ1516" s="139"/>
      <c r="AR1516" s="139"/>
      <c r="AS1516" s="139"/>
      <c r="AT1516" s="139"/>
      <c r="AU1516" s="139"/>
      <c r="AV1516" s="139"/>
      <c r="AW1516" s="139"/>
      <c r="AX1516" s="139"/>
      <c r="AY1516" s="139"/>
      <c r="AZ1516" s="139"/>
      <c r="BA1516" s="139"/>
      <c r="BB1516" s="139"/>
      <c r="BC1516" s="139"/>
      <c r="BD1516" s="139"/>
      <c r="BE1516" s="139"/>
      <c r="BF1516" s="139"/>
      <c r="BG1516" s="139"/>
      <c r="BH1516" s="139"/>
    </row>
    <row r="1517" spans="2:60" s="11" customFormat="1" ht="20.100000000000001" customHeight="1">
      <c r="B1517" s="1360"/>
      <c r="C1517" s="5598"/>
      <c r="D1517" s="5591"/>
      <c r="E1517" s="357" t="s">
        <v>633</v>
      </c>
      <c r="F1517" s="285" t="s">
        <v>742</v>
      </c>
      <c r="G1517" s="746"/>
      <c r="H1517" s="6189"/>
      <c r="I1517" s="1164"/>
      <c r="J1517" s="551" t="s">
        <v>453</v>
      </c>
      <c r="K1517" s="105" t="s">
        <v>734</v>
      </c>
      <c r="L1517" s="5594"/>
      <c r="M1517" s="5671"/>
      <c r="N1517" s="5724"/>
      <c r="O1517" s="5680"/>
      <c r="P1517" s="5725"/>
      <c r="Q1517" s="5729"/>
      <c r="R1517" s="2468"/>
      <c r="S1517" s="544"/>
      <c r="T1517" s="545"/>
      <c r="U1517" s="547"/>
      <c r="V1517" s="547"/>
      <c r="W1517" s="545"/>
      <c r="X1517" s="277"/>
      <c r="Y1517" s="277"/>
      <c r="Z1517" s="187"/>
      <c r="AA1517" s="6301"/>
      <c r="AB1517" s="139"/>
      <c r="AC1517" s="1377" t="s">
        <v>1124</v>
      </c>
      <c r="AD1517" s="139"/>
      <c r="AE1517" s="139"/>
      <c r="AF1517" s="139"/>
      <c r="AG1517" s="139"/>
      <c r="AH1517" s="139"/>
      <c r="AI1517" s="139"/>
      <c r="AJ1517" s="139"/>
      <c r="AK1517" s="139"/>
      <c r="AL1517" s="139"/>
      <c r="AM1517" s="139"/>
      <c r="AN1517" s="139"/>
      <c r="AO1517" s="139"/>
      <c r="AP1517" s="139"/>
      <c r="AQ1517" s="139"/>
      <c r="AR1517" s="139"/>
      <c r="AS1517" s="139"/>
      <c r="AT1517" s="139"/>
      <c r="AU1517" s="139"/>
      <c r="AV1517" s="139"/>
      <c r="AW1517" s="139"/>
      <c r="AX1517" s="139"/>
      <c r="AY1517" s="139"/>
      <c r="AZ1517" s="139"/>
      <c r="BA1517" s="139"/>
      <c r="BB1517" s="139"/>
      <c r="BC1517" s="139"/>
      <c r="BD1517" s="139"/>
      <c r="BE1517" s="139"/>
      <c r="BF1517" s="139"/>
      <c r="BG1517" s="139"/>
      <c r="BH1517" s="139"/>
    </row>
    <row r="1518" spans="2:60" s="11" customFormat="1" ht="19.350000000000001" customHeight="1">
      <c r="B1518" s="1360"/>
      <c r="C1518" s="5598"/>
      <c r="D1518" s="6141" t="s">
        <v>1127</v>
      </c>
      <c r="E1518" s="6139"/>
      <c r="F1518" s="6139"/>
      <c r="G1518" s="6185"/>
      <c r="H1518" s="6185"/>
      <c r="I1518" s="6139" t="s">
        <v>1128</v>
      </c>
      <c r="J1518" s="6139"/>
      <c r="K1518" s="6139" t="s">
        <v>734</v>
      </c>
      <c r="L1518" s="6186"/>
      <c r="M1518" s="6185"/>
      <c r="N1518" s="6185"/>
      <c r="O1518" s="6185"/>
      <c r="P1518" s="6185"/>
      <c r="Q1518" s="6185"/>
      <c r="R1518" s="2468"/>
      <c r="S1518" s="24"/>
      <c r="T1518" s="99" t="s">
        <v>758</v>
      </c>
      <c r="U1518" s="547" t="s">
        <v>800</v>
      </c>
      <c r="V1518" s="547"/>
      <c r="W1518" s="99"/>
      <c r="X1518" s="277" t="s">
        <v>1129</v>
      </c>
      <c r="Y1518" s="265" t="s">
        <v>1121</v>
      </c>
      <c r="Z1518" s="187"/>
      <c r="AA1518" s="6301"/>
      <c r="AB1518" s="139"/>
      <c r="AC1518" s="139"/>
      <c r="AD1518" s="139"/>
      <c r="AE1518" s="139"/>
      <c r="AF1518" s="139"/>
      <c r="AG1518" s="139"/>
      <c r="AH1518" s="139"/>
      <c r="AI1518" s="139"/>
      <c r="AJ1518" s="139"/>
      <c r="AK1518" s="139"/>
      <c r="AL1518" s="139"/>
      <c r="AM1518" s="139"/>
      <c r="AN1518" s="139"/>
      <c r="AO1518" s="139"/>
      <c r="AP1518" s="139"/>
      <c r="AQ1518" s="139"/>
      <c r="AR1518" s="139"/>
      <c r="AS1518" s="139"/>
      <c r="AT1518" s="139"/>
      <c r="AU1518" s="139"/>
      <c r="AV1518" s="139"/>
      <c r="AW1518" s="139"/>
      <c r="AX1518" s="139"/>
      <c r="AY1518" s="139"/>
      <c r="AZ1518" s="139"/>
      <c r="BA1518" s="139"/>
      <c r="BB1518" s="139"/>
      <c r="BC1518" s="139"/>
      <c r="BD1518" s="139"/>
      <c r="BE1518" s="139"/>
      <c r="BF1518" s="139"/>
      <c r="BG1518" s="139"/>
      <c r="BH1518" s="139"/>
    </row>
    <row r="1519" spans="2:60" s="11" customFormat="1" ht="19.350000000000001" customHeight="1">
      <c r="B1519" s="1360"/>
      <c r="C1519" s="161"/>
      <c r="D1519" s="1142"/>
      <c r="E1519" s="5694" t="s">
        <v>1130</v>
      </c>
      <c r="F1519" s="285" t="s">
        <v>732</v>
      </c>
      <c r="G1519" s="384"/>
      <c r="H1519" s="385"/>
      <c r="I1519" s="613"/>
      <c r="J1519" s="5694" t="s">
        <v>1131</v>
      </c>
      <c r="K1519" s="105" t="s">
        <v>734</v>
      </c>
      <c r="L1519" s="5653" t="str">
        <f>IF(COUNTBLANK(L1520:L1525)&gt;0,"미취합법인有",SUM(L1520:L1525))</f>
        <v>미취합법인有</v>
      </c>
      <c r="M1519" s="5657"/>
      <c r="N1519" s="5654" t="str">
        <f>IF(COUNTBLANK(N1520:N1525)&gt;0,"미취합법인有",SUM(N1520:N1525))</f>
        <v>미취합법인有</v>
      </c>
      <c r="O1519" s="5663"/>
      <c r="P1519" s="5781" t="str">
        <f>IF(COUNTBLANK(P1520:P1525)&gt;0,"미취합법인有",SUM(P1520:P1525))</f>
        <v>미취합법인有</v>
      </c>
      <c r="Q1519" s="785"/>
      <c r="R1519" s="2468" t="s">
        <v>1132</v>
      </c>
      <c r="S1519" s="276" t="s">
        <v>1133</v>
      </c>
      <c r="T1519" s="99" t="s">
        <v>758</v>
      </c>
      <c r="U1519" s="547" t="s">
        <v>800</v>
      </c>
      <c r="V1519" s="547"/>
      <c r="W1519" s="99"/>
      <c r="X1519" s="277" t="s">
        <v>1129</v>
      </c>
      <c r="Y1519" s="277" t="s">
        <v>1121</v>
      </c>
      <c r="Z1519" s="187"/>
      <c r="AA1519" s="6301"/>
      <c r="AB1519" s="139"/>
      <c r="AC1519" s="1377"/>
      <c r="AD1519" s="139"/>
      <c r="AE1519" s="139"/>
      <c r="AF1519" s="139"/>
      <c r="AG1519" s="139"/>
      <c r="AH1519" s="139"/>
      <c r="AI1519" s="139"/>
      <c r="AJ1519" s="139"/>
      <c r="AK1519" s="139"/>
      <c r="AL1519" s="139"/>
      <c r="AM1519" s="139"/>
      <c r="AN1519" s="139"/>
      <c r="AO1519" s="139"/>
      <c r="AP1519" s="139"/>
      <c r="AQ1519" s="139"/>
      <c r="AR1519" s="139"/>
      <c r="AS1519" s="139"/>
      <c r="AT1519" s="139"/>
      <c r="AU1519" s="139"/>
      <c r="AV1519" s="139"/>
      <c r="AW1519" s="139"/>
      <c r="AX1519" s="139"/>
      <c r="AY1519" s="139"/>
      <c r="AZ1519" s="139"/>
      <c r="BA1519" s="139"/>
      <c r="BB1519" s="139"/>
      <c r="BC1519" s="139"/>
      <c r="BD1519" s="139"/>
      <c r="BE1519" s="139"/>
      <c r="BF1519" s="139"/>
      <c r="BG1519" s="139"/>
      <c r="BH1519" s="139"/>
    </row>
    <row r="1520" spans="2:60" s="11" customFormat="1" ht="20.100000000000001" customHeight="1">
      <c r="B1520" s="1360"/>
      <c r="C1520" s="5598"/>
      <c r="D1520" s="5591"/>
      <c r="E1520" s="357" t="s">
        <v>134</v>
      </c>
      <c r="F1520" s="285" t="s">
        <v>732</v>
      </c>
      <c r="G1520" s="666"/>
      <c r="H1520" s="6188"/>
      <c r="I1520" s="367"/>
      <c r="J1520" s="551" t="s">
        <v>431</v>
      </c>
      <c r="K1520" s="105" t="s">
        <v>734</v>
      </c>
      <c r="L1520" s="6198">
        <v>7</v>
      </c>
      <c r="M1520" s="5658"/>
      <c r="N1520" s="1463">
        <v>17</v>
      </c>
      <c r="O1520" s="5667"/>
      <c r="P1520" s="1464">
        <v>14</v>
      </c>
      <c r="Q1520" s="5698"/>
      <c r="R1520" s="2468"/>
      <c r="S1520" s="544"/>
      <c r="T1520" s="545"/>
      <c r="U1520" s="547"/>
      <c r="V1520" s="547"/>
      <c r="W1520" s="545"/>
      <c r="X1520" s="277"/>
      <c r="Y1520" s="277"/>
      <c r="Z1520" s="187"/>
      <c r="AA1520" s="6301"/>
      <c r="AB1520" s="139"/>
      <c r="AC1520" s="139"/>
      <c r="AD1520" s="139"/>
      <c r="AE1520" s="139"/>
      <c r="AF1520" s="139"/>
      <c r="AG1520" s="139"/>
      <c r="AH1520" s="139"/>
      <c r="AI1520" s="139"/>
      <c r="AJ1520" s="139"/>
      <c r="AK1520" s="139"/>
      <c r="AL1520" s="139"/>
      <c r="AM1520" s="139"/>
      <c r="AN1520" s="139"/>
      <c r="AO1520" s="139"/>
      <c r="AP1520" s="139"/>
      <c r="AQ1520" s="139"/>
      <c r="AR1520" s="139"/>
      <c r="AS1520" s="139"/>
      <c r="AT1520" s="139"/>
      <c r="AU1520" s="139"/>
      <c r="AV1520" s="139"/>
      <c r="AW1520" s="139"/>
      <c r="AX1520" s="139"/>
      <c r="AY1520" s="139"/>
      <c r="AZ1520" s="139"/>
      <c r="BA1520" s="139"/>
      <c r="BB1520" s="139"/>
      <c r="BC1520" s="139"/>
      <c r="BD1520" s="139"/>
      <c r="BE1520" s="139"/>
      <c r="BF1520" s="139"/>
      <c r="BG1520" s="139"/>
      <c r="BH1520" s="139"/>
    </row>
    <row r="1521" spans="2:60" s="11" customFormat="1" ht="20.100000000000001" customHeight="1">
      <c r="B1521" s="1360"/>
      <c r="C1521" s="5598"/>
      <c r="D1521" s="5591"/>
      <c r="E1521" s="357" t="s">
        <v>137</v>
      </c>
      <c r="F1521" s="285" t="s">
        <v>732</v>
      </c>
      <c r="G1521" s="666"/>
      <c r="H1521" s="6188"/>
      <c r="I1521" s="367"/>
      <c r="J1521" s="551" t="s">
        <v>449</v>
      </c>
      <c r="K1521" s="105" t="s">
        <v>734</v>
      </c>
      <c r="L1521" s="5594"/>
      <c r="M1521" s="5658"/>
      <c r="N1521" s="5601"/>
      <c r="O1521" s="5667"/>
      <c r="P1521" s="5667">
        <f>'4DPLEX'!AA279</f>
        <v>5</v>
      </c>
      <c r="Q1521" s="5707"/>
      <c r="R1521" s="2468"/>
      <c r="S1521" s="544"/>
      <c r="T1521" s="545"/>
      <c r="U1521" s="547"/>
      <c r="V1521" s="547"/>
      <c r="W1521" s="545"/>
      <c r="X1521" s="277"/>
      <c r="Y1521" s="277"/>
      <c r="Z1521" s="187"/>
      <c r="AA1521" s="6301"/>
      <c r="AB1521" s="139"/>
      <c r="AC1521" s="139"/>
      <c r="AD1521" s="139"/>
      <c r="AE1521" s="139"/>
      <c r="AF1521" s="139"/>
      <c r="AG1521" s="139"/>
      <c r="AH1521" s="139"/>
      <c r="AI1521" s="139"/>
      <c r="AJ1521" s="139"/>
      <c r="AK1521" s="139"/>
      <c r="AL1521" s="139"/>
      <c r="AM1521" s="139"/>
      <c r="AN1521" s="139"/>
      <c r="AO1521" s="139"/>
      <c r="AP1521" s="139"/>
      <c r="AQ1521" s="139"/>
      <c r="AR1521" s="139"/>
      <c r="AS1521" s="139"/>
      <c r="AT1521" s="139"/>
      <c r="AU1521" s="139"/>
      <c r="AV1521" s="139"/>
      <c r="AW1521" s="139"/>
      <c r="AX1521" s="139"/>
      <c r="AY1521" s="139"/>
      <c r="AZ1521" s="139"/>
      <c r="BA1521" s="139"/>
      <c r="BB1521" s="139"/>
      <c r="BC1521" s="139"/>
      <c r="BD1521" s="139"/>
      <c r="BE1521" s="139"/>
      <c r="BF1521" s="139"/>
      <c r="BG1521" s="139"/>
      <c r="BH1521" s="139"/>
    </row>
    <row r="1522" spans="2:60" s="11" customFormat="1" ht="20.100000000000001" customHeight="1">
      <c r="B1522" s="1360"/>
      <c r="C1522" s="161"/>
      <c r="D1522" s="5591"/>
      <c r="E1522" s="357" t="s">
        <v>140</v>
      </c>
      <c r="F1522" s="285" t="s">
        <v>732</v>
      </c>
      <c r="G1522" s="666"/>
      <c r="H1522" s="6188"/>
      <c r="I1522" s="367"/>
      <c r="J1522" s="551" t="s">
        <v>450</v>
      </c>
      <c r="K1522" s="105" t="s">
        <v>734</v>
      </c>
      <c r="L1522" s="5594"/>
      <c r="M1522" s="5658"/>
      <c r="N1522" s="5601"/>
      <c r="O1522" s="5671"/>
      <c r="P1522" s="5672"/>
      <c r="Q1522" s="5678" t="s">
        <v>1123</v>
      </c>
      <c r="R1522" s="2468"/>
      <c r="S1522" s="544"/>
      <c r="T1522" s="545"/>
      <c r="U1522" s="547"/>
      <c r="V1522" s="547"/>
      <c r="W1522" s="545"/>
      <c r="X1522" s="277"/>
      <c r="Y1522" s="277"/>
      <c r="Z1522" s="187"/>
      <c r="AA1522" s="6301"/>
      <c r="AB1522" s="139"/>
      <c r="AC1522" s="1377" t="s">
        <v>1134</v>
      </c>
      <c r="AD1522" s="139"/>
      <c r="AE1522" s="139"/>
      <c r="AF1522" s="139"/>
      <c r="AG1522" s="139"/>
      <c r="AH1522" s="139"/>
      <c r="AI1522" s="139"/>
      <c r="AJ1522" s="139"/>
      <c r="AK1522" s="139"/>
      <c r="AL1522" s="139"/>
      <c r="AM1522" s="139"/>
      <c r="AN1522" s="139"/>
      <c r="AO1522" s="139"/>
      <c r="AP1522" s="139"/>
      <c r="AQ1522" s="139"/>
      <c r="AR1522" s="139"/>
      <c r="AS1522" s="139"/>
      <c r="AT1522" s="139"/>
      <c r="AU1522" s="139"/>
      <c r="AV1522" s="139"/>
      <c r="AW1522" s="139"/>
      <c r="AX1522" s="139"/>
      <c r="AY1522" s="139"/>
      <c r="AZ1522" s="139"/>
      <c r="BA1522" s="139"/>
      <c r="BB1522" s="139"/>
      <c r="BC1522" s="139"/>
      <c r="BD1522" s="139"/>
      <c r="BE1522" s="139"/>
      <c r="BF1522" s="139"/>
      <c r="BG1522" s="139"/>
      <c r="BH1522" s="139"/>
    </row>
    <row r="1523" spans="2:60" s="11" customFormat="1" ht="20.100000000000001" customHeight="1">
      <c r="B1523" s="1360"/>
      <c r="C1523" s="5598"/>
      <c r="D1523" s="5591"/>
      <c r="E1523" s="357" t="s">
        <v>143</v>
      </c>
      <c r="F1523" s="285" t="s">
        <v>732</v>
      </c>
      <c r="G1523" s="666"/>
      <c r="H1523" s="6188"/>
      <c r="I1523" s="367"/>
      <c r="J1523" s="551" t="s">
        <v>451</v>
      </c>
      <c r="K1523" s="105" t="s">
        <v>734</v>
      </c>
      <c r="L1523" s="5594"/>
      <c r="M1523" s="5658"/>
      <c r="N1523" s="5601"/>
      <c r="O1523" s="5658"/>
      <c r="P1523" s="5601"/>
      <c r="Q1523" s="5698"/>
      <c r="R1523" s="2468"/>
      <c r="S1523" s="544"/>
      <c r="T1523" s="545"/>
      <c r="U1523" s="547"/>
      <c r="V1523" s="547"/>
      <c r="W1523" s="545"/>
      <c r="X1523" s="277"/>
      <c r="Y1523" s="277"/>
      <c r="Z1523" s="187"/>
      <c r="AA1523" s="6301"/>
      <c r="AB1523" s="139"/>
      <c r="AC1523" s="1377" t="s">
        <v>1134</v>
      </c>
      <c r="AD1523" s="139"/>
      <c r="AE1523" s="139"/>
      <c r="AF1523" s="139"/>
      <c r="AG1523" s="139"/>
      <c r="AH1523" s="139"/>
      <c r="AI1523" s="139"/>
      <c r="AJ1523" s="139"/>
      <c r="AK1523" s="139"/>
      <c r="AL1523" s="139"/>
      <c r="AM1523" s="139"/>
      <c r="AN1523" s="139"/>
      <c r="AO1523" s="139"/>
      <c r="AP1523" s="139"/>
      <c r="AQ1523" s="139"/>
      <c r="AR1523" s="139"/>
      <c r="AS1523" s="139"/>
      <c r="AT1523" s="139"/>
      <c r="AU1523" s="139"/>
      <c r="AV1523" s="139"/>
      <c r="AW1523" s="139"/>
      <c r="AX1523" s="139"/>
      <c r="AY1523" s="139"/>
      <c r="AZ1523" s="139"/>
      <c r="BA1523" s="139"/>
      <c r="BB1523" s="139"/>
      <c r="BC1523" s="139"/>
      <c r="BD1523" s="139"/>
      <c r="BE1523" s="139"/>
      <c r="BF1523" s="139"/>
      <c r="BG1523" s="139"/>
      <c r="BH1523" s="139"/>
    </row>
    <row r="1524" spans="2:60" s="11" customFormat="1" ht="20.100000000000001" customHeight="1">
      <c r="B1524" s="1360"/>
      <c r="C1524" s="5598"/>
      <c r="D1524" s="5591"/>
      <c r="E1524" s="357" t="s">
        <v>631</v>
      </c>
      <c r="F1524" s="285" t="s">
        <v>732</v>
      </c>
      <c r="G1524" s="666"/>
      <c r="H1524" s="6188"/>
      <c r="I1524" s="367"/>
      <c r="J1524" s="551" t="s">
        <v>452</v>
      </c>
      <c r="K1524" s="105" t="s">
        <v>734</v>
      </c>
      <c r="L1524" s="5592"/>
      <c r="M1524" s="5656"/>
      <c r="N1524" s="5593"/>
      <c r="O1524" s="5593"/>
      <c r="P1524" s="5593"/>
      <c r="Q1524" s="5698"/>
      <c r="R1524" s="2468"/>
      <c r="S1524" s="544"/>
      <c r="T1524" s="545"/>
      <c r="U1524" s="547"/>
      <c r="V1524" s="547"/>
      <c r="W1524" s="545"/>
      <c r="X1524" s="277"/>
      <c r="Y1524" s="277"/>
      <c r="Z1524" s="187"/>
      <c r="AA1524" s="6301"/>
      <c r="AB1524" s="139"/>
      <c r="AC1524" s="1377" t="s">
        <v>1135</v>
      </c>
      <c r="AD1524" s="139"/>
      <c r="AE1524" s="139"/>
      <c r="AF1524" s="139"/>
      <c r="AG1524" s="139"/>
      <c r="AH1524" s="139"/>
      <c r="AI1524" s="139"/>
      <c r="AJ1524" s="139"/>
      <c r="AK1524" s="139"/>
      <c r="AL1524" s="139"/>
      <c r="AM1524" s="139"/>
      <c r="AN1524" s="139"/>
      <c r="AO1524" s="139"/>
      <c r="AP1524" s="139"/>
      <c r="AQ1524" s="139"/>
      <c r="AR1524" s="139"/>
      <c r="AS1524" s="139"/>
      <c r="AT1524" s="139"/>
      <c r="AU1524" s="139"/>
      <c r="AV1524" s="139"/>
      <c r="AW1524" s="139"/>
      <c r="AX1524" s="139"/>
      <c r="AY1524" s="139"/>
      <c r="AZ1524" s="139"/>
      <c r="BA1524" s="139"/>
      <c r="BB1524" s="139"/>
      <c r="BC1524" s="139"/>
      <c r="BD1524" s="139"/>
      <c r="BE1524" s="139"/>
      <c r="BF1524" s="139"/>
      <c r="BG1524" s="139"/>
      <c r="BH1524" s="139"/>
    </row>
    <row r="1525" spans="2:60" s="11" customFormat="1" ht="20.100000000000001" customHeight="1">
      <c r="B1525" s="1360"/>
      <c r="C1525" s="161"/>
      <c r="D1525" s="5591"/>
      <c r="E1525" s="357" t="s">
        <v>633</v>
      </c>
      <c r="F1525" s="285" t="s">
        <v>732</v>
      </c>
      <c r="G1525" s="666"/>
      <c r="H1525" s="6188"/>
      <c r="I1525" s="367"/>
      <c r="J1525" s="551" t="s">
        <v>453</v>
      </c>
      <c r="K1525" s="105" t="s">
        <v>734</v>
      </c>
      <c r="L1525" s="5594"/>
      <c r="M1525" s="5658"/>
      <c r="N1525" s="5601"/>
      <c r="O1525" s="5667"/>
      <c r="P1525" s="5602"/>
      <c r="Q1525" s="5698"/>
      <c r="R1525" s="2468"/>
      <c r="S1525" s="544"/>
      <c r="T1525" s="545"/>
      <c r="U1525" s="547"/>
      <c r="V1525" s="547"/>
      <c r="W1525" s="545"/>
      <c r="X1525" s="277"/>
      <c r="Y1525" s="277"/>
      <c r="Z1525" s="187"/>
      <c r="AA1525" s="6301"/>
      <c r="AB1525" s="139"/>
      <c r="AC1525" s="1377" t="s">
        <v>1135</v>
      </c>
      <c r="AD1525" s="139"/>
      <c r="AE1525" s="139"/>
      <c r="AF1525" s="139"/>
      <c r="AG1525" s="139"/>
      <c r="AH1525" s="139"/>
      <c r="AI1525" s="139"/>
      <c r="AJ1525" s="139"/>
      <c r="AK1525" s="139"/>
      <c r="AL1525" s="139"/>
      <c r="AM1525" s="139"/>
      <c r="AN1525" s="139"/>
      <c r="AO1525" s="139"/>
      <c r="AP1525" s="139"/>
      <c r="AQ1525" s="139"/>
      <c r="AR1525" s="139"/>
      <c r="AS1525" s="139"/>
      <c r="AT1525" s="139"/>
      <c r="AU1525" s="139"/>
      <c r="AV1525" s="139"/>
      <c r="AW1525" s="139"/>
      <c r="AX1525" s="139"/>
      <c r="AY1525" s="139"/>
      <c r="AZ1525" s="139"/>
      <c r="BA1525" s="139"/>
      <c r="BB1525" s="139"/>
      <c r="BC1525" s="139"/>
      <c r="BD1525" s="139"/>
      <c r="BE1525" s="139"/>
      <c r="BF1525" s="139"/>
      <c r="BG1525" s="139"/>
      <c r="BH1525" s="139"/>
    </row>
    <row r="1526" spans="2:60" s="11" customFormat="1" ht="19.350000000000001" customHeight="1">
      <c r="B1526" s="1360"/>
      <c r="C1526" s="5598"/>
      <c r="D1526" s="280"/>
      <c r="E1526" s="5694" t="s">
        <v>1136</v>
      </c>
      <c r="F1526" s="285" t="s">
        <v>732</v>
      </c>
      <c r="G1526" s="358"/>
      <c r="H1526" s="643"/>
      <c r="I1526" s="613"/>
      <c r="J1526" s="5694" t="s">
        <v>1137</v>
      </c>
      <c r="K1526" s="105" t="s">
        <v>734</v>
      </c>
      <c r="L1526" s="5653" t="str">
        <f>IF(COUNTBLANK(L1527:L1532)&gt;0,"미취합법인有",SUM(L1527:L1532))</f>
        <v>미취합법인有</v>
      </c>
      <c r="M1526" s="5657"/>
      <c r="N1526" s="5654" t="str">
        <f>IF(COUNTBLANK(N1527:N1532)&gt;0,"미취합법인有",SUM(N1527:N1532))</f>
        <v>미취합법인有</v>
      </c>
      <c r="O1526" s="5945"/>
      <c r="P1526" s="5781" t="str">
        <f>IF(COUNTBLANK(P1527:P1532)&gt;0,"미취합법인有",SUM(P1527:P1532))</f>
        <v>미취합법인有</v>
      </c>
      <c r="Q1526" s="785"/>
      <c r="R1526" s="2468" t="s">
        <v>1132</v>
      </c>
      <c r="S1526" s="276" t="s">
        <v>1133</v>
      </c>
      <c r="T1526" s="99" t="s">
        <v>758</v>
      </c>
      <c r="U1526" s="547" t="s">
        <v>800</v>
      </c>
      <c r="V1526" s="547"/>
      <c r="W1526" s="99"/>
      <c r="X1526" s="896" t="s">
        <v>1129</v>
      </c>
      <c r="Y1526" s="896" t="s">
        <v>1121</v>
      </c>
      <c r="Z1526" s="187"/>
      <c r="AA1526" s="6301"/>
      <c r="AB1526" s="139"/>
      <c r="AC1526" s="139"/>
      <c r="AD1526" s="139"/>
      <c r="AE1526" s="139"/>
      <c r="AF1526" s="139"/>
      <c r="AG1526" s="139"/>
      <c r="AH1526" s="139"/>
      <c r="AI1526" s="139"/>
      <c r="AJ1526" s="139"/>
      <c r="AK1526" s="139"/>
      <c r="AL1526" s="139"/>
      <c r="AM1526" s="139"/>
      <c r="AN1526" s="139"/>
      <c r="AO1526" s="139"/>
      <c r="AP1526" s="139"/>
      <c r="AQ1526" s="139"/>
      <c r="AR1526" s="139"/>
      <c r="AS1526" s="139"/>
      <c r="AT1526" s="139"/>
      <c r="AU1526" s="139"/>
      <c r="AV1526" s="139"/>
      <c r="AW1526" s="139"/>
      <c r="AX1526" s="139"/>
      <c r="AY1526" s="139"/>
      <c r="AZ1526" s="139"/>
      <c r="BA1526" s="139"/>
      <c r="BB1526" s="139"/>
      <c r="BC1526" s="139"/>
      <c r="BD1526" s="139"/>
      <c r="BE1526" s="139"/>
      <c r="BF1526" s="139"/>
      <c r="BG1526" s="139"/>
      <c r="BH1526" s="139"/>
    </row>
    <row r="1527" spans="2:60" s="11" customFormat="1" ht="20.100000000000001" customHeight="1">
      <c r="B1527" s="1360"/>
      <c r="C1527" s="5598"/>
      <c r="D1527" s="5591"/>
      <c r="E1527" s="357" t="s">
        <v>134</v>
      </c>
      <c r="F1527" s="285" t="s">
        <v>732</v>
      </c>
      <c r="G1527" s="666"/>
      <c r="H1527" s="6188"/>
      <c r="I1527" s="367"/>
      <c r="J1527" s="551" t="s">
        <v>431</v>
      </c>
      <c r="K1527" s="105" t="s">
        <v>734</v>
      </c>
      <c r="L1527" s="5594">
        <v>35</v>
      </c>
      <c r="M1527" s="5671"/>
      <c r="N1527" s="5724">
        <v>38</v>
      </c>
      <c r="O1527" s="5680" t="s">
        <v>1138</v>
      </c>
      <c r="P1527" s="5725">
        <v>46</v>
      </c>
      <c r="Q1527" s="5729"/>
      <c r="R1527" s="2468"/>
      <c r="S1527" s="544"/>
      <c r="T1527" s="545"/>
      <c r="U1527" s="547"/>
      <c r="V1527" s="547"/>
      <c r="W1527" s="545"/>
      <c r="X1527" s="277"/>
      <c r="Y1527" s="277"/>
      <c r="Z1527" s="187"/>
      <c r="AA1527" s="6301"/>
      <c r="AB1527" s="139"/>
      <c r="AC1527" s="139"/>
      <c r="AD1527" s="139"/>
      <c r="AE1527" s="139"/>
      <c r="AF1527" s="139"/>
      <c r="AG1527" s="139"/>
      <c r="AH1527" s="139"/>
      <c r="AI1527" s="139"/>
      <c r="AJ1527" s="139"/>
      <c r="AK1527" s="139"/>
      <c r="AL1527" s="139"/>
      <c r="AM1527" s="139"/>
      <c r="AN1527" s="139"/>
      <c r="AO1527" s="139"/>
      <c r="AP1527" s="139"/>
      <c r="AQ1527" s="139"/>
      <c r="AR1527" s="139"/>
      <c r="AS1527" s="139"/>
      <c r="AT1527" s="139"/>
      <c r="AU1527" s="139"/>
      <c r="AV1527" s="139"/>
      <c r="AW1527" s="139"/>
      <c r="AX1527" s="139"/>
      <c r="AY1527" s="139"/>
      <c r="AZ1527" s="139"/>
      <c r="BA1527" s="139"/>
      <c r="BB1527" s="139"/>
      <c r="BC1527" s="139"/>
      <c r="BD1527" s="139"/>
      <c r="BE1527" s="139"/>
      <c r="BF1527" s="139"/>
      <c r="BG1527" s="139"/>
      <c r="BH1527" s="139"/>
    </row>
    <row r="1528" spans="2:60" s="11" customFormat="1" ht="20.100000000000001" customHeight="1">
      <c r="B1528" s="1360"/>
      <c r="C1528" s="161"/>
      <c r="D1528" s="5591"/>
      <c r="E1528" s="357" t="s">
        <v>137</v>
      </c>
      <c r="F1528" s="285" t="s">
        <v>732</v>
      </c>
      <c r="G1528" s="666"/>
      <c r="H1528" s="6188"/>
      <c r="I1528" s="367"/>
      <c r="J1528" s="551" t="s">
        <v>449</v>
      </c>
      <c r="K1528" s="105" t="s">
        <v>734</v>
      </c>
      <c r="L1528" s="5594"/>
      <c r="M1528" s="5671"/>
      <c r="N1528" s="5724"/>
      <c r="O1528" s="5680"/>
      <c r="P1528" s="5725">
        <f>'4DPLEX'!AA280</f>
        <v>1</v>
      </c>
      <c r="Q1528" s="5730"/>
      <c r="R1528" s="2468"/>
      <c r="S1528" s="544"/>
      <c r="T1528" s="545"/>
      <c r="U1528" s="547"/>
      <c r="V1528" s="547"/>
      <c r="W1528" s="545"/>
      <c r="X1528" s="277"/>
      <c r="Y1528" s="277"/>
      <c r="Z1528" s="187"/>
      <c r="AA1528" s="6301"/>
      <c r="AB1528" s="139"/>
      <c r="AC1528" s="139"/>
      <c r="AD1528" s="139"/>
      <c r="AE1528" s="139"/>
      <c r="AF1528" s="139"/>
      <c r="AG1528" s="139"/>
      <c r="AH1528" s="139"/>
      <c r="AI1528" s="139"/>
      <c r="AJ1528" s="139"/>
      <c r="AK1528" s="139"/>
      <c r="AL1528" s="139"/>
      <c r="AM1528" s="139"/>
      <c r="AN1528" s="139"/>
      <c r="AO1528" s="139"/>
      <c r="AP1528" s="139"/>
      <c r="AQ1528" s="139"/>
      <c r="AR1528" s="139"/>
      <c r="AS1528" s="139"/>
      <c r="AT1528" s="139"/>
      <c r="AU1528" s="139"/>
      <c r="AV1528" s="139"/>
      <c r="AW1528" s="139"/>
      <c r="AX1528" s="139"/>
      <c r="AY1528" s="139"/>
      <c r="AZ1528" s="139"/>
      <c r="BA1528" s="139"/>
      <c r="BB1528" s="139"/>
      <c r="BC1528" s="139"/>
      <c r="BD1528" s="139"/>
      <c r="BE1528" s="139"/>
      <c r="BF1528" s="139"/>
      <c r="BG1528" s="139"/>
      <c r="BH1528" s="139"/>
    </row>
    <row r="1529" spans="2:60" s="11" customFormat="1" ht="20.100000000000001" customHeight="1">
      <c r="B1529" s="1360"/>
      <c r="C1529" s="5598"/>
      <c r="D1529" s="5591"/>
      <c r="E1529" s="357" t="s">
        <v>140</v>
      </c>
      <c r="F1529" s="285" t="s">
        <v>732</v>
      </c>
      <c r="G1529" s="666"/>
      <c r="H1529" s="6188"/>
      <c r="I1529" s="367"/>
      <c r="J1529" s="551" t="s">
        <v>450</v>
      </c>
      <c r="K1529" s="105" t="s">
        <v>734</v>
      </c>
      <c r="L1529" s="5594"/>
      <c r="M1529" s="5671"/>
      <c r="N1529" s="5724"/>
      <c r="O1529" s="5680"/>
      <c r="P1529" s="5868"/>
      <c r="Q1529" s="5729"/>
      <c r="R1529" s="2468"/>
      <c r="S1529" s="544"/>
      <c r="T1529" s="545"/>
      <c r="U1529" s="547"/>
      <c r="V1529" s="547"/>
      <c r="W1529" s="545"/>
      <c r="X1529" s="277"/>
      <c r="Y1529" s="277"/>
      <c r="Z1529" s="187"/>
      <c r="AA1529" s="6301"/>
      <c r="AB1529" s="139"/>
      <c r="AC1529" s="1377" t="s">
        <v>1134</v>
      </c>
      <c r="AD1529" s="139"/>
      <c r="AE1529" s="139"/>
      <c r="AF1529" s="139"/>
      <c r="AG1529" s="139"/>
      <c r="AH1529" s="139"/>
      <c r="AI1529" s="139"/>
      <c r="AJ1529" s="139"/>
      <c r="AK1529" s="139"/>
      <c r="AL1529" s="139"/>
      <c r="AM1529" s="139"/>
      <c r="AN1529" s="139"/>
      <c r="AO1529" s="139"/>
      <c r="AP1529" s="139"/>
      <c r="AQ1529" s="139"/>
      <c r="AR1529" s="139"/>
      <c r="AS1529" s="139"/>
      <c r="AT1529" s="139"/>
      <c r="AU1529" s="139"/>
      <c r="AV1529" s="139"/>
      <c r="AW1529" s="139"/>
      <c r="AX1529" s="139"/>
      <c r="AY1529" s="139"/>
      <c r="AZ1529" s="139"/>
      <c r="BA1529" s="139"/>
      <c r="BB1529" s="139"/>
      <c r="BC1529" s="139"/>
      <c r="BD1529" s="139"/>
      <c r="BE1529" s="139"/>
      <c r="BF1529" s="139"/>
      <c r="BG1529" s="139"/>
      <c r="BH1529" s="139"/>
    </row>
    <row r="1530" spans="2:60" s="11" customFormat="1" ht="20.100000000000001" customHeight="1">
      <c r="B1530" s="1360"/>
      <c r="C1530" s="5598"/>
      <c r="D1530" s="5591"/>
      <c r="E1530" s="357" t="s">
        <v>143</v>
      </c>
      <c r="F1530" s="285" t="s">
        <v>732</v>
      </c>
      <c r="G1530" s="666"/>
      <c r="H1530" s="6188"/>
      <c r="I1530" s="367"/>
      <c r="J1530" s="551" t="s">
        <v>451</v>
      </c>
      <c r="K1530" s="105" t="s">
        <v>734</v>
      </c>
      <c r="L1530" s="5594"/>
      <c r="M1530" s="5671"/>
      <c r="N1530" s="5724"/>
      <c r="O1530" s="5671"/>
      <c r="P1530" s="5724"/>
      <c r="Q1530" s="5729"/>
      <c r="R1530" s="2468"/>
      <c r="S1530" s="544"/>
      <c r="T1530" s="545"/>
      <c r="U1530" s="547"/>
      <c r="V1530" s="547"/>
      <c r="W1530" s="545"/>
      <c r="X1530" s="277"/>
      <c r="Y1530" s="277"/>
      <c r="Z1530" s="187"/>
      <c r="AA1530" s="6301"/>
      <c r="AB1530" s="139"/>
      <c r="AC1530" s="1377" t="s">
        <v>1134</v>
      </c>
      <c r="AD1530" s="139"/>
      <c r="AE1530" s="139"/>
      <c r="AF1530" s="139"/>
      <c r="AG1530" s="139"/>
      <c r="AH1530" s="139"/>
      <c r="AI1530" s="139"/>
      <c r="AJ1530" s="139"/>
      <c r="AK1530" s="139"/>
      <c r="AL1530" s="139"/>
      <c r="AM1530" s="139"/>
      <c r="AN1530" s="139"/>
      <c r="AO1530" s="139"/>
      <c r="AP1530" s="139"/>
      <c r="AQ1530" s="139"/>
      <c r="AR1530" s="139"/>
      <c r="AS1530" s="139"/>
      <c r="AT1530" s="139"/>
      <c r="AU1530" s="139"/>
      <c r="AV1530" s="139"/>
      <c r="AW1530" s="139"/>
      <c r="AX1530" s="139"/>
      <c r="AY1530" s="139"/>
      <c r="AZ1530" s="139"/>
      <c r="BA1530" s="139"/>
      <c r="BB1530" s="139"/>
      <c r="BC1530" s="139"/>
      <c r="BD1530" s="139"/>
      <c r="BE1530" s="139"/>
      <c r="BF1530" s="139"/>
      <c r="BG1530" s="139"/>
      <c r="BH1530" s="139"/>
    </row>
    <row r="1531" spans="2:60" s="11" customFormat="1" ht="20.100000000000001" customHeight="1">
      <c r="B1531" s="1360"/>
      <c r="C1531" s="161"/>
      <c r="D1531" s="5591"/>
      <c r="E1531" s="357" t="s">
        <v>631</v>
      </c>
      <c r="F1531" s="285" t="s">
        <v>732</v>
      </c>
      <c r="G1531" s="666"/>
      <c r="H1531" s="6188"/>
      <c r="I1531" s="367"/>
      <c r="J1531" s="551" t="s">
        <v>452</v>
      </c>
      <c r="K1531" s="105" t="s">
        <v>734</v>
      </c>
      <c r="L1531" s="5592"/>
      <c r="M1531" s="5674"/>
      <c r="N1531" s="5678"/>
      <c r="O1531" s="5678"/>
      <c r="P1531" s="5678"/>
      <c r="Q1531" s="5729"/>
      <c r="R1531" s="2468"/>
      <c r="S1531" s="544"/>
      <c r="T1531" s="545"/>
      <c r="U1531" s="547"/>
      <c r="V1531" s="547"/>
      <c r="W1531" s="545"/>
      <c r="X1531" s="277"/>
      <c r="Y1531" s="277"/>
      <c r="Z1531" s="187"/>
      <c r="AA1531" s="6301"/>
      <c r="AB1531" s="139"/>
      <c r="AC1531" s="1377" t="s">
        <v>1135</v>
      </c>
      <c r="AD1531" s="139"/>
      <c r="AE1531" s="139"/>
      <c r="AF1531" s="139"/>
      <c r="AG1531" s="139"/>
      <c r="AH1531" s="139"/>
      <c r="AI1531" s="139"/>
      <c r="AJ1531" s="139"/>
      <c r="AK1531" s="139"/>
      <c r="AL1531" s="139"/>
      <c r="AM1531" s="139"/>
      <c r="AN1531" s="139"/>
      <c r="AO1531" s="139"/>
      <c r="AP1531" s="139"/>
      <c r="AQ1531" s="139"/>
      <c r="AR1531" s="139"/>
      <c r="AS1531" s="139"/>
      <c r="AT1531" s="139"/>
      <c r="AU1531" s="139"/>
      <c r="AV1531" s="139"/>
      <c r="AW1531" s="139"/>
      <c r="AX1531" s="139"/>
      <c r="AY1531" s="139"/>
      <c r="AZ1531" s="139"/>
      <c r="BA1531" s="139"/>
      <c r="BB1531" s="139"/>
      <c r="BC1531" s="139"/>
      <c r="BD1531" s="139"/>
      <c r="BE1531" s="139"/>
      <c r="BF1531" s="139"/>
      <c r="BG1531" s="139"/>
      <c r="BH1531" s="139"/>
    </row>
    <row r="1532" spans="2:60" s="11" customFormat="1" ht="20.100000000000001" customHeight="1">
      <c r="B1532" s="1360"/>
      <c r="C1532" s="5598"/>
      <c r="D1532" s="5591"/>
      <c r="E1532" s="357" t="s">
        <v>633</v>
      </c>
      <c r="F1532" s="285" t="s">
        <v>732</v>
      </c>
      <c r="G1532" s="666"/>
      <c r="H1532" s="684"/>
      <c r="I1532" s="1164"/>
      <c r="J1532" s="551" t="s">
        <v>453</v>
      </c>
      <c r="K1532" s="105" t="s">
        <v>734</v>
      </c>
      <c r="L1532" s="5594"/>
      <c r="M1532" s="5671"/>
      <c r="N1532" s="5724"/>
      <c r="O1532" s="5680"/>
      <c r="P1532" s="5725"/>
      <c r="Q1532" s="5729"/>
      <c r="R1532" s="2468"/>
      <c r="S1532" s="544"/>
      <c r="T1532" s="545"/>
      <c r="U1532" s="547"/>
      <c r="V1532" s="547"/>
      <c r="W1532" s="545"/>
      <c r="X1532" s="277"/>
      <c r="Y1532" s="277"/>
      <c r="Z1532" s="187"/>
      <c r="AA1532" s="6301"/>
      <c r="AB1532" s="139"/>
      <c r="AC1532" s="1377" t="s">
        <v>1135</v>
      </c>
      <c r="AD1532" s="139"/>
      <c r="AE1532" s="139"/>
      <c r="AF1532" s="139"/>
      <c r="AG1532" s="139"/>
      <c r="AH1532" s="139"/>
      <c r="AI1532" s="139"/>
      <c r="AJ1532" s="139"/>
      <c r="AK1532" s="139"/>
      <c r="AL1532" s="139"/>
      <c r="AM1532" s="139"/>
      <c r="AN1532" s="139"/>
      <c r="AO1532" s="139"/>
      <c r="AP1532" s="139"/>
      <c r="AQ1532" s="139"/>
      <c r="AR1532" s="139"/>
      <c r="AS1532" s="139"/>
      <c r="AT1532" s="139"/>
      <c r="AU1532" s="139"/>
      <c r="AV1532" s="139"/>
      <c r="AW1532" s="139"/>
      <c r="AX1532" s="139"/>
      <c r="AY1532" s="139"/>
      <c r="AZ1532" s="139"/>
      <c r="BA1532" s="139"/>
      <c r="BB1532" s="139"/>
      <c r="BC1532" s="139"/>
      <c r="BD1532" s="139"/>
      <c r="BE1532" s="139"/>
      <c r="BF1532" s="139"/>
      <c r="BG1532" s="139"/>
      <c r="BH1532" s="139"/>
    </row>
    <row r="1533" spans="2:60" s="11" customFormat="1" ht="19.350000000000001" customHeight="1">
      <c r="B1533" s="1360"/>
      <c r="C1533" s="5598"/>
      <c r="D1533" s="9584" t="s">
        <v>1139</v>
      </c>
      <c r="E1533" s="9585"/>
      <c r="F1533" s="285" t="s">
        <v>154</v>
      </c>
      <c r="G1533" s="358"/>
      <c r="H1533" s="643"/>
      <c r="I1533" s="9584" t="s">
        <v>1140</v>
      </c>
      <c r="J1533" s="9585"/>
      <c r="K1533" s="105" t="s">
        <v>154</v>
      </c>
      <c r="L1533" s="5968" t="str">
        <f>IF(COUNTBLANK(L1534:L1539)&gt;0,"미취합법인有",AVERAGE(L1534:L1539))</f>
        <v>미취합법인有</v>
      </c>
      <c r="M1533" s="5657"/>
      <c r="N1533" s="5654" t="str">
        <f>IF(COUNTBLANK(N1534:N1539)&gt;0,"미취합법인有",AVERAGE(N1534:N1539))</f>
        <v>미취합법인有</v>
      </c>
      <c r="O1533" s="5945"/>
      <c r="P1533" s="5781" t="str">
        <f>IF(COUNTBLANK(P1534:P1539)&gt;0,"미취합법인有",AVERAGE(P1534:P1539))</f>
        <v>미취합법인有</v>
      </c>
      <c r="Q1533" s="785"/>
      <c r="R1533" s="2468" t="s">
        <v>1141</v>
      </c>
      <c r="S1533" s="276" t="s">
        <v>1142</v>
      </c>
      <c r="T1533" s="99" t="s">
        <v>758</v>
      </c>
      <c r="U1533" s="547" t="s">
        <v>800</v>
      </c>
      <c r="V1533" s="547"/>
      <c r="W1533" s="99"/>
      <c r="X1533" s="896" t="s">
        <v>1143</v>
      </c>
      <c r="Y1533" s="896" t="s">
        <v>1121</v>
      </c>
      <c r="Z1533" s="187"/>
      <c r="AA1533" s="6301"/>
      <c r="AB1533" s="139"/>
      <c r="AC1533" s="139"/>
      <c r="AD1533" s="139"/>
      <c r="AE1533" s="139"/>
      <c r="AF1533" s="139"/>
      <c r="AG1533" s="139"/>
      <c r="AH1533" s="139"/>
      <c r="AI1533" s="139"/>
      <c r="AJ1533" s="139"/>
      <c r="AK1533" s="139"/>
      <c r="AL1533" s="139"/>
      <c r="AM1533" s="139"/>
      <c r="AN1533" s="139"/>
      <c r="AO1533" s="139"/>
      <c r="AP1533" s="139"/>
      <c r="AQ1533" s="139"/>
      <c r="AR1533" s="139"/>
      <c r="AS1533" s="139"/>
      <c r="AT1533" s="139"/>
      <c r="AU1533" s="139"/>
      <c r="AV1533" s="139"/>
      <c r="AW1533" s="139"/>
      <c r="AX1533" s="139"/>
      <c r="AY1533" s="139"/>
      <c r="AZ1533" s="139"/>
      <c r="BA1533" s="139"/>
      <c r="BB1533" s="139"/>
      <c r="BC1533" s="139"/>
      <c r="BD1533" s="139"/>
      <c r="BE1533" s="139"/>
      <c r="BF1533" s="139"/>
      <c r="BG1533" s="139"/>
      <c r="BH1533" s="139"/>
    </row>
    <row r="1534" spans="2:60" s="11" customFormat="1" ht="20.100000000000001" customHeight="1">
      <c r="B1534" s="1360"/>
      <c r="C1534" s="161"/>
      <c r="D1534" s="9598" t="s">
        <v>134</v>
      </c>
      <c r="E1534" s="9600"/>
      <c r="F1534" s="285" t="s">
        <v>156</v>
      </c>
      <c r="G1534" s="666"/>
      <c r="H1534" s="684"/>
      <c r="I1534" s="9579" t="s">
        <v>135</v>
      </c>
      <c r="J1534" s="9581"/>
      <c r="K1534" s="105" t="s">
        <v>154</v>
      </c>
      <c r="L1534" s="5714">
        <v>100</v>
      </c>
      <c r="M1534" s="5718"/>
      <c r="N1534" s="5859">
        <v>82.35294117647058</v>
      </c>
      <c r="O1534" s="5716" t="s">
        <v>1138</v>
      </c>
      <c r="P1534" s="5864">
        <v>71.428571428571431</v>
      </c>
      <c r="Q1534" s="5729" t="s">
        <v>1144</v>
      </c>
      <c r="R1534" s="2468"/>
      <c r="S1534" s="544"/>
      <c r="T1534" s="545"/>
      <c r="U1534" s="546"/>
      <c r="V1534" s="547"/>
      <c r="W1534" s="548"/>
      <c r="X1534" s="277"/>
      <c r="Y1534" s="277"/>
      <c r="Z1534" s="187"/>
      <c r="AA1534" s="6301"/>
      <c r="AB1534" s="139"/>
      <c r="AC1534" s="139"/>
      <c r="AD1534" s="139"/>
      <c r="AE1534" s="139"/>
      <c r="AF1534" s="139"/>
      <c r="AG1534" s="139"/>
      <c r="AH1534" s="139"/>
      <c r="AI1534" s="139"/>
      <c r="AJ1534" s="139"/>
      <c r="AK1534" s="139"/>
      <c r="AL1534" s="139"/>
      <c r="AM1534" s="139"/>
      <c r="AN1534" s="139"/>
      <c r="AO1534" s="139"/>
      <c r="AP1534" s="139"/>
      <c r="AQ1534" s="139"/>
      <c r="AR1534" s="139"/>
      <c r="AS1534" s="139"/>
      <c r="AT1534" s="139"/>
      <c r="AU1534" s="139"/>
      <c r="AV1534" s="139"/>
      <c r="AW1534" s="139"/>
      <c r="AX1534" s="139"/>
      <c r="AY1534" s="139"/>
      <c r="AZ1534" s="139"/>
      <c r="BA1534" s="139"/>
      <c r="BB1534" s="139"/>
      <c r="BC1534" s="139"/>
      <c r="BD1534" s="139"/>
      <c r="BE1534" s="139"/>
      <c r="BF1534" s="139"/>
      <c r="BG1534" s="139"/>
      <c r="BH1534" s="139"/>
    </row>
    <row r="1535" spans="2:60" s="11" customFormat="1" ht="20.100000000000001" customHeight="1">
      <c r="B1535" s="1360"/>
      <c r="C1535" s="5598"/>
      <c r="D1535" s="9598" t="s">
        <v>137</v>
      </c>
      <c r="E1535" s="9600"/>
      <c r="F1535" s="285" t="s">
        <v>156</v>
      </c>
      <c r="G1535" s="666"/>
      <c r="H1535" s="684"/>
      <c r="I1535" s="9579" t="s">
        <v>138</v>
      </c>
      <c r="J1535" s="9581"/>
      <c r="K1535" s="105" t="s">
        <v>154</v>
      </c>
      <c r="L1535" s="5705"/>
      <c r="M1535" s="5719"/>
      <c r="N1535" s="5730"/>
      <c r="O1535" s="5720"/>
      <c r="P1535" s="5856"/>
      <c r="Q1535" s="5730"/>
      <c r="R1535" s="2468"/>
      <c r="S1535" s="544"/>
      <c r="T1535" s="545"/>
      <c r="U1535" s="546"/>
      <c r="V1535" s="547"/>
      <c r="W1535" s="548"/>
      <c r="X1535" s="277"/>
      <c r="Y1535" s="277"/>
      <c r="Z1535" s="187"/>
      <c r="AA1535" s="6301"/>
      <c r="AB1535" s="139"/>
      <c r="AC1535" s="139"/>
      <c r="AD1535" s="139"/>
      <c r="AE1535" s="139"/>
      <c r="AF1535" s="139"/>
      <c r="AG1535" s="139"/>
      <c r="AH1535" s="139"/>
      <c r="AI1535" s="139"/>
      <c r="AJ1535" s="139"/>
      <c r="AK1535" s="139"/>
      <c r="AL1535" s="139"/>
      <c r="AM1535" s="139"/>
      <c r="AN1535" s="139"/>
      <c r="AO1535" s="139"/>
      <c r="AP1535" s="139"/>
      <c r="AQ1535" s="139"/>
      <c r="AR1535" s="139"/>
      <c r="AS1535" s="139"/>
      <c r="AT1535" s="139"/>
      <c r="AU1535" s="139"/>
      <c r="AV1535" s="139"/>
      <c r="AW1535" s="139"/>
      <c r="AX1535" s="139"/>
      <c r="AY1535" s="139"/>
      <c r="AZ1535" s="139"/>
      <c r="BA1535" s="139"/>
      <c r="BB1535" s="139"/>
      <c r="BC1535" s="139"/>
      <c r="BD1535" s="139"/>
      <c r="BE1535" s="139"/>
      <c r="BF1535" s="139"/>
      <c r="BG1535" s="139"/>
      <c r="BH1535" s="139"/>
    </row>
    <row r="1536" spans="2:60" s="11" customFormat="1" ht="20.100000000000001" customHeight="1">
      <c r="B1536" s="1360"/>
      <c r="C1536" s="5598"/>
      <c r="D1536" s="9598" t="s">
        <v>140</v>
      </c>
      <c r="E1536" s="9600"/>
      <c r="F1536" s="285" t="s">
        <v>156</v>
      </c>
      <c r="G1536" s="666"/>
      <c r="H1536" s="684"/>
      <c r="I1536" s="9582" t="s">
        <v>141</v>
      </c>
      <c r="J1536" s="9583"/>
      <c r="K1536" s="105" t="s">
        <v>154</v>
      </c>
      <c r="L1536" s="5696"/>
      <c r="M1536" s="5718"/>
      <c r="N1536" s="5729"/>
      <c r="O1536" s="5716"/>
      <c r="P1536" s="5855"/>
      <c r="Q1536" s="5678" t="s">
        <v>1123</v>
      </c>
      <c r="R1536" s="2468"/>
      <c r="S1536" s="544"/>
      <c r="T1536" s="545"/>
      <c r="U1536" s="546"/>
      <c r="V1536" s="547"/>
      <c r="W1536" s="548"/>
      <c r="X1536" s="277"/>
      <c r="Y1536" s="277"/>
      <c r="Z1536" s="187"/>
      <c r="AA1536" s="6301"/>
      <c r="AB1536" s="139"/>
      <c r="AC1536" s="1377" t="s">
        <v>1145</v>
      </c>
      <c r="AD1536" s="139"/>
      <c r="AE1536" s="139"/>
      <c r="AF1536" s="139"/>
      <c r="AG1536" s="139"/>
      <c r="AH1536" s="139"/>
      <c r="AI1536" s="139"/>
      <c r="AJ1536" s="139"/>
      <c r="AK1536" s="139"/>
      <c r="AL1536" s="139"/>
      <c r="AM1536" s="139"/>
      <c r="AN1536" s="139"/>
      <c r="AO1536" s="139"/>
      <c r="AP1536" s="139"/>
      <c r="AQ1536" s="139"/>
      <c r="AR1536" s="139"/>
      <c r="AS1536" s="139"/>
      <c r="AT1536" s="139"/>
      <c r="AU1536" s="139"/>
      <c r="AV1536" s="139"/>
      <c r="AW1536" s="139"/>
      <c r="AX1536" s="139"/>
      <c r="AY1536" s="139"/>
      <c r="AZ1536" s="139"/>
      <c r="BA1536" s="139"/>
      <c r="BB1536" s="139"/>
      <c r="BC1536" s="139"/>
      <c r="BD1536" s="139"/>
      <c r="BE1536" s="139"/>
      <c r="BF1536" s="139"/>
      <c r="BG1536" s="139"/>
      <c r="BH1536" s="139"/>
    </row>
    <row r="1537" spans="2:60" s="11" customFormat="1" ht="20.100000000000001" customHeight="1">
      <c r="B1537" s="1360"/>
      <c r="C1537" s="161"/>
      <c r="D1537" s="9598" t="s">
        <v>143</v>
      </c>
      <c r="E1537" s="9600"/>
      <c r="F1537" s="285" t="s">
        <v>156</v>
      </c>
      <c r="G1537" s="666"/>
      <c r="H1537" s="684"/>
      <c r="I1537" s="9582" t="s">
        <v>144</v>
      </c>
      <c r="J1537" s="9583"/>
      <c r="K1537" s="105" t="s">
        <v>154</v>
      </c>
      <c r="L1537" s="5696"/>
      <c r="M1537" s="5718"/>
      <c r="N1537" s="5729"/>
      <c r="O1537" s="5716"/>
      <c r="P1537" s="5855"/>
      <c r="Q1537" s="5729"/>
      <c r="R1537" s="2468"/>
      <c r="S1537" s="544"/>
      <c r="T1537" s="545"/>
      <c r="U1537" s="546"/>
      <c r="V1537" s="547"/>
      <c r="W1537" s="548"/>
      <c r="X1537" s="277"/>
      <c r="Y1537" s="277"/>
      <c r="Z1537" s="187"/>
      <c r="AA1537" s="6301"/>
      <c r="AB1537" s="139"/>
      <c r="AC1537" s="1377" t="s">
        <v>1145</v>
      </c>
      <c r="AD1537" s="139"/>
      <c r="AE1537" s="139"/>
      <c r="AF1537" s="139"/>
      <c r="AG1537" s="139"/>
      <c r="AH1537" s="139"/>
      <c r="AI1537" s="139"/>
      <c r="AJ1537" s="139"/>
      <c r="AK1537" s="139"/>
      <c r="AL1537" s="139"/>
      <c r="AM1537" s="139"/>
      <c r="AN1537" s="139"/>
      <c r="AO1537" s="139"/>
      <c r="AP1537" s="139"/>
      <c r="AQ1537" s="139"/>
      <c r="AR1537" s="139"/>
      <c r="AS1537" s="139"/>
      <c r="AT1537" s="139"/>
      <c r="AU1537" s="139"/>
      <c r="AV1537" s="139"/>
      <c r="AW1537" s="139"/>
      <c r="AX1537" s="139"/>
      <c r="AY1537" s="139"/>
      <c r="AZ1537" s="139"/>
      <c r="BA1537" s="139"/>
      <c r="BB1537" s="139"/>
      <c r="BC1537" s="139"/>
      <c r="BD1537" s="139"/>
      <c r="BE1537" s="139"/>
      <c r="BF1537" s="139"/>
      <c r="BG1537" s="139"/>
      <c r="BH1537" s="139"/>
    </row>
    <row r="1538" spans="2:60" s="11" customFormat="1" ht="20.100000000000001" customHeight="1">
      <c r="B1538" s="1360"/>
      <c r="C1538" s="5598"/>
      <c r="D1538" s="9598" t="s">
        <v>631</v>
      </c>
      <c r="E1538" s="9600"/>
      <c r="F1538" s="285" t="s">
        <v>156</v>
      </c>
      <c r="G1538" s="666"/>
      <c r="H1538" s="684"/>
      <c r="I1538" s="9582" t="s">
        <v>147</v>
      </c>
      <c r="J1538" s="9583"/>
      <c r="K1538" s="105" t="s">
        <v>154</v>
      </c>
      <c r="L1538" s="5696"/>
      <c r="M1538" s="5718"/>
      <c r="N1538" s="5729"/>
      <c r="O1538" s="5716"/>
      <c r="P1538" s="5855"/>
      <c r="Q1538" s="5729"/>
      <c r="R1538" s="2468"/>
      <c r="S1538" s="544"/>
      <c r="T1538" s="545"/>
      <c r="U1538" s="546"/>
      <c r="V1538" s="547"/>
      <c r="W1538" s="548"/>
      <c r="X1538" s="277"/>
      <c r="Y1538" s="277"/>
      <c r="Z1538" s="187"/>
      <c r="AA1538" s="6301"/>
      <c r="AB1538" s="139"/>
      <c r="AC1538" s="1377" t="s">
        <v>1146</v>
      </c>
      <c r="AD1538" s="139"/>
      <c r="AE1538" s="139"/>
      <c r="AF1538" s="139"/>
      <c r="AG1538" s="139"/>
      <c r="AH1538" s="139"/>
      <c r="AI1538" s="139"/>
      <c r="AJ1538" s="139"/>
      <c r="AK1538" s="139"/>
      <c r="AL1538" s="139"/>
      <c r="AM1538" s="139"/>
      <c r="AN1538" s="139"/>
      <c r="AO1538" s="139"/>
      <c r="AP1538" s="139"/>
      <c r="AQ1538" s="139"/>
      <c r="AR1538" s="139"/>
      <c r="AS1538" s="139"/>
      <c r="AT1538" s="139"/>
      <c r="AU1538" s="139"/>
      <c r="AV1538" s="139"/>
      <c r="AW1538" s="139"/>
      <c r="AX1538" s="139"/>
      <c r="AY1538" s="139"/>
      <c r="AZ1538" s="139"/>
      <c r="BA1538" s="139"/>
      <c r="BB1538" s="139"/>
      <c r="BC1538" s="139"/>
      <c r="BD1538" s="139"/>
      <c r="BE1538" s="139"/>
      <c r="BF1538" s="139"/>
      <c r="BG1538" s="139"/>
      <c r="BH1538" s="139"/>
    </row>
    <row r="1539" spans="2:60" s="11" customFormat="1" ht="20.100000000000001" customHeight="1">
      <c r="B1539" s="1360"/>
      <c r="C1539" s="5598"/>
      <c r="D1539" s="9598" t="s">
        <v>633</v>
      </c>
      <c r="E1539" s="9600"/>
      <c r="F1539" s="285" t="s">
        <v>156</v>
      </c>
      <c r="G1539" s="666"/>
      <c r="H1539" s="684"/>
      <c r="I1539" s="9582" t="s">
        <v>150</v>
      </c>
      <c r="J1539" s="9583"/>
      <c r="K1539" s="105" t="s">
        <v>154</v>
      </c>
      <c r="L1539" s="5696"/>
      <c r="M1539" s="5718"/>
      <c r="N1539" s="5729"/>
      <c r="O1539" s="5718"/>
      <c r="P1539" s="5729"/>
      <c r="Q1539" s="5729"/>
      <c r="R1539" s="2468"/>
      <c r="S1539" s="544"/>
      <c r="T1539" s="545"/>
      <c r="U1539" s="546"/>
      <c r="V1539" s="547"/>
      <c r="W1539" s="548"/>
      <c r="X1539" s="277"/>
      <c r="Y1539" s="277"/>
      <c r="Z1539" s="187"/>
      <c r="AA1539" s="6301"/>
      <c r="AB1539" s="139"/>
      <c r="AC1539" s="1377" t="s">
        <v>1146</v>
      </c>
      <c r="AD1539" s="139"/>
      <c r="AE1539" s="139"/>
      <c r="AF1539" s="139"/>
      <c r="AG1539" s="139"/>
      <c r="AH1539" s="139"/>
      <c r="AI1539" s="139"/>
      <c r="AJ1539" s="139"/>
      <c r="AK1539" s="139"/>
      <c r="AL1539" s="139"/>
      <c r="AM1539" s="139"/>
      <c r="AN1539" s="139"/>
      <c r="AO1539" s="139"/>
      <c r="AP1539" s="139"/>
      <c r="AQ1539" s="139"/>
      <c r="AR1539" s="139"/>
      <c r="AS1539" s="139"/>
      <c r="AT1539" s="139"/>
      <c r="AU1539" s="139"/>
      <c r="AV1539" s="139"/>
      <c r="AW1539" s="139"/>
      <c r="AX1539" s="139"/>
      <c r="AY1539" s="139"/>
      <c r="AZ1539" s="139"/>
      <c r="BA1539" s="139"/>
      <c r="BB1539" s="139"/>
      <c r="BC1539" s="139"/>
      <c r="BD1539" s="139"/>
      <c r="BE1539" s="139"/>
      <c r="BF1539" s="139"/>
      <c r="BG1539" s="139"/>
      <c r="BH1539" s="139"/>
    </row>
    <row r="1540" spans="2:60" s="11" customFormat="1" ht="19.350000000000001" customHeight="1">
      <c r="B1540" s="1360"/>
      <c r="C1540" s="161"/>
      <c r="D1540" s="9584" t="s">
        <v>1147</v>
      </c>
      <c r="E1540" s="9585"/>
      <c r="F1540" s="285" t="s">
        <v>154</v>
      </c>
      <c r="G1540" s="358"/>
      <c r="H1540" s="643"/>
      <c r="I1540" s="9584" t="s">
        <v>1148</v>
      </c>
      <c r="J1540" s="9585"/>
      <c r="K1540" s="105" t="s">
        <v>154</v>
      </c>
      <c r="L1540" s="5968" t="str">
        <f>IF(COUNTBLANK(L1541:L1546)&gt;0,"미취합법인有",AVERAGE(L1541:L1546))</f>
        <v>미취합법인有</v>
      </c>
      <c r="M1540" s="5657"/>
      <c r="N1540" s="5654" t="str">
        <f>IF(COUNTBLANK(N1541:N1546)&gt;0,"미취합법인有",AVERAGE(N1541:N1546))</f>
        <v>미취합법인有</v>
      </c>
      <c r="O1540" s="5663"/>
      <c r="P1540" s="5781" t="str">
        <f>IF(COUNTBLANK(P1541:P1546)&gt;0,"미취합법인有",AVERAGE(P1541:P1546))</f>
        <v>미취합법인有</v>
      </c>
      <c r="Q1540" s="785"/>
      <c r="R1540" s="2468" t="s">
        <v>1141</v>
      </c>
      <c r="S1540" s="276" t="s">
        <v>1142</v>
      </c>
      <c r="T1540" s="99" t="s">
        <v>758</v>
      </c>
      <c r="U1540" s="547" t="s">
        <v>800</v>
      </c>
      <c r="V1540" s="547"/>
      <c r="W1540" s="99"/>
      <c r="X1540" s="896" t="s">
        <v>1143</v>
      </c>
      <c r="Y1540" s="896" t="s">
        <v>1121</v>
      </c>
      <c r="Z1540" s="187"/>
      <c r="AA1540" s="6301"/>
      <c r="AB1540" s="139"/>
      <c r="AC1540" s="139"/>
      <c r="AD1540" s="139"/>
      <c r="AE1540" s="139"/>
      <c r="AF1540" s="139"/>
      <c r="AG1540" s="139"/>
      <c r="AH1540" s="139"/>
      <c r="AI1540" s="139"/>
      <c r="AJ1540" s="139"/>
      <c r="AK1540" s="139"/>
      <c r="AL1540" s="139"/>
      <c r="AM1540" s="139"/>
      <c r="AN1540" s="139"/>
      <c r="AO1540" s="139"/>
      <c r="AP1540" s="139"/>
      <c r="AQ1540" s="139"/>
      <c r="AR1540" s="139"/>
      <c r="AS1540" s="139"/>
      <c r="AT1540" s="139"/>
      <c r="AU1540" s="139"/>
      <c r="AV1540" s="139"/>
      <c r="AW1540" s="139"/>
      <c r="AX1540" s="139"/>
      <c r="AY1540" s="139"/>
      <c r="AZ1540" s="139"/>
      <c r="BA1540" s="139"/>
      <c r="BB1540" s="139"/>
      <c r="BC1540" s="139"/>
      <c r="BD1540" s="139"/>
      <c r="BE1540" s="139"/>
      <c r="BF1540" s="139"/>
      <c r="BG1540" s="139"/>
      <c r="BH1540" s="139"/>
    </row>
    <row r="1541" spans="2:60" s="11" customFormat="1" ht="20.100000000000001" customHeight="1">
      <c r="B1541" s="1360"/>
      <c r="C1541" s="5598"/>
      <c r="D1541" s="9598" t="s">
        <v>134</v>
      </c>
      <c r="E1541" s="9600"/>
      <c r="F1541" s="285" t="s">
        <v>156</v>
      </c>
      <c r="G1541" s="666"/>
      <c r="H1541" s="684"/>
      <c r="I1541" s="9579" t="s">
        <v>135</v>
      </c>
      <c r="J1541" s="9581"/>
      <c r="K1541" s="105" t="s">
        <v>154</v>
      </c>
      <c r="L1541" s="5714">
        <v>100</v>
      </c>
      <c r="M1541" s="5718"/>
      <c r="N1541" s="5859">
        <v>82.35294117647058</v>
      </c>
      <c r="O1541" s="5716" t="s">
        <v>1138</v>
      </c>
      <c r="P1541" s="5864">
        <v>72.727272727272734</v>
      </c>
      <c r="Q1541" s="5729" t="s">
        <v>1149</v>
      </c>
      <c r="R1541" s="2468"/>
      <c r="S1541" s="544"/>
      <c r="T1541" s="545"/>
      <c r="U1541" s="546"/>
      <c r="V1541" s="547"/>
      <c r="W1541" s="548"/>
      <c r="X1541" s="277"/>
      <c r="Y1541" s="277"/>
      <c r="Z1541" s="187"/>
      <c r="AA1541" s="6301"/>
      <c r="AB1541" s="139"/>
      <c r="AC1541" s="139"/>
      <c r="AD1541" s="139"/>
      <c r="AE1541" s="139"/>
      <c r="AF1541" s="139"/>
      <c r="AG1541" s="139"/>
      <c r="AH1541" s="139"/>
      <c r="AI1541" s="139"/>
      <c r="AJ1541" s="139"/>
      <c r="AK1541" s="139"/>
      <c r="AL1541" s="139"/>
      <c r="AM1541" s="139"/>
      <c r="AN1541" s="139"/>
      <c r="AO1541" s="139"/>
      <c r="AP1541" s="139"/>
      <c r="AQ1541" s="139"/>
      <c r="AR1541" s="139"/>
      <c r="AS1541" s="139"/>
      <c r="AT1541" s="139"/>
      <c r="AU1541" s="139"/>
      <c r="AV1541" s="139"/>
      <c r="AW1541" s="139"/>
      <c r="AX1541" s="139"/>
      <c r="AY1541" s="139"/>
      <c r="AZ1541" s="139"/>
      <c r="BA1541" s="139"/>
      <c r="BB1541" s="139"/>
      <c r="BC1541" s="139"/>
      <c r="BD1541" s="139"/>
      <c r="BE1541" s="139"/>
      <c r="BF1541" s="139"/>
      <c r="BG1541" s="139"/>
      <c r="BH1541" s="139"/>
    </row>
    <row r="1542" spans="2:60" s="11" customFormat="1" ht="20.100000000000001" customHeight="1">
      <c r="B1542" s="1360"/>
      <c r="C1542" s="5598"/>
      <c r="D1542" s="9598" t="s">
        <v>137</v>
      </c>
      <c r="E1542" s="9600"/>
      <c r="F1542" s="285" t="s">
        <v>156</v>
      </c>
      <c r="G1542" s="666"/>
      <c r="H1542" s="684"/>
      <c r="I1542" s="9579" t="s">
        <v>138</v>
      </c>
      <c r="J1542" s="9581"/>
      <c r="K1542" s="105" t="s">
        <v>154</v>
      </c>
      <c r="L1542" s="5705"/>
      <c r="M1542" s="5719"/>
      <c r="N1542" s="5730"/>
      <c r="O1542" s="5720"/>
      <c r="P1542" s="5856"/>
      <c r="Q1542" s="5730"/>
      <c r="R1542" s="2468"/>
      <c r="S1542" s="544"/>
      <c r="T1542" s="545"/>
      <c r="U1542" s="546"/>
      <c r="V1542" s="547"/>
      <c r="W1542" s="548"/>
      <c r="X1542" s="277"/>
      <c r="Y1542" s="277"/>
      <c r="Z1542" s="187"/>
      <c r="AA1542" s="6301"/>
      <c r="AB1542" s="139"/>
      <c r="AC1542" s="139"/>
      <c r="AD1542" s="139"/>
      <c r="AE1542" s="139"/>
      <c r="AF1542" s="139"/>
      <c r="AG1542" s="139"/>
      <c r="AH1542" s="139"/>
      <c r="AI1542" s="139"/>
      <c r="AJ1542" s="139"/>
      <c r="AK1542" s="139"/>
      <c r="AL1542" s="139"/>
      <c r="AM1542" s="139"/>
      <c r="AN1542" s="139"/>
      <c r="AO1542" s="139"/>
      <c r="AP1542" s="139"/>
      <c r="AQ1542" s="139"/>
      <c r="AR1542" s="139"/>
      <c r="AS1542" s="139"/>
      <c r="AT1542" s="139"/>
      <c r="AU1542" s="139"/>
      <c r="AV1542" s="139"/>
      <c r="AW1542" s="139"/>
      <c r="AX1542" s="139"/>
      <c r="AY1542" s="139"/>
      <c r="AZ1542" s="139"/>
      <c r="BA1542" s="139"/>
      <c r="BB1542" s="139"/>
      <c r="BC1542" s="139"/>
      <c r="BD1542" s="139"/>
      <c r="BE1542" s="139"/>
      <c r="BF1542" s="139"/>
      <c r="BG1542" s="139"/>
      <c r="BH1542" s="139"/>
    </row>
    <row r="1543" spans="2:60" s="11" customFormat="1" ht="20.100000000000001" customHeight="1">
      <c r="B1543" s="1360"/>
      <c r="C1543" s="161"/>
      <c r="D1543" s="9598" t="s">
        <v>140</v>
      </c>
      <c r="E1543" s="9600"/>
      <c r="F1543" s="285" t="s">
        <v>156</v>
      </c>
      <c r="G1543" s="666"/>
      <c r="H1543" s="684"/>
      <c r="I1543" s="9582" t="s">
        <v>141</v>
      </c>
      <c r="J1543" s="9583"/>
      <c r="K1543" s="105" t="s">
        <v>154</v>
      </c>
      <c r="L1543" s="5696"/>
      <c r="M1543" s="5718"/>
      <c r="N1543" s="5729"/>
      <c r="O1543" s="5716"/>
      <c r="P1543" s="5855"/>
      <c r="Q1543" s="5729"/>
      <c r="R1543" s="2468"/>
      <c r="S1543" s="544"/>
      <c r="T1543" s="545"/>
      <c r="U1543" s="546"/>
      <c r="V1543" s="547"/>
      <c r="W1543" s="548"/>
      <c r="X1543" s="277"/>
      <c r="Y1543" s="277"/>
      <c r="Z1543" s="187"/>
      <c r="AA1543" s="6301"/>
      <c r="AB1543" s="139"/>
      <c r="AC1543" s="1377" t="s">
        <v>1145</v>
      </c>
      <c r="AD1543" s="139"/>
      <c r="AE1543" s="139"/>
      <c r="AF1543" s="139"/>
      <c r="AG1543" s="139"/>
      <c r="AH1543" s="139"/>
      <c r="AI1543" s="139"/>
      <c r="AJ1543" s="139"/>
      <c r="AK1543" s="139"/>
      <c r="AL1543" s="139"/>
      <c r="AM1543" s="139"/>
      <c r="AN1543" s="139"/>
      <c r="AO1543" s="139"/>
      <c r="AP1543" s="139"/>
      <c r="AQ1543" s="139"/>
      <c r="AR1543" s="139"/>
      <c r="AS1543" s="139"/>
      <c r="AT1543" s="139"/>
      <c r="AU1543" s="139"/>
      <c r="AV1543" s="139"/>
      <c r="AW1543" s="139"/>
      <c r="AX1543" s="139"/>
      <c r="AY1543" s="139"/>
      <c r="AZ1543" s="139"/>
      <c r="BA1543" s="139"/>
      <c r="BB1543" s="139"/>
      <c r="BC1543" s="139"/>
      <c r="BD1543" s="139"/>
      <c r="BE1543" s="139"/>
      <c r="BF1543" s="139"/>
      <c r="BG1543" s="139"/>
      <c r="BH1543" s="139"/>
    </row>
    <row r="1544" spans="2:60" s="11" customFormat="1" ht="20.100000000000001" customHeight="1">
      <c r="B1544" s="1360"/>
      <c r="C1544" s="5598"/>
      <c r="D1544" s="9598" t="s">
        <v>143</v>
      </c>
      <c r="E1544" s="9600"/>
      <c r="F1544" s="285" t="s">
        <v>156</v>
      </c>
      <c r="G1544" s="666"/>
      <c r="H1544" s="684"/>
      <c r="I1544" s="9582" t="s">
        <v>144</v>
      </c>
      <c r="J1544" s="9583"/>
      <c r="K1544" s="105" t="s">
        <v>154</v>
      </c>
      <c r="L1544" s="5696"/>
      <c r="M1544" s="5718"/>
      <c r="N1544" s="5729"/>
      <c r="O1544" s="5716"/>
      <c r="P1544" s="5855"/>
      <c r="Q1544" s="5729"/>
      <c r="R1544" s="2468"/>
      <c r="S1544" s="544"/>
      <c r="T1544" s="545"/>
      <c r="U1544" s="546"/>
      <c r="V1544" s="547"/>
      <c r="W1544" s="548"/>
      <c r="X1544" s="277"/>
      <c r="Y1544" s="277"/>
      <c r="Z1544" s="187"/>
      <c r="AA1544" s="6301"/>
      <c r="AB1544" s="139"/>
      <c r="AC1544" s="1377" t="s">
        <v>1145</v>
      </c>
      <c r="AD1544" s="139"/>
      <c r="AE1544" s="139"/>
      <c r="AF1544" s="139"/>
      <c r="AG1544" s="139"/>
      <c r="AH1544" s="139"/>
      <c r="AI1544" s="139"/>
      <c r="AJ1544" s="139"/>
      <c r="AK1544" s="139"/>
      <c r="AL1544" s="139"/>
      <c r="AM1544" s="139"/>
      <c r="AN1544" s="139"/>
      <c r="AO1544" s="139"/>
      <c r="AP1544" s="139"/>
      <c r="AQ1544" s="139"/>
      <c r="AR1544" s="139"/>
      <c r="AS1544" s="139"/>
      <c r="AT1544" s="139"/>
      <c r="AU1544" s="139"/>
      <c r="AV1544" s="139"/>
      <c r="AW1544" s="139"/>
      <c r="AX1544" s="139"/>
      <c r="AY1544" s="139"/>
      <c r="AZ1544" s="139"/>
      <c r="BA1544" s="139"/>
      <c r="BB1544" s="139"/>
      <c r="BC1544" s="139"/>
      <c r="BD1544" s="139"/>
      <c r="BE1544" s="139"/>
      <c r="BF1544" s="139"/>
      <c r="BG1544" s="139"/>
      <c r="BH1544" s="139"/>
    </row>
    <row r="1545" spans="2:60" s="11" customFormat="1" ht="20.100000000000001" customHeight="1">
      <c r="B1545" s="1360"/>
      <c r="C1545" s="5598"/>
      <c r="D1545" s="9598" t="s">
        <v>631</v>
      </c>
      <c r="E1545" s="9600"/>
      <c r="F1545" s="285" t="s">
        <v>156</v>
      </c>
      <c r="G1545" s="666"/>
      <c r="H1545" s="684"/>
      <c r="I1545" s="9582" t="s">
        <v>147</v>
      </c>
      <c r="J1545" s="9583"/>
      <c r="K1545" s="105" t="s">
        <v>154</v>
      </c>
      <c r="L1545" s="5696"/>
      <c r="M1545" s="5718"/>
      <c r="N1545" s="5729"/>
      <c r="O1545" s="5716"/>
      <c r="P1545" s="5855"/>
      <c r="Q1545" s="5729"/>
      <c r="R1545" s="2468"/>
      <c r="S1545" s="544"/>
      <c r="T1545" s="545"/>
      <c r="U1545" s="546"/>
      <c r="V1545" s="547"/>
      <c r="W1545" s="548"/>
      <c r="X1545" s="277"/>
      <c r="Y1545" s="277"/>
      <c r="Z1545" s="187"/>
      <c r="AA1545" s="6301"/>
      <c r="AB1545" s="139"/>
      <c r="AC1545" s="1377" t="s">
        <v>1146</v>
      </c>
      <c r="AD1545" s="139"/>
      <c r="AE1545" s="139"/>
      <c r="AF1545" s="139"/>
      <c r="AG1545" s="139"/>
      <c r="AH1545" s="139"/>
      <c r="AI1545" s="139"/>
      <c r="AJ1545" s="139"/>
      <c r="AK1545" s="139"/>
      <c r="AL1545" s="139"/>
      <c r="AM1545" s="139"/>
      <c r="AN1545" s="139"/>
      <c r="AO1545" s="139"/>
      <c r="AP1545" s="139"/>
      <c r="AQ1545" s="139"/>
      <c r="AR1545" s="139"/>
      <c r="AS1545" s="139"/>
      <c r="AT1545" s="139"/>
      <c r="AU1545" s="139"/>
      <c r="AV1545" s="139"/>
      <c r="AW1545" s="139"/>
      <c r="AX1545" s="139"/>
      <c r="AY1545" s="139"/>
      <c r="AZ1545" s="139"/>
      <c r="BA1545" s="139"/>
      <c r="BB1545" s="139"/>
      <c r="BC1545" s="139"/>
      <c r="BD1545" s="139"/>
      <c r="BE1545" s="139"/>
      <c r="BF1545" s="139"/>
      <c r="BG1545" s="139"/>
      <c r="BH1545" s="139"/>
    </row>
    <row r="1546" spans="2:60" s="11" customFormat="1" ht="20.100000000000001" customHeight="1">
      <c r="B1546" s="1360"/>
      <c r="C1546" s="161"/>
      <c r="D1546" s="9598" t="s">
        <v>633</v>
      </c>
      <c r="E1546" s="9600"/>
      <c r="F1546" s="285" t="s">
        <v>156</v>
      </c>
      <c r="G1546" s="666"/>
      <c r="H1546" s="684"/>
      <c r="I1546" s="9582" t="s">
        <v>150</v>
      </c>
      <c r="J1546" s="9583"/>
      <c r="K1546" s="105" t="s">
        <v>154</v>
      </c>
      <c r="L1546" s="5696"/>
      <c r="M1546" s="5718"/>
      <c r="N1546" s="5729"/>
      <c r="O1546" s="5718"/>
      <c r="P1546" s="5729"/>
      <c r="Q1546" s="5729"/>
      <c r="R1546" s="2468"/>
      <c r="S1546" s="544"/>
      <c r="T1546" s="545"/>
      <c r="U1546" s="546"/>
      <c r="V1546" s="547"/>
      <c r="W1546" s="548"/>
      <c r="X1546" s="277"/>
      <c r="Y1546" s="277"/>
      <c r="Z1546" s="187"/>
      <c r="AA1546" s="6301"/>
      <c r="AB1546" s="139"/>
      <c r="AC1546" s="1377" t="s">
        <v>1146</v>
      </c>
      <c r="AD1546" s="139"/>
      <c r="AE1546" s="139"/>
      <c r="AF1546" s="139"/>
      <c r="AG1546" s="139"/>
      <c r="AH1546" s="139"/>
      <c r="AI1546" s="139"/>
      <c r="AJ1546" s="139"/>
      <c r="AK1546" s="139"/>
      <c r="AL1546" s="139"/>
      <c r="AM1546" s="139"/>
      <c r="AN1546" s="139"/>
      <c r="AO1546" s="139"/>
      <c r="AP1546" s="139"/>
      <c r="AQ1546" s="139"/>
      <c r="AR1546" s="139"/>
      <c r="AS1546" s="139"/>
      <c r="AT1546" s="139"/>
      <c r="AU1546" s="139"/>
      <c r="AV1546" s="139"/>
      <c r="AW1546" s="139"/>
      <c r="AX1546" s="139"/>
      <c r="AY1546" s="139"/>
      <c r="AZ1546" s="139"/>
      <c r="BA1546" s="139"/>
      <c r="BB1546" s="139"/>
      <c r="BC1546" s="139"/>
      <c r="BD1546" s="139"/>
      <c r="BE1546" s="139"/>
      <c r="BF1546" s="139"/>
      <c r="BG1546" s="139"/>
      <c r="BH1546" s="139"/>
    </row>
    <row r="1547" spans="2:60" s="11" customFormat="1" ht="19.350000000000001" customHeight="1">
      <c r="B1547" s="1360"/>
      <c r="C1547" s="5598"/>
      <c r="D1547" s="9584" t="s">
        <v>1150</v>
      </c>
      <c r="E1547" s="9585"/>
      <c r="F1547" s="285" t="s">
        <v>154</v>
      </c>
      <c r="G1547" s="358"/>
      <c r="H1547" s="643"/>
      <c r="I1547" s="9584" t="s">
        <v>1151</v>
      </c>
      <c r="J1547" s="9585"/>
      <c r="K1547" s="105" t="s">
        <v>154</v>
      </c>
      <c r="L1547" s="5968" t="str">
        <f>IF(COUNTBLANK(L1548:L1553)&gt;0,"미취합법인有",AVERAGE(L1548:L1553))</f>
        <v>미취합법인有</v>
      </c>
      <c r="M1547" s="5657"/>
      <c r="N1547" s="5654" t="str">
        <f>IF(COUNTBLANK(N1548:N1553)&gt;0,"미취합법인有",AVERAGE(N1548:N1553))</f>
        <v>미취합법인有</v>
      </c>
      <c r="O1547" s="5663"/>
      <c r="P1547" s="5781" t="str">
        <f>IF(COUNTBLANK(P1548:P1553)&gt;0,"미취합법인有",AVERAGE(P1548:P1553))</f>
        <v>미취합법인有</v>
      </c>
      <c r="Q1547" s="785"/>
      <c r="R1547" s="2468" t="s">
        <v>1152</v>
      </c>
      <c r="S1547" s="24" t="s">
        <v>1153</v>
      </c>
      <c r="T1547" s="99" t="s">
        <v>758</v>
      </c>
      <c r="U1547" s="547" t="s">
        <v>800</v>
      </c>
      <c r="V1547" s="547"/>
      <c r="W1547" s="99"/>
      <c r="X1547" s="277" t="s">
        <v>1154</v>
      </c>
      <c r="Y1547" s="277" t="s">
        <v>1121</v>
      </c>
      <c r="Z1547" s="187"/>
      <c r="AA1547" s="6301"/>
      <c r="AB1547" s="139"/>
      <c r="AC1547" s="139"/>
      <c r="AD1547" s="139"/>
      <c r="AE1547" s="139"/>
      <c r="AF1547" s="139"/>
      <c r="AG1547" s="139"/>
      <c r="AH1547" s="139"/>
      <c r="AI1547" s="139"/>
      <c r="AJ1547" s="139"/>
      <c r="AK1547" s="139"/>
      <c r="AL1547" s="139"/>
      <c r="AM1547" s="139"/>
      <c r="AN1547" s="139"/>
      <c r="AO1547" s="139"/>
      <c r="AP1547" s="139"/>
      <c r="AQ1547" s="139"/>
      <c r="AR1547" s="139"/>
      <c r="AS1547" s="139"/>
      <c r="AT1547" s="139"/>
      <c r="AU1547" s="139"/>
      <c r="AV1547" s="139"/>
      <c r="AW1547" s="139"/>
      <c r="AX1547" s="139"/>
      <c r="AY1547" s="139"/>
      <c r="AZ1547" s="139"/>
      <c r="BA1547" s="139"/>
      <c r="BB1547" s="139"/>
      <c r="BC1547" s="139"/>
      <c r="BD1547" s="139"/>
      <c r="BE1547" s="139"/>
      <c r="BF1547" s="139"/>
      <c r="BG1547" s="139"/>
      <c r="BH1547" s="139"/>
    </row>
    <row r="1548" spans="2:60" s="11" customFormat="1" ht="19.5" customHeight="1">
      <c r="B1548" s="1360"/>
      <c r="C1548" s="5598"/>
      <c r="D1548" s="9598" t="s">
        <v>134</v>
      </c>
      <c r="E1548" s="9600"/>
      <c r="F1548" s="285" t="s">
        <v>156</v>
      </c>
      <c r="G1548" s="666"/>
      <c r="H1548" s="684"/>
      <c r="I1548" s="9579" t="s">
        <v>135</v>
      </c>
      <c r="J1548" s="9581"/>
      <c r="K1548" s="105" t="s">
        <v>154</v>
      </c>
      <c r="L1548" s="5714">
        <v>69.230769230769226</v>
      </c>
      <c r="M1548" s="5718"/>
      <c r="N1548" s="5859">
        <v>84.210526315789465</v>
      </c>
      <c r="O1548" s="5716" t="s">
        <v>1138</v>
      </c>
      <c r="P1548" s="5864">
        <v>76.744186046511629</v>
      </c>
      <c r="Q1548" s="5717" t="s">
        <v>1155</v>
      </c>
      <c r="R1548" s="2468"/>
      <c r="S1548" s="4849"/>
      <c r="T1548" s="545"/>
      <c r="U1548" s="546"/>
      <c r="V1548" s="547"/>
      <c r="W1548" s="548"/>
      <c r="X1548" s="277"/>
      <c r="Y1548" s="277"/>
      <c r="Z1548" s="187"/>
      <c r="AA1548" s="6301"/>
      <c r="AB1548" s="139"/>
      <c r="AC1548" s="139"/>
      <c r="AD1548" s="139"/>
      <c r="AE1548" s="139"/>
      <c r="AF1548" s="139"/>
      <c r="AG1548" s="139"/>
      <c r="AH1548" s="139"/>
      <c r="AI1548" s="139"/>
      <c r="AJ1548" s="139"/>
      <c r="AK1548" s="139"/>
      <c r="AL1548" s="139"/>
      <c r="AM1548" s="139"/>
      <c r="AN1548" s="139"/>
      <c r="AO1548" s="139"/>
      <c r="AP1548" s="139"/>
      <c r="AQ1548" s="139"/>
      <c r="AR1548" s="139"/>
      <c r="AS1548" s="139"/>
      <c r="AT1548" s="139"/>
      <c r="AU1548" s="139"/>
      <c r="AV1548" s="139"/>
      <c r="AW1548" s="139"/>
      <c r="AX1548" s="139"/>
      <c r="AY1548" s="139"/>
      <c r="AZ1548" s="139"/>
      <c r="BA1548" s="139"/>
      <c r="BB1548" s="139"/>
      <c r="BC1548" s="139"/>
      <c r="BD1548" s="139"/>
      <c r="BE1548" s="139"/>
      <c r="BF1548" s="139"/>
      <c r="BG1548" s="139"/>
      <c r="BH1548" s="139"/>
    </row>
    <row r="1549" spans="2:60" s="11" customFormat="1" ht="20.100000000000001" customHeight="1">
      <c r="B1549" s="1360"/>
      <c r="C1549" s="161"/>
      <c r="D1549" s="9598" t="s">
        <v>137</v>
      </c>
      <c r="E1549" s="9600"/>
      <c r="F1549" s="285" t="s">
        <v>156</v>
      </c>
      <c r="G1549" s="666"/>
      <c r="H1549" s="684"/>
      <c r="I1549" s="9579" t="s">
        <v>138</v>
      </c>
      <c r="J1549" s="9581"/>
      <c r="K1549" s="105" t="s">
        <v>154</v>
      </c>
      <c r="L1549" s="5705"/>
      <c r="M1549" s="5719"/>
      <c r="N1549" s="5730"/>
      <c r="O1549" s="5720"/>
      <c r="P1549" s="5856"/>
      <c r="Q1549" s="5717"/>
      <c r="R1549" s="276"/>
      <c r="S1549" s="1856"/>
      <c r="T1549" s="309"/>
      <c r="U1549" s="547"/>
      <c r="V1549" s="547"/>
      <c r="W1549" s="309"/>
      <c r="X1549" s="277"/>
      <c r="Y1549" s="277"/>
      <c r="Z1549" s="187"/>
      <c r="AA1549" s="6301"/>
      <c r="AB1549" s="139"/>
      <c r="AC1549" s="139"/>
      <c r="AD1549" s="139"/>
      <c r="AE1549" s="139"/>
      <c r="AF1549" s="139"/>
      <c r="AG1549" s="139"/>
      <c r="AH1549" s="139"/>
      <c r="AI1549" s="139"/>
      <c r="AJ1549" s="139"/>
      <c r="AK1549" s="139"/>
      <c r="AL1549" s="139"/>
      <c r="AM1549" s="139"/>
      <c r="AN1549" s="139"/>
      <c r="AO1549" s="139"/>
      <c r="AP1549" s="139"/>
      <c r="AQ1549" s="139"/>
      <c r="AR1549" s="139"/>
      <c r="AS1549" s="139"/>
      <c r="AT1549" s="139"/>
      <c r="AU1549" s="139"/>
      <c r="AV1549" s="139"/>
      <c r="AW1549" s="139"/>
      <c r="AX1549" s="139"/>
      <c r="AY1549" s="139"/>
      <c r="AZ1549" s="139"/>
      <c r="BA1549" s="139"/>
      <c r="BB1549" s="139"/>
      <c r="BC1549" s="139"/>
      <c r="BD1549" s="139"/>
      <c r="BE1549" s="139"/>
      <c r="BF1549" s="139"/>
      <c r="BG1549" s="139"/>
      <c r="BH1549" s="139"/>
    </row>
    <row r="1550" spans="2:60" s="11" customFormat="1" ht="20.100000000000001" customHeight="1">
      <c r="B1550" s="1360"/>
      <c r="C1550" s="5598"/>
      <c r="D1550" s="9598" t="s">
        <v>140</v>
      </c>
      <c r="E1550" s="9600"/>
      <c r="F1550" s="285" t="s">
        <v>156</v>
      </c>
      <c r="G1550" s="666"/>
      <c r="H1550" s="684"/>
      <c r="I1550" s="9582" t="s">
        <v>141</v>
      </c>
      <c r="J1550" s="9583"/>
      <c r="K1550" s="105" t="s">
        <v>154</v>
      </c>
      <c r="L1550" s="5696"/>
      <c r="M1550" s="5718"/>
      <c r="N1550" s="5729"/>
      <c r="O1550" s="5716"/>
      <c r="P1550" s="5855"/>
      <c r="Q1550" s="5717"/>
      <c r="R1550" s="276"/>
      <c r="S1550" s="276"/>
      <c r="T1550" s="309"/>
      <c r="U1550" s="547"/>
      <c r="V1550" s="547"/>
      <c r="W1550" s="309"/>
      <c r="X1550" s="277"/>
      <c r="Y1550" s="277"/>
      <c r="Z1550" s="187"/>
      <c r="AA1550" s="6301"/>
      <c r="AB1550" s="139"/>
      <c r="AC1550" s="1377" t="s">
        <v>1156</v>
      </c>
      <c r="AD1550" s="139"/>
      <c r="AE1550" s="139"/>
      <c r="AF1550" s="139"/>
      <c r="AG1550" s="139"/>
      <c r="AH1550" s="139"/>
      <c r="AI1550" s="139"/>
      <c r="AJ1550" s="139"/>
      <c r="AK1550" s="139"/>
      <c r="AL1550" s="139"/>
      <c r="AM1550" s="139"/>
      <c r="AN1550" s="139"/>
      <c r="AO1550" s="139"/>
      <c r="AP1550" s="139"/>
      <c r="AQ1550" s="139"/>
      <c r="AR1550" s="139"/>
      <c r="AS1550" s="139"/>
      <c r="AT1550" s="139"/>
      <c r="AU1550" s="139"/>
      <c r="AV1550" s="139"/>
      <c r="AW1550" s="139"/>
      <c r="AX1550" s="139"/>
      <c r="AY1550" s="139"/>
      <c r="AZ1550" s="139"/>
      <c r="BA1550" s="139"/>
      <c r="BB1550" s="139"/>
      <c r="BC1550" s="139"/>
      <c r="BD1550" s="139"/>
      <c r="BE1550" s="139"/>
      <c r="BF1550" s="139"/>
      <c r="BG1550" s="139"/>
      <c r="BH1550" s="139"/>
    </row>
    <row r="1551" spans="2:60" s="11" customFormat="1" ht="20.100000000000001" customHeight="1">
      <c r="B1551" s="1360"/>
      <c r="C1551" s="161"/>
      <c r="D1551" s="9598" t="s">
        <v>143</v>
      </c>
      <c r="E1551" s="9600"/>
      <c r="F1551" s="285" t="s">
        <v>156</v>
      </c>
      <c r="G1551" s="666"/>
      <c r="H1551" s="684"/>
      <c r="I1551" s="9582" t="s">
        <v>144</v>
      </c>
      <c r="J1551" s="9583"/>
      <c r="K1551" s="105" t="s">
        <v>154</v>
      </c>
      <c r="L1551" s="5696"/>
      <c r="M1551" s="5718"/>
      <c r="N1551" s="5729"/>
      <c r="O1551" s="5716"/>
      <c r="P1551" s="5855"/>
      <c r="Q1551" s="5717"/>
      <c r="R1551" s="276"/>
      <c r="S1551" s="276"/>
      <c r="T1551" s="309"/>
      <c r="U1551" s="547"/>
      <c r="V1551" s="547"/>
      <c r="W1551" s="309"/>
      <c r="X1551" s="277"/>
      <c r="Y1551" s="277"/>
      <c r="Z1551" s="187"/>
      <c r="AA1551" s="6301"/>
      <c r="AB1551" s="139"/>
      <c r="AC1551" s="1377" t="s">
        <v>1156</v>
      </c>
      <c r="AD1551" s="139"/>
      <c r="AE1551" s="139"/>
      <c r="AF1551" s="139"/>
      <c r="AG1551" s="139"/>
      <c r="AH1551" s="139"/>
      <c r="AI1551" s="139"/>
      <c r="AJ1551" s="139"/>
      <c r="AK1551" s="139"/>
      <c r="AL1551" s="139"/>
      <c r="AM1551" s="139"/>
      <c r="AN1551" s="139"/>
      <c r="AO1551" s="139"/>
      <c r="AP1551" s="139"/>
      <c r="AQ1551" s="139"/>
      <c r="AR1551" s="139"/>
      <c r="AS1551" s="139"/>
      <c r="AT1551" s="139"/>
      <c r="AU1551" s="139"/>
      <c r="AV1551" s="139"/>
      <c r="AW1551" s="139"/>
      <c r="AX1551" s="139"/>
      <c r="AY1551" s="139"/>
      <c r="AZ1551" s="139"/>
      <c r="BA1551" s="139"/>
      <c r="BB1551" s="139"/>
      <c r="BC1551" s="139"/>
      <c r="BD1551" s="139"/>
      <c r="BE1551" s="139"/>
      <c r="BF1551" s="139"/>
      <c r="BG1551" s="139"/>
      <c r="BH1551" s="139"/>
    </row>
    <row r="1552" spans="2:60" s="11" customFormat="1" ht="20.100000000000001" customHeight="1">
      <c r="B1552" s="1360"/>
      <c r="C1552" s="5598"/>
      <c r="D1552" s="9598" t="s">
        <v>631</v>
      </c>
      <c r="E1552" s="9600"/>
      <c r="F1552" s="285" t="s">
        <v>156</v>
      </c>
      <c r="G1552" s="666"/>
      <c r="H1552" s="684"/>
      <c r="I1552" s="9582" t="s">
        <v>147</v>
      </c>
      <c r="J1552" s="9583"/>
      <c r="K1552" s="105" t="s">
        <v>154</v>
      </c>
      <c r="L1552" s="5696"/>
      <c r="M1552" s="5718"/>
      <c r="N1552" s="5729"/>
      <c r="O1552" s="5716"/>
      <c r="P1552" s="5855"/>
      <c r="Q1552" s="5717"/>
      <c r="R1552" s="276"/>
      <c r="S1552" s="276"/>
      <c r="T1552" s="309"/>
      <c r="U1552" s="547"/>
      <c r="V1552" s="547"/>
      <c r="W1552" s="309"/>
      <c r="X1552" s="277"/>
      <c r="Y1552" s="277"/>
      <c r="Z1552" s="187"/>
      <c r="AA1552" s="6301"/>
      <c r="AB1552" s="139"/>
      <c r="AC1552" s="1377" t="s">
        <v>1156</v>
      </c>
      <c r="AD1552" s="139"/>
      <c r="AE1552" s="139"/>
      <c r="AF1552" s="139"/>
      <c r="AG1552" s="139"/>
      <c r="AH1552" s="139"/>
      <c r="AI1552" s="139"/>
      <c r="AJ1552" s="139"/>
      <c r="AK1552" s="139"/>
      <c r="AL1552" s="139"/>
      <c r="AM1552" s="139"/>
      <c r="AN1552" s="139"/>
      <c r="AO1552" s="139"/>
      <c r="AP1552" s="139"/>
      <c r="AQ1552" s="139"/>
      <c r="AR1552" s="139"/>
      <c r="AS1552" s="139"/>
      <c r="AT1552" s="139"/>
      <c r="AU1552" s="139"/>
      <c r="AV1552" s="139"/>
      <c r="AW1552" s="139"/>
      <c r="AX1552" s="139"/>
      <c r="AY1552" s="139"/>
      <c r="AZ1552" s="139"/>
      <c r="BA1552" s="139"/>
      <c r="BB1552" s="139"/>
      <c r="BC1552" s="139"/>
      <c r="BD1552" s="139"/>
      <c r="BE1552" s="139"/>
      <c r="BF1552" s="139"/>
      <c r="BG1552" s="139"/>
      <c r="BH1552" s="139"/>
    </row>
    <row r="1553" spans="2:60" s="11" customFormat="1" ht="20.100000000000001" customHeight="1">
      <c r="B1553" s="1360"/>
      <c r="C1553" s="5598"/>
      <c r="D1553" s="9598" t="s">
        <v>633</v>
      </c>
      <c r="E1553" s="9600"/>
      <c r="F1553" s="285" t="s">
        <v>156</v>
      </c>
      <c r="G1553" s="666"/>
      <c r="H1553" s="684"/>
      <c r="I1553" s="9582" t="s">
        <v>150</v>
      </c>
      <c r="J1553" s="9583"/>
      <c r="K1553" s="105" t="s">
        <v>154</v>
      </c>
      <c r="L1553" s="5696"/>
      <c r="M1553" s="5718"/>
      <c r="N1553" s="5729"/>
      <c r="O1553" s="5718"/>
      <c r="P1553" s="5729"/>
      <c r="Q1553" s="5717"/>
      <c r="R1553" s="276"/>
      <c r="S1553" s="276"/>
      <c r="T1553" s="309"/>
      <c r="U1553" s="547"/>
      <c r="V1553" s="547"/>
      <c r="W1553" s="309"/>
      <c r="X1553" s="277"/>
      <c r="Y1553" s="277"/>
      <c r="Z1553" s="187"/>
      <c r="AA1553" s="6301"/>
      <c r="AB1553" s="139"/>
      <c r="AC1553" s="1377" t="s">
        <v>1156</v>
      </c>
      <c r="AD1553" s="139"/>
      <c r="AE1553" s="139"/>
      <c r="AF1553" s="139"/>
      <c r="AG1553" s="139"/>
      <c r="AH1553" s="139"/>
      <c r="AI1553" s="139"/>
      <c r="AJ1553" s="139"/>
      <c r="AK1553" s="139"/>
      <c r="AL1553" s="139"/>
      <c r="AM1553" s="139"/>
      <c r="AN1553" s="139"/>
      <c r="AO1553" s="139"/>
      <c r="AP1553" s="139"/>
      <c r="AQ1553" s="139"/>
      <c r="AR1553" s="139"/>
      <c r="AS1553" s="139"/>
      <c r="AT1553" s="139"/>
      <c r="AU1553" s="139"/>
      <c r="AV1553" s="139"/>
      <c r="AW1553" s="139"/>
      <c r="AX1553" s="139"/>
      <c r="AY1553" s="139"/>
      <c r="AZ1553" s="139"/>
      <c r="BA1553" s="139"/>
      <c r="BB1553" s="139"/>
      <c r="BC1553" s="139"/>
      <c r="BD1553" s="139"/>
      <c r="BE1553" s="139"/>
      <c r="BF1553" s="139"/>
      <c r="BG1553" s="139"/>
      <c r="BH1553" s="139"/>
    </row>
    <row r="1554" spans="2:60" s="11" customFormat="1" ht="19.350000000000001" customHeight="1">
      <c r="B1554" s="1360"/>
      <c r="C1554" s="6138" t="s">
        <v>1157</v>
      </c>
      <c r="D1554" s="6139"/>
      <c r="E1554" s="6139"/>
      <c r="F1554" s="6185"/>
      <c r="G1554" s="6185"/>
      <c r="H1554" s="6185" t="s">
        <v>1158</v>
      </c>
      <c r="I1554" s="6185"/>
      <c r="J1554" s="6185"/>
      <c r="K1554" s="6184"/>
      <c r="L1554" s="6186"/>
      <c r="M1554" s="6185"/>
      <c r="N1554" s="6185"/>
      <c r="O1554" s="6185"/>
      <c r="P1554" s="6185"/>
      <c r="Q1554" s="6185"/>
      <c r="R1554" s="276"/>
      <c r="S1554" s="508"/>
      <c r="T1554" s="99" t="s">
        <v>758</v>
      </c>
      <c r="U1554" s="547" t="s">
        <v>800</v>
      </c>
      <c r="V1554" s="547"/>
      <c r="W1554" s="99"/>
      <c r="X1554" s="277"/>
      <c r="Y1554" s="277"/>
      <c r="Z1554" s="187"/>
      <c r="AA1554" s="6301"/>
      <c r="AB1554" s="139"/>
      <c r="AC1554" s="139"/>
      <c r="AD1554" s="139"/>
      <c r="AE1554" s="139"/>
      <c r="AF1554" s="139"/>
      <c r="AG1554" s="139"/>
      <c r="AH1554" s="139"/>
      <c r="AI1554" s="139"/>
      <c r="AJ1554" s="139"/>
      <c r="AK1554" s="139"/>
      <c r="AL1554" s="139"/>
      <c r="AM1554" s="139"/>
      <c r="AN1554" s="139"/>
      <c r="AO1554" s="139"/>
      <c r="AP1554" s="139"/>
      <c r="AQ1554" s="139"/>
      <c r="AR1554" s="139"/>
      <c r="AS1554" s="139"/>
      <c r="AT1554" s="139"/>
      <c r="AU1554" s="139"/>
      <c r="AV1554" s="139"/>
      <c r="AW1554" s="139"/>
      <c r="AX1554" s="139"/>
      <c r="AY1554" s="139"/>
      <c r="AZ1554" s="139"/>
      <c r="BA1554" s="139"/>
      <c r="BB1554" s="139"/>
      <c r="BC1554" s="139"/>
      <c r="BD1554" s="139"/>
      <c r="BE1554" s="139"/>
      <c r="BF1554" s="139"/>
      <c r="BG1554" s="139"/>
      <c r="BH1554" s="139"/>
    </row>
    <row r="1555" spans="2:60" s="11" customFormat="1" ht="19.350000000000001" customHeight="1">
      <c r="B1555" s="1360"/>
      <c r="C1555" s="915"/>
      <c r="D1555" s="9584" t="s">
        <v>1159</v>
      </c>
      <c r="E1555" s="9585"/>
      <c r="F1555" s="285" t="s">
        <v>732</v>
      </c>
      <c r="G1555" s="358"/>
      <c r="H1555" s="643"/>
      <c r="I1555" s="9584" t="s">
        <v>1160</v>
      </c>
      <c r="J1555" s="9585"/>
      <c r="K1555" s="105" t="s">
        <v>734</v>
      </c>
      <c r="L1555" s="5653">
        <f>IF(COUNTBLANK(L1556:L1561)&gt;0,"미취합법인有",SUM(L1556:L1561))</f>
        <v>102</v>
      </c>
      <c r="M1555" s="5657"/>
      <c r="N1555" s="5654">
        <f>IF(COUNTBLANK(N1556:N1561)&gt;0,"미취합법인有",SUM(N1556:N1561))</f>
        <v>84</v>
      </c>
      <c r="O1555" s="5663"/>
      <c r="P1555" s="5781">
        <f>IF(COUNTBLANK(P1556:P1561)&gt;0,"미취합법인有",SUM(P1556:P1561))</f>
        <v>56</v>
      </c>
      <c r="Q1555" s="785"/>
      <c r="R1555" s="294" t="s">
        <v>1161</v>
      </c>
      <c r="S1555" s="276" t="s">
        <v>1162</v>
      </c>
      <c r="T1555" s="99" t="s">
        <v>758</v>
      </c>
      <c r="U1555" s="547" t="s">
        <v>800</v>
      </c>
      <c r="V1555" s="547"/>
      <c r="W1555" s="99"/>
      <c r="X1555" s="277" t="s">
        <v>1163</v>
      </c>
      <c r="Y1555" s="265"/>
      <c r="Z1555" s="187"/>
      <c r="AA1555" s="6301"/>
      <c r="AB1555" s="139"/>
      <c r="AC1555" s="139"/>
      <c r="AD1555" s="139"/>
      <c r="AE1555" s="139"/>
      <c r="AF1555" s="139"/>
      <c r="AG1555" s="139"/>
      <c r="AH1555" s="139"/>
      <c r="AI1555" s="139"/>
      <c r="AJ1555" s="139"/>
      <c r="AK1555" s="139"/>
      <c r="AL1555" s="139"/>
      <c r="AM1555" s="139"/>
      <c r="AN1555" s="139"/>
      <c r="AO1555" s="139"/>
      <c r="AP1555" s="139"/>
      <c r="AQ1555" s="139"/>
      <c r="AR1555" s="139"/>
      <c r="AS1555" s="139"/>
      <c r="AT1555" s="139"/>
      <c r="AU1555" s="139"/>
      <c r="AV1555" s="139"/>
      <c r="AW1555" s="139"/>
      <c r="AX1555" s="139"/>
      <c r="AY1555" s="139"/>
      <c r="AZ1555" s="139"/>
      <c r="BA1555" s="139"/>
      <c r="BB1555" s="139"/>
      <c r="BC1555" s="139"/>
      <c r="BD1555" s="139"/>
      <c r="BE1555" s="139"/>
      <c r="BF1555" s="139"/>
      <c r="BG1555" s="139"/>
      <c r="BH1555" s="139"/>
    </row>
    <row r="1556" spans="2:60" s="11" customFormat="1" ht="20.100000000000001" customHeight="1">
      <c r="B1556" s="1360"/>
      <c r="C1556" s="5598"/>
      <c r="D1556" s="9598" t="s">
        <v>134</v>
      </c>
      <c r="E1556" s="9600"/>
      <c r="F1556" s="285" t="s">
        <v>732</v>
      </c>
      <c r="G1556" s="666"/>
      <c r="H1556" s="684"/>
      <c r="I1556" s="9579" t="s">
        <v>135</v>
      </c>
      <c r="J1556" s="9581"/>
      <c r="K1556" s="105" t="s">
        <v>734</v>
      </c>
      <c r="L1556" s="5696">
        <v>40</v>
      </c>
      <c r="M1556" s="5718"/>
      <c r="N1556" s="5729">
        <v>46</v>
      </c>
      <c r="O1556" s="5716" t="s">
        <v>1164</v>
      </c>
      <c r="P1556" s="5855">
        <v>13</v>
      </c>
      <c r="Q1556" s="5717"/>
      <c r="R1556" s="294"/>
      <c r="S1556" s="276"/>
      <c r="T1556" s="309"/>
      <c r="U1556" s="547"/>
      <c r="V1556" s="547"/>
      <c r="W1556" s="309"/>
      <c r="X1556" s="277"/>
      <c r="Y1556" s="277"/>
      <c r="Z1556" s="187"/>
      <c r="AA1556" s="6301"/>
      <c r="AB1556" s="139"/>
      <c r="AC1556" s="139"/>
      <c r="AD1556" s="139"/>
      <c r="AE1556" s="139"/>
      <c r="AF1556" s="139"/>
      <c r="AG1556" s="139"/>
      <c r="AH1556" s="139"/>
      <c r="AI1556" s="139"/>
      <c r="AJ1556" s="139"/>
      <c r="AK1556" s="139"/>
      <c r="AL1556" s="139"/>
      <c r="AM1556" s="139"/>
      <c r="AN1556" s="139"/>
      <c r="AO1556" s="139"/>
      <c r="AP1556" s="139"/>
      <c r="AQ1556" s="139"/>
      <c r="AR1556" s="139"/>
      <c r="AS1556" s="139"/>
      <c r="AT1556" s="139"/>
      <c r="AU1556" s="139"/>
      <c r="AV1556" s="139"/>
      <c r="AW1556" s="139"/>
      <c r="AX1556" s="139"/>
      <c r="AY1556" s="139"/>
      <c r="AZ1556" s="139"/>
      <c r="BA1556" s="139"/>
      <c r="BB1556" s="139"/>
      <c r="BC1556" s="139"/>
      <c r="BD1556" s="139"/>
      <c r="BE1556" s="139"/>
      <c r="BF1556" s="139"/>
      <c r="BG1556" s="139"/>
      <c r="BH1556" s="139"/>
    </row>
    <row r="1557" spans="2:60" s="11" customFormat="1" ht="20.100000000000001" customHeight="1">
      <c r="B1557" s="1360"/>
      <c r="C1557" s="5598"/>
      <c r="D1557" s="9598" t="s">
        <v>137</v>
      </c>
      <c r="E1557" s="9600"/>
      <c r="F1557" s="285" t="s">
        <v>732</v>
      </c>
      <c r="G1557" s="666"/>
      <c r="H1557" s="684"/>
      <c r="I1557" s="9579" t="s">
        <v>138</v>
      </c>
      <c r="J1557" s="9581"/>
      <c r="K1557" s="105" t="s">
        <v>734</v>
      </c>
      <c r="L1557" s="5705">
        <v>0</v>
      </c>
      <c r="M1557" s="5719"/>
      <c r="N1557" s="5730">
        <v>0</v>
      </c>
      <c r="O1557" s="5720"/>
      <c r="P1557" s="5856">
        <f>'4DPLEX'!AA284</f>
        <v>0</v>
      </c>
      <c r="Q1557" s="5717"/>
      <c r="R1557" s="294"/>
      <c r="S1557" s="276"/>
      <c r="T1557" s="309"/>
      <c r="U1557" s="547"/>
      <c r="V1557" s="547"/>
      <c r="W1557" s="309"/>
      <c r="X1557" s="277"/>
      <c r="Y1557" s="277"/>
      <c r="Z1557" s="187"/>
      <c r="AA1557" s="6301"/>
      <c r="AB1557" s="139"/>
      <c r="AC1557" s="139"/>
      <c r="AD1557" s="139"/>
      <c r="AE1557" s="139"/>
      <c r="AF1557" s="139"/>
      <c r="AG1557" s="139"/>
      <c r="AH1557" s="139"/>
      <c r="AI1557" s="139"/>
      <c r="AJ1557" s="139"/>
      <c r="AK1557" s="139"/>
      <c r="AL1557" s="139"/>
      <c r="AM1557" s="139"/>
      <c r="AN1557" s="139"/>
      <c r="AO1557" s="139"/>
      <c r="AP1557" s="139"/>
      <c r="AQ1557" s="139"/>
      <c r="AR1557" s="139"/>
      <c r="AS1557" s="139"/>
      <c r="AT1557" s="139"/>
      <c r="AU1557" s="139"/>
      <c r="AV1557" s="139"/>
      <c r="AW1557" s="139"/>
      <c r="AX1557" s="139"/>
      <c r="AY1557" s="139"/>
      <c r="AZ1557" s="139"/>
      <c r="BA1557" s="139"/>
      <c r="BB1557" s="139"/>
      <c r="BC1557" s="139"/>
      <c r="BD1557" s="139"/>
      <c r="BE1557" s="139"/>
      <c r="BF1557" s="139"/>
      <c r="BG1557" s="139"/>
      <c r="BH1557" s="139"/>
    </row>
    <row r="1558" spans="2:60" s="11" customFormat="1" ht="20.100000000000001" customHeight="1">
      <c r="B1558" s="1360"/>
      <c r="C1558" s="5598"/>
      <c r="D1558" s="9598" t="s">
        <v>140</v>
      </c>
      <c r="E1558" s="9600"/>
      <c r="F1558" s="285" t="s">
        <v>732</v>
      </c>
      <c r="G1558" s="666"/>
      <c r="H1558" s="684"/>
      <c r="I1558" s="9582" t="s">
        <v>141</v>
      </c>
      <c r="J1558" s="9583"/>
      <c r="K1558" s="105" t="s">
        <v>734</v>
      </c>
      <c r="L1558" s="5696">
        <f>China!AO309</f>
        <v>1</v>
      </c>
      <c r="M1558" s="5718"/>
      <c r="N1558" s="5729">
        <f>China!AQ309</f>
        <v>4</v>
      </c>
      <c r="O1558" s="5716"/>
      <c r="P1558" s="5855">
        <f>China!AS309</f>
        <v>14</v>
      </c>
      <c r="Q1558" s="5717"/>
      <c r="R1558" s="294"/>
      <c r="S1558" s="276"/>
      <c r="T1558" s="309"/>
      <c r="U1558" s="547"/>
      <c r="V1558" s="547"/>
      <c r="W1558" s="309"/>
      <c r="X1558" s="277"/>
      <c r="Y1558" s="277"/>
      <c r="Z1558" s="187"/>
      <c r="AA1558" s="6301"/>
      <c r="AB1558" s="139"/>
      <c r="AC1558" s="139"/>
      <c r="AD1558" s="139"/>
      <c r="AE1558" s="139"/>
      <c r="AF1558" s="139"/>
      <c r="AG1558" s="139"/>
      <c r="AH1558" s="139"/>
      <c r="AI1558" s="139"/>
      <c r="AJ1558" s="139"/>
      <c r="AK1558" s="139"/>
      <c r="AL1558" s="139"/>
      <c r="AM1558" s="139"/>
      <c r="AN1558" s="139"/>
      <c r="AO1558" s="139"/>
      <c r="AP1558" s="139"/>
      <c r="AQ1558" s="139"/>
      <c r="AR1558" s="139"/>
      <c r="AS1558" s="139"/>
      <c r="AT1558" s="139"/>
      <c r="AU1558" s="139"/>
      <c r="AV1558" s="139"/>
      <c r="AW1558" s="139"/>
      <c r="AX1558" s="139"/>
      <c r="AY1558" s="139"/>
      <c r="AZ1558" s="139"/>
      <c r="BA1558" s="139"/>
      <c r="BB1558" s="139"/>
      <c r="BC1558" s="139"/>
      <c r="BD1558" s="139"/>
      <c r="BE1558" s="139"/>
      <c r="BF1558" s="139"/>
      <c r="BG1558" s="139"/>
      <c r="BH1558" s="139"/>
    </row>
    <row r="1559" spans="2:60" s="11" customFormat="1" ht="20.100000000000001" customHeight="1">
      <c r="B1559" s="1360"/>
      <c r="C1559" s="614"/>
      <c r="D1559" s="9598" t="s">
        <v>143</v>
      </c>
      <c r="E1559" s="9600"/>
      <c r="F1559" s="285" t="s">
        <v>732</v>
      </c>
      <c r="G1559" s="666"/>
      <c r="H1559" s="684"/>
      <c r="I1559" s="9582" t="s">
        <v>144</v>
      </c>
      <c r="J1559" s="9583"/>
      <c r="K1559" s="105" t="s">
        <v>734</v>
      </c>
      <c r="L1559" s="5696">
        <f>Vietnam!Q309</f>
        <v>34</v>
      </c>
      <c r="M1559" s="5718" t="s">
        <v>1165</v>
      </c>
      <c r="N1559" s="5729">
        <f>Vietnam!S309</f>
        <v>4</v>
      </c>
      <c r="O1559" s="5716"/>
      <c r="P1559" s="5855">
        <f>Vietnam!U309</f>
        <v>13</v>
      </c>
      <c r="Q1559" s="5717"/>
      <c r="R1559" s="294"/>
      <c r="S1559" s="276"/>
      <c r="T1559" s="309"/>
      <c r="U1559" s="547"/>
      <c r="V1559" s="547"/>
      <c r="W1559" s="309"/>
      <c r="X1559" s="277"/>
      <c r="Y1559" s="277"/>
      <c r="Z1559" s="187"/>
      <c r="AA1559" s="6301"/>
      <c r="AB1559" s="139"/>
      <c r="AC1559" s="139"/>
      <c r="AD1559" s="139"/>
      <c r="AE1559" s="139"/>
      <c r="AF1559" s="139"/>
      <c r="AG1559" s="139"/>
      <c r="AH1559" s="139"/>
      <c r="AI1559" s="139"/>
      <c r="AJ1559" s="139"/>
      <c r="AK1559" s="139"/>
      <c r="AL1559" s="139"/>
      <c r="AM1559" s="139"/>
      <c r="AN1559" s="139"/>
      <c r="AO1559" s="139"/>
      <c r="AP1559" s="139"/>
      <c r="AQ1559" s="139"/>
      <c r="AR1559" s="139"/>
      <c r="AS1559" s="139"/>
      <c r="AT1559" s="139"/>
      <c r="AU1559" s="139"/>
      <c r="AV1559" s="139"/>
      <c r="AW1559" s="139"/>
      <c r="AX1559" s="139"/>
      <c r="AY1559" s="139"/>
      <c r="AZ1559" s="139"/>
      <c r="BA1559" s="139"/>
      <c r="BB1559" s="139"/>
      <c r="BC1559" s="139"/>
      <c r="BD1559" s="139"/>
      <c r="BE1559" s="139"/>
      <c r="BF1559" s="139"/>
      <c r="BG1559" s="139"/>
      <c r="BH1559" s="139"/>
    </row>
    <row r="1560" spans="2:60" s="11" customFormat="1" ht="20.100000000000001" customHeight="1">
      <c r="B1560" s="1360"/>
      <c r="C1560" s="5598"/>
      <c r="D1560" s="9598" t="s">
        <v>631</v>
      </c>
      <c r="E1560" s="9600"/>
      <c r="F1560" s="285" t="s">
        <v>732</v>
      </c>
      <c r="G1560" s="666"/>
      <c r="H1560" s="684"/>
      <c r="I1560" s="9582" t="s">
        <v>147</v>
      </c>
      <c r="J1560" s="9583"/>
      <c r="K1560" s="105" t="s">
        <v>734</v>
      </c>
      <c r="L1560" s="5696">
        <f>Indonesia!V309</f>
        <v>19</v>
      </c>
      <c r="M1560" s="5718"/>
      <c r="N1560" s="5729">
        <f>Indonesia!X309</f>
        <v>12</v>
      </c>
      <c r="O1560" s="5716"/>
      <c r="P1560" s="5855">
        <f>Indonesia!Z309</f>
        <v>3</v>
      </c>
      <c r="Q1560" s="5717"/>
      <c r="R1560" s="294"/>
      <c r="S1560" s="276"/>
      <c r="T1560" s="309"/>
      <c r="U1560" s="547"/>
      <c r="V1560" s="547"/>
      <c r="W1560" s="309"/>
      <c r="X1560" s="277"/>
      <c r="Y1560" s="277"/>
      <c r="Z1560" s="187"/>
      <c r="AA1560" s="6301"/>
      <c r="AB1560" s="139"/>
      <c r="AC1560" s="139"/>
      <c r="AD1560" s="139"/>
      <c r="AE1560" s="139"/>
      <c r="AF1560" s="139"/>
      <c r="AG1560" s="139"/>
      <c r="AH1560" s="139"/>
      <c r="AI1560" s="139"/>
      <c r="AJ1560" s="139"/>
      <c r="AK1560" s="139"/>
      <c r="AL1560" s="139"/>
      <c r="AM1560" s="139"/>
      <c r="AN1560" s="139"/>
      <c r="AO1560" s="139"/>
      <c r="AP1560" s="139"/>
      <c r="AQ1560" s="139"/>
      <c r="AR1560" s="139"/>
      <c r="AS1560" s="139"/>
      <c r="AT1560" s="139"/>
      <c r="AU1560" s="139"/>
      <c r="AV1560" s="139"/>
      <c r="AW1560" s="139"/>
      <c r="AX1560" s="139"/>
      <c r="AY1560" s="139"/>
      <c r="AZ1560" s="139"/>
      <c r="BA1560" s="139"/>
      <c r="BB1560" s="139"/>
      <c r="BC1560" s="139"/>
      <c r="BD1560" s="139"/>
      <c r="BE1560" s="139"/>
      <c r="BF1560" s="139"/>
      <c r="BG1560" s="139"/>
      <c r="BH1560" s="139"/>
    </row>
    <row r="1561" spans="2:60" s="11" customFormat="1" ht="20.100000000000001" customHeight="1">
      <c r="B1561" s="1360"/>
      <c r="C1561" s="5598"/>
      <c r="D1561" s="9598" t="s">
        <v>633</v>
      </c>
      <c r="E1561" s="9600"/>
      <c r="F1561" s="285" t="s">
        <v>732</v>
      </c>
      <c r="G1561" s="666"/>
      <c r="H1561" s="684"/>
      <c r="I1561" s="9582" t="s">
        <v>150</v>
      </c>
      <c r="J1561" s="9583"/>
      <c r="K1561" s="105" t="s">
        <v>734</v>
      </c>
      <c r="L1561" s="5696">
        <v>8</v>
      </c>
      <c r="M1561" s="5718"/>
      <c r="N1561" s="5729">
        <v>18</v>
      </c>
      <c r="O1561" s="5718"/>
      <c r="P1561" s="5729">
        <v>13</v>
      </c>
      <c r="Q1561" s="5717"/>
      <c r="R1561" s="294"/>
      <c r="S1561" s="276"/>
      <c r="T1561" s="309"/>
      <c r="U1561" s="547"/>
      <c r="V1561" s="547"/>
      <c r="W1561" s="309"/>
      <c r="X1561" s="277"/>
      <c r="Y1561" s="277"/>
      <c r="Z1561" s="187"/>
      <c r="AA1561" s="6301"/>
      <c r="AB1561" s="139"/>
      <c r="AC1561" s="139"/>
      <c r="AD1561" s="139"/>
      <c r="AE1561" s="139"/>
      <c r="AF1561" s="139"/>
      <c r="AG1561" s="139"/>
      <c r="AH1561" s="139"/>
      <c r="AI1561" s="139"/>
      <c r="AJ1561" s="139"/>
      <c r="AK1561" s="139"/>
      <c r="AL1561" s="139"/>
      <c r="AM1561" s="139"/>
      <c r="AN1561" s="139"/>
      <c r="AO1561" s="139"/>
      <c r="AP1561" s="139"/>
      <c r="AQ1561" s="139"/>
      <c r="AR1561" s="139"/>
      <c r="AS1561" s="139"/>
      <c r="AT1561" s="139"/>
      <c r="AU1561" s="139"/>
      <c r="AV1561" s="139"/>
      <c r="AW1561" s="139"/>
      <c r="AX1561" s="139"/>
      <c r="AY1561" s="139"/>
      <c r="AZ1561" s="139"/>
      <c r="BA1561" s="139"/>
      <c r="BB1561" s="139"/>
      <c r="BC1561" s="139"/>
      <c r="BD1561" s="139"/>
      <c r="BE1561" s="139"/>
      <c r="BF1561" s="139"/>
      <c r="BG1561" s="139"/>
      <c r="BH1561" s="139"/>
    </row>
    <row r="1562" spans="2:60" s="11" customFormat="1" ht="19.350000000000001" customHeight="1">
      <c r="B1562" s="1360"/>
      <c r="C1562" s="921"/>
      <c r="D1562" s="9584" t="s">
        <v>1166</v>
      </c>
      <c r="E1562" s="9585"/>
      <c r="F1562" s="285" t="s">
        <v>732</v>
      </c>
      <c r="G1562" s="358"/>
      <c r="H1562" s="643"/>
      <c r="I1562" s="9584" t="s">
        <v>1167</v>
      </c>
      <c r="J1562" s="9585"/>
      <c r="K1562" s="105" t="s">
        <v>734</v>
      </c>
      <c r="L1562" s="5653" t="str">
        <f>IF(COUNTBLANK(L1563:L1568)&gt;0,"미취합법인有",SUM(L1563:L1568))</f>
        <v>미취합법인有</v>
      </c>
      <c r="M1562" s="5657"/>
      <c r="N1562" s="5654" t="str">
        <f>IF(COUNTBLANK(N1563:N1568)&gt;0,"미취합법인有",SUM(N1563:N1568))</f>
        <v>미취합법인有</v>
      </c>
      <c r="O1562" s="5663"/>
      <c r="P1562" s="5781">
        <f>IF(COUNTBLANK(P1563:P1568)&gt;0,"미취합법인有",SUM(P1563:P1568))</f>
        <v>82</v>
      </c>
      <c r="Q1562" s="785"/>
      <c r="R1562" s="294"/>
      <c r="S1562" s="276"/>
      <c r="T1562" s="99" t="s">
        <v>758</v>
      </c>
      <c r="U1562" s="547" t="s">
        <v>800</v>
      </c>
      <c r="V1562" s="547"/>
      <c r="W1562" s="99"/>
      <c r="X1562" s="277" t="s">
        <v>1163</v>
      </c>
      <c r="Y1562" s="265"/>
      <c r="Z1562" s="187"/>
      <c r="AA1562" s="6301"/>
      <c r="AB1562" s="139"/>
      <c r="AC1562" s="139"/>
      <c r="AD1562" s="139"/>
      <c r="AE1562" s="139"/>
      <c r="AF1562" s="139"/>
      <c r="AG1562" s="139"/>
      <c r="AH1562" s="139"/>
      <c r="AI1562" s="139"/>
      <c r="AJ1562" s="139"/>
      <c r="AK1562" s="139"/>
      <c r="AL1562" s="139"/>
      <c r="AM1562" s="139"/>
      <c r="AN1562" s="139"/>
      <c r="AO1562" s="139"/>
      <c r="AP1562" s="139"/>
      <c r="AQ1562" s="139"/>
      <c r="AR1562" s="139"/>
      <c r="AS1562" s="139"/>
      <c r="AT1562" s="139"/>
      <c r="AU1562" s="139"/>
      <c r="AV1562" s="139"/>
      <c r="AW1562" s="139"/>
      <c r="AX1562" s="139"/>
      <c r="AY1562" s="139"/>
      <c r="AZ1562" s="139"/>
      <c r="BA1562" s="139"/>
      <c r="BB1562" s="139"/>
      <c r="BC1562" s="139"/>
      <c r="BD1562" s="139"/>
      <c r="BE1562" s="139"/>
      <c r="BF1562" s="139"/>
      <c r="BG1562" s="139"/>
      <c r="BH1562" s="139"/>
    </row>
    <row r="1563" spans="2:60" s="11" customFormat="1" ht="20.100000000000001" customHeight="1">
      <c r="B1563" s="1360"/>
      <c r="C1563" s="5598"/>
      <c r="D1563" s="9598" t="s">
        <v>134</v>
      </c>
      <c r="E1563" s="9600"/>
      <c r="F1563" s="285" t="s">
        <v>732</v>
      </c>
      <c r="G1563" s="666"/>
      <c r="H1563" s="684"/>
      <c r="I1563" s="9579" t="s">
        <v>135</v>
      </c>
      <c r="J1563" s="9581"/>
      <c r="K1563" s="105" t="s">
        <v>734</v>
      </c>
      <c r="L1563" s="5696">
        <v>24</v>
      </c>
      <c r="M1563" s="5718"/>
      <c r="N1563" s="5729">
        <v>24</v>
      </c>
      <c r="O1563" s="5716" t="s">
        <v>1164</v>
      </c>
      <c r="P1563" s="5855">
        <v>31</v>
      </c>
      <c r="Q1563" s="5717"/>
      <c r="R1563" s="276"/>
      <c r="S1563" s="276"/>
      <c r="T1563" s="309"/>
      <c r="U1563" s="547"/>
      <c r="V1563" s="547"/>
      <c r="W1563" s="309"/>
      <c r="X1563" s="277"/>
      <c r="Y1563" s="277"/>
      <c r="Z1563" s="187"/>
      <c r="AA1563" s="6301"/>
      <c r="AB1563" s="139"/>
      <c r="AC1563" s="139"/>
      <c r="AD1563" s="139"/>
      <c r="AE1563" s="139"/>
      <c r="AF1563" s="139"/>
      <c r="AG1563" s="139"/>
      <c r="AH1563" s="139"/>
      <c r="AI1563" s="139"/>
      <c r="AJ1563" s="139"/>
      <c r="AK1563" s="139"/>
      <c r="AL1563" s="139"/>
      <c r="AM1563" s="139"/>
      <c r="AN1563" s="139"/>
      <c r="AO1563" s="139"/>
      <c r="AP1563" s="139"/>
      <c r="AQ1563" s="139"/>
      <c r="AR1563" s="139"/>
      <c r="AS1563" s="139"/>
      <c r="AT1563" s="139"/>
      <c r="AU1563" s="139"/>
      <c r="AV1563" s="139"/>
      <c r="AW1563" s="139"/>
      <c r="AX1563" s="139"/>
      <c r="AY1563" s="139"/>
      <c r="AZ1563" s="139"/>
      <c r="BA1563" s="139"/>
      <c r="BB1563" s="139"/>
      <c r="BC1563" s="139"/>
      <c r="BD1563" s="139"/>
      <c r="BE1563" s="139"/>
      <c r="BF1563" s="139"/>
      <c r="BG1563" s="139"/>
      <c r="BH1563" s="139"/>
    </row>
    <row r="1564" spans="2:60" s="11" customFormat="1" ht="20.100000000000001" customHeight="1">
      <c r="B1564" s="1360"/>
      <c r="C1564" s="5598"/>
      <c r="D1564" s="9598" t="s">
        <v>137</v>
      </c>
      <c r="E1564" s="9600"/>
      <c r="F1564" s="285" t="s">
        <v>732</v>
      </c>
      <c r="G1564" s="666"/>
      <c r="H1564" s="684"/>
      <c r="I1564" s="9579" t="s">
        <v>138</v>
      </c>
      <c r="J1564" s="9581"/>
      <c r="K1564" s="105" t="s">
        <v>734</v>
      </c>
      <c r="L1564" s="5705"/>
      <c r="M1564" s="5719"/>
      <c r="N1564" s="5730"/>
      <c r="O1564" s="5720"/>
      <c r="P1564" s="5869">
        <f>'4DPLEX'!AA285</f>
        <v>2</v>
      </c>
      <c r="Q1564" s="5717"/>
      <c r="R1564" s="276"/>
      <c r="S1564" s="276"/>
      <c r="T1564" s="309"/>
      <c r="U1564" s="547"/>
      <c r="V1564" s="547"/>
      <c r="W1564" s="309"/>
      <c r="X1564" s="277"/>
      <c r="Y1564" s="277"/>
      <c r="Z1564" s="187"/>
      <c r="AA1564" s="6301"/>
      <c r="AB1564" s="139"/>
      <c r="AC1564" s="139"/>
      <c r="AD1564" s="139"/>
      <c r="AE1564" s="139"/>
      <c r="AF1564" s="139"/>
      <c r="AG1564" s="139"/>
      <c r="AH1564" s="139"/>
      <c r="AI1564" s="139"/>
      <c r="AJ1564" s="139"/>
      <c r="AK1564" s="139"/>
      <c r="AL1564" s="139"/>
      <c r="AM1564" s="139"/>
      <c r="AN1564" s="139"/>
      <c r="AO1564" s="139"/>
      <c r="AP1564" s="139"/>
      <c r="AQ1564" s="139"/>
      <c r="AR1564" s="139"/>
      <c r="AS1564" s="139"/>
      <c r="AT1564" s="139"/>
      <c r="AU1564" s="139"/>
      <c r="AV1564" s="139"/>
      <c r="AW1564" s="139"/>
      <c r="AX1564" s="139"/>
      <c r="AY1564" s="139"/>
      <c r="AZ1564" s="139"/>
      <c r="BA1564" s="139"/>
      <c r="BB1564" s="139"/>
      <c r="BC1564" s="139"/>
      <c r="BD1564" s="139"/>
      <c r="BE1564" s="139"/>
      <c r="BF1564" s="139"/>
      <c r="BG1564" s="139"/>
      <c r="BH1564" s="139"/>
    </row>
    <row r="1565" spans="2:60" s="11" customFormat="1" ht="20.100000000000001" customHeight="1">
      <c r="B1565" s="1360"/>
      <c r="C1565" s="5598"/>
      <c r="D1565" s="9598" t="s">
        <v>140</v>
      </c>
      <c r="E1565" s="9600"/>
      <c r="F1565" s="285" t="s">
        <v>732</v>
      </c>
      <c r="G1565" s="666"/>
      <c r="H1565" s="684"/>
      <c r="I1565" s="9582" t="s">
        <v>141</v>
      </c>
      <c r="J1565" s="9583"/>
      <c r="K1565" s="105" t="s">
        <v>734</v>
      </c>
      <c r="L1565" s="5696">
        <f>China!AO310</f>
        <v>2</v>
      </c>
      <c r="M1565" s="5718"/>
      <c r="N1565" s="5729">
        <f>China!AQ310</f>
        <v>5</v>
      </c>
      <c r="O1565" s="5716"/>
      <c r="P1565" s="5855">
        <f>China!AS310</f>
        <v>28</v>
      </c>
      <c r="Q1565" s="5717"/>
      <c r="R1565" s="276"/>
      <c r="S1565" s="276"/>
      <c r="T1565" s="309"/>
      <c r="U1565" s="547"/>
      <c r="V1565" s="547"/>
      <c r="W1565" s="309"/>
      <c r="X1565" s="277"/>
      <c r="Y1565" s="277"/>
      <c r="Z1565" s="187"/>
      <c r="AA1565" s="6301"/>
      <c r="AB1565" s="139"/>
      <c r="AC1565" s="139"/>
      <c r="AD1565" s="139"/>
      <c r="AE1565" s="139"/>
      <c r="AF1565" s="139"/>
      <c r="AG1565" s="139"/>
      <c r="AH1565" s="139"/>
      <c r="AI1565" s="139"/>
      <c r="AJ1565" s="139"/>
      <c r="AK1565" s="139"/>
      <c r="AL1565" s="139"/>
      <c r="AM1565" s="139"/>
      <c r="AN1565" s="139"/>
      <c r="AO1565" s="139"/>
      <c r="AP1565" s="139"/>
      <c r="AQ1565" s="139"/>
      <c r="AR1565" s="139"/>
      <c r="AS1565" s="139"/>
      <c r="AT1565" s="139"/>
      <c r="AU1565" s="139"/>
      <c r="AV1565" s="139"/>
      <c r="AW1565" s="139"/>
      <c r="AX1565" s="139"/>
      <c r="AY1565" s="139"/>
      <c r="AZ1565" s="139"/>
      <c r="BA1565" s="139"/>
      <c r="BB1565" s="139"/>
      <c r="BC1565" s="139"/>
      <c r="BD1565" s="139"/>
      <c r="BE1565" s="139"/>
      <c r="BF1565" s="139"/>
      <c r="BG1565" s="139"/>
      <c r="BH1565" s="139"/>
    </row>
    <row r="1566" spans="2:60" s="11" customFormat="1" ht="20.100000000000001" customHeight="1">
      <c r="B1566" s="1360"/>
      <c r="C1566" s="614"/>
      <c r="D1566" s="9598" t="s">
        <v>143</v>
      </c>
      <c r="E1566" s="9600"/>
      <c r="F1566" s="285" t="s">
        <v>732</v>
      </c>
      <c r="G1566" s="666"/>
      <c r="H1566" s="684"/>
      <c r="I1566" s="9582" t="s">
        <v>144</v>
      </c>
      <c r="J1566" s="9583"/>
      <c r="K1566" s="105" t="s">
        <v>734</v>
      </c>
      <c r="L1566" s="5696">
        <f>Vietnam!Q310</f>
        <v>19</v>
      </c>
      <c r="M1566" s="5718" t="s">
        <v>1165</v>
      </c>
      <c r="N1566" s="5729">
        <f>Vietnam!S310</f>
        <v>10</v>
      </c>
      <c r="O1566" s="5716"/>
      <c r="P1566" s="5855">
        <f>Vietnam!U310</f>
        <v>11</v>
      </c>
      <c r="Q1566" s="5717"/>
      <c r="R1566" s="276"/>
      <c r="S1566" s="276"/>
      <c r="T1566" s="309"/>
      <c r="U1566" s="547"/>
      <c r="V1566" s="547"/>
      <c r="W1566" s="309"/>
      <c r="X1566" s="277"/>
      <c r="Y1566" s="277"/>
      <c r="Z1566" s="187"/>
      <c r="AA1566" s="6301"/>
      <c r="AB1566" s="139"/>
      <c r="AC1566" s="139"/>
      <c r="AD1566" s="139"/>
      <c r="AE1566" s="139"/>
      <c r="AF1566" s="139"/>
      <c r="AG1566" s="139"/>
      <c r="AH1566" s="139"/>
      <c r="AI1566" s="139"/>
      <c r="AJ1566" s="139"/>
      <c r="AK1566" s="139"/>
      <c r="AL1566" s="139"/>
      <c r="AM1566" s="139"/>
      <c r="AN1566" s="139"/>
      <c r="AO1566" s="139"/>
      <c r="AP1566" s="139"/>
      <c r="AQ1566" s="139"/>
      <c r="AR1566" s="139"/>
      <c r="AS1566" s="139"/>
      <c r="AT1566" s="139"/>
      <c r="AU1566" s="139"/>
      <c r="AV1566" s="139"/>
      <c r="AW1566" s="139"/>
      <c r="AX1566" s="139"/>
      <c r="AY1566" s="139"/>
      <c r="AZ1566" s="139"/>
      <c r="BA1566" s="139"/>
      <c r="BB1566" s="139"/>
      <c r="BC1566" s="139"/>
      <c r="BD1566" s="139"/>
      <c r="BE1566" s="139"/>
      <c r="BF1566" s="139"/>
      <c r="BG1566" s="139"/>
      <c r="BH1566" s="139"/>
    </row>
    <row r="1567" spans="2:60" s="11" customFormat="1" ht="20.100000000000001" customHeight="1">
      <c r="B1567" s="1360"/>
      <c r="C1567" s="5598"/>
      <c r="D1567" s="9598" t="s">
        <v>631</v>
      </c>
      <c r="E1567" s="9600"/>
      <c r="F1567" s="285" t="s">
        <v>732</v>
      </c>
      <c r="G1567" s="666"/>
      <c r="H1567" s="684"/>
      <c r="I1567" s="9582" t="s">
        <v>147</v>
      </c>
      <c r="J1567" s="9583"/>
      <c r="K1567" s="105" t="s">
        <v>734</v>
      </c>
      <c r="L1567" s="5696">
        <f>Indonesia!V310</f>
        <v>13</v>
      </c>
      <c r="M1567" s="5718"/>
      <c r="N1567" s="5729">
        <f>Indonesia!X310</f>
        <v>7</v>
      </c>
      <c r="O1567" s="5716"/>
      <c r="P1567" s="5855">
        <f>Indonesia!Z310</f>
        <v>2</v>
      </c>
      <c r="Q1567" s="5717"/>
      <c r="R1567" s="276"/>
      <c r="S1567" s="276"/>
      <c r="T1567" s="309"/>
      <c r="U1567" s="547"/>
      <c r="V1567" s="547"/>
      <c r="W1567" s="309"/>
      <c r="X1567" s="277"/>
      <c r="Y1567" s="277"/>
      <c r="Z1567" s="187"/>
      <c r="AA1567" s="6301"/>
      <c r="AB1567" s="139"/>
      <c r="AC1567" s="139"/>
      <c r="AD1567" s="139"/>
      <c r="AE1567" s="139"/>
      <c r="AF1567" s="139"/>
      <c r="AG1567" s="139"/>
      <c r="AH1567" s="139"/>
      <c r="AI1567" s="139"/>
      <c r="AJ1567" s="139"/>
      <c r="AK1567" s="139"/>
      <c r="AL1567" s="139"/>
      <c r="AM1567" s="139"/>
      <c r="AN1567" s="139"/>
      <c r="AO1567" s="139"/>
      <c r="AP1567" s="139"/>
      <c r="AQ1567" s="139"/>
      <c r="AR1567" s="139"/>
      <c r="AS1567" s="139"/>
      <c r="AT1567" s="139"/>
      <c r="AU1567" s="139"/>
      <c r="AV1567" s="139"/>
      <c r="AW1567" s="139"/>
      <c r="AX1567" s="139"/>
      <c r="AY1567" s="139"/>
      <c r="AZ1567" s="139"/>
      <c r="BA1567" s="139"/>
      <c r="BB1567" s="139"/>
      <c r="BC1567" s="139"/>
      <c r="BD1567" s="139"/>
      <c r="BE1567" s="139"/>
      <c r="BF1567" s="139"/>
      <c r="BG1567" s="139"/>
      <c r="BH1567" s="139"/>
    </row>
    <row r="1568" spans="2:60" s="11" customFormat="1" ht="20.100000000000001" customHeight="1">
      <c r="B1568" s="1360"/>
      <c r="C1568" s="5598"/>
      <c r="D1568" s="9598" t="s">
        <v>633</v>
      </c>
      <c r="E1568" s="9600"/>
      <c r="F1568" s="285" t="s">
        <v>732</v>
      </c>
      <c r="G1568" s="666"/>
      <c r="H1568" s="684"/>
      <c r="I1568" s="9582" t="s">
        <v>150</v>
      </c>
      <c r="J1568" s="9583"/>
      <c r="K1568" s="105" t="s">
        <v>734</v>
      </c>
      <c r="L1568" s="5696">
        <v>15</v>
      </c>
      <c r="M1568" s="5718"/>
      <c r="N1568" s="5729">
        <v>11</v>
      </c>
      <c r="O1568" s="5718"/>
      <c r="P1568" s="5729">
        <v>8</v>
      </c>
      <c r="Q1568" s="5717"/>
      <c r="R1568" s="276"/>
      <c r="S1568" s="276"/>
      <c r="T1568" s="309"/>
      <c r="U1568" s="547"/>
      <c r="V1568" s="547"/>
      <c r="W1568" s="309"/>
      <c r="X1568" s="277"/>
      <c r="Y1568" s="277"/>
      <c r="Z1568" s="187"/>
      <c r="AA1568" s="6301"/>
      <c r="AB1568" s="139"/>
      <c r="AC1568" s="139"/>
      <c r="AD1568" s="139"/>
      <c r="AE1568" s="139"/>
      <c r="AF1568" s="139"/>
      <c r="AG1568" s="139"/>
      <c r="AH1568" s="139"/>
      <c r="AI1568" s="139"/>
      <c r="AJ1568" s="139"/>
      <c r="AK1568" s="139"/>
      <c r="AL1568" s="139"/>
      <c r="AM1568" s="139"/>
      <c r="AN1568" s="139"/>
      <c r="AO1568" s="139"/>
      <c r="AP1568" s="139"/>
      <c r="AQ1568" s="139"/>
      <c r="AR1568" s="139"/>
      <c r="AS1568" s="139"/>
      <c r="AT1568" s="139"/>
      <c r="AU1568" s="139"/>
      <c r="AV1568" s="139"/>
      <c r="AW1568" s="139"/>
      <c r="AX1568" s="139"/>
      <c r="AY1568" s="139"/>
      <c r="AZ1568" s="139"/>
      <c r="BA1568" s="139"/>
      <c r="BB1568" s="139"/>
      <c r="BC1568" s="139"/>
      <c r="BD1568" s="139"/>
      <c r="BE1568" s="139"/>
      <c r="BF1568" s="139"/>
      <c r="BG1568" s="139"/>
      <c r="BH1568" s="139"/>
    </row>
    <row r="1569" spans="2:60" s="11" customFormat="1" ht="19.350000000000001" customHeight="1">
      <c r="B1569" s="1360"/>
      <c r="C1569" s="6138" t="s">
        <v>1168</v>
      </c>
      <c r="D1569" s="6139"/>
      <c r="E1569" s="6139"/>
      <c r="F1569" s="6185"/>
      <c r="G1569" s="6185"/>
      <c r="H1569" s="9716" t="s">
        <v>1169</v>
      </c>
      <c r="I1569" s="9691"/>
      <c r="J1569" s="9692"/>
      <c r="K1569" s="6141"/>
      <c r="L1569" s="6186"/>
      <c r="M1569" s="6185"/>
      <c r="N1569" s="6185"/>
      <c r="O1569" s="6185"/>
      <c r="P1569" s="6185"/>
      <c r="Q1569" s="6185"/>
      <c r="R1569" s="276"/>
      <c r="S1569" s="508"/>
      <c r="T1569" s="99" t="s">
        <v>737</v>
      </c>
      <c r="U1569" s="547" t="s">
        <v>800</v>
      </c>
      <c r="V1569" s="547"/>
      <c r="W1569" s="99"/>
      <c r="X1569" s="277"/>
      <c r="Y1569" s="265"/>
      <c r="Z1569" s="187"/>
      <c r="AA1569" s="6301"/>
      <c r="AB1569" s="139"/>
      <c r="AC1569" s="139"/>
      <c r="AD1569" s="139"/>
      <c r="AE1569" s="139"/>
      <c r="AF1569" s="139"/>
      <c r="AG1569" s="139"/>
      <c r="AH1569" s="139"/>
      <c r="AI1569" s="139"/>
      <c r="AJ1569" s="139"/>
      <c r="AK1569" s="139"/>
      <c r="AL1569" s="139"/>
      <c r="AM1569" s="139"/>
      <c r="AN1569" s="139"/>
      <c r="AO1569" s="139"/>
      <c r="AP1569" s="139"/>
      <c r="AQ1569" s="139"/>
      <c r="AR1569" s="139"/>
      <c r="AS1569" s="139"/>
      <c r="AT1569" s="139"/>
      <c r="AU1569" s="139"/>
      <c r="AV1569" s="139"/>
      <c r="AW1569" s="139"/>
      <c r="AX1569" s="139"/>
      <c r="AY1569" s="139"/>
      <c r="AZ1569" s="139"/>
      <c r="BA1569" s="139"/>
      <c r="BB1569" s="139"/>
      <c r="BC1569" s="139"/>
      <c r="BD1569" s="139"/>
      <c r="BE1569" s="139"/>
      <c r="BF1569" s="139"/>
      <c r="BG1569" s="139"/>
      <c r="BH1569" s="139"/>
    </row>
    <row r="1570" spans="2:60" s="11" customFormat="1" ht="19.350000000000001" customHeight="1">
      <c r="B1570" s="1360"/>
      <c r="C1570" s="915"/>
      <c r="D1570" s="9584" t="s">
        <v>1170</v>
      </c>
      <c r="E1570" s="9585"/>
      <c r="F1570" s="285" t="s">
        <v>742</v>
      </c>
      <c r="G1570" s="358"/>
      <c r="H1570" s="358"/>
      <c r="I1570" s="9584" t="s">
        <v>1171</v>
      </c>
      <c r="J1570" s="9585"/>
      <c r="K1570" s="105" t="s">
        <v>734</v>
      </c>
      <c r="L1570" s="5783">
        <f>IF(COUNTBLANK(L1571:L1576)&gt;0,"미취합법인有",SUM(L1571:L1576))</f>
        <v>64</v>
      </c>
      <c r="M1570" s="5657"/>
      <c r="N1570" s="5785">
        <f>IF(COUNTBLANK(N1571:N1576)&gt;0,"미취합법인有",SUM(N1571:N1576))</f>
        <v>64</v>
      </c>
      <c r="O1570" s="5663"/>
      <c r="P1570" s="5781">
        <f>IF(COUNTBLANK(P1571:P1576)&gt;0,"미취합법인有",SUM(P1571:P1576))</f>
        <v>22</v>
      </c>
      <c r="Q1570" s="785"/>
      <c r="R1570" s="276" t="s">
        <v>1172</v>
      </c>
      <c r="S1570" s="276" t="s">
        <v>1173</v>
      </c>
      <c r="T1570" s="99" t="s">
        <v>737</v>
      </c>
      <c r="U1570" s="547" t="s">
        <v>800</v>
      </c>
      <c r="V1570" s="547"/>
      <c r="W1570" s="99"/>
      <c r="X1570" s="277" t="s">
        <v>1174</v>
      </c>
      <c r="Y1570" s="265"/>
      <c r="Z1570" s="187"/>
      <c r="AA1570" s="6301"/>
      <c r="AB1570" s="139"/>
      <c r="AC1570" s="1377"/>
      <c r="AD1570" s="139"/>
      <c r="AE1570" s="139"/>
      <c r="AF1570" s="139"/>
      <c r="AG1570" s="139"/>
      <c r="AH1570" s="139"/>
      <c r="AI1570" s="139"/>
      <c r="AJ1570" s="139"/>
      <c r="AK1570" s="139"/>
      <c r="AL1570" s="139"/>
      <c r="AM1570" s="139"/>
      <c r="AN1570" s="139"/>
      <c r="AO1570" s="139"/>
      <c r="AP1570" s="139"/>
      <c r="AQ1570" s="139"/>
      <c r="AR1570" s="139"/>
      <c r="AS1570" s="139"/>
      <c r="AT1570" s="139"/>
      <c r="AU1570" s="139"/>
      <c r="AV1570" s="139"/>
      <c r="AW1570" s="139"/>
      <c r="AX1570" s="139"/>
      <c r="AY1570" s="139"/>
      <c r="AZ1570" s="139"/>
      <c r="BA1570" s="139"/>
      <c r="BB1570" s="139"/>
      <c r="BC1570" s="139"/>
      <c r="BD1570" s="139"/>
      <c r="BE1570" s="139"/>
      <c r="BF1570" s="139"/>
      <c r="BG1570" s="139"/>
      <c r="BH1570" s="139"/>
    </row>
    <row r="1571" spans="2:60" s="11" customFormat="1" ht="20.100000000000001" customHeight="1">
      <c r="B1571" s="1360"/>
      <c r="C1571" s="5598"/>
      <c r="D1571" s="9598" t="s">
        <v>134</v>
      </c>
      <c r="E1571" s="9600"/>
      <c r="F1571" s="285" t="s">
        <v>742</v>
      </c>
      <c r="G1571" s="666"/>
      <c r="H1571" s="666"/>
      <c r="I1571" s="9579" t="s">
        <v>135</v>
      </c>
      <c r="J1571" s="9581"/>
      <c r="K1571" s="105" t="s">
        <v>734</v>
      </c>
      <c r="L1571" s="5696">
        <v>39</v>
      </c>
      <c r="M1571" s="5718" t="s">
        <v>1175</v>
      </c>
      <c r="N1571" s="5729">
        <v>40</v>
      </c>
      <c r="O1571" s="5716" t="s">
        <v>1176</v>
      </c>
      <c r="P1571" s="5855">
        <v>1</v>
      </c>
      <c r="Q1571" s="5717"/>
      <c r="R1571" s="276"/>
      <c r="S1571" s="276"/>
      <c r="T1571" s="309"/>
      <c r="U1571" s="547"/>
      <c r="V1571" s="547"/>
      <c r="W1571" s="309"/>
      <c r="X1571" s="277"/>
      <c r="Y1571" s="277"/>
      <c r="Z1571" s="187"/>
      <c r="AA1571" s="6301"/>
      <c r="AB1571" s="139"/>
      <c r="AC1571" s="139"/>
      <c r="AD1571" s="139"/>
      <c r="AE1571" s="139"/>
      <c r="AF1571" s="139"/>
      <c r="AG1571" s="139"/>
      <c r="AH1571" s="139"/>
      <c r="AI1571" s="139"/>
      <c r="AJ1571" s="139"/>
      <c r="AK1571" s="139"/>
      <c r="AL1571" s="139"/>
      <c r="AM1571" s="139"/>
      <c r="AN1571" s="139"/>
      <c r="AO1571" s="139"/>
      <c r="AP1571" s="139"/>
      <c r="AQ1571" s="139"/>
      <c r="AR1571" s="139"/>
      <c r="AS1571" s="139"/>
      <c r="AT1571" s="139"/>
      <c r="AU1571" s="139"/>
      <c r="AV1571" s="139"/>
      <c r="AW1571" s="139"/>
      <c r="AX1571" s="139"/>
      <c r="AY1571" s="139"/>
      <c r="AZ1571" s="139"/>
      <c r="BA1571" s="139"/>
      <c r="BB1571" s="139"/>
      <c r="BC1571" s="139"/>
      <c r="BD1571" s="139"/>
      <c r="BE1571" s="139"/>
      <c r="BF1571" s="139"/>
      <c r="BG1571" s="139"/>
      <c r="BH1571" s="139"/>
    </row>
    <row r="1572" spans="2:60" s="11" customFormat="1" ht="20.100000000000001" customHeight="1">
      <c r="B1572" s="1360"/>
      <c r="C1572" s="5598"/>
      <c r="D1572" s="9598" t="s">
        <v>137</v>
      </c>
      <c r="E1572" s="9600"/>
      <c r="F1572" s="285" t="s">
        <v>742</v>
      </c>
      <c r="G1572" s="666"/>
      <c r="H1572" s="666"/>
      <c r="I1572" s="9579" t="s">
        <v>138</v>
      </c>
      <c r="J1572" s="9581"/>
      <c r="K1572" s="105" t="s">
        <v>734</v>
      </c>
      <c r="L1572" s="5705">
        <v>1</v>
      </c>
      <c r="M1572" s="5719" t="s">
        <v>1177</v>
      </c>
      <c r="N1572" s="5730">
        <v>3</v>
      </c>
      <c r="O1572" s="5720" t="s">
        <v>1178</v>
      </c>
      <c r="P1572" s="5856">
        <f>'4DPLEX'!AA286</f>
        <v>3</v>
      </c>
      <c r="Q1572" s="5717"/>
      <c r="R1572" s="276"/>
      <c r="S1572" s="276"/>
      <c r="T1572" s="309"/>
      <c r="U1572" s="547"/>
      <c r="V1572" s="547"/>
      <c r="W1572" s="309"/>
      <c r="X1572" s="277"/>
      <c r="Y1572" s="277"/>
      <c r="Z1572" s="187"/>
      <c r="AA1572" s="6301"/>
      <c r="AB1572" s="139"/>
      <c r="AC1572" s="139"/>
      <c r="AD1572" s="139"/>
      <c r="AE1572" s="139"/>
      <c r="AF1572" s="139"/>
      <c r="AG1572" s="139"/>
      <c r="AH1572" s="139"/>
      <c r="AI1572" s="139"/>
      <c r="AJ1572" s="139"/>
      <c r="AK1572" s="139"/>
      <c r="AL1572" s="139"/>
      <c r="AM1572" s="139"/>
      <c r="AN1572" s="139"/>
      <c r="AO1572" s="139"/>
      <c r="AP1572" s="139"/>
      <c r="AQ1572" s="139"/>
      <c r="AR1572" s="139"/>
      <c r="AS1572" s="139"/>
      <c r="AT1572" s="139"/>
      <c r="AU1572" s="139"/>
      <c r="AV1572" s="139"/>
      <c r="AW1572" s="139"/>
      <c r="AX1572" s="139"/>
      <c r="AY1572" s="139"/>
      <c r="AZ1572" s="139"/>
      <c r="BA1572" s="139"/>
      <c r="BB1572" s="139"/>
      <c r="BC1572" s="139"/>
      <c r="BD1572" s="139"/>
      <c r="BE1572" s="139"/>
      <c r="BF1572" s="139"/>
      <c r="BG1572" s="139"/>
      <c r="BH1572" s="139"/>
    </row>
    <row r="1573" spans="2:60" s="11" customFormat="1" ht="20.100000000000001" customHeight="1">
      <c r="B1573" s="1360"/>
      <c r="C1573" s="5598"/>
      <c r="D1573" s="9598" t="s">
        <v>140</v>
      </c>
      <c r="E1573" s="9600"/>
      <c r="F1573" s="285" t="s">
        <v>742</v>
      </c>
      <c r="G1573" s="666"/>
      <c r="H1573" s="666"/>
      <c r="I1573" s="9582" t="s">
        <v>141</v>
      </c>
      <c r="J1573" s="9583"/>
      <c r="K1573" s="105" t="s">
        <v>734</v>
      </c>
      <c r="L1573" s="5696">
        <f>China!AO312</f>
        <v>2</v>
      </c>
      <c r="M1573" s="5718" t="s">
        <v>1179</v>
      </c>
      <c r="N1573" s="5729">
        <f>China!AQ312</f>
        <v>2</v>
      </c>
      <c r="O1573" s="5718" t="s">
        <v>1179</v>
      </c>
      <c r="P1573" s="5873">
        <f>China!AS312</f>
        <v>2</v>
      </c>
      <c r="Q1573" s="5873" t="s">
        <v>1179</v>
      </c>
      <c r="R1573" s="276"/>
      <c r="S1573" s="276"/>
      <c r="T1573" s="309"/>
      <c r="U1573" s="547"/>
      <c r="V1573" s="547"/>
      <c r="W1573" s="309"/>
      <c r="X1573" s="277"/>
      <c r="Y1573" s="277"/>
      <c r="Z1573" s="187"/>
      <c r="AA1573" s="6301"/>
      <c r="AB1573" s="139"/>
      <c r="AC1573" s="139"/>
      <c r="AD1573" s="139"/>
      <c r="AE1573" s="139"/>
      <c r="AF1573" s="139"/>
      <c r="AG1573" s="139"/>
      <c r="AH1573" s="139"/>
      <c r="AI1573" s="139"/>
      <c r="AJ1573" s="139"/>
      <c r="AK1573" s="139"/>
      <c r="AL1573" s="139"/>
      <c r="AM1573" s="139"/>
      <c r="AN1573" s="139"/>
      <c r="AO1573" s="139"/>
      <c r="AP1573" s="139"/>
      <c r="AQ1573" s="139"/>
      <c r="AR1573" s="139"/>
      <c r="AS1573" s="139"/>
      <c r="AT1573" s="139"/>
      <c r="AU1573" s="139"/>
      <c r="AV1573" s="139"/>
      <c r="AW1573" s="139"/>
      <c r="AX1573" s="139"/>
      <c r="AY1573" s="139"/>
      <c r="AZ1573" s="139"/>
      <c r="BA1573" s="139"/>
      <c r="BB1573" s="139"/>
      <c r="BC1573" s="139"/>
      <c r="BD1573" s="139"/>
      <c r="BE1573" s="139"/>
      <c r="BF1573" s="139"/>
      <c r="BG1573" s="139"/>
      <c r="BH1573" s="139"/>
    </row>
    <row r="1574" spans="2:60" s="11" customFormat="1" ht="20.100000000000001" customHeight="1">
      <c r="B1574" s="1360"/>
      <c r="C1574" s="614"/>
      <c r="D1574" s="9598" t="s">
        <v>143</v>
      </c>
      <c r="E1574" s="9600"/>
      <c r="F1574" s="285" t="s">
        <v>742</v>
      </c>
      <c r="G1574" s="666"/>
      <c r="H1574" s="666"/>
      <c r="I1574" s="9582" t="s">
        <v>144</v>
      </c>
      <c r="J1574" s="9583"/>
      <c r="K1574" s="105" t="s">
        <v>734</v>
      </c>
      <c r="L1574" s="5696">
        <f>Vietnam!Q312</f>
        <v>0</v>
      </c>
      <c r="M1574" s="5718"/>
      <c r="N1574" s="5729">
        <f>Vietnam!S312</f>
        <v>0</v>
      </c>
      <c r="O1574" s="5716"/>
      <c r="P1574" s="5855">
        <f>Vietnam!U312</f>
        <v>0</v>
      </c>
      <c r="Q1574" s="5717"/>
      <c r="R1574" s="276"/>
      <c r="S1574" s="276"/>
      <c r="T1574" s="309"/>
      <c r="U1574" s="547"/>
      <c r="V1574" s="547"/>
      <c r="W1574" s="309"/>
      <c r="X1574" s="277"/>
      <c r="Y1574" s="277"/>
      <c r="Z1574" s="187"/>
      <c r="AA1574" s="6301"/>
      <c r="AB1574" s="139"/>
      <c r="AC1574" s="139"/>
      <c r="AD1574" s="139"/>
      <c r="AE1574" s="139"/>
      <c r="AF1574" s="139"/>
      <c r="AG1574" s="139"/>
      <c r="AH1574" s="139"/>
      <c r="AI1574" s="139"/>
      <c r="AJ1574" s="139"/>
      <c r="AK1574" s="139"/>
      <c r="AL1574" s="139"/>
      <c r="AM1574" s="139"/>
      <c r="AN1574" s="139"/>
      <c r="AO1574" s="139"/>
      <c r="AP1574" s="139"/>
      <c r="AQ1574" s="139"/>
      <c r="AR1574" s="139"/>
      <c r="AS1574" s="139"/>
      <c r="AT1574" s="139"/>
      <c r="AU1574" s="139"/>
      <c r="AV1574" s="139"/>
      <c r="AW1574" s="139"/>
      <c r="AX1574" s="139"/>
      <c r="AY1574" s="139"/>
      <c r="AZ1574" s="139"/>
      <c r="BA1574" s="139"/>
      <c r="BB1574" s="139"/>
      <c r="BC1574" s="139"/>
      <c r="BD1574" s="139"/>
      <c r="BE1574" s="139"/>
      <c r="BF1574" s="139"/>
      <c r="BG1574" s="139"/>
      <c r="BH1574" s="139"/>
    </row>
    <row r="1575" spans="2:60" s="11" customFormat="1" ht="20.100000000000001" customHeight="1">
      <c r="B1575" s="1360"/>
      <c r="C1575" s="5598"/>
      <c r="D1575" s="9598" t="s">
        <v>631</v>
      </c>
      <c r="E1575" s="9600"/>
      <c r="F1575" s="285" t="s">
        <v>742</v>
      </c>
      <c r="G1575" s="666"/>
      <c r="H1575" s="666"/>
      <c r="I1575" s="9582" t="s">
        <v>147</v>
      </c>
      <c r="J1575" s="9583"/>
      <c r="K1575" s="105" t="s">
        <v>734</v>
      </c>
      <c r="L1575" s="5696">
        <v>0</v>
      </c>
      <c r="M1575" s="5718"/>
      <c r="N1575" s="5729">
        <v>0</v>
      </c>
      <c r="O1575" s="5716"/>
      <c r="P1575" s="5855">
        <v>0</v>
      </c>
      <c r="Q1575" s="5717"/>
      <c r="R1575" s="276"/>
      <c r="S1575" s="276"/>
      <c r="T1575" s="309"/>
      <c r="U1575" s="547"/>
      <c r="V1575" s="547"/>
      <c r="W1575" s="309"/>
      <c r="X1575" s="277"/>
      <c r="Y1575" s="277"/>
      <c r="Z1575" s="187"/>
      <c r="AA1575" s="6301"/>
      <c r="AB1575" s="139"/>
      <c r="AC1575" s="139"/>
      <c r="AD1575" s="139"/>
      <c r="AE1575" s="139"/>
      <c r="AF1575" s="139"/>
      <c r="AG1575" s="139"/>
      <c r="AH1575" s="139"/>
      <c r="AI1575" s="139"/>
      <c r="AJ1575" s="139"/>
      <c r="AK1575" s="139"/>
      <c r="AL1575" s="139"/>
      <c r="AM1575" s="139"/>
      <c r="AN1575" s="139"/>
      <c r="AO1575" s="139"/>
      <c r="AP1575" s="139"/>
      <c r="AQ1575" s="139"/>
      <c r="AR1575" s="139"/>
      <c r="AS1575" s="139"/>
      <c r="AT1575" s="139"/>
      <c r="AU1575" s="139"/>
      <c r="AV1575" s="139"/>
      <c r="AW1575" s="139"/>
      <c r="AX1575" s="139"/>
      <c r="AY1575" s="139"/>
      <c r="AZ1575" s="139"/>
      <c r="BA1575" s="139"/>
      <c r="BB1575" s="139"/>
      <c r="BC1575" s="139"/>
      <c r="BD1575" s="139"/>
      <c r="BE1575" s="139"/>
      <c r="BF1575" s="139"/>
      <c r="BG1575" s="139"/>
      <c r="BH1575" s="139"/>
    </row>
    <row r="1576" spans="2:60" s="11" customFormat="1" ht="20.100000000000001" customHeight="1">
      <c r="B1576" s="1360"/>
      <c r="C1576" s="5598"/>
      <c r="D1576" s="9598" t="s">
        <v>633</v>
      </c>
      <c r="E1576" s="9600"/>
      <c r="F1576" s="285" t="s">
        <v>742</v>
      </c>
      <c r="G1576" s="666"/>
      <c r="H1576" s="666"/>
      <c r="I1576" s="9582" t="s">
        <v>150</v>
      </c>
      <c r="J1576" s="9583"/>
      <c r="K1576" s="105" t="s">
        <v>734</v>
      </c>
      <c r="L1576" s="5696">
        <v>22</v>
      </c>
      <c r="M1576" s="5718"/>
      <c r="N1576" s="5729">
        <v>19</v>
      </c>
      <c r="O1576" s="5718"/>
      <c r="P1576" s="5729">
        <v>16</v>
      </c>
      <c r="Q1576" s="5717"/>
      <c r="R1576" s="276"/>
      <c r="S1576" s="276"/>
      <c r="T1576" s="309"/>
      <c r="U1576" s="547"/>
      <c r="V1576" s="547"/>
      <c r="W1576" s="309"/>
      <c r="X1576" s="277"/>
      <c r="Y1576" s="277"/>
      <c r="Z1576" s="187"/>
      <c r="AA1576" s="6301"/>
      <c r="AB1576" s="139"/>
      <c r="AC1576" s="139"/>
      <c r="AD1576" s="139"/>
      <c r="AE1576" s="139"/>
      <c r="AF1576" s="139"/>
      <c r="AG1576" s="139"/>
      <c r="AH1576" s="139"/>
      <c r="AI1576" s="139"/>
      <c r="AJ1576" s="139"/>
      <c r="AK1576" s="139"/>
      <c r="AL1576" s="139"/>
      <c r="AM1576" s="139"/>
      <c r="AN1576" s="139"/>
      <c r="AO1576" s="139"/>
      <c r="AP1576" s="139"/>
      <c r="AQ1576" s="139"/>
      <c r="AR1576" s="139"/>
      <c r="AS1576" s="139"/>
      <c r="AT1576" s="139"/>
      <c r="AU1576" s="139"/>
      <c r="AV1576" s="139"/>
      <c r="AW1576" s="139"/>
      <c r="AX1576" s="139"/>
      <c r="AY1576" s="139"/>
      <c r="AZ1576" s="139"/>
      <c r="BA1576" s="139"/>
      <c r="BB1576" s="139"/>
      <c r="BC1576" s="139"/>
      <c r="BD1576" s="139"/>
      <c r="BE1576" s="139"/>
      <c r="BF1576" s="139"/>
      <c r="BG1576" s="139"/>
      <c r="BH1576" s="139"/>
    </row>
    <row r="1577" spans="2:60" s="11" customFormat="1" ht="19.350000000000001" customHeight="1">
      <c r="B1577" s="1360"/>
      <c r="C1577" s="921"/>
      <c r="D1577" s="9584" t="s">
        <v>1180</v>
      </c>
      <c r="E1577" s="9585"/>
      <c r="F1577" s="285" t="s">
        <v>742</v>
      </c>
      <c r="G1577" s="358"/>
      <c r="H1577" s="358"/>
      <c r="I1577" s="9584" t="s">
        <v>1181</v>
      </c>
      <c r="J1577" s="9585"/>
      <c r="K1577" s="105" t="s">
        <v>734</v>
      </c>
      <c r="L1577" s="5783">
        <f>IF(COUNTBLANK(L1578:L1583)&gt;0,"미취합법인有",SUM(L1578:L1583))</f>
        <v>28</v>
      </c>
      <c r="M1577" s="5657"/>
      <c r="N1577" s="5785">
        <f>IF(COUNTBLANK(N1578:N1583)&gt;0,"미취합법인有",SUM(N1578:N1583))</f>
        <v>23</v>
      </c>
      <c r="O1577" s="5663"/>
      <c r="P1577" s="5781">
        <f>IF(COUNTBLANK(P1578:P1583)&gt;0,"미취합법인有",SUM(P1578:P1583))</f>
        <v>22</v>
      </c>
      <c r="Q1577" s="785"/>
      <c r="R1577" s="276" t="s">
        <v>1172</v>
      </c>
      <c r="S1577" s="276" t="s">
        <v>1173</v>
      </c>
      <c r="T1577" s="99" t="s">
        <v>737</v>
      </c>
      <c r="U1577" s="547" t="s">
        <v>800</v>
      </c>
      <c r="V1577" s="547"/>
      <c r="W1577" s="99"/>
      <c r="X1577" s="277" t="s">
        <v>1182</v>
      </c>
      <c r="Y1577" s="265"/>
      <c r="Z1577" s="187"/>
      <c r="AA1577" s="6301"/>
      <c r="AB1577" s="139"/>
      <c r="AC1577" s="1377"/>
      <c r="AD1577" s="139"/>
      <c r="AE1577" s="139"/>
      <c r="AF1577" s="139"/>
      <c r="AG1577" s="139"/>
      <c r="AH1577" s="139"/>
      <c r="AI1577" s="139"/>
      <c r="AJ1577" s="139"/>
      <c r="AK1577" s="139"/>
      <c r="AL1577" s="139"/>
      <c r="AM1577" s="139"/>
      <c r="AN1577" s="139"/>
      <c r="AO1577" s="139"/>
      <c r="AP1577" s="139"/>
      <c r="AQ1577" s="139"/>
      <c r="AR1577" s="139"/>
      <c r="AS1577" s="139"/>
      <c r="AT1577" s="139"/>
      <c r="AU1577" s="139"/>
      <c r="AV1577" s="139"/>
      <c r="AW1577" s="139"/>
      <c r="AX1577" s="139"/>
      <c r="AY1577" s="139"/>
      <c r="AZ1577" s="139"/>
      <c r="BA1577" s="139"/>
      <c r="BB1577" s="139"/>
      <c r="BC1577" s="139"/>
      <c r="BD1577" s="139"/>
      <c r="BE1577" s="139"/>
      <c r="BF1577" s="139"/>
      <c r="BG1577" s="139"/>
      <c r="BH1577" s="139"/>
    </row>
    <row r="1578" spans="2:60" s="11" customFormat="1" ht="20.100000000000001" customHeight="1">
      <c r="B1578" s="1360"/>
      <c r="C1578" s="5598"/>
      <c r="D1578" s="9598" t="s">
        <v>134</v>
      </c>
      <c r="E1578" s="9600"/>
      <c r="F1578" s="285" t="s">
        <v>742</v>
      </c>
      <c r="G1578" s="666"/>
      <c r="H1578" s="666"/>
      <c r="I1578" s="9579" t="s">
        <v>135</v>
      </c>
      <c r="J1578" s="9581"/>
      <c r="K1578" s="105" t="s">
        <v>734</v>
      </c>
      <c r="L1578" s="5696">
        <v>28</v>
      </c>
      <c r="M1578" s="5718" t="s">
        <v>1183</v>
      </c>
      <c r="N1578" s="5729">
        <v>23</v>
      </c>
      <c r="O1578" s="5716" t="s">
        <v>1184</v>
      </c>
      <c r="P1578" s="5855">
        <v>22</v>
      </c>
      <c r="Q1578" s="5717"/>
      <c r="R1578" s="276"/>
      <c r="S1578" s="276"/>
      <c r="T1578" s="309"/>
      <c r="U1578" s="547"/>
      <c r="V1578" s="547"/>
      <c r="W1578" s="309"/>
      <c r="X1578" s="277"/>
      <c r="Y1578" s="277"/>
      <c r="Z1578" s="187"/>
      <c r="AA1578" s="6301"/>
      <c r="AB1578" s="139"/>
      <c r="AC1578" s="139"/>
      <c r="AD1578" s="139"/>
      <c r="AE1578" s="139"/>
      <c r="AF1578" s="139"/>
      <c r="AG1578" s="139"/>
      <c r="AH1578" s="139"/>
      <c r="AI1578" s="139"/>
      <c r="AJ1578" s="139"/>
      <c r="AK1578" s="139"/>
      <c r="AL1578" s="139"/>
      <c r="AM1578" s="139"/>
      <c r="AN1578" s="139"/>
      <c r="AO1578" s="139"/>
      <c r="AP1578" s="139"/>
      <c r="AQ1578" s="139"/>
      <c r="AR1578" s="139"/>
      <c r="AS1578" s="139"/>
      <c r="AT1578" s="139"/>
      <c r="AU1578" s="139"/>
      <c r="AV1578" s="139"/>
      <c r="AW1578" s="139"/>
      <c r="AX1578" s="139"/>
      <c r="AY1578" s="139"/>
      <c r="AZ1578" s="139"/>
      <c r="BA1578" s="139"/>
      <c r="BB1578" s="139"/>
      <c r="BC1578" s="139"/>
      <c r="BD1578" s="139"/>
      <c r="BE1578" s="139"/>
      <c r="BF1578" s="139"/>
      <c r="BG1578" s="139"/>
      <c r="BH1578" s="139"/>
    </row>
    <row r="1579" spans="2:60" s="11" customFormat="1" ht="20.100000000000001" customHeight="1">
      <c r="B1579" s="1360"/>
      <c r="C1579" s="5598"/>
      <c r="D1579" s="9598" t="s">
        <v>137</v>
      </c>
      <c r="E1579" s="9600"/>
      <c r="F1579" s="285" t="s">
        <v>742</v>
      </c>
      <c r="G1579" s="666"/>
      <c r="H1579" s="666"/>
      <c r="I1579" s="9579" t="s">
        <v>138</v>
      </c>
      <c r="J1579" s="9581"/>
      <c r="K1579" s="105" t="s">
        <v>734</v>
      </c>
      <c r="L1579" s="5705">
        <f>'4DPLEX'!W287</f>
        <v>0</v>
      </c>
      <c r="M1579" s="5719"/>
      <c r="N1579" s="5730">
        <f>'4DPLEX'!Y287</f>
        <v>0</v>
      </c>
      <c r="O1579" s="5720"/>
      <c r="P1579" s="5856">
        <f>'4DPLEX'!AA287</f>
        <v>0</v>
      </c>
      <c r="Q1579" s="5717"/>
      <c r="R1579" s="276"/>
      <c r="S1579" s="276"/>
      <c r="T1579" s="309"/>
      <c r="U1579" s="547"/>
      <c r="V1579" s="547"/>
      <c r="W1579" s="309"/>
      <c r="X1579" s="277"/>
      <c r="Y1579" s="277"/>
      <c r="Z1579" s="187"/>
      <c r="AA1579" s="6301"/>
      <c r="AB1579" s="139"/>
      <c r="AC1579" s="139"/>
      <c r="AD1579" s="139"/>
      <c r="AE1579" s="139"/>
      <c r="AF1579" s="139"/>
      <c r="AG1579" s="139"/>
      <c r="AH1579" s="139"/>
      <c r="AI1579" s="139"/>
      <c r="AJ1579" s="139"/>
      <c r="AK1579" s="139"/>
      <c r="AL1579" s="139"/>
      <c r="AM1579" s="139"/>
      <c r="AN1579" s="139"/>
      <c r="AO1579" s="139"/>
      <c r="AP1579" s="139"/>
      <c r="AQ1579" s="139"/>
      <c r="AR1579" s="139"/>
      <c r="AS1579" s="139"/>
      <c r="AT1579" s="139"/>
      <c r="AU1579" s="139"/>
      <c r="AV1579" s="139"/>
      <c r="AW1579" s="139"/>
      <c r="AX1579" s="139"/>
      <c r="AY1579" s="139"/>
      <c r="AZ1579" s="139"/>
      <c r="BA1579" s="139"/>
      <c r="BB1579" s="139"/>
      <c r="BC1579" s="139"/>
      <c r="BD1579" s="139"/>
      <c r="BE1579" s="139"/>
      <c r="BF1579" s="139"/>
      <c r="BG1579" s="139"/>
      <c r="BH1579" s="139"/>
    </row>
    <row r="1580" spans="2:60" s="11" customFormat="1" ht="20.100000000000001" customHeight="1">
      <c r="B1580" s="1360"/>
      <c r="C1580" s="5598"/>
      <c r="D1580" s="9598" t="s">
        <v>140</v>
      </c>
      <c r="E1580" s="9600"/>
      <c r="F1580" s="285" t="s">
        <v>742</v>
      </c>
      <c r="G1580" s="666"/>
      <c r="H1580" s="666"/>
      <c r="I1580" s="9582" t="s">
        <v>141</v>
      </c>
      <c r="J1580" s="9583"/>
      <c r="K1580" s="105" t="s">
        <v>734</v>
      </c>
      <c r="L1580" s="5696">
        <f>China!AO313</f>
        <v>0</v>
      </c>
      <c r="M1580" s="5718"/>
      <c r="N1580" s="5729">
        <f>China!AQ313</f>
        <v>0</v>
      </c>
      <c r="O1580" s="5716"/>
      <c r="P1580" s="5855">
        <f>China!AS313</f>
        <v>0</v>
      </c>
      <c r="Q1580" s="5717"/>
      <c r="R1580" s="276"/>
      <c r="S1580" s="276"/>
      <c r="T1580" s="309"/>
      <c r="U1580" s="547"/>
      <c r="V1580" s="547"/>
      <c r="W1580" s="309"/>
      <c r="X1580" s="277"/>
      <c r="Y1580" s="277"/>
      <c r="Z1580" s="187"/>
      <c r="AA1580" s="6301"/>
      <c r="AB1580" s="139"/>
      <c r="AC1580" s="1377" t="s">
        <v>1185</v>
      </c>
      <c r="AD1580" s="139"/>
      <c r="AE1580" s="139"/>
      <c r="AF1580" s="139"/>
      <c r="AG1580" s="139"/>
      <c r="AH1580" s="139"/>
      <c r="AI1580" s="139"/>
      <c r="AJ1580" s="139"/>
      <c r="AK1580" s="139"/>
      <c r="AL1580" s="139"/>
      <c r="AM1580" s="139"/>
      <c r="AN1580" s="139"/>
      <c r="AO1580" s="139"/>
      <c r="AP1580" s="139"/>
      <c r="AQ1580" s="139"/>
      <c r="AR1580" s="139"/>
      <c r="AS1580" s="139"/>
      <c r="AT1580" s="139"/>
      <c r="AU1580" s="139"/>
      <c r="AV1580" s="139"/>
      <c r="AW1580" s="139"/>
      <c r="AX1580" s="139"/>
      <c r="AY1580" s="139"/>
      <c r="AZ1580" s="139"/>
      <c r="BA1580" s="139"/>
      <c r="BB1580" s="139"/>
      <c r="BC1580" s="139"/>
      <c r="BD1580" s="139"/>
      <c r="BE1580" s="139"/>
      <c r="BF1580" s="139"/>
      <c r="BG1580" s="139"/>
      <c r="BH1580" s="139"/>
    </row>
    <row r="1581" spans="2:60" s="11" customFormat="1" ht="20.100000000000001" customHeight="1">
      <c r="B1581" s="1360"/>
      <c r="C1581" s="614"/>
      <c r="D1581" s="9598" t="s">
        <v>143</v>
      </c>
      <c r="E1581" s="9600"/>
      <c r="F1581" s="285" t="s">
        <v>742</v>
      </c>
      <c r="G1581" s="666"/>
      <c r="H1581" s="666"/>
      <c r="I1581" s="9582" t="s">
        <v>144</v>
      </c>
      <c r="J1581" s="9583"/>
      <c r="K1581" s="105" t="s">
        <v>734</v>
      </c>
      <c r="L1581" s="5696">
        <f>Vietnam!Q313</f>
        <v>0</v>
      </c>
      <c r="M1581" s="5718"/>
      <c r="N1581" s="5729">
        <f>Vietnam!S313</f>
        <v>0</v>
      </c>
      <c r="O1581" s="5716"/>
      <c r="P1581" s="5855">
        <f>Vietnam!U313</f>
        <v>0</v>
      </c>
      <c r="Q1581" s="5717"/>
      <c r="R1581" s="276"/>
      <c r="S1581" s="276"/>
      <c r="T1581" s="309"/>
      <c r="U1581" s="547"/>
      <c r="V1581" s="547"/>
      <c r="W1581" s="309"/>
      <c r="X1581" s="277"/>
      <c r="Y1581" s="277"/>
      <c r="Z1581" s="187"/>
      <c r="AA1581" s="6301"/>
      <c r="AB1581" s="139"/>
      <c r="AC1581" s="1377" t="s">
        <v>1185</v>
      </c>
      <c r="AD1581" s="139"/>
      <c r="AE1581" s="139"/>
      <c r="AF1581" s="139"/>
      <c r="AG1581" s="139"/>
      <c r="AH1581" s="139"/>
      <c r="AI1581" s="139"/>
      <c r="AJ1581" s="139"/>
      <c r="AK1581" s="139"/>
      <c r="AL1581" s="139"/>
      <c r="AM1581" s="139"/>
      <c r="AN1581" s="139"/>
      <c r="AO1581" s="139"/>
      <c r="AP1581" s="139"/>
      <c r="AQ1581" s="139"/>
      <c r="AR1581" s="139"/>
      <c r="AS1581" s="139"/>
      <c r="AT1581" s="139"/>
      <c r="AU1581" s="139"/>
      <c r="AV1581" s="139"/>
      <c r="AW1581" s="139"/>
      <c r="AX1581" s="139"/>
      <c r="AY1581" s="139"/>
      <c r="AZ1581" s="139"/>
      <c r="BA1581" s="139"/>
      <c r="BB1581" s="139"/>
      <c r="BC1581" s="139"/>
      <c r="BD1581" s="139"/>
      <c r="BE1581" s="139"/>
      <c r="BF1581" s="139"/>
      <c r="BG1581" s="139"/>
      <c r="BH1581" s="139"/>
    </row>
    <row r="1582" spans="2:60" s="11" customFormat="1" ht="20.100000000000001" customHeight="1">
      <c r="B1582" s="1360"/>
      <c r="C1582" s="5598"/>
      <c r="D1582" s="9598" t="s">
        <v>631</v>
      </c>
      <c r="E1582" s="9600"/>
      <c r="F1582" s="285" t="s">
        <v>742</v>
      </c>
      <c r="G1582" s="666"/>
      <c r="H1582" s="666"/>
      <c r="I1582" s="9582" t="s">
        <v>147</v>
      </c>
      <c r="J1582" s="9583"/>
      <c r="K1582" s="105" t="s">
        <v>734</v>
      </c>
      <c r="L1582" s="5696">
        <v>0</v>
      </c>
      <c r="M1582" s="5718"/>
      <c r="N1582" s="5729">
        <v>0</v>
      </c>
      <c r="O1582" s="5716"/>
      <c r="P1582" s="5855">
        <v>0</v>
      </c>
      <c r="Q1582" s="5717"/>
      <c r="R1582" s="276"/>
      <c r="S1582" s="276"/>
      <c r="T1582" s="309"/>
      <c r="U1582" s="547"/>
      <c r="V1582" s="547"/>
      <c r="W1582" s="309"/>
      <c r="X1582" s="277"/>
      <c r="Y1582" s="277"/>
      <c r="Z1582" s="187"/>
      <c r="AA1582" s="6301"/>
      <c r="AB1582" s="139"/>
      <c r="AC1582" s="1377" t="s">
        <v>1185</v>
      </c>
      <c r="AD1582" s="139"/>
      <c r="AE1582" s="139"/>
      <c r="AF1582" s="139"/>
      <c r="AG1582" s="139"/>
      <c r="AH1582" s="139"/>
      <c r="AI1582" s="139"/>
      <c r="AJ1582" s="139"/>
      <c r="AK1582" s="139"/>
      <c r="AL1582" s="139"/>
      <c r="AM1582" s="139"/>
      <c r="AN1582" s="139"/>
      <c r="AO1582" s="139"/>
      <c r="AP1582" s="139"/>
      <c r="AQ1582" s="139"/>
      <c r="AR1582" s="139"/>
      <c r="AS1582" s="139"/>
      <c r="AT1582" s="139"/>
      <c r="AU1582" s="139"/>
      <c r="AV1582" s="139"/>
      <c r="AW1582" s="139"/>
      <c r="AX1582" s="139"/>
      <c r="AY1582" s="139"/>
      <c r="AZ1582" s="139"/>
      <c r="BA1582" s="139"/>
      <c r="BB1582" s="139"/>
      <c r="BC1582" s="139"/>
      <c r="BD1582" s="139"/>
      <c r="BE1582" s="139"/>
      <c r="BF1582" s="139"/>
      <c r="BG1582" s="139"/>
      <c r="BH1582" s="139"/>
    </row>
    <row r="1583" spans="2:60" s="11" customFormat="1" ht="20.100000000000001" customHeight="1">
      <c r="B1583" s="1360"/>
      <c r="C1583" s="5598"/>
      <c r="D1583" s="9598" t="s">
        <v>633</v>
      </c>
      <c r="E1583" s="9600"/>
      <c r="F1583" s="285" t="s">
        <v>742</v>
      </c>
      <c r="G1583" s="666"/>
      <c r="H1583" s="666"/>
      <c r="I1583" s="9582" t="s">
        <v>150</v>
      </c>
      <c r="J1583" s="9583"/>
      <c r="K1583" s="105" t="s">
        <v>734</v>
      </c>
      <c r="L1583" s="5956" t="s">
        <v>168</v>
      </c>
      <c r="M1583" s="5671" t="s">
        <v>640</v>
      </c>
      <c r="N1583" s="5724" t="s">
        <v>168</v>
      </c>
      <c r="O1583" s="5671" t="s">
        <v>640</v>
      </c>
      <c r="P1583" s="5724" t="s">
        <v>168</v>
      </c>
      <c r="Q1583" s="5671" t="s">
        <v>640</v>
      </c>
      <c r="R1583" s="2483"/>
      <c r="S1583" s="544"/>
      <c r="T1583" s="545"/>
      <c r="U1583" s="546"/>
      <c r="V1583" s="547"/>
      <c r="W1583" s="548"/>
      <c r="X1583" s="277"/>
      <c r="Y1583" s="277"/>
      <c r="Z1583" s="187"/>
      <c r="AA1583" s="6301"/>
      <c r="AB1583" s="139"/>
      <c r="AC1583" s="1377" t="s">
        <v>1185</v>
      </c>
      <c r="AD1583" s="139"/>
      <c r="AE1583" s="139"/>
      <c r="AF1583" s="139"/>
      <c r="AG1583" s="139"/>
      <c r="AH1583" s="139"/>
      <c r="AI1583" s="139"/>
      <c r="AJ1583" s="139"/>
      <c r="AK1583" s="139"/>
      <c r="AL1583" s="139"/>
      <c r="AM1583" s="139"/>
      <c r="AN1583" s="139"/>
      <c r="AO1583" s="139"/>
      <c r="AP1583" s="139"/>
      <c r="AQ1583" s="139"/>
      <c r="AR1583" s="139"/>
      <c r="AS1583" s="139"/>
      <c r="AT1583" s="139"/>
      <c r="AU1583" s="139"/>
      <c r="AV1583" s="139"/>
      <c r="AW1583" s="139"/>
      <c r="AX1583" s="139"/>
      <c r="AY1583" s="139"/>
      <c r="AZ1583" s="139"/>
      <c r="BA1583" s="139"/>
      <c r="BB1583" s="139"/>
      <c r="BC1583" s="139"/>
      <c r="BD1583" s="139"/>
      <c r="BE1583" s="139"/>
      <c r="BF1583" s="139"/>
      <c r="BG1583" s="139"/>
      <c r="BH1583" s="139"/>
    </row>
    <row r="1584" spans="2:60" s="11" customFormat="1" ht="19.350000000000001" customHeight="1">
      <c r="B1584" s="1353"/>
      <c r="C1584" s="6138" t="s">
        <v>1186</v>
      </c>
      <c r="D1584" s="6139"/>
      <c r="E1584" s="6139"/>
      <c r="F1584" s="6185"/>
      <c r="G1584" s="6185"/>
      <c r="H1584" s="6185" t="s">
        <v>1187</v>
      </c>
      <c r="I1584" s="6185"/>
      <c r="J1584" s="6185"/>
      <c r="K1584" s="6141"/>
      <c r="L1584" s="6186"/>
      <c r="M1584" s="6185"/>
      <c r="N1584" s="6185"/>
      <c r="O1584" s="6185"/>
      <c r="P1584" s="6185"/>
      <c r="Q1584" s="6185"/>
      <c r="R1584" s="2483"/>
      <c r="S1584" s="24"/>
      <c r="T1584" s="99" t="s">
        <v>737</v>
      </c>
      <c r="U1584" s="547"/>
      <c r="V1584" s="547"/>
      <c r="W1584" s="99"/>
      <c r="X1584" s="277"/>
      <c r="Y1584" s="277"/>
      <c r="Z1584" s="187"/>
      <c r="AA1584" s="6301"/>
      <c r="AB1584" s="139"/>
      <c r="AC1584" s="139"/>
      <c r="AD1584" s="139"/>
      <c r="AE1584" s="139"/>
      <c r="AF1584" s="139"/>
      <c r="AG1584" s="139"/>
      <c r="AH1584" s="139"/>
      <c r="AI1584" s="139"/>
      <c r="AJ1584" s="139"/>
      <c r="AK1584" s="139"/>
      <c r="AL1584" s="139"/>
      <c r="AM1584" s="139"/>
      <c r="AN1584" s="139"/>
      <c r="AO1584" s="139"/>
      <c r="AP1584" s="139"/>
      <c r="AQ1584" s="139"/>
      <c r="AR1584" s="139"/>
      <c r="AS1584" s="139"/>
      <c r="AT1584" s="139"/>
      <c r="AU1584" s="139"/>
      <c r="AV1584" s="139"/>
      <c r="AW1584" s="139"/>
      <c r="AX1584" s="139"/>
      <c r="AY1584" s="139"/>
      <c r="AZ1584" s="139"/>
      <c r="BA1584" s="139"/>
      <c r="BB1584" s="139"/>
      <c r="BC1584" s="139"/>
      <c r="BD1584" s="139"/>
      <c r="BE1584" s="139"/>
      <c r="BF1584" s="139"/>
      <c r="BG1584" s="139"/>
      <c r="BH1584" s="139"/>
    </row>
    <row r="1585" spans="2:60" s="11" customFormat="1" ht="19.350000000000001" customHeight="1">
      <c r="B1585" s="1360"/>
      <c r="C1585" s="915"/>
      <c r="D1585" s="9584" t="s">
        <v>1188</v>
      </c>
      <c r="E1585" s="9585"/>
      <c r="F1585" s="285" t="s">
        <v>156</v>
      </c>
      <c r="G1585" s="777"/>
      <c r="H1585" s="4666"/>
      <c r="I1585" s="9584" t="s">
        <v>1189</v>
      </c>
      <c r="J1585" s="9585"/>
      <c r="K1585" s="105" t="s">
        <v>156</v>
      </c>
      <c r="L1585" s="5968" t="str">
        <f>IF(COUNTBLANK(L1586:L1591)&gt;0,"미취합법인有",AVERAGE(L1586:L1591))</f>
        <v>미취합법인有</v>
      </c>
      <c r="M1585" s="5657"/>
      <c r="N1585" s="5654">
        <f>IF(COUNTBLANK(N1586:N1591)&gt;0,"미취합법인有",AVERAGE(N1586:N1591))</f>
        <v>79.405903356978811</v>
      </c>
      <c r="O1585" s="5663"/>
      <c r="P1585" s="5781" t="str">
        <f>IF(COUNTBLANK(P1586:P1591)&gt;0,"미취합법인有",AVERAGE(P1586:P1591))</f>
        <v>미취합법인有</v>
      </c>
      <c r="Q1585" s="785"/>
      <c r="R1585" s="2468" t="s">
        <v>1190</v>
      </c>
      <c r="S1585" s="276" t="s">
        <v>1191</v>
      </c>
      <c r="T1585" s="99" t="s">
        <v>737</v>
      </c>
      <c r="U1585" s="547"/>
      <c r="V1585" s="547"/>
      <c r="W1585" s="99"/>
      <c r="X1585" s="277" t="s">
        <v>1192</v>
      </c>
      <c r="Y1585" s="277" t="s">
        <v>1193</v>
      </c>
      <c r="Z1585" s="187"/>
      <c r="AA1585" s="6301"/>
      <c r="AB1585" s="139"/>
      <c r="AC1585" s="139"/>
      <c r="AD1585" s="139"/>
      <c r="AE1585" s="139"/>
      <c r="AF1585" s="139"/>
      <c r="AG1585" s="139"/>
      <c r="AH1585" s="139"/>
      <c r="AI1585" s="139"/>
      <c r="AJ1585" s="139"/>
      <c r="AK1585" s="139"/>
      <c r="AL1585" s="139"/>
      <c r="AM1585" s="139"/>
      <c r="AN1585" s="139"/>
      <c r="AO1585" s="139"/>
      <c r="AP1585" s="139"/>
      <c r="AQ1585" s="139"/>
      <c r="AR1585" s="139"/>
      <c r="AS1585" s="139"/>
      <c r="AT1585" s="139"/>
      <c r="AU1585" s="139"/>
      <c r="AV1585" s="139"/>
      <c r="AW1585" s="139"/>
      <c r="AX1585" s="139"/>
      <c r="AY1585" s="139"/>
      <c r="AZ1585" s="139"/>
      <c r="BA1585" s="139"/>
      <c r="BB1585" s="139"/>
      <c r="BC1585" s="139"/>
      <c r="BD1585" s="139"/>
      <c r="BE1585" s="139"/>
      <c r="BF1585" s="139"/>
      <c r="BG1585" s="139"/>
      <c r="BH1585" s="139"/>
    </row>
    <row r="1586" spans="2:60" s="11" customFormat="1" ht="20.100000000000001" customHeight="1">
      <c r="B1586" s="1360"/>
      <c r="C1586" s="5598"/>
      <c r="D1586" s="9598" t="s">
        <v>134</v>
      </c>
      <c r="E1586" s="9600"/>
      <c r="F1586" s="285" t="s">
        <v>156</v>
      </c>
      <c r="G1586" s="666"/>
      <c r="H1586" s="684"/>
      <c r="I1586" s="9579" t="s">
        <v>135</v>
      </c>
      <c r="J1586" s="9581"/>
      <c r="K1586" s="105" t="s">
        <v>156</v>
      </c>
      <c r="L1586" s="5714">
        <v>88.722466960352421</v>
      </c>
      <c r="M1586" s="5718"/>
      <c r="N1586" s="5859">
        <v>94.895168641750232</v>
      </c>
      <c r="O1586" s="5716"/>
      <c r="P1586" s="5864">
        <v>95.211786372007396</v>
      </c>
      <c r="Q1586" s="5717"/>
      <c r="R1586" s="2483"/>
      <c r="S1586" s="544"/>
      <c r="T1586" s="545"/>
      <c r="U1586" s="546"/>
      <c r="V1586" s="547"/>
      <c r="W1586" s="548"/>
      <c r="X1586" s="277"/>
      <c r="Y1586" s="277"/>
      <c r="Z1586" s="187"/>
      <c r="AA1586" s="6301"/>
      <c r="AB1586" s="139"/>
      <c r="AC1586" s="139"/>
      <c r="AD1586" s="139"/>
      <c r="AE1586" s="139"/>
      <c r="AF1586" s="139"/>
      <c r="AG1586" s="139"/>
      <c r="AH1586" s="139"/>
      <c r="AI1586" s="139"/>
      <c r="AJ1586" s="139"/>
      <c r="AK1586" s="139"/>
      <c r="AL1586" s="139"/>
      <c r="AM1586" s="139"/>
      <c r="AN1586" s="139"/>
      <c r="AO1586" s="139"/>
      <c r="AP1586" s="139"/>
      <c r="AQ1586" s="139"/>
      <c r="AR1586" s="139"/>
      <c r="AS1586" s="139"/>
      <c r="AT1586" s="139"/>
      <c r="AU1586" s="139"/>
      <c r="AV1586" s="139"/>
      <c r="AW1586" s="139"/>
      <c r="AX1586" s="139"/>
      <c r="AY1586" s="139"/>
      <c r="AZ1586" s="139"/>
      <c r="BA1586" s="139"/>
      <c r="BB1586" s="139"/>
      <c r="BC1586" s="139"/>
      <c r="BD1586" s="139"/>
      <c r="BE1586" s="139"/>
      <c r="BF1586" s="139"/>
      <c r="BG1586" s="139"/>
      <c r="BH1586" s="139"/>
    </row>
    <row r="1587" spans="2:60" s="11" customFormat="1" ht="20.100000000000001" customHeight="1">
      <c r="B1587" s="1360"/>
      <c r="C1587" s="5598"/>
      <c r="D1587" s="9598" t="s">
        <v>137</v>
      </c>
      <c r="E1587" s="9600"/>
      <c r="F1587" s="285" t="s">
        <v>156</v>
      </c>
      <c r="G1587" s="666"/>
      <c r="H1587" s="684"/>
      <c r="I1587" s="9579" t="s">
        <v>138</v>
      </c>
      <c r="J1587" s="9581"/>
      <c r="K1587" s="105" t="s">
        <v>156</v>
      </c>
      <c r="L1587" s="5714"/>
      <c r="M1587" s="5719"/>
      <c r="N1587" s="5861">
        <f>'4DPLEX'!Y288</f>
        <v>67.532467532467535</v>
      </c>
      <c r="O1587" s="5720"/>
      <c r="P1587" s="5866"/>
      <c r="Q1587" s="5717"/>
      <c r="R1587" s="2483"/>
      <c r="S1587" s="544"/>
      <c r="T1587" s="545"/>
      <c r="U1587" s="546"/>
      <c r="V1587" s="547"/>
      <c r="W1587" s="548"/>
      <c r="X1587" s="277"/>
      <c r="Y1587" s="277"/>
      <c r="Z1587" s="187"/>
      <c r="AA1587" s="6301"/>
      <c r="AB1587" s="139"/>
      <c r="AC1587" s="139"/>
      <c r="AD1587" s="139"/>
      <c r="AE1587" s="139"/>
      <c r="AF1587" s="139"/>
      <c r="AG1587" s="139"/>
      <c r="AH1587" s="139"/>
      <c r="AI1587" s="139"/>
      <c r="AJ1587" s="139"/>
      <c r="AK1587" s="139"/>
      <c r="AL1587" s="139"/>
      <c r="AM1587" s="139"/>
      <c r="AN1587" s="139"/>
      <c r="AO1587" s="139"/>
      <c r="AP1587" s="139"/>
      <c r="AQ1587" s="139"/>
      <c r="AR1587" s="139"/>
      <c r="AS1587" s="139"/>
      <c r="AT1587" s="139"/>
      <c r="AU1587" s="139"/>
      <c r="AV1587" s="139"/>
      <c r="AW1587" s="139"/>
      <c r="AX1587" s="139"/>
      <c r="AY1587" s="139"/>
      <c r="AZ1587" s="139"/>
      <c r="BA1587" s="139"/>
      <c r="BB1587" s="139"/>
      <c r="BC1587" s="139"/>
      <c r="BD1587" s="139"/>
      <c r="BE1587" s="139"/>
      <c r="BF1587" s="139"/>
      <c r="BG1587" s="139"/>
      <c r="BH1587" s="139"/>
    </row>
    <row r="1588" spans="2:60" s="11" customFormat="1" ht="20.100000000000001" customHeight="1">
      <c r="B1588" s="1360"/>
      <c r="C1588" s="5598"/>
      <c r="D1588" s="9598" t="s">
        <v>140</v>
      </c>
      <c r="E1588" s="9600"/>
      <c r="F1588" s="285" t="s">
        <v>156</v>
      </c>
      <c r="G1588" s="666"/>
      <c r="H1588" s="684"/>
      <c r="I1588" s="9582" t="s">
        <v>141</v>
      </c>
      <c r="J1588" s="9583"/>
      <c r="K1588" s="105" t="s">
        <v>156</v>
      </c>
      <c r="L1588" s="5714">
        <f>China!AO315</f>
        <v>92.694497153700198</v>
      </c>
      <c r="M1588" s="5718"/>
      <c r="N1588" s="5859">
        <v>94.71947194719472</v>
      </c>
      <c r="O1588" s="5716"/>
      <c r="P1588" s="5864">
        <v>91</v>
      </c>
      <c r="Q1588" s="5717"/>
      <c r="R1588" s="2483"/>
      <c r="S1588" s="544"/>
      <c r="T1588" s="545"/>
      <c r="U1588" s="546"/>
      <c r="V1588" s="547"/>
      <c r="W1588" s="548"/>
      <c r="X1588" s="277"/>
      <c r="Y1588" s="277"/>
      <c r="Z1588" s="187"/>
      <c r="AA1588" s="6301"/>
      <c r="AB1588" s="139"/>
      <c r="AC1588" s="139"/>
      <c r="AD1588" s="139"/>
      <c r="AE1588" s="139"/>
      <c r="AF1588" s="139"/>
      <c r="AG1588" s="139"/>
      <c r="AH1588" s="139"/>
      <c r="AI1588" s="139"/>
      <c r="AJ1588" s="139"/>
      <c r="AK1588" s="139"/>
      <c r="AL1588" s="139"/>
      <c r="AM1588" s="139"/>
      <c r="AN1588" s="139"/>
      <c r="AO1588" s="139"/>
      <c r="AP1588" s="139"/>
      <c r="AQ1588" s="139"/>
      <c r="AR1588" s="139"/>
      <c r="AS1588" s="139"/>
      <c r="AT1588" s="139"/>
      <c r="AU1588" s="139"/>
      <c r="AV1588" s="139"/>
      <c r="AW1588" s="139"/>
      <c r="AX1588" s="139"/>
      <c r="AY1588" s="139"/>
      <c r="AZ1588" s="139"/>
      <c r="BA1588" s="139"/>
      <c r="BB1588" s="139"/>
      <c r="BC1588" s="139"/>
      <c r="BD1588" s="139"/>
      <c r="BE1588" s="139"/>
      <c r="BF1588" s="139"/>
      <c r="BG1588" s="139"/>
      <c r="BH1588" s="139"/>
    </row>
    <row r="1589" spans="2:60" s="11" customFormat="1" ht="20.100000000000001" customHeight="1">
      <c r="B1589" s="1360"/>
      <c r="C1589" s="614"/>
      <c r="D1589" s="9598" t="s">
        <v>143</v>
      </c>
      <c r="E1589" s="9600"/>
      <c r="F1589" s="674" t="s">
        <v>156</v>
      </c>
      <c r="G1589" s="666"/>
      <c r="H1589" s="684"/>
      <c r="I1589" s="9582" t="s">
        <v>144</v>
      </c>
      <c r="J1589" s="9583"/>
      <c r="K1589" s="105" t="s">
        <v>156</v>
      </c>
      <c r="L1589" s="6486">
        <v>94.86</v>
      </c>
      <c r="M1589" s="5718" t="s">
        <v>1194</v>
      </c>
      <c r="N1589" s="6487">
        <v>93.93</v>
      </c>
      <c r="O1589" s="5716"/>
      <c r="P1589" s="6482">
        <v>96.33</v>
      </c>
      <c r="Q1589" s="6488" t="s">
        <v>1195</v>
      </c>
      <c r="R1589" s="2483"/>
      <c r="S1589" s="544"/>
      <c r="T1589" s="545"/>
      <c r="U1589" s="546"/>
      <c r="V1589" s="547"/>
      <c r="W1589" s="548"/>
      <c r="X1589" s="277"/>
      <c r="Y1589" s="277"/>
      <c r="Z1589" s="187"/>
      <c r="AA1589" s="6303"/>
      <c r="AB1589" s="139"/>
      <c r="AC1589" s="139"/>
      <c r="AD1589" s="139"/>
      <c r="AE1589" s="139"/>
      <c r="AF1589" s="139"/>
      <c r="AG1589" s="139"/>
      <c r="AH1589" s="139"/>
      <c r="AI1589" s="139"/>
      <c r="AJ1589" s="139"/>
      <c r="AK1589" s="139"/>
      <c r="AL1589" s="139"/>
      <c r="AM1589" s="139"/>
      <c r="AN1589" s="139"/>
      <c r="AO1589" s="139"/>
      <c r="AP1589" s="139"/>
      <c r="AQ1589" s="139"/>
      <c r="AR1589" s="139"/>
      <c r="AS1589" s="139"/>
      <c r="AT1589" s="139"/>
      <c r="AU1589" s="139"/>
      <c r="AV1589" s="139"/>
      <c r="AW1589" s="139"/>
      <c r="AX1589" s="139"/>
      <c r="AY1589" s="139"/>
      <c r="AZ1589" s="139"/>
      <c r="BA1589" s="139"/>
      <c r="BB1589" s="139"/>
      <c r="BC1589" s="139"/>
      <c r="BD1589" s="139"/>
      <c r="BE1589" s="139"/>
      <c r="BF1589" s="139"/>
      <c r="BG1589" s="139"/>
      <c r="BH1589" s="139"/>
    </row>
    <row r="1590" spans="2:60" s="11" customFormat="1" ht="20.100000000000001" customHeight="1">
      <c r="B1590" s="1360"/>
      <c r="C1590" s="5598"/>
      <c r="D1590" s="9598" t="s">
        <v>631</v>
      </c>
      <c r="E1590" s="9600"/>
      <c r="F1590" s="285" t="s">
        <v>156</v>
      </c>
      <c r="G1590" s="666"/>
      <c r="H1590" s="684"/>
      <c r="I1590" s="9582" t="s">
        <v>147</v>
      </c>
      <c r="J1590" s="9583"/>
      <c r="K1590" s="105" t="s">
        <v>156</v>
      </c>
      <c r="L1590" s="5714">
        <f>Indonesia!V315</f>
        <v>95.778364116094977</v>
      </c>
      <c r="M1590" s="5718"/>
      <c r="N1590" s="5859">
        <f>Indonesia!X315</f>
        <v>89.258312020460366</v>
      </c>
      <c r="O1590" s="5716"/>
      <c r="P1590" s="5864">
        <f>Indonesia!Z315</f>
        <v>0</v>
      </c>
      <c r="Q1590" s="5717"/>
      <c r="R1590" s="2483"/>
      <c r="S1590" s="544"/>
      <c r="T1590" s="545"/>
      <c r="U1590" s="546"/>
      <c r="V1590" s="547"/>
      <c r="W1590" s="548"/>
      <c r="X1590" s="277"/>
      <c r="Y1590" s="277"/>
      <c r="Z1590" s="187"/>
      <c r="AA1590" s="6301"/>
      <c r="AB1590" s="139"/>
      <c r="AC1590" s="139"/>
      <c r="AD1590" s="139"/>
      <c r="AE1590" s="139"/>
      <c r="AF1590" s="139"/>
      <c r="AG1590" s="139"/>
      <c r="AH1590" s="139"/>
      <c r="AI1590" s="139"/>
      <c r="AJ1590" s="139"/>
      <c r="AK1590" s="139"/>
      <c r="AL1590" s="139"/>
      <c r="AM1590" s="139"/>
      <c r="AN1590" s="139"/>
      <c r="AO1590" s="139"/>
      <c r="AP1590" s="139"/>
      <c r="AQ1590" s="139"/>
      <c r="AR1590" s="139"/>
      <c r="AS1590" s="139"/>
      <c r="AT1590" s="139"/>
      <c r="AU1590" s="139"/>
      <c r="AV1590" s="139"/>
      <c r="AW1590" s="139"/>
      <c r="AX1590" s="139"/>
      <c r="AY1590" s="139"/>
      <c r="AZ1590" s="139"/>
      <c r="BA1590" s="139"/>
      <c r="BB1590" s="139"/>
      <c r="BC1590" s="139"/>
      <c r="BD1590" s="139"/>
      <c r="BE1590" s="139"/>
      <c r="BF1590" s="139"/>
      <c r="BG1590" s="139"/>
      <c r="BH1590" s="139"/>
    </row>
    <row r="1591" spans="2:60" s="11" customFormat="1" ht="20.100000000000001" customHeight="1">
      <c r="B1591" s="1360"/>
      <c r="C1591" s="5598"/>
      <c r="D1591" s="9598" t="s">
        <v>633</v>
      </c>
      <c r="E1591" s="9600"/>
      <c r="F1591" s="285" t="s">
        <v>156</v>
      </c>
      <c r="G1591" s="666"/>
      <c r="H1591" s="684"/>
      <c r="I1591" s="9582" t="s">
        <v>150</v>
      </c>
      <c r="J1591" s="9583"/>
      <c r="K1591" s="105" t="s">
        <v>156</v>
      </c>
      <c r="L1591" s="6515">
        <v>36.950000000000003</v>
      </c>
      <c r="M1591" s="5671"/>
      <c r="N1591" s="6514">
        <v>36.1</v>
      </c>
      <c r="O1591" s="5671"/>
      <c r="P1591" s="6514">
        <v>37.299999999999997</v>
      </c>
      <c r="Q1591" s="5672"/>
      <c r="R1591" s="2483"/>
      <c r="S1591" s="544"/>
      <c r="T1591" s="545"/>
      <c r="U1591" s="546"/>
      <c r="V1591" s="547"/>
      <c r="W1591" s="548"/>
      <c r="X1591" s="277"/>
      <c r="Y1591" s="277"/>
      <c r="Z1591" s="187"/>
      <c r="AA1591" s="6301"/>
      <c r="AB1591" s="139"/>
      <c r="AC1591" s="139"/>
      <c r="AD1591" s="139"/>
      <c r="AE1591" s="139"/>
      <c r="AF1591" s="139"/>
      <c r="AG1591" s="139"/>
      <c r="AH1591" s="139"/>
      <c r="AI1591" s="139"/>
      <c r="AJ1591" s="139"/>
      <c r="AK1591" s="139"/>
      <c r="AL1591" s="139"/>
      <c r="AM1591" s="139"/>
      <c r="AN1591" s="139"/>
      <c r="AO1591" s="139"/>
      <c r="AP1591" s="139"/>
      <c r="AQ1591" s="139"/>
      <c r="AR1591" s="139"/>
      <c r="AS1591" s="139"/>
      <c r="AT1591" s="139"/>
      <c r="AU1591" s="139"/>
      <c r="AV1591" s="139"/>
      <c r="AW1591" s="139"/>
      <c r="AX1591" s="139"/>
      <c r="AY1591" s="139"/>
      <c r="AZ1591" s="139"/>
      <c r="BA1591" s="139"/>
      <c r="BB1591" s="139"/>
      <c r="BC1591" s="139"/>
      <c r="BD1591" s="139"/>
      <c r="BE1591" s="139"/>
      <c r="BF1591" s="139"/>
      <c r="BG1591" s="139"/>
      <c r="BH1591" s="139"/>
    </row>
    <row r="1592" spans="2:60" s="11" customFormat="1" ht="19.350000000000001" customHeight="1">
      <c r="B1592" s="1360"/>
      <c r="C1592" s="915"/>
      <c r="D1592" s="9584" t="s">
        <v>1196</v>
      </c>
      <c r="E1592" s="9585"/>
      <c r="F1592" s="285" t="s">
        <v>156</v>
      </c>
      <c r="G1592" s="777"/>
      <c r="H1592" s="4666"/>
      <c r="I1592" s="9584" t="s">
        <v>1197</v>
      </c>
      <c r="J1592" s="9585"/>
      <c r="K1592" s="105" t="s">
        <v>156</v>
      </c>
      <c r="L1592" s="5968" t="str">
        <f>IF(COUNTBLANK(L1593:L1598)&gt;0,"미취합법인有",AVERAGE(L1593:L1598))</f>
        <v>미취합법인有</v>
      </c>
      <c r="M1592" s="5657"/>
      <c r="N1592" s="5654" t="str">
        <f>IF(COUNTBLANK(N1593:N1598)&gt;0,"미취합법인有",AVERAGE(N1593:N1598))</f>
        <v>미취합법인有</v>
      </c>
      <c r="O1592" s="5663"/>
      <c r="P1592" s="5781" t="str">
        <f>IF(COUNTBLANK(P1593:P1598)&gt;0,"미취합법인有",AVERAGE(P1593:P1598))</f>
        <v>미취합법인有</v>
      </c>
      <c r="Q1592" s="785"/>
      <c r="R1592" s="2468"/>
      <c r="S1592" s="276"/>
      <c r="T1592" s="99" t="s">
        <v>737</v>
      </c>
      <c r="U1592" s="547"/>
      <c r="V1592" s="547"/>
      <c r="W1592" s="99"/>
      <c r="X1592" s="277" t="s">
        <v>1192</v>
      </c>
      <c r="Y1592" s="277" t="s">
        <v>1193</v>
      </c>
      <c r="Z1592" s="187"/>
      <c r="AA1592" s="6301"/>
      <c r="AB1592" s="139"/>
      <c r="AC1592" s="139"/>
      <c r="AD1592" s="139"/>
      <c r="AE1592" s="139"/>
      <c r="AF1592" s="139"/>
      <c r="AG1592" s="139"/>
      <c r="AH1592" s="139"/>
      <c r="AI1592" s="139"/>
      <c r="AJ1592" s="139"/>
      <c r="AK1592" s="139"/>
      <c r="AL1592" s="139"/>
      <c r="AM1592" s="139"/>
      <c r="AN1592" s="139"/>
      <c r="AO1592" s="139"/>
      <c r="AP1592" s="139"/>
      <c r="AQ1592" s="139"/>
      <c r="AR1592" s="139"/>
      <c r="AS1592" s="139"/>
      <c r="AT1592" s="139"/>
      <c r="AU1592" s="139"/>
      <c r="AV1592" s="139"/>
      <c r="AW1592" s="139"/>
      <c r="AX1592" s="139"/>
      <c r="AY1592" s="139"/>
      <c r="AZ1592" s="139"/>
      <c r="BA1592" s="139"/>
      <c r="BB1592" s="139"/>
      <c r="BC1592" s="139"/>
      <c r="BD1592" s="139"/>
      <c r="BE1592" s="139"/>
      <c r="BF1592" s="139"/>
      <c r="BG1592" s="139"/>
      <c r="BH1592" s="139"/>
    </row>
    <row r="1593" spans="2:60" s="11" customFormat="1" ht="20.100000000000001" customHeight="1">
      <c r="B1593" s="1360"/>
      <c r="C1593" s="5598"/>
      <c r="D1593" s="9598" t="s">
        <v>134</v>
      </c>
      <c r="E1593" s="9600"/>
      <c r="F1593" s="285" t="s">
        <v>156</v>
      </c>
      <c r="G1593" s="666"/>
      <c r="H1593" s="684"/>
      <c r="I1593" s="9579" t="s">
        <v>135</v>
      </c>
      <c r="J1593" s="9581"/>
      <c r="K1593" s="105" t="s">
        <v>156</v>
      </c>
      <c r="L1593" s="5714">
        <v>87.224669603524234</v>
      </c>
      <c r="M1593" s="5863"/>
      <c r="N1593" s="5859">
        <v>93.25432999088423</v>
      </c>
      <c r="O1593" s="5722"/>
      <c r="P1593" s="5864">
        <v>93.462246777163898</v>
      </c>
      <c r="Q1593" s="5860"/>
      <c r="R1593" s="5994"/>
      <c r="S1593" s="5995"/>
      <c r="T1593" s="5996"/>
      <c r="U1593" s="5997"/>
      <c r="V1593" s="5998"/>
      <c r="W1593" s="5999"/>
      <c r="X1593" s="277"/>
      <c r="Y1593" s="277"/>
      <c r="Z1593" s="187"/>
      <c r="AA1593" s="6301"/>
      <c r="AB1593" s="139"/>
      <c r="AC1593" s="139"/>
      <c r="AD1593" s="139"/>
      <c r="AE1593" s="139"/>
      <c r="AF1593" s="139"/>
      <c r="AG1593" s="139"/>
      <c r="AH1593" s="139"/>
      <c r="AI1593" s="139"/>
      <c r="AJ1593" s="139"/>
      <c r="AK1593" s="139"/>
      <c r="AL1593" s="139"/>
      <c r="AM1593" s="139"/>
      <c r="AN1593" s="139"/>
      <c r="AO1593" s="139"/>
      <c r="AP1593" s="139"/>
      <c r="AQ1593" s="139"/>
      <c r="AR1593" s="139"/>
      <c r="AS1593" s="139"/>
      <c r="AT1593" s="139"/>
      <c r="AU1593" s="139"/>
      <c r="AV1593" s="139"/>
      <c r="AW1593" s="139"/>
      <c r="AX1593" s="139"/>
      <c r="AY1593" s="139"/>
      <c r="AZ1593" s="139"/>
      <c r="BA1593" s="139"/>
      <c r="BB1593" s="139"/>
      <c r="BC1593" s="139"/>
      <c r="BD1593" s="139"/>
      <c r="BE1593" s="139"/>
      <c r="BF1593" s="139"/>
      <c r="BG1593" s="139"/>
      <c r="BH1593" s="139"/>
    </row>
    <row r="1594" spans="2:60" s="11" customFormat="1" ht="20.100000000000001" customHeight="1">
      <c r="B1594" s="1360"/>
      <c r="C1594" s="5598"/>
      <c r="D1594" s="9598" t="s">
        <v>137</v>
      </c>
      <c r="E1594" s="9600"/>
      <c r="F1594" s="285" t="s">
        <v>156</v>
      </c>
      <c r="G1594" s="666"/>
      <c r="H1594" s="684"/>
      <c r="I1594" s="9579" t="s">
        <v>138</v>
      </c>
      <c r="J1594" s="9581"/>
      <c r="K1594" s="105" t="s">
        <v>156</v>
      </c>
      <c r="L1594" s="5714"/>
      <c r="M1594" s="5863"/>
      <c r="N1594" s="5861">
        <f>'4DPLEX'!Y289</f>
        <v>74.458874458874462</v>
      </c>
      <c r="O1594" s="5862"/>
      <c r="P1594" s="5866"/>
      <c r="Q1594" s="5860"/>
      <c r="R1594" s="5994"/>
      <c r="S1594" s="5995"/>
      <c r="T1594" s="5996"/>
      <c r="U1594" s="5997"/>
      <c r="V1594" s="5998"/>
      <c r="W1594" s="5999"/>
      <c r="X1594" s="277"/>
      <c r="Y1594" s="277"/>
      <c r="Z1594" s="187"/>
      <c r="AA1594" s="6301"/>
      <c r="AB1594" s="139"/>
      <c r="AC1594" s="139"/>
      <c r="AD1594" s="139"/>
      <c r="AE1594" s="139"/>
      <c r="AF1594" s="139"/>
      <c r="AG1594" s="139"/>
      <c r="AH1594" s="139"/>
      <c r="AI1594" s="139"/>
      <c r="AJ1594" s="139"/>
      <c r="AK1594" s="139"/>
      <c r="AL1594" s="139"/>
      <c r="AM1594" s="139"/>
      <c r="AN1594" s="139"/>
      <c r="AO1594" s="139"/>
      <c r="AP1594" s="139"/>
      <c r="AQ1594" s="139"/>
      <c r="AR1594" s="139"/>
      <c r="AS1594" s="139"/>
      <c r="AT1594" s="139"/>
      <c r="AU1594" s="139"/>
      <c r="AV1594" s="139"/>
      <c r="AW1594" s="139"/>
      <c r="AX1594" s="139"/>
      <c r="AY1594" s="139"/>
      <c r="AZ1594" s="139"/>
      <c r="BA1594" s="139"/>
      <c r="BB1594" s="139"/>
      <c r="BC1594" s="139"/>
      <c r="BD1594" s="139"/>
      <c r="BE1594" s="139"/>
      <c r="BF1594" s="139"/>
      <c r="BG1594" s="139"/>
      <c r="BH1594" s="139"/>
    </row>
    <row r="1595" spans="2:60" s="11" customFormat="1" ht="20.100000000000001" customHeight="1">
      <c r="B1595" s="1360"/>
      <c r="C1595" s="5598"/>
      <c r="D1595" s="9598" t="s">
        <v>140</v>
      </c>
      <c r="E1595" s="9600"/>
      <c r="F1595" s="285" t="s">
        <v>156</v>
      </c>
      <c r="G1595" s="666"/>
      <c r="H1595" s="684"/>
      <c r="I1595" s="9582" t="s">
        <v>141</v>
      </c>
      <c r="J1595" s="9583"/>
      <c r="K1595" s="105" t="s">
        <v>156</v>
      </c>
      <c r="L1595" s="5714">
        <f>China!AO316</f>
        <v>92.694497153700198</v>
      </c>
      <c r="M1595" s="5863"/>
      <c r="N1595" s="5859">
        <v>94.71947194719472</v>
      </c>
      <c r="O1595" s="5722"/>
      <c r="P1595" s="5864">
        <v>91</v>
      </c>
      <c r="Q1595" s="5860"/>
      <c r="R1595" s="5994"/>
      <c r="S1595" s="5995"/>
      <c r="T1595" s="5996"/>
      <c r="U1595" s="5997"/>
      <c r="V1595" s="5998"/>
      <c r="W1595" s="5999"/>
      <c r="X1595" s="277"/>
      <c r="Y1595" s="277"/>
      <c r="Z1595" s="187"/>
      <c r="AA1595" s="6301"/>
      <c r="AB1595" s="139"/>
      <c r="AC1595" s="139"/>
      <c r="AD1595" s="139"/>
      <c r="AE1595" s="139"/>
      <c r="AF1595" s="139"/>
      <c r="AG1595" s="139"/>
      <c r="AH1595" s="139"/>
      <c r="AI1595" s="139"/>
      <c r="AJ1595" s="139"/>
      <c r="AK1595" s="139"/>
      <c r="AL1595" s="139"/>
      <c r="AM1595" s="139"/>
      <c r="AN1595" s="139"/>
      <c r="AO1595" s="139"/>
      <c r="AP1595" s="139"/>
      <c r="AQ1595" s="139"/>
      <c r="AR1595" s="139"/>
      <c r="AS1595" s="139"/>
      <c r="AT1595" s="139"/>
      <c r="AU1595" s="139"/>
      <c r="AV1595" s="139"/>
      <c r="AW1595" s="139"/>
      <c r="AX1595" s="139"/>
      <c r="AY1595" s="139"/>
      <c r="AZ1595" s="139"/>
      <c r="BA1595" s="139"/>
      <c r="BB1595" s="139"/>
      <c r="BC1595" s="139"/>
      <c r="BD1595" s="139"/>
      <c r="BE1595" s="139"/>
      <c r="BF1595" s="139"/>
      <c r="BG1595" s="139"/>
      <c r="BH1595" s="139"/>
    </row>
    <row r="1596" spans="2:60" s="11" customFormat="1" ht="20.100000000000001" customHeight="1">
      <c r="B1596" s="1360"/>
      <c r="C1596" s="614"/>
      <c r="D1596" s="9598" t="s">
        <v>143</v>
      </c>
      <c r="E1596" s="9600"/>
      <c r="F1596" s="285" t="s">
        <v>156</v>
      </c>
      <c r="G1596" s="666"/>
      <c r="H1596" s="684"/>
      <c r="I1596" s="9582" t="s">
        <v>144</v>
      </c>
      <c r="J1596" s="9583"/>
      <c r="K1596" s="105" t="s">
        <v>156</v>
      </c>
      <c r="L1596" s="5714"/>
      <c r="M1596" s="5863"/>
      <c r="N1596" s="5859"/>
      <c r="O1596" s="5722"/>
      <c r="P1596" s="5864"/>
      <c r="Q1596" s="5860"/>
      <c r="R1596" s="5994"/>
      <c r="S1596" s="5995"/>
      <c r="T1596" s="5996"/>
      <c r="U1596" s="5997"/>
      <c r="V1596" s="5998"/>
      <c r="W1596" s="5999"/>
      <c r="X1596" s="277"/>
      <c r="Y1596" s="277"/>
      <c r="Z1596" s="187"/>
      <c r="AA1596" s="6301"/>
      <c r="AB1596" s="139"/>
      <c r="AC1596" s="139"/>
      <c r="AD1596" s="139"/>
      <c r="AE1596" s="139"/>
      <c r="AF1596" s="139"/>
      <c r="AG1596" s="139"/>
      <c r="AH1596" s="139"/>
      <c r="AI1596" s="139"/>
      <c r="AJ1596" s="139"/>
      <c r="AK1596" s="139"/>
      <c r="AL1596" s="139"/>
      <c r="AM1596" s="139"/>
      <c r="AN1596" s="139"/>
      <c r="AO1596" s="139"/>
      <c r="AP1596" s="139"/>
      <c r="AQ1596" s="139"/>
      <c r="AR1596" s="139"/>
      <c r="AS1596" s="139"/>
      <c r="AT1596" s="139"/>
      <c r="AU1596" s="139"/>
      <c r="AV1596" s="139"/>
      <c r="AW1596" s="139"/>
      <c r="AX1596" s="139"/>
      <c r="AY1596" s="139"/>
      <c r="AZ1596" s="139"/>
      <c r="BA1596" s="139"/>
      <c r="BB1596" s="139"/>
      <c r="BC1596" s="139"/>
      <c r="BD1596" s="139"/>
      <c r="BE1596" s="139"/>
      <c r="BF1596" s="139"/>
      <c r="BG1596" s="139"/>
      <c r="BH1596" s="139"/>
    </row>
    <row r="1597" spans="2:60" s="11" customFormat="1" ht="20.100000000000001" customHeight="1">
      <c r="B1597" s="1360"/>
      <c r="C1597" s="5598"/>
      <c r="D1597" s="9598" t="s">
        <v>631</v>
      </c>
      <c r="E1597" s="9600"/>
      <c r="F1597" s="285" t="s">
        <v>156</v>
      </c>
      <c r="G1597" s="666"/>
      <c r="H1597" s="684"/>
      <c r="I1597" s="9582" t="s">
        <v>147</v>
      </c>
      <c r="J1597" s="9583"/>
      <c r="K1597" s="105" t="s">
        <v>156</v>
      </c>
      <c r="L1597" s="5714">
        <f>Indonesia!V316</f>
        <v>96.569920844327171</v>
      </c>
      <c r="M1597" s="5863"/>
      <c r="N1597" s="5859">
        <f>Indonesia!X316</f>
        <v>90.025575447570333</v>
      </c>
      <c r="O1597" s="5722"/>
      <c r="P1597" s="5864">
        <f>Indonesia!Z316</f>
        <v>0</v>
      </c>
      <c r="Q1597" s="5860"/>
      <c r="R1597" s="5994"/>
      <c r="S1597" s="5995"/>
      <c r="T1597" s="5996"/>
      <c r="U1597" s="5997"/>
      <c r="V1597" s="5998"/>
      <c r="W1597" s="5999"/>
      <c r="X1597" s="277"/>
      <c r="Y1597" s="277"/>
      <c r="Z1597" s="187"/>
      <c r="AA1597" s="6301"/>
      <c r="AB1597" s="139"/>
      <c r="AC1597" s="139"/>
      <c r="AD1597" s="139"/>
      <c r="AE1597" s="139"/>
      <c r="AF1597" s="139"/>
      <c r="AG1597" s="139"/>
      <c r="AH1597" s="139"/>
      <c r="AI1597" s="139"/>
      <c r="AJ1597" s="139"/>
      <c r="AK1597" s="139"/>
      <c r="AL1597" s="139"/>
      <c r="AM1597" s="139"/>
      <c r="AN1597" s="139"/>
      <c r="AO1597" s="139"/>
      <c r="AP1597" s="139"/>
      <c r="AQ1597" s="139"/>
      <c r="AR1597" s="139"/>
      <c r="AS1597" s="139"/>
      <c r="AT1597" s="139"/>
      <c r="AU1597" s="139"/>
      <c r="AV1597" s="139"/>
      <c r="AW1597" s="139"/>
      <c r="AX1597" s="139"/>
      <c r="AY1597" s="139"/>
      <c r="AZ1597" s="139"/>
      <c r="BA1597" s="139"/>
      <c r="BB1597" s="139"/>
      <c r="BC1597" s="139"/>
      <c r="BD1597" s="139"/>
      <c r="BE1597" s="139"/>
      <c r="BF1597" s="139"/>
      <c r="BG1597" s="139"/>
      <c r="BH1597" s="139"/>
    </row>
    <row r="1598" spans="2:60" s="11" customFormat="1" ht="20.100000000000001" customHeight="1">
      <c r="B1598" s="1360"/>
      <c r="C1598" s="5598"/>
      <c r="D1598" s="9598" t="s">
        <v>633</v>
      </c>
      <c r="E1598" s="9600"/>
      <c r="F1598" s="285" t="s">
        <v>156</v>
      </c>
      <c r="G1598" s="666"/>
      <c r="H1598" s="684"/>
      <c r="I1598" s="9582" t="s">
        <v>150</v>
      </c>
      <c r="J1598" s="9583"/>
      <c r="K1598" s="105" t="s">
        <v>156</v>
      </c>
      <c r="L1598" s="6515">
        <v>4</v>
      </c>
      <c r="M1598" s="5865"/>
      <c r="N1598" s="6514">
        <v>7</v>
      </c>
      <c r="O1598" s="5865"/>
      <c r="P1598" s="6514">
        <v>7</v>
      </c>
      <c r="Q1598" s="6124"/>
      <c r="R1598" s="5994"/>
      <c r="S1598" s="5995"/>
      <c r="T1598" s="5996"/>
      <c r="U1598" s="5997"/>
      <c r="V1598" s="5998"/>
      <c r="W1598" s="5999"/>
      <c r="X1598" s="277"/>
      <c r="Y1598" s="277"/>
      <c r="Z1598" s="187"/>
      <c r="AA1598" s="6301"/>
      <c r="AB1598" s="139"/>
      <c r="AC1598" s="139"/>
      <c r="AD1598" s="139"/>
      <c r="AE1598" s="139"/>
      <c r="AF1598" s="139"/>
      <c r="AG1598" s="139"/>
      <c r="AH1598" s="139"/>
      <c r="AI1598" s="139"/>
      <c r="AJ1598" s="139"/>
      <c r="AK1598" s="139"/>
      <c r="AL1598" s="139"/>
      <c r="AM1598" s="139"/>
      <c r="AN1598" s="139"/>
      <c r="AO1598" s="139"/>
      <c r="AP1598" s="139"/>
      <c r="AQ1598" s="139"/>
      <c r="AR1598" s="139"/>
      <c r="AS1598" s="139"/>
      <c r="AT1598" s="139"/>
      <c r="AU1598" s="139"/>
      <c r="AV1598" s="139"/>
      <c r="AW1598" s="139"/>
      <c r="AX1598" s="139"/>
      <c r="AY1598" s="139"/>
      <c r="AZ1598" s="139"/>
      <c r="BA1598" s="139"/>
      <c r="BB1598" s="139"/>
      <c r="BC1598" s="139"/>
      <c r="BD1598" s="139"/>
      <c r="BE1598" s="139"/>
      <c r="BF1598" s="139"/>
      <c r="BG1598" s="139"/>
      <c r="BH1598" s="139"/>
    </row>
    <row r="1599" spans="2:60" s="11" customFormat="1" ht="19.350000000000001" customHeight="1">
      <c r="B1599" s="1360"/>
      <c r="C1599" s="921"/>
      <c r="D1599" s="9584" t="s">
        <v>1198</v>
      </c>
      <c r="E1599" s="9585"/>
      <c r="F1599" s="285" t="s">
        <v>156</v>
      </c>
      <c r="G1599" s="777"/>
      <c r="H1599" s="4666"/>
      <c r="I1599" s="9584" t="s">
        <v>1199</v>
      </c>
      <c r="J1599" s="9585"/>
      <c r="K1599" s="105" t="s">
        <v>156</v>
      </c>
      <c r="L1599" s="5968" t="str">
        <f>IF(COUNTBLANK(L1600:L1605)&gt;0,"미취합법인有",AVERAGE(L1600:L1605))</f>
        <v>미취합법인有</v>
      </c>
      <c r="M1599" s="5657"/>
      <c r="N1599" s="5654" t="str">
        <f>IF(COUNTBLANK(N1600:N1605)&gt;0,"미취합법인有",AVERAGE(N1600:N1605))</f>
        <v>미취합법인有</v>
      </c>
      <c r="O1599" s="5663"/>
      <c r="P1599" s="5781" t="str">
        <f>IF(COUNTBLANK(P1600:P1605)&gt;0,"미취합법인有",AVERAGE(P1600:P1605))</f>
        <v>미취합법인有</v>
      </c>
      <c r="Q1599" s="785"/>
      <c r="R1599" s="2468"/>
      <c r="S1599" s="4849"/>
      <c r="T1599" s="99" t="s">
        <v>737</v>
      </c>
      <c r="U1599" s="546"/>
      <c r="V1599" s="547"/>
      <c r="W1599" s="796"/>
      <c r="X1599" s="277" t="s">
        <v>1192</v>
      </c>
      <c r="Y1599" s="277" t="s">
        <v>1193</v>
      </c>
      <c r="Z1599" s="187"/>
      <c r="AA1599" s="6301"/>
      <c r="AB1599" s="139"/>
      <c r="AC1599" s="139"/>
      <c r="AD1599" s="139"/>
      <c r="AE1599" s="139"/>
      <c r="AF1599" s="139"/>
      <c r="AG1599" s="139"/>
      <c r="AH1599" s="139"/>
      <c r="AI1599" s="139"/>
      <c r="AJ1599" s="139"/>
      <c r="AK1599" s="139"/>
      <c r="AL1599" s="139"/>
      <c r="AM1599" s="139"/>
      <c r="AN1599" s="139"/>
      <c r="AO1599" s="139"/>
      <c r="AP1599" s="139"/>
      <c r="AQ1599" s="139"/>
      <c r="AR1599" s="139"/>
      <c r="AS1599" s="139"/>
      <c r="AT1599" s="139"/>
      <c r="AU1599" s="139"/>
      <c r="AV1599" s="139"/>
      <c r="AW1599" s="139"/>
      <c r="AX1599" s="139"/>
      <c r="AY1599" s="139"/>
      <c r="AZ1599" s="139"/>
      <c r="BA1599" s="139"/>
      <c r="BB1599" s="139"/>
      <c r="BC1599" s="139"/>
      <c r="BD1599" s="139"/>
      <c r="BE1599" s="139"/>
      <c r="BF1599" s="139"/>
      <c r="BG1599" s="139"/>
      <c r="BH1599" s="139"/>
    </row>
    <row r="1600" spans="2:60" s="11" customFormat="1" ht="20.100000000000001" customHeight="1">
      <c r="B1600" s="1360"/>
      <c r="C1600" s="5598"/>
      <c r="D1600" s="9598" t="s">
        <v>134</v>
      </c>
      <c r="E1600" s="9600"/>
      <c r="F1600" s="285" t="s">
        <v>156</v>
      </c>
      <c r="G1600" s="666"/>
      <c r="H1600" s="684"/>
      <c r="I1600" s="9579" t="s">
        <v>135</v>
      </c>
      <c r="J1600" s="9581"/>
      <c r="K1600" s="105" t="s">
        <v>156</v>
      </c>
      <c r="L1600" s="5714">
        <v>87.224669603524234</v>
      </c>
      <c r="M1600" s="5718"/>
      <c r="N1600" s="5859">
        <v>93.25432999088423</v>
      </c>
      <c r="O1600" s="5880"/>
      <c r="P1600" s="5864">
        <v>93.093922651933696</v>
      </c>
      <c r="Q1600" s="5717"/>
      <c r="R1600" s="2483"/>
      <c r="S1600" s="6248"/>
      <c r="T1600" s="545"/>
      <c r="U1600" s="546"/>
      <c r="V1600" s="547"/>
      <c r="W1600" s="548"/>
      <c r="X1600" s="277"/>
      <c r="Y1600" s="277"/>
      <c r="Z1600" s="187"/>
      <c r="AA1600" s="6301"/>
      <c r="AB1600" s="139"/>
      <c r="AC1600" s="139"/>
      <c r="AD1600" s="139"/>
      <c r="AE1600" s="139"/>
      <c r="AF1600" s="139"/>
      <c r="AG1600" s="139"/>
      <c r="AH1600" s="139"/>
      <c r="AI1600" s="139"/>
      <c r="AJ1600" s="139"/>
      <c r="AK1600" s="139"/>
      <c r="AL1600" s="139"/>
      <c r="AM1600" s="139"/>
      <c r="AN1600" s="139"/>
      <c r="AO1600" s="139"/>
      <c r="AP1600" s="139"/>
      <c r="AQ1600" s="139"/>
      <c r="AR1600" s="139"/>
      <c r="AS1600" s="139"/>
      <c r="AT1600" s="139"/>
      <c r="AU1600" s="139"/>
      <c r="AV1600" s="139"/>
      <c r="AW1600" s="139"/>
      <c r="AX1600" s="139"/>
      <c r="AY1600" s="139"/>
      <c r="AZ1600" s="139"/>
      <c r="BA1600" s="139"/>
      <c r="BB1600" s="139"/>
      <c r="BC1600" s="139"/>
      <c r="BD1600" s="139"/>
      <c r="BE1600" s="139"/>
      <c r="BF1600" s="139"/>
      <c r="BG1600" s="139"/>
      <c r="BH1600" s="139"/>
    </row>
    <row r="1601" spans="2:60" s="11" customFormat="1" ht="20.100000000000001" customHeight="1">
      <c r="B1601" s="1360"/>
      <c r="C1601" s="5598"/>
      <c r="D1601" s="9598" t="s">
        <v>137</v>
      </c>
      <c r="E1601" s="9600"/>
      <c r="F1601" s="285" t="s">
        <v>156</v>
      </c>
      <c r="G1601" s="666"/>
      <c r="H1601" s="684"/>
      <c r="I1601" s="9579" t="s">
        <v>138</v>
      </c>
      <c r="J1601" s="9581"/>
      <c r="K1601" s="105" t="s">
        <v>156</v>
      </c>
      <c r="L1601" s="5714"/>
      <c r="M1601" s="5718"/>
      <c r="N1601" s="5861">
        <f>'4DPLEX'!Y290</f>
        <v>67.099567099567111</v>
      </c>
      <c r="O1601" s="5720"/>
      <c r="P1601" s="5866"/>
      <c r="Q1601" s="5717"/>
      <c r="R1601" s="2483"/>
      <c r="S1601" s="544"/>
      <c r="T1601" s="545"/>
      <c r="U1601" s="546"/>
      <c r="V1601" s="547"/>
      <c r="W1601" s="548"/>
      <c r="X1601" s="277"/>
      <c r="Y1601" s="277"/>
      <c r="Z1601" s="187"/>
      <c r="AA1601" s="6301"/>
      <c r="AB1601" s="139"/>
      <c r="AC1601" s="139"/>
      <c r="AD1601" s="139"/>
      <c r="AE1601" s="139"/>
      <c r="AF1601" s="139"/>
      <c r="AG1601" s="139"/>
      <c r="AH1601" s="139"/>
      <c r="AI1601" s="139"/>
      <c r="AJ1601" s="139"/>
      <c r="AK1601" s="139"/>
      <c r="AL1601" s="139"/>
      <c r="AM1601" s="139"/>
      <c r="AN1601" s="139"/>
      <c r="AO1601" s="139"/>
      <c r="AP1601" s="139"/>
      <c r="AQ1601" s="139"/>
      <c r="AR1601" s="139"/>
      <c r="AS1601" s="139"/>
      <c r="AT1601" s="139"/>
      <c r="AU1601" s="139"/>
      <c r="AV1601" s="139"/>
      <c r="AW1601" s="139"/>
      <c r="AX1601" s="139"/>
      <c r="AY1601" s="139"/>
      <c r="AZ1601" s="139"/>
      <c r="BA1601" s="139"/>
      <c r="BB1601" s="139"/>
      <c r="BC1601" s="139"/>
      <c r="BD1601" s="139"/>
      <c r="BE1601" s="139"/>
      <c r="BF1601" s="139"/>
      <c r="BG1601" s="139"/>
      <c r="BH1601" s="139"/>
    </row>
    <row r="1602" spans="2:60" s="11" customFormat="1" ht="20.100000000000001" customHeight="1">
      <c r="B1602" s="1360"/>
      <c r="C1602" s="5598"/>
      <c r="D1602" s="9598" t="s">
        <v>140</v>
      </c>
      <c r="E1602" s="9600"/>
      <c r="F1602" s="285" t="s">
        <v>156</v>
      </c>
      <c r="G1602" s="666"/>
      <c r="H1602" s="684"/>
      <c r="I1602" s="9582" t="s">
        <v>141</v>
      </c>
      <c r="J1602" s="9583"/>
      <c r="K1602" s="105" t="s">
        <v>156</v>
      </c>
      <c r="L1602" s="5714">
        <f>China!AO317</f>
        <v>92.694497153700198</v>
      </c>
      <c r="M1602" s="5718"/>
      <c r="N1602" s="5859">
        <v>94.71947194719472</v>
      </c>
      <c r="O1602" s="5716"/>
      <c r="P1602" s="5864">
        <v>91</v>
      </c>
      <c r="Q1602" s="5717"/>
      <c r="R1602" s="2483"/>
      <c r="S1602" s="544"/>
      <c r="T1602" s="545"/>
      <c r="U1602" s="546"/>
      <c r="V1602" s="547"/>
      <c r="W1602" s="548"/>
      <c r="X1602" s="277"/>
      <c r="Y1602" s="277"/>
      <c r="Z1602" s="187"/>
      <c r="AA1602" s="6301"/>
      <c r="AB1602" s="139"/>
      <c r="AC1602" s="139"/>
      <c r="AD1602" s="139"/>
      <c r="AE1602" s="139"/>
      <c r="AF1602" s="139"/>
      <c r="AG1602" s="139"/>
      <c r="AH1602" s="139"/>
      <c r="AI1602" s="139"/>
      <c r="AJ1602" s="139"/>
      <c r="AK1602" s="139"/>
      <c r="AL1602" s="139"/>
      <c r="AM1602" s="139"/>
      <c r="AN1602" s="139"/>
      <c r="AO1602" s="139"/>
      <c r="AP1602" s="139"/>
      <c r="AQ1602" s="139"/>
      <c r="AR1602" s="139"/>
      <c r="AS1602" s="139"/>
      <c r="AT1602" s="139"/>
      <c r="AU1602" s="139"/>
      <c r="AV1602" s="139"/>
      <c r="AW1602" s="139"/>
      <c r="AX1602" s="139"/>
      <c r="AY1602" s="139"/>
      <c r="AZ1602" s="139"/>
      <c r="BA1602" s="139"/>
      <c r="BB1602" s="139"/>
      <c r="BC1602" s="139"/>
      <c r="BD1602" s="139"/>
      <c r="BE1602" s="139"/>
      <c r="BF1602" s="139"/>
      <c r="BG1602" s="139"/>
      <c r="BH1602" s="139"/>
    </row>
    <row r="1603" spans="2:60" s="11" customFormat="1" ht="20.100000000000001" customHeight="1">
      <c r="B1603" s="1360"/>
      <c r="C1603" s="614"/>
      <c r="D1603" s="9598" t="s">
        <v>143</v>
      </c>
      <c r="E1603" s="9600"/>
      <c r="F1603" s="285" t="s">
        <v>156</v>
      </c>
      <c r="G1603" s="666"/>
      <c r="H1603" s="684"/>
      <c r="I1603" s="9582" t="s">
        <v>144</v>
      </c>
      <c r="J1603" s="9583"/>
      <c r="K1603" s="105" t="s">
        <v>156</v>
      </c>
      <c r="L1603" s="5714"/>
      <c r="M1603" s="5718"/>
      <c r="N1603" s="5859"/>
      <c r="O1603" s="5716"/>
      <c r="P1603" s="5864"/>
      <c r="Q1603" s="5717"/>
      <c r="R1603" s="2483"/>
      <c r="S1603" s="544"/>
      <c r="T1603" s="545"/>
      <c r="U1603" s="546"/>
      <c r="V1603" s="547"/>
      <c r="W1603" s="548"/>
      <c r="X1603" s="277"/>
      <c r="Y1603" s="277"/>
      <c r="Z1603" s="187"/>
      <c r="AA1603" s="6301"/>
      <c r="AB1603" s="139"/>
      <c r="AC1603" s="139"/>
      <c r="AD1603" s="139"/>
      <c r="AE1603" s="139"/>
      <c r="AF1603" s="139"/>
      <c r="AG1603" s="139"/>
      <c r="AH1603" s="139"/>
      <c r="AI1603" s="139"/>
      <c r="AJ1603" s="139"/>
      <c r="AK1603" s="139"/>
      <c r="AL1603" s="139"/>
      <c r="AM1603" s="139"/>
      <c r="AN1603" s="139"/>
      <c r="AO1603" s="139"/>
      <c r="AP1603" s="139"/>
      <c r="AQ1603" s="139"/>
      <c r="AR1603" s="139"/>
      <c r="AS1603" s="139"/>
      <c r="AT1603" s="139"/>
      <c r="AU1603" s="139"/>
      <c r="AV1603" s="139"/>
      <c r="AW1603" s="139"/>
      <c r="AX1603" s="139"/>
      <c r="AY1603" s="139"/>
      <c r="AZ1603" s="139"/>
      <c r="BA1603" s="139"/>
      <c r="BB1603" s="139"/>
      <c r="BC1603" s="139"/>
      <c r="BD1603" s="139"/>
      <c r="BE1603" s="139"/>
      <c r="BF1603" s="139"/>
      <c r="BG1603" s="139"/>
      <c r="BH1603" s="139"/>
    </row>
    <row r="1604" spans="2:60" s="11" customFormat="1" ht="20.100000000000001" customHeight="1">
      <c r="B1604" s="1360"/>
      <c r="C1604" s="5598"/>
      <c r="D1604" s="9598" t="s">
        <v>631</v>
      </c>
      <c r="E1604" s="9600"/>
      <c r="F1604" s="285" t="s">
        <v>156</v>
      </c>
      <c r="G1604" s="666"/>
      <c r="H1604" s="684"/>
      <c r="I1604" s="9582" t="s">
        <v>147</v>
      </c>
      <c r="J1604" s="9583"/>
      <c r="K1604" s="105" t="s">
        <v>156</v>
      </c>
      <c r="L1604" s="5714">
        <f>Indonesia!V317</f>
        <v>96.569920844327171</v>
      </c>
      <c r="M1604" s="5718"/>
      <c r="N1604" s="5859">
        <f>Indonesia!X317</f>
        <v>90.025575447570333</v>
      </c>
      <c r="O1604" s="5716"/>
      <c r="P1604" s="5864">
        <f>Indonesia!Z317</f>
        <v>0</v>
      </c>
      <c r="Q1604" s="5717"/>
      <c r="R1604" s="2483"/>
      <c r="S1604" s="544"/>
      <c r="T1604" s="545"/>
      <c r="U1604" s="546"/>
      <c r="V1604" s="547"/>
      <c r="W1604" s="548"/>
      <c r="X1604" s="277"/>
      <c r="Y1604" s="277"/>
      <c r="Z1604" s="187"/>
      <c r="AA1604" s="6301"/>
      <c r="AB1604" s="139"/>
      <c r="AC1604" s="139"/>
      <c r="AD1604" s="139"/>
      <c r="AE1604" s="139"/>
      <c r="AF1604" s="139"/>
      <c r="AG1604" s="139"/>
      <c r="AH1604" s="139"/>
      <c r="AI1604" s="139"/>
      <c r="AJ1604" s="139"/>
      <c r="AK1604" s="139"/>
      <c r="AL1604" s="139"/>
      <c r="AM1604" s="139"/>
      <c r="AN1604" s="139"/>
      <c r="AO1604" s="139"/>
      <c r="AP1604" s="139"/>
      <c r="AQ1604" s="139"/>
      <c r="AR1604" s="139"/>
      <c r="AS1604" s="139"/>
      <c r="AT1604" s="139"/>
      <c r="AU1604" s="139"/>
      <c r="AV1604" s="139"/>
      <c r="AW1604" s="139"/>
      <c r="AX1604" s="139"/>
      <c r="AY1604" s="139"/>
      <c r="AZ1604" s="139"/>
      <c r="BA1604" s="139"/>
      <c r="BB1604" s="139"/>
      <c r="BC1604" s="139"/>
      <c r="BD1604" s="139"/>
      <c r="BE1604" s="139"/>
      <c r="BF1604" s="139"/>
      <c r="BG1604" s="139"/>
      <c r="BH1604" s="139"/>
    </row>
    <row r="1605" spans="2:60" s="11" customFormat="1" ht="20.100000000000001" customHeight="1">
      <c r="B1605" s="1360"/>
      <c r="C1605" s="5598"/>
      <c r="D1605" s="9598" t="s">
        <v>633</v>
      </c>
      <c r="E1605" s="9600"/>
      <c r="F1605" s="285" t="s">
        <v>156</v>
      </c>
      <c r="G1605" s="666"/>
      <c r="H1605" s="684"/>
      <c r="I1605" s="9582" t="s">
        <v>150</v>
      </c>
      <c r="J1605" s="9583"/>
      <c r="K1605" s="105" t="s">
        <v>156</v>
      </c>
      <c r="L1605" s="6515">
        <v>36.950000000000003</v>
      </c>
      <c r="M1605" s="5671"/>
      <c r="N1605" s="6514">
        <v>36.1</v>
      </c>
      <c r="O1605" s="5671"/>
      <c r="P1605" s="6514">
        <v>37.299999999999997</v>
      </c>
      <c r="Q1605" s="5672"/>
      <c r="R1605" s="2483"/>
      <c r="S1605" s="544"/>
      <c r="T1605" s="545"/>
      <c r="U1605" s="546"/>
      <c r="V1605" s="547"/>
      <c r="W1605" s="548"/>
      <c r="X1605" s="277"/>
      <c r="Y1605" s="277"/>
      <c r="Z1605" s="187"/>
      <c r="AA1605" s="6301"/>
      <c r="AB1605" s="139"/>
      <c r="AC1605" s="139"/>
      <c r="AD1605" s="139"/>
      <c r="AE1605" s="139"/>
      <c r="AF1605" s="139"/>
      <c r="AG1605" s="139"/>
      <c r="AH1605" s="139"/>
      <c r="AI1605" s="139"/>
      <c r="AJ1605" s="139"/>
      <c r="AK1605" s="139"/>
      <c r="AL1605" s="139"/>
      <c r="AM1605" s="139"/>
      <c r="AN1605" s="139"/>
      <c r="AO1605" s="139"/>
      <c r="AP1605" s="139"/>
      <c r="AQ1605" s="139"/>
      <c r="AR1605" s="139"/>
      <c r="AS1605" s="139"/>
      <c r="AT1605" s="139"/>
      <c r="AU1605" s="139"/>
      <c r="AV1605" s="139"/>
      <c r="AW1605" s="139"/>
      <c r="AX1605" s="139"/>
      <c r="AY1605" s="139"/>
      <c r="AZ1605" s="139"/>
      <c r="BA1605" s="139"/>
      <c r="BB1605" s="139"/>
      <c r="BC1605" s="139"/>
      <c r="BD1605" s="139"/>
      <c r="BE1605" s="139"/>
      <c r="BF1605" s="139"/>
      <c r="BG1605" s="139"/>
      <c r="BH1605" s="139"/>
    </row>
    <row r="1606" spans="2:60" s="11" customFormat="1" ht="19.350000000000001" customHeight="1">
      <c r="B1606" s="1360"/>
      <c r="C1606" s="9656" t="s">
        <v>1200</v>
      </c>
      <c r="D1606" s="9587"/>
      <c r="E1606" s="9588"/>
      <c r="F1606" s="285" t="s">
        <v>156</v>
      </c>
      <c r="G1606" s="961"/>
      <c r="H1606" s="9586" t="s">
        <v>1201</v>
      </c>
      <c r="I1606" s="9587"/>
      <c r="J1606" s="9588"/>
      <c r="K1606" s="105" t="s">
        <v>156</v>
      </c>
      <c r="L1606" s="5968">
        <f>IF(COUNTBLANK(L1607:L1612)&gt;0,"미취합법인有",AVERAGE(L1607:L1612))</f>
        <v>9.1716091848472558</v>
      </c>
      <c r="M1606" s="5657"/>
      <c r="N1606" s="5654">
        <f>IF(COUNTBLANK(N1607:N1612)&gt;0,"미취합법인有",AVERAGE(N1607:N1612))</f>
        <v>8.5165608382321594</v>
      </c>
      <c r="O1606" s="5663"/>
      <c r="P1606" s="5781">
        <f>IF(COUNTBLANK(P1607:P1612)&gt;0,"미취합법인有",AVERAGE(P1607:P1612))</f>
        <v>5.5665474232480605</v>
      </c>
      <c r="Q1606" s="785"/>
      <c r="R1606" s="2468" t="s">
        <v>1202</v>
      </c>
      <c r="S1606" s="544" t="s">
        <v>1203</v>
      </c>
      <c r="T1606" s="873" t="s">
        <v>737</v>
      </c>
      <c r="U1606" s="547"/>
      <c r="V1606" s="547"/>
      <c r="W1606" s="873"/>
      <c r="X1606" s="277" t="s">
        <v>1204</v>
      </c>
      <c r="Y1606" s="265"/>
      <c r="Z1606" s="187"/>
      <c r="AA1606" s="6301"/>
      <c r="AB1606" s="139"/>
      <c r="AC1606" s="139"/>
      <c r="AD1606" s="139"/>
      <c r="AE1606" s="139"/>
      <c r="AF1606" s="139"/>
      <c r="AG1606" s="139"/>
      <c r="AH1606" s="139"/>
      <c r="AI1606" s="139"/>
      <c r="AJ1606" s="139"/>
      <c r="AK1606" s="139"/>
      <c r="AL1606" s="139"/>
      <c r="AM1606" s="139"/>
      <c r="AN1606" s="139"/>
      <c r="AO1606" s="139"/>
      <c r="AP1606" s="139"/>
      <c r="AQ1606" s="139"/>
      <c r="AR1606" s="139"/>
      <c r="AS1606" s="139"/>
      <c r="AT1606" s="139"/>
      <c r="AU1606" s="139"/>
      <c r="AV1606" s="139"/>
      <c r="AW1606" s="139"/>
      <c r="AX1606" s="139"/>
      <c r="AY1606" s="139"/>
      <c r="AZ1606" s="139"/>
      <c r="BA1606" s="139"/>
      <c r="BB1606" s="139"/>
      <c r="BC1606" s="139"/>
      <c r="BD1606" s="139"/>
      <c r="BE1606" s="139"/>
      <c r="BF1606" s="139"/>
      <c r="BG1606" s="139"/>
      <c r="BH1606" s="139"/>
    </row>
    <row r="1607" spans="2:60" s="11" customFormat="1" ht="19.5" customHeight="1">
      <c r="B1607" s="1360"/>
      <c r="C1607" s="9647" t="s">
        <v>134</v>
      </c>
      <c r="D1607" s="9648"/>
      <c r="E1607" s="9649"/>
      <c r="F1607" s="285" t="s">
        <v>156</v>
      </c>
      <c r="G1607" s="666"/>
      <c r="H1607" s="9579" t="s">
        <v>135</v>
      </c>
      <c r="I1607" s="9580"/>
      <c r="J1607" s="9581"/>
      <c r="K1607" s="105" t="s">
        <v>156</v>
      </c>
      <c r="L1607" s="5957">
        <f t="shared" ref="L1607" si="3">IFERROR(L1614/L1621*100,"-")</f>
        <v>8.5199979057591637</v>
      </c>
      <c r="M1607" s="5863"/>
      <c r="N1607" s="5864">
        <f t="shared" ref="N1607:P1607" si="4">IFERROR(N1614/N1621*100,"-")</f>
        <v>3.7333833254205868</v>
      </c>
      <c r="O1607" s="5722"/>
      <c r="P1607" s="5864">
        <f t="shared" si="4"/>
        <v>3.5044947180263271</v>
      </c>
      <c r="Q1607" s="5717"/>
      <c r="R1607" s="2468"/>
      <c r="S1607" s="544"/>
      <c r="T1607" s="545"/>
      <c r="U1607" s="546"/>
      <c r="V1607" s="547"/>
      <c r="W1607" s="548"/>
      <c r="X1607" s="277"/>
      <c r="Y1607" s="277"/>
      <c r="Z1607" s="187"/>
      <c r="AA1607" s="6301"/>
      <c r="AB1607" s="139"/>
      <c r="AC1607" s="139"/>
      <c r="AD1607" s="139"/>
      <c r="AE1607" s="139"/>
      <c r="AF1607" s="139"/>
      <c r="AG1607" s="139"/>
      <c r="AH1607" s="139"/>
      <c r="AI1607" s="139"/>
      <c r="AJ1607" s="139"/>
      <c r="AK1607" s="139"/>
      <c r="AL1607" s="139"/>
      <c r="AM1607" s="139"/>
      <c r="AN1607" s="139"/>
      <c r="AO1607" s="139"/>
      <c r="AP1607" s="139"/>
      <c r="AQ1607" s="139"/>
      <c r="AR1607" s="139"/>
      <c r="AS1607" s="139"/>
      <c r="AT1607" s="139"/>
      <c r="AU1607" s="139"/>
      <c r="AV1607" s="139"/>
      <c r="AW1607" s="139"/>
      <c r="AX1607" s="139"/>
      <c r="AY1607" s="139"/>
      <c r="AZ1607" s="139"/>
      <c r="BA1607" s="139"/>
      <c r="BB1607" s="139"/>
      <c r="BC1607" s="139"/>
      <c r="BD1607" s="139"/>
      <c r="BE1607" s="139"/>
      <c r="BF1607" s="139"/>
      <c r="BG1607" s="139"/>
      <c r="BH1607" s="139"/>
    </row>
    <row r="1608" spans="2:60" s="11" customFormat="1" ht="20.100000000000001" customHeight="1">
      <c r="B1608" s="1360"/>
      <c r="C1608" s="9647" t="s">
        <v>137</v>
      </c>
      <c r="D1608" s="9648"/>
      <c r="E1608" s="9649"/>
      <c r="F1608" s="285" t="s">
        <v>156</v>
      </c>
      <c r="G1608" s="666"/>
      <c r="H1608" s="9579" t="s">
        <v>138</v>
      </c>
      <c r="I1608" s="9580"/>
      <c r="J1608" s="9581"/>
      <c r="K1608" s="105" t="s">
        <v>156</v>
      </c>
      <c r="L1608" s="5958">
        <f t="shared" ref="L1608" si="5">IFERROR(L1615/L1622*100,"-")</f>
        <v>19.923664122137406</v>
      </c>
      <c r="M1608" s="5865"/>
      <c r="N1608" s="5864">
        <f t="shared" ref="N1608:P1608" si="6">IFERROR(N1615/N1622*100,"-")</f>
        <v>18.666666666666668</v>
      </c>
      <c r="O1608" s="5862"/>
      <c r="P1608" s="5864">
        <f t="shared" si="6"/>
        <v>0</v>
      </c>
      <c r="Q1608" s="5717"/>
      <c r="R1608" s="2468"/>
      <c r="S1608" s="544"/>
      <c r="T1608" s="545"/>
      <c r="U1608" s="546"/>
      <c r="V1608" s="547"/>
      <c r="W1608" s="548"/>
      <c r="X1608" s="277"/>
      <c r="Y1608" s="277"/>
      <c r="Z1608" s="187"/>
      <c r="AA1608" s="6301"/>
      <c r="AB1608" s="139"/>
      <c r="AC1608" s="139"/>
      <c r="AD1608" s="139"/>
      <c r="AE1608" s="139"/>
      <c r="AF1608" s="139"/>
      <c r="AG1608" s="139"/>
      <c r="AH1608" s="139"/>
      <c r="AI1608" s="139"/>
      <c r="AJ1608" s="139"/>
      <c r="AK1608" s="139"/>
      <c r="AL1608" s="139"/>
      <c r="AM1608" s="139"/>
      <c r="AN1608" s="139"/>
      <c r="AO1608" s="139"/>
      <c r="AP1608" s="139"/>
      <c r="AQ1608" s="139"/>
      <c r="AR1608" s="139"/>
      <c r="AS1608" s="139"/>
      <c r="AT1608" s="139"/>
      <c r="AU1608" s="139"/>
      <c r="AV1608" s="139"/>
      <c r="AW1608" s="139"/>
      <c r="AX1608" s="139"/>
      <c r="AY1608" s="139"/>
      <c r="AZ1608" s="139"/>
      <c r="BA1608" s="139"/>
      <c r="BB1608" s="139"/>
      <c r="BC1608" s="139"/>
      <c r="BD1608" s="139"/>
      <c r="BE1608" s="139"/>
      <c r="BF1608" s="139"/>
      <c r="BG1608" s="139"/>
      <c r="BH1608" s="139"/>
    </row>
    <row r="1609" spans="2:60" s="11" customFormat="1" ht="20.100000000000001" customHeight="1">
      <c r="B1609" s="1360"/>
      <c r="C1609" s="9647" t="s">
        <v>140</v>
      </c>
      <c r="D1609" s="9648"/>
      <c r="E1609" s="9649"/>
      <c r="F1609" s="285" t="s">
        <v>156</v>
      </c>
      <c r="G1609" s="666"/>
      <c r="H1609" s="9579" t="s">
        <v>141</v>
      </c>
      <c r="I1609" s="9580"/>
      <c r="J1609" s="9581"/>
      <c r="K1609" s="105" t="s">
        <v>156</v>
      </c>
      <c r="L1609" s="5957">
        <f t="shared" ref="L1609" si="7">IFERROR(L1616/L1623*100,"-")</f>
        <v>6.3923918988038562</v>
      </c>
      <c r="M1609" s="5863"/>
      <c r="N1609" s="5864">
        <f t="shared" ref="N1609:P1609" si="8">IFERROR(N1616/N1623*100,"-")</f>
        <v>6.3362878658565949</v>
      </c>
      <c r="O1609" s="5722"/>
      <c r="P1609" s="5864">
        <f t="shared" si="8"/>
        <v>5.0486448772292167</v>
      </c>
      <c r="Q1609" s="5717"/>
      <c r="R1609" s="2468"/>
      <c r="S1609" s="544"/>
      <c r="T1609" s="545"/>
      <c r="U1609" s="546"/>
      <c r="V1609" s="547"/>
      <c r="W1609" s="548"/>
      <c r="X1609" s="277"/>
      <c r="Y1609" s="277"/>
      <c r="Z1609" s="187"/>
      <c r="AA1609" s="6301"/>
      <c r="AB1609" s="139"/>
      <c r="AC1609" s="139"/>
      <c r="AD1609" s="139"/>
      <c r="AE1609" s="139"/>
      <c r="AF1609" s="139"/>
      <c r="AG1609" s="139"/>
      <c r="AH1609" s="139"/>
      <c r="AI1609" s="139"/>
      <c r="AJ1609" s="139"/>
      <c r="AK1609" s="139"/>
      <c r="AL1609" s="139"/>
      <c r="AM1609" s="139"/>
      <c r="AN1609" s="139"/>
      <c r="AO1609" s="139"/>
      <c r="AP1609" s="139"/>
      <c r="AQ1609" s="139"/>
      <c r="AR1609" s="139"/>
      <c r="AS1609" s="139"/>
      <c r="AT1609" s="139"/>
      <c r="AU1609" s="139"/>
      <c r="AV1609" s="139"/>
      <c r="AW1609" s="139"/>
      <c r="AX1609" s="139"/>
      <c r="AY1609" s="139"/>
      <c r="AZ1609" s="139"/>
      <c r="BA1609" s="139"/>
      <c r="BB1609" s="139"/>
      <c r="BC1609" s="139"/>
      <c r="BD1609" s="139"/>
      <c r="BE1609" s="139"/>
      <c r="BF1609" s="139"/>
      <c r="BG1609" s="139"/>
      <c r="BH1609" s="139"/>
    </row>
    <row r="1610" spans="2:60" s="11" customFormat="1" ht="20.100000000000001" customHeight="1">
      <c r="B1610" s="1360"/>
      <c r="C1610" s="9647" t="s">
        <v>143</v>
      </c>
      <c r="D1610" s="9648"/>
      <c r="E1610" s="9649"/>
      <c r="F1610" s="285" t="s">
        <v>156</v>
      </c>
      <c r="G1610" s="666"/>
      <c r="H1610" s="9579" t="s">
        <v>144</v>
      </c>
      <c r="I1610" s="9580"/>
      <c r="J1610" s="9581"/>
      <c r="K1610" s="105" t="s">
        <v>156</v>
      </c>
      <c r="L1610" s="5957">
        <f t="shared" ref="L1610" si="9">IFERROR(L1617/L1624*100,"-")</f>
        <v>7.8456599564427547</v>
      </c>
      <c r="M1610" s="5863"/>
      <c r="N1610" s="5864">
        <f t="shared" ref="N1610:P1610" si="10">IFERROR(N1617/N1624*100,"-")</f>
        <v>7.4125433273036654</v>
      </c>
      <c r="O1610" s="5722"/>
      <c r="P1610" s="5864">
        <f t="shared" si="10"/>
        <v>6.5984879239003984</v>
      </c>
      <c r="Q1610" s="5717"/>
      <c r="R1610" s="2468"/>
      <c r="S1610" s="544"/>
      <c r="T1610" s="545"/>
      <c r="U1610" s="546"/>
      <c r="V1610" s="547"/>
      <c r="W1610" s="548"/>
      <c r="X1610" s="277"/>
      <c r="Y1610" s="277"/>
      <c r="Z1610" s="187"/>
      <c r="AA1610" s="6301"/>
      <c r="AB1610" s="139"/>
      <c r="AC1610" s="139"/>
      <c r="AD1610" s="139"/>
      <c r="AE1610" s="139"/>
      <c r="AF1610" s="139"/>
      <c r="AG1610" s="139"/>
      <c r="AH1610" s="139"/>
      <c r="AI1610" s="139"/>
      <c r="AJ1610" s="139"/>
      <c r="AK1610" s="139"/>
      <c r="AL1610" s="139"/>
      <c r="AM1610" s="139"/>
      <c r="AN1610" s="139"/>
      <c r="AO1610" s="139"/>
      <c r="AP1610" s="139"/>
      <c r="AQ1610" s="139"/>
      <c r="AR1610" s="139"/>
      <c r="AS1610" s="139"/>
      <c r="AT1610" s="139"/>
      <c r="AU1610" s="139"/>
      <c r="AV1610" s="139"/>
      <c r="AW1610" s="139"/>
      <c r="AX1610" s="139"/>
      <c r="AY1610" s="139"/>
      <c r="AZ1610" s="139"/>
      <c r="BA1610" s="139"/>
      <c r="BB1610" s="139"/>
      <c r="BC1610" s="139"/>
      <c r="BD1610" s="139"/>
      <c r="BE1610" s="139"/>
      <c r="BF1610" s="139"/>
      <c r="BG1610" s="139"/>
      <c r="BH1610" s="139"/>
    </row>
    <row r="1611" spans="2:60" s="11" customFormat="1" ht="20.100000000000001" customHeight="1">
      <c r="B1611" s="1360"/>
      <c r="C1611" s="9647" t="s">
        <v>631</v>
      </c>
      <c r="D1611" s="9648"/>
      <c r="E1611" s="9649"/>
      <c r="F1611" s="285" t="s">
        <v>156</v>
      </c>
      <c r="G1611" s="666"/>
      <c r="H1611" s="9579" t="s">
        <v>147</v>
      </c>
      <c r="I1611" s="9580"/>
      <c r="J1611" s="9581"/>
      <c r="K1611" s="105" t="s">
        <v>156</v>
      </c>
      <c r="L1611" s="5957">
        <f t="shared" ref="L1611" si="11">IFERROR(L1618/L1625*100,"-")</f>
        <v>3.9979412259403513</v>
      </c>
      <c r="M1611" s="5863"/>
      <c r="N1611" s="5864">
        <f t="shared" ref="N1611:P1611" si="12">IFERROR(N1618/N1625*100,"-")</f>
        <v>3.1804838441454444</v>
      </c>
      <c r="O1611" s="5864"/>
      <c r="P1611" s="5864">
        <f t="shared" si="12"/>
        <v>3.4376570203324226</v>
      </c>
      <c r="Q1611" s="5717"/>
      <c r="R1611" s="2468"/>
      <c r="S1611" s="544"/>
      <c r="T1611" s="545"/>
      <c r="U1611" s="546"/>
      <c r="V1611" s="547"/>
      <c r="W1611" s="548"/>
      <c r="X1611" s="277"/>
      <c r="Y1611" s="277"/>
      <c r="Z1611" s="187"/>
      <c r="AA1611" s="6301"/>
      <c r="AB1611" s="139"/>
      <c r="AC1611" s="139"/>
      <c r="AD1611" s="139"/>
      <c r="AE1611" s="139"/>
      <c r="AF1611" s="139"/>
      <c r="AG1611" s="139"/>
      <c r="AH1611" s="139"/>
      <c r="AI1611" s="139"/>
      <c r="AJ1611" s="139"/>
      <c r="AK1611" s="139"/>
      <c r="AL1611" s="139"/>
      <c r="AM1611" s="139"/>
      <c r="AN1611" s="139"/>
      <c r="AO1611" s="139"/>
      <c r="AP1611" s="139"/>
      <c r="AQ1611" s="139"/>
      <c r="AR1611" s="139"/>
      <c r="AS1611" s="139"/>
      <c r="AT1611" s="139"/>
      <c r="AU1611" s="139"/>
      <c r="AV1611" s="139"/>
      <c r="AW1611" s="139"/>
      <c r="AX1611" s="139"/>
      <c r="AY1611" s="139"/>
      <c r="AZ1611" s="139"/>
      <c r="BA1611" s="139"/>
      <c r="BB1611" s="139"/>
      <c r="BC1611" s="139"/>
      <c r="BD1611" s="139"/>
      <c r="BE1611" s="139"/>
      <c r="BF1611" s="139"/>
      <c r="BG1611" s="139"/>
      <c r="BH1611" s="139"/>
    </row>
    <row r="1612" spans="2:60" s="11" customFormat="1" ht="20.100000000000001" customHeight="1">
      <c r="B1612" s="1360"/>
      <c r="C1612" s="9647" t="s">
        <v>633</v>
      </c>
      <c r="D1612" s="9648"/>
      <c r="E1612" s="9649"/>
      <c r="F1612" s="285" t="s">
        <v>156</v>
      </c>
      <c r="G1612" s="666"/>
      <c r="H1612" s="9579" t="s">
        <v>150</v>
      </c>
      <c r="I1612" s="9580"/>
      <c r="J1612" s="9581"/>
      <c r="K1612" s="105" t="s">
        <v>156</v>
      </c>
      <c r="L1612" s="6500">
        <v>8.35</v>
      </c>
      <c r="M1612" s="5863"/>
      <c r="N1612" s="6499">
        <v>11.77</v>
      </c>
      <c r="O1612" s="5864"/>
      <c r="P1612" s="6482">
        <v>14.81</v>
      </c>
      <c r="Q1612" s="5717"/>
      <c r="R1612" s="2468"/>
      <c r="S1612" s="544"/>
      <c r="T1612" s="545"/>
      <c r="U1612" s="546"/>
      <c r="V1612" s="547"/>
      <c r="W1612" s="548"/>
      <c r="X1612" s="277"/>
      <c r="Y1612" s="277"/>
      <c r="Z1612" s="187"/>
      <c r="AA1612" s="6301"/>
      <c r="AB1612" s="139"/>
      <c r="AC1612" s="139"/>
      <c r="AD1612" s="139"/>
      <c r="AE1612" s="139"/>
      <c r="AF1612" s="139"/>
      <c r="AG1612" s="139"/>
      <c r="AH1612" s="139"/>
      <c r="AI1612" s="139"/>
      <c r="AJ1612" s="139"/>
      <c r="AK1612" s="139"/>
      <c r="AL1612" s="139"/>
      <c r="AM1612" s="139"/>
      <c r="AN1612" s="139"/>
      <c r="AO1612" s="139"/>
      <c r="AP1612" s="139"/>
      <c r="AQ1612" s="139"/>
      <c r="AR1612" s="139"/>
      <c r="AS1612" s="139"/>
      <c r="AT1612" s="139"/>
      <c r="AU1612" s="139"/>
      <c r="AV1612" s="139"/>
      <c r="AW1612" s="139"/>
      <c r="AX1612" s="139"/>
      <c r="AY1612" s="139"/>
      <c r="AZ1612" s="139"/>
      <c r="BA1612" s="139"/>
      <c r="BB1612" s="139"/>
      <c r="BC1612" s="139"/>
      <c r="BD1612" s="139"/>
      <c r="BE1612" s="139"/>
      <c r="BF1612" s="139"/>
      <c r="BG1612" s="139"/>
      <c r="BH1612" s="139"/>
    </row>
    <row r="1613" spans="2:60" s="11" customFormat="1" ht="19.350000000000001" customHeight="1">
      <c r="B1613" s="1360"/>
      <c r="C1613" s="915"/>
      <c r="D1613" s="9584" t="s">
        <v>1205</v>
      </c>
      <c r="E1613" s="9585"/>
      <c r="F1613" s="285" t="s">
        <v>628</v>
      </c>
      <c r="G1613" s="777"/>
      <c r="H1613" s="777"/>
      <c r="I1613" s="9584" t="s">
        <v>1206</v>
      </c>
      <c r="J1613" s="9585"/>
      <c r="K1613" s="105" t="s">
        <v>35</v>
      </c>
      <c r="L1613" s="6335"/>
      <c r="M1613" s="6427"/>
      <c r="N1613" s="6428"/>
      <c r="O1613" s="6348"/>
      <c r="P1613" s="6429"/>
      <c r="Q1613" s="5260"/>
      <c r="R1613" s="2483"/>
      <c r="S1613" s="544"/>
      <c r="T1613" s="109" t="s">
        <v>737</v>
      </c>
      <c r="U1613" s="547"/>
      <c r="V1613" s="547"/>
      <c r="W1613" s="109"/>
      <c r="X1613" s="277" t="s">
        <v>1204</v>
      </c>
      <c r="Y1613" s="265"/>
      <c r="Z1613" s="187" t="s">
        <v>1207</v>
      </c>
      <c r="AA1613" s="6301"/>
      <c r="AB1613" s="139" t="s">
        <v>1208</v>
      </c>
      <c r="AC1613" s="139"/>
      <c r="AD1613" s="139"/>
      <c r="AE1613" s="139"/>
      <c r="AF1613" s="139"/>
      <c r="AG1613" s="139"/>
      <c r="AH1613" s="139"/>
      <c r="AI1613" s="139"/>
      <c r="AJ1613" s="139"/>
      <c r="AK1613" s="139"/>
      <c r="AL1613" s="139"/>
      <c r="AM1613" s="139"/>
      <c r="AN1613" s="139"/>
      <c r="AO1613" s="139"/>
      <c r="AP1613" s="139"/>
      <c r="AQ1613" s="139"/>
      <c r="AR1613" s="139"/>
      <c r="AS1613" s="139"/>
      <c r="AT1613" s="139"/>
      <c r="AU1613" s="139"/>
      <c r="AV1613" s="139"/>
      <c r="AW1613" s="139"/>
      <c r="AX1613" s="139"/>
      <c r="AY1613" s="139"/>
      <c r="AZ1613" s="139"/>
      <c r="BA1613" s="139"/>
      <c r="BB1613" s="139"/>
      <c r="BC1613" s="139"/>
      <c r="BD1613" s="139"/>
      <c r="BE1613" s="139"/>
      <c r="BF1613" s="139"/>
      <c r="BG1613" s="139"/>
      <c r="BH1613" s="139"/>
    </row>
    <row r="1614" spans="2:60" s="11" customFormat="1" ht="20.100000000000001" customHeight="1">
      <c r="B1614" s="1360"/>
      <c r="C1614" s="5598"/>
      <c r="D1614" s="9598" t="s">
        <v>134</v>
      </c>
      <c r="E1614" s="9600"/>
      <c r="F1614" s="285" t="s">
        <v>33</v>
      </c>
      <c r="G1614" s="666"/>
      <c r="H1614" s="666"/>
      <c r="I1614" s="9579" t="s">
        <v>135</v>
      </c>
      <c r="J1614" s="9581"/>
      <c r="K1614" s="105" t="s">
        <v>35</v>
      </c>
      <c r="L1614" s="6011">
        <v>48.819588000000003</v>
      </c>
      <c r="M1614" s="5932" t="s">
        <v>1209</v>
      </c>
      <c r="N1614" s="6016">
        <v>55.568705999999999</v>
      </c>
      <c r="O1614" s="5932" t="s">
        <v>1209</v>
      </c>
      <c r="P1614" s="5935">
        <v>51.010297999999999</v>
      </c>
      <c r="Q1614" s="5936"/>
      <c r="R1614" s="2483"/>
      <c r="S1614" s="544"/>
      <c r="T1614" s="545"/>
      <c r="U1614" s="546"/>
      <c r="V1614" s="547"/>
      <c r="W1614" s="548"/>
      <c r="X1614" s="277"/>
      <c r="Y1614" s="277"/>
      <c r="Z1614" s="187"/>
      <c r="AA1614" s="6301"/>
      <c r="AB1614" s="139"/>
      <c r="AC1614" s="139"/>
      <c r="AD1614" s="139"/>
      <c r="AE1614" s="139"/>
      <c r="AF1614" s="139"/>
      <c r="AG1614" s="139"/>
      <c r="AH1614" s="139"/>
      <c r="AI1614" s="139"/>
      <c r="AJ1614" s="139"/>
      <c r="AK1614" s="139"/>
      <c r="AL1614" s="139"/>
      <c r="AM1614" s="139"/>
      <c r="AN1614" s="139"/>
      <c r="AO1614" s="139"/>
      <c r="AP1614" s="139"/>
      <c r="AQ1614" s="139"/>
      <c r="AR1614" s="139"/>
      <c r="AS1614" s="139"/>
      <c r="AT1614" s="139"/>
      <c r="AU1614" s="139"/>
      <c r="AV1614" s="139"/>
      <c r="AW1614" s="139"/>
      <c r="AX1614" s="139"/>
      <c r="AY1614" s="139"/>
      <c r="AZ1614" s="139"/>
      <c r="BA1614" s="139"/>
      <c r="BB1614" s="139"/>
      <c r="BC1614" s="139"/>
      <c r="BD1614" s="139"/>
      <c r="BE1614" s="139"/>
      <c r="BF1614" s="139"/>
      <c r="BG1614" s="139"/>
      <c r="BH1614" s="139"/>
    </row>
    <row r="1615" spans="2:60" s="11" customFormat="1" ht="20.100000000000001" customHeight="1">
      <c r="B1615" s="1360"/>
      <c r="C1615" s="5598"/>
      <c r="D1615" s="9598" t="s">
        <v>137</v>
      </c>
      <c r="E1615" s="9600"/>
      <c r="F1615" s="285" t="s">
        <v>33</v>
      </c>
      <c r="G1615" s="666"/>
      <c r="H1615" s="666"/>
      <c r="I1615" s="9579" t="s">
        <v>138</v>
      </c>
      <c r="J1615" s="9581"/>
      <c r="K1615" s="105" t="s">
        <v>35</v>
      </c>
      <c r="L1615" s="6011">
        <f>'4DPLEX'!W292</f>
        <v>52.2</v>
      </c>
      <c r="M1615" s="5937"/>
      <c r="N1615" s="6012">
        <v>56</v>
      </c>
      <c r="O1615" s="5938"/>
      <c r="P1615" s="6014"/>
      <c r="Q1615" s="5936"/>
      <c r="R1615" s="2483"/>
      <c r="S1615" s="544"/>
      <c r="T1615" s="545"/>
      <c r="U1615" s="546"/>
      <c r="V1615" s="547"/>
      <c r="W1615" s="548"/>
      <c r="X1615" s="277"/>
      <c r="Y1615" s="277"/>
      <c r="Z1615" s="187"/>
      <c r="AA1615" s="6301"/>
      <c r="AB1615" s="139"/>
      <c r="AC1615" s="139"/>
      <c r="AD1615" s="139"/>
      <c r="AE1615" s="139"/>
      <c r="AF1615" s="139"/>
      <c r="AG1615" s="139"/>
      <c r="AH1615" s="139"/>
      <c r="AI1615" s="139"/>
      <c r="AJ1615" s="139"/>
      <c r="AK1615" s="139"/>
      <c r="AL1615" s="139"/>
      <c r="AM1615" s="139"/>
      <c r="AN1615" s="139"/>
      <c r="AO1615" s="139"/>
      <c r="AP1615" s="139"/>
      <c r="AQ1615" s="139"/>
      <c r="AR1615" s="139"/>
      <c r="AS1615" s="139"/>
      <c r="AT1615" s="139"/>
      <c r="AU1615" s="139"/>
      <c r="AV1615" s="139"/>
      <c r="AW1615" s="139"/>
      <c r="AX1615" s="139"/>
      <c r="AY1615" s="139"/>
      <c r="AZ1615" s="139"/>
      <c r="BA1615" s="139"/>
      <c r="BB1615" s="139"/>
      <c r="BC1615" s="139"/>
      <c r="BD1615" s="139"/>
      <c r="BE1615" s="139"/>
      <c r="BF1615" s="139"/>
      <c r="BG1615" s="139"/>
      <c r="BH1615" s="139"/>
    </row>
    <row r="1616" spans="2:60" s="11" customFormat="1" ht="20.100000000000001" customHeight="1">
      <c r="B1616" s="1360"/>
      <c r="C1616" s="5598"/>
      <c r="D1616" s="9598" t="s">
        <v>140</v>
      </c>
      <c r="E1616" s="9600"/>
      <c r="F1616" s="285" t="s">
        <v>272</v>
      </c>
      <c r="G1616" s="666"/>
      <c r="H1616" s="666"/>
      <c r="I1616" s="9582" t="s">
        <v>141</v>
      </c>
      <c r="J1616" s="9583"/>
      <c r="K1616" s="492" t="s">
        <v>142</v>
      </c>
      <c r="L1616" s="6011">
        <v>150875.47093273321</v>
      </c>
      <c r="M1616" s="5932" t="s">
        <v>1210</v>
      </c>
      <c r="N1616" s="6013">
        <v>150066.80429146648</v>
      </c>
      <c r="O1616" s="5934" t="s">
        <v>1211</v>
      </c>
      <c r="P1616" s="6014">
        <v>181961.54313556614</v>
      </c>
      <c r="Q1616" s="5936" t="s">
        <v>1212</v>
      </c>
      <c r="R1616" s="2483"/>
      <c r="S1616" s="544"/>
      <c r="T1616" s="545"/>
      <c r="U1616" s="546"/>
      <c r="V1616" s="547"/>
      <c r="W1616" s="548"/>
      <c r="X1616" s="277"/>
      <c r="Y1616" s="277"/>
      <c r="Z1616" s="187"/>
      <c r="AA1616" s="6301"/>
      <c r="AB1616" s="139"/>
      <c r="AC1616" s="139"/>
      <c r="AD1616" s="139"/>
      <c r="AE1616" s="139"/>
      <c r="AF1616" s="139"/>
      <c r="AG1616" s="139"/>
      <c r="AH1616" s="139"/>
      <c r="AI1616" s="139"/>
      <c r="AJ1616" s="139"/>
      <c r="AK1616" s="139"/>
      <c r="AL1616" s="139"/>
      <c r="AM1616" s="139"/>
      <c r="AN1616" s="139"/>
      <c r="AO1616" s="139"/>
      <c r="AP1616" s="139"/>
      <c r="AQ1616" s="139"/>
      <c r="AR1616" s="139"/>
      <c r="AS1616" s="139"/>
      <c r="AT1616" s="139"/>
      <c r="AU1616" s="139"/>
      <c r="AV1616" s="139"/>
      <c r="AW1616" s="139"/>
      <c r="AX1616" s="139"/>
      <c r="AY1616" s="139"/>
      <c r="AZ1616" s="139"/>
      <c r="BA1616" s="139"/>
      <c r="BB1616" s="139"/>
      <c r="BC1616" s="139"/>
      <c r="BD1616" s="139"/>
      <c r="BE1616" s="139"/>
      <c r="BF1616" s="139"/>
      <c r="BG1616" s="139"/>
      <c r="BH1616" s="139"/>
    </row>
    <row r="1617" spans="2:60" s="11" customFormat="1" ht="20.100000000000001" customHeight="1">
      <c r="B1617" s="1360"/>
      <c r="C1617" s="614"/>
      <c r="D1617" s="9598" t="s">
        <v>143</v>
      </c>
      <c r="E1617" s="9600"/>
      <c r="F1617" s="285" t="s">
        <v>630</v>
      </c>
      <c r="G1617" s="666"/>
      <c r="H1617" s="666"/>
      <c r="I1617" s="9582" t="s">
        <v>144</v>
      </c>
      <c r="J1617" s="9583"/>
      <c r="K1617" s="492" t="s">
        <v>145</v>
      </c>
      <c r="L1617" s="6011">
        <f>Vietnam!Q319</f>
        <v>195283.10768738901</v>
      </c>
      <c r="M1617" s="5932" t="s">
        <v>1213</v>
      </c>
      <c r="N1617" s="6012">
        <f>Vietnam!S319</f>
        <v>232002.98859201389</v>
      </c>
      <c r="O1617" s="5934" t="s">
        <v>1214</v>
      </c>
      <c r="P1617" s="6014">
        <f>Vietnam!U319</f>
        <v>244366.83450087564</v>
      </c>
      <c r="Q1617" s="5936"/>
      <c r="R1617" s="2483"/>
      <c r="S1617" s="544"/>
      <c r="T1617" s="545"/>
      <c r="U1617" s="546"/>
      <c r="V1617" s="547"/>
      <c r="W1617" s="548"/>
      <c r="X1617" s="277"/>
      <c r="Y1617" s="277"/>
      <c r="Z1617" s="187"/>
      <c r="AA1617" s="6301"/>
      <c r="AB1617" s="139"/>
      <c r="AC1617" s="139"/>
      <c r="AD1617" s="139"/>
      <c r="AE1617" s="139"/>
      <c r="AF1617" s="139"/>
      <c r="AG1617" s="139"/>
      <c r="AH1617" s="139"/>
      <c r="AI1617" s="139"/>
      <c r="AJ1617" s="139"/>
      <c r="AK1617" s="139"/>
      <c r="AL1617" s="139"/>
      <c r="AM1617" s="139"/>
      <c r="AN1617" s="139"/>
      <c r="AO1617" s="139"/>
      <c r="AP1617" s="139"/>
      <c r="AQ1617" s="139"/>
      <c r="AR1617" s="139"/>
      <c r="AS1617" s="139"/>
      <c r="AT1617" s="139"/>
      <c r="AU1617" s="139"/>
      <c r="AV1617" s="139"/>
      <c r="AW1617" s="139"/>
      <c r="AX1617" s="139"/>
      <c r="AY1617" s="139"/>
      <c r="AZ1617" s="139"/>
      <c r="BA1617" s="139"/>
      <c r="BB1617" s="139"/>
      <c r="BC1617" s="139"/>
      <c r="BD1617" s="139"/>
      <c r="BE1617" s="139"/>
      <c r="BF1617" s="139"/>
      <c r="BG1617" s="139"/>
      <c r="BH1617" s="139"/>
    </row>
    <row r="1618" spans="2:60" s="11" customFormat="1" ht="20.100000000000001" customHeight="1">
      <c r="B1618" s="1360"/>
      <c r="C1618" s="5598"/>
      <c r="D1618" s="9598" t="s">
        <v>631</v>
      </c>
      <c r="E1618" s="9600"/>
      <c r="F1618" s="285" t="s">
        <v>632</v>
      </c>
      <c r="G1618" s="666"/>
      <c r="H1618" s="666"/>
      <c r="I1618" s="9582" t="s">
        <v>147</v>
      </c>
      <c r="J1618" s="9583"/>
      <c r="K1618" s="492" t="s">
        <v>148</v>
      </c>
      <c r="L1618" s="6011">
        <f>Indonesia!V319</f>
        <v>79152000</v>
      </c>
      <c r="M1618" s="5932" t="s">
        <v>148</v>
      </c>
      <c r="N1618" s="6012">
        <f>Indonesia!X319</f>
        <v>79752000</v>
      </c>
      <c r="O1618" s="5934" t="s">
        <v>148</v>
      </c>
      <c r="P1618" s="6014">
        <f>Indonesia!Z319</f>
        <v>82920000</v>
      </c>
      <c r="Q1618" s="5936"/>
      <c r="R1618" s="2483"/>
      <c r="S1618" s="544"/>
      <c r="T1618" s="545"/>
      <c r="U1618" s="546"/>
      <c r="V1618" s="547"/>
      <c r="W1618" s="548"/>
      <c r="X1618" s="277"/>
      <c r="Y1618" s="277"/>
      <c r="Z1618" s="187"/>
      <c r="AA1618" s="6301"/>
      <c r="AB1618" s="139"/>
      <c r="AC1618" s="139"/>
      <c r="AD1618" s="139"/>
      <c r="AE1618" s="139"/>
      <c r="AF1618" s="139"/>
      <c r="AG1618" s="139"/>
      <c r="AH1618" s="139"/>
      <c r="AI1618" s="139"/>
      <c r="AJ1618" s="139"/>
      <c r="AK1618" s="139"/>
      <c r="AL1618" s="139"/>
      <c r="AM1618" s="139"/>
      <c r="AN1618" s="139"/>
      <c r="AO1618" s="139"/>
      <c r="AP1618" s="139"/>
      <c r="AQ1618" s="139"/>
      <c r="AR1618" s="139"/>
      <c r="AS1618" s="139"/>
      <c r="AT1618" s="139"/>
      <c r="AU1618" s="139"/>
      <c r="AV1618" s="139"/>
      <c r="AW1618" s="139"/>
      <c r="AX1618" s="139"/>
      <c r="AY1618" s="139"/>
      <c r="AZ1618" s="139"/>
      <c r="BA1618" s="139"/>
      <c r="BB1618" s="139"/>
      <c r="BC1618" s="139"/>
      <c r="BD1618" s="139"/>
      <c r="BE1618" s="139"/>
      <c r="BF1618" s="139"/>
      <c r="BG1618" s="139"/>
      <c r="BH1618" s="139"/>
    </row>
    <row r="1619" spans="2:60" s="11" customFormat="1" ht="20.100000000000001" customHeight="1">
      <c r="B1619" s="1360"/>
      <c r="C1619" s="5598"/>
      <c r="D1619" s="9598" t="s">
        <v>633</v>
      </c>
      <c r="E1619" s="9600"/>
      <c r="F1619" s="285" t="s">
        <v>634</v>
      </c>
      <c r="G1619" s="666"/>
      <c r="H1619" s="666"/>
      <c r="I1619" s="9582" t="s">
        <v>150</v>
      </c>
      <c r="J1619" s="9583"/>
      <c r="K1619" s="492" t="s">
        <v>151</v>
      </c>
      <c r="L1619" s="6502">
        <v>90000</v>
      </c>
      <c r="M1619" s="5932"/>
      <c r="N1619" s="6503">
        <v>230568</v>
      </c>
      <c r="O1619" s="5933"/>
      <c r="P1619" s="6501">
        <v>480000</v>
      </c>
      <c r="Q1619" s="5936"/>
      <c r="R1619" s="2483"/>
      <c r="S1619" s="544"/>
      <c r="T1619" s="545"/>
      <c r="U1619" s="546"/>
      <c r="V1619" s="547"/>
      <c r="W1619" s="548"/>
      <c r="X1619" s="277"/>
      <c r="Y1619" s="277"/>
      <c r="Z1619" s="187"/>
      <c r="AA1619" s="6301"/>
      <c r="AB1619" s="139"/>
      <c r="AC1619" s="139"/>
      <c r="AD1619" s="139"/>
      <c r="AE1619" s="139"/>
      <c r="AF1619" s="139"/>
      <c r="AG1619" s="139"/>
      <c r="AH1619" s="139"/>
      <c r="AI1619" s="139"/>
      <c r="AJ1619" s="139"/>
      <c r="AK1619" s="139"/>
      <c r="AL1619" s="139"/>
      <c r="AM1619" s="139"/>
      <c r="AN1619" s="139"/>
      <c r="AO1619" s="139"/>
      <c r="AP1619" s="139"/>
      <c r="AQ1619" s="139"/>
      <c r="AR1619" s="139"/>
      <c r="AS1619" s="139"/>
      <c r="AT1619" s="139"/>
      <c r="AU1619" s="139"/>
      <c r="AV1619" s="139"/>
      <c r="AW1619" s="139"/>
      <c r="AX1619" s="139"/>
      <c r="AY1619" s="139"/>
      <c r="AZ1619" s="139"/>
      <c r="BA1619" s="139"/>
      <c r="BB1619" s="139"/>
      <c r="BC1619" s="139"/>
      <c r="BD1619" s="139"/>
      <c r="BE1619" s="139"/>
      <c r="BF1619" s="139"/>
      <c r="BG1619" s="139"/>
      <c r="BH1619" s="139"/>
    </row>
    <row r="1620" spans="2:60" s="11" customFormat="1" ht="19.350000000000001" customHeight="1">
      <c r="B1620" s="1360"/>
      <c r="C1620" s="921"/>
      <c r="D1620" s="9584" t="s">
        <v>1215</v>
      </c>
      <c r="E1620" s="9585"/>
      <c r="F1620" s="285" t="s">
        <v>628</v>
      </c>
      <c r="G1620" s="777"/>
      <c r="H1620" s="1223"/>
      <c r="I1620" s="9584" t="s">
        <v>1216</v>
      </c>
      <c r="J1620" s="9585"/>
      <c r="K1620" s="105" t="s">
        <v>35</v>
      </c>
      <c r="L1620" s="6335"/>
      <c r="M1620" s="6427"/>
      <c r="N1620" s="6430"/>
      <c r="O1620" s="6431"/>
      <c r="P1620" s="6429"/>
      <c r="Q1620" s="5260"/>
      <c r="R1620" s="2468"/>
      <c r="S1620" s="276"/>
      <c r="T1620" s="109" t="s">
        <v>737</v>
      </c>
      <c r="U1620" s="547"/>
      <c r="V1620" s="547"/>
      <c r="W1620" s="109"/>
      <c r="X1620" s="277" t="s">
        <v>1204</v>
      </c>
      <c r="Y1620" s="427"/>
      <c r="Z1620" s="187" t="s">
        <v>1207</v>
      </c>
      <c r="AA1620" s="6301"/>
      <c r="AB1620" s="139" t="s">
        <v>1217</v>
      </c>
      <c r="AC1620" s="139"/>
      <c r="AD1620" s="139"/>
      <c r="AE1620" s="139"/>
      <c r="AF1620" s="139"/>
      <c r="AG1620" s="139"/>
      <c r="AH1620" s="139"/>
      <c r="AI1620" s="139"/>
      <c r="AJ1620" s="139"/>
      <c r="AK1620" s="139"/>
      <c r="AL1620" s="139"/>
      <c r="AM1620" s="139"/>
      <c r="AN1620" s="139"/>
      <c r="AO1620" s="139"/>
      <c r="AP1620" s="139"/>
      <c r="AQ1620" s="139"/>
      <c r="AR1620" s="139"/>
      <c r="AS1620" s="139"/>
      <c r="AT1620" s="139"/>
      <c r="AU1620" s="139"/>
      <c r="AV1620" s="139"/>
      <c r="AW1620" s="139"/>
      <c r="AX1620" s="139"/>
      <c r="AY1620" s="139"/>
      <c r="AZ1620" s="139"/>
      <c r="BA1620" s="139"/>
      <c r="BB1620" s="139"/>
      <c r="BC1620" s="139"/>
      <c r="BD1620" s="139"/>
      <c r="BE1620" s="139"/>
      <c r="BF1620" s="139"/>
      <c r="BG1620" s="139"/>
      <c r="BH1620" s="139"/>
    </row>
    <row r="1621" spans="2:60" s="11" customFormat="1" ht="20.100000000000001" customHeight="1">
      <c r="B1621" s="1360"/>
      <c r="C1621" s="5598"/>
      <c r="D1621" s="9598" t="s">
        <v>134</v>
      </c>
      <c r="E1621" s="9600"/>
      <c r="F1621" s="285" t="s">
        <v>33</v>
      </c>
      <c r="G1621" s="666"/>
      <c r="H1621" s="666"/>
      <c r="I1621" s="9579" t="s">
        <v>135</v>
      </c>
      <c r="J1621" s="9581"/>
      <c r="K1621" s="105" t="s">
        <v>35</v>
      </c>
      <c r="L1621" s="6011">
        <v>573</v>
      </c>
      <c r="M1621" s="5932" t="s">
        <v>1218</v>
      </c>
      <c r="N1621" s="6012">
        <v>1488.427551</v>
      </c>
      <c r="O1621" s="5934" t="s">
        <v>1218</v>
      </c>
      <c r="P1621" s="6014">
        <v>1455.5678379999999</v>
      </c>
      <c r="Q1621" s="5936"/>
      <c r="R1621" s="2483"/>
      <c r="S1621" s="544"/>
      <c r="T1621" s="545"/>
      <c r="U1621" s="546"/>
      <c r="V1621" s="547"/>
      <c r="W1621" s="548"/>
      <c r="X1621" s="277"/>
      <c r="Y1621" s="277"/>
      <c r="Z1621" s="187"/>
      <c r="AA1621" s="6301"/>
      <c r="AB1621" s="139"/>
      <c r="AC1621" s="139"/>
      <c r="AD1621" s="139"/>
      <c r="AE1621" s="139"/>
      <c r="AF1621" s="139"/>
      <c r="AG1621" s="139"/>
      <c r="AH1621" s="139"/>
      <c r="AI1621" s="139"/>
      <c r="AJ1621" s="139"/>
      <c r="AK1621" s="139"/>
      <c r="AL1621" s="139"/>
      <c r="AM1621" s="139"/>
      <c r="AN1621" s="139"/>
      <c r="AO1621" s="139"/>
      <c r="AP1621" s="139"/>
      <c r="AQ1621" s="139"/>
      <c r="AR1621" s="139"/>
      <c r="AS1621" s="139"/>
      <c r="AT1621" s="139"/>
      <c r="AU1621" s="139"/>
      <c r="AV1621" s="139"/>
      <c r="AW1621" s="139"/>
      <c r="AX1621" s="139"/>
      <c r="AY1621" s="139"/>
      <c r="AZ1621" s="139"/>
      <c r="BA1621" s="139"/>
      <c r="BB1621" s="139"/>
      <c r="BC1621" s="139"/>
      <c r="BD1621" s="139"/>
      <c r="BE1621" s="139"/>
      <c r="BF1621" s="139"/>
      <c r="BG1621" s="139"/>
      <c r="BH1621" s="139"/>
    </row>
    <row r="1622" spans="2:60" s="11" customFormat="1" ht="20.100000000000001" customHeight="1">
      <c r="B1622" s="1360"/>
      <c r="C1622" s="5598"/>
      <c r="D1622" s="9598" t="s">
        <v>137</v>
      </c>
      <c r="E1622" s="9600"/>
      <c r="F1622" s="285" t="s">
        <v>33</v>
      </c>
      <c r="G1622" s="666"/>
      <c r="H1622" s="666"/>
      <c r="I1622" s="9579" t="s">
        <v>138</v>
      </c>
      <c r="J1622" s="9581"/>
      <c r="K1622" s="105" t="s">
        <v>35</v>
      </c>
      <c r="L1622" s="6011">
        <f>'4DPLEX'!W293</f>
        <v>262</v>
      </c>
      <c r="M1622" s="5937"/>
      <c r="N1622" s="6012">
        <v>300</v>
      </c>
      <c r="O1622" s="5938"/>
      <c r="P1622" s="6015">
        <v>554</v>
      </c>
      <c r="Q1622" s="5936"/>
      <c r="R1622" s="2483"/>
      <c r="S1622" s="544"/>
      <c r="T1622" s="545"/>
      <c r="U1622" s="546"/>
      <c r="V1622" s="547"/>
      <c r="W1622" s="548"/>
      <c r="X1622" s="277"/>
      <c r="Y1622" s="277"/>
      <c r="Z1622" s="187"/>
      <c r="AA1622" s="6301"/>
      <c r="AB1622" s="139"/>
      <c r="AC1622" s="139"/>
      <c r="AD1622" s="139"/>
      <c r="AE1622" s="139"/>
      <c r="AF1622" s="139"/>
      <c r="AG1622" s="139"/>
      <c r="AH1622" s="139"/>
      <c r="AI1622" s="139"/>
      <c r="AJ1622" s="139"/>
      <c r="AK1622" s="139"/>
      <c r="AL1622" s="139"/>
      <c r="AM1622" s="139"/>
      <c r="AN1622" s="139"/>
      <c r="AO1622" s="139"/>
      <c r="AP1622" s="139"/>
      <c r="AQ1622" s="139"/>
      <c r="AR1622" s="139"/>
      <c r="AS1622" s="139"/>
      <c r="AT1622" s="139"/>
      <c r="AU1622" s="139"/>
      <c r="AV1622" s="139"/>
      <c r="AW1622" s="139"/>
      <c r="AX1622" s="139"/>
      <c r="AY1622" s="139"/>
      <c r="AZ1622" s="139"/>
      <c r="BA1622" s="139"/>
      <c r="BB1622" s="139"/>
      <c r="BC1622" s="139"/>
      <c r="BD1622" s="139"/>
      <c r="BE1622" s="139"/>
      <c r="BF1622" s="139"/>
      <c r="BG1622" s="139"/>
      <c r="BH1622" s="139"/>
    </row>
    <row r="1623" spans="2:60" s="11" customFormat="1" ht="20.100000000000001" customHeight="1">
      <c r="B1623" s="1360"/>
      <c r="C1623" s="5598"/>
      <c r="D1623" s="9598" t="s">
        <v>140</v>
      </c>
      <c r="E1623" s="9600"/>
      <c r="F1623" s="285" t="s">
        <v>272</v>
      </c>
      <c r="G1623" s="666"/>
      <c r="H1623" s="666"/>
      <c r="I1623" s="9582" t="s">
        <v>141</v>
      </c>
      <c r="J1623" s="9583"/>
      <c r="K1623" s="492" t="s">
        <v>142</v>
      </c>
      <c r="L1623" s="6011">
        <v>2360235</v>
      </c>
      <c r="M1623" s="5932" t="s">
        <v>1219</v>
      </c>
      <c r="N1623" s="6013">
        <v>2368371</v>
      </c>
      <c r="O1623" s="5934" t="s">
        <v>1219</v>
      </c>
      <c r="P1623" s="6014">
        <v>3604166.02</v>
      </c>
      <c r="Q1623" s="5936" t="s">
        <v>1219</v>
      </c>
      <c r="R1623" s="2483"/>
      <c r="S1623" s="544"/>
      <c r="T1623" s="545"/>
      <c r="U1623" s="546"/>
      <c r="V1623" s="547"/>
      <c r="W1623" s="548"/>
      <c r="X1623" s="277"/>
      <c r="Y1623" s="277"/>
      <c r="Z1623" s="187"/>
      <c r="AA1623" s="6301"/>
      <c r="AB1623" s="139"/>
      <c r="AC1623" s="139"/>
      <c r="AD1623" s="139"/>
      <c r="AE1623" s="139"/>
      <c r="AF1623" s="139"/>
      <c r="AG1623" s="139"/>
      <c r="AH1623" s="139"/>
      <c r="AI1623" s="139"/>
      <c r="AJ1623" s="139"/>
      <c r="AK1623" s="139"/>
      <c r="AL1623" s="139"/>
      <c r="AM1623" s="139"/>
      <c r="AN1623" s="139"/>
      <c r="AO1623" s="139"/>
      <c r="AP1623" s="139"/>
      <c r="AQ1623" s="139"/>
      <c r="AR1623" s="139"/>
      <c r="AS1623" s="139"/>
      <c r="AT1623" s="139"/>
      <c r="AU1623" s="139"/>
      <c r="AV1623" s="139"/>
      <c r="AW1623" s="139"/>
      <c r="AX1623" s="139"/>
      <c r="AY1623" s="139"/>
      <c r="AZ1623" s="139"/>
      <c r="BA1623" s="139"/>
      <c r="BB1623" s="139"/>
      <c r="BC1623" s="139"/>
      <c r="BD1623" s="139"/>
      <c r="BE1623" s="139"/>
      <c r="BF1623" s="139"/>
      <c r="BG1623" s="139"/>
      <c r="BH1623" s="139"/>
    </row>
    <row r="1624" spans="2:60" s="11" customFormat="1" ht="20.100000000000001" customHeight="1">
      <c r="B1624" s="1360"/>
      <c r="C1624" s="614"/>
      <c r="D1624" s="9598" t="s">
        <v>143</v>
      </c>
      <c r="E1624" s="9600"/>
      <c r="F1624" s="285" t="s">
        <v>630</v>
      </c>
      <c r="G1624" s="666"/>
      <c r="H1624" s="666"/>
      <c r="I1624" s="9582" t="s">
        <v>144</v>
      </c>
      <c r="J1624" s="9583"/>
      <c r="K1624" s="492" t="s">
        <v>145</v>
      </c>
      <c r="L1624" s="6011">
        <f>Vietnam!Q320</f>
        <v>2489059.0309999995</v>
      </c>
      <c r="M1624" s="5932" t="s">
        <v>1220</v>
      </c>
      <c r="N1624" s="6012">
        <f>Vietnam!S320</f>
        <v>3129870.2530000005</v>
      </c>
      <c r="O1624" s="5934" t="s">
        <v>1214</v>
      </c>
      <c r="P1624" s="6014">
        <f>Vietnam!U320</f>
        <v>3703376.2480000001</v>
      </c>
      <c r="Q1624" s="5936"/>
      <c r="R1624" s="2483"/>
      <c r="S1624" s="544"/>
      <c r="T1624" s="545"/>
      <c r="U1624" s="546"/>
      <c r="V1624" s="547"/>
      <c r="W1624" s="548"/>
      <c r="X1624" s="277"/>
      <c r="Y1624" s="277"/>
      <c r="Z1624" s="187"/>
      <c r="AA1624" s="6301"/>
      <c r="AB1624" s="139"/>
      <c r="AC1624" s="139"/>
      <c r="AD1624" s="139"/>
      <c r="AE1624" s="139"/>
      <c r="AF1624" s="139"/>
      <c r="AG1624" s="139"/>
      <c r="AH1624" s="139"/>
      <c r="AI1624" s="139"/>
      <c r="AJ1624" s="139"/>
      <c r="AK1624" s="139"/>
      <c r="AL1624" s="139"/>
      <c r="AM1624" s="139"/>
      <c r="AN1624" s="139"/>
      <c r="AO1624" s="139"/>
      <c r="AP1624" s="139"/>
      <c r="AQ1624" s="139"/>
      <c r="AR1624" s="139"/>
      <c r="AS1624" s="139"/>
      <c r="AT1624" s="139"/>
      <c r="AU1624" s="139"/>
      <c r="AV1624" s="139"/>
      <c r="AW1624" s="139"/>
      <c r="AX1624" s="139"/>
      <c r="AY1624" s="139"/>
      <c r="AZ1624" s="139"/>
      <c r="BA1624" s="139"/>
      <c r="BB1624" s="139"/>
      <c r="BC1624" s="139"/>
      <c r="BD1624" s="139"/>
      <c r="BE1624" s="139"/>
      <c r="BF1624" s="139"/>
      <c r="BG1624" s="139"/>
      <c r="BH1624" s="139"/>
    </row>
    <row r="1625" spans="2:60" s="11" customFormat="1" ht="20.100000000000001" customHeight="1">
      <c r="B1625" s="1360"/>
      <c r="C1625" s="5598"/>
      <c r="D1625" s="9598" t="s">
        <v>631</v>
      </c>
      <c r="E1625" s="9600"/>
      <c r="F1625" s="285" t="s">
        <v>632</v>
      </c>
      <c r="G1625" s="666"/>
      <c r="H1625" s="666"/>
      <c r="I1625" s="9582" t="s">
        <v>147</v>
      </c>
      <c r="J1625" s="9583"/>
      <c r="K1625" s="492" t="s">
        <v>148</v>
      </c>
      <c r="L1625" s="6011">
        <f>Indonesia!V320</f>
        <v>1979819000</v>
      </c>
      <c r="M1625" s="5932"/>
      <c r="N1625" s="6012">
        <f>Indonesia!X320</f>
        <v>2507543000</v>
      </c>
      <c r="O1625" s="5934"/>
      <c r="P1625" s="6014">
        <f>Indonesia!Z320</f>
        <v>2412108000</v>
      </c>
      <c r="Q1625" s="5936"/>
      <c r="R1625" s="2483"/>
      <c r="S1625" s="544"/>
      <c r="T1625" s="545"/>
      <c r="U1625" s="546"/>
      <c r="V1625" s="547"/>
      <c r="W1625" s="548"/>
      <c r="X1625" s="277"/>
      <c r="Y1625" s="277"/>
      <c r="Z1625" s="187"/>
      <c r="AA1625" s="6301"/>
      <c r="AB1625" s="139"/>
      <c r="AC1625" s="139"/>
      <c r="AD1625" s="139"/>
      <c r="AE1625" s="139"/>
      <c r="AF1625" s="139"/>
      <c r="AG1625" s="139"/>
      <c r="AH1625" s="139"/>
      <c r="AI1625" s="139"/>
      <c r="AJ1625" s="139"/>
      <c r="AK1625" s="139"/>
      <c r="AL1625" s="139"/>
      <c r="AM1625" s="139"/>
      <c r="AN1625" s="139"/>
      <c r="AO1625" s="139"/>
      <c r="AP1625" s="139"/>
      <c r="AQ1625" s="139"/>
      <c r="AR1625" s="139"/>
      <c r="AS1625" s="139"/>
      <c r="AT1625" s="139"/>
      <c r="AU1625" s="139"/>
      <c r="AV1625" s="139"/>
      <c r="AW1625" s="139"/>
      <c r="AX1625" s="139"/>
      <c r="AY1625" s="139"/>
      <c r="AZ1625" s="139"/>
      <c r="BA1625" s="139"/>
      <c r="BB1625" s="139"/>
      <c r="BC1625" s="139"/>
      <c r="BD1625" s="139"/>
      <c r="BE1625" s="139"/>
      <c r="BF1625" s="139"/>
      <c r="BG1625" s="139"/>
      <c r="BH1625" s="139"/>
    </row>
    <row r="1626" spans="2:60" s="11" customFormat="1" ht="20.100000000000001" customHeight="1">
      <c r="B1626" s="1360"/>
      <c r="C1626" s="5598"/>
      <c r="D1626" s="9598" t="s">
        <v>633</v>
      </c>
      <c r="E1626" s="9600"/>
      <c r="F1626" s="285" t="s">
        <v>634</v>
      </c>
      <c r="G1626" s="666"/>
      <c r="H1626" s="666"/>
      <c r="I1626" s="9582" t="s">
        <v>150</v>
      </c>
      <c r="J1626" s="9583"/>
      <c r="K1626" s="492" t="s">
        <v>151</v>
      </c>
      <c r="L1626" s="6504">
        <v>1077621</v>
      </c>
      <c r="M1626" s="5933"/>
      <c r="N1626" s="6503">
        <v>1959718</v>
      </c>
      <c r="O1626" s="5932"/>
      <c r="P1626" s="6501">
        <v>3240355</v>
      </c>
      <c r="Q1626" s="5936"/>
      <c r="R1626" s="2483"/>
      <c r="S1626" s="544"/>
      <c r="T1626" s="545"/>
      <c r="U1626" s="546"/>
      <c r="V1626" s="547"/>
      <c r="W1626" s="548"/>
      <c r="X1626" s="277"/>
      <c r="Y1626" s="277"/>
      <c r="Z1626" s="187"/>
      <c r="AA1626" s="6301"/>
      <c r="AB1626" s="139"/>
      <c r="AC1626" s="139"/>
      <c r="AD1626" s="139"/>
      <c r="AE1626" s="139"/>
      <c r="AF1626" s="139"/>
      <c r="AG1626" s="139"/>
      <c r="AH1626" s="139"/>
      <c r="AI1626" s="139"/>
      <c r="AJ1626" s="139"/>
      <c r="AK1626" s="139"/>
      <c r="AL1626" s="139"/>
      <c r="AM1626" s="139"/>
      <c r="AN1626" s="139"/>
      <c r="AO1626" s="139"/>
      <c r="AP1626" s="139"/>
      <c r="AQ1626" s="139"/>
      <c r="AR1626" s="139"/>
      <c r="AS1626" s="139"/>
      <c r="AT1626" s="139"/>
      <c r="AU1626" s="139"/>
      <c r="AV1626" s="139"/>
      <c r="AW1626" s="139"/>
      <c r="AX1626" s="139"/>
      <c r="AY1626" s="139"/>
      <c r="AZ1626" s="139"/>
      <c r="BA1626" s="139"/>
      <c r="BB1626" s="139"/>
      <c r="BC1626" s="139"/>
      <c r="BD1626" s="139"/>
      <c r="BE1626" s="139"/>
      <c r="BF1626" s="139"/>
      <c r="BG1626" s="139"/>
      <c r="BH1626" s="139"/>
    </row>
    <row r="1627" spans="2:60" s="11" customFormat="1" ht="19.350000000000001" customHeight="1">
      <c r="B1627" s="1353"/>
      <c r="C1627" s="9656" t="s">
        <v>1221</v>
      </c>
      <c r="D1627" s="9587"/>
      <c r="E1627" s="9588"/>
      <c r="F1627" s="285" t="s">
        <v>156</v>
      </c>
      <c r="G1627" s="961"/>
      <c r="H1627" s="9586" t="s">
        <v>1222</v>
      </c>
      <c r="I1627" s="9587"/>
      <c r="J1627" s="9588"/>
      <c r="K1627" s="105" t="s">
        <v>156</v>
      </c>
      <c r="L1627" s="5968" t="str">
        <f>IF(COUNTBLANK(L1628:L1633)&gt;0,"미취합법인有",AVERAGE(L1628:L1633))</f>
        <v>미취합법인有</v>
      </c>
      <c r="M1627" s="5657"/>
      <c r="N1627" s="5654" t="str">
        <f>IF(COUNTBLANK(N1628:N1633)&gt;0,"미취합법인有",AVERAGE(N1628:N1633))</f>
        <v>미취합법인有</v>
      </c>
      <c r="O1627" s="5663"/>
      <c r="P1627" s="5781" t="str">
        <f>IF(COUNTBLANK(P1628:P1633)&gt;0,"미취합법인有",AVERAGE(P1628:P1633))</f>
        <v>미취합법인有</v>
      </c>
      <c r="Q1627" s="785"/>
      <c r="R1627" s="2468" t="s">
        <v>1223</v>
      </c>
      <c r="S1627" s="276" t="s">
        <v>1224</v>
      </c>
      <c r="T1627" s="109" t="s">
        <v>737</v>
      </c>
      <c r="U1627" s="547"/>
      <c r="V1627" s="547"/>
      <c r="W1627" s="299" t="s">
        <v>193</v>
      </c>
      <c r="X1627" s="277" t="s">
        <v>1225</v>
      </c>
      <c r="Y1627" s="427"/>
      <c r="Z1627" s="221"/>
      <c r="AA1627" s="6301"/>
      <c r="AB1627" s="139"/>
      <c r="AC1627" s="139"/>
      <c r="AD1627" s="139"/>
      <c r="AE1627" s="139"/>
      <c r="AF1627" s="139"/>
      <c r="AG1627" s="139"/>
      <c r="AH1627" s="139"/>
      <c r="AI1627" s="139"/>
      <c r="AJ1627" s="139"/>
      <c r="AK1627" s="139"/>
      <c r="AL1627" s="139"/>
      <c r="AM1627" s="139"/>
      <c r="AN1627" s="139"/>
      <c r="AO1627" s="139"/>
      <c r="AP1627" s="139"/>
      <c r="AQ1627" s="139"/>
      <c r="AR1627" s="139"/>
      <c r="AS1627" s="139"/>
      <c r="AT1627" s="139"/>
      <c r="AU1627" s="139"/>
      <c r="AV1627" s="139"/>
      <c r="AW1627" s="139"/>
      <c r="AX1627" s="139"/>
      <c r="AY1627" s="139"/>
      <c r="AZ1627" s="139"/>
      <c r="BA1627" s="139"/>
      <c r="BB1627" s="139"/>
      <c r="BC1627" s="139"/>
      <c r="BD1627" s="139"/>
      <c r="BE1627" s="139"/>
      <c r="BF1627" s="139"/>
      <c r="BG1627" s="139"/>
      <c r="BH1627" s="139"/>
    </row>
    <row r="1628" spans="2:60" s="11" customFormat="1" ht="20.100000000000001" customHeight="1">
      <c r="B1628" s="1360"/>
      <c r="C1628" s="9647" t="s">
        <v>134</v>
      </c>
      <c r="D1628" s="9648"/>
      <c r="E1628" s="9649"/>
      <c r="F1628" s="285" t="s">
        <v>156</v>
      </c>
      <c r="G1628" s="666"/>
      <c r="H1628" s="9579" t="s">
        <v>135</v>
      </c>
      <c r="I1628" s="9580"/>
      <c r="J1628" s="9581"/>
      <c r="K1628" s="105" t="s">
        <v>156</v>
      </c>
      <c r="L1628" s="5696"/>
      <c r="M1628" s="5718"/>
      <c r="N1628" s="5729"/>
      <c r="O1628" s="5716"/>
      <c r="P1628" s="5855"/>
      <c r="Q1628" s="5717"/>
      <c r="R1628" s="2468"/>
      <c r="S1628" s="544"/>
      <c r="T1628" s="545"/>
      <c r="U1628" s="546"/>
      <c r="V1628" s="547"/>
      <c r="W1628" s="299" t="s">
        <v>193</v>
      </c>
      <c r="X1628" s="277"/>
      <c r="Y1628" s="277"/>
      <c r="Z1628" s="187"/>
      <c r="AA1628" s="6301"/>
      <c r="AB1628" s="139"/>
      <c r="AC1628" s="139"/>
      <c r="AD1628" s="139"/>
      <c r="AE1628" s="139"/>
      <c r="AF1628" s="139"/>
      <c r="AG1628" s="139"/>
      <c r="AH1628" s="139"/>
      <c r="AI1628" s="139"/>
      <c r="AJ1628" s="139"/>
      <c r="AK1628" s="139"/>
      <c r="AL1628" s="139"/>
      <c r="AM1628" s="139"/>
      <c r="AN1628" s="139"/>
      <c r="AO1628" s="139"/>
      <c r="AP1628" s="139"/>
      <c r="AQ1628" s="139"/>
      <c r="AR1628" s="139"/>
      <c r="AS1628" s="139"/>
      <c r="AT1628" s="139"/>
      <c r="AU1628" s="139"/>
      <c r="AV1628" s="139"/>
      <c r="AW1628" s="139"/>
      <c r="AX1628" s="139"/>
      <c r="AY1628" s="139"/>
      <c r="AZ1628" s="139"/>
      <c r="BA1628" s="139"/>
      <c r="BB1628" s="139"/>
      <c r="BC1628" s="139"/>
      <c r="BD1628" s="139"/>
      <c r="BE1628" s="139"/>
      <c r="BF1628" s="139"/>
      <c r="BG1628" s="139"/>
      <c r="BH1628" s="139"/>
    </row>
    <row r="1629" spans="2:60" s="11" customFormat="1" ht="20.100000000000001" customHeight="1">
      <c r="B1629" s="1360"/>
      <c r="C1629" s="9647" t="s">
        <v>137</v>
      </c>
      <c r="D1629" s="9648"/>
      <c r="E1629" s="9649"/>
      <c r="F1629" s="285" t="s">
        <v>156</v>
      </c>
      <c r="G1629" s="666"/>
      <c r="H1629" s="9579" t="s">
        <v>138</v>
      </c>
      <c r="I1629" s="9580"/>
      <c r="J1629" s="9581"/>
      <c r="K1629" s="105" t="s">
        <v>156</v>
      </c>
      <c r="L1629" s="5709">
        <f>'4DPLEX'!W294</f>
        <v>0</v>
      </c>
      <c r="M1629" s="5719"/>
      <c r="N1629" s="5861">
        <f>'4DPLEX'!Y294</f>
        <v>0</v>
      </c>
      <c r="O1629" s="5720"/>
      <c r="P1629" s="5866">
        <f>'4DPLEX'!AA294</f>
        <v>0</v>
      </c>
      <c r="Q1629" s="5717"/>
      <c r="R1629" s="2468"/>
      <c r="S1629" s="544"/>
      <c r="T1629" s="545"/>
      <c r="U1629" s="546"/>
      <c r="V1629" s="547"/>
      <c r="W1629" s="299" t="s">
        <v>193</v>
      </c>
      <c r="X1629" s="277"/>
      <c r="Y1629" s="277"/>
      <c r="Z1629" s="187"/>
      <c r="AA1629" s="6301"/>
      <c r="AB1629" s="139"/>
      <c r="AC1629" s="139"/>
      <c r="AD1629" s="139"/>
      <c r="AE1629" s="139"/>
      <c r="AF1629" s="139"/>
      <c r="AG1629" s="139"/>
      <c r="AH1629" s="139"/>
      <c r="AI1629" s="139"/>
      <c r="AJ1629" s="139"/>
      <c r="AK1629" s="139"/>
      <c r="AL1629" s="139"/>
      <c r="AM1629" s="139"/>
      <c r="AN1629" s="139"/>
      <c r="AO1629" s="139"/>
      <c r="AP1629" s="139"/>
      <c r="AQ1629" s="139"/>
      <c r="AR1629" s="139"/>
      <c r="AS1629" s="139"/>
      <c r="AT1629" s="139"/>
      <c r="AU1629" s="139"/>
      <c r="AV1629" s="139"/>
      <c r="AW1629" s="139"/>
      <c r="AX1629" s="139"/>
      <c r="AY1629" s="139"/>
      <c r="AZ1629" s="139"/>
      <c r="BA1629" s="139"/>
      <c r="BB1629" s="139"/>
      <c r="BC1629" s="139"/>
      <c r="BD1629" s="139"/>
      <c r="BE1629" s="139"/>
      <c r="BF1629" s="139"/>
      <c r="BG1629" s="139"/>
      <c r="BH1629" s="139"/>
    </row>
    <row r="1630" spans="2:60" s="11" customFormat="1" ht="20.100000000000001" customHeight="1">
      <c r="B1630" s="1360"/>
      <c r="C1630" s="9647" t="s">
        <v>140</v>
      </c>
      <c r="D1630" s="9648"/>
      <c r="E1630" s="9649"/>
      <c r="F1630" s="285" t="s">
        <v>156</v>
      </c>
      <c r="G1630" s="666"/>
      <c r="H1630" s="9579" t="s">
        <v>141</v>
      </c>
      <c r="I1630" s="9580"/>
      <c r="J1630" s="9581"/>
      <c r="K1630" s="105" t="s">
        <v>156</v>
      </c>
      <c r="L1630" s="5959" t="s">
        <v>168</v>
      </c>
      <c r="M1630" s="5671" t="s">
        <v>640</v>
      </c>
      <c r="N1630" s="5729" t="s">
        <v>168</v>
      </c>
      <c r="O1630" s="5671" t="s">
        <v>640</v>
      </c>
      <c r="P1630" s="5716" t="s">
        <v>168</v>
      </c>
      <c r="Q1630" s="5671" t="s">
        <v>640</v>
      </c>
      <c r="R1630" s="2468"/>
      <c r="S1630" s="544"/>
      <c r="T1630" s="545"/>
      <c r="U1630" s="546"/>
      <c r="V1630" s="547"/>
      <c r="W1630" s="299" t="s">
        <v>193</v>
      </c>
      <c r="X1630" s="277"/>
      <c r="Y1630" s="277"/>
      <c r="Z1630" s="187"/>
      <c r="AA1630" s="6301"/>
      <c r="AB1630" s="139"/>
      <c r="AC1630" s="139"/>
      <c r="AD1630" s="139"/>
      <c r="AE1630" s="139"/>
      <c r="AF1630" s="139"/>
      <c r="AG1630" s="139"/>
      <c r="AH1630" s="139"/>
      <c r="AI1630" s="139"/>
      <c r="AJ1630" s="139"/>
      <c r="AK1630" s="139"/>
      <c r="AL1630" s="139"/>
      <c r="AM1630" s="139"/>
      <c r="AN1630" s="139"/>
      <c r="AO1630" s="139"/>
      <c r="AP1630" s="139"/>
      <c r="AQ1630" s="139"/>
      <c r="AR1630" s="139"/>
      <c r="AS1630" s="139"/>
      <c r="AT1630" s="139"/>
      <c r="AU1630" s="139"/>
      <c r="AV1630" s="139"/>
      <c r="AW1630" s="139"/>
      <c r="AX1630" s="139"/>
      <c r="AY1630" s="139"/>
      <c r="AZ1630" s="139"/>
      <c r="BA1630" s="139"/>
      <c r="BB1630" s="139"/>
      <c r="BC1630" s="139"/>
      <c r="BD1630" s="139"/>
      <c r="BE1630" s="139"/>
      <c r="BF1630" s="139"/>
      <c r="BG1630" s="139"/>
      <c r="BH1630" s="139"/>
    </row>
    <row r="1631" spans="2:60" s="11" customFormat="1" ht="20.100000000000001" customHeight="1">
      <c r="B1631" s="1360"/>
      <c r="C1631" s="9647" t="s">
        <v>143</v>
      </c>
      <c r="D1631" s="9648"/>
      <c r="E1631" s="9649"/>
      <c r="F1631" s="285" t="s">
        <v>156</v>
      </c>
      <c r="G1631" s="666"/>
      <c r="H1631" s="9579" t="s">
        <v>144</v>
      </c>
      <c r="I1631" s="9580"/>
      <c r="J1631" s="9581"/>
      <c r="K1631" s="105" t="s">
        <v>156</v>
      </c>
      <c r="L1631" s="5696"/>
      <c r="M1631" s="5718"/>
      <c r="N1631" s="5729"/>
      <c r="O1631" s="5716"/>
      <c r="P1631" s="5855"/>
      <c r="Q1631" s="5717"/>
      <c r="R1631" s="2468"/>
      <c r="S1631" s="544"/>
      <c r="T1631" s="545"/>
      <c r="U1631" s="546"/>
      <c r="V1631" s="547"/>
      <c r="W1631" s="299" t="s">
        <v>193</v>
      </c>
      <c r="X1631" s="277"/>
      <c r="Y1631" s="277"/>
      <c r="Z1631" s="187"/>
      <c r="AA1631" s="6301"/>
      <c r="AB1631" s="139"/>
      <c r="AC1631" s="139"/>
      <c r="AD1631" s="139"/>
      <c r="AE1631" s="139"/>
      <c r="AF1631" s="139"/>
      <c r="AG1631" s="139"/>
      <c r="AH1631" s="139"/>
      <c r="AI1631" s="139"/>
      <c r="AJ1631" s="139"/>
      <c r="AK1631" s="139"/>
      <c r="AL1631" s="139"/>
      <c r="AM1631" s="139"/>
      <c r="AN1631" s="139"/>
      <c r="AO1631" s="139"/>
      <c r="AP1631" s="139"/>
      <c r="AQ1631" s="139"/>
      <c r="AR1631" s="139"/>
      <c r="AS1631" s="139"/>
      <c r="AT1631" s="139"/>
      <c r="AU1631" s="139"/>
      <c r="AV1631" s="139"/>
      <c r="AW1631" s="139"/>
      <c r="AX1631" s="139"/>
      <c r="AY1631" s="139"/>
      <c r="AZ1631" s="139"/>
      <c r="BA1631" s="139"/>
      <c r="BB1631" s="139"/>
      <c r="BC1631" s="139"/>
      <c r="BD1631" s="139"/>
      <c r="BE1631" s="139"/>
      <c r="BF1631" s="139"/>
      <c r="BG1631" s="139"/>
      <c r="BH1631" s="139"/>
    </row>
    <row r="1632" spans="2:60" s="11" customFormat="1" ht="20.100000000000001" customHeight="1">
      <c r="B1632" s="1360"/>
      <c r="C1632" s="9647" t="s">
        <v>631</v>
      </c>
      <c r="D1632" s="9648"/>
      <c r="E1632" s="9649"/>
      <c r="F1632" s="285" t="s">
        <v>156</v>
      </c>
      <c r="G1632" s="666"/>
      <c r="H1632" s="9579" t="s">
        <v>147</v>
      </c>
      <c r="I1632" s="9580"/>
      <c r="J1632" s="9581"/>
      <c r="K1632" s="105" t="s">
        <v>156</v>
      </c>
      <c r="L1632" s="5696"/>
      <c r="M1632" s="5718"/>
      <c r="N1632" s="5729"/>
      <c r="O1632" s="5716"/>
      <c r="P1632" s="5855"/>
      <c r="Q1632" s="5717"/>
      <c r="R1632" s="2468"/>
      <c r="S1632" s="544"/>
      <c r="T1632" s="545"/>
      <c r="U1632" s="546"/>
      <c r="V1632" s="547"/>
      <c r="W1632" s="299" t="s">
        <v>193</v>
      </c>
      <c r="X1632" s="277"/>
      <c r="Y1632" s="277"/>
      <c r="Z1632" s="187"/>
      <c r="AA1632" s="6301"/>
      <c r="AB1632" s="139"/>
      <c r="AC1632" s="139"/>
      <c r="AD1632" s="139"/>
      <c r="AE1632" s="139"/>
      <c r="AF1632" s="139"/>
      <c r="AG1632" s="139"/>
      <c r="AH1632" s="139"/>
      <c r="AI1632" s="139"/>
      <c r="AJ1632" s="139"/>
      <c r="AK1632" s="139"/>
      <c r="AL1632" s="139"/>
      <c r="AM1632" s="139"/>
      <c r="AN1632" s="139"/>
      <c r="AO1632" s="139"/>
      <c r="AP1632" s="139"/>
      <c r="AQ1632" s="139"/>
      <c r="AR1632" s="139"/>
      <c r="AS1632" s="139"/>
      <c r="AT1632" s="139"/>
      <c r="AU1632" s="139"/>
      <c r="AV1632" s="139"/>
      <c r="AW1632" s="139"/>
      <c r="AX1632" s="139"/>
      <c r="AY1632" s="139"/>
      <c r="AZ1632" s="139"/>
      <c r="BA1632" s="139"/>
      <c r="BB1632" s="139"/>
      <c r="BC1632" s="139"/>
      <c r="BD1632" s="139"/>
      <c r="BE1632" s="139"/>
      <c r="BF1632" s="139"/>
      <c r="BG1632" s="139"/>
      <c r="BH1632" s="139"/>
    </row>
    <row r="1633" spans="2:60" s="11" customFormat="1" ht="20.100000000000001" customHeight="1">
      <c r="B1633" s="1360"/>
      <c r="C1633" s="9647" t="s">
        <v>633</v>
      </c>
      <c r="D1633" s="9648"/>
      <c r="E1633" s="9649"/>
      <c r="F1633" s="285" t="s">
        <v>156</v>
      </c>
      <c r="G1633" s="666"/>
      <c r="H1633" s="9579" t="s">
        <v>150</v>
      </c>
      <c r="I1633" s="9580"/>
      <c r="J1633" s="9581"/>
      <c r="K1633" s="105" t="s">
        <v>156</v>
      </c>
      <c r="L1633" s="5959" t="s">
        <v>168</v>
      </c>
      <c r="M1633" s="5671" t="s">
        <v>640</v>
      </c>
      <c r="N1633" s="5729" t="s">
        <v>168</v>
      </c>
      <c r="O1633" s="5671" t="s">
        <v>640</v>
      </c>
      <c r="P1633" s="5729" t="s">
        <v>168</v>
      </c>
      <c r="Q1633" s="5672" t="s">
        <v>640</v>
      </c>
      <c r="R1633" s="2468"/>
      <c r="S1633" s="544"/>
      <c r="T1633" s="545"/>
      <c r="U1633" s="546"/>
      <c r="V1633" s="547"/>
      <c r="W1633" s="299" t="s">
        <v>193</v>
      </c>
      <c r="X1633" s="277"/>
      <c r="Y1633" s="277"/>
      <c r="Z1633" s="187"/>
      <c r="AA1633" s="6301"/>
      <c r="AB1633" s="139"/>
      <c r="AC1633" s="139"/>
      <c r="AD1633" s="139"/>
      <c r="AE1633" s="139"/>
      <c r="AF1633" s="139"/>
      <c r="AG1633" s="139"/>
      <c r="AH1633" s="139"/>
      <c r="AI1633" s="139"/>
      <c r="AJ1633" s="139"/>
      <c r="AK1633" s="139"/>
      <c r="AL1633" s="139"/>
      <c r="AM1633" s="139"/>
      <c r="AN1633" s="139"/>
      <c r="AO1633" s="139"/>
      <c r="AP1633" s="139"/>
      <c r="AQ1633" s="139"/>
      <c r="AR1633" s="139"/>
      <c r="AS1633" s="139"/>
      <c r="AT1633" s="139"/>
      <c r="AU1633" s="139"/>
      <c r="AV1633" s="139"/>
      <c r="AW1633" s="139"/>
      <c r="AX1633" s="139"/>
      <c r="AY1633" s="139"/>
      <c r="AZ1633" s="139"/>
      <c r="BA1633" s="139"/>
      <c r="BB1633" s="139"/>
      <c r="BC1633" s="139"/>
      <c r="BD1633" s="139"/>
      <c r="BE1633" s="139"/>
      <c r="BF1633" s="139"/>
      <c r="BG1633" s="139"/>
      <c r="BH1633" s="139"/>
    </row>
    <row r="1634" spans="2:60" s="11" customFormat="1" ht="19.350000000000001" customHeight="1">
      <c r="B1634" s="1360"/>
      <c r="C1634" s="1210"/>
      <c r="D1634" s="9584" t="s">
        <v>1226</v>
      </c>
      <c r="E1634" s="9585"/>
      <c r="F1634" s="285" t="s">
        <v>742</v>
      </c>
      <c r="G1634" s="777"/>
      <c r="H1634" s="1223"/>
      <c r="I1634" s="9584" t="s">
        <v>1227</v>
      </c>
      <c r="J1634" s="9585"/>
      <c r="K1634" s="105" t="s">
        <v>1228</v>
      </c>
      <c r="L1634" s="5653" t="str">
        <f>IF(COUNTBLANK(L1635:L1640)&gt;0,"미취합법인有",SUM(L1635:L1640))</f>
        <v>미취합법인有</v>
      </c>
      <c r="M1634" s="5657"/>
      <c r="N1634" s="5654" t="str">
        <f>IF(COUNTBLANK(N1635:N1640)&gt;0,"미취합법인有",SUM(N1635:N1640))</f>
        <v>미취합법인有</v>
      </c>
      <c r="O1634" s="5663"/>
      <c r="P1634" s="5781" t="str">
        <f>IF(COUNTBLANK(P1635:P1640)&gt;0,"미취합법인有",SUM(P1635:P1640))</f>
        <v>미취합법인有</v>
      </c>
      <c r="Q1634" s="785"/>
      <c r="R1634" s="2468"/>
      <c r="S1634" s="276"/>
      <c r="T1634" s="109" t="s">
        <v>737</v>
      </c>
      <c r="U1634" s="547"/>
      <c r="V1634" s="547"/>
      <c r="W1634" s="299" t="s">
        <v>193</v>
      </c>
      <c r="X1634" s="277" t="s">
        <v>1225</v>
      </c>
      <c r="Y1634" s="265"/>
      <c r="Z1634" s="187"/>
      <c r="AA1634" s="6301"/>
      <c r="AB1634" s="139"/>
      <c r="AC1634" s="139"/>
      <c r="AD1634" s="139"/>
      <c r="AE1634" s="139"/>
      <c r="AF1634" s="139"/>
      <c r="AG1634" s="139"/>
      <c r="AH1634" s="139"/>
      <c r="AI1634" s="139"/>
      <c r="AJ1634" s="139"/>
      <c r="AK1634" s="139"/>
      <c r="AL1634" s="139"/>
      <c r="AM1634" s="139"/>
      <c r="AN1634" s="139"/>
      <c r="AO1634" s="139"/>
      <c r="AP1634" s="139"/>
      <c r="AQ1634" s="139"/>
      <c r="AR1634" s="139"/>
      <c r="AS1634" s="139"/>
      <c r="AT1634" s="139"/>
      <c r="AU1634" s="139"/>
      <c r="AV1634" s="139"/>
      <c r="AW1634" s="139"/>
      <c r="AX1634" s="139"/>
      <c r="AY1634" s="139"/>
      <c r="AZ1634" s="139"/>
      <c r="BA1634" s="139"/>
      <c r="BB1634" s="139"/>
      <c r="BC1634" s="139"/>
      <c r="BD1634" s="139"/>
      <c r="BE1634" s="139"/>
      <c r="BF1634" s="139"/>
      <c r="BG1634" s="139"/>
      <c r="BH1634" s="139"/>
    </row>
    <row r="1635" spans="2:60" s="11" customFormat="1" ht="20.100000000000001" customHeight="1">
      <c r="B1635" s="1360"/>
      <c r="C1635" s="5598"/>
      <c r="D1635" s="9598" t="s">
        <v>134</v>
      </c>
      <c r="E1635" s="9600"/>
      <c r="F1635" s="285" t="s">
        <v>742</v>
      </c>
      <c r="G1635" s="666"/>
      <c r="H1635" s="666"/>
      <c r="I1635" s="9579" t="s">
        <v>135</v>
      </c>
      <c r="J1635" s="9581"/>
      <c r="K1635" s="105" t="s">
        <v>1228</v>
      </c>
      <c r="L1635" s="5696"/>
      <c r="M1635" s="5718" t="s">
        <v>302</v>
      </c>
      <c r="N1635" s="5729"/>
      <c r="O1635" s="5716" t="s">
        <v>302</v>
      </c>
      <c r="P1635" s="5855"/>
      <c r="Q1635" s="5717"/>
      <c r="R1635" s="2483"/>
      <c r="S1635" s="544"/>
      <c r="T1635" s="545"/>
      <c r="U1635" s="546"/>
      <c r="V1635" s="547"/>
      <c r="W1635" s="299" t="s">
        <v>193</v>
      </c>
      <c r="X1635" s="277"/>
      <c r="Y1635" s="277"/>
      <c r="Z1635" s="187"/>
      <c r="AA1635" s="6301"/>
      <c r="AB1635" s="139"/>
      <c r="AC1635" s="139"/>
      <c r="AD1635" s="139"/>
      <c r="AE1635" s="139"/>
      <c r="AF1635" s="139"/>
      <c r="AG1635" s="139"/>
      <c r="AH1635" s="139"/>
      <c r="AI1635" s="139"/>
      <c r="AJ1635" s="139"/>
      <c r="AK1635" s="139"/>
      <c r="AL1635" s="139"/>
      <c r="AM1635" s="139"/>
      <c r="AN1635" s="139"/>
      <c r="AO1635" s="139"/>
      <c r="AP1635" s="139"/>
      <c r="AQ1635" s="139"/>
      <c r="AR1635" s="139"/>
      <c r="AS1635" s="139"/>
      <c r="AT1635" s="139"/>
      <c r="AU1635" s="139"/>
      <c r="AV1635" s="139"/>
      <c r="AW1635" s="139"/>
      <c r="AX1635" s="139"/>
      <c r="AY1635" s="139"/>
      <c r="AZ1635" s="139"/>
      <c r="BA1635" s="139"/>
      <c r="BB1635" s="139"/>
      <c r="BC1635" s="139"/>
      <c r="BD1635" s="139"/>
      <c r="BE1635" s="139"/>
      <c r="BF1635" s="139"/>
      <c r="BG1635" s="139"/>
      <c r="BH1635" s="139"/>
    </row>
    <row r="1636" spans="2:60" s="11" customFormat="1" ht="20.100000000000001" customHeight="1">
      <c r="B1636" s="1360"/>
      <c r="C1636" s="5598"/>
      <c r="D1636" s="9598" t="s">
        <v>137</v>
      </c>
      <c r="E1636" s="9600"/>
      <c r="F1636" s="285" t="s">
        <v>742</v>
      </c>
      <c r="G1636" s="666"/>
      <c r="H1636" s="666"/>
      <c r="I1636" s="9579" t="s">
        <v>138</v>
      </c>
      <c r="J1636" s="9581"/>
      <c r="K1636" s="105" t="s">
        <v>1228</v>
      </c>
      <c r="L1636" s="5721"/>
      <c r="M1636" s="5719"/>
      <c r="N1636" s="5730"/>
      <c r="O1636" s="5720"/>
      <c r="P1636" s="5856"/>
      <c r="Q1636" s="5717"/>
      <c r="R1636" s="2483"/>
      <c r="S1636" s="544"/>
      <c r="T1636" s="545"/>
      <c r="U1636" s="546"/>
      <c r="V1636" s="547"/>
      <c r="W1636" s="299" t="s">
        <v>193</v>
      </c>
      <c r="X1636" s="277"/>
      <c r="Y1636" s="277"/>
      <c r="Z1636" s="187"/>
      <c r="AA1636" s="6301"/>
      <c r="AB1636" s="139"/>
      <c r="AC1636" s="139"/>
      <c r="AD1636" s="139"/>
      <c r="AE1636" s="139"/>
      <c r="AF1636" s="139"/>
      <c r="AG1636" s="139"/>
      <c r="AH1636" s="139"/>
      <c r="AI1636" s="139"/>
      <c r="AJ1636" s="139"/>
      <c r="AK1636" s="139"/>
      <c r="AL1636" s="139"/>
      <c r="AM1636" s="139"/>
      <c r="AN1636" s="139"/>
      <c r="AO1636" s="139"/>
      <c r="AP1636" s="139"/>
      <c r="AQ1636" s="139"/>
      <c r="AR1636" s="139"/>
      <c r="AS1636" s="139"/>
      <c r="AT1636" s="139"/>
      <c r="AU1636" s="139"/>
      <c r="AV1636" s="139"/>
      <c r="AW1636" s="139"/>
      <c r="AX1636" s="139"/>
      <c r="AY1636" s="139"/>
      <c r="AZ1636" s="139"/>
      <c r="BA1636" s="139"/>
      <c r="BB1636" s="139"/>
      <c r="BC1636" s="139"/>
      <c r="BD1636" s="139"/>
      <c r="BE1636" s="139"/>
      <c r="BF1636" s="139"/>
      <c r="BG1636" s="139"/>
      <c r="BH1636" s="139"/>
    </row>
    <row r="1637" spans="2:60" s="11" customFormat="1" ht="20.100000000000001" customHeight="1">
      <c r="B1637" s="1360"/>
      <c r="C1637" s="5598"/>
      <c r="D1637" s="9598" t="s">
        <v>140</v>
      </c>
      <c r="E1637" s="9600"/>
      <c r="F1637" s="285" t="s">
        <v>742</v>
      </c>
      <c r="G1637" s="666"/>
      <c r="H1637" s="666"/>
      <c r="I1637" s="9582" t="s">
        <v>141</v>
      </c>
      <c r="J1637" s="9583"/>
      <c r="K1637" s="105" t="s">
        <v>1228</v>
      </c>
      <c r="L1637" s="5959" t="s">
        <v>168</v>
      </c>
      <c r="M1637" s="5671" t="s">
        <v>640</v>
      </c>
      <c r="N1637" s="5729" t="s">
        <v>168</v>
      </c>
      <c r="O1637" s="5671" t="s">
        <v>640</v>
      </c>
      <c r="P1637" s="5729" t="s">
        <v>168</v>
      </c>
      <c r="Q1637" s="5672" t="s">
        <v>640</v>
      </c>
      <c r="R1637" s="2483"/>
      <c r="S1637" s="544"/>
      <c r="T1637" s="545"/>
      <c r="U1637" s="546"/>
      <c r="V1637" s="547"/>
      <c r="W1637" s="299" t="s">
        <v>193</v>
      </c>
      <c r="X1637" s="277"/>
      <c r="Y1637" s="277"/>
      <c r="Z1637" s="187"/>
      <c r="AA1637" s="6301"/>
      <c r="AB1637" s="139"/>
      <c r="AC1637" s="139"/>
      <c r="AD1637" s="139"/>
      <c r="AE1637" s="139"/>
      <c r="AF1637" s="139"/>
      <c r="AG1637" s="139"/>
      <c r="AH1637" s="139"/>
      <c r="AI1637" s="139"/>
      <c r="AJ1637" s="139"/>
      <c r="AK1637" s="139"/>
      <c r="AL1637" s="139"/>
      <c r="AM1637" s="139"/>
      <c r="AN1637" s="139"/>
      <c r="AO1637" s="139"/>
      <c r="AP1637" s="139"/>
      <c r="AQ1637" s="139"/>
      <c r="AR1637" s="139"/>
      <c r="AS1637" s="139"/>
      <c r="AT1637" s="139"/>
      <c r="AU1637" s="139"/>
      <c r="AV1637" s="139"/>
      <c r="AW1637" s="139"/>
      <c r="AX1637" s="139"/>
      <c r="AY1637" s="139"/>
      <c r="AZ1637" s="139"/>
      <c r="BA1637" s="139"/>
      <c r="BB1637" s="139"/>
      <c r="BC1637" s="139"/>
      <c r="BD1637" s="139"/>
      <c r="BE1637" s="139"/>
      <c r="BF1637" s="139"/>
      <c r="BG1637" s="139"/>
      <c r="BH1637" s="139"/>
    </row>
    <row r="1638" spans="2:60" s="11" customFormat="1" ht="20.100000000000001" customHeight="1">
      <c r="B1638" s="1360"/>
      <c r="C1638" s="614"/>
      <c r="D1638" s="9598" t="s">
        <v>143</v>
      </c>
      <c r="E1638" s="9600"/>
      <c r="F1638" s="285" t="s">
        <v>742</v>
      </c>
      <c r="G1638" s="666"/>
      <c r="H1638" s="666"/>
      <c r="I1638" s="9582" t="s">
        <v>144</v>
      </c>
      <c r="J1638" s="9583"/>
      <c r="K1638" s="105" t="s">
        <v>1228</v>
      </c>
      <c r="L1638" s="5696"/>
      <c r="M1638" s="5718"/>
      <c r="N1638" s="5729"/>
      <c r="O1638" s="5716"/>
      <c r="P1638" s="5855"/>
      <c r="Q1638" s="5717"/>
      <c r="R1638" s="2483"/>
      <c r="S1638" s="544"/>
      <c r="T1638" s="545"/>
      <c r="U1638" s="546"/>
      <c r="V1638" s="547"/>
      <c r="W1638" s="299" t="s">
        <v>193</v>
      </c>
      <c r="X1638" s="277"/>
      <c r="Y1638" s="277"/>
      <c r="Z1638" s="187"/>
      <c r="AA1638" s="6301"/>
      <c r="AB1638" s="139"/>
      <c r="AC1638" s="139"/>
      <c r="AD1638" s="139"/>
      <c r="AE1638" s="139"/>
      <c r="AF1638" s="139"/>
      <c r="AG1638" s="139"/>
      <c r="AH1638" s="139"/>
      <c r="AI1638" s="139"/>
      <c r="AJ1638" s="139"/>
      <c r="AK1638" s="139"/>
      <c r="AL1638" s="139"/>
      <c r="AM1638" s="139"/>
      <c r="AN1638" s="139"/>
      <c r="AO1638" s="139"/>
      <c r="AP1638" s="139"/>
      <c r="AQ1638" s="139"/>
      <c r="AR1638" s="139"/>
      <c r="AS1638" s="139"/>
      <c r="AT1638" s="139"/>
      <c r="AU1638" s="139"/>
      <c r="AV1638" s="139"/>
      <c r="AW1638" s="139"/>
      <c r="AX1638" s="139"/>
      <c r="AY1638" s="139"/>
      <c r="AZ1638" s="139"/>
      <c r="BA1638" s="139"/>
      <c r="BB1638" s="139"/>
      <c r="BC1638" s="139"/>
      <c r="BD1638" s="139"/>
      <c r="BE1638" s="139"/>
      <c r="BF1638" s="139"/>
      <c r="BG1638" s="139"/>
      <c r="BH1638" s="139"/>
    </row>
    <row r="1639" spans="2:60" s="11" customFormat="1" ht="20.100000000000001" customHeight="1">
      <c r="B1639" s="1360"/>
      <c r="C1639" s="5598"/>
      <c r="D1639" s="9598" t="s">
        <v>631</v>
      </c>
      <c r="E1639" s="9600"/>
      <c r="F1639" s="285" t="s">
        <v>742</v>
      </c>
      <c r="G1639" s="666"/>
      <c r="H1639" s="666"/>
      <c r="I1639" s="9582" t="s">
        <v>147</v>
      </c>
      <c r="J1639" s="9583"/>
      <c r="K1639" s="105" t="s">
        <v>1228</v>
      </c>
      <c r="L1639" s="5696"/>
      <c r="M1639" s="5718"/>
      <c r="N1639" s="5729"/>
      <c r="O1639" s="5716"/>
      <c r="P1639" s="5855"/>
      <c r="Q1639" s="5717"/>
      <c r="R1639" s="2483"/>
      <c r="S1639" s="544"/>
      <c r="T1639" s="545"/>
      <c r="U1639" s="546"/>
      <c r="V1639" s="547"/>
      <c r="W1639" s="299" t="s">
        <v>193</v>
      </c>
      <c r="X1639" s="277"/>
      <c r="Y1639" s="277"/>
      <c r="Z1639" s="187"/>
      <c r="AA1639" s="6301"/>
      <c r="AB1639" s="139"/>
      <c r="AC1639" s="139"/>
      <c r="AD1639" s="139"/>
      <c r="AE1639" s="139"/>
      <c r="AF1639" s="139"/>
      <c r="AG1639" s="139"/>
      <c r="AH1639" s="139"/>
      <c r="AI1639" s="139"/>
      <c r="AJ1639" s="139"/>
      <c r="AK1639" s="139"/>
      <c r="AL1639" s="139"/>
      <c r="AM1639" s="139"/>
      <c r="AN1639" s="139"/>
      <c r="AO1639" s="139"/>
      <c r="AP1639" s="139"/>
      <c r="AQ1639" s="139"/>
      <c r="AR1639" s="139"/>
      <c r="AS1639" s="139"/>
      <c r="AT1639" s="139"/>
      <c r="AU1639" s="139"/>
      <c r="AV1639" s="139"/>
      <c r="AW1639" s="139"/>
      <c r="AX1639" s="139"/>
      <c r="AY1639" s="139"/>
      <c r="AZ1639" s="139"/>
      <c r="BA1639" s="139"/>
      <c r="BB1639" s="139"/>
      <c r="BC1639" s="139"/>
      <c r="BD1639" s="139"/>
      <c r="BE1639" s="139"/>
      <c r="BF1639" s="139"/>
      <c r="BG1639" s="139"/>
      <c r="BH1639" s="139"/>
    </row>
    <row r="1640" spans="2:60" s="11" customFormat="1" ht="20.100000000000001" customHeight="1">
      <c r="B1640" s="1360"/>
      <c r="C1640" s="5598"/>
      <c r="D1640" s="9598" t="s">
        <v>633</v>
      </c>
      <c r="E1640" s="9600"/>
      <c r="F1640" s="285" t="s">
        <v>742</v>
      </c>
      <c r="G1640" s="666"/>
      <c r="H1640" s="666"/>
      <c r="I1640" s="9582" t="s">
        <v>150</v>
      </c>
      <c r="J1640" s="9583"/>
      <c r="K1640" s="105" t="s">
        <v>1228</v>
      </c>
      <c r="L1640" s="5696"/>
      <c r="M1640" s="5718"/>
      <c r="N1640" s="5729"/>
      <c r="O1640" s="5718"/>
      <c r="P1640" s="5729"/>
      <c r="Q1640" s="5717"/>
      <c r="R1640" s="2483"/>
      <c r="S1640" s="544"/>
      <c r="T1640" s="545"/>
      <c r="U1640" s="546"/>
      <c r="V1640" s="547"/>
      <c r="W1640" s="299" t="s">
        <v>193</v>
      </c>
      <c r="X1640" s="277"/>
      <c r="Y1640" s="277"/>
      <c r="Z1640" s="187"/>
      <c r="AA1640" s="6301"/>
      <c r="AB1640" s="139"/>
      <c r="AC1640" s="139"/>
      <c r="AD1640" s="139"/>
      <c r="AE1640" s="139"/>
      <c r="AF1640" s="139"/>
      <c r="AG1640" s="139"/>
      <c r="AH1640" s="139"/>
      <c r="AI1640" s="139"/>
      <c r="AJ1640" s="139"/>
      <c r="AK1640" s="139"/>
      <c r="AL1640" s="139"/>
      <c r="AM1640" s="139"/>
      <c r="AN1640" s="139"/>
      <c r="AO1640" s="139"/>
      <c r="AP1640" s="139"/>
      <c r="AQ1640" s="139"/>
      <c r="AR1640" s="139"/>
      <c r="AS1640" s="139"/>
      <c r="AT1640" s="139"/>
      <c r="AU1640" s="139"/>
      <c r="AV1640" s="139"/>
      <c r="AW1640" s="139"/>
      <c r="AX1640" s="139"/>
      <c r="AY1640" s="139"/>
      <c r="AZ1640" s="139"/>
      <c r="BA1640" s="139"/>
      <c r="BB1640" s="139"/>
      <c r="BC1640" s="139"/>
      <c r="BD1640" s="139"/>
      <c r="BE1640" s="139"/>
      <c r="BF1640" s="139"/>
      <c r="BG1640" s="139"/>
      <c r="BH1640" s="139"/>
    </row>
    <row r="1641" spans="2:60" s="11" customFormat="1" ht="19.350000000000001" customHeight="1">
      <c r="B1641" s="1360"/>
      <c r="C1641" s="1385"/>
      <c r="D1641" s="9584" t="s">
        <v>1031</v>
      </c>
      <c r="E1641" s="9585"/>
      <c r="F1641" s="285" t="s">
        <v>742</v>
      </c>
      <c r="G1641" s="777"/>
      <c r="H1641" s="1223"/>
      <c r="I1641" s="9584" t="s">
        <v>1032</v>
      </c>
      <c r="J1641" s="9585"/>
      <c r="K1641" s="105" t="s">
        <v>1228</v>
      </c>
      <c r="L1641" s="5653" t="str">
        <f>IF(COUNTBLANK(L1642:L1647)&gt;0,"미취합법인有",SUM(L1642:L1647))</f>
        <v>미취합법인有</v>
      </c>
      <c r="M1641" s="5657"/>
      <c r="N1641" s="5654" t="str">
        <f>IF(COUNTBLANK(N1642:N1647)&gt;0,"미취합법인有",SUM(N1642:N1647))</f>
        <v>미취합법인有</v>
      </c>
      <c r="O1641" s="5663"/>
      <c r="P1641" s="5781" t="str">
        <f>IF(COUNTBLANK(P1642:P1647)&gt;0,"미취합법인有",SUM(P1642:P1647))</f>
        <v>미취합법인有</v>
      </c>
      <c r="Q1641" s="785"/>
      <c r="R1641" s="2468"/>
      <c r="S1641" s="276"/>
      <c r="T1641" s="109" t="s">
        <v>737</v>
      </c>
      <c r="U1641" s="547"/>
      <c r="V1641" s="547"/>
      <c r="W1641" s="299" t="s">
        <v>193</v>
      </c>
      <c r="X1641" s="277" t="s">
        <v>1225</v>
      </c>
      <c r="Y1641" s="265"/>
      <c r="Z1641" s="187"/>
      <c r="AA1641" s="6301"/>
      <c r="AB1641" s="139"/>
      <c r="AC1641" s="139"/>
      <c r="AD1641" s="139"/>
      <c r="AE1641" s="139"/>
      <c r="AF1641" s="139"/>
      <c r="AG1641" s="139"/>
      <c r="AH1641" s="139"/>
      <c r="AI1641" s="139"/>
      <c r="AJ1641" s="139"/>
      <c r="AK1641" s="139"/>
      <c r="AL1641" s="139"/>
      <c r="AM1641" s="139"/>
      <c r="AN1641" s="139"/>
      <c r="AO1641" s="139"/>
      <c r="AP1641" s="139"/>
      <c r="AQ1641" s="139"/>
      <c r="AR1641" s="139"/>
      <c r="AS1641" s="139"/>
      <c r="AT1641" s="139"/>
      <c r="AU1641" s="139"/>
      <c r="AV1641" s="139"/>
      <c r="AW1641" s="139"/>
      <c r="AX1641" s="139"/>
      <c r="AY1641" s="139"/>
      <c r="AZ1641" s="139"/>
      <c r="BA1641" s="139"/>
      <c r="BB1641" s="139"/>
      <c r="BC1641" s="139"/>
      <c r="BD1641" s="139"/>
      <c r="BE1641" s="139"/>
      <c r="BF1641" s="139"/>
      <c r="BG1641" s="139"/>
      <c r="BH1641" s="139"/>
    </row>
    <row r="1642" spans="2:60" s="11" customFormat="1" ht="19.5" customHeight="1">
      <c r="B1642" s="1360"/>
      <c r="C1642" s="5598"/>
      <c r="D1642" s="9598" t="s">
        <v>134</v>
      </c>
      <c r="E1642" s="9600"/>
      <c r="F1642" s="285" t="s">
        <v>742</v>
      </c>
      <c r="G1642" s="666"/>
      <c r="H1642" s="666"/>
      <c r="I1642" s="9579" t="s">
        <v>135</v>
      </c>
      <c r="J1642" s="9581"/>
      <c r="K1642" s="105" t="s">
        <v>1228</v>
      </c>
      <c r="L1642" s="5789">
        <f>CGV국내!R324</f>
        <v>3601</v>
      </c>
      <c r="M1642" s="5718" t="s">
        <v>302</v>
      </c>
      <c r="N1642" s="6005">
        <f>CGV국내!T324</f>
        <v>4502</v>
      </c>
      <c r="O1642" s="5716" t="s">
        <v>302</v>
      </c>
      <c r="P1642" s="6008">
        <f>CGV국내!V324</f>
        <v>4684</v>
      </c>
      <c r="Q1642" s="5717"/>
      <c r="R1642" s="2483"/>
      <c r="S1642" s="544"/>
      <c r="T1642" s="545"/>
      <c r="U1642" s="546"/>
      <c r="V1642" s="547"/>
      <c r="W1642" s="299" t="s">
        <v>193</v>
      </c>
      <c r="X1642" s="277"/>
      <c r="Y1642" s="277"/>
      <c r="Z1642" s="187"/>
      <c r="AA1642" s="6301"/>
      <c r="AB1642" s="139"/>
      <c r="AC1642" s="139"/>
      <c r="AD1642" s="139"/>
      <c r="AE1642" s="139"/>
      <c r="AF1642" s="139"/>
      <c r="AG1642" s="139"/>
      <c r="AH1642" s="139"/>
      <c r="AI1642" s="139"/>
      <c r="AJ1642" s="139"/>
      <c r="AK1642" s="139"/>
      <c r="AL1642" s="139"/>
      <c r="AM1642" s="139"/>
      <c r="AN1642" s="139"/>
      <c r="AO1642" s="139"/>
      <c r="AP1642" s="139"/>
      <c r="AQ1642" s="139"/>
      <c r="AR1642" s="139"/>
      <c r="AS1642" s="139"/>
      <c r="AT1642" s="139"/>
      <c r="AU1642" s="139"/>
      <c r="AV1642" s="139"/>
      <c r="AW1642" s="139"/>
      <c r="AX1642" s="139"/>
      <c r="AY1642" s="139"/>
      <c r="AZ1642" s="139"/>
      <c r="BA1642" s="139"/>
      <c r="BB1642" s="139"/>
      <c r="BC1642" s="139"/>
      <c r="BD1642" s="139"/>
      <c r="BE1642" s="139"/>
      <c r="BF1642" s="139"/>
      <c r="BG1642" s="139"/>
      <c r="BH1642" s="139"/>
    </row>
    <row r="1643" spans="2:60" s="11" customFormat="1" ht="20.100000000000001" customHeight="1">
      <c r="B1643" s="1360"/>
      <c r="C1643" s="5598"/>
      <c r="D1643" s="9598" t="s">
        <v>137</v>
      </c>
      <c r="E1643" s="9600"/>
      <c r="F1643" s="285" t="s">
        <v>742</v>
      </c>
      <c r="G1643" s="666"/>
      <c r="H1643" s="666"/>
      <c r="I1643" s="9579" t="s">
        <v>138</v>
      </c>
      <c r="J1643" s="9581"/>
      <c r="K1643" s="105" t="s">
        <v>1228</v>
      </c>
      <c r="L1643" s="5705">
        <f>'4DPLEX'!W296</f>
        <v>183</v>
      </c>
      <c r="M1643" s="5719"/>
      <c r="N1643" s="5730">
        <f>'4DPLEX'!Y296</f>
        <v>231</v>
      </c>
      <c r="O1643" s="5720"/>
      <c r="P1643" s="5730">
        <f>'4DPLEX'!AA296</f>
        <v>249</v>
      </c>
      <c r="Q1643" s="5717"/>
      <c r="R1643" s="2483"/>
      <c r="S1643" s="544"/>
      <c r="T1643" s="545"/>
      <c r="U1643" s="546"/>
      <c r="V1643" s="547"/>
      <c r="W1643" s="299" t="s">
        <v>193</v>
      </c>
      <c r="X1643" s="277"/>
      <c r="Y1643" s="277"/>
      <c r="Z1643" s="187"/>
      <c r="AA1643" s="6301"/>
      <c r="AB1643" s="139"/>
      <c r="AC1643" s="139"/>
      <c r="AD1643" s="139"/>
      <c r="AE1643" s="139"/>
      <c r="AF1643" s="139"/>
      <c r="AG1643" s="139"/>
      <c r="AH1643" s="139"/>
      <c r="AI1643" s="139"/>
      <c r="AJ1643" s="139"/>
      <c r="AK1643" s="139"/>
      <c r="AL1643" s="139"/>
      <c r="AM1643" s="139"/>
      <c r="AN1643" s="139"/>
      <c r="AO1643" s="139"/>
      <c r="AP1643" s="139"/>
      <c r="AQ1643" s="139"/>
      <c r="AR1643" s="139"/>
      <c r="AS1643" s="139"/>
      <c r="AT1643" s="139"/>
      <c r="AU1643" s="139"/>
      <c r="AV1643" s="139"/>
      <c r="AW1643" s="139"/>
      <c r="AX1643" s="139"/>
      <c r="AY1643" s="139"/>
      <c r="AZ1643" s="139"/>
      <c r="BA1643" s="139"/>
      <c r="BB1643" s="139"/>
      <c r="BC1643" s="139"/>
      <c r="BD1643" s="139"/>
      <c r="BE1643" s="139"/>
      <c r="BF1643" s="139"/>
      <c r="BG1643" s="139"/>
      <c r="BH1643" s="139"/>
    </row>
    <row r="1644" spans="2:60" s="11" customFormat="1" ht="20.100000000000001" customHeight="1">
      <c r="B1644" s="1360"/>
      <c r="C1644" s="5598"/>
      <c r="D1644" s="9598" t="s">
        <v>140</v>
      </c>
      <c r="E1644" s="9600"/>
      <c r="F1644" s="285" t="s">
        <v>742</v>
      </c>
      <c r="G1644" s="666"/>
      <c r="H1644" s="666"/>
      <c r="I1644" s="9582" t="s">
        <v>141</v>
      </c>
      <c r="J1644" s="9583"/>
      <c r="K1644" s="105" t="s">
        <v>1228</v>
      </c>
      <c r="L1644" s="5696">
        <f>China!AO324</f>
        <v>1054</v>
      </c>
      <c r="M1644" s="5718"/>
      <c r="N1644" s="5729">
        <f>China!AQ324</f>
        <v>909</v>
      </c>
      <c r="O1644" s="5716"/>
      <c r="P1644" s="5855">
        <f>China!AS324</f>
        <v>750</v>
      </c>
      <c r="Q1644" s="5717"/>
      <c r="R1644" s="2483"/>
      <c r="S1644" s="544"/>
      <c r="T1644" s="545"/>
      <c r="U1644" s="546"/>
      <c r="V1644" s="547"/>
      <c r="W1644" s="299" t="s">
        <v>193</v>
      </c>
      <c r="X1644" s="277"/>
      <c r="Y1644" s="277"/>
      <c r="Z1644" s="187"/>
      <c r="AA1644" s="6301"/>
      <c r="AB1644" s="139"/>
      <c r="AC1644" s="139"/>
      <c r="AD1644" s="139"/>
      <c r="AE1644" s="139"/>
      <c r="AF1644" s="139"/>
      <c r="AG1644" s="139"/>
      <c r="AH1644" s="139"/>
      <c r="AI1644" s="139"/>
      <c r="AJ1644" s="139"/>
      <c r="AK1644" s="139"/>
      <c r="AL1644" s="139"/>
      <c r="AM1644" s="139"/>
      <c r="AN1644" s="139"/>
      <c r="AO1644" s="139"/>
      <c r="AP1644" s="139"/>
      <c r="AQ1644" s="139"/>
      <c r="AR1644" s="139"/>
      <c r="AS1644" s="139"/>
      <c r="AT1644" s="139"/>
      <c r="AU1644" s="139"/>
      <c r="AV1644" s="139"/>
      <c r="AW1644" s="139"/>
      <c r="AX1644" s="139"/>
      <c r="AY1644" s="139"/>
      <c r="AZ1644" s="139"/>
      <c r="BA1644" s="139"/>
      <c r="BB1644" s="139"/>
      <c r="BC1644" s="139"/>
      <c r="BD1644" s="139"/>
      <c r="BE1644" s="139"/>
      <c r="BF1644" s="139"/>
      <c r="BG1644" s="139"/>
      <c r="BH1644" s="139"/>
    </row>
    <row r="1645" spans="2:60" s="11" customFormat="1" ht="20.100000000000001" customHeight="1">
      <c r="B1645" s="1360"/>
      <c r="C1645" s="614"/>
      <c r="D1645" s="9598" t="s">
        <v>143</v>
      </c>
      <c r="E1645" s="9600"/>
      <c r="F1645" s="285" t="s">
        <v>742</v>
      </c>
      <c r="G1645" s="666"/>
      <c r="H1645" s="666"/>
      <c r="I1645" s="9582" t="s">
        <v>144</v>
      </c>
      <c r="J1645" s="9583"/>
      <c r="K1645" s="105" t="s">
        <v>1228</v>
      </c>
      <c r="L1645" s="5696"/>
      <c r="M1645" s="5718"/>
      <c r="N1645" s="5729"/>
      <c r="O1645" s="5716"/>
      <c r="P1645" s="5855"/>
      <c r="Q1645" s="5717"/>
      <c r="R1645" s="2483"/>
      <c r="S1645" s="544"/>
      <c r="T1645" s="545"/>
      <c r="U1645" s="546"/>
      <c r="V1645" s="547"/>
      <c r="W1645" s="299" t="s">
        <v>193</v>
      </c>
      <c r="X1645" s="277"/>
      <c r="Y1645" s="277"/>
      <c r="Z1645" s="187"/>
      <c r="AA1645" s="6301"/>
      <c r="AB1645" s="139"/>
      <c r="AC1645" s="139"/>
      <c r="AD1645" s="139"/>
      <c r="AE1645" s="139"/>
      <c r="AF1645" s="139"/>
      <c r="AG1645" s="139"/>
      <c r="AH1645" s="139"/>
      <c r="AI1645" s="139"/>
      <c r="AJ1645" s="139"/>
      <c r="AK1645" s="139"/>
      <c r="AL1645" s="139"/>
      <c r="AM1645" s="139"/>
      <c r="AN1645" s="139"/>
      <c r="AO1645" s="139"/>
      <c r="AP1645" s="139"/>
      <c r="AQ1645" s="139"/>
      <c r="AR1645" s="139"/>
      <c r="AS1645" s="139"/>
      <c r="AT1645" s="139"/>
      <c r="AU1645" s="139"/>
      <c r="AV1645" s="139"/>
      <c r="AW1645" s="139"/>
      <c r="AX1645" s="139"/>
      <c r="AY1645" s="139"/>
      <c r="AZ1645" s="139"/>
      <c r="BA1645" s="139"/>
      <c r="BB1645" s="139"/>
      <c r="BC1645" s="139"/>
      <c r="BD1645" s="139"/>
      <c r="BE1645" s="139"/>
      <c r="BF1645" s="139"/>
      <c r="BG1645" s="139"/>
      <c r="BH1645" s="139"/>
    </row>
    <row r="1646" spans="2:60" s="11" customFormat="1" ht="20.100000000000001" customHeight="1">
      <c r="B1646" s="1360"/>
      <c r="C1646" s="5598"/>
      <c r="D1646" s="9598" t="s">
        <v>631</v>
      </c>
      <c r="E1646" s="9600"/>
      <c r="F1646" s="285" t="s">
        <v>742</v>
      </c>
      <c r="G1646" s="666"/>
      <c r="H1646" s="666"/>
      <c r="I1646" s="9582" t="s">
        <v>147</v>
      </c>
      <c r="J1646" s="9583"/>
      <c r="K1646" s="105" t="s">
        <v>1228</v>
      </c>
      <c r="L1646" s="5696"/>
      <c r="M1646" s="5718"/>
      <c r="N1646" s="5729"/>
      <c r="O1646" s="5716"/>
      <c r="P1646" s="5855"/>
      <c r="Q1646" s="5717"/>
      <c r="R1646" s="2483"/>
      <c r="S1646" s="544"/>
      <c r="T1646" s="545"/>
      <c r="U1646" s="546"/>
      <c r="V1646" s="547"/>
      <c r="W1646" s="299" t="s">
        <v>193</v>
      </c>
      <c r="X1646" s="277"/>
      <c r="Y1646" s="277"/>
      <c r="Z1646" s="187"/>
      <c r="AA1646" s="6301"/>
      <c r="AB1646" s="139"/>
      <c r="AC1646" s="139"/>
      <c r="AD1646" s="139"/>
      <c r="AE1646" s="139"/>
      <c r="AF1646" s="139"/>
      <c r="AG1646" s="139"/>
      <c r="AH1646" s="139"/>
      <c r="AI1646" s="139"/>
      <c r="AJ1646" s="139"/>
      <c r="AK1646" s="139"/>
      <c r="AL1646" s="139"/>
      <c r="AM1646" s="139"/>
      <c r="AN1646" s="139"/>
      <c r="AO1646" s="139"/>
      <c r="AP1646" s="139"/>
      <c r="AQ1646" s="139"/>
      <c r="AR1646" s="139"/>
      <c r="AS1646" s="139"/>
      <c r="AT1646" s="139"/>
      <c r="AU1646" s="139"/>
      <c r="AV1646" s="139"/>
      <c r="AW1646" s="139"/>
      <c r="AX1646" s="139"/>
      <c r="AY1646" s="139"/>
      <c r="AZ1646" s="139"/>
      <c r="BA1646" s="139"/>
      <c r="BB1646" s="139"/>
      <c r="BC1646" s="139"/>
      <c r="BD1646" s="139"/>
      <c r="BE1646" s="139"/>
      <c r="BF1646" s="139"/>
      <c r="BG1646" s="139"/>
      <c r="BH1646" s="139"/>
    </row>
    <row r="1647" spans="2:60" s="11" customFormat="1" ht="20.100000000000001" customHeight="1">
      <c r="B1647" s="1360"/>
      <c r="C1647" s="5598"/>
      <c r="D1647" s="9598" t="s">
        <v>633</v>
      </c>
      <c r="E1647" s="9600"/>
      <c r="F1647" s="285" t="s">
        <v>742</v>
      </c>
      <c r="G1647" s="666"/>
      <c r="H1647" s="666"/>
      <c r="I1647" s="9582" t="s">
        <v>150</v>
      </c>
      <c r="J1647" s="9583"/>
      <c r="K1647" s="105" t="s">
        <v>1228</v>
      </c>
      <c r="L1647" s="5696"/>
      <c r="M1647" s="5718"/>
      <c r="N1647" s="5729"/>
      <c r="O1647" s="5718"/>
      <c r="P1647" s="5729"/>
      <c r="Q1647" s="5717"/>
      <c r="R1647" s="2483"/>
      <c r="S1647" s="544"/>
      <c r="T1647" s="545"/>
      <c r="U1647" s="546"/>
      <c r="V1647" s="547"/>
      <c r="W1647" s="299" t="s">
        <v>193</v>
      </c>
      <c r="X1647" s="277"/>
      <c r="Y1647" s="277"/>
      <c r="Z1647" s="187"/>
      <c r="AA1647" s="6301"/>
      <c r="AB1647" s="139"/>
      <c r="AC1647" s="139"/>
      <c r="AD1647" s="139"/>
      <c r="AE1647" s="139"/>
      <c r="AF1647" s="139"/>
      <c r="AG1647" s="139"/>
      <c r="AH1647" s="139"/>
      <c r="AI1647" s="139"/>
      <c r="AJ1647" s="139"/>
      <c r="AK1647" s="139"/>
      <c r="AL1647" s="139"/>
      <c r="AM1647" s="139"/>
      <c r="AN1647" s="139"/>
      <c r="AO1647" s="139"/>
      <c r="AP1647" s="139"/>
      <c r="AQ1647" s="139"/>
      <c r="AR1647" s="139"/>
      <c r="AS1647" s="139"/>
      <c r="AT1647" s="139"/>
      <c r="AU1647" s="139"/>
      <c r="AV1647" s="139"/>
      <c r="AW1647" s="139"/>
      <c r="AX1647" s="139"/>
      <c r="AY1647" s="139"/>
      <c r="AZ1647" s="139"/>
      <c r="BA1647" s="139"/>
      <c r="BB1647" s="139"/>
      <c r="BC1647" s="139"/>
      <c r="BD1647" s="139"/>
      <c r="BE1647" s="139"/>
      <c r="BF1647" s="139"/>
      <c r="BG1647" s="139"/>
      <c r="BH1647" s="139"/>
    </row>
    <row r="1648" spans="2:60" s="11" customFormat="1" ht="19.350000000000001" customHeight="1">
      <c r="B1648" s="1353"/>
      <c r="C1648" s="9656" t="s">
        <v>1229</v>
      </c>
      <c r="D1648" s="9587"/>
      <c r="E1648" s="9588"/>
      <c r="F1648" s="285" t="s">
        <v>156</v>
      </c>
      <c r="G1648" s="961"/>
      <c r="H1648" s="9586" t="s">
        <v>1230</v>
      </c>
      <c r="I1648" s="9587"/>
      <c r="J1648" s="9588"/>
      <c r="K1648" s="105" t="s">
        <v>156</v>
      </c>
      <c r="L1648" s="5968" t="str">
        <f>IF(COUNTBLANK(L1649:L1654)&gt;0,"미취합법인有",AVERAGE(L1649:L1654))</f>
        <v>미취합법인有</v>
      </c>
      <c r="M1648" s="5657"/>
      <c r="N1648" s="5654" t="str">
        <f>IF(COUNTBLANK(N1649:N1654)&gt;0,"미취합법인有",AVERAGE(N1649:N1654))</f>
        <v>미취합법인有</v>
      </c>
      <c r="O1648" s="5663"/>
      <c r="P1648" s="5781" t="str">
        <f>IF(COUNTBLANK(P1649:P1654)&gt;0,"미취합법인有",AVERAGE(P1649:P1654))</f>
        <v>미취합법인有</v>
      </c>
      <c r="Q1648" s="785"/>
      <c r="R1648" s="2468"/>
      <c r="S1648" s="276"/>
      <c r="T1648" s="109" t="s">
        <v>1231</v>
      </c>
      <c r="U1648" s="547"/>
      <c r="V1648" s="547" t="s">
        <v>1232</v>
      </c>
      <c r="W1648" s="548"/>
      <c r="X1648" s="277"/>
      <c r="Y1648" s="5715" t="s">
        <v>1233</v>
      </c>
      <c r="Z1648" s="221"/>
      <c r="AA1648" s="6301"/>
      <c r="AB1648" s="139"/>
      <c r="AC1648" s="139"/>
      <c r="AD1648" s="139"/>
      <c r="AE1648" s="139"/>
      <c r="AF1648" s="139"/>
      <c r="AG1648" s="139"/>
      <c r="AH1648" s="139"/>
      <c r="AI1648" s="139"/>
      <c r="AJ1648" s="139"/>
      <c r="AK1648" s="139"/>
      <c r="AL1648" s="139"/>
      <c r="AM1648" s="139"/>
      <c r="AN1648" s="139"/>
      <c r="AO1648" s="139"/>
      <c r="AP1648" s="139"/>
      <c r="AQ1648" s="139"/>
      <c r="AR1648" s="139"/>
      <c r="AS1648" s="139"/>
      <c r="AT1648" s="139"/>
      <c r="AU1648" s="139"/>
      <c r="AV1648" s="139"/>
      <c r="AW1648" s="139"/>
      <c r="AX1648" s="139"/>
      <c r="AY1648" s="139"/>
      <c r="AZ1648" s="139"/>
      <c r="BA1648" s="139"/>
      <c r="BB1648" s="139"/>
      <c r="BC1648" s="139"/>
      <c r="BD1648" s="139"/>
      <c r="BE1648" s="139"/>
      <c r="BF1648" s="139"/>
      <c r="BG1648" s="139"/>
      <c r="BH1648" s="139"/>
    </row>
    <row r="1649" spans="1:28" ht="20.100000000000001" customHeight="1">
      <c r="A1649" s="11"/>
      <c r="B1649" s="1360"/>
      <c r="C1649" s="9647" t="s">
        <v>134</v>
      </c>
      <c r="D1649" s="9648"/>
      <c r="E1649" s="9649"/>
      <c r="F1649" s="285" t="s">
        <v>156</v>
      </c>
      <c r="G1649" s="666"/>
      <c r="H1649" s="9579" t="s">
        <v>135</v>
      </c>
      <c r="I1649" s="9580"/>
      <c r="J1649" s="9581"/>
      <c r="K1649" s="105" t="s">
        <v>156</v>
      </c>
      <c r="L1649" s="5696"/>
      <c r="M1649" s="5718"/>
      <c r="N1649" s="5729"/>
      <c r="O1649" s="5716"/>
      <c r="P1649" s="5855"/>
      <c r="Q1649" s="5717"/>
      <c r="R1649" s="2468"/>
      <c r="S1649" s="544"/>
      <c r="T1649" s="545"/>
      <c r="U1649" s="546"/>
      <c r="V1649" s="547"/>
      <c r="W1649" s="548"/>
      <c r="X1649" s="277"/>
      <c r="Y1649" s="277"/>
      <c r="Z1649" s="187"/>
    </row>
    <row r="1650" spans="1:28" ht="20.100000000000001" customHeight="1">
      <c r="A1650" s="11"/>
      <c r="B1650" s="1360"/>
      <c r="C1650" s="9647" t="s">
        <v>137</v>
      </c>
      <c r="D1650" s="9648"/>
      <c r="E1650" s="9649"/>
      <c r="F1650" s="285" t="s">
        <v>156</v>
      </c>
      <c r="G1650" s="666"/>
      <c r="H1650" s="9579" t="s">
        <v>138</v>
      </c>
      <c r="I1650" s="9580"/>
      <c r="J1650" s="9581"/>
      <c r="K1650" s="105" t="s">
        <v>156</v>
      </c>
      <c r="L1650" s="5705"/>
      <c r="M1650" s="5719"/>
      <c r="N1650" s="5730"/>
      <c r="O1650" s="5720"/>
      <c r="P1650" s="5856"/>
      <c r="Q1650" s="5717"/>
      <c r="R1650" s="2468"/>
      <c r="S1650" s="544"/>
      <c r="T1650" s="545"/>
      <c r="U1650" s="546"/>
      <c r="V1650" s="547"/>
      <c r="W1650" s="548"/>
      <c r="X1650" s="277"/>
      <c r="Y1650" s="277"/>
      <c r="Z1650" s="187"/>
    </row>
    <row r="1651" spans="1:28" ht="20.100000000000001" customHeight="1">
      <c r="A1651" s="11"/>
      <c r="B1651" s="1360"/>
      <c r="C1651" s="9647" t="s">
        <v>140</v>
      </c>
      <c r="D1651" s="9648"/>
      <c r="E1651" s="9649"/>
      <c r="F1651" s="285" t="s">
        <v>156</v>
      </c>
      <c r="G1651" s="666"/>
      <c r="H1651" s="9579" t="s">
        <v>141</v>
      </c>
      <c r="I1651" s="9580"/>
      <c r="J1651" s="9581"/>
      <c r="K1651" s="105" t="s">
        <v>156</v>
      </c>
      <c r="L1651" s="5959" t="s">
        <v>168</v>
      </c>
      <c r="M1651" s="5671" t="s">
        <v>640</v>
      </c>
      <c r="N1651" s="5729" t="s">
        <v>168</v>
      </c>
      <c r="O1651" s="5671" t="s">
        <v>640</v>
      </c>
      <c r="P1651" s="5729" t="s">
        <v>168</v>
      </c>
      <c r="Q1651" s="5672" t="s">
        <v>640</v>
      </c>
      <c r="R1651" s="2468"/>
      <c r="S1651" s="544"/>
      <c r="T1651" s="545"/>
      <c r="U1651" s="546"/>
      <c r="V1651" s="547"/>
      <c r="W1651" s="548"/>
      <c r="X1651" s="277"/>
      <c r="Y1651" s="277"/>
      <c r="Z1651" s="187"/>
    </row>
    <row r="1652" spans="1:28" ht="20.100000000000001" customHeight="1">
      <c r="A1652" s="11"/>
      <c r="B1652" s="1360"/>
      <c r="C1652" s="9647" t="s">
        <v>143</v>
      </c>
      <c r="D1652" s="9648"/>
      <c r="E1652" s="9649"/>
      <c r="F1652" s="285" t="s">
        <v>156</v>
      </c>
      <c r="G1652" s="666"/>
      <c r="H1652" s="9579" t="s">
        <v>144</v>
      </c>
      <c r="I1652" s="9580"/>
      <c r="J1652" s="9581"/>
      <c r="K1652" s="105" t="s">
        <v>156</v>
      </c>
      <c r="L1652" s="5714">
        <v>1.7453805429864253</v>
      </c>
      <c r="M1652" s="5718"/>
      <c r="N1652" s="5859">
        <v>1.715870588235294</v>
      </c>
      <c r="O1652" s="5716"/>
      <c r="P1652" s="5864">
        <v>1.6873668803418804</v>
      </c>
      <c r="Q1652" s="5717"/>
      <c r="R1652" s="276"/>
      <c r="S1652" s="276"/>
      <c r="T1652" s="309"/>
      <c r="U1652" s="547"/>
      <c r="V1652" s="547"/>
      <c r="W1652" s="548"/>
      <c r="X1652" s="277"/>
      <c r="Y1652" s="277"/>
      <c r="Z1652" s="187"/>
    </row>
    <row r="1653" spans="1:28" ht="20.100000000000001" customHeight="1">
      <c r="A1653" s="11"/>
      <c r="B1653" s="1360"/>
      <c r="C1653" s="9647" t="s">
        <v>631</v>
      </c>
      <c r="D1653" s="9648"/>
      <c r="E1653" s="9649"/>
      <c r="F1653" s="285" t="s">
        <v>156</v>
      </c>
      <c r="G1653" s="666"/>
      <c r="H1653" s="9579" t="s">
        <v>147</v>
      </c>
      <c r="I1653" s="9580"/>
      <c r="J1653" s="9581"/>
      <c r="K1653" s="105" t="s">
        <v>156</v>
      </c>
      <c r="L1653" s="5696"/>
      <c r="M1653" s="5718"/>
      <c r="N1653" s="5729"/>
      <c r="O1653" s="5716"/>
      <c r="P1653" s="5855"/>
      <c r="Q1653" s="5717"/>
      <c r="R1653" s="276"/>
      <c r="S1653" s="276"/>
      <c r="T1653" s="309"/>
      <c r="U1653" s="547"/>
      <c r="V1653" s="547"/>
      <c r="W1653" s="548"/>
      <c r="X1653" s="277"/>
      <c r="Y1653" s="277"/>
      <c r="Z1653" s="187"/>
    </row>
    <row r="1654" spans="1:28" ht="20.100000000000001" customHeight="1">
      <c r="A1654" s="11"/>
      <c r="B1654" s="1360"/>
      <c r="C1654" s="9647" t="s">
        <v>633</v>
      </c>
      <c r="D1654" s="9648"/>
      <c r="E1654" s="9649"/>
      <c r="F1654" s="809" t="s">
        <v>156</v>
      </c>
      <c r="G1654" s="666"/>
      <c r="H1654" s="9579" t="s">
        <v>150</v>
      </c>
      <c r="I1654" s="9580"/>
      <c r="J1654" s="9581"/>
      <c r="K1654" s="105" t="s">
        <v>156</v>
      </c>
      <c r="L1654" s="6250" t="s">
        <v>168</v>
      </c>
      <c r="M1654" s="5984" t="s">
        <v>640</v>
      </c>
      <c r="N1654" s="6251" t="s">
        <v>168</v>
      </c>
      <c r="O1654" s="5984" t="s">
        <v>640</v>
      </c>
      <c r="P1654" s="6251" t="s">
        <v>168</v>
      </c>
      <c r="Q1654" s="6252" t="s">
        <v>640</v>
      </c>
      <c r="R1654" s="276"/>
      <c r="S1654" s="276"/>
      <c r="T1654" s="309"/>
      <c r="U1654" s="547"/>
      <c r="V1654" s="547"/>
      <c r="W1654" s="548"/>
      <c r="X1654" s="277"/>
      <c r="Y1654" s="277"/>
      <c r="Z1654" s="187"/>
    </row>
    <row r="1655" spans="1:28" ht="20.100000000000001" customHeight="1">
      <c r="A1655" s="11"/>
      <c r="B1655" s="6136" t="s">
        <v>1234</v>
      </c>
      <c r="C1655" s="6137"/>
      <c r="D1655" s="6137"/>
      <c r="E1655" s="6137"/>
      <c r="F1655" s="6232"/>
      <c r="G1655" s="6233" t="s">
        <v>1235</v>
      </c>
      <c r="H1655" s="6232"/>
      <c r="I1655" s="6233"/>
      <c r="J1655" s="6234"/>
      <c r="K1655" s="6235"/>
      <c r="L1655" s="6254"/>
      <c r="M1655" s="6231"/>
      <c r="N1655" s="6231"/>
      <c r="O1655" s="6231"/>
      <c r="P1655" s="6231"/>
      <c r="Q1655" s="6231"/>
      <c r="R1655" s="6311"/>
      <c r="S1655" s="6311"/>
      <c r="T1655" s="6311"/>
      <c r="U1655" s="6312"/>
      <c r="V1655" s="6312"/>
      <c r="W1655" s="6255"/>
      <c r="X1655" s="1243"/>
      <c r="Y1655" s="1243"/>
      <c r="Z1655" s="4532"/>
      <c r="AA1655" s="6307"/>
      <c r="AB1655" s="6403"/>
    </row>
    <row r="1656" spans="1:28" s="139" customFormat="1" ht="20.100000000000001" customHeight="1">
      <c r="A1656" s="11"/>
      <c r="B1656" s="1553"/>
      <c r="C1656" s="6145" t="s">
        <v>1236</v>
      </c>
      <c r="D1656" s="6146"/>
      <c r="E1656" s="6146"/>
      <c r="F1656" s="6237"/>
      <c r="G1656" s="6146"/>
      <c r="H1656" s="6237" t="s">
        <v>1237</v>
      </c>
      <c r="I1656" s="6146"/>
      <c r="J1656" s="6147"/>
      <c r="K1656" s="6236" t="s">
        <v>168</v>
      </c>
      <c r="L1656" s="6186"/>
      <c r="M1656" s="6185"/>
      <c r="N1656" s="6185"/>
      <c r="O1656" s="6185"/>
      <c r="P1656" s="6185"/>
      <c r="Q1656" s="6185"/>
      <c r="R1656" s="276"/>
      <c r="S1656" s="276"/>
      <c r="T1656" s="109" t="s">
        <v>206</v>
      </c>
      <c r="U1656" s="547"/>
      <c r="V1656" s="547"/>
      <c r="W1656" s="873"/>
      <c r="X1656" s="6001"/>
      <c r="Y1656" s="6002"/>
      <c r="Z1656" s="6003"/>
      <c r="AA1656" s="6301"/>
    </row>
    <row r="1657" spans="1:28" ht="20.100000000000001" customHeight="1">
      <c r="A1657" s="11"/>
      <c r="B1657" s="1360"/>
      <c r="C1657" s="1357"/>
      <c r="D1657" s="9584" t="s">
        <v>1238</v>
      </c>
      <c r="E1657" s="9585"/>
      <c r="F1657" s="492" t="s">
        <v>154</v>
      </c>
      <c r="G1657" s="386"/>
      <c r="H1657" s="141"/>
      <c r="I1657" s="9584" t="s">
        <v>1239</v>
      </c>
      <c r="J1657" s="9585"/>
      <c r="K1657" s="87" t="s">
        <v>154</v>
      </c>
      <c r="L1657" s="5653" t="str">
        <f>IF(COUNTBLANK(L1658:L1663)&gt;0,"미취합법인有",AVERAGE(L1658:L1663))</f>
        <v>미취합법인有</v>
      </c>
      <c r="M1657" s="5657"/>
      <c r="N1657" s="5654" t="str">
        <f>IF(COUNTBLANK(N1658:N1663)&gt;0,"미취합법인有",AVERAGE(N1658:N1663))</f>
        <v>미취합법인有</v>
      </c>
      <c r="O1657" s="5663"/>
      <c r="P1657" s="6244" t="str">
        <f>IF(COUNTBLANK(P1658:P1663)&gt;0,"미취합법인有",AVERAGE(P1658:P1663))</f>
        <v>미취합법인有</v>
      </c>
      <c r="Q1657" s="6253"/>
      <c r="R1657" s="276"/>
      <c r="S1657" s="276"/>
      <c r="T1657" s="109" t="s">
        <v>206</v>
      </c>
      <c r="U1657" s="547"/>
      <c r="V1657" s="547"/>
      <c r="W1657" s="873"/>
      <c r="X1657" s="896" t="s">
        <v>1240</v>
      </c>
      <c r="Y1657" s="694"/>
      <c r="Z1657" s="957" t="s">
        <v>1241</v>
      </c>
    </row>
    <row r="1658" spans="1:28" ht="20.100000000000001" customHeight="1">
      <c r="A1658" s="11"/>
      <c r="B1658" s="1360"/>
      <c r="C1658" s="5598"/>
      <c r="D1658" s="9598" t="s">
        <v>134</v>
      </c>
      <c r="E1658" s="9600"/>
      <c r="F1658" s="285" t="s">
        <v>156</v>
      </c>
      <c r="G1658" s="666"/>
      <c r="H1658" s="684"/>
      <c r="I1658" s="9579" t="s">
        <v>135</v>
      </c>
      <c r="J1658" s="9581"/>
      <c r="K1658" s="492" t="s">
        <v>154</v>
      </c>
      <c r="L1658" s="5714">
        <f>CGV국내!R328</f>
        <v>0</v>
      </c>
      <c r="M1658" s="5863"/>
      <c r="N1658" s="5859">
        <f>CGV국내!T328</f>
        <v>0</v>
      </c>
      <c r="O1658" s="5722"/>
      <c r="P1658" s="5859">
        <f>CGV국내!V328</f>
        <v>8.0000000000000002E-3</v>
      </c>
      <c r="Q1658" s="5717"/>
      <c r="R1658" s="276"/>
      <c r="S1658" s="276"/>
      <c r="T1658" s="309"/>
      <c r="U1658" s="547"/>
      <c r="V1658" s="547"/>
      <c r="W1658" s="548"/>
      <c r="X1658" s="277"/>
      <c r="Y1658" s="277"/>
      <c r="Z1658" s="187"/>
    </row>
    <row r="1659" spans="1:28" ht="20.100000000000001" customHeight="1">
      <c r="A1659" s="11"/>
      <c r="B1659" s="1360"/>
      <c r="C1659" s="5598"/>
      <c r="D1659" s="9598" t="s">
        <v>137</v>
      </c>
      <c r="E1659" s="9600"/>
      <c r="F1659" s="285" t="s">
        <v>156</v>
      </c>
      <c r="G1659" s="666"/>
      <c r="H1659" s="684"/>
      <c r="I1659" s="9579" t="s">
        <v>138</v>
      </c>
      <c r="J1659" s="9581"/>
      <c r="K1659" s="492" t="s">
        <v>154</v>
      </c>
      <c r="L1659" s="5709"/>
      <c r="M1659" s="5865"/>
      <c r="N1659" s="5861"/>
      <c r="O1659" s="5862"/>
      <c r="P1659" s="5866"/>
      <c r="Q1659" s="5717"/>
      <c r="R1659" s="276"/>
      <c r="S1659" s="276"/>
      <c r="T1659" s="309"/>
      <c r="U1659" s="547"/>
      <c r="V1659" s="547"/>
      <c r="W1659" s="548"/>
      <c r="X1659" s="277"/>
      <c r="Y1659" s="277"/>
      <c r="Z1659" s="187"/>
    </row>
    <row r="1660" spans="1:28" ht="20.100000000000001" customHeight="1">
      <c r="A1660" s="11"/>
      <c r="B1660" s="1360"/>
      <c r="C1660" s="5598"/>
      <c r="D1660" s="9598" t="s">
        <v>140</v>
      </c>
      <c r="E1660" s="9600"/>
      <c r="F1660" s="285" t="s">
        <v>156</v>
      </c>
      <c r="G1660" s="666"/>
      <c r="H1660" s="684"/>
      <c r="I1660" s="9582" t="s">
        <v>141</v>
      </c>
      <c r="J1660" s="9583"/>
      <c r="K1660" s="492" t="s">
        <v>154</v>
      </c>
      <c r="L1660" s="5714">
        <f>China!AO328</f>
        <v>0</v>
      </c>
      <c r="M1660" s="5863"/>
      <c r="N1660" s="5859">
        <f>China!AQ328</f>
        <v>0</v>
      </c>
      <c r="O1660" s="5722"/>
      <c r="P1660" s="5864">
        <f>China!AS328</f>
        <v>0</v>
      </c>
      <c r="Q1660" s="5717"/>
      <c r="R1660" s="276"/>
      <c r="S1660" s="276"/>
      <c r="T1660" s="309"/>
      <c r="U1660" s="547"/>
      <c r="V1660" s="547"/>
      <c r="W1660" s="548"/>
      <c r="X1660" s="277"/>
      <c r="Y1660" s="277"/>
      <c r="Z1660" s="187"/>
    </row>
    <row r="1661" spans="1:28" ht="20.100000000000001" customHeight="1">
      <c r="A1661" s="11"/>
      <c r="B1661" s="1360"/>
      <c r="C1661" s="614"/>
      <c r="D1661" s="9598" t="s">
        <v>143</v>
      </c>
      <c r="E1661" s="9600"/>
      <c r="F1661" s="285" t="s">
        <v>156</v>
      </c>
      <c r="G1661" s="666"/>
      <c r="H1661" s="684"/>
      <c r="I1661" s="9582" t="s">
        <v>144</v>
      </c>
      <c r="J1661" s="9583"/>
      <c r="K1661" s="492" t="s">
        <v>154</v>
      </c>
      <c r="L1661" s="5714"/>
      <c r="M1661" s="5863"/>
      <c r="N1661" s="5859"/>
      <c r="O1661" s="5722"/>
      <c r="P1661" s="5864"/>
      <c r="Q1661" s="5717"/>
      <c r="R1661" s="276"/>
      <c r="S1661" s="276"/>
      <c r="T1661" s="309"/>
      <c r="U1661" s="547"/>
      <c r="V1661" s="547"/>
      <c r="W1661" s="548"/>
      <c r="X1661" s="277"/>
      <c r="Y1661" s="277"/>
      <c r="Z1661" s="187"/>
    </row>
    <row r="1662" spans="1:28" ht="20.100000000000001" customHeight="1">
      <c r="A1662" s="11"/>
      <c r="B1662" s="1360"/>
      <c r="C1662" s="5598"/>
      <c r="D1662" s="9598" t="s">
        <v>631</v>
      </c>
      <c r="E1662" s="9600"/>
      <c r="F1662" s="285" t="s">
        <v>156</v>
      </c>
      <c r="G1662" s="666"/>
      <c r="H1662" s="684"/>
      <c r="I1662" s="9582" t="s">
        <v>147</v>
      </c>
      <c r="J1662" s="9583"/>
      <c r="K1662" s="492" t="s">
        <v>154</v>
      </c>
      <c r="L1662" s="5714">
        <f>Indonesia!V327</f>
        <v>0</v>
      </c>
      <c r="M1662" s="5863"/>
      <c r="N1662" s="5859">
        <f>Indonesia!X327</f>
        <v>0</v>
      </c>
      <c r="O1662" s="5722"/>
      <c r="P1662" s="5864">
        <f>Indonesia!Z327</f>
        <v>0</v>
      </c>
      <c r="Q1662" s="5717"/>
      <c r="R1662" s="276"/>
      <c r="S1662" s="276"/>
      <c r="T1662" s="309"/>
      <c r="U1662" s="547"/>
      <c r="V1662" s="547"/>
      <c r="W1662" s="548"/>
      <c r="X1662" s="277"/>
      <c r="Y1662" s="277"/>
      <c r="Z1662" s="187"/>
    </row>
    <row r="1663" spans="1:28" ht="20.100000000000001" customHeight="1">
      <c r="A1663" s="11"/>
      <c r="B1663" s="1360"/>
      <c r="C1663" s="5598"/>
      <c r="D1663" s="9598" t="s">
        <v>633</v>
      </c>
      <c r="E1663" s="9600"/>
      <c r="F1663" s="285" t="s">
        <v>156</v>
      </c>
      <c r="G1663" s="666"/>
      <c r="H1663" s="684"/>
      <c r="I1663" s="9582" t="s">
        <v>150</v>
      </c>
      <c r="J1663" s="9583"/>
      <c r="K1663" s="492" t="s">
        <v>154</v>
      </c>
      <c r="L1663" s="5714">
        <v>0</v>
      </c>
      <c r="M1663" s="5863"/>
      <c r="N1663" s="5859">
        <v>0</v>
      </c>
      <c r="O1663" s="5722"/>
      <c r="P1663" s="6482">
        <v>0.01</v>
      </c>
      <c r="Q1663" s="5717"/>
      <c r="R1663" s="276"/>
      <c r="S1663" s="276"/>
      <c r="T1663" s="309"/>
      <c r="U1663" s="547"/>
      <c r="V1663" s="547"/>
      <c r="W1663" s="548"/>
      <c r="X1663" s="277"/>
      <c r="Y1663" s="277"/>
      <c r="Z1663" s="187"/>
    </row>
    <row r="1664" spans="1:28" ht="20.100000000000001" customHeight="1">
      <c r="A1664" s="11"/>
      <c r="B1664" s="1360"/>
      <c r="C1664" s="1357"/>
      <c r="D1664" s="9584" t="s">
        <v>1242</v>
      </c>
      <c r="E1664" s="9585"/>
      <c r="F1664" s="492" t="s">
        <v>154</v>
      </c>
      <c r="G1664" s="386"/>
      <c r="H1664" s="141"/>
      <c r="I1664" s="9584" t="s">
        <v>1243</v>
      </c>
      <c r="J1664" s="9585"/>
      <c r="K1664" s="132" t="s">
        <v>154</v>
      </c>
      <c r="L1664" s="5968" t="str">
        <f>IF(COUNTBLANK(L1665:L1670)&gt;0,"미취합법인有",AVERAGE(L1665:L1670))</f>
        <v>미취합법인有</v>
      </c>
      <c r="M1664" s="5657"/>
      <c r="N1664" s="5654" t="str">
        <f>IF(COUNTBLANK(N1665:N1670)&gt;0,"미취합법인有",AVERAGE(N1665:N1670))</f>
        <v>미취합법인有</v>
      </c>
      <c r="O1664" s="5945"/>
      <c r="P1664" s="5781" t="str">
        <f>IF(COUNTBLANK(P1665:P1670)&gt;0,"미취합법인有",AVERAGE(P1665:P1670))</f>
        <v>미취합법인有</v>
      </c>
      <c r="Q1664" s="785"/>
      <c r="R1664" s="276"/>
      <c r="S1664" s="276"/>
      <c r="T1664" s="109" t="s">
        <v>206</v>
      </c>
      <c r="U1664" s="547"/>
      <c r="V1664" s="547"/>
      <c r="W1664" s="109"/>
      <c r="X1664" s="896" t="s">
        <v>1244</v>
      </c>
      <c r="Y1664" s="694"/>
      <c r="Z1664" s="957" t="s">
        <v>1245</v>
      </c>
    </row>
    <row r="1665" spans="1:27" ht="20.100000000000001" customHeight="1">
      <c r="A1665" s="11"/>
      <c r="B1665" s="1360"/>
      <c r="C1665" s="5598"/>
      <c r="D1665" s="9598" t="s">
        <v>134</v>
      </c>
      <c r="E1665" s="9600"/>
      <c r="F1665" s="285" t="s">
        <v>156</v>
      </c>
      <c r="G1665" s="666"/>
      <c r="H1665" s="684"/>
      <c r="I1665" s="9579" t="s">
        <v>135</v>
      </c>
      <c r="J1665" s="9581"/>
      <c r="K1665" s="492" t="s">
        <v>154</v>
      </c>
      <c r="L1665" s="5714"/>
      <c r="M1665" s="5863"/>
      <c r="N1665" s="5859"/>
      <c r="O1665" s="5722"/>
      <c r="P1665" s="5864"/>
      <c r="Q1665" s="5717"/>
      <c r="R1665" s="276"/>
      <c r="S1665" s="276"/>
      <c r="T1665" s="309"/>
      <c r="U1665" s="547"/>
      <c r="V1665" s="547"/>
      <c r="W1665" s="548"/>
      <c r="X1665" s="277"/>
      <c r="Y1665" s="277"/>
      <c r="Z1665" s="187"/>
    </row>
    <row r="1666" spans="1:27" ht="20.100000000000001" customHeight="1">
      <c r="A1666" s="11"/>
      <c r="B1666" s="1360"/>
      <c r="C1666" s="5598"/>
      <c r="D1666" s="9598" t="s">
        <v>137</v>
      </c>
      <c r="E1666" s="9600"/>
      <c r="F1666" s="285" t="s">
        <v>156</v>
      </c>
      <c r="G1666" s="666"/>
      <c r="H1666" s="684"/>
      <c r="I1666" s="9579" t="s">
        <v>138</v>
      </c>
      <c r="J1666" s="9581"/>
      <c r="K1666" s="492" t="s">
        <v>154</v>
      </c>
      <c r="L1666" s="5709"/>
      <c r="M1666" s="5865"/>
      <c r="N1666" s="5861"/>
      <c r="O1666" s="5862"/>
      <c r="P1666" s="5866"/>
      <c r="Q1666" s="5717"/>
      <c r="R1666" s="276"/>
      <c r="S1666" s="276"/>
      <c r="T1666" s="309"/>
      <c r="U1666" s="547"/>
      <c r="V1666" s="547"/>
      <c r="W1666" s="548"/>
      <c r="X1666" s="277"/>
      <c r="Y1666" s="277"/>
      <c r="Z1666" s="187"/>
    </row>
    <row r="1667" spans="1:27" ht="20.100000000000001" customHeight="1">
      <c r="A1667" s="11"/>
      <c r="B1667" s="1360"/>
      <c r="C1667" s="5598"/>
      <c r="D1667" s="9598" t="s">
        <v>140</v>
      </c>
      <c r="E1667" s="9600"/>
      <c r="F1667" s="285" t="s">
        <v>156</v>
      </c>
      <c r="G1667" s="666"/>
      <c r="H1667" s="684"/>
      <c r="I1667" s="9582" t="s">
        <v>141</v>
      </c>
      <c r="J1667" s="9583"/>
      <c r="K1667" s="492" t="s">
        <v>154</v>
      </c>
      <c r="L1667" s="5714">
        <f>China!AO329</f>
        <v>0</v>
      </c>
      <c r="M1667" s="5863"/>
      <c r="N1667" s="5859">
        <f>China!AQ329</f>
        <v>0</v>
      </c>
      <c r="O1667" s="5722"/>
      <c r="P1667" s="5864">
        <f>China!AS329</f>
        <v>0</v>
      </c>
      <c r="Q1667" s="5717"/>
      <c r="R1667" s="2483"/>
      <c r="S1667" s="544"/>
      <c r="T1667" s="545"/>
      <c r="U1667" s="546"/>
      <c r="V1667" s="547"/>
      <c r="W1667" s="548"/>
      <c r="X1667" s="277"/>
      <c r="Y1667" s="277"/>
      <c r="Z1667" s="187"/>
    </row>
    <row r="1668" spans="1:27" ht="20.100000000000001" customHeight="1">
      <c r="A1668" s="11"/>
      <c r="B1668" s="1360"/>
      <c r="C1668" s="614"/>
      <c r="D1668" s="9598" t="s">
        <v>143</v>
      </c>
      <c r="E1668" s="9600"/>
      <c r="F1668" s="285" t="s">
        <v>156</v>
      </c>
      <c r="G1668" s="666"/>
      <c r="H1668" s="684"/>
      <c r="I1668" s="9582" t="s">
        <v>144</v>
      </c>
      <c r="J1668" s="9583"/>
      <c r="K1668" s="492" t="s">
        <v>154</v>
      </c>
      <c r="L1668" s="5714"/>
      <c r="M1668" s="5863"/>
      <c r="N1668" s="5859"/>
      <c r="O1668" s="5722"/>
      <c r="P1668" s="5864"/>
      <c r="Q1668" s="5717"/>
      <c r="R1668" s="2483"/>
      <c r="S1668" s="544"/>
      <c r="T1668" s="545"/>
      <c r="U1668" s="546"/>
      <c r="V1668" s="547"/>
      <c r="W1668" s="548"/>
      <c r="X1668" s="277"/>
      <c r="Y1668" s="277"/>
      <c r="Z1668" s="187"/>
    </row>
    <row r="1669" spans="1:27" ht="20.100000000000001" customHeight="1">
      <c r="A1669" s="11"/>
      <c r="B1669" s="1360"/>
      <c r="C1669" s="5598"/>
      <c r="D1669" s="9598" t="s">
        <v>631</v>
      </c>
      <c r="E1669" s="9600"/>
      <c r="F1669" s="285" t="s">
        <v>156</v>
      </c>
      <c r="G1669" s="666"/>
      <c r="H1669" s="684"/>
      <c r="I1669" s="9582" t="s">
        <v>147</v>
      </c>
      <c r="J1669" s="9583"/>
      <c r="K1669" s="492" t="s">
        <v>154</v>
      </c>
      <c r="L1669" s="5714"/>
      <c r="M1669" s="5863"/>
      <c r="N1669" s="5859"/>
      <c r="O1669" s="5722"/>
      <c r="P1669" s="5864"/>
      <c r="Q1669" s="5717"/>
      <c r="R1669" s="2483"/>
      <c r="S1669" s="544"/>
      <c r="T1669" s="545"/>
      <c r="U1669" s="546"/>
      <c r="V1669" s="547"/>
      <c r="W1669" s="548"/>
      <c r="X1669" s="277"/>
      <c r="Y1669" s="277"/>
      <c r="Z1669" s="187"/>
    </row>
    <row r="1670" spans="1:27" ht="20.100000000000001" customHeight="1">
      <c r="A1670" s="11"/>
      <c r="B1670" s="1360"/>
      <c r="C1670" s="5598"/>
      <c r="D1670" s="9598" t="s">
        <v>633</v>
      </c>
      <c r="E1670" s="9600"/>
      <c r="F1670" s="285" t="s">
        <v>156</v>
      </c>
      <c r="G1670" s="666"/>
      <c r="H1670" s="684"/>
      <c r="I1670" s="9582" t="s">
        <v>150</v>
      </c>
      <c r="J1670" s="9583"/>
      <c r="K1670" s="492" t="s">
        <v>154</v>
      </c>
      <c r="L1670" s="5714" t="s">
        <v>168</v>
      </c>
      <c r="M1670" s="5863"/>
      <c r="N1670" s="5859" t="s">
        <v>168</v>
      </c>
      <c r="O1670" s="5722"/>
      <c r="P1670" s="5864" t="s">
        <v>168</v>
      </c>
      <c r="Q1670" s="5717"/>
      <c r="R1670" s="2483"/>
      <c r="S1670" s="544"/>
      <c r="T1670" s="545"/>
      <c r="U1670" s="546"/>
      <c r="V1670" s="547"/>
      <c r="W1670" s="548"/>
      <c r="X1670" s="277"/>
      <c r="Y1670" s="277"/>
      <c r="Z1670" s="187"/>
    </row>
    <row r="1671" spans="1:27" ht="20.100000000000001" customHeight="1">
      <c r="A1671" s="11"/>
      <c r="B1671" s="1360"/>
      <c r="C1671" s="1357"/>
      <c r="D1671" s="9584" t="s">
        <v>1246</v>
      </c>
      <c r="E1671" s="9585"/>
      <c r="F1671" s="132" t="s">
        <v>154</v>
      </c>
      <c r="G1671" s="386"/>
      <c r="H1671" s="141"/>
      <c r="I1671" s="9584" t="s">
        <v>1247</v>
      </c>
      <c r="J1671" s="9585"/>
      <c r="K1671" s="132" t="s">
        <v>154</v>
      </c>
      <c r="L1671" s="5968" t="str">
        <f>IF(COUNTBLANK(L1672:L1677)&gt;0,"미취합법인有",AVERAGE(L1672:L1677))</f>
        <v>미취합법인有</v>
      </c>
      <c r="M1671" s="5657"/>
      <c r="N1671" s="5654" t="str">
        <f>IF(COUNTBLANK(N1672:N1677)&gt;0,"미취합법인有",AVERAGE(N1672:N1677))</f>
        <v>미취합법인有</v>
      </c>
      <c r="O1671" s="5945"/>
      <c r="P1671" s="5781" t="str">
        <f>IF(COUNTBLANK(P1672:P1677)&gt;0,"미취합법인有",AVERAGE(P1672:P1677))</f>
        <v>미취합법인有</v>
      </c>
      <c r="Q1671" s="785"/>
      <c r="R1671" s="2468"/>
      <c r="S1671" s="276"/>
      <c r="T1671" s="109" t="s">
        <v>206</v>
      </c>
      <c r="U1671" s="547"/>
      <c r="V1671" s="547"/>
      <c r="W1671" s="109"/>
      <c r="X1671" s="896" t="s">
        <v>1240</v>
      </c>
      <c r="Y1671" s="694"/>
      <c r="Z1671" s="957" t="s">
        <v>1245</v>
      </c>
    </row>
    <row r="1672" spans="1:27" ht="20.100000000000001" customHeight="1">
      <c r="A1672" s="11"/>
      <c r="B1672" s="1360"/>
      <c r="C1672" s="5598"/>
      <c r="D1672" s="9598" t="s">
        <v>134</v>
      </c>
      <c r="E1672" s="9600"/>
      <c r="F1672" s="285" t="s">
        <v>156</v>
      </c>
      <c r="G1672" s="666"/>
      <c r="H1672" s="684"/>
      <c r="I1672" s="9579" t="s">
        <v>135</v>
      </c>
      <c r="J1672" s="9581"/>
      <c r="K1672" s="492" t="s">
        <v>154</v>
      </c>
      <c r="L1672" s="5714">
        <v>1.9</v>
      </c>
      <c r="M1672" s="5863"/>
      <c r="N1672" s="5859">
        <v>1.6</v>
      </c>
      <c r="O1672" s="5722"/>
      <c r="P1672" s="5864">
        <v>0.06</v>
      </c>
      <c r="Q1672" s="5860"/>
      <c r="R1672" s="2483"/>
      <c r="S1672" s="544"/>
      <c r="T1672" s="545"/>
      <c r="U1672" s="546"/>
      <c r="V1672" s="547"/>
      <c r="W1672" s="548"/>
      <c r="X1672" s="277"/>
      <c r="Y1672" s="277"/>
      <c r="Z1672" s="187"/>
    </row>
    <row r="1673" spans="1:27" ht="20.100000000000001" customHeight="1">
      <c r="A1673" s="11"/>
      <c r="B1673" s="1360"/>
      <c r="C1673" s="5598"/>
      <c r="D1673" s="9598" t="s">
        <v>137</v>
      </c>
      <c r="E1673" s="9600"/>
      <c r="F1673" s="285" t="s">
        <v>156</v>
      </c>
      <c r="G1673" s="666"/>
      <c r="H1673" s="684"/>
      <c r="I1673" s="9579" t="s">
        <v>138</v>
      </c>
      <c r="J1673" s="9581"/>
      <c r="K1673" s="492" t="s">
        <v>154</v>
      </c>
      <c r="L1673" s="5709"/>
      <c r="M1673" s="5865"/>
      <c r="N1673" s="5861"/>
      <c r="O1673" s="5862"/>
      <c r="P1673" s="5866"/>
      <c r="Q1673" s="5717"/>
      <c r="R1673" s="2483"/>
      <c r="S1673" s="544"/>
      <c r="T1673" s="545"/>
      <c r="U1673" s="546"/>
      <c r="V1673" s="547"/>
      <c r="W1673" s="548"/>
      <c r="X1673" s="277"/>
      <c r="Y1673" s="277"/>
      <c r="Z1673" s="187"/>
    </row>
    <row r="1674" spans="1:27" ht="20.100000000000001" customHeight="1">
      <c r="A1674" s="11"/>
      <c r="B1674" s="1360"/>
      <c r="C1674" s="5598"/>
      <c r="D1674" s="9598" t="s">
        <v>140</v>
      </c>
      <c r="E1674" s="9600"/>
      <c r="F1674" s="285" t="s">
        <v>156</v>
      </c>
      <c r="G1674" s="666"/>
      <c r="H1674" s="684"/>
      <c r="I1674" s="9582" t="s">
        <v>141</v>
      </c>
      <c r="J1674" s="9583"/>
      <c r="K1674" s="492" t="s">
        <v>154</v>
      </c>
      <c r="L1674" s="5714"/>
      <c r="M1674" s="5863"/>
      <c r="N1674" s="5859"/>
      <c r="O1674" s="5722"/>
      <c r="P1674" s="5864"/>
      <c r="Q1674" s="5717"/>
      <c r="R1674" s="2483"/>
      <c r="S1674" s="544"/>
      <c r="T1674" s="545"/>
      <c r="U1674" s="546"/>
      <c r="V1674" s="547"/>
      <c r="W1674" s="548"/>
      <c r="X1674" s="277"/>
      <c r="Y1674" s="277"/>
      <c r="Z1674" s="187"/>
    </row>
    <row r="1675" spans="1:27" ht="20.100000000000001" customHeight="1">
      <c r="A1675" s="11"/>
      <c r="B1675" s="1360"/>
      <c r="C1675" s="614"/>
      <c r="D1675" s="9598" t="s">
        <v>143</v>
      </c>
      <c r="E1675" s="9600"/>
      <c r="F1675" s="285" t="s">
        <v>156</v>
      </c>
      <c r="G1675" s="666"/>
      <c r="H1675" s="684"/>
      <c r="I1675" s="9582" t="s">
        <v>144</v>
      </c>
      <c r="J1675" s="9583"/>
      <c r="K1675" s="492" t="s">
        <v>154</v>
      </c>
      <c r="L1675" s="5714"/>
      <c r="M1675" s="5863"/>
      <c r="N1675" s="5859"/>
      <c r="O1675" s="5722"/>
      <c r="P1675" s="5864"/>
      <c r="Q1675" s="5717"/>
      <c r="R1675" s="2483"/>
      <c r="S1675" s="544"/>
      <c r="T1675" s="545"/>
      <c r="U1675" s="546"/>
      <c r="V1675" s="547"/>
      <c r="W1675" s="548"/>
      <c r="X1675" s="277"/>
      <c r="Y1675" s="277"/>
      <c r="Z1675" s="187"/>
    </row>
    <row r="1676" spans="1:27" ht="20.100000000000001" customHeight="1">
      <c r="A1676" s="11"/>
      <c r="B1676" s="1360"/>
      <c r="C1676" s="5598"/>
      <c r="D1676" s="9598" t="s">
        <v>631</v>
      </c>
      <c r="E1676" s="9600"/>
      <c r="F1676" s="285" t="s">
        <v>156</v>
      </c>
      <c r="G1676" s="666"/>
      <c r="H1676" s="684"/>
      <c r="I1676" s="9582" t="s">
        <v>147</v>
      </c>
      <c r="J1676" s="9583"/>
      <c r="K1676" s="492" t="s">
        <v>154</v>
      </c>
      <c r="L1676" s="5714">
        <v>26.25</v>
      </c>
      <c r="M1676" s="5863"/>
      <c r="N1676" s="5859">
        <v>50.89</v>
      </c>
      <c r="O1676" s="5722"/>
      <c r="P1676" s="5864">
        <v>24.27</v>
      </c>
      <c r="Q1676" s="5860"/>
      <c r="R1676" s="2483"/>
      <c r="S1676" s="544"/>
      <c r="T1676" s="545"/>
      <c r="U1676" s="546"/>
      <c r="V1676" s="547"/>
      <c r="W1676" s="548"/>
      <c r="X1676" s="277"/>
      <c r="Y1676" s="277"/>
      <c r="Z1676" s="187"/>
    </row>
    <row r="1677" spans="1:27" ht="20.100000000000001" customHeight="1">
      <c r="A1677" s="11"/>
      <c r="B1677" s="1360"/>
      <c r="C1677" s="5598"/>
      <c r="D1677" s="9598" t="s">
        <v>633</v>
      </c>
      <c r="E1677" s="9600"/>
      <c r="F1677" s="285" t="s">
        <v>156</v>
      </c>
      <c r="G1677" s="666"/>
      <c r="H1677" s="684"/>
      <c r="I1677" s="9582" t="s">
        <v>150</v>
      </c>
      <c r="J1677" s="9583"/>
      <c r="K1677" s="492" t="s">
        <v>154</v>
      </c>
      <c r="L1677" s="5714"/>
      <c r="M1677" s="5863"/>
      <c r="N1677" s="5859"/>
      <c r="O1677" s="5863"/>
      <c r="P1677" s="5859"/>
      <c r="Q1677" s="5717"/>
      <c r="R1677" s="2483"/>
      <c r="S1677" s="544"/>
      <c r="T1677" s="545"/>
      <c r="U1677" s="546"/>
      <c r="V1677" s="547"/>
      <c r="W1677" s="548"/>
      <c r="X1677" s="277"/>
      <c r="Y1677" s="277"/>
      <c r="Z1677" s="187"/>
    </row>
    <row r="1678" spans="1:27" s="139" customFormat="1" ht="20.100000000000001" customHeight="1">
      <c r="A1678" s="11"/>
      <c r="B1678" s="1360"/>
      <c r="C1678" s="1386"/>
      <c r="D1678" s="9584" t="s">
        <v>1248</v>
      </c>
      <c r="E1678" s="9585"/>
      <c r="F1678" s="132" t="s">
        <v>154</v>
      </c>
      <c r="G1678" s="386"/>
      <c r="H1678" s="141"/>
      <c r="I1678" s="9584" t="s">
        <v>1249</v>
      </c>
      <c r="J1678" s="9585"/>
      <c r="K1678" s="132" t="s">
        <v>154</v>
      </c>
      <c r="L1678" s="5968" t="str">
        <f>IF(COUNTBLANK(L1679:L1684)&gt;0,"미취합법인有",AVERAGE(L1679:L1684))</f>
        <v>미취합법인有</v>
      </c>
      <c r="M1678" s="5657"/>
      <c r="N1678" s="5654" t="str">
        <f>IF(COUNTBLANK(N1679:N1684)&gt;0,"미취합법인有",AVERAGE(N1679:N1684))</f>
        <v>미취합법인有</v>
      </c>
      <c r="O1678" s="5663"/>
      <c r="P1678" s="5781" t="str">
        <f>IF(COUNTBLANK(P1679:P1684)&gt;0,"미취합법인有",AVERAGE(P1679:P1684))</f>
        <v>미취합법인有</v>
      </c>
      <c r="Q1678" s="785"/>
      <c r="R1678" s="2468"/>
      <c r="S1678" s="276"/>
      <c r="T1678" s="109" t="s">
        <v>206</v>
      </c>
      <c r="U1678" s="547"/>
      <c r="V1678" s="547"/>
      <c r="W1678" s="109"/>
      <c r="X1678" s="896" t="s">
        <v>1244</v>
      </c>
      <c r="Y1678" s="694"/>
      <c r="Z1678" s="957" t="s">
        <v>1241</v>
      </c>
      <c r="AA1678" s="6301"/>
    </row>
    <row r="1679" spans="1:27" ht="20.100000000000001" customHeight="1">
      <c r="A1679" s="11"/>
      <c r="B1679" s="1360"/>
      <c r="C1679" s="5598"/>
      <c r="D1679" s="9598" t="s">
        <v>134</v>
      </c>
      <c r="E1679" s="9600"/>
      <c r="F1679" s="285" t="s">
        <v>156</v>
      </c>
      <c r="G1679" s="666"/>
      <c r="H1679" s="684"/>
      <c r="I1679" s="9579" t="s">
        <v>135</v>
      </c>
      <c r="J1679" s="9581"/>
      <c r="K1679" s="492" t="s">
        <v>154</v>
      </c>
      <c r="L1679" s="5714"/>
      <c r="M1679" s="5863"/>
      <c r="N1679" s="5859"/>
      <c r="O1679" s="5722"/>
      <c r="P1679" s="5864"/>
      <c r="Q1679" s="5717"/>
      <c r="R1679" s="2483"/>
      <c r="S1679" s="544"/>
      <c r="T1679" s="545"/>
      <c r="U1679" s="546"/>
      <c r="V1679" s="547"/>
      <c r="W1679" s="548"/>
      <c r="X1679" s="277"/>
      <c r="Y1679" s="277"/>
      <c r="Z1679" s="187"/>
    </row>
    <row r="1680" spans="1:27" ht="20.100000000000001" customHeight="1">
      <c r="A1680" s="11"/>
      <c r="B1680" s="1360"/>
      <c r="C1680" s="5598"/>
      <c r="D1680" s="9598" t="s">
        <v>137</v>
      </c>
      <c r="E1680" s="9600"/>
      <c r="F1680" s="285" t="s">
        <v>156</v>
      </c>
      <c r="G1680" s="666"/>
      <c r="H1680" s="684"/>
      <c r="I1680" s="9579" t="s">
        <v>138</v>
      </c>
      <c r="J1680" s="9581"/>
      <c r="K1680" s="492" t="s">
        <v>154</v>
      </c>
      <c r="L1680" s="5709"/>
      <c r="M1680" s="5865"/>
      <c r="N1680" s="5861"/>
      <c r="O1680" s="5862"/>
      <c r="P1680" s="5866"/>
      <c r="Q1680" s="5717"/>
      <c r="R1680" s="2483"/>
      <c r="S1680" s="544"/>
      <c r="T1680" s="545"/>
      <c r="U1680" s="546"/>
      <c r="V1680" s="547"/>
      <c r="W1680" s="548"/>
      <c r="X1680" s="277"/>
      <c r="Y1680" s="277"/>
      <c r="Z1680" s="187"/>
    </row>
    <row r="1681" spans="2:60" s="11" customFormat="1" ht="20.100000000000001" customHeight="1">
      <c r="B1681" s="1360"/>
      <c r="C1681" s="5598"/>
      <c r="D1681" s="9598" t="s">
        <v>140</v>
      </c>
      <c r="E1681" s="9600"/>
      <c r="F1681" s="285" t="s">
        <v>156</v>
      </c>
      <c r="G1681" s="666"/>
      <c r="H1681" s="684"/>
      <c r="I1681" s="9582" t="s">
        <v>141</v>
      </c>
      <c r="J1681" s="9583"/>
      <c r="K1681" s="492" t="s">
        <v>154</v>
      </c>
      <c r="L1681" s="5714"/>
      <c r="M1681" s="5863"/>
      <c r="N1681" s="5859"/>
      <c r="O1681" s="5722"/>
      <c r="P1681" s="5864"/>
      <c r="Q1681" s="5717"/>
      <c r="R1681" s="2483"/>
      <c r="S1681" s="544"/>
      <c r="T1681" s="545"/>
      <c r="U1681" s="546"/>
      <c r="V1681" s="547"/>
      <c r="W1681" s="548"/>
      <c r="X1681" s="277"/>
      <c r="Y1681" s="277"/>
      <c r="Z1681" s="187"/>
      <c r="AA1681" s="6301"/>
      <c r="AB1681" s="139"/>
      <c r="AC1681" s="139"/>
      <c r="AD1681" s="139"/>
      <c r="AE1681" s="139"/>
      <c r="AF1681" s="139"/>
      <c r="AG1681" s="139"/>
      <c r="AH1681" s="139"/>
      <c r="AI1681" s="139"/>
      <c r="AJ1681" s="139"/>
      <c r="AK1681" s="139"/>
      <c r="AL1681" s="139"/>
      <c r="AM1681" s="139"/>
      <c r="AN1681" s="139"/>
      <c r="AO1681" s="139"/>
      <c r="AP1681" s="139"/>
      <c r="AQ1681" s="139"/>
      <c r="AR1681" s="139"/>
      <c r="AS1681" s="139"/>
      <c r="AT1681" s="139"/>
      <c r="AU1681" s="139"/>
      <c r="AV1681" s="139"/>
      <c r="AW1681" s="139"/>
      <c r="AX1681" s="139"/>
      <c r="AY1681" s="139"/>
      <c r="AZ1681" s="139"/>
      <c r="BA1681" s="139"/>
      <c r="BB1681" s="139"/>
      <c r="BC1681" s="139"/>
      <c r="BD1681" s="139"/>
      <c r="BE1681" s="139"/>
      <c r="BF1681" s="139"/>
      <c r="BG1681" s="139"/>
      <c r="BH1681" s="139"/>
    </row>
    <row r="1682" spans="2:60" s="11" customFormat="1" ht="20.100000000000001" customHeight="1">
      <c r="B1682" s="1360"/>
      <c r="C1682" s="614"/>
      <c r="D1682" s="9598" t="s">
        <v>143</v>
      </c>
      <c r="E1682" s="9600"/>
      <c r="F1682" s="285" t="s">
        <v>156</v>
      </c>
      <c r="G1682" s="666"/>
      <c r="H1682" s="684"/>
      <c r="I1682" s="9582" t="s">
        <v>144</v>
      </c>
      <c r="J1682" s="9583"/>
      <c r="K1682" s="492" t="s">
        <v>154</v>
      </c>
      <c r="L1682" s="5714"/>
      <c r="M1682" s="5863"/>
      <c r="N1682" s="5859"/>
      <c r="O1682" s="5722"/>
      <c r="P1682" s="5864"/>
      <c r="Q1682" s="5717"/>
      <c r="R1682" s="2483"/>
      <c r="S1682" s="544"/>
      <c r="T1682" s="545"/>
      <c r="U1682" s="546"/>
      <c r="V1682" s="547"/>
      <c r="W1682" s="548"/>
      <c r="X1682" s="277"/>
      <c r="Y1682" s="277"/>
      <c r="Z1682" s="187"/>
      <c r="AA1682" s="6301"/>
      <c r="AB1682" s="139"/>
      <c r="AC1682" s="139"/>
      <c r="AD1682" s="139"/>
      <c r="AE1682" s="139"/>
      <c r="AF1682" s="139"/>
      <c r="AG1682" s="139"/>
      <c r="AH1682" s="139"/>
      <c r="AI1682" s="139"/>
      <c r="AJ1682" s="139"/>
      <c r="AK1682" s="139"/>
      <c r="AL1682" s="139"/>
      <c r="AM1682" s="139"/>
      <c r="AN1682" s="139"/>
      <c r="AO1682" s="139"/>
      <c r="AP1682" s="139"/>
      <c r="AQ1682" s="139"/>
      <c r="AR1682" s="139"/>
      <c r="AS1682" s="139"/>
      <c r="AT1682" s="139"/>
      <c r="AU1682" s="139"/>
      <c r="AV1682" s="139"/>
      <c r="AW1682" s="139"/>
      <c r="AX1682" s="139"/>
      <c r="AY1682" s="139"/>
      <c r="AZ1682" s="139"/>
      <c r="BA1682" s="139"/>
      <c r="BB1682" s="139"/>
      <c r="BC1682" s="139"/>
      <c r="BD1682" s="139"/>
      <c r="BE1682" s="139"/>
      <c r="BF1682" s="139"/>
      <c r="BG1682" s="139"/>
      <c r="BH1682" s="139"/>
    </row>
    <row r="1683" spans="2:60" s="11" customFormat="1" ht="20.100000000000001" customHeight="1">
      <c r="B1683" s="1360"/>
      <c r="C1683" s="5598"/>
      <c r="D1683" s="9598" t="s">
        <v>631</v>
      </c>
      <c r="E1683" s="9600"/>
      <c r="F1683" s="285" t="s">
        <v>156</v>
      </c>
      <c r="G1683" s="666"/>
      <c r="H1683" s="684"/>
      <c r="I1683" s="9582" t="s">
        <v>147</v>
      </c>
      <c r="J1683" s="9583"/>
      <c r="K1683" s="492" t="s">
        <v>154</v>
      </c>
      <c r="L1683" s="5714"/>
      <c r="M1683" s="5863"/>
      <c r="N1683" s="5859"/>
      <c r="O1683" s="5722"/>
      <c r="P1683" s="5864"/>
      <c r="Q1683" s="5717"/>
      <c r="R1683" s="2483"/>
      <c r="S1683" s="544"/>
      <c r="T1683" s="545"/>
      <c r="U1683" s="546"/>
      <c r="V1683" s="547"/>
      <c r="W1683" s="548"/>
      <c r="X1683" s="277"/>
      <c r="Y1683" s="277"/>
      <c r="Z1683" s="187"/>
      <c r="AA1683" s="6301"/>
      <c r="AB1683" s="139"/>
      <c r="AC1683" s="139"/>
      <c r="AD1683" s="139"/>
      <c r="AE1683" s="139"/>
      <c r="AF1683" s="139"/>
      <c r="AG1683" s="139"/>
      <c r="AH1683" s="139"/>
      <c r="AI1683" s="139"/>
      <c r="AJ1683" s="139"/>
      <c r="AK1683" s="139"/>
      <c r="AL1683" s="139"/>
      <c r="AM1683" s="139"/>
      <c r="AN1683" s="139"/>
      <c r="AO1683" s="139"/>
      <c r="AP1683" s="139"/>
      <c r="AQ1683" s="139"/>
      <c r="AR1683" s="139"/>
      <c r="AS1683" s="139"/>
      <c r="AT1683" s="139"/>
      <c r="AU1683" s="139"/>
      <c r="AV1683" s="139"/>
      <c r="AW1683" s="139"/>
      <c r="AX1683" s="139"/>
      <c r="AY1683" s="139"/>
      <c r="AZ1683" s="139"/>
      <c r="BA1683" s="139"/>
      <c r="BB1683" s="139"/>
      <c r="BC1683" s="139"/>
      <c r="BD1683" s="139"/>
      <c r="BE1683" s="139"/>
      <c r="BF1683" s="139"/>
      <c r="BG1683" s="139"/>
      <c r="BH1683" s="139"/>
    </row>
    <row r="1684" spans="2:60" s="11" customFormat="1" ht="20.100000000000001" customHeight="1">
      <c r="B1684" s="1360"/>
      <c r="C1684" s="5598"/>
      <c r="D1684" s="9598" t="s">
        <v>633</v>
      </c>
      <c r="E1684" s="9600"/>
      <c r="F1684" s="285" t="s">
        <v>156</v>
      </c>
      <c r="G1684" s="666"/>
      <c r="H1684" s="684"/>
      <c r="I1684" s="9582" t="s">
        <v>150</v>
      </c>
      <c r="J1684" s="9583"/>
      <c r="K1684" s="492" t="s">
        <v>154</v>
      </c>
      <c r="L1684" s="5714"/>
      <c r="M1684" s="5863"/>
      <c r="N1684" s="5859"/>
      <c r="O1684" s="5863"/>
      <c r="P1684" s="5859"/>
      <c r="Q1684" s="5717"/>
      <c r="R1684" s="2483"/>
      <c r="S1684" s="544"/>
      <c r="T1684" s="545"/>
      <c r="U1684" s="546"/>
      <c r="V1684" s="547"/>
      <c r="W1684" s="548"/>
      <c r="X1684" s="277"/>
      <c r="Y1684" s="277"/>
      <c r="Z1684" s="187"/>
      <c r="AA1684" s="6301"/>
      <c r="AB1684" s="139"/>
      <c r="AC1684" s="139"/>
      <c r="AD1684" s="139"/>
      <c r="AE1684" s="139"/>
      <c r="AF1684" s="139"/>
      <c r="AG1684" s="139"/>
      <c r="AH1684" s="139"/>
      <c r="AI1684" s="139"/>
      <c r="AJ1684" s="139"/>
      <c r="AK1684" s="139"/>
      <c r="AL1684" s="139"/>
      <c r="AM1684" s="139"/>
      <c r="AN1684" s="139"/>
      <c r="AO1684" s="139"/>
      <c r="AP1684" s="139"/>
      <c r="AQ1684" s="139"/>
      <c r="AR1684" s="139"/>
      <c r="AS1684" s="139"/>
      <c r="AT1684" s="139"/>
      <c r="AU1684" s="139"/>
      <c r="AV1684" s="139"/>
      <c r="AW1684" s="139"/>
      <c r="AX1684" s="139"/>
      <c r="AY1684" s="139"/>
      <c r="AZ1684" s="139"/>
      <c r="BA1684" s="139"/>
      <c r="BB1684" s="139"/>
      <c r="BC1684" s="139"/>
      <c r="BD1684" s="139"/>
      <c r="BE1684" s="139"/>
      <c r="BF1684" s="139"/>
      <c r="BG1684" s="139"/>
      <c r="BH1684" s="139"/>
    </row>
    <row r="1685" spans="2:60" s="11" customFormat="1" ht="20.100000000000001" customHeight="1">
      <c r="B1685" s="1360"/>
      <c r="C1685" s="9656" t="s">
        <v>1250</v>
      </c>
      <c r="D1685" s="9587"/>
      <c r="E1685" s="9588"/>
      <c r="F1685" s="132" t="s">
        <v>557</v>
      </c>
      <c r="G1685" s="777"/>
      <c r="H1685" s="9586" t="s">
        <v>1251</v>
      </c>
      <c r="I1685" s="9587"/>
      <c r="J1685" s="9588"/>
      <c r="K1685" s="105" t="s">
        <v>559</v>
      </c>
      <c r="L1685" s="5783">
        <f>IF(COUNTBLANK(L1686:L1691)&gt;0,"미취합법인有",SUM(L1686:L1691))</f>
        <v>10</v>
      </c>
      <c r="M1685" s="5657"/>
      <c r="N1685" s="5785">
        <f>IF(COUNTBLANK(N1686:N1691)&gt;0,"미취합법인有",SUM(N1686:N1691))</f>
        <v>14</v>
      </c>
      <c r="O1685" s="5663"/>
      <c r="P1685" s="5781">
        <f>IF(COUNTBLANK(P1686:P1691)&gt;0,"미취합법인有",SUM(P1686:P1691))</f>
        <v>16</v>
      </c>
      <c r="Q1685" s="785"/>
      <c r="R1685" s="2468" t="s">
        <v>1250</v>
      </c>
      <c r="S1685" s="276" t="s">
        <v>1252</v>
      </c>
      <c r="T1685" s="109" t="s">
        <v>206</v>
      </c>
      <c r="U1685" s="547"/>
      <c r="V1685" s="547"/>
      <c r="W1685" s="109"/>
      <c r="X1685" s="896" t="s">
        <v>1253</v>
      </c>
      <c r="Y1685" s="694"/>
      <c r="Z1685" s="957"/>
      <c r="AA1685" s="6301"/>
      <c r="AB1685" s="139"/>
      <c r="AC1685" s="139"/>
      <c r="AD1685" s="139"/>
      <c r="AE1685" s="139"/>
      <c r="AF1685" s="139"/>
      <c r="AG1685" s="139"/>
      <c r="AH1685" s="139"/>
      <c r="AI1685" s="139"/>
      <c r="AJ1685" s="139"/>
      <c r="AK1685" s="139"/>
      <c r="AL1685" s="139"/>
      <c r="AM1685" s="139"/>
      <c r="AN1685" s="139"/>
      <c r="AO1685" s="139"/>
      <c r="AP1685" s="139"/>
      <c r="AQ1685" s="139"/>
      <c r="AR1685" s="139"/>
      <c r="AS1685" s="139"/>
      <c r="AT1685" s="139"/>
      <c r="AU1685" s="139"/>
      <c r="AV1685" s="139"/>
      <c r="AW1685" s="139"/>
      <c r="AX1685" s="139"/>
      <c r="AY1685" s="139"/>
      <c r="AZ1685" s="139"/>
      <c r="BA1685" s="139"/>
      <c r="BB1685" s="139"/>
      <c r="BC1685" s="139"/>
      <c r="BD1685" s="139"/>
      <c r="BE1685" s="139"/>
      <c r="BF1685" s="139"/>
      <c r="BG1685" s="139"/>
      <c r="BH1685" s="139"/>
    </row>
    <row r="1686" spans="2:60" s="11" customFormat="1" ht="20.100000000000001" customHeight="1">
      <c r="B1686" s="1360"/>
      <c r="C1686" s="9647" t="s">
        <v>134</v>
      </c>
      <c r="D1686" s="9648"/>
      <c r="E1686" s="9649"/>
      <c r="F1686" s="132" t="s">
        <v>557</v>
      </c>
      <c r="G1686" s="666"/>
      <c r="H1686" s="9579" t="s">
        <v>135</v>
      </c>
      <c r="I1686" s="9580"/>
      <c r="J1686" s="9581"/>
      <c r="K1686" s="105" t="s">
        <v>559</v>
      </c>
      <c r="L1686" s="5594">
        <v>4</v>
      </c>
      <c r="M1686" s="5671" t="s">
        <v>1254</v>
      </c>
      <c r="N1686" s="5724">
        <v>5</v>
      </c>
      <c r="O1686" s="5680" t="s">
        <v>1255</v>
      </c>
      <c r="P1686" s="5854">
        <v>3</v>
      </c>
      <c r="Q1686" s="5678"/>
      <c r="R1686" s="2468"/>
      <c r="S1686" s="544"/>
      <c r="T1686" s="545"/>
      <c r="U1686" s="546"/>
      <c r="V1686" s="547"/>
      <c r="W1686" s="548"/>
      <c r="X1686" s="277"/>
      <c r="Y1686" s="277"/>
      <c r="Z1686" s="187"/>
      <c r="AA1686" s="6301"/>
      <c r="AB1686" s="139"/>
      <c r="AC1686" s="139"/>
      <c r="AD1686" s="139"/>
      <c r="AE1686" s="139"/>
      <c r="AF1686" s="139"/>
      <c r="AG1686" s="139"/>
      <c r="AH1686" s="139"/>
      <c r="AI1686" s="139"/>
      <c r="AJ1686" s="139"/>
      <c r="AK1686" s="139"/>
      <c r="AL1686" s="139"/>
      <c r="AM1686" s="139"/>
      <c r="AN1686" s="139"/>
      <c r="AO1686" s="139"/>
      <c r="AP1686" s="139"/>
      <c r="AQ1686" s="139"/>
      <c r="AR1686" s="139"/>
      <c r="AS1686" s="139"/>
      <c r="AT1686" s="139"/>
      <c r="AU1686" s="139"/>
      <c r="AV1686" s="139"/>
      <c r="AW1686" s="139"/>
      <c r="AX1686" s="139"/>
      <c r="AY1686" s="139"/>
      <c r="AZ1686" s="139"/>
      <c r="BA1686" s="139"/>
      <c r="BB1686" s="139"/>
      <c r="BC1686" s="139"/>
      <c r="BD1686" s="139"/>
      <c r="BE1686" s="139"/>
      <c r="BF1686" s="139"/>
      <c r="BG1686" s="139"/>
      <c r="BH1686" s="139"/>
    </row>
    <row r="1687" spans="2:60" s="11" customFormat="1" ht="20.100000000000001" customHeight="1">
      <c r="B1687" s="1360"/>
      <c r="C1687" s="9647" t="s">
        <v>137</v>
      </c>
      <c r="D1687" s="9648"/>
      <c r="E1687" s="9649"/>
      <c r="F1687" s="132" t="s">
        <v>557</v>
      </c>
      <c r="G1687" s="666"/>
      <c r="H1687" s="9579" t="s">
        <v>138</v>
      </c>
      <c r="I1687" s="9580"/>
      <c r="J1687" s="9581"/>
      <c r="K1687" s="105" t="s">
        <v>559</v>
      </c>
      <c r="L1687" s="5594">
        <f>'4DPLEX'!W303</f>
        <v>0</v>
      </c>
      <c r="M1687" s="5671"/>
      <c r="N1687" s="5724">
        <f>'4DPLEX'!Y303</f>
        <v>0</v>
      </c>
      <c r="O1687" s="5680"/>
      <c r="P1687" s="5725">
        <f>'4DPLEX'!AA303</f>
        <v>0</v>
      </c>
      <c r="Q1687" s="5678"/>
      <c r="R1687" s="2468"/>
      <c r="S1687" s="544"/>
      <c r="T1687" s="545"/>
      <c r="U1687" s="546"/>
      <c r="V1687" s="547"/>
      <c r="W1687" s="548"/>
      <c r="X1687" s="277"/>
      <c r="Y1687" s="277"/>
      <c r="Z1687" s="187"/>
      <c r="AA1687" s="6301"/>
      <c r="AB1687" s="139"/>
      <c r="AC1687" s="139"/>
      <c r="AD1687" s="139"/>
      <c r="AE1687" s="139"/>
      <c r="AF1687" s="139"/>
      <c r="AG1687" s="139"/>
      <c r="AH1687" s="139"/>
      <c r="AI1687" s="139"/>
      <c r="AJ1687" s="139"/>
      <c r="AK1687" s="139"/>
      <c r="AL1687" s="139"/>
      <c r="AM1687" s="139"/>
      <c r="AN1687" s="139"/>
      <c r="AO1687" s="139"/>
      <c r="AP1687" s="139"/>
      <c r="AQ1687" s="139"/>
      <c r="AR1687" s="139"/>
      <c r="AS1687" s="139"/>
      <c r="AT1687" s="139"/>
      <c r="AU1687" s="139"/>
      <c r="AV1687" s="139"/>
      <c r="AW1687" s="139"/>
      <c r="AX1687" s="139"/>
      <c r="AY1687" s="139"/>
      <c r="AZ1687" s="139"/>
      <c r="BA1687" s="139"/>
      <c r="BB1687" s="139"/>
      <c r="BC1687" s="139"/>
      <c r="BD1687" s="139"/>
      <c r="BE1687" s="139"/>
      <c r="BF1687" s="139"/>
      <c r="BG1687" s="139"/>
      <c r="BH1687" s="139"/>
    </row>
    <row r="1688" spans="2:60" s="11" customFormat="1" ht="20.100000000000001" customHeight="1">
      <c r="B1688" s="1360"/>
      <c r="C1688" s="9647" t="s">
        <v>140</v>
      </c>
      <c r="D1688" s="9648"/>
      <c r="E1688" s="9649"/>
      <c r="F1688" s="132" t="s">
        <v>557</v>
      </c>
      <c r="G1688" s="666"/>
      <c r="H1688" s="9579" t="s">
        <v>141</v>
      </c>
      <c r="I1688" s="9580"/>
      <c r="J1688" s="9581"/>
      <c r="K1688" s="105" t="s">
        <v>559</v>
      </c>
      <c r="L1688" s="5594">
        <f>China!AO332</f>
        <v>3</v>
      </c>
      <c r="M1688" s="5671" t="s">
        <v>1256</v>
      </c>
      <c r="N1688" s="5724">
        <f>China!AQ332</f>
        <v>2</v>
      </c>
      <c r="O1688" s="5680" t="s">
        <v>1257</v>
      </c>
      <c r="P1688" s="5725">
        <f>China!AS332</f>
        <v>2</v>
      </c>
      <c r="Q1688" s="5678"/>
      <c r="R1688" s="2468"/>
      <c r="S1688" s="544"/>
      <c r="T1688" s="545"/>
      <c r="U1688" s="546"/>
      <c r="V1688" s="547"/>
      <c r="W1688" s="548"/>
      <c r="X1688" s="277"/>
      <c r="Y1688" s="277"/>
      <c r="Z1688" s="187"/>
      <c r="AA1688" s="6301"/>
      <c r="AB1688" s="139"/>
      <c r="AC1688" s="139"/>
      <c r="AD1688" s="139"/>
      <c r="AE1688" s="139"/>
      <c r="AF1688" s="139"/>
      <c r="AG1688" s="139"/>
      <c r="AH1688" s="139"/>
      <c r="AI1688" s="139"/>
      <c r="AJ1688" s="139"/>
      <c r="AK1688" s="139"/>
      <c r="AL1688" s="139"/>
      <c r="AM1688" s="139"/>
      <c r="AN1688" s="139"/>
      <c r="AO1688" s="139"/>
      <c r="AP1688" s="139"/>
      <c r="AQ1688" s="139"/>
      <c r="AR1688" s="139"/>
      <c r="AS1688" s="139"/>
      <c r="AT1688" s="139"/>
      <c r="AU1688" s="139"/>
      <c r="AV1688" s="139"/>
      <c r="AW1688" s="139"/>
      <c r="AX1688" s="139"/>
      <c r="AY1688" s="139"/>
      <c r="AZ1688" s="139"/>
      <c r="BA1688" s="139"/>
      <c r="BB1688" s="139"/>
      <c r="BC1688" s="139"/>
      <c r="BD1688" s="139"/>
      <c r="BE1688" s="139"/>
      <c r="BF1688" s="139"/>
      <c r="BG1688" s="139"/>
      <c r="BH1688" s="139"/>
    </row>
    <row r="1689" spans="2:60" s="11" customFormat="1" ht="20.100000000000001" customHeight="1">
      <c r="B1689" s="1360"/>
      <c r="C1689" s="9647" t="s">
        <v>143</v>
      </c>
      <c r="D1689" s="9648"/>
      <c r="E1689" s="9649"/>
      <c r="F1689" s="132" t="s">
        <v>557</v>
      </c>
      <c r="G1689" s="666"/>
      <c r="H1689" s="9579" t="s">
        <v>144</v>
      </c>
      <c r="I1689" s="9580"/>
      <c r="J1689" s="9581"/>
      <c r="K1689" s="105" t="s">
        <v>559</v>
      </c>
      <c r="L1689" s="5594">
        <f>Vietnam!Q331</f>
        <v>0</v>
      </c>
      <c r="M1689" s="5671"/>
      <c r="N1689" s="5724">
        <f>Vietnam!S331</f>
        <v>0</v>
      </c>
      <c r="O1689" s="5680"/>
      <c r="P1689" s="5725">
        <v>0</v>
      </c>
      <c r="Q1689" s="5678"/>
      <c r="R1689" s="2468"/>
      <c r="S1689" s="544"/>
      <c r="T1689" s="545"/>
      <c r="U1689" s="546"/>
      <c r="V1689" s="547"/>
      <c r="W1689" s="548"/>
      <c r="X1689" s="277"/>
      <c r="Y1689" s="277"/>
      <c r="Z1689" s="187"/>
      <c r="AA1689" s="6301"/>
      <c r="AB1689" s="139"/>
      <c r="AC1689" s="139"/>
      <c r="AD1689" s="139"/>
      <c r="AE1689" s="139"/>
      <c r="AF1689" s="139"/>
      <c r="AG1689" s="139"/>
      <c r="AH1689" s="139"/>
      <c r="AI1689" s="139"/>
      <c r="AJ1689" s="139"/>
      <c r="AK1689" s="139"/>
      <c r="AL1689" s="139"/>
      <c r="AM1689" s="139"/>
      <c r="AN1689" s="139"/>
      <c r="AO1689" s="139"/>
      <c r="AP1689" s="139"/>
      <c r="AQ1689" s="139"/>
      <c r="AR1689" s="139"/>
      <c r="AS1689" s="139"/>
      <c r="AT1689" s="139"/>
      <c r="AU1689" s="139"/>
      <c r="AV1689" s="139"/>
      <c r="AW1689" s="139"/>
      <c r="AX1689" s="139"/>
      <c r="AY1689" s="139"/>
      <c r="AZ1689" s="139"/>
      <c r="BA1689" s="139"/>
      <c r="BB1689" s="139"/>
      <c r="BC1689" s="139"/>
      <c r="BD1689" s="139"/>
      <c r="BE1689" s="139"/>
      <c r="BF1689" s="139"/>
      <c r="BG1689" s="139"/>
      <c r="BH1689" s="139"/>
    </row>
    <row r="1690" spans="2:60" s="11" customFormat="1" ht="20.100000000000001" customHeight="1">
      <c r="B1690" s="1360"/>
      <c r="C1690" s="9647" t="s">
        <v>631</v>
      </c>
      <c r="D1690" s="9648"/>
      <c r="E1690" s="9649"/>
      <c r="F1690" s="132" t="s">
        <v>557</v>
      </c>
      <c r="G1690" s="666"/>
      <c r="H1690" s="9579" t="s">
        <v>147</v>
      </c>
      <c r="I1690" s="9580"/>
      <c r="J1690" s="9581"/>
      <c r="K1690" s="105" t="s">
        <v>559</v>
      </c>
      <c r="L1690" s="5594">
        <f>Indonesia!V331</f>
        <v>1</v>
      </c>
      <c r="M1690" s="5671"/>
      <c r="N1690" s="5724">
        <f>Indonesia!X331</f>
        <v>2</v>
      </c>
      <c r="O1690" s="5680"/>
      <c r="P1690" s="5725">
        <f>Indonesia!Z331</f>
        <v>1</v>
      </c>
      <c r="Q1690" s="5678"/>
      <c r="R1690" s="2468"/>
      <c r="S1690" s="544"/>
      <c r="T1690" s="545"/>
      <c r="U1690" s="546"/>
      <c r="V1690" s="547"/>
      <c r="W1690" s="548"/>
      <c r="X1690" s="277"/>
      <c r="Y1690" s="277"/>
      <c r="Z1690" s="187"/>
      <c r="AA1690" s="6301"/>
      <c r="AB1690" s="139"/>
      <c r="AC1690" s="139"/>
      <c r="AD1690" s="139"/>
      <c r="AE1690" s="139"/>
      <c r="AF1690" s="139"/>
      <c r="AG1690" s="139"/>
      <c r="AH1690" s="139"/>
      <c r="AI1690" s="139"/>
      <c r="AJ1690" s="139"/>
      <c r="AK1690" s="139"/>
      <c r="AL1690" s="139"/>
      <c r="AM1690" s="139"/>
      <c r="AN1690" s="139"/>
      <c r="AO1690" s="139"/>
      <c r="AP1690" s="139"/>
      <c r="AQ1690" s="139"/>
      <c r="AR1690" s="139"/>
      <c r="AS1690" s="139"/>
      <c r="AT1690" s="139"/>
      <c r="AU1690" s="139"/>
      <c r="AV1690" s="139"/>
      <c r="AW1690" s="139"/>
      <c r="AX1690" s="139"/>
      <c r="AY1690" s="139"/>
      <c r="AZ1690" s="139"/>
      <c r="BA1690" s="139"/>
      <c r="BB1690" s="139"/>
      <c r="BC1690" s="139"/>
      <c r="BD1690" s="139"/>
      <c r="BE1690" s="139"/>
      <c r="BF1690" s="139"/>
      <c r="BG1690" s="139"/>
      <c r="BH1690" s="139"/>
    </row>
    <row r="1691" spans="2:60" s="11" customFormat="1" ht="20.100000000000001" customHeight="1">
      <c r="B1691" s="1360"/>
      <c r="C1691" s="9647" t="s">
        <v>633</v>
      </c>
      <c r="D1691" s="9648"/>
      <c r="E1691" s="9649"/>
      <c r="F1691" s="132" t="s">
        <v>557</v>
      </c>
      <c r="G1691" s="666"/>
      <c r="H1691" s="9579" t="s">
        <v>150</v>
      </c>
      <c r="I1691" s="9580"/>
      <c r="J1691" s="9581"/>
      <c r="K1691" s="105" t="s">
        <v>559</v>
      </c>
      <c r="L1691" s="5594">
        <v>2</v>
      </c>
      <c r="M1691" s="5671"/>
      <c r="N1691" s="5724">
        <v>5</v>
      </c>
      <c r="O1691" s="5671"/>
      <c r="P1691" s="5724">
        <v>10</v>
      </c>
      <c r="Q1691" s="5678"/>
      <c r="R1691" s="2468"/>
      <c r="S1691" s="544"/>
      <c r="T1691" s="545"/>
      <c r="U1691" s="546"/>
      <c r="V1691" s="547"/>
      <c r="W1691" s="548"/>
      <c r="X1691" s="277"/>
      <c r="Y1691" s="277"/>
      <c r="Z1691" s="187"/>
      <c r="AA1691" s="6301"/>
      <c r="AB1691" s="139"/>
      <c r="AC1691" s="139"/>
      <c r="AD1691" s="139"/>
      <c r="AE1691" s="139"/>
      <c r="AF1691" s="139"/>
      <c r="AG1691" s="139"/>
      <c r="AH1691" s="139"/>
      <c r="AI1691" s="139"/>
      <c r="AJ1691" s="139"/>
      <c r="AK1691" s="139"/>
      <c r="AL1691" s="139"/>
      <c r="AM1691" s="139"/>
      <c r="AN1691" s="139"/>
      <c r="AO1691" s="139"/>
      <c r="AP1691" s="139"/>
      <c r="AQ1691" s="139"/>
      <c r="AR1691" s="139"/>
      <c r="AS1691" s="139"/>
      <c r="AT1691" s="139"/>
      <c r="AU1691" s="139"/>
      <c r="AV1691" s="139"/>
      <c r="AW1691" s="139"/>
      <c r="AX1691" s="139"/>
      <c r="AY1691" s="139"/>
      <c r="AZ1691" s="139"/>
      <c r="BA1691" s="139"/>
      <c r="BB1691" s="139"/>
      <c r="BC1691" s="139"/>
      <c r="BD1691" s="139"/>
      <c r="BE1691" s="139"/>
      <c r="BF1691" s="139"/>
      <c r="BG1691" s="139"/>
      <c r="BH1691" s="139"/>
    </row>
    <row r="1692" spans="2:60" s="11" customFormat="1" ht="20.100000000000001" customHeight="1">
      <c r="B1692" s="1360"/>
      <c r="C1692" s="9656" t="s">
        <v>1258</v>
      </c>
      <c r="D1692" s="9587"/>
      <c r="E1692" s="9588"/>
      <c r="F1692" s="132" t="s">
        <v>557</v>
      </c>
      <c r="G1692" s="777"/>
      <c r="H1692" s="9586" t="s">
        <v>1259</v>
      </c>
      <c r="I1692" s="9587"/>
      <c r="J1692" s="9588"/>
      <c r="K1692" s="105" t="s">
        <v>559</v>
      </c>
      <c r="L1692" s="5653" t="str">
        <f>IF(COUNTBLANK(L1693:L1698)&gt;0,"미취합법인有",SUM(L1693:L1698))</f>
        <v>미취합법인有</v>
      </c>
      <c r="M1692" s="5657"/>
      <c r="N1692" s="5654" t="str">
        <f>IF(COUNTBLANK(N1693:N1698)&gt;0,"미취합법인有",SUM(N1693:N1698))</f>
        <v>미취합법인有</v>
      </c>
      <c r="O1692" s="5663"/>
      <c r="P1692" s="5781" t="str">
        <f>IF(COUNTBLANK(P1693:P1698)&gt;0,"미취합법인有",SUM(P1693:P1698))</f>
        <v>미취합법인有</v>
      </c>
      <c r="Q1692" s="785"/>
      <c r="R1692" s="2468" t="s">
        <v>1260</v>
      </c>
      <c r="S1692" s="276" t="s">
        <v>1259</v>
      </c>
      <c r="T1692" s="109" t="s">
        <v>206</v>
      </c>
      <c r="U1692" s="547"/>
      <c r="V1692" s="547"/>
      <c r="W1692" s="109"/>
      <c r="X1692" s="896" t="s">
        <v>1240</v>
      </c>
      <c r="Y1692" s="694"/>
      <c r="Z1692" s="957"/>
      <c r="AA1692" s="6301"/>
      <c r="AB1692" s="139"/>
      <c r="AC1692" s="139"/>
      <c r="AD1692" s="139"/>
      <c r="AE1692" s="139"/>
      <c r="AF1692" s="139"/>
      <c r="AG1692" s="139"/>
      <c r="AH1692" s="139"/>
      <c r="AI1692" s="139"/>
      <c r="AJ1692" s="139"/>
      <c r="AK1692" s="139"/>
      <c r="AL1692" s="139"/>
      <c r="AM1692" s="139"/>
      <c r="AN1692" s="139"/>
      <c r="AO1692" s="139"/>
      <c r="AP1692" s="139"/>
      <c r="AQ1692" s="139"/>
      <c r="AR1692" s="139"/>
      <c r="AS1692" s="139"/>
      <c r="AT1692" s="139"/>
      <c r="AU1692" s="139"/>
      <c r="AV1692" s="139"/>
      <c r="AW1692" s="139"/>
      <c r="AX1692" s="139"/>
      <c r="AY1692" s="139"/>
      <c r="AZ1692" s="139"/>
      <c r="BA1692" s="139"/>
      <c r="BB1692" s="139"/>
      <c r="BC1692" s="139"/>
      <c r="BD1692" s="139"/>
      <c r="BE1692" s="139"/>
      <c r="BF1692" s="139"/>
      <c r="BG1692" s="139"/>
      <c r="BH1692" s="139"/>
    </row>
    <row r="1693" spans="2:60" s="11" customFormat="1" ht="20.100000000000001" customHeight="1">
      <c r="B1693" s="1360"/>
      <c r="C1693" s="9647" t="s">
        <v>134</v>
      </c>
      <c r="D1693" s="9648"/>
      <c r="E1693" s="9649"/>
      <c r="F1693" s="132" t="s">
        <v>557</v>
      </c>
      <c r="G1693" s="666"/>
      <c r="H1693" s="9579" t="s">
        <v>135</v>
      </c>
      <c r="I1693" s="9580"/>
      <c r="J1693" s="9581"/>
      <c r="K1693" s="105" t="s">
        <v>559</v>
      </c>
      <c r="L1693" s="5594">
        <v>4</v>
      </c>
      <c r="M1693" s="5671"/>
      <c r="N1693" s="5724">
        <v>5</v>
      </c>
      <c r="O1693" s="5725"/>
      <c r="P1693" s="5725">
        <v>3</v>
      </c>
      <c r="Q1693" s="5879"/>
      <c r="R1693" s="2468"/>
      <c r="S1693" s="544"/>
      <c r="T1693" s="545"/>
      <c r="U1693" s="546"/>
      <c r="V1693" s="547"/>
      <c r="W1693" s="548"/>
      <c r="X1693" s="277"/>
      <c r="Y1693" s="277"/>
      <c r="Z1693" s="187"/>
      <c r="AA1693" s="6301"/>
      <c r="AB1693" s="139"/>
      <c r="AC1693" s="139"/>
      <c r="AD1693" s="139"/>
      <c r="AE1693" s="139"/>
      <c r="AF1693" s="139"/>
      <c r="AG1693" s="139"/>
      <c r="AH1693" s="139"/>
      <c r="AI1693" s="139"/>
      <c r="AJ1693" s="139"/>
      <c r="AK1693" s="139"/>
      <c r="AL1693" s="139"/>
      <c r="AM1693" s="139"/>
      <c r="AN1693" s="139"/>
      <c r="AO1693" s="139"/>
      <c r="AP1693" s="139"/>
      <c r="AQ1693" s="139"/>
      <c r="AR1693" s="139"/>
      <c r="AS1693" s="139"/>
      <c r="AT1693" s="139"/>
      <c r="AU1693" s="139"/>
      <c r="AV1693" s="139"/>
      <c r="AW1693" s="139"/>
      <c r="AX1693" s="139"/>
      <c r="AY1693" s="139"/>
      <c r="AZ1693" s="139"/>
      <c r="BA1693" s="139"/>
      <c r="BB1693" s="139"/>
      <c r="BC1693" s="139"/>
      <c r="BD1693" s="139"/>
      <c r="BE1693" s="139"/>
      <c r="BF1693" s="139"/>
      <c r="BG1693" s="139"/>
      <c r="BH1693" s="139"/>
    </row>
    <row r="1694" spans="2:60" s="11" customFormat="1" ht="20.100000000000001" customHeight="1">
      <c r="B1694" s="1360"/>
      <c r="C1694" s="9647" t="s">
        <v>137</v>
      </c>
      <c r="D1694" s="9648"/>
      <c r="E1694" s="9649"/>
      <c r="F1694" s="132" t="s">
        <v>557</v>
      </c>
      <c r="G1694" s="666"/>
      <c r="H1694" s="9579" t="s">
        <v>138</v>
      </c>
      <c r="I1694" s="9580"/>
      <c r="J1694" s="9581"/>
      <c r="K1694" s="105" t="s">
        <v>559</v>
      </c>
      <c r="L1694" s="5594"/>
      <c r="M1694" s="5671"/>
      <c r="N1694" s="5724"/>
      <c r="O1694" s="5725"/>
      <c r="P1694" s="5725"/>
      <c r="Q1694" s="5879"/>
      <c r="R1694" s="2468"/>
      <c r="S1694" s="544"/>
      <c r="T1694" s="545"/>
      <c r="U1694" s="546"/>
      <c r="V1694" s="547"/>
      <c r="W1694" s="548"/>
      <c r="X1694" s="277"/>
      <c r="Y1694" s="277"/>
      <c r="Z1694" s="187"/>
      <c r="AA1694" s="6301"/>
      <c r="AB1694" s="139"/>
      <c r="AC1694" s="139"/>
      <c r="AD1694" s="139"/>
      <c r="AE1694" s="139"/>
      <c r="AF1694" s="139"/>
      <c r="AG1694" s="139"/>
      <c r="AH1694" s="139"/>
      <c r="AI1694" s="139"/>
      <c r="AJ1694" s="139"/>
      <c r="AK1694" s="139"/>
      <c r="AL1694" s="139"/>
      <c r="AM1694" s="139"/>
      <c r="AN1694" s="139"/>
      <c r="AO1694" s="139"/>
      <c r="AP1694" s="139"/>
      <c r="AQ1694" s="139"/>
      <c r="AR1694" s="139"/>
      <c r="AS1694" s="139"/>
      <c r="AT1694" s="139"/>
      <c r="AU1694" s="139"/>
      <c r="AV1694" s="139"/>
      <c r="AW1694" s="139"/>
      <c r="AX1694" s="139"/>
      <c r="AY1694" s="139"/>
      <c r="AZ1694" s="139"/>
      <c r="BA1694" s="139"/>
      <c r="BB1694" s="139"/>
      <c r="BC1694" s="139"/>
      <c r="BD1694" s="139"/>
      <c r="BE1694" s="139"/>
      <c r="BF1694" s="139"/>
      <c r="BG1694" s="139"/>
      <c r="BH1694" s="139"/>
    </row>
    <row r="1695" spans="2:60" s="11" customFormat="1" ht="20.100000000000001" customHeight="1">
      <c r="B1695" s="1360"/>
      <c r="C1695" s="9647" t="s">
        <v>140</v>
      </c>
      <c r="D1695" s="9648"/>
      <c r="E1695" s="9649"/>
      <c r="F1695" s="132" t="s">
        <v>557</v>
      </c>
      <c r="G1695" s="666"/>
      <c r="H1695" s="9579" t="s">
        <v>141</v>
      </c>
      <c r="I1695" s="9580"/>
      <c r="J1695" s="9581"/>
      <c r="K1695" s="105" t="s">
        <v>559</v>
      </c>
      <c r="L1695" s="5594">
        <f>China!AO333</f>
        <v>3</v>
      </c>
      <c r="M1695" s="5671"/>
      <c r="N1695" s="5724">
        <f>China!AQ333</f>
        <v>2</v>
      </c>
      <c r="O1695" s="5680"/>
      <c r="P1695" s="5725">
        <f>China!AS333</f>
        <v>2</v>
      </c>
      <c r="Q1695" s="5678"/>
      <c r="R1695" s="2468"/>
      <c r="S1695" s="544"/>
      <c r="T1695" s="545"/>
      <c r="U1695" s="546"/>
      <c r="V1695" s="547"/>
      <c r="W1695" s="548"/>
      <c r="X1695" s="277"/>
      <c r="Y1695" s="277"/>
      <c r="Z1695" s="187"/>
      <c r="AA1695" s="6301"/>
      <c r="AB1695" s="139"/>
      <c r="AC1695" s="139"/>
      <c r="AD1695" s="139"/>
      <c r="AE1695" s="139"/>
      <c r="AF1695" s="139"/>
      <c r="AG1695" s="139"/>
      <c r="AH1695" s="139"/>
      <c r="AI1695" s="139"/>
      <c r="AJ1695" s="139"/>
      <c r="AK1695" s="139"/>
      <c r="AL1695" s="139"/>
      <c r="AM1695" s="139"/>
      <c r="AN1695" s="139"/>
      <c r="AO1695" s="139"/>
      <c r="AP1695" s="139"/>
      <c r="AQ1695" s="139"/>
      <c r="AR1695" s="139"/>
      <c r="AS1695" s="139"/>
      <c r="AT1695" s="139"/>
      <c r="AU1695" s="139"/>
      <c r="AV1695" s="139"/>
      <c r="AW1695" s="139"/>
      <c r="AX1695" s="139"/>
      <c r="AY1695" s="139"/>
      <c r="AZ1695" s="139"/>
      <c r="BA1695" s="139"/>
      <c r="BB1695" s="139"/>
      <c r="BC1695" s="139"/>
      <c r="BD1695" s="139"/>
      <c r="BE1695" s="139"/>
      <c r="BF1695" s="139"/>
      <c r="BG1695" s="139"/>
      <c r="BH1695" s="139"/>
    </row>
    <row r="1696" spans="2:60" s="11" customFormat="1" ht="20.100000000000001" customHeight="1">
      <c r="B1696" s="1360"/>
      <c r="C1696" s="9647" t="s">
        <v>143</v>
      </c>
      <c r="D1696" s="9648"/>
      <c r="E1696" s="9649"/>
      <c r="F1696" s="132" t="s">
        <v>557</v>
      </c>
      <c r="G1696" s="666"/>
      <c r="H1696" s="9579" t="s">
        <v>144</v>
      </c>
      <c r="I1696" s="9580"/>
      <c r="J1696" s="9581"/>
      <c r="K1696" s="105" t="s">
        <v>559</v>
      </c>
      <c r="L1696" s="5594"/>
      <c r="M1696" s="5671"/>
      <c r="N1696" s="5724"/>
      <c r="O1696" s="5680"/>
      <c r="P1696" s="5725"/>
      <c r="Q1696" s="5678"/>
      <c r="R1696" s="2468"/>
      <c r="S1696" s="544"/>
      <c r="T1696" s="545"/>
      <c r="U1696" s="546"/>
      <c r="V1696" s="547"/>
      <c r="W1696" s="548"/>
      <c r="X1696" s="277"/>
      <c r="Y1696" s="277"/>
      <c r="Z1696" s="187"/>
      <c r="AA1696" s="6301"/>
      <c r="AB1696" s="139"/>
      <c r="AC1696" s="139"/>
      <c r="AD1696" s="139"/>
      <c r="AE1696" s="139"/>
      <c r="AF1696" s="139"/>
      <c r="AG1696" s="139"/>
      <c r="AH1696" s="139"/>
      <c r="AI1696" s="139"/>
      <c r="AJ1696" s="139"/>
      <c r="AK1696" s="139"/>
      <c r="AL1696" s="139"/>
      <c r="AM1696" s="139"/>
      <c r="AN1696" s="139"/>
      <c r="AO1696" s="139"/>
      <c r="AP1696" s="139"/>
      <c r="AQ1696" s="139"/>
      <c r="AR1696" s="139"/>
      <c r="AS1696" s="139"/>
      <c r="AT1696" s="139"/>
      <c r="AU1696" s="139"/>
      <c r="AV1696" s="139"/>
      <c r="AW1696" s="139"/>
      <c r="AX1696" s="139"/>
      <c r="AY1696" s="139"/>
      <c r="AZ1696" s="139"/>
      <c r="BA1696" s="139"/>
      <c r="BB1696" s="139"/>
      <c r="BC1696" s="139"/>
      <c r="BD1696" s="139"/>
      <c r="BE1696" s="139"/>
      <c r="BF1696" s="139"/>
      <c r="BG1696" s="139"/>
      <c r="BH1696" s="139"/>
    </row>
    <row r="1697" spans="2:60" s="11" customFormat="1" ht="20.100000000000001" customHeight="1">
      <c r="B1697" s="1360"/>
      <c r="C1697" s="9647" t="s">
        <v>631</v>
      </c>
      <c r="D1697" s="9648"/>
      <c r="E1697" s="9649"/>
      <c r="F1697" s="132" t="s">
        <v>557</v>
      </c>
      <c r="G1697" s="666"/>
      <c r="H1697" s="9579" t="s">
        <v>147</v>
      </c>
      <c r="I1697" s="9580"/>
      <c r="J1697" s="9581"/>
      <c r="K1697" s="105" t="s">
        <v>559</v>
      </c>
      <c r="L1697" s="5956" t="s">
        <v>168</v>
      </c>
      <c r="M1697" s="5671" t="s">
        <v>641</v>
      </c>
      <c r="N1697" s="5724" t="s">
        <v>168</v>
      </c>
      <c r="O1697" s="5680" t="s">
        <v>641</v>
      </c>
      <c r="P1697" s="5725"/>
      <c r="Q1697" s="5678" t="s">
        <v>641</v>
      </c>
      <c r="R1697" s="2468"/>
      <c r="S1697" s="544"/>
      <c r="T1697" s="545"/>
      <c r="U1697" s="546"/>
      <c r="V1697" s="547"/>
      <c r="W1697" s="548"/>
      <c r="X1697" s="277"/>
      <c r="Y1697" s="277"/>
      <c r="Z1697" s="187"/>
      <c r="AA1697" s="6301"/>
      <c r="AB1697" s="139"/>
      <c r="AC1697" s="139"/>
      <c r="AD1697" s="139"/>
      <c r="AE1697" s="139"/>
      <c r="AF1697" s="139"/>
      <c r="AG1697" s="139"/>
      <c r="AH1697" s="139"/>
      <c r="AI1697" s="139"/>
      <c r="AJ1697" s="139"/>
      <c r="AK1697" s="139"/>
      <c r="AL1697" s="139"/>
      <c r="AM1697" s="139"/>
      <c r="AN1697" s="139"/>
      <c r="AO1697" s="139"/>
      <c r="AP1697" s="139"/>
      <c r="AQ1697" s="139"/>
      <c r="AR1697" s="139"/>
      <c r="AS1697" s="139"/>
      <c r="AT1697" s="139"/>
      <c r="AU1697" s="139"/>
      <c r="AV1697" s="139"/>
      <c r="AW1697" s="139"/>
      <c r="AX1697" s="139"/>
      <c r="AY1697" s="139"/>
      <c r="AZ1697" s="139"/>
      <c r="BA1697" s="139"/>
      <c r="BB1697" s="139"/>
      <c r="BC1697" s="139"/>
      <c r="BD1697" s="139"/>
      <c r="BE1697" s="139"/>
      <c r="BF1697" s="139"/>
      <c r="BG1697" s="139"/>
      <c r="BH1697" s="139"/>
    </row>
    <row r="1698" spans="2:60" s="11" customFormat="1" ht="20.100000000000001" customHeight="1">
      <c r="B1698" s="1360"/>
      <c r="C1698" s="9647" t="s">
        <v>633</v>
      </c>
      <c r="D1698" s="9648"/>
      <c r="E1698" s="9649"/>
      <c r="F1698" s="132" t="s">
        <v>557</v>
      </c>
      <c r="G1698" s="666"/>
      <c r="H1698" s="9579" t="s">
        <v>150</v>
      </c>
      <c r="I1698" s="9580"/>
      <c r="J1698" s="9581"/>
      <c r="K1698" s="105" t="s">
        <v>559</v>
      </c>
      <c r="L1698" s="5594">
        <v>2</v>
      </c>
      <c r="M1698" s="5671"/>
      <c r="N1698" s="5724">
        <v>5</v>
      </c>
      <c r="O1698" s="5671"/>
      <c r="P1698" s="5724">
        <v>10</v>
      </c>
      <c r="Q1698" s="5678"/>
      <c r="R1698" s="2468"/>
      <c r="S1698" s="544"/>
      <c r="T1698" s="545"/>
      <c r="U1698" s="546"/>
      <c r="V1698" s="547"/>
      <c r="W1698" s="548"/>
      <c r="X1698" s="277"/>
      <c r="Y1698" s="277"/>
      <c r="Z1698" s="187"/>
      <c r="AA1698" s="6301"/>
      <c r="AB1698" s="139"/>
      <c r="AC1698" s="139"/>
      <c r="AD1698" s="139"/>
      <c r="AE1698" s="139"/>
      <c r="AF1698" s="139"/>
      <c r="AG1698" s="139"/>
      <c r="AH1698" s="139"/>
      <c r="AI1698" s="139"/>
      <c r="AJ1698" s="139"/>
      <c r="AK1698" s="139"/>
      <c r="AL1698" s="139"/>
      <c r="AM1698" s="139"/>
      <c r="AN1698" s="139"/>
      <c r="AO1698" s="139"/>
      <c r="AP1698" s="139"/>
      <c r="AQ1698" s="139"/>
      <c r="AR1698" s="139"/>
      <c r="AS1698" s="139"/>
      <c r="AT1698" s="139"/>
      <c r="AU1698" s="139"/>
      <c r="AV1698" s="139"/>
      <c r="AW1698" s="139"/>
      <c r="AX1698" s="139"/>
      <c r="AY1698" s="139"/>
      <c r="AZ1698" s="139"/>
      <c r="BA1698" s="139"/>
      <c r="BB1698" s="139"/>
      <c r="BC1698" s="139"/>
      <c r="BD1698" s="139"/>
      <c r="BE1698" s="139"/>
      <c r="BF1698" s="139"/>
      <c r="BG1698" s="139"/>
      <c r="BH1698" s="139"/>
    </row>
    <row r="1699" spans="2:60" s="11" customFormat="1" ht="20.100000000000001" customHeight="1">
      <c r="B1699" s="1360"/>
      <c r="C1699" s="9656" t="s">
        <v>1261</v>
      </c>
      <c r="D1699" s="9587"/>
      <c r="E1699" s="9588"/>
      <c r="F1699" s="132" t="s">
        <v>557</v>
      </c>
      <c r="G1699" s="777"/>
      <c r="H1699" s="9586" t="s">
        <v>1262</v>
      </c>
      <c r="I1699" s="9587"/>
      <c r="J1699" s="9588"/>
      <c r="K1699" s="105" t="s">
        <v>559</v>
      </c>
      <c r="L1699" s="5783">
        <f>IF(COUNTBLANK(L1700:L1705)&gt;0,"미취합법인有",SUM(L1700:L1705))</f>
        <v>0</v>
      </c>
      <c r="M1699" s="5657"/>
      <c r="N1699" s="5785">
        <f>IF(COUNTBLANK(N1700:N1705)&gt;0,"미취합법인有",SUM(N1700:N1705))</f>
        <v>0</v>
      </c>
      <c r="O1699" s="5663"/>
      <c r="P1699" s="5781" t="str">
        <f>IF(COUNTBLANK(P1700:P1705)&gt;0,"미취합법인有",SUM(P1700:P1705))</f>
        <v>미취합법인有</v>
      </c>
      <c r="Q1699" s="785"/>
      <c r="R1699" s="2468" t="s">
        <v>1261</v>
      </c>
      <c r="S1699" s="276" t="s">
        <v>1263</v>
      </c>
      <c r="T1699" s="109" t="s">
        <v>206</v>
      </c>
      <c r="U1699" s="547"/>
      <c r="V1699" s="547"/>
      <c r="W1699" s="109"/>
      <c r="X1699" s="277" t="s">
        <v>1264</v>
      </c>
      <c r="Y1699" s="265"/>
      <c r="Z1699" s="187"/>
      <c r="AA1699" s="6301"/>
      <c r="AB1699" s="139"/>
      <c r="AC1699" s="139"/>
      <c r="AD1699" s="139"/>
      <c r="AE1699" s="139"/>
      <c r="AF1699" s="139"/>
      <c r="AG1699" s="139"/>
      <c r="AH1699" s="139"/>
      <c r="AI1699" s="139"/>
      <c r="AJ1699" s="139"/>
      <c r="AK1699" s="139"/>
      <c r="AL1699" s="139"/>
      <c r="AM1699" s="139"/>
      <c r="AN1699" s="139"/>
      <c r="AO1699" s="139"/>
      <c r="AP1699" s="139"/>
      <c r="AQ1699" s="139"/>
      <c r="AR1699" s="139"/>
      <c r="AS1699" s="139"/>
      <c r="AT1699" s="139"/>
      <c r="AU1699" s="139"/>
      <c r="AV1699" s="139"/>
      <c r="AW1699" s="139"/>
      <c r="AX1699" s="139"/>
      <c r="AY1699" s="139"/>
      <c r="AZ1699" s="139"/>
      <c r="BA1699" s="139"/>
      <c r="BB1699" s="139"/>
      <c r="BC1699" s="139"/>
      <c r="BD1699" s="139"/>
      <c r="BE1699" s="139"/>
      <c r="BF1699" s="139"/>
      <c r="BG1699" s="139"/>
      <c r="BH1699" s="139"/>
    </row>
    <row r="1700" spans="2:60" s="11" customFormat="1" ht="20.100000000000001" customHeight="1">
      <c r="B1700" s="1360"/>
      <c r="C1700" s="9647" t="s">
        <v>134</v>
      </c>
      <c r="D1700" s="9648"/>
      <c r="E1700" s="9649"/>
      <c r="F1700" s="132" t="s">
        <v>557</v>
      </c>
      <c r="G1700" s="666"/>
      <c r="H1700" s="9579" t="s">
        <v>135</v>
      </c>
      <c r="I1700" s="9580"/>
      <c r="J1700" s="9581"/>
      <c r="K1700" s="105" t="s">
        <v>559</v>
      </c>
      <c r="L1700" s="5594">
        <v>0</v>
      </c>
      <c r="M1700" s="5671"/>
      <c r="N1700" s="5724">
        <v>0</v>
      </c>
      <c r="O1700" s="5680"/>
      <c r="P1700" s="5854">
        <v>0</v>
      </c>
      <c r="Q1700" s="5678"/>
      <c r="R1700" s="2468"/>
      <c r="S1700" s="544"/>
      <c r="T1700" s="545"/>
      <c r="U1700" s="546"/>
      <c r="V1700" s="547"/>
      <c r="W1700" s="548"/>
      <c r="X1700" s="277"/>
      <c r="Y1700" s="277"/>
      <c r="Z1700" s="187"/>
      <c r="AA1700" s="6301"/>
      <c r="AB1700" s="139"/>
      <c r="AC1700" s="139"/>
      <c r="AD1700" s="139"/>
      <c r="AE1700" s="139"/>
      <c r="AF1700" s="139"/>
      <c r="AG1700" s="139"/>
      <c r="AH1700" s="139"/>
      <c r="AI1700" s="139"/>
      <c r="AJ1700" s="139"/>
      <c r="AK1700" s="139"/>
      <c r="AL1700" s="139"/>
      <c r="AM1700" s="139"/>
      <c r="AN1700" s="139"/>
      <c r="AO1700" s="139"/>
      <c r="AP1700" s="139"/>
      <c r="AQ1700" s="139"/>
      <c r="AR1700" s="139"/>
      <c r="AS1700" s="139"/>
      <c r="AT1700" s="139"/>
      <c r="AU1700" s="139"/>
      <c r="AV1700" s="139"/>
      <c r="AW1700" s="139"/>
      <c r="AX1700" s="139"/>
      <c r="AY1700" s="139"/>
      <c r="AZ1700" s="139"/>
      <c r="BA1700" s="139"/>
      <c r="BB1700" s="139"/>
      <c r="BC1700" s="139"/>
      <c r="BD1700" s="139"/>
      <c r="BE1700" s="139"/>
      <c r="BF1700" s="139"/>
      <c r="BG1700" s="139"/>
      <c r="BH1700" s="139"/>
    </row>
    <row r="1701" spans="2:60" s="11" customFormat="1" ht="20.100000000000001" customHeight="1">
      <c r="B1701" s="1360"/>
      <c r="C1701" s="9647" t="s">
        <v>137</v>
      </c>
      <c r="D1701" s="9648"/>
      <c r="E1701" s="9649"/>
      <c r="F1701" s="132" t="s">
        <v>557</v>
      </c>
      <c r="G1701" s="666"/>
      <c r="H1701" s="9579" t="s">
        <v>138</v>
      </c>
      <c r="I1701" s="9580"/>
      <c r="J1701" s="9581"/>
      <c r="K1701" s="105" t="s">
        <v>559</v>
      </c>
      <c r="L1701" s="5594">
        <f>'4DPLEX'!W305</f>
        <v>0</v>
      </c>
      <c r="M1701" s="5671"/>
      <c r="N1701" s="5724">
        <f>'4DPLEX'!Y305</f>
        <v>0</v>
      </c>
      <c r="O1701" s="5680"/>
      <c r="P1701" s="5725">
        <f>'4DPLEX'!AA305</f>
        <v>0</v>
      </c>
      <c r="Q1701" s="5678"/>
      <c r="R1701" s="2468"/>
      <c r="S1701" s="544"/>
      <c r="T1701" s="545"/>
      <c r="U1701" s="546"/>
      <c r="V1701" s="547"/>
      <c r="W1701" s="548"/>
      <c r="X1701" s="277"/>
      <c r="Y1701" s="277"/>
      <c r="Z1701" s="187"/>
      <c r="AA1701" s="6301"/>
      <c r="AB1701" s="139"/>
      <c r="AC1701" s="139"/>
      <c r="AD1701" s="139"/>
      <c r="AE1701" s="139"/>
      <c r="AF1701" s="139"/>
      <c r="AG1701" s="139"/>
      <c r="AH1701" s="139"/>
      <c r="AI1701" s="139"/>
      <c r="AJ1701" s="139"/>
      <c r="AK1701" s="139"/>
      <c r="AL1701" s="139"/>
      <c r="AM1701" s="139"/>
      <c r="AN1701" s="139"/>
      <c r="AO1701" s="139"/>
      <c r="AP1701" s="139"/>
      <c r="AQ1701" s="139"/>
      <c r="AR1701" s="139"/>
      <c r="AS1701" s="139"/>
      <c r="AT1701" s="139"/>
      <c r="AU1701" s="139"/>
      <c r="AV1701" s="139"/>
      <c r="AW1701" s="139"/>
      <c r="AX1701" s="139"/>
      <c r="AY1701" s="139"/>
      <c r="AZ1701" s="139"/>
      <c r="BA1701" s="139"/>
      <c r="BB1701" s="139"/>
      <c r="BC1701" s="139"/>
      <c r="BD1701" s="139"/>
      <c r="BE1701" s="139"/>
      <c r="BF1701" s="139"/>
      <c r="BG1701" s="139"/>
      <c r="BH1701" s="139"/>
    </row>
    <row r="1702" spans="2:60" s="11" customFormat="1" ht="20.100000000000001" customHeight="1">
      <c r="B1702" s="1360"/>
      <c r="C1702" s="9647" t="s">
        <v>140</v>
      </c>
      <c r="D1702" s="9648"/>
      <c r="E1702" s="9649"/>
      <c r="F1702" s="132" t="s">
        <v>557</v>
      </c>
      <c r="G1702" s="666"/>
      <c r="H1702" s="9579" t="s">
        <v>141</v>
      </c>
      <c r="I1702" s="9580"/>
      <c r="J1702" s="9581"/>
      <c r="K1702" s="105" t="s">
        <v>559</v>
      </c>
      <c r="L1702" s="5594">
        <f>China!AO334</f>
        <v>0</v>
      </c>
      <c r="M1702" s="5671"/>
      <c r="N1702" s="5724">
        <f>China!AQ334</f>
        <v>0</v>
      </c>
      <c r="O1702" s="5680"/>
      <c r="P1702" s="5725">
        <f>China!AS334</f>
        <v>0</v>
      </c>
      <c r="Q1702" s="5678"/>
      <c r="R1702" s="2468"/>
      <c r="S1702" s="544"/>
      <c r="T1702" s="545"/>
      <c r="U1702" s="546"/>
      <c r="V1702" s="547"/>
      <c r="W1702" s="548"/>
      <c r="X1702" s="277"/>
      <c r="Y1702" s="277"/>
      <c r="Z1702" s="187"/>
      <c r="AA1702" s="6301"/>
      <c r="AB1702" s="139"/>
      <c r="AC1702" s="139"/>
      <c r="AD1702" s="139"/>
      <c r="AE1702" s="139"/>
      <c r="AF1702" s="139"/>
      <c r="AG1702" s="139"/>
      <c r="AH1702" s="139"/>
      <c r="AI1702" s="139"/>
      <c r="AJ1702" s="139"/>
      <c r="AK1702" s="139"/>
      <c r="AL1702" s="139"/>
      <c r="AM1702" s="139"/>
      <c r="AN1702" s="139"/>
      <c r="AO1702" s="139"/>
      <c r="AP1702" s="139"/>
      <c r="AQ1702" s="139"/>
      <c r="AR1702" s="139"/>
      <c r="AS1702" s="139"/>
      <c r="AT1702" s="139"/>
      <c r="AU1702" s="139"/>
      <c r="AV1702" s="139"/>
      <c r="AW1702" s="139"/>
      <c r="AX1702" s="139"/>
      <c r="AY1702" s="139"/>
      <c r="AZ1702" s="139"/>
      <c r="BA1702" s="139"/>
      <c r="BB1702" s="139"/>
      <c r="BC1702" s="139"/>
      <c r="BD1702" s="139"/>
      <c r="BE1702" s="139"/>
      <c r="BF1702" s="139"/>
      <c r="BG1702" s="139"/>
      <c r="BH1702" s="139"/>
    </row>
    <row r="1703" spans="2:60" s="11" customFormat="1" ht="20.100000000000001" customHeight="1">
      <c r="B1703" s="1360"/>
      <c r="C1703" s="9647" t="s">
        <v>143</v>
      </c>
      <c r="D1703" s="9648"/>
      <c r="E1703" s="9649"/>
      <c r="F1703" s="132" t="s">
        <v>557</v>
      </c>
      <c r="G1703" s="666"/>
      <c r="H1703" s="9579" t="s">
        <v>144</v>
      </c>
      <c r="I1703" s="9580"/>
      <c r="J1703" s="9581"/>
      <c r="K1703" s="105" t="s">
        <v>559</v>
      </c>
      <c r="L1703" s="5594">
        <f>Vietnam!Q333</f>
        <v>0</v>
      </c>
      <c r="M1703" s="5671"/>
      <c r="N1703" s="5724">
        <f>Vietnam!S333</f>
        <v>0</v>
      </c>
      <c r="O1703" s="5680"/>
      <c r="P1703" s="5725"/>
      <c r="Q1703" s="5678"/>
      <c r="R1703" s="2468"/>
      <c r="S1703" s="544"/>
      <c r="T1703" s="545"/>
      <c r="U1703" s="546"/>
      <c r="V1703" s="547"/>
      <c r="W1703" s="548"/>
      <c r="X1703" s="277"/>
      <c r="Y1703" s="277"/>
      <c r="Z1703" s="187"/>
      <c r="AA1703" s="6301"/>
      <c r="AB1703" s="139"/>
      <c r="AC1703" s="139"/>
      <c r="AD1703" s="139"/>
      <c r="AE1703" s="139"/>
      <c r="AF1703" s="139"/>
      <c r="AG1703" s="139"/>
      <c r="AH1703" s="139"/>
      <c r="AI1703" s="139"/>
      <c r="AJ1703" s="139"/>
      <c r="AK1703" s="139"/>
      <c r="AL1703" s="139"/>
      <c r="AM1703" s="139"/>
      <c r="AN1703" s="139"/>
      <c r="AO1703" s="139"/>
      <c r="AP1703" s="139"/>
      <c r="AQ1703" s="139"/>
      <c r="AR1703" s="139"/>
      <c r="AS1703" s="139"/>
      <c r="AT1703" s="139"/>
      <c r="AU1703" s="139"/>
      <c r="AV1703" s="139"/>
      <c r="AW1703" s="139"/>
      <c r="AX1703" s="139"/>
      <c r="AY1703" s="139"/>
      <c r="AZ1703" s="139"/>
      <c r="BA1703" s="139"/>
      <c r="BB1703" s="139"/>
      <c r="BC1703" s="139"/>
      <c r="BD1703" s="139"/>
      <c r="BE1703" s="139"/>
      <c r="BF1703" s="139"/>
      <c r="BG1703" s="139"/>
      <c r="BH1703" s="139"/>
    </row>
    <row r="1704" spans="2:60" s="11" customFormat="1" ht="20.100000000000001" customHeight="1">
      <c r="B1704" s="1360"/>
      <c r="C1704" s="9647" t="s">
        <v>631</v>
      </c>
      <c r="D1704" s="9648"/>
      <c r="E1704" s="9649"/>
      <c r="F1704" s="132" t="s">
        <v>557</v>
      </c>
      <c r="G1704" s="666"/>
      <c r="H1704" s="9579" t="s">
        <v>147</v>
      </c>
      <c r="I1704" s="9580"/>
      <c r="J1704" s="9581"/>
      <c r="K1704" s="105" t="s">
        <v>559</v>
      </c>
      <c r="L1704" s="5594">
        <f>Indonesia!V333</f>
        <v>0</v>
      </c>
      <c r="M1704" s="5671" t="s">
        <v>1265</v>
      </c>
      <c r="N1704" s="5724">
        <f>Indonesia!X333</f>
        <v>0</v>
      </c>
      <c r="O1704" s="5671" t="s">
        <v>1265</v>
      </c>
      <c r="P1704" s="5725"/>
      <c r="Q1704" s="5678"/>
      <c r="R1704" s="2468"/>
      <c r="S1704" s="544"/>
      <c r="T1704" s="545"/>
      <c r="U1704" s="546"/>
      <c r="V1704" s="547"/>
      <c r="W1704" s="548"/>
      <c r="X1704" s="277"/>
      <c r="Y1704" s="277"/>
      <c r="Z1704" s="187"/>
      <c r="AA1704" s="6301"/>
      <c r="AB1704" s="139"/>
      <c r="AC1704" s="139"/>
      <c r="AD1704" s="139"/>
      <c r="AE1704" s="139"/>
      <c r="AF1704" s="139"/>
      <c r="AG1704" s="139"/>
      <c r="AH1704" s="139"/>
      <c r="AI1704" s="139"/>
      <c r="AJ1704" s="139"/>
      <c r="AK1704" s="139"/>
      <c r="AL1704" s="139"/>
      <c r="AM1704" s="139"/>
      <c r="AN1704" s="139"/>
      <c r="AO1704" s="139"/>
      <c r="AP1704" s="139"/>
      <c r="AQ1704" s="139"/>
      <c r="AR1704" s="139"/>
      <c r="AS1704" s="139"/>
      <c r="AT1704" s="139"/>
      <c r="AU1704" s="139"/>
      <c r="AV1704" s="139"/>
      <c r="AW1704" s="139"/>
      <c r="AX1704" s="139"/>
      <c r="AY1704" s="139"/>
      <c r="AZ1704" s="139"/>
      <c r="BA1704" s="139"/>
      <c r="BB1704" s="139"/>
      <c r="BC1704" s="139"/>
      <c r="BD1704" s="139"/>
      <c r="BE1704" s="139"/>
      <c r="BF1704" s="139"/>
      <c r="BG1704" s="139"/>
      <c r="BH1704" s="139"/>
    </row>
    <row r="1705" spans="2:60" s="11" customFormat="1" ht="20.100000000000001" customHeight="1">
      <c r="B1705" s="1360"/>
      <c r="C1705" s="9647" t="s">
        <v>633</v>
      </c>
      <c r="D1705" s="9648"/>
      <c r="E1705" s="9649"/>
      <c r="F1705" s="132" t="s">
        <v>557</v>
      </c>
      <c r="G1705" s="666"/>
      <c r="H1705" s="9579" t="s">
        <v>150</v>
      </c>
      <c r="I1705" s="9580"/>
      <c r="J1705" s="9581"/>
      <c r="K1705" s="105" t="s">
        <v>559</v>
      </c>
      <c r="L1705" s="5594">
        <v>0</v>
      </c>
      <c r="M1705" s="5671"/>
      <c r="N1705" s="5724">
        <v>0</v>
      </c>
      <c r="O1705" s="5671"/>
      <c r="P1705" s="5724">
        <v>0</v>
      </c>
      <c r="Q1705" s="5678"/>
      <c r="R1705" s="2468"/>
      <c r="S1705" s="544"/>
      <c r="T1705" s="545"/>
      <c r="U1705" s="546"/>
      <c r="V1705" s="547"/>
      <c r="W1705" s="548"/>
      <c r="X1705" s="277"/>
      <c r="Y1705" s="277"/>
      <c r="Z1705" s="187"/>
      <c r="AA1705" s="6301"/>
      <c r="AB1705" s="139"/>
      <c r="AC1705" s="139"/>
      <c r="AD1705" s="139"/>
      <c r="AE1705" s="139"/>
      <c r="AF1705" s="139"/>
      <c r="AG1705" s="139"/>
      <c r="AH1705" s="139"/>
      <c r="AI1705" s="139"/>
      <c r="AJ1705" s="139"/>
      <c r="AK1705" s="139"/>
      <c r="AL1705" s="139"/>
      <c r="AM1705" s="139"/>
      <c r="AN1705" s="139"/>
      <c r="AO1705" s="139"/>
      <c r="AP1705" s="139"/>
      <c r="AQ1705" s="139"/>
      <c r="AR1705" s="139"/>
      <c r="AS1705" s="139"/>
      <c r="AT1705" s="139"/>
      <c r="AU1705" s="139"/>
      <c r="AV1705" s="139"/>
      <c r="AW1705" s="139"/>
      <c r="AX1705" s="139"/>
      <c r="AY1705" s="139"/>
      <c r="AZ1705" s="139"/>
      <c r="BA1705" s="139"/>
      <c r="BB1705" s="139"/>
      <c r="BC1705" s="139"/>
      <c r="BD1705" s="139"/>
      <c r="BE1705" s="139"/>
      <c r="BF1705" s="139"/>
      <c r="BG1705" s="139"/>
      <c r="BH1705" s="139"/>
    </row>
    <row r="1706" spans="2:60" s="11" customFormat="1" ht="20.100000000000001" customHeight="1">
      <c r="B1706" s="1360"/>
      <c r="C1706" s="5598"/>
      <c r="D1706" s="9584" t="s">
        <v>1266</v>
      </c>
      <c r="E1706" s="9585"/>
      <c r="F1706" s="132" t="s">
        <v>156</v>
      </c>
      <c r="G1706" s="777"/>
      <c r="H1706" s="6209"/>
      <c r="I1706" s="9584" t="s">
        <v>1267</v>
      </c>
      <c r="J1706" s="9585"/>
      <c r="K1706" s="105" t="s">
        <v>156</v>
      </c>
      <c r="L1706" s="5968" t="str">
        <f>IF(COUNTBLANK(L1707:L1712)&gt;0,"미취합법인有",AVERAGE(L1707:L1712))</f>
        <v>미취합법인有</v>
      </c>
      <c r="M1706" s="5657"/>
      <c r="N1706" s="5654" t="str">
        <f>IF(COUNTBLANK(N1707:N1712)&gt;0,"미취합법인有",AVERAGE(N1707:N1712))</f>
        <v>미취합법인有</v>
      </c>
      <c r="O1706" s="5663"/>
      <c r="P1706" s="5781" t="str">
        <f>IF(COUNTBLANK(P1707:P1712)&gt;0,"미취합법인有",AVERAGE(P1707:P1712))</f>
        <v>미취합법인有</v>
      </c>
      <c r="Q1706" s="785"/>
      <c r="R1706" s="2468"/>
      <c r="S1706" s="276"/>
      <c r="T1706" s="1715" t="s">
        <v>206</v>
      </c>
      <c r="U1706" s="547"/>
      <c r="V1706" s="547"/>
      <c r="W1706" s="109"/>
      <c r="X1706" s="896"/>
      <c r="Y1706" s="265"/>
      <c r="Z1706" s="187" t="s">
        <v>1268</v>
      </c>
      <c r="AA1706" s="6301"/>
      <c r="AB1706" s="139"/>
      <c r="AC1706" s="139"/>
      <c r="AD1706" s="139"/>
      <c r="AE1706" s="139"/>
      <c r="AF1706" s="139"/>
      <c r="AG1706" s="139"/>
      <c r="AH1706" s="139"/>
      <c r="AI1706" s="139"/>
      <c r="AJ1706" s="139"/>
      <c r="AK1706" s="139"/>
      <c r="AL1706" s="139"/>
      <c r="AM1706" s="139"/>
      <c r="AN1706" s="139"/>
      <c r="AO1706" s="139"/>
      <c r="AP1706" s="139"/>
      <c r="AQ1706" s="139"/>
      <c r="AR1706" s="139"/>
      <c r="AS1706" s="139"/>
      <c r="AT1706" s="139"/>
      <c r="AU1706" s="139"/>
      <c r="AV1706" s="139"/>
      <c r="AW1706" s="139"/>
      <c r="AX1706" s="139"/>
      <c r="AY1706" s="139"/>
      <c r="AZ1706" s="139"/>
      <c r="BA1706" s="139"/>
      <c r="BB1706" s="139"/>
      <c r="BC1706" s="139"/>
      <c r="BD1706" s="139"/>
      <c r="BE1706" s="139"/>
      <c r="BF1706" s="139"/>
      <c r="BG1706" s="139"/>
      <c r="BH1706" s="139"/>
    </row>
    <row r="1707" spans="2:60" s="11" customFormat="1" ht="20.100000000000001" customHeight="1">
      <c r="B1707" s="1360"/>
      <c r="C1707" s="614"/>
      <c r="D1707" s="9598" t="s">
        <v>134</v>
      </c>
      <c r="E1707" s="9600"/>
      <c r="F1707" s="285" t="s">
        <v>156</v>
      </c>
      <c r="G1707" s="666"/>
      <c r="H1707" s="6256"/>
      <c r="I1707" s="9579" t="s">
        <v>135</v>
      </c>
      <c r="J1707" s="9581"/>
      <c r="K1707" s="105" t="s">
        <v>156</v>
      </c>
      <c r="L1707" s="5594">
        <v>0</v>
      </c>
      <c r="M1707" s="5870"/>
      <c r="N1707" s="5870">
        <v>0</v>
      </c>
      <c r="O1707" s="5870"/>
      <c r="P1707" s="5870">
        <v>0</v>
      </c>
      <c r="Q1707" s="5870"/>
      <c r="R1707" s="2483"/>
      <c r="S1707" s="544"/>
      <c r="T1707" s="545"/>
      <c r="U1707" s="546"/>
      <c r="V1707" s="547"/>
      <c r="W1707" s="548"/>
      <c r="X1707" s="277"/>
      <c r="Y1707" s="277"/>
      <c r="Z1707" s="187"/>
      <c r="AA1707" s="6301"/>
      <c r="AB1707" s="139"/>
      <c r="AC1707" s="139"/>
      <c r="AD1707" s="139"/>
      <c r="AE1707" s="139"/>
      <c r="AF1707" s="139"/>
      <c r="AG1707" s="139"/>
      <c r="AH1707" s="139"/>
      <c r="AI1707" s="139"/>
      <c r="AJ1707" s="139"/>
      <c r="AK1707" s="139"/>
      <c r="AL1707" s="139"/>
      <c r="AM1707" s="139"/>
      <c r="AN1707" s="139"/>
      <c r="AO1707" s="139"/>
      <c r="AP1707" s="139"/>
      <c r="AQ1707" s="139"/>
      <c r="AR1707" s="139"/>
      <c r="AS1707" s="139"/>
      <c r="AT1707" s="139"/>
      <c r="AU1707" s="139"/>
      <c r="AV1707" s="139"/>
      <c r="AW1707" s="139"/>
      <c r="AX1707" s="139"/>
      <c r="AY1707" s="139"/>
      <c r="AZ1707" s="139"/>
      <c r="BA1707" s="139"/>
      <c r="BB1707" s="139"/>
      <c r="BC1707" s="139"/>
      <c r="BD1707" s="139"/>
      <c r="BE1707" s="139"/>
      <c r="BF1707" s="139"/>
      <c r="BG1707" s="139"/>
      <c r="BH1707" s="139"/>
    </row>
    <row r="1708" spans="2:60" s="11" customFormat="1" ht="20.100000000000001" customHeight="1">
      <c r="B1708" s="1360"/>
      <c r="C1708" s="5598"/>
      <c r="D1708" s="9598" t="s">
        <v>137</v>
      </c>
      <c r="E1708" s="9600"/>
      <c r="F1708" s="285" t="s">
        <v>156</v>
      </c>
      <c r="G1708" s="666"/>
      <c r="H1708" s="6192"/>
      <c r="I1708" s="9579" t="s">
        <v>138</v>
      </c>
      <c r="J1708" s="9581"/>
      <c r="K1708" s="105" t="s">
        <v>156</v>
      </c>
      <c r="L1708" s="5594">
        <v>0</v>
      </c>
      <c r="M1708" s="5870"/>
      <c r="N1708" s="5870">
        <v>0</v>
      </c>
      <c r="O1708" s="5870"/>
      <c r="P1708" s="5870">
        <v>0</v>
      </c>
      <c r="Q1708" s="5870"/>
      <c r="R1708" s="2483"/>
      <c r="S1708" s="544"/>
      <c r="T1708" s="545"/>
      <c r="U1708" s="546"/>
      <c r="V1708" s="547"/>
      <c r="W1708" s="548"/>
      <c r="X1708" s="277"/>
      <c r="Y1708" s="277"/>
      <c r="Z1708" s="187"/>
      <c r="AA1708" s="6301"/>
      <c r="AB1708" s="139"/>
      <c r="AC1708" s="139"/>
      <c r="AD1708" s="139"/>
      <c r="AE1708" s="139"/>
      <c r="AF1708" s="139"/>
      <c r="AG1708" s="139"/>
      <c r="AH1708" s="139"/>
      <c r="AI1708" s="139"/>
      <c r="AJ1708" s="139"/>
      <c r="AK1708" s="139"/>
      <c r="AL1708" s="139"/>
      <c r="AM1708" s="139"/>
      <c r="AN1708" s="139"/>
      <c r="AO1708" s="139"/>
      <c r="AP1708" s="139"/>
      <c r="AQ1708" s="139"/>
      <c r="AR1708" s="139"/>
      <c r="AS1708" s="139"/>
      <c r="AT1708" s="139"/>
      <c r="AU1708" s="139"/>
      <c r="AV1708" s="139"/>
      <c r="AW1708" s="139"/>
      <c r="AX1708" s="139"/>
      <c r="AY1708" s="139"/>
      <c r="AZ1708" s="139"/>
      <c r="BA1708" s="139"/>
      <c r="BB1708" s="139"/>
      <c r="BC1708" s="139"/>
      <c r="BD1708" s="139"/>
      <c r="BE1708" s="139"/>
      <c r="BF1708" s="139"/>
      <c r="BG1708" s="139"/>
      <c r="BH1708" s="139"/>
    </row>
    <row r="1709" spans="2:60" s="11" customFormat="1" ht="20.100000000000001" customHeight="1">
      <c r="B1709" s="1360"/>
      <c r="C1709" s="5598"/>
      <c r="D1709" s="9598" t="s">
        <v>140</v>
      </c>
      <c r="E1709" s="9600"/>
      <c r="F1709" s="285" t="s">
        <v>156</v>
      </c>
      <c r="G1709" s="666"/>
      <c r="H1709" s="6192"/>
      <c r="I1709" s="9582" t="s">
        <v>141</v>
      </c>
      <c r="J1709" s="9583"/>
      <c r="K1709" s="105" t="s">
        <v>156</v>
      </c>
      <c r="L1709" s="5594"/>
      <c r="M1709" s="5870"/>
      <c r="N1709" s="5870"/>
      <c r="O1709" s="5870"/>
      <c r="P1709" s="5870"/>
      <c r="Q1709" s="5870"/>
      <c r="R1709" s="2483"/>
      <c r="S1709" s="544"/>
      <c r="T1709" s="545"/>
      <c r="U1709" s="546"/>
      <c r="V1709" s="547"/>
      <c r="W1709" s="548"/>
      <c r="X1709" s="277"/>
      <c r="Y1709" s="277"/>
      <c r="Z1709" s="187"/>
      <c r="AA1709" s="6301"/>
      <c r="AB1709" s="139"/>
      <c r="AC1709" s="139"/>
      <c r="AD1709" s="139"/>
      <c r="AE1709" s="139"/>
      <c r="AF1709" s="139"/>
      <c r="AG1709" s="139"/>
      <c r="AH1709" s="139"/>
      <c r="AI1709" s="139"/>
      <c r="AJ1709" s="139"/>
      <c r="AK1709" s="139"/>
      <c r="AL1709" s="139"/>
      <c r="AM1709" s="139"/>
      <c r="AN1709" s="139"/>
      <c r="AO1709" s="139"/>
      <c r="AP1709" s="139"/>
      <c r="AQ1709" s="139"/>
      <c r="AR1709" s="139"/>
      <c r="AS1709" s="139"/>
      <c r="AT1709" s="139"/>
      <c r="AU1709" s="139"/>
      <c r="AV1709" s="139"/>
      <c r="AW1709" s="139"/>
      <c r="AX1709" s="139"/>
      <c r="AY1709" s="139"/>
      <c r="AZ1709" s="139"/>
      <c r="BA1709" s="139"/>
      <c r="BB1709" s="139"/>
      <c r="BC1709" s="139"/>
      <c r="BD1709" s="139"/>
      <c r="BE1709" s="139"/>
      <c r="BF1709" s="139"/>
      <c r="BG1709" s="139"/>
      <c r="BH1709" s="139"/>
    </row>
    <row r="1710" spans="2:60" s="11" customFormat="1" ht="20.100000000000001" customHeight="1">
      <c r="B1710" s="1360"/>
      <c r="C1710" s="614"/>
      <c r="D1710" s="9598" t="s">
        <v>143</v>
      </c>
      <c r="E1710" s="9600"/>
      <c r="F1710" s="285" t="s">
        <v>156</v>
      </c>
      <c r="G1710" s="666"/>
      <c r="H1710" s="6256"/>
      <c r="I1710" s="9582" t="s">
        <v>144</v>
      </c>
      <c r="J1710" s="9583"/>
      <c r="K1710" s="105" t="s">
        <v>156</v>
      </c>
      <c r="L1710" s="5594"/>
      <c r="M1710" s="5870"/>
      <c r="N1710" s="5870"/>
      <c r="O1710" s="5870"/>
      <c r="P1710" s="5870"/>
      <c r="Q1710" s="5870"/>
      <c r="R1710" s="2483"/>
      <c r="S1710" s="544"/>
      <c r="T1710" s="545"/>
      <c r="U1710" s="546"/>
      <c r="V1710" s="547"/>
      <c r="W1710" s="548"/>
      <c r="X1710" s="277"/>
      <c r="Y1710" s="277"/>
      <c r="Z1710" s="187"/>
      <c r="AA1710" s="6301"/>
      <c r="AB1710" s="139"/>
      <c r="AC1710" s="139"/>
      <c r="AD1710" s="139"/>
      <c r="AE1710" s="139"/>
      <c r="AF1710" s="139"/>
      <c r="AG1710" s="139"/>
      <c r="AH1710" s="139"/>
      <c r="AI1710" s="139"/>
      <c r="AJ1710" s="139"/>
      <c r="AK1710" s="139"/>
      <c r="AL1710" s="139"/>
      <c r="AM1710" s="139"/>
      <c r="AN1710" s="139"/>
      <c r="AO1710" s="139"/>
      <c r="AP1710" s="139"/>
      <c r="AQ1710" s="139"/>
      <c r="AR1710" s="139"/>
      <c r="AS1710" s="139"/>
      <c r="AT1710" s="139"/>
      <c r="AU1710" s="139"/>
      <c r="AV1710" s="139"/>
      <c r="AW1710" s="139"/>
      <c r="AX1710" s="139"/>
      <c r="AY1710" s="139"/>
      <c r="AZ1710" s="139"/>
      <c r="BA1710" s="139"/>
      <c r="BB1710" s="139"/>
      <c r="BC1710" s="139"/>
      <c r="BD1710" s="139"/>
      <c r="BE1710" s="139"/>
      <c r="BF1710" s="139"/>
      <c r="BG1710" s="139"/>
      <c r="BH1710" s="139"/>
    </row>
    <row r="1711" spans="2:60" s="11" customFormat="1" ht="20.100000000000001" customHeight="1">
      <c r="B1711" s="1360"/>
      <c r="C1711" s="5598"/>
      <c r="D1711" s="9598" t="s">
        <v>631</v>
      </c>
      <c r="E1711" s="9600"/>
      <c r="F1711" s="285" t="s">
        <v>156</v>
      </c>
      <c r="G1711" s="666"/>
      <c r="H1711" s="6192"/>
      <c r="I1711" s="9582" t="s">
        <v>147</v>
      </c>
      <c r="J1711" s="9583"/>
      <c r="K1711" s="105" t="s">
        <v>156</v>
      </c>
      <c r="L1711" s="5956" t="s">
        <v>168</v>
      </c>
      <c r="M1711" s="5870" t="s">
        <v>641</v>
      </c>
      <c r="N1711" s="5870" t="s">
        <v>169</v>
      </c>
      <c r="O1711" s="5870" t="s">
        <v>641</v>
      </c>
      <c r="P1711" s="5870" t="s">
        <v>169</v>
      </c>
      <c r="Q1711" s="5870" t="s">
        <v>641</v>
      </c>
      <c r="R1711" s="2483"/>
      <c r="S1711" s="544"/>
      <c r="T1711" s="545"/>
      <c r="U1711" s="546"/>
      <c r="V1711" s="547"/>
      <c r="W1711" s="548"/>
      <c r="X1711" s="277"/>
      <c r="Y1711" s="277"/>
      <c r="Z1711" s="187"/>
      <c r="AA1711" s="6301"/>
      <c r="AB1711" s="139"/>
      <c r="AC1711" s="139"/>
      <c r="AD1711" s="139"/>
      <c r="AE1711" s="139"/>
      <c r="AF1711" s="139"/>
      <c r="AG1711" s="139"/>
      <c r="AH1711" s="139"/>
      <c r="AI1711" s="139"/>
      <c r="AJ1711" s="139"/>
      <c r="AK1711" s="139"/>
      <c r="AL1711" s="139"/>
      <c r="AM1711" s="139"/>
      <c r="AN1711" s="139"/>
      <c r="AO1711" s="139"/>
      <c r="AP1711" s="139"/>
      <c r="AQ1711" s="139"/>
      <c r="AR1711" s="139"/>
      <c r="AS1711" s="139"/>
      <c r="AT1711" s="139"/>
      <c r="AU1711" s="139"/>
      <c r="AV1711" s="139"/>
      <c r="AW1711" s="139"/>
      <c r="AX1711" s="139"/>
      <c r="AY1711" s="139"/>
      <c r="AZ1711" s="139"/>
      <c r="BA1711" s="139"/>
      <c r="BB1711" s="139"/>
      <c r="BC1711" s="139"/>
      <c r="BD1711" s="139"/>
      <c r="BE1711" s="139"/>
      <c r="BF1711" s="139"/>
      <c r="BG1711" s="139"/>
      <c r="BH1711" s="139"/>
    </row>
    <row r="1712" spans="2:60" s="11" customFormat="1" ht="20.100000000000001" customHeight="1">
      <c r="B1712" s="1360"/>
      <c r="C1712" s="5598"/>
      <c r="D1712" s="9598" t="s">
        <v>633</v>
      </c>
      <c r="E1712" s="9600"/>
      <c r="F1712" s="285" t="s">
        <v>156</v>
      </c>
      <c r="G1712" s="666"/>
      <c r="H1712" s="6192"/>
      <c r="I1712" s="9582" t="s">
        <v>150</v>
      </c>
      <c r="J1712" s="9583"/>
      <c r="K1712" s="105" t="s">
        <v>156</v>
      </c>
      <c r="L1712" s="5594"/>
      <c r="M1712" s="5870" t="s">
        <v>641</v>
      </c>
      <c r="N1712" s="5870"/>
      <c r="O1712" s="5870" t="s">
        <v>641</v>
      </c>
      <c r="P1712" s="5870"/>
      <c r="Q1712" s="5870" t="s">
        <v>641</v>
      </c>
      <c r="R1712" s="2483"/>
      <c r="S1712" s="544"/>
      <c r="T1712" s="545"/>
      <c r="U1712" s="546"/>
      <c r="V1712" s="547"/>
      <c r="W1712" s="548"/>
      <c r="X1712" s="277"/>
      <c r="Y1712" s="277"/>
      <c r="Z1712" s="187"/>
      <c r="AA1712" s="6301"/>
      <c r="AB1712" s="139"/>
      <c r="AC1712" s="139"/>
      <c r="AD1712" s="139"/>
      <c r="AE1712" s="139"/>
      <c r="AF1712" s="139"/>
      <c r="AG1712" s="139"/>
      <c r="AH1712" s="139"/>
      <c r="AI1712" s="139"/>
      <c r="AJ1712" s="139"/>
      <c r="AK1712" s="139"/>
      <c r="AL1712" s="139"/>
      <c r="AM1712" s="139"/>
      <c r="AN1712" s="139"/>
      <c r="AO1712" s="139"/>
      <c r="AP1712" s="139"/>
      <c r="AQ1712" s="139"/>
      <c r="AR1712" s="139"/>
      <c r="AS1712" s="139"/>
      <c r="AT1712" s="139"/>
      <c r="AU1712" s="139"/>
      <c r="AV1712" s="139"/>
      <c r="AW1712" s="139"/>
      <c r="AX1712" s="139"/>
      <c r="AY1712" s="139"/>
      <c r="AZ1712" s="139"/>
      <c r="BA1712" s="139"/>
      <c r="BB1712" s="139"/>
      <c r="BC1712" s="139"/>
      <c r="BD1712" s="139"/>
      <c r="BE1712" s="139"/>
      <c r="BF1712" s="139"/>
      <c r="BG1712" s="139"/>
      <c r="BH1712" s="139"/>
    </row>
    <row r="1713" spans="2:60" s="11" customFormat="1" ht="20.100000000000001" customHeight="1">
      <c r="B1713" s="1360"/>
      <c r="C1713" s="1387"/>
      <c r="D1713" s="9584" t="s">
        <v>1269</v>
      </c>
      <c r="E1713" s="9585"/>
      <c r="F1713" s="132" t="s">
        <v>156</v>
      </c>
      <c r="G1713" s="777"/>
      <c r="H1713" s="6257"/>
      <c r="I1713" s="9584" t="s">
        <v>1270</v>
      </c>
      <c r="J1713" s="9585"/>
      <c r="K1713" s="105" t="s">
        <v>156</v>
      </c>
      <c r="L1713" s="5968" t="str">
        <f>IF(COUNTBLANK(L1714:L1719)&gt;0,"미취합법인有",AVERAGE(L1714:L1719))</f>
        <v>미취합법인有</v>
      </c>
      <c r="M1713" s="5657"/>
      <c r="N1713" s="5654" t="str">
        <f>IF(COUNTBLANK(N1714:N1719)&gt;0,"미취합법인有",AVERAGE(N1714:N1719))</f>
        <v>미취합법인有</v>
      </c>
      <c r="O1713" s="5663"/>
      <c r="P1713" s="5781" t="str">
        <f>IF(COUNTBLANK(P1714:P1719)&gt;0,"미취합법인有",AVERAGE(P1714:P1719))</f>
        <v>미취합법인有</v>
      </c>
      <c r="Q1713" s="785"/>
      <c r="R1713" s="2468"/>
      <c r="S1713" s="276"/>
      <c r="T1713" s="1715" t="s">
        <v>206</v>
      </c>
      <c r="U1713" s="547"/>
      <c r="V1713" s="547"/>
      <c r="W1713" s="109"/>
      <c r="X1713" s="965"/>
      <c r="Y1713" s="427"/>
      <c r="Z1713" s="187" t="s">
        <v>1207</v>
      </c>
      <c r="AA1713" s="6301"/>
      <c r="AB1713" s="139"/>
      <c r="AC1713" s="139"/>
      <c r="AD1713" s="139"/>
      <c r="AE1713" s="139"/>
      <c r="AF1713" s="139"/>
      <c r="AG1713" s="139"/>
      <c r="AH1713" s="139"/>
      <c r="AI1713" s="139"/>
      <c r="AJ1713" s="139"/>
      <c r="AK1713" s="139"/>
      <c r="AL1713" s="139"/>
      <c r="AM1713" s="139"/>
      <c r="AN1713" s="139"/>
      <c r="AO1713" s="139"/>
      <c r="AP1713" s="139"/>
      <c r="AQ1713" s="139"/>
      <c r="AR1713" s="139"/>
      <c r="AS1713" s="139"/>
      <c r="AT1713" s="139"/>
      <c r="AU1713" s="139"/>
      <c r="AV1713" s="139"/>
      <c r="AW1713" s="139"/>
      <c r="AX1713" s="139"/>
      <c r="AY1713" s="139"/>
      <c r="AZ1713" s="139"/>
      <c r="BA1713" s="139"/>
      <c r="BB1713" s="139"/>
      <c r="BC1713" s="139"/>
      <c r="BD1713" s="139"/>
      <c r="BE1713" s="139"/>
      <c r="BF1713" s="139"/>
      <c r="BG1713" s="139"/>
      <c r="BH1713" s="139"/>
    </row>
    <row r="1714" spans="2:60" s="11" customFormat="1" ht="20.100000000000001" customHeight="1">
      <c r="B1714" s="1360"/>
      <c r="C1714" s="614"/>
      <c r="D1714" s="9598" t="s">
        <v>134</v>
      </c>
      <c r="E1714" s="9600"/>
      <c r="F1714" s="285" t="s">
        <v>156</v>
      </c>
      <c r="G1714" s="666"/>
      <c r="H1714" s="6256"/>
      <c r="I1714" s="9579" t="s">
        <v>135</v>
      </c>
      <c r="J1714" s="9581"/>
      <c r="K1714" s="105" t="s">
        <v>156</v>
      </c>
      <c r="L1714" s="5594">
        <v>0</v>
      </c>
      <c r="M1714" s="5870"/>
      <c r="N1714" s="5870">
        <v>0</v>
      </c>
      <c r="O1714" s="5870"/>
      <c r="P1714" s="5870">
        <v>0</v>
      </c>
      <c r="Q1714" s="5870"/>
      <c r="R1714" s="2483"/>
      <c r="S1714" s="544"/>
      <c r="T1714" s="545"/>
      <c r="U1714" s="546"/>
      <c r="V1714" s="547"/>
      <c r="W1714" s="548"/>
      <c r="X1714" s="277"/>
      <c r="Y1714" s="277"/>
      <c r="Z1714" s="187"/>
      <c r="AA1714" s="6301"/>
      <c r="AB1714" s="139"/>
      <c r="AC1714" s="139"/>
      <c r="AD1714" s="139"/>
      <c r="AE1714" s="139"/>
      <c r="AF1714" s="139"/>
      <c r="AG1714" s="139"/>
      <c r="AH1714" s="139"/>
      <c r="AI1714" s="139"/>
      <c r="AJ1714" s="139"/>
      <c r="AK1714" s="139"/>
      <c r="AL1714" s="139"/>
      <c r="AM1714" s="139"/>
      <c r="AN1714" s="139"/>
      <c r="AO1714" s="139"/>
      <c r="AP1714" s="139"/>
      <c r="AQ1714" s="139"/>
      <c r="AR1714" s="139"/>
      <c r="AS1714" s="139"/>
      <c r="AT1714" s="139"/>
      <c r="AU1714" s="139"/>
      <c r="AV1714" s="139"/>
      <c r="AW1714" s="139"/>
      <c r="AX1714" s="139"/>
      <c r="AY1714" s="139"/>
      <c r="AZ1714" s="139"/>
      <c r="BA1714" s="139"/>
      <c r="BB1714" s="139"/>
      <c r="BC1714" s="139"/>
      <c r="BD1714" s="139"/>
      <c r="BE1714" s="139"/>
      <c r="BF1714" s="139"/>
      <c r="BG1714" s="139"/>
      <c r="BH1714" s="139"/>
    </row>
    <row r="1715" spans="2:60" s="11" customFormat="1" ht="20.100000000000001" customHeight="1">
      <c r="B1715" s="1360"/>
      <c r="C1715" s="5598"/>
      <c r="D1715" s="9598" t="s">
        <v>137</v>
      </c>
      <c r="E1715" s="9600"/>
      <c r="F1715" s="285" t="s">
        <v>156</v>
      </c>
      <c r="G1715" s="666"/>
      <c r="H1715" s="6192"/>
      <c r="I1715" s="9579" t="s">
        <v>138</v>
      </c>
      <c r="J1715" s="9581"/>
      <c r="K1715" s="105" t="s">
        <v>156</v>
      </c>
      <c r="L1715" s="5594"/>
      <c r="M1715" s="5870"/>
      <c r="N1715" s="5870"/>
      <c r="O1715" s="5870"/>
      <c r="P1715" s="5870"/>
      <c r="Q1715" s="5870"/>
      <c r="R1715" s="2483"/>
      <c r="S1715" s="544"/>
      <c r="T1715" s="545"/>
      <c r="U1715" s="546"/>
      <c r="V1715" s="547"/>
      <c r="W1715" s="548"/>
      <c r="X1715" s="277"/>
      <c r="Y1715" s="277"/>
      <c r="Z1715" s="187"/>
      <c r="AA1715" s="6301"/>
      <c r="AB1715" s="139"/>
      <c r="AC1715" s="139"/>
      <c r="AD1715" s="139"/>
      <c r="AE1715" s="139"/>
      <c r="AF1715" s="139"/>
      <c r="AG1715" s="139"/>
      <c r="AH1715" s="139"/>
      <c r="AI1715" s="139"/>
      <c r="AJ1715" s="139"/>
      <c r="AK1715" s="139"/>
      <c r="AL1715" s="139"/>
      <c r="AM1715" s="139"/>
      <c r="AN1715" s="139"/>
      <c r="AO1715" s="139"/>
      <c r="AP1715" s="139"/>
      <c r="AQ1715" s="139"/>
      <c r="AR1715" s="139"/>
      <c r="AS1715" s="139"/>
      <c r="AT1715" s="139"/>
      <c r="AU1715" s="139"/>
      <c r="AV1715" s="139"/>
      <c r="AW1715" s="139"/>
      <c r="AX1715" s="139"/>
      <c r="AY1715" s="139"/>
      <c r="AZ1715" s="139"/>
      <c r="BA1715" s="139"/>
      <c r="BB1715" s="139"/>
      <c r="BC1715" s="139"/>
      <c r="BD1715" s="139"/>
      <c r="BE1715" s="139"/>
      <c r="BF1715" s="139"/>
      <c r="BG1715" s="139"/>
      <c r="BH1715" s="139"/>
    </row>
    <row r="1716" spans="2:60" s="11" customFormat="1" ht="20.100000000000001" customHeight="1">
      <c r="B1716" s="1360"/>
      <c r="C1716" s="5598"/>
      <c r="D1716" s="9598" t="s">
        <v>140</v>
      </c>
      <c r="E1716" s="9600"/>
      <c r="F1716" s="285" t="s">
        <v>156</v>
      </c>
      <c r="G1716" s="666"/>
      <c r="H1716" s="6192"/>
      <c r="I1716" s="9582" t="s">
        <v>141</v>
      </c>
      <c r="J1716" s="9583"/>
      <c r="K1716" s="105" t="s">
        <v>156</v>
      </c>
      <c r="L1716" s="5594"/>
      <c r="M1716" s="5870"/>
      <c r="N1716" s="5870"/>
      <c r="O1716" s="5870"/>
      <c r="P1716" s="5870"/>
      <c r="Q1716" s="5870"/>
      <c r="R1716" s="2483"/>
      <c r="S1716" s="544"/>
      <c r="T1716" s="545"/>
      <c r="U1716" s="546"/>
      <c r="V1716" s="547"/>
      <c r="W1716" s="548"/>
      <c r="X1716" s="277"/>
      <c r="Y1716" s="277"/>
      <c r="Z1716" s="187"/>
      <c r="AA1716" s="6301"/>
      <c r="AB1716" s="139"/>
      <c r="AC1716" s="139"/>
      <c r="AD1716" s="139"/>
      <c r="AE1716" s="139"/>
      <c r="AF1716" s="139"/>
      <c r="AG1716" s="139"/>
      <c r="AH1716" s="139"/>
      <c r="AI1716" s="139"/>
      <c r="AJ1716" s="139"/>
      <c r="AK1716" s="139"/>
      <c r="AL1716" s="139"/>
      <c r="AM1716" s="139"/>
      <c r="AN1716" s="139"/>
      <c r="AO1716" s="139"/>
      <c r="AP1716" s="139"/>
      <c r="AQ1716" s="139"/>
      <c r="AR1716" s="139"/>
      <c r="AS1716" s="139"/>
      <c r="AT1716" s="139"/>
      <c r="AU1716" s="139"/>
      <c r="AV1716" s="139"/>
      <c r="AW1716" s="139"/>
      <c r="AX1716" s="139"/>
      <c r="AY1716" s="139"/>
      <c r="AZ1716" s="139"/>
      <c r="BA1716" s="139"/>
      <c r="BB1716" s="139"/>
      <c r="BC1716" s="139"/>
      <c r="BD1716" s="139"/>
      <c r="BE1716" s="139"/>
      <c r="BF1716" s="139"/>
      <c r="BG1716" s="139"/>
      <c r="BH1716" s="139"/>
    </row>
    <row r="1717" spans="2:60" s="11" customFormat="1" ht="20.100000000000001" customHeight="1">
      <c r="B1717" s="1360"/>
      <c r="C1717" s="614"/>
      <c r="D1717" s="9598" t="s">
        <v>143</v>
      </c>
      <c r="E1717" s="9600"/>
      <c r="F1717" s="285" t="s">
        <v>156</v>
      </c>
      <c r="G1717" s="666"/>
      <c r="H1717" s="6256"/>
      <c r="I1717" s="9582" t="s">
        <v>144</v>
      </c>
      <c r="J1717" s="9583"/>
      <c r="K1717" s="105" t="s">
        <v>156</v>
      </c>
      <c r="L1717" s="5594"/>
      <c r="M1717" s="5870"/>
      <c r="N1717" s="5870"/>
      <c r="O1717" s="5871"/>
      <c r="P1717" s="5870"/>
      <c r="Q1717" s="5870"/>
      <c r="R1717" s="2483"/>
      <c r="S1717" s="544"/>
      <c r="T1717" s="545"/>
      <c r="U1717" s="546"/>
      <c r="V1717" s="547"/>
      <c r="W1717" s="548"/>
      <c r="X1717" s="277"/>
      <c r="Y1717" s="277"/>
      <c r="Z1717" s="187"/>
      <c r="AA1717" s="6301"/>
      <c r="AB1717" s="139"/>
      <c r="AC1717" s="139"/>
      <c r="AD1717" s="139"/>
      <c r="AE1717" s="139"/>
      <c r="AF1717" s="139"/>
      <c r="AG1717" s="139"/>
      <c r="AH1717" s="139"/>
      <c r="AI1717" s="139"/>
      <c r="AJ1717" s="139"/>
      <c r="AK1717" s="139"/>
      <c r="AL1717" s="139"/>
      <c r="AM1717" s="139"/>
      <c r="AN1717" s="139"/>
      <c r="AO1717" s="139"/>
      <c r="AP1717" s="139"/>
      <c r="AQ1717" s="139"/>
      <c r="AR1717" s="139"/>
      <c r="AS1717" s="139"/>
      <c r="AT1717" s="139"/>
      <c r="AU1717" s="139"/>
      <c r="AV1717" s="139"/>
      <c r="AW1717" s="139"/>
      <c r="AX1717" s="139"/>
      <c r="AY1717" s="139"/>
      <c r="AZ1717" s="139"/>
      <c r="BA1717" s="139"/>
      <c r="BB1717" s="139"/>
      <c r="BC1717" s="139"/>
      <c r="BD1717" s="139"/>
      <c r="BE1717" s="139"/>
      <c r="BF1717" s="139"/>
      <c r="BG1717" s="139"/>
      <c r="BH1717" s="139"/>
    </row>
    <row r="1718" spans="2:60" s="11" customFormat="1" ht="20.100000000000001" customHeight="1">
      <c r="B1718" s="1360"/>
      <c r="C1718" s="5598"/>
      <c r="D1718" s="9598" t="s">
        <v>631</v>
      </c>
      <c r="E1718" s="9600"/>
      <c r="F1718" s="285" t="s">
        <v>156</v>
      </c>
      <c r="G1718" s="666"/>
      <c r="H1718" s="6192"/>
      <c r="I1718" s="9582" t="s">
        <v>147</v>
      </c>
      <c r="J1718" s="9583"/>
      <c r="K1718" s="105" t="s">
        <v>156</v>
      </c>
      <c r="L1718" s="5956" t="s">
        <v>168</v>
      </c>
      <c r="M1718" s="6004" t="s">
        <v>641</v>
      </c>
      <c r="N1718" s="5870" t="s">
        <v>169</v>
      </c>
      <c r="O1718" s="5870" t="s">
        <v>641</v>
      </c>
      <c r="P1718" s="5870" t="s">
        <v>169</v>
      </c>
      <c r="Q1718" s="5870" t="s">
        <v>641</v>
      </c>
      <c r="R1718" s="2483"/>
      <c r="S1718" s="544"/>
      <c r="T1718" s="545"/>
      <c r="U1718" s="546"/>
      <c r="V1718" s="547"/>
      <c r="W1718" s="548"/>
      <c r="X1718" s="277"/>
      <c r="Y1718" s="277"/>
      <c r="Z1718" s="187"/>
      <c r="AA1718" s="6301"/>
      <c r="AB1718" s="139"/>
      <c r="AC1718" s="139"/>
      <c r="AD1718" s="139"/>
      <c r="AE1718" s="139"/>
      <c r="AF1718" s="139"/>
      <c r="AG1718" s="139"/>
      <c r="AH1718" s="139"/>
      <c r="AI1718" s="139"/>
      <c r="AJ1718" s="139"/>
      <c r="AK1718" s="139"/>
      <c r="AL1718" s="139"/>
      <c r="AM1718" s="139"/>
      <c r="AN1718" s="139"/>
      <c r="AO1718" s="139"/>
      <c r="AP1718" s="139"/>
      <c r="AQ1718" s="139"/>
      <c r="AR1718" s="139"/>
      <c r="AS1718" s="139"/>
      <c r="AT1718" s="139"/>
      <c r="AU1718" s="139"/>
      <c r="AV1718" s="139"/>
      <c r="AW1718" s="139"/>
      <c r="AX1718" s="139"/>
      <c r="AY1718" s="139"/>
      <c r="AZ1718" s="139"/>
      <c r="BA1718" s="139"/>
      <c r="BB1718" s="139"/>
      <c r="BC1718" s="139"/>
      <c r="BD1718" s="139"/>
      <c r="BE1718" s="139"/>
      <c r="BF1718" s="139"/>
      <c r="BG1718" s="139"/>
      <c r="BH1718" s="139"/>
    </row>
    <row r="1719" spans="2:60" s="11" customFormat="1" ht="20.100000000000001" customHeight="1">
      <c r="B1719" s="1360"/>
      <c r="C1719" s="5598"/>
      <c r="D1719" s="9598" t="s">
        <v>633</v>
      </c>
      <c r="E1719" s="9600"/>
      <c r="F1719" s="285" t="s">
        <v>156</v>
      </c>
      <c r="G1719" s="666"/>
      <c r="H1719" s="6192"/>
      <c r="I1719" s="9582" t="s">
        <v>150</v>
      </c>
      <c r="J1719" s="9583"/>
      <c r="K1719" s="105" t="s">
        <v>156</v>
      </c>
      <c r="L1719" s="5956" t="s">
        <v>168</v>
      </c>
      <c r="M1719" s="6004" t="s">
        <v>641</v>
      </c>
      <c r="N1719" s="5870" t="s">
        <v>169</v>
      </c>
      <c r="O1719" s="5870" t="s">
        <v>641</v>
      </c>
      <c r="P1719" s="5870" t="s">
        <v>169</v>
      </c>
      <c r="Q1719" s="5870" t="s">
        <v>641</v>
      </c>
      <c r="R1719" s="2483"/>
      <c r="S1719" s="544"/>
      <c r="T1719" s="545"/>
      <c r="U1719" s="546"/>
      <c r="V1719" s="547"/>
      <c r="W1719" s="548"/>
      <c r="X1719" s="277"/>
      <c r="Y1719" s="277"/>
      <c r="Z1719" s="187"/>
      <c r="AA1719" s="6301"/>
      <c r="AB1719" s="139"/>
      <c r="AC1719" s="139"/>
      <c r="AD1719" s="139"/>
      <c r="AE1719" s="139"/>
      <c r="AF1719" s="139"/>
      <c r="AG1719" s="139"/>
      <c r="AH1719" s="139"/>
      <c r="AI1719" s="139"/>
      <c r="AJ1719" s="139"/>
      <c r="AK1719" s="139"/>
      <c r="AL1719" s="139"/>
      <c r="AM1719" s="139"/>
      <c r="AN1719" s="139"/>
      <c r="AO1719" s="139"/>
      <c r="AP1719" s="139"/>
      <c r="AQ1719" s="139"/>
      <c r="AR1719" s="139"/>
      <c r="AS1719" s="139"/>
      <c r="AT1719" s="139"/>
      <c r="AU1719" s="139"/>
      <c r="AV1719" s="139"/>
      <c r="AW1719" s="139"/>
      <c r="AX1719" s="139"/>
      <c r="AY1719" s="139"/>
      <c r="AZ1719" s="139"/>
      <c r="BA1719" s="139"/>
      <c r="BB1719" s="139"/>
      <c r="BC1719" s="139"/>
      <c r="BD1719" s="139"/>
      <c r="BE1719" s="139"/>
      <c r="BF1719" s="139"/>
      <c r="BG1719" s="139"/>
      <c r="BH1719" s="139"/>
    </row>
    <row r="1720" spans="2:60" s="11" customFormat="1" ht="20.100000000000001" customHeight="1">
      <c r="B1720" s="1360"/>
      <c r="C1720" s="9656" t="s">
        <v>1271</v>
      </c>
      <c r="D1720" s="9587"/>
      <c r="E1720" s="9588"/>
      <c r="F1720" s="132" t="s">
        <v>1272</v>
      </c>
      <c r="G1720" s="961"/>
      <c r="H1720" s="9586" t="s">
        <v>1273</v>
      </c>
      <c r="I1720" s="9587"/>
      <c r="J1720" s="9588"/>
      <c r="K1720" s="105" t="s">
        <v>1274</v>
      </c>
      <c r="L1720" s="5653">
        <f>IF(COUNTBLANK(L1721:L1726)&gt;0,"미취합법인有",SUM(L1721:L1726))</f>
        <v>3.6507076773797849</v>
      </c>
      <c r="M1720" s="5657"/>
      <c r="N1720" s="5654">
        <f>IF(COUNTBLANK(N1721:N1726)&gt;0,"미취합법인有",SUM(N1721:N1726))</f>
        <v>4.1213873526440583</v>
      </c>
      <c r="O1720" s="5663"/>
      <c r="P1720" s="5781" t="e">
        <f>IF(COUNTBLANK(P1721:P1726)&gt;0,"미취합법인有",SUM(P1721:P1726))</f>
        <v>#DIV/0!</v>
      </c>
      <c r="Q1720" s="785"/>
      <c r="R1720" s="2468" t="s">
        <v>1275</v>
      </c>
      <c r="S1720" s="276" t="s">
        <v>1276</v>
      </c>
      <c r="T1720" s="109" t="s">
        <v>206</v>
      </c>
      <c r="U1720" s="547"/>
      <c r="V1720" s="547"/>
      <c r="W1720" s="109"/>
      <c r="X1720" s="965" t="s">
        <v>1277</v>
      </c>
      <c r="Y1720" s="427"/>
      <c r="Z1720" s="974"/>
      <c r="AA1720" s="6301"/>
      <c r="AB1720" s="139"/>
      <c r="AC1720" s="139"/>
      <c r="AD1720" s="139"/>
      <c r="AE1720" s="139"/>
      <c r="AF1720" s="139"/>
      <c r="AG1720" s="139"/>
      <c r="AH1720" s="139"/>
      <c r="AI1720" s="139"/>
      <c r="AJ1720" s="139"/>
      <c r="AK1720" s="139"/>
      <c r="AL1720" s="139"/>
      <c r="AM1720" s="139"/>
      <c r="AN1720" s="139"/>
      <c r="AO1720" s="139"/>
      <c r="AP1720" s="139"/>
      <c r="AQ1720" s="139"/>
      <c r="AR1720" s="139"/>
      <c r="AS1720" s="139"/>
      <c r="AT1720" s="139"/>
      <c r="AU1720" s="139"/>
      <c r="AV1720" s="139"/>
      <c r="AW1720" s="139"/>
      <c r="AX1720" s="139"/>
      <c r="AY1720" s="139"/>
      <c r="AZ1720" s="139"/>
      <c r="BA1720" s="139"/>
      <c r="BB1720" s="139"/>
      <c r="BC1720" s="139"/>
      <c r="BD1720" s="139"/>
      <c r="BE1720" s="139"/>
      <c r="BF1720" s="139"/>
      <c r="BG1720" s="139"/>
      <c r="BH1720" s="139"/>
    </row>
    <row r="1721" spans="2:60" s="11" customFormat="1" ht="20.100000000000001" customHeight="1">
      <c r="B1721" s="1360"/>
      <c r="C1721" s="9647" t="s">
        <v>134</v>
      </c>
      <c r="D1721" s="9648"/>
      <c r="E1721" s="9649"/>
      <c r="F1721" s="492" t="s">
        <v>1278</v>
      </c>
      <c r="G1721" s="666"/>
      <c r="H1721" s="9579" t="s">
        <v>135</v>
      </c>
      <c r="I1721" s="9580"/>
      <c r="J1721" s="9581"/>
      <c r="K1721" s="105" t="s">
        <v>1274</v>
      </c>
      <c r="L1721" s="5714">
        <f t="shared" ref="L1721:L1726" si="13">L1728/L1735*1000000</f>
        <v>0.9493463036316403</v>
      </c>
      <c r="M1721" s="5872"/>
      <c r="N1721" s="5872">
        <f t="shared" ref="N1721:N1726" si="14">N1728/N1735*1000000</f>
        <v>0.96400873577775503</v>
      </c>
      <c r="O1721" s="5872"/>
      <c r="P1721" s="5872">
        <f t="shared" ref="P1721:P1726" si="15">P1728/P1735*1000000</f>
        <v>0.53087929213319651</v>
      </c>
      <c r="Q1721" s="5678"/>
      <c r="R1721" s="2468"/>
      <c r="S1721" s="544"/>
      <c r="T1721" s="545"/>
      <c r="U1721" s="546"/>
      <c r="V1721" s="547"/>
      <c r="W1721" s="548"/>
      <c r="X1721" s="277"/>
      <c r="Y1721" s="277"/>
      <c r="Z1721" s="187"/>
      <c r="AA1721" s="6301"/>
      <c r="AB1721" s="139"/>
      <c r="AC1721" s="139"/>
      <c r="AD1721" s="139"/>
      <c r="AE1721" s="139"/>
      <c r="AF1721" s="139"/>
      <c r="AG1721" s="139"/>
      <c r="AH1721" s="139"/>
      <c r="AI1721" s="139"/>
      <c r="AJ1721" s="139"/>
      <c r="AK1721" s="139"/>
      <c r="AL1721" s="139"/>
      <c r="AM1721" s="139"/>
      <c r="AN1721" s="139"/>
      <c r="AO1721" s="139"/>
      <c r="AP1721" s="139"/>
      <c r="AQ1721" s="139"/>
      <c r="AR1721" s="139"/>
      <c r="AS1721" s="139"/>
      <c r="AT1721" s="139"/>
      <c r="AU1721" s="139"/>
      <c r="AV1721" s="139"/>
      <c r="AW1721" s="139"/>
      <c r="AX1721" s="139"/>
      <c r="AY1721" s="139"/>
      <c r="AZ1721" s="139"/>
      <c r="BA1721" s="139"/>
      <c r="BB1721" s="139"/>
      <c r="BC1721" s="139"/>
      <c r="BD1721" s="139"/>
      <c r="BE1721" s="139"/>
      <c r="BF1721" s="139"/>
      <c r="BG1721" s="139"/>
      <c r="BH1721" s="139"/>
    </row>
    <row r="1722" spans="2:60" s="11" customFormat="1" ht="20.100000000000001" customHeight="1">
      <c r="B1722" s="1360"/>
      <c r="C1722" s="9647" t="s">
        <v>137</v>
      </c>
      <c r="D1722" s="9648"/>
      <c r="E1722" s="9649"/>
      <c r="F1722" s="492" t="s">
        <v>1278</v>
      </c>
      <c r="G1722" s="666"/>
      <c r="H1722" s="9579" t="s">
        <v>138</v>
      </c>
      <c r="I1722" s="9580"/>
      <c r="J1722" s="9581"/>
      <c r="K1722" s="105" t="s">
        <v>1274</v>
      </c>
      <c r="L1722" s="5714">
        <f t="shared" si="13"/>
        <v>0</v>
      </c>
      <c r="M1722" s="5678"/>
      <c r="N1722" s="6009">
        <f t="shared" si="14"/>
        <v>0</v>
      </c>
      <c r="O1722" s="5678"/>
      <c r="P1722" s="6009" t="e">
        <f>P1729/P1736*1000000</f>
        <v>#DIV/0!</v>
      </c>
      <c r="Q1722" s="5678"/>
      <c r="R1722" s="2468"/>
      <c r="S1722" s="544"/>
      <c r="T1722" s="545"/>
      <c r="U1722" s="546"/>
      <c r="V1722" s="547"/>
      <c r="W1722" s="548"/>
      <c r="X1722" s="277"/>
      <c r="Y1722" s="277"/>
      <c r="Z1722" s="187"/>
      <c r="AA1722" s="6301"/>
      <c r="AB1722" s="139"/>
      <c r="AC1722" s="139"/>
      <c r="AD1722" s="139"/>
      <c r="AE1722" s="139"/>
      <c r="AF1722" s="139"/>
      <c r="AG1722" s="139"/>
      <c r="AH1722" s="139"/>
      <c r="AI1722" s="139"/>
      <c r="AJ1722" s="139"/>
      <c r="AK1722" s="139"/>
      <c r="AL1722" s="139"/>
      <c r="AM1722" s="139"/>
      <c r="AN1722" s="139"/>
      <c r="AO1722" s="139"/>
      <c r="AP1722" s="139"/>
      <c r="AQ1722" s="139"/>
      <c r="AR1722" s="139"/>
      <c r="AS1722" s="139"/>
      <c r="AT1722" s="139"/>
      <c r="AU1722" s="139"/>
      <c r="AV1722" s="139"/>
      <c r="AW1722" s="139"/>
      <c r="AX1722" s="139"/>
      <c r="AY1722" s="139"/>
      <c r="AZ1722" s="139"/>
      <c r="BA1722" s="139"/>
      <c r="BB1722" s="139"/>
      <c r="BC1722" s="139"/>
      <c r="BD1722" s="139"/>
      <c r="BE1722" s="139"/>
      <c r="BF1722" s="139"/>
      <c r="BG1722" s="139"/>
      <c r="BH1722" s="139"/>
    </row>
    <row r="1723" spans="2:60" s="11" customFormat="1" ht="20.100000000000001" customHeight="1">
      <c r="B1723" s="1360"/>
      <c r="C1723" s="9647" t="s">
        <v>140</v>
      </c>
      <c r="D1723" s="9648"/>
      <c r="E1723" s="9649"/>
      <c r="F1723" s="492" t="s">
        <v>1278</v>
      </c>
      <c r="G1723" s="666"/>
      <c r="H1723" s="9579" t="s">
        <v>141</v>
      </c>
      <c r="I1723" s="9580"/>
      <c r="J1723" s="9581"/>
      <c r="K1723" s="105" t="s">
        <v>1274</v>
      </c>
      <c r="L1723" s="5714">
        <f t="shared" si="13"/>
        <v>1.363170407206264</v>
      </c>
      <c r="M1723" s="5678"/>
      <c r="N1723" s="6009">
        <f t="shared" si="14"/>
        <v>1.0537452212654217</v>
      </c>
      <c r="O1723" s="5678"/>
      <c r="P1723" s="6009">
        <f t="shared" si="15"/>
        <v>1.2771392081736908</v>
      </c>
      <c r="Q1723" s="5678"/>
      <c r="R1723" s="2468"/>
      <c r="S1723" s="544"/>
      <c r="T1723" s="545"/>
      <c r="U1723" s="546"/>
      <c r="V1723" s="547"/>
      <c r="W1723" s="548"/>
      <c r="X1723" s="277"/>
      <c r="Y1723" s="277"/>
      <c r="Z1723" s="187"/>
      <c r="AA1723" s="6301"/>
      <c r="AB1723" s="139"/>
      <c r="AC1723" s="139"/>
      <c r="AD1723" s="139"/>
      <c r="AE1723" s="139"/>
      <c r="AF1723" s="139"/>
      <c r="AG1723" s="139"/>
      <c r="AH1723" s="139"/>
      <c r="AI1723" s="139"/>
      <c r="AJ1723" s="139"/>
      <c r="AK1723" s="139"/>
      <c r="AL1723" s="139"/>
      <c r="AM1723" s="139"/>
      <c r="AN1723" s="139"/>
      <c r="AO1723" s="139"/>
      <c r="AP1723" s="139"/>
      <c r="AQ1723" s="139"/>
      <c r="AR1723" s="139"/>
      <c r="AS1723" s="139"/>
      <c r="AT1723" s="139"/>
      <c r="AU1723" s="139"/>
      <c r="AV1723" s="139"/>
      <c r="AW1723" s="139"/>
      <c r="AX1723" s="139"/>
      <c r="AY1723" s="139"/>
      <c r="AZ1723" s="139"/>
      <c r="BA1723" s="139"/>
      <c r="BB1723" s="139"/>
      <c r="BC1723" s="139"/>
      <c r="BD1723" s="139"/>
      <c r="BE1723" s="139"/>
      <c r="BF1723" s="139"/>
      <c r="BG1723" s="139"/>
      <c r="BH1723" s="139"/>
    </row>
    <row r="1724" spans="2:60" s="11" customFormat="1" ht="20.100000000000001" customHeight="1">
      <c r="B1724" s="1360"/>
      <c r="C1724" s="9647" t="s">
        <v>143</v>
      </c>
      <c r="D1724" s="9648"/>
      <c r="E1724" s="9649"/>
      <c r="F1724" s="492" t="s">
        <v>1278</v>
      </c>
      <c r="G1724" s="666"/>
      <c r="H1724" s="9579" t="s">
        <v>144</v>
      </c>
      <c r="I1724" s="9580"/>
      <c r="J1724" s="9581"/>
      <c r="K1724" s="105" t="s">
        <v>1274</v>
      </c>
      <c r="L1724" s="5714">
        <f t="shared" si="13"/>
        <v>0</v>
      </c>
      <c r="M1724" s="5678" t="s">
        <v>640</v>
      </c>
      <c r="N1724" s="6009">
        <f t="shared" si="14"/>
        <v>0</v>
      </c>
      <c r="O1724" s="5678"/>
      <c r="P1724" s="6009">
        <f t="shared" si="15"/>
        <v>0</v>
      </c>
      <c r="Q1724" s="5678"/>
      <c r="R1724" s="2468"/>
      <c r="S1724" s="544"/>
      <c r="T1724" s="545"/>
      <c r="U1724" s="546"/>
      <c r="V1724" s="547"/>
      <c r="W1724" s="548"/>
      <c r="X1724" s="277"/>
      <c r="Y1724" s="277"/>
      <c r="Z1724" s="187"/>
      <c r="AA1724" s="6301"/>
      <c r="AB1724" s="139"/>
      <c r="AC1724" s="139"/>
      <c r="AD1724" s="139"/>
      <c r="AE1724" s="139"/>
      <c r="AF1724" s="139"/>
      <c r="AG1724" s="139"/>
      <c r="AH1724" s="139"/>
      <c r="AI1724" s="139"/>
      <c r="AJ1724" s="139"/>
      <c r="AK1724" s="139"/>
      <c r="AL1724" s="139"/>
      <c r="AM1724" s="139"/>
      <c r="AN1724" s="139"/>
      <c r="AO1724" s="139"/>
      <c r="AP1724" s="139"/>
      <c r="AQ1724" s="139"/>
      <c r="AR1724" s="139"/>
      <c r="AS1724" s="139"/>
      <c r="AT1724" s="139"/>
      <c r="AU1724" s="139"/>
      <c r="AV1724" s="139"/>
      <c r="AW1724" s="139"/>
      <c r="AX1724" s="139"/>
      <c r="AY1724" s="139"/>
      <c r="AZ1724" s="139"/>
      <c r="BA1724" s="139"/>
      <c r="BB1724" s="139"/>
      <c r="BC1724" s="139"/>
      <c r="BD1724" s="139"/>
      <c r="BE1724" s="139"/>
      <c r="BF1724" s="139"/>
      <c r="BG1724" s="139"/>
      <c r="BH1724" s="139"/>
    </row>
    <row r="1725" spans="2:60" s="11" customFormat="1" ht="20.100000000000001" customHeight="1">
      <c r="B1725" s="1360"/>
      <c r="C1725" s="9647" t="s">
        <v>631</v>
      </c>
      <c r="D1725" s="9648"/>
      <c r="E1725" s="9649"/>
      <c r="F1725" s="492" t="s">
        <v>1278</v>
      </c>
      <c r="G1725" s="666"/>
      <c r="H1725" s="9579" t="s">
        <v>147</v>
      </c>
      <c r="I1725" s="9580"/>
      <c r="J1725" s="9581"/>
      <c r="K1725" s="105" t="s">
        <v>1274</v>
      </c>
      <c r="L1725" s="5714">
        <f t="shared" si="13"/>
        <v>0</v>
      </c>
      <c r="M1725" s="5678"/>
      <c r="N1725" s="6009">
        <f t="shared" si="14"/>
        <v>0</v>
      </c>
      <c r="O1725" s="5678"/>
      <c r="P1725" s="6009">
        <f t="shared" si="15"/>
        <v>0</v>
      </c>
      <c r="Q1725" s="5678"/>
      <c r="R1725" s="2468"/>
      <c r="S1725" s="544"/>
      <c r="T1725" s="545"/>
      <c r="U1725" s="546"/>
      <c r="V1725" s="547"/>
      <c r="W1725" s="548"/>
      <c r="X1725" s="277"/>
      <c r="Y1725" s="277"/>
      <c r="Z1725" s="187"/>
      <c r="AA1725" s="6301"/>
      <c r="AB1725" s="139"/>
      <c r="AC1725" s="139"/>
      <c r="AD1725" s="139"/>
      <c r="AE1725" s="139"/>
      <c r="AF1725" s="139"/>
      <c r="AG1725" s="139"/>
      <c r="AH1725" s="139"/>
      <c r="AI1725" s="139"/>
      <c r="AJ1725" s="139"/>
      <c r="AK1725" s="139"/>
      <c r="AL1725" s="139"/>
      <c r="AM1725" s="139"/>
      <c r="AN1725" s="139"/>
      <c r="AO1725" s="139"/>
      <c r="AP1725" s="139"/>
      <c r="AQ1725" s="139"/>
      <c r="AR1725" s="139"/>
      <c r="AS1725" s="139"/>
      <c r="AT1725" s="139"/>
      <c r="AU1725" s="139"/>
      <c r="AV1725" s="139"/>
      <c r="AW1725" s="139"/>
      <c r="AX1725" s="139"/>
      <c r="AY1725" s="139"/>
      <c r="AZ1725" s="139"/>
      <c r="BA1725" s="139"/>
      <c r="BB1725" s="139"/>
      <c r="BC1725" s="139"/>
      <c r="BD1725" s="139"/>
      <c r="BE1725" s="139"/>
      <c r="BF1725" s="139"/>
      <c r="BG1725" s="139"/>
      <c r="BH1725" s="139"/>
    </row>
    <row r="1726" spans="2:60" s="11" customFormat="1" ht="20.100000000000001" customHeight="1">
      <c r="B1726" s="1360"/>
      <c r="C1726" s="9647" t="s">
        <v>633</v>
      </c>
      <c r="D1726" s="9648"/>
      <c r="E1726" s="9649"/>
      <c r="F1726" s="492" t="s">
        <v>1278</v>
      </c>
      <c r="G1726" s="666"/>
      <c r="H1726" s="9579" t="s">
        <v>150</v>
      </c>
      <c r="I1726" s="9580"/>
      <c r="J1726" s="9581"/>
      <c r="K1726" s="105" t="s">
        <v>1274</v>
      </c>
      <c r="L1726" s="6486">
        <f t="shared" si="13"/>
        <v>1.3381909665418805</v>
      </c>
      <c r="M1726" s="5678"/>
      <c r="N1726" s="6506">
        <f t="shared" si="14"/>
        <v>2.1036333956008821</v>
      </c>
      <c r="O1726" s="5678"/>
      <c r="P1726" s="6506">
        <f t="shared" si="15"/>
        <v>4.6485790456002363</v>
      </c>
      <c r="Q1726" s="5678"/>
      <c r="R1726" s="2468"/>
      <c r="S1726" s="544"/>
      <c r="T1726" s="545"/>
      <c r="U1726" s="546"/>
      <c r="V1726" s="547"/>
      <c r="W1726" s="548"/>
      <c r="X1726" s="277"/>
      <c r="Y1726" s="277"/>
      <c r="Z1726" s="187"/>
      <c r="AA1726" s="6301"/>
      <c r="AB1726" s="139"/>
      <c r="AC1726" s="139"/>
      <c r="AD1726" s="139"/>
      <c r="AE1726" s="139"/>
      <c r="AF1726" s="139"/>
      <c r="AG1726" s="139"/>
      <c r="AH1726" s="139"/>
      <c r="AI1726" s="139"/>
      <c r="AJ1726" s="139"/>
      <c r="AK1726" s="139"/>
      <c r="AL1726" s="139"/>
      <c r="AM1726" s="139"/>
      <c r="AN1726" s="139"/>
      <c r="AO1726" s="139"/>
      <c r="AP1726" s="139"/>
      <c r="AQ1726" s="139"/>
      <c r="AR1726" s="139"/>
      <c r="AS1726" s="139"/>
      <c r="AT1726" s="139"/>
      <c r="AU1726" s="139"/>
      <c r="AV1726" s="139"/>
      <c r="AW1726" s="139"/>
      <c r="AX1726" s="139"/>
      <c r="AY1726" s="139"/>
      <c r="AZ1726" s="139"/>
      <c r="BA1726" s="139"/>
      <c r="BB1726" s="139"/>
      <c r="BC1726" s="139"/>
      <c r="BD1726" s="139"/>
      <c r="BE1726" s="139"/>
      <c r="BF1726" s="139"/>
      <c r="BG1726" s="139"/>
      <c r="BH1726" s="139"/>
    </row>
    <row r="1727" spans="2:60" s="11" customFormat="1" ht="20.100000000000001" customHeight="1">
      <c r="B1727" s="1360"/>
      <c r="C1727" s="1388"/>
      <c r="D1727" s="9584" t="s">
        <v>1279</v>
      </c>
      <c r="E1727" s="9585"/>
      <c r="F1727" s="132" t="s">
        <v>557</v>
      </c>
      <c r="G1727" s="777"/>
      <c r="H1727" s="6258"/>
      <c r="I1727" s="9584" t="s">
        <v>1280</v>
      </c>
      <c r="J1727" s="9585"/>
      <c r="K1727" s="105" t="s">
        <v>559</v>
      </c>
      <c r="L1727" s="5653">
        <f>IF(COUNTBLANK(L1728:L1733)&gt;0,"미취합법인有",SUM(L1728:L1733))</f>
        <v>9</v>
      </c>
      <c r="M1727" s="5657"/>
      <c r="N1727" s="5654">
        <f>IF(COUNTBLANK(N1728:N1733)&gt;0,"미취합법인有",SUM(N1728:N1733))</f>
        <v>12</v>
      </c>
      <c r="O1727" s="5663"/>
      <c r="P1727" s="5781" t="str">
        <f>IF(COUNTBLANK(P1728:P1733)&gt;0,"미취합법인有",SUM(P1728:P1733))</f>
        <v>미취합법인有</v>
      </c>
      <c r="Q1727" s="785"/>
      <c r="R1727" s="2468"/>
      <c r="S1727" s="276"/>
      <c r="T1727" s="109" t="s">
        <v>206</v>
      </c>
      <c r="U1727" s="547"/>
      <c r="V1727" s="547"/>
      <c r="W1727" s="109"/>
      <c r="X1727" s="981" t="s">
        <v>1277</v>
      </c>
      <c r="Y1727" s="265"/>
      <c r="Z1727" s="982"/>
      <c r="AA1727" s="6301"/>
      <c r="AB1727" s="139" t="s">
        <v>1281</v>
      </c>
      <c r="AC1727" s="139"/>
      <c r="AD1727" s="139"/>
      <c r="AE1727" s="139"/>
      <c r="AF1727" s="139"/>
      <c r="AG1727" s="139"/>
      <c r="AH1727" s="139"/>
      <c r="AI1727" s="139"/>
      <c r="AJ1727" s="139"/>
      <c r="AK1727" s="139"/>
      <c r="AL1727" s="139"/>
      <c r="AM1727" s="139"/>
      <c r="AN1727" s="139"/>
      <c r="AO1727" s="139"/>
      <c r="AP1727" s="139"/>
      <c r="AQ1727" s="139"/>
      <c r="AR1727" s="139"/>
      <c r="AS1727" s="139"/>
      <c r="AT1727" s="139"/>
      <c r="AU1727" s="139"/>
      <c r="AV1727" s="139"/>
      <c r="AW1727" s="139"/>
      <c r="AX1727" s="139"/>
      <c r="AY1727" s="139"/>
      <c r="AZ1727" s="139"/>
      <c r="BA1727" s="139"/>
      <c r="BB1727" s="139"/>
      <c r="BC1727" s="139"/>
      <c r="BD1727" s="139"/>
      <c r="BE1727" s="139"/>
      <c r="BF1727" s="139"/>
      <c r="BG1727" s="139"/>
      <c r="BH1727" s="139"/>
    </row>
    <row r="1728" spans="2:60" s="11" customFormat="1" ht="20.100000000000001" customHeight="1">
      <c r="B1728" s="1360"/>
      <c r="C1728" s="614"/>
      <c r="D1728" s="9598" t="s">
        <v>134</v>
      </c>
      <c r="E1728" s="9600"/>
      <c r="F1728" s="132" t="s">
        <v>557</v>
      </c>
      <c r="G1728" s="666"/>
      <c r="H1728" s="6256"/>
      <c r="I1728" s="9579" t="s">
        <v>135</v>
      </c>
      <c r="J1728" s="9581"/>
      <c r="K1728" s="105" t="s">
        <v>559</v>
      </c>
      <c r="L1728" s="5696">
        <v>4</v>
      </c>
      <c r="M1728" s="5718" t="s">
        <v>1282</v>
      </c>
      <c r="N1728" s="5729">
        <v>5</v>
      </c>
      <c r="O1728" s="5716" t="s">
        <v>1282</v>
      </c>
      <c r="P1728" s="5855">
        <v>3</v>
      </c>
      <c r="Q1728" s="5717"/>
      <c r="R1728" s="2483"/>
      <c r="S1728" s="544"/>
      <c r="T1728" s="545"/>
      <c r="U1728" s="546"/>
      <c r="V1728" s="547"/>
      <c r="W1728" s="548"/>
      <c r="X1728" s="277"/>
      <c r="Y1728" s="277"/>
      <c r="Z1728" s="187"/>
      <c r="AA1728" s="6301"/>
      <c r="AB1728" s="139"/>
      <c r="AC1728" s="139"/>
      <c r="AD1728" s="139"/>
      <c r="AE1728" s="139"/>
      <c r="AF1728" s="139"/>
      <c r="AG1728" s="139"/>
      <c r="AH1728" s="139"/>
      <c r="AI1728" s="139"/>
      <c r="AJ1728" s="139"/>
      <c r="AK1728" s="139"/>
      <c r="AL1728" s="139"/>
      <c r="AM1728" s="139"/>
      <c r="AN1728" s="139"/>
      <c r="AO1728" s="139"/>
      <c r="AP1728" s="139"/>
      <c r="AQ1728" s="139"/>
      <c r="AR1728" s="139"/>
      <c r="AS1728" s="139"/>
      <c r="AT1728" s="139"/>
      <c r="AU1728" s="139"/>
      <c r="AV1728" s="139"/>
      <c r="AW1728" s="139"/>
      <c r="AX1728" s="139"/>
      <c r="AY1728" s="139"/>
      <c r="AZ1728" s="139"/>
      <c r="BA1728" s="139"/>
      <c r="BB1728" s="139"/>
      <c r="BC1728" s="139"/>
      <c r="BD1728" s="139"/>
      <c r="BE1728" s="139"/>
      <c r="BF1728" s="139"/>
      <c r="BG1728" s="139"/>
      <c r="BH1728" s="139"/>
    </row>
    <row r="1729" spans="2:60" s="11" customFormat="1" ht="20.100000000000001" customHeight="1">
      <c r="B1729" s="1360"/>
      <c r="C1729" s="5598"/>
      <c r="D1729" s="9598" t="s">
        <v>137</v>
      </c>
      <c r="E1729" s="9600"/>
      <c r="F1729" s="132" t="s">
        <v>557</v>
      </c>
      <c r="G1729" s="666"/>
      <c r="H1729" s="6192"/>
      <c r="I1729" s="9579" t="s">
        <v>138</v>
      </c>
      <c r="J1729" s="9581"/>
      <c r="K1729" s="105" t="s">
        <v>559</v>
      </c>
      <c r="L1729" s="5705">
        <v>0</v>
      </c>
      <c r="M1729" s="5719"/>
      <c r="N1729" s="5730">
        <v>0</v>
      </c>
      <c r="O1729" s="5720"/>
      <c r="P1729" s="5856">
        <v>0</v>
      </c>
      <c r="Q1729" s="5717"/>
      <c r="R1729" s="2483"/>
      <c r="S1729" s="544"/>
      <c r="T1729" s="545"/>
      <c r="U1729" s="546"/>
      <c r="V1729" s="547"/>
      <c r="W1729" s="548"/>
      <c r="X1729" s="277"/>
      <c r="Y1729" s="277"/>
      <c r="Z1729" s="187"/>
      <c r="AA1729" s="6301"/>
      <c r="AB1729" s="139"/>
      <c r="AC1729" s="139"/>
      <c r="AD1729" s="139"/>
      <c r="AE1729" s="139"/>
      <c r="AF1729" s="139"/>
      <c r="AG1729" s="139"/>
      <c r="AH1729" s="139"/>
      <c r="AI1729" s="139"/>
      <c r="AJ1729" s="139"/>
      <c r="AK1729" s="139"/>
      <c r="AL1729" s="139"/>
      <c r="AM1729" s="139"/>
      <c r="AN1729" s="139"/>
      <c r="AO1729" s="139"/>
      <c r="AP1729" s="139"/>
      <c r="AQ1729" s="139"/>
      <c r="AR1729" s="139"/>
      <c r="AS1729" s="139"/>
      <c r="AT1729" s="139"/>
      <c r="AU1729" s="139"/>
      <c r="AV1729" s="139"/>
      <c r="AW1729" s="139"/>
      <c r="AX1729" s="139"/>
      <c r="AY1729" s="139"/>
      <c r="AZ1729" s="139"/>
      <c r="BA1729" s="139"/>
      <c r="BB1729" s="139"/>
      <c r="BC1729" s="139"/>
      <c r="BD1729" s="139"/>
      <c r="BE1729" s="139"/>
      <c r="BF1729" s="139"/>
      <c r="BG1729" s="139"/>
      <c r="BH1729" s="139"/>
    </row>
    <row r="1730" spans="2:60" s="11" customFormat="1" ht="20.100000000000001" customHeight="1">
      <c r="B1730" s="1360"/>
      <c r="C1730" s="5598"/>
      <c r="D1730" s="9598" t="s">
        <v>140</v>
      </c>
      <c r="E1730" s="9600"/>
      <c r="F1730" s="132" t="s">
        <v>557</v>
      </c>
      <c r="G1730" s="666"/>
      <c r="H1730" s="6192"/>
      <c r="I1730" s="9582" t="s">
        <v>141</v>
      </c>
      <c r="J1730" s="9583"/>
      <c r="K1730" s="105" t="s">
        <v>559</v>
      </c>
      <c r="L1730" s="5696">
        <v>3</v>
      </c>
      <c r="M1730" s="5718" t="s">
        <v>1283</v>
      </c>
      <c r="N1730" s="5729">
        <v>2</v>
      </c>
      <c r="O1730" s="5716" t="s">
        <v>1284</v>
      </c>
      <c r="P1730" s="5855">
        <v>2</v>
      </c>
      <c r="Q1730" s="5717" t="s">
        <v>1285</v>
      </c>
      <c r="R1730" s="2483"/>
      <c r="S1730" s="544"/>
      <c r="T1730" s="545"/>
      <c r="U1730" s="546"/>
      <c r="V1730" s="547"/>
      <c r="W1730" s="548"/>
      <c r="X1730" s="277"/>
      <c r="Y1730" s="277"/>
      <c r="Z1730" s="187"/>
      <c r="AA1730" s="6301"/>
      <c r="AB1730" s="139"/>
      <c r="AC1730" s="139"/>
      <c r="AD1730" s="139"/>
      <c r="AE1730" s="139"/>
      <c r="AF1730" s="139"/>
      <c r="AG1730" s="139"/>
      <c r="AH1730" s="139"/>
      <c r="AI1730" s="139"/>
      <c r="AJ1730" s="139"/>
      <c r="AK1730" s="139"/>
      <c r="AL1730" s="139"/>
      <c r="AM1730" s="139"/>
      <c r="AN1730" s="139"/>
      <c r="AO1730" s="139"/>
      <c r="AP1730" s="139"/>
      <c r="AQ1730" s="139"/>
      <c r="AR1730" s="139"/>
      <c r="AS1730" s="139"/>
      <c r="AT1730" s="139"/>
      <c r="AU1730" s="139"/>
      <c r="AV1730" s="139"/>
      <c r="AW1730" s="139"/>
      <c r="AX1730" s="139"/>
      <c r="AY1730" s="139"/>
      <c r="AZ1730" s="139"/>
      <c r="BA1730" s="139"/>
      <c r="BB1730" s="139"/>
      <c r="BC1730" s="139"/>
      <c r="BD1730" s="139"/>
      <c r="BE1730" s="139"/>
      <c r="BF1730" s="139"/>
      <c r="BG1730" s="139"/>
      <c r="BH1730" s="139"/>
    </row>
    <row r="1731" spans="2:60" s="11" customFormat="1" ht="20.100000000000001" customHeight="1">
      <c r="B1731" s="1360"/>
      <c r="C1731" s="614"/>
      <c r="D1731" s="9598" t="s">
        <v>143</v>
      </c>
      <c r="E1731" s="9600"/>
      <c r="F1731" s="132" t="s">
        <v>557</v>
      </c>
      <c r="G1731" s="666"/>
      <c r="H1731" s="6256"/>
      <c r="I1731" s="9582" t="s">
        <v>144</v>
      </c>
      <c r="J1731" s="9583"/>
      <c r="K1731" s="105" t="s">
        <v>559</v>
      </c>
      <c r="L1731" s="5696">
        <v>0</v>
      </c>
      <c r="M1731" s="5718"/>
      <c r="N1731" s="5729">
        <v>0</v>
      </c>
      <c r="O1731" s="5716"/>
      <c r="P1731" s="5855"/>
      <c r="Q1731" s="5717"/>
      <c r="R1731" s="2483"/>
      <c r="S1731" s="544"/>
      <c r="T1731" s="545"/>
      <c r="U1731" s="546"/>
      <c r="V1731" s="547"/>
      <c r="W1731" s="548"/>
      <c r="X1731" s="277"/>
      <c r="Y1731" s="277"/>
      <c r="Z1731" s="187"/>
      <c r="AA1731" s="6301"/>
      <c r="AB1731" s="139"/>
      <c r="AC1731" s="139"/>
      <c r="AD1731" s="139"/>
      <c r="AE1731" s="139"/>
      <c r="AF1731" s="139"/>
      <c r="AG1731" s="139"/>
      <c r="AH1731" s="139"/>
      <c r="AI1731" s="139"/>
      <c r="AJ1731" s="139"/>
      <c r="AK1731" s="139"/>
      <c r="AL1731" s="139"/>
      <c r="AM1731" s="139"/>
      <c r="AN1731" s="139"/>
      <c r="AO1731" s="139"/>
      <c r="AP1731" s="139"/>
      <c r="AQ1731" s="139"/>
      <c r="AR1731" s="139"/>
      <c r="AS1731" s="139"/>
      <c r="AT1731" s="139"/>
      <c r="AU1731" s="139"/>
      <c r="AV1731" s="139"/>
      <c r="AW1731" s="139"/>
      <c r="AX1731" s="139"/>
      <c r="AY1731" s="139"/>
      <c r="AZ1731" s="139"/>
      <c r="BA1731" s="139"/>
      <c r="BB1731" s="139"/>
      <c r="BC1731" s="139"/>
      <c r="BD1731" s="139"/>
      <c r="BE1731" s="139"/>
      <c r="BF1731" s="139"/>
      <c r="BG1731" s="139"/>
      <c r="BH1731" s="139"/>
    </row>
    <row r="1732" spans="2:60" s="11" customFormat="1" ht="20.100000000000001" customHeight="1">
      <c r="B1732" s="1360"/>
      <c r="C1732" s="5598"/>
      <c r="D1732" s="9598" t="s">
        <v>631</v>
      </c>
      <c r="E1732" s="9600"/>
      <c r="F1732" s="132" t="s">
        <v>557</v>
      </c>
      <c r="G1732" s="666"/>
      <c r="H1732" s="6192"/>
      <c r="I1732" s="9582" t="s">
        <v>147</v>
      </c>
      <c r="J1732" s="9583"/>
      <c r="K1732" s="105" t="s">
        <v>559</v>
      </c>
      <c r="L1732" s="5594">
        <v>0</v>
      </c>
      <c r="M1732" s="5671" t="s">
        <v>1265</v>
      </c>
      <c r="N1732" s="5672">
        <v>0</v>
      </c>
      <c r="O1732" s="5671" t="s">
        <v>1265</v>
      </c>
      <c r="P1732" s="5725"/>
      <c r="Q1732" s="5879"/>
      <c r="R1732" s="2483"/>
      <c r="S1732" s="544"/>
      <c r="T1732" s="545"/>
      <c r="U1732" s="546"/>
      <c r="V1732" s="547"/>
      <c r="W1732" s="548"/>
      <c r="X1732" s="277"/>
      <c r="Y1732" s="277"/>
      <c r="Z1732" s="187"/>
      <c r="AA1732" s="6301"/>
      <c r="AB1732" s="139"/>
      <c r="AC1732" s="139"/>
      <c r="AD1732" s="139"/>
      <c r="AE1732" s="139"/>
      <c r="AF1732" s="139"/>
      <c r="AG1732" s="139"/>
      <c r="AH1732" s="139"/>
      <c r="AI1732" s="139"/>
      <c r="AJ1732" s="139"/>
      <c r="AK1732" s="139"/>
      <c r="AL1732" s="139"/>
      <c r="AM1732" s="139"/>
      <c r="AN1732" s="139"/>
      <c r="AO1732" s="139"/>
      <c r="AP1732" s="139"/>
      <c r="AQ1732" s="139"/>
      <c r="AR1732" s="139"/>
      <c r="AS1732" s="139"/>
      <c r="AT1732" s="139"/>
      <c r="AU1732" s="139"/>
      <c r="AV1732" s="139"/>
      <c r="AW1732" s="139"/>
      <c r="AX1732" s="139"/>
      <c r="AY1732" s="139"/>
      <c r="AZ1732" s="139"/>
      <c r="BA1732" s="139"/>
      <c r="BB1732" s="139"/>
      <c r="BC1732" s="139"/>
      <c r="BD1732" s="139"/>
      <c r="BE1732" s="139"/>
      <c r="BF1732" s="139"/>
      <c r="BG1732" s="139"/>
      <c r="BH1732" s="139"/>
    </row>
    <row r="1733" spans="2:60" s="11" customFormat="1" ht="20.100000000000001" customHeight="1">
      <c r="B1733" s="1360"/>
      <c r="C1733" s="5598"/>
      <c r="D1733" s="9598" t="s">
        <v>633</v>
      </c>
      <c r="E1733" s="9600"/>
      <c r="F1733" s="132" t="s">
        <v>557</v>
      </c>
      <c r="G1733" s="666"/>
      <c r="H1733" s="6192"/>
      <c r="I1733" s="9582" t="s">
        <v>150</v>
      </c>
      <c r="J1733" s="9583"/>
      <c r="K1733" s="105" t="s">
        <v>559</v>
      </c>
      <c r="L1733" s="5696">
        <v>2</v>
      </c>
      <c r="M1733" s="5718"/>
      <c r="N1733" s="5729">
        <v>5</v>
      </c>
      <c r="O1733" s="5718"/>
      <c r="P1733" s="5729">
        <v>10</v>
      </c>
      <c r="Q1733" s="5717"/>
      <c r="R1733" s="2483"/>
      <c r="S1733" s="544"/>
      <c r="T1733" s="545"/>
      <c r="U1733" s="546"/>
      <c r="V1733" s="547"/>
      <c r="W1733" s="548"/>
      <c r="X1733" s="277"/>
      <c r="Y1733" s="277"/>
      <c r="Z1733" s="187"/>
      <c r="AA1733" s="6301"/>
      <c r="AB1733" s="139"/>
      <c r="AC1733" s="139"/>
      <c r="AD1733" s="139"/>
      <c r="AE1733" s="139"/>
      <c r="AF1733" s="139"/>
      <c r="AG1733" s="139"/>
      <c r="AH1733" s="139"/>
      <c r="AI1733" s="139"/>
      <c r="AJ1733" s="139"/>
      <c r="AK1733" s="139"/>
      <c r="AL1733" s="139"/>
      <c r="AM1733" s="139"/>
      <c r="AN1733" s="139"/>
      <c r="AO1733" s="139"/>
      <c r="AP1733" s="139"/>
      <c r="AQ1733" s="139"/>
      <c r="AR1733" s="139"/>
      <c r="AS1733" s="139"/>
      <c r="AT1733" s="139"/>
      <c r="AU1733" s="139"/>
      <c r="AV1733" s="139"/>
      <c r="AW1733" s="139"/>
      <c r="AX1733" s="139"/>
      <c r="AY1733" s="139"/>
      <c r="AZ1733" s="139"/>
      <c r="BA1733" s="139"/>
      <c r="BB1733" s="139"/>
      <c r="BC1733" s="139"/>
      <c r="BD1733" s="139"/>
      <c r="BE1733" s="139"/>
      <c r="BF1733" s="139"/>
      <c r="BG1733" s="139"/>
      <c r="BH1733" s="139"/>
    </row>
    <row r="1734" spans="2:60" s="11" customFormat="1" ht="20.100000000000001" customHeight="1">
      <c r="B1734" s="1360"/>
      <c r="C1734" s="1389"/>
      <c r="D1734" s="9584" t="s">
        <v>1286</v>
      </c>
      <c r="E1734" s="9585"/>
      <c r="F1734" s="105" t="s">
        <v>1018</v>
      </c>
      <c r="G1734" s="777"/>
      <c r="H1734" s="6259"/>
      <c r="I1734" s="9584" t="s">
        <v>1287</v>
      </c>
      <c r="J1734" s="9585"/>
      <c r="K1734" s="105" t="s">
        <v>1020</v>
      </c>
      <c r="L1734" s="5653">
        <f>IF(COUNTBLANK(L1735:L1740)&gt;0,"미취합법인有",SUM(L1735:L1740))</f>
        <v>10564334.58</v>
      </c>
      <c r="M1734" s="5657"/>
      <c r="N1734" s="5654">
        <f>IF(COUNTBLANK(N1735:N1740)&gt;0,"미취합법인有",SUM(N1735:N1740))</f>
        <v>13196069.99</v>
      </c>
      <c r="O1734" s="5663"/>
      <c r="P1734" s="5781" t="str">
        <f>IF(COUNTBLANK(P1735:P1740)&gt;0,"미취합법인有",SUM(P1735:P1740))</f>
        <v>미취합법인有</v>
      </c>
      <c r="Q1734" s="785"/>
      <c r="R1734" s="2468" t="s">
        <v>1288</v>
      </c>
      <c r="S1734" s="276" t="s">
        <v>1289</v>
      </c>
      <c r="T1734" s="109" t="s">
        <v>737</v>
      </c>
      <c r="U1734" s="547"/>
      <c r="V1734" s="547"/>
      <c r="W1734" s="109"/>
      <c r="X1734" s="981" t="s">
        <v>1277</v>
      </c>
      <c r="Y1734" s="265"/>
      <c r="Z1734" s="982"/>
      <c r="AA1734" s="6301"/>
      <c r="AB1734" s="139"/>
      <c r="AC1734" s="139"/>
      <c r="AD1734" s="139"/>
      <c r="AE1734" s="139"/>
      <c r="AF1734" s="139"/>
      <c r="AG1734" s="139"/>
      <c r="AH1734" s="139"/>
      <c r="AI1734" s="139"/>
      <c r="AJ1734" s="139"/>
      <c r="AK1734" s="139"/>
      <c r="AL1734" s="139"/>
      <c r="AM1734" s="139"/>
      <c r="AN1734" s="139"/>
      <c r="AO1734" s="139"/>
      <c r="AP1734" s="139"/>
      <c r="AQ1734" s="139"/>
      <c r="AR1734" s="139"/>
      <c r="AS1734" s="139"/>
      <c r="AT1734" s="139"/>
      <c r="AU1734" s="139"/>
      <c r="AV1734" s="139"/>
      <c r="AW1734" s="139"/>
      <c r="AX1734" s="139"/>
      <c r="AY1734" s="139"/>
      <c r="AZ1734" s="139"/>
      <c r="BA1734" s="139"/>
      <c r="BB1734" s="139"/>
      <c r="BC1734" s="139"/>
      <c r="BD1734" s="139"/>
      <c r="BE1734" s="139"/>
      <c r="BF1734" s="139"/>
      <c r="BG1734" s="139"/>
      <c r="BH1734" s="139"/>
    </row>
    <row r="1735" spans="2:60" s="11" customFormat="1" ht="20.100000000000001" customHeight="1">
      <c r="B1735" s="1360"/>
      <c r="C1735" s="614"/>
      <c r="D1735" s="9598" t="s">
        <v>134</v>
      </c>
      <c r="E1735" s="9600"/>
      <c r="F1735" s="105" t="s">
        <v>1018</v>
      </c>
      <c r="G1735" s="666"/>
      <c r="H1735" s="6256"/>
      <c r="I1735" s="9579" t="s">
        <v>135</v>
      </c>
      <c r="J1735" s="9581"/>
      <c r="K1735" s="105" t="s">
        <v>1020</v>
      </c>
      <c r="L1735" s="5789">
        <v>4213425.58</v>
      </c>
      <c r="M1735" s="5880" t="s">
        <v>1290</v>
      </c>
      <c r="N1735" s="6005">
        <v>5186674.99</v>
      </c>
      <c r="O1735" s="5716" t="s">
        <v>1291</v>
      </c>
      <c r="P1735" s="6005">
        <v>5651002.1100000003</v>
      </c>
      <c r="Q1735" s="5717" t="s">
        <v>1292</v>
      </c>
      <c r="R1735" s="2483"/>
      <c r="S1735" s="544"/>
      <c r="T1735" s="545"/>
      <c r="U1735" s="546"/>
      <c r="V1735" s="547"/>
      <c r="W1735" s="548"/>
      <c r="X1735" s="277"/>
      <c r="Y1735" s="277"/>
      <c r="Z1735" s="187"/>
      <c r="AA1735" s="6301"/>
      <c r="AC1735" s="139"/>
      <c r="AD1735" s="139"/>
      <c r="AE1735" s="139"/>
      <c r="AF1735" s="139"/>
      <c r="AG1735" s="139"/>
      <c r="AH1735" s="139"/>
      <c r="AI1735" s="139"/>
      <c r="AJ1735" s="139"/>
      <c r="AK1735" s="139"/>
      <c r="AL1735" s="139"/>
      <c r="AM1735" s="139"/>
      <c r="AN1735" s="139"/>
      <c r="AO1735" s="139"/>
      <c r="AP1735" s="139"/>
      <c r="AQ1735" s="139"/>
      <c r="AR1735" s="139"/>
      <c r="AS1735" s="139"/>
      <c r="AT1735" s="139"/>
      <c r="AU1735" s="139"/>
      <c r="AV1735" s="139"/>
      <c r="AW1735" s="139"/>
      <c r="AX1735" s="139"/>
      <c r="AY1735" s="139"/>
      <c r="AZ1735" s="139"/>
      <c r="BA1735" s="139"/>
      <c r="BB1735" s="139"/>
      <c r="BC1735" s="139"/>
      <c r="BD1735" s="139"/>
      <c r="BE1735" s="139"/>
      <c r="BF1735" s="139"/>
      <c r="BG1735" s="139"/>
      <c r="BH1735" s="139"/>
    </row>
    <row r="1736" spans="2:60" s="11" customFormat="1" ht="20.100000000000001" customHeight="1">
      <c r="B1736" s="1360"/>
      <c r="C1736" s="5598"/>
      <c r="D1736" s="9598" t="s">
        <v>137</v>
      </c>
      <c r="E1736" s="9600"/>
      <c r="F1736" s="105" t="s">
        <v>1018</v>
      </c>
      <c r="G1736" s="666"/>
      <c r="H1736" s="6192"/>
      <c r="I1736" s="9579" t="s">
        <v>138</v>
      </c>
      <c r="J1736" s="9581"/>
      <c r="K1736" s="105" t="s">
        <v>1020</v>
      </c>
      <c r="L1736" s="5789">
        <v>458964</v>
      </c>
      <c r="M1736" s="5719" t="s">
        <v>1293</v>
      </c>
      <c r="N1736" s="6005">
        <v>539220</v>
      </c>
      <c r="O1736" s="5720" t="s">
        <v>1294</v>
      </c>
      <c r="P1736" s="6424"/>
      <c r="Q1736" s="5717"/>
      <c r="R1736" s="2483"/>
      <c r="S1736" s="544"/>
      <c r="T1736" s="545"/>
      <c r="U1736" s="546"/>
      <c r="V1736" s="547"/>
      <c r="W1736" s="548"/>
      <c r="X1736" s="277"/>
      <c r="Y1736" s="277"/>
      <c r="Z1736" s="187"/>
      <c r="AA1736" s="6301"/>
      <c r="AB1736" s="139" t="s">
        <v>1295</v>
      </c>
      <c r="AC1736" s="139"/>
      <c r="AD1736" s="139"/>
      <c r="AE1736" s="139"/>
      <c r="AF1736" s="139"/>
      <c r="AG1736" s="139"/>
      <c r="AH1736" s="139"/>
      <c r="AI1736" s="139"/>
      <c r="AJ1736" s="139"/>
      <c r="AK1736" s="139"/>
      <c r="AL1736" s="139"/>
      <c r="AM1736" s="139"/>
      <c r="AN1736" s="139"/>
      <c r="AO1736" s="139"/>
      <c r="AP1736" s="139"/>
      <c r="AQ1736" s="139"/>
      <c r="AR1736" s="139"/>
      <c r="AS1736" s="139"/>
      <c r="AT1736" s="139"/>
      <c r="AU1736" s="139"/>
      <c r="AV1736" s="139"/>
      <c r="AW1736" s="139"/>
      <c r="AX1736" s="139"/>
      <c r="AY1736" s="139"/>
      <c r="AZ1736" s="139"/>
      <c r="BA1736" s="139"/>
      <c r="BB1736" s="139"/>
      <c r="BC1736" s="139"/>
      <c r="BD1736" s="139"/>
      <c r="BE1736" s="139"/>
      <c r="BF1736" s="139"/>
      <c r="BG1736" s="139"/>
      <c r="BH1736" s="139"/>
    </row>
    <row r="1737" spans="2:60" s="11" customFormat="1" ht="20.100000000000001" customHeight="1">
      <c r="B1737" s="1360"/>
      <c r="C1737" s="5598"/>
      <c r="D1737" s="9598" t="s">
        <v>140</v>
      </c>
      <c r="E1737" s="9600"/>
      <c r="F1737" s="105" t="s">
        <v>1018</v>
      </c>
      <c r="G1737" s="666"/>
      <c r="H1737" s="6192"/>
      <c r="I1737" s="9582" t="s">
        <v>141</v>
      </c>
      <c r="J1737" s="9583"/>
      <c r="K1737" s="105" t="s">
        <v>1020</v>
      </c>
      <c r="L1737" s="5789">
        <v>2200752</v>
      </c>
      <c r="M1737" s="5718" t="s">
        <v>1296</v>
      </c>
      <c r="N1737" s="6005">
        <v>1897992</v>
      </c>
      <c r="O1737" s="5716" t="s">
        <v>1297</v>
      </c>
      <c r="P1737" s="6008">
        <v>1566000</v>
      </c>
      <c r="Q1737" s="5717" t="s">
        <v>1298</v>
      </c>
      <c r="R1737" s="2483"/>
      <c r="S1737" s="544"/>
      <c r="T1737" s="545"/>
      <c r="U1737" s="546"/>
      <c r="V1737" s="547"/>
      <c r="W1737" s="548"/>
      <c r="X1737" s="277"/>
      <c r="Y1737" s="277"/>
      <c r="Z1737" s="187"/>
      <c r="AA1737" s="6301"/>
      <c r="AB1737" s="139"/>
      <c r="AC1737" s="139"/>
      <c r="AD1737" s="139"/>
      <c r="AE1737" s="139"/>
      <c r="AF1737" s="139"/>
      <c r="AG1737" s="139"/>
      <c r="AH1737" s="139"/>
      <c r="AI1737" s="139"/>
      <c r="AJ1737" s="139"/>
      <c r="AK1737" s="139"/>
      <c r="AL1737" s="139"/>
      <c r="AM1737" s="139"/>
      <c r="AN1737" s="139"/>
      <c r="AO1737" s="139"/>
      <c r="AP1737" s="139"/>
      <c r="AQ1737" s="139"/>
      <c r="AR1737" s="139"/>
      <c r="AS1737" s="139"/>
      <c r="AT1737" s="139"/>
      <c r="AU1737" s="139"/>
      <c r="AV1737" s="139"/>
      <c r="AW1737" s="139"/>
      <c r="AX1737" s="139"/>
      <c r="AY1737" s="139"/>
      <c r="AZ1737" s="139"/>
      <c r="BA1737" s="139"/>
      <c r="BB1737" s="139"/>
      <c r="BC1737" s="139"/>
      <c r="BD1737" s="139"/>
      <c r="BE1737" s="139"/>
      <c r="BF1737" s="139"/>
      <c r="BG1737" s="139"/>
      <c r="BH1737" s="139"/>
    </row>
    <row r="1738" spans="2:60" s="11" customFormat="1" ht="20.100000000000001" customHeight="1">
      <c r="B1738" s="1360"/>
      <c r="C1738" s="614"/>
      <c r="D1738" s="9598" t="s">
        <v>143</v>
      </c>
      <c r="E1738" s="9600"/>
      <c r="F1738" s="105" t="s">
        <v>1018</v>
      </c>
      <c r="G1738" s="666"/>
      <c r="H1738" s="6256"/>
      <c r="I1738" s="9582" t="s">
        <v>144</v>
      </c>
      <c r="J1738" s="9583"/>
      <c r="K1738" s="105" t="s">
        <v>1020</v>
      </c>
      <c r="L1738" s="5789">
        <v>1446830</v>
      </c>
      <c r="M1738" s="5718"/>
      <c r="N1738" s="6005">
        <v>2421919</v>
      </c>
      <c r="O1738" s="5716"/>
      <c r="P1738" s="6008">
        <v>2672521</v>
      </c>
      <c r="Q1738" s="5717"/>
      <c r="R1738" s="2483"/>
      <c r="S1738" s="544"/>
      <c r="T1738" s="545"/>
      <c r="U1738" s="546"/>
      <c r="V1738" s="547"/>
      <c r="W1738" s="548"/>
      <c r="X1738" s="277"/>
      <c r="Y1738" s="277"/>
      <c r="Z1738" s="187"/>
      <c r="AA1738" s="6303" t="s">
        <v>1299</v>
      </c>
      <c r="AB1738" s="139"/>
      <c r="AC1738" s="139"/>
      <c r="AD1738" s="139"/>
      <c r="AE1738" s="139"/>
      <c r="AF1738" s="139"/>
      <c r="AG1738" s="139"/>
      <c r="AH1738" s="139"/>
      <c r="AI1738" s="139"/>
      <c r="AJ1738" s="139"/>
      <c r="AK1738" s="139"/>
      <c r="AL1738" s="139"/>
      <c r="AM1738" s="139"/>
      <c r="AN1738" s="139"/>
      <c r="AO1738" s="139"/>
      <c r="AP1738" s="139"/>
      <c r="AQ1738" s="139"/>
      <c r="AR1738" s="139"/>
      <c r="AS1738" s="139"/>
      <c r="AT1738" s="139"/>
      <c r="AU1738" s="139"/>
      <c r="AV1738" s="139"/>
      <c r="AW1738" s="139"/>
      <c r="AX1738" s="139"/>
      <c r="AY1738" s="139"/>
      <c r="AZ1738" s="139"/>
      <c r="BA1738" s="139"/>
      <c r="BB1738" s="139"/>
      <c r="BC1738" s="139"/>
      <c r="BD1738" s="139"/>
      <c r="BE1738" s="139"/>
      <c r="BF1738" s="139"/>
      <c r="BG1738" s="139"/>
      <c r="BH1738" s="139"/>
    </row>
    <row r="1739" spans="2:60" s="11" customFormat="1" ht="20.100000000000001" customHeight="1">
      <c r="B1739" s="1360"/>
      <c r="C1739" s="5598"/>
      <c r="D1739" s="9598" t="s">
        <v>631</v>
      </c>
      <c r="E1739" s="9600"/>
      <c r="F1739" s="105" t="s">
        <v>1018</v>
      </c>
      <c r="G1739" s="666"/>
      <c r="H1739" s="6192"/>
      <c r="I1739" s="9582" t="s">
        <v>147</v>
      </c>
      <c r="J1739" s="9583"/>
      <c r="K1739" s="105" t="s">
        <v>1020</v>
      </c>
      <c r="L1739" s="5789">
        <v>749808</v>
      </c>
      <c r="M1739" s="5718" t="s">
        <v>1300</v>
      </c>
      <c r="N1739" s="6010">
        <v>773424</v>
      </c>
      <c r="O1739" s="5716" t="s">
        <v>1300</v>
      </c>
      <c r="P1739" s="6008">
        <v>817408</v>
      </c>
      <c r="Q1739" s="5717"/>
      <c r="R1739" s="2483"/>
      <c r="S1739" s="544"/>
      <c r="T1739" s="545"/>
      <c r="U1739" s="546"/>
      <c r="V1739" s="547"/>
      <c r="W1739" s="548"/>
      <c r="X1739" s="277"/>
      <c r="Y1739" s="277"/>
      <c r="Z1739" s="187"/>
      <c r="AA1739" s="6301"/>
      <c r="AB1739" s="139"/>
      <c r="AC1739" s="139"/>
      <c r="AD1739" s="139"/>
      <c r="AE1739" s="139"/>
      <c r="AF1739" s="139"/>
      <c r="AG1739" s="139"/>
      <c r="AH1739" s="139"/>
      <c r="AI1739" s="139"/>
      <c r="AJ1739" s="139"/>
      <c r="AK1739" s="139"/>
      <c r="AL1739" s="139"/>
      <c r="AM1739" s="139"/>
      <c r="AN1739" s="139"/>
      <c r="AO1739" s="139"/>
      <c r="AP1739" s="139"/>
      <c r="AQ1739" s="139"/>
      <c r="AR1739" s="139"/>
      <c r="AS1739" s="139"/>
      <c r="AT1739" s="139"/>
      <c r="AU1739" s="139"/>
      <c r="AV1739" s="139"/>
      <c r="AW1739" s="139"/>
      <c r="AX1739" s="139"/>
      <c r="AY1739" s="139"/>
      <c r="AZ1739" s="139"/>
      <c r="BA1739" s="139"/>
      <c r="BB1739" s="139"/>
      <c r="BC1739" s="139"/>
      <c r="BD1739" s="139"/>
      <c r="BE1739" s="139"/>
      <c r="BF1739" s="139"/>
      <c r="BG1739" s="139"/>
      <c r="BH1739" s="139"/>
    </row>
    <row r="1740" spans="2:60" s="11" customFormat="1" ht="20.100000000000001" customHeight="1">
      <c r="B1740" s="1360"/>
      <c r="C1740" s="5598"/>
      <c r="D1740" s="9598" t="s">
        <v>633</v>
      </c>
      <c r="E1740" s="9600"/>
      <c r="F1740" s="105" t="s">
        <v>1018</v>
      </c>
      <c r="G1740" s="666"/>
      <c r="H1740" s="6192"/>
      <c r="I1740" s="9582" t="s">
        <v>150</v>
      </c>
      <c r="J1740" s="9583"/>
      <c r="K1740" s="105" t="s">
        <v>1020</v>
      </c>
      <c r="L1740" s="6507">
        <v>1494555</v>
      </c>
      <c r="M1740" s="6505"/>
      <c r="N1740" s="6472">
        <v>2376840</v>
      </c>
      <c r="O1740" s="6505"/>
      <c r="P1740" s="6472">
        <v>2151195</v>
      </c>
      <c r="Q1740" s="5717"/>
      <c r="R1740" s="2483"/>
      <c r="S1740" s="544"/>
      <c r="T1740" s="545"/>
      <c r="U1740" s="546"/>
      <c r="V1740" s="547"/>
      <c r="W1740" s="548"/>
      <c r="X1740" s="277"/>
      <c r="Y1740" s="277"/>
      <c r="Z1740" s="187"/>
      <c r="AA1740" s="6301"/>
      <c r="AB1740" s="6403" t="s">
        <v>1301</v>
      </c>
      <c r="AC1740" s="139"/>
      <c r="AD1740" s="139"/>
      <c r="AE1740" s="139"/>
      <c r="AF1740" s="139"/>
      <c r="AG1740" s="139"/>
      <c r="AH1740" s="139"/>
      <c r="AI1740" s="139"/>
      <c r="AJ1740" s="139"/>
      <c r="AK1740" s="139"/>
      <c r="AL1740" s="139"/>
      <c r="AM1740" s="139"/>
      <c r="AN1740" s="139"/>
      <c r="AO1740" s="139"/>
      <c r="AP1740" s="139"/>
      <c r="AQ1740" s="139"/>
      <c r="AR1740" s="139"/>
      <c r="AS1740" s="139"/>
      <c r="AT1740" s="139"/>
      <c r="AU1740" s="139"/>
      <c r="AV1740" s="139"/>
      <c r="AW1740" s="139"/>
      <c r="AX1740" s="139"/>
      <c r="AY1740" s="139"/>
      <c r="AZ1740" s="139"/>
      <c r="BA1740" s="139"/>
      <c r="BB1740" s="139"/>
      <c r="BC1740" s="139"/>
      <c r="BD1740" s="139"/>
      <c r="BE1740" s="139"/>
      <c r="BF1740" s="139"/>
      <c r="BG1740" s="139"/>
      <c r="BH1740" s="139"/>
    </row>
    <row r="1741" spans="2:60" s="11" customFormat="1" ht="20.100000000000001" customHeight="1">
      <c r="B1741" s="1360"/>
      <c r="C1741" s="9656" t="s">
        <v>1302</v>
      </c>
      <c r="D1741" s="9587"/>
      <c r="E1741" s="9588"/>
      <c r="F1741" s="105" t="s">
        <v>1272</v>
      </c>
      <c r="G1741" s="961"/>
      <c r="H1741" s="9586" t="s">
        <v>1303</v>
      </c>
      <c r="I1741" s="9587"/>
      <c r="J1741" s="9588"/>
      <c r="K1741" s="285" t="s">
        <v>1274</v>
      </c>
      <c r="L1741" s="5653" t="str">
        <f>IF(COUNTBLANK(L1742:L1747)&gt;0,"미취합법인有",SUM(L1742:L1747))</f>
        <v>미취합법인有</v>
      </c>
      <c r="M1741" s="5657"/>
      <c r="N1741" s="5654" t="str">
        <f>IF(COUNTBLANK(N1742:N1747)&gt;0,"미취합법인有",SUM(N1742:N1747))</f>
        <v>미취합법인有</v>
      </c>
      <c r="O1741" s="5663"/>
      <c r="P1741" s="5781" t="str">
        <f>IF(COUNTBLANK(P1742:P1747)&gt;0,"미취합법인有",SUM(P1742:P1747))</f>
        <v>미취합법인有</v>
      </c>
      <c r="Q1741" s="785"/>
      <c r="R1741" s="2468" t="s">
        <v>1304</v>
      </c>
      <c r="S1741" s="276" t="s">
        <v>1305</v>
      </c>
      <c r="T1741" s="109" t="s">
        <v>206</v>
      </c>
      <c r="U1741" s="547"/>
      <c r="V1741" s="547"/>
      <c r="W1741" s="299" t="s">
        <v>193</v>
      </c>
      <c r="X1741" s="277" t="s">
        <v>1306</v>
      </c>
      <c r="Y1741" s="265"/>
      <c r="Z1741" s="982"/>
      <c r="AA1741" s="6301"/>
      <c r="AB1741" s="6403"/>
      <c r="AC1741" s="139"/>
      <c r="AD1741" s="139"/>
      <c r="AE1741" s="139"/>
      <c r="AF1741" s="139"/>
      <c r="AG1741" s="139"/>
      <c r="AH1741" s="139"/>
      <c r="AI1741" s="139"/>
      <c r="AJ1741" s="139"/>
      <c r="AK1741" s="139"/>
      <c r="AL1741" s="139"/>
      <c r="AM1741" s="139"/>
      <c r="AN1741" s="139"/>
      <c r="AO1741" s="139"/>
      <c r="AP1741" s="139"/>
      <c r="AQ1741" s="139"/>
      <c r="AR1741" s="139"/>
      <c r="AS1741" s="139"/>
      <c r="AT1741" s="139"/>
      <c r="AU1741" s="139"/>
      <c r="AV1741" s="139"/>
      <c r="AW1741" s="139"/>
      <c r="AX1741" s="139"/>
      <c r="AY1741" s="139"/>
      <c r="AZ1741" s="139"/>
      <c r="BA1741" s="139"/>
      <c r="BB1741" s="139"/>
      <c r="BC1741" s="139"/>
      <c r="BD1741" s="139"/>
      <c r="BE1741" s="139"/>
      <c r="BF1741" s="139"/>
      <c r="BG1741" s="139"/>
      <c r="BH1741" s="139"/>
    </row>
    <row r="1742" spans="2:60" s="11" customFormat="1" ht="20.100000000000001" customHeight="1">
      <c r="B1742" s="1360"/>
      <c r="C1742" s="9647" t="s">
        <v>134</v>
      </c>
      <c r="D1742" s="9648"/>
      <c r="E1742" s="9649"/>
      <c r="F1742" s="105" t="s">
        <v>1272</v>
      </c>
      <c r="G1742" s="666"/>
      <c r="H1742" s="9579" t="s">
        <v>135</v>
      </c>
      <c r="I1742" s="9580"/>
      <c r="J1742" s="9581"/>
      <c r="K1742" s="285" t="s">
        <v>1274</v>
      </c>
      <c r="L1742" s="5705"/>
      <c r="M1742" s="5719" t="s">
        <v>369</v>
      </c>
      <c r="N1742" s="5730"/>
      <c r="O1742" s="5720" t="s">
        <v>369</v>
      </c>
      <c r="P1742" s="5717"/>
      <c r="Q1742" s="5717"/>
      <c r="R1742" s="2468"/>
      <c r="S1742" s="544"/>
      <c r="T1742" s="545"/>
      <c r="U1742" s="546"/>
      <c r="V1742" s="547"/>
      <c r="W1742" s="299" t="s">
        <v>193</v>
      </c>
      <c r="X1742" s="277"/>
      <c r="Y1742" s="277"/>
      <c r="Z1742" s="187"/>
      <c r="AA1742" s="6301"/>
      <c r="AB1742" s="139"/>
      <c r="AC1742" s="139"/>
      <c r="AD1742" s="139"/>
      <c r="AE1742" s="139"/>
      <c r="AF1742" s="139"/>
      <c r="AG1742" s="139"/>
      <c r="AH1742" s="139"/>
      <c r="AI1742" s="139"/>
      <c r="AJ1742" s="139"/>
      <c r="AK1742" s="139"/>
      <c r="AL1742" s="139"/>
      <c r="AM1742" s="139"/>
      <c r="AN1742" s="139"/>
      <c r="AO1742" s="139"/>
      <c r="AP1742" s="139"/>
      <c r="AQ1742" s="139"/>
      <c r="AR1742" s="139"/>
      <c r="AS1742" s="139"/>
      <c r="AT1742" s="139"/>
      <c r="AU1742" s="139"/>
      <c r="AV1742" s="139"/>
      <c r="AW1742" s="139"/>
      <c r="AX1742" s="139"/>
      <c r="AY1742" s="139"/>
      <c r="AZ1742" s="139"/>
      <c r="BA1742" s="139"/>
      <c r="BB1742" s="139"/>
      <c r="BC1742" s="139"/>
      <c r="BD1742" s="139"/>
      <c r="BE1742" s="139"/>
      <c r="BF1742" s="139"/>
      <c r="BG1742" s="139"/>
      <c r="BH1742" s="139"/>
    </row>
    <row r="1743" spans="2:60" s="11" customFormat="1" ht="20.100000000000001" customHeight="1">
      <c r="B1743" s="1360"/>
      <c r="C1743" s="9647" t="s">
        <v>137</v>
      </c>
      <c r="D1743" s="9648"/>
      <c r="E1743" s="9649"/>
      <c r="F1743" s="105" t="s">
        <v>1272</v>
      </c>
      <c r="G1743" s="666"/>
      <c r="H1743" s="9579" t="s">
        <v>138</v>
      </c>
      <c r="I1743" s="9580"/>
      <c r="J1743" s="9581"/>
      <c r="K1743" s="285" t="s">
        <v>1274</v>
      </c>
      <c r="L1743" s="5705"/>
      <c r="M1743" s="5719"/>
      <c r="N1743" s="5730"/>
      <c r="O1743" s="5720"/>
      <c r="P1743" s="5856"/>
      <c r="Q1743" s="5717"/>
      <c r="R1743" s="2468"/>
      <c r="S1743" s="544"/>
      <c r="T1743" s="545"/>
      <c r="U1743" s="546"/>
      <c r="V1743" s="547"/>
      <c r="W1743" s="299" t="s">
        <v>193</v>
      </c>
      <c r="X1743" s="277"/>
      <c r="Y1743" s="277"/>
      <c r="Z1743" s="187"/>
      <c r="AA1743" s="6301"/>
      <c r="AB1743" s="139"/>
      <c r="AC1743" s="139"/>
      <c r="AD1743" s="139"/>
      <c r="AE1743" s="139"/>
      <c r="AF1743" s="139"/>
      <c r="AG1743" s="139"/>
      <c r="AH1743" s="139"/>
      <c r="AI1743" s="139"/>
      <c r="AJ1743" s="139"/>
      <c r="AK1743" s="139"/>
      <c r="AL1743" s="139"/>
      <c r="AM1743" s="139"/>
      <c r="AN1743" s="139"/>
      <c r="AO1743" s="139"/>
      <c r="AP1743" s="139"/>
      <c r="AQ1743" s="139"/>
      <c r="AR1743" s="139"/>
      <c r="AS1743" s="139"/>
      <c r="AT1743" s="139"/>
      <c r="AU1743" s="139"/>
      <c r="AV1743" s="139"/>
      <c r="AW1743" s="139"/>
      <c r="AX1743" s="139"/>
      <c r="AY1743" s="139"/>
      <c r="AZ1743" s="139"/>
      <c r="BA1743" s="139"/>
      <c r="BB1743" s="139"/>
      <c r="BC1743" s="139"/>
      <c r="BD1743" s="139"/>
      <c r="BE1743" s="139"/>
      <c r="BF1743" s="139"/>
      <c r="BG1743" s="139"/>
      <c r="BH1743" s="139"/>
    </row>
    <row r="1744" spans="2:60" s="11" customFormat="1" ht="20.100000000000001" customHeight="1">
      <c r="B1744" s="1360"/>
      <c r="C1744" s="9647" t="s">
        <v>140</v>
      </c>
      <c r="D1744" s="9648"/>
      <c r="E1744" s="9649"/>
      <c r="F1744" s="105" t="s">
        <v>1272</v>
      </c>
      <c r="G1744" s="666"/>
      <c r="H1744" s="9579" t="s">
        <v>141</v>
      </c>
      <c r="I1744" s="9580"/>
      <c r="J1744" s="9581"/>
      <c r="K1744" s="285" t="s">
        <v>1274</v>
      </c>
      <c r="L1744" s="6000" t="s">
        <v>168</v>
      </c>
      <c r="M1744" s="5671" t="s">
        <v>640</v>
      </c>
      <c r="N1744" s="5730" t="s">
        <v>168</v>
      </c>
      <c r="O1744" s="5671" t="s">
        <v>640</v>
      </c>
      <c r="P1744" s="5730" t="s">
        <v>168</v>
      </c>
      <c r="Q1744" s="5672" t="s">
        <v>640</v>
      </c>
      <c r="R1744" s="2468"/>
      <c r="S1744" s="544"/>
      <c r="T1744" s="545"/>
      <c r="U1744" s="546"/>
      <c r="V1744" s="547"/>
      <c r="W1744" s="299" t="s">
        <v>193</v>
      </c>
      <c r="X1744" s="277"/>
      <c r="Y1744" s="277"/>
      <c r="Z1744" s="187"/>
      <c r="AA1744" s="6301"/>
      <c r="AB1744" s="139"/>
      <c r="AC1744" s="139"/>
      <c r="AD1744" s="139"/>
      <c r="AE1744" s="139"/>
      <c r="AF1744" s="139"/>
      <c r="AG1744" s="139"/>
      <c r="AH1744" s="139"/>
      <c r="AI1744" s="139"/>
      <c r="AJ1744" s="139"/>
      <c r="AK1744" s="139"/>
      <c r="AL1744" s="139"/>
      <c r="AM1744" s="139"/>
      <c r="AN1744" s="139"/>
      <c r="AO1744" s="139"/>
      <c r="AP1744" s="139"/>
      <c r="AQ1744" s="139"/>
      <c r="AR1744" s="139"/>
      <c r="AS1744" s="139"/>
      <c r="AT1744" s="139"/>
      <c r="AU1744" s="139"/>
      <c r="AV1744" s="139"/>
      <c r="AW1744" s="139"/>
      <c r="AX1744" s="139"/>
      <c r="AY1744" s="139"/>
      <c r="AZ1744" s="139"/>
      <c r="BA1744" s="139"/>
      <c r="BB1744" s="139"/>
      <c r="BC1744" s="139"/>
      <c r="BD1744" s="139"/>
      <c r="BE1744" s="139"/>
      <c r="BF1744" s="139"/>
      <c r="BG1744" s="139"/>
      <c r="BH1744" s="139"/>
    </row>
    <row r="1745" spans="2:60" s="11" customFormat="1" ht="20.100000000000001" customHeight="1">
      <c r="B1745" s="1360"/>
      <c r="C1745" s="9647" t="s">
        <v>143</v>
      </c>
      <c r="D1745" s="9648"/>
      <c r="E1745" s="9649"/>
      <c r="F1745" s="105" t="s">
        <v>1272</v>
      </c>
      <c r="G1745" s="666"/>
      <c r="H1745" s="9579" t="s">
        <v>144</v>
      </c>
      <c r="I1745" s="9580"/>
      <c r="J1745" s="9581"/>
      <c r="K1745" s="285" t="s">
        <v>1274</v>
      </c>
      <c r="L1745" s="5705"/>
      <c r="M1745" s="5719"/>
      <c r="N1745" s="5730"/>
      <c r="O1745" s="5720"/>
      <c r="P1745" s="5856"/>
      <c r="Q1745" s="5717"/>
      <c r="R1745" s="2468"/>
      <c r="S1745" s="544"/>
      <c r="T1745" s="545"/>
      <c r="U1745" s="546"/>
      <c r="V1745" s="547"/>
      <c r="W1745" s="299" t="s">
        <v>193</v>
      </c>
      <c r="X1745" s="277"/>
      <c r="Y1745" s="277"/>
      <c r="Z1745" s="187"/>
      <c r="AA1745" s="6301"/>
      <c r="AB1745" s="139"/>
      <c r="AC1745" s="139"/>
      <c r="AD1745" s="139"/>
      <c r="AE1745" s="139"/>
      <c r="AF1745" s="139"/>
      <c r="AG1745" s="139"/>
      <c r="AH1745" s="139"/>
      <c r="AI1745" s="139"/>
      <c r="AJ1745" s="139"/>
      <c r="AK1745" s="139"/>
      <c r="AL1745" s="139"/>
      <c r="AM1745" s="139"/>
      <c r="AN1745" s="139"/>
      <c r="AO1745" s="139"/>
      <c r="AP1745" s="139"/>
      <c r="AQ1745" s="139"/>
      <c r="AR1745" s="139"/>
      <c r="AS1745" s="139"/>
      <c r="AT1745" s="139"/>
      <c r="AU1745" s="139"/>
      <c r="AV1745" s="139"/>
      <c r="AW1745" s="139"/>
      <c r="AX1745" s="139"/>
      <c r="AY1745" s="139"/>
      <c r="AZ1745" s="139"/>
      <c r="BA1745" s="139"/>
      <c r="BB1745" s="139"/>
      <c r="BC1745" s="139"/>
      <c r="BD1745" s="139"/>
      <c r="BE1745" s="139"/>
      <c r="BF1745" s="139"/>
      <c r="BG1745" s="139"/>
      <c r="BH1745" s="139"/>
    </row>
    <row r="1746" spans="2:60" s="11" customFormat="1" ht="20.100000000000001" customHeight="1">
      <c r="B1746" s="1360"/>
      <c r="C1746" s="9647" t="s">
        <v>631</v>
      </c>
      <c r="D1746" s="9648"/>
      <c r="E1746" s="9649"/>
      <c r="F1746" s="105" t="s">
        <v>1272</v>
      </c>
      <c r="G1746" s="666"/>
      <c r="H1746" s="9579" t="s">
        <v>147</v>
      </c>
      <c r="I1746" s="9580"/>
      <c r="J1746" s="9581"/>
      <c r="K1746" s="285" t="s">
        <v>1274</v>
      </c>
      <c r="L1746" s="5705"/>
      <c r="M1746" s="5719"/>
      <c r="N1746" s="5730"/>
      <c r="O1746" s="5720"/>
      <c r="P1746" s="5856"/>
      <c r="Q1746" s="5717"/>
      <c r="R1746" s="2468"/>
      <c r="S1746" s="544"/>
      <c r="T1746" s="545"/>
      <c r="U1746" s="546"/>
      <c r="V1746" s="547"/>
      <c r="W1746" s="299" t="s">
        <v>193</v>
      </c>
      <c r="X1746" s="277"/>
      <c r="Y1746" s="277"/>
      <c r="Z1746" s="187"/>
      <c r="AA1746" s="6301"/>
      <c r="AB1746" s="139"/>
      <c r="AC1746" s="139"/>
      <c r="AD1746" s="139"/>
      <c r="AE1746" s="139"/>
      <c r="AF1746" s="139"/>
      <c r="AG1746" s="139"/>
      <c r="AH1746" s="139"/>
      <c r="AI1746" s="139"/>
      <c r="AJ1746" s="139"/>
      <c r="AK1746" s="139"/>
      <c r="AL1746" s="139"/>
      <c r="AM1746" s="139"/>
      <c r="AN1746" s="139"/>
      <c r="AO1746" s="139"/>
      <c r="AP1746" s="139"/>
      <c r="AQ1746" s="139"/>
      <c r="AR1746" s="139"/>
      <c r="AS1746" s="139"/>
      <c r="AT1746" s="139"/>
      <c r="AU1746" s="139"/>
      <c r="AV1746" s="139"/>
      <c r="AW1746" s="139"/>
      <c r="AX1746" s="139"/>
      <c r="AY1746" s="139"/>
      <c r="AZ1746" s="139"/>
      <c r="BA1746" s="139"/>
      <c r="BB1746" s="139"/>
      <c r="BC1746" s="139"/>
      <c r="BD1746" s="139"/>
      <c r="BE1746" s="139"/>
      <c r="BF1746" s="139"/>
      <c r="BG1746" s="139"/>
      <c r="BH1746" s="139"/>
    </row>
    <row r="1747" spans="2:60" s="11" customFormat="1" ht="20.100000000000001" customHeight="1">
      <c r="B1747" s="1360"/>
      <c r="C1747" s="9647" t="s">
        <v>633</v>
      </c>
      <c r="D1747" s="9648"/>
      <c r="E1747" s="9649"/>
      <c r="F1747" s="105" t="s">
        <v>1272</v>
      </c>
      <c r="G1747" s="666"/>
      <c r="H1747" s="9579" t="s">
        <v>150</v>
      </c>
      <c r="I1747" s="9580"/>
      <c r="J1747" s="9581"/>
      <c r="K1747" s="285" t="s">
        <v>1274</v>
      </c>
      <c r="L1747" s="5705"/>
      <c r="M1747" s="5719"/>
      <c r="N1747" s="5730"/>
      <c r="O1747" s="5719"/>
      <c r="P1747" s="5730"/>
      <c r="Q1747" s="5717"/>
      <c r="R1747" s="2468"/>
      <c r="S1747" s="544"/>
      <c r="T1747" s="545"/>
      <c r="U1747" s="546"/>
      <c r="V1747" s="547"/>
      <c r="W1747" s="299" t="s">
        <v>193</v>
      </c>
      <c r="X1747" s="277"/>
      <c r="Y1747" s="277"/>
      <c r="Z1747" s="187"/>
      <c r="AA1747" s="6301"/>
      <c r="AB1747" s="139"/>
      <c r="AC1747" s="139"/>
      <c r="AD1747" s="139"/>
      <c r="AE1747" s="139"/>
      <c r="AF1747" s="139"/>
      <c r="AG1747" s="139"/>
      <c r="AH1747" s="139"/>
      <c r="AI1747" s="139"/>
      <c r="AJ1747" s="139"/>
      <c r="AK1747" s="139"/>
      <c r="AL1747" s="139"/>
      <c r="AM1747" s="139"/>
      <c r="AN1747" s="139"/>
      <c r="AO1747" s="139"/>
      <c r="AP1747" s="139"/>
      <c r="AQ1747" s="139"/>
      <c r="AR1747" s="139"/>
      <c r="AS1747" s="139"/>
      <c r="AT1747" s="139"/>
      <c r="AU1747" s="139"/>
      <c r="AV1747" s="139"/>
      <c r="AW1747" s="139"/>
      <c r="AX1747" s="139"/>
      <c r="AY1747" s="139"/>
      <c r="AZ1747" s="139"/>
      <c r="BA1747" s="139"/>
      <c r="BB1747" s="139"/>
      <c r="BC1747" s="139"/>
      <c r="BD1747" s="139"/>
      <c r="BE1747" s="139"/>
      <c r="BF1747" s="139"/>
      <c r="BG1747" s="139"/>
      <c r="BH1747" s="139"/>
    </row>
    <row r="1748" spans="2:60" s="11" customFormat="1" ht="20.100000000000001" customHeight="1">
      <c r="B1748" s="1360"/>
      <c r="C1748" s="1388"/>
      <c r="D1748" s="9584" t="s">
        <v>1307</v>
      </c>
      <c r="E1748" s="9585"/>
      <c r="F1748" s="105" t="s">
        <v>557</v>
      </c>
      <c r="G1748" s="777"/>
      <c r="H1748" s="6183"/>
      <c r="I1748" s="9584" t="s">
        <v>1308</v>
      </c>
      <c r="J1748" s="9585"/>
      <c r="K1748" s="285" t="s">
        <v>559</v>
      </c>
      <c r="L1748" s="5653" t="str">
        <f>IF(COUNTBLANK(L1749:L1754)&gt;0,"미취합법인有",SUM(L1749:L1754))</f>
        <v>미취합법인有</v>
      </c>
      <c r="M1748" s="5657"/>
      <c r="N1748" s="5654" t="str">
        <f>IF(COUNTBLANK(N1749:N1754)&gt;0,"미취합법인有",SUM(N1749:N1754))</f>
        <v>미취합법인有</v>
      </c>
      <c r="O1748" s="5663"/>
      <c r="P1748" s="5781" t="str">
        <f>IF(COUNTBLANK(P1749:P1754)&gt;0,"미취합법인有",SUM(P1749:P1754))</f>
        <v>미취합법인有</v>
      </c>
      <c r="Q1748" s="785"/>
      <c r="R1748" s="2468"/>
      <c r="S1748" s="276"/>
      <c r="T1748" s="109" t="s">
        <v>206</v>
      </c>
      <c r="U1748" s="547"/>
      <c r="V1748" s="547"/>
      <c r="W1748" s="299" t="s">
        <v>193</v>
      </c>
      <c r="X1748" s="277" t="s">
        <v>1306</v>
      </c>
      <c r="Y1748" s="265"/>
      <c r="Z1748" s="982"/>
      <c r="AA1748" s="6301"/>
      <c r="AB1748" s="139"/>
      <c r="AC1748" s="139"/>
      <c r="AD1748" s="139"/>
      <c r="AE1748" s="139"/>
      <c r="AF1748" s="139"/>
      <c r="AG1748" s="139"/>
      <c r="AH1748" s="139"/>
      <c r="AI1748" s="139"/>
      <c r="AJ1748" s="139"/>
      <c r="AK1748" s="139"/>
      <c r="AL1748" s="139"/>
      <c r="AM1748" s="139"/>
      <c r="AN1748" s="139"/>
      <c r="AO1748" s="139"/>
      <c r="AP1748" s="139"/>
      <c r="AQ1748" s="139"/>
      <c r="AR1748" s="139"/>
      <c r="AS1748" s="139"/>
      <c r="AT1748" s="139"/>
      <c r="AU1748" s="139"/>
      <c r="AV1748" s="139"/>
      <c r="AW1748" s="139"/>
      <c r="AX1748" s="139"/>
      <c r="AY1748" s="139"/>
      <c r="AZ1748" s="139"/>
      <c r="BA1748" s="139"/>
      <c r="BB1748" s="139"/>
      <c r="BC1748" s="139"/>
      <c r="BD1748" s="139"/>
      <c r="BE1748" s="139"/>
      <c r="BF1748" s="139"/>
      <c r="BG1748" s="139"/>
      <c r="BH1748" s="139"/>
    </row>
    <row r="1749" spans="2:60" s="11" customFormat="1" ht="20.100000000000001" customHeight="1">
      <c r="B1749" s="1360"/>
      <c r="C1749" s="614"/>
      <c r="D1749" s="9598" t="s">
        <v>134</v>
      </c>
      <c r="E1749" s="9600"/>
      <c r="F1749" s="105" t="s">
        <v>557</v>
      </c>
      <c r="G1749" s="666"/>
      <c r="H1749" s="6260"/>
      <c r="I1749" s="9579" t="s">
        <v>135</v>
      </c>
      <c r="J1749" s="9581"/>
      <c r="K1749" s="285" t="s">
        <v>559</v>
      </c>
      <c r="L1749" s="5705"/>
      <c r="M1749" s="5719" t="s">
        <v>369</v>
      </c>
      <c r="N1749" s="5730"/>
      <c r="O1749" s="5720" t="s">
        <v>369</v>
      </c>
      <c r="P1749" s="5717"/>
      <c r="Q1749" s="5678"/>
      <c r="R1749" s="2483"/>
      <c r="S1749" s="544"/>
      <c r="T1749" s="545"/>
      <c r="U1749" s="546"/>
      <c r="V1749" s="547"/>
      <c r="W1749" s="299" t="s">
        <v>193</v>
      </c>
      <c r="X1749" s="277"/>
      <c r="Y1749" s="277"/>
      <c r="Z1749" s="187"/>
      <c r="AA1749" s="6301"/>
      <c r="AB1749" s="139"/>
      <c r="AC1749" s="139"/>
      <c r="AD1749" s="139"/>
      <c r="AE1749" s="139"/>
      <c r="AF1749" s="139"/>
      <c r="AG1749" s="139"/>
      <c r="AH1749" s="139"/>
      <c r="AI1749" s="139"/>
      <c r="AJ1749" s="139"/>
      <c r="AK1749" s="139"/>
      <c r="AL1749" s="139"/>
      <c r="AM1749" s="139"/>
      <c r="AN1749" s="139"/>
      <c r="AO1749" s="139"/>
      <c r="AP1749" s="139"/>
      <c r="AQ1749" s="139"/>
      <c r="AR1749" s="139"/>
      <c r="AS1749" s="139"/>
      <c r="AT1749" s="139"/>
      <c r="AU1749" s="139"/>
      <c r="AV1749" s="139"/>
      <c r="AW1749" s="139"/>
      <c r="AX1749" s="139"/>
      <c r="AY1749" s="139"/>
      <c r="AZ1749" s="139"/>
      <c r="BA1749" s="139"/>
      <c r="BB1749" s="139"/>
      <c r="BC1749" s="139"/>
      <c r="BD1749" s="139"/>
      <c r="BE1749" s="139"/>
      <c r="BF1749" s="139"/>
      <c r="BG1749" s="139"/>
      <c r="BH1749" s="139"/>
    </row>
    <row r="1750" spans="2:60" s="11" customFormat="1" ht="20.100000000000001" customHeight="1">
      <c r="B1750" s="1360"/>
      <c r="C1750" s="5598"/>
      <c r="D1750" s="9598" t="s">
        <v>137</v>
      </c>
      <c r="E1750" s="9600"/>
      <c r="F1750" s="105" t="s">
        <v>557</v>
      </c>
      <c r="G1750" s="666"/>
      <c r="H1750" s="6261"/>
      <c r="I1750" s="9579" t="s">
        <v>138</v>
      </c>
      <c r="J1750" s="9581"/>
      <c r="K1750" s="285" t="s">
        <v>559</v>
      </c>
      <c r="L1750" s="5594"/>
      <c r="M1750" s="5671"/>
      <c r="N1750" s="5724"/>
      <c r="O1750" s="5680"/>
      <c r="P1750" s="5725"/>
      <c r="Q1750" s="5678"/>
      <c r="R1750" s="2483"/>
      <c r="S1750" s="544"/>
      <c r="T1750" s="545"/>
      <c r="U1750" s="546"/>
      <c r="V1750" s="547"/>
      <c r="W1750" s="299" t="s">
        <v>193</v>
      </c>
      <c r="X1750" s="277"/>
      <c r="Y1750" s="277"/>
      <c r="Z1750" s="187"/>
      <c r="AA1750" s="6301"/>
      <c r="AB1750" s="139"/>
      <c r="AC1750" s="139"/>
      <c r="AD1750" s="139"/>
      <c r="AE1750" s="139"/>
      <c r="AF1750" s="139"/>
      <c r="AG1750" s="139"/>
      <c r="AH1750" s="139"/>
      <c r="AI1750" s="139"/>
      <c r="AJ1750" s="139"/>
      <c r="AK1750" s="139"/>
      <c r="AL1750" s="139"/>
      <c r="AM1750" s="139"/>
      <c r="AN1750" s="139"/>
      <c r="AO1750" s="139"/>
      <c r="AP1750" s="139"/>
      <c r="AQ1750" s="139"/>
      <c r="AR1750" s="139"/>
      <c r="AS1750" s="139"/>
      <c r="AT1750" s="139"/>
      <c r="AU1750" s="139"/>
      <c r="AV1750" s="139"/>
      <c r="AW1750" s="139"/>
      <c r="AX1750" s="139"/>
      <c r="AY1750" s="139"/>
      <c r="AZ1750" s="139"/>
      <c r="BA1750" s="139"/>
      <c r="BB1750" s="139"/>
      <c r="BC1750" s="139"/>
      <c r="BD1750" s="139"/>
      <c r="BE1750" s="139"/>
      <c r="BF1750" s="139"/>
      <c r="BG1750" s="139"/>
      <c r="BH1750" s="139"/>
    </row>
    <row r="1751" spans="2:60" s="11" customFormat="1" ht="20.100000000000001" customHeight="1">
      <c r="B1751" s="1360"/>
      <c r="C1751" s="5598"/>
      <c r="D1751" s="9598" t="s">
        <v>140</v>
      </c>
      <c r="E1751" s="9600"/>
      <c r="F1751" s="105" t="s">
        <v>557</v>
      </c>
      <c r="G1751" s="666"/>
      <c r="H1751" s="6261"/>
      <c r="I1751" s="9582" t="s">
        <v>141</v>
      </c>
      <c r="J1751" s="9583"/>
      <c r="K1751" s="285" t="s">
        <v>559</v>
      </c>
      <c r="L1751" s="5683"/>
      <c r="M1751" s="5871"/>
      <c r="N1751" s="5857"/>
      <c r="O1751" s="5874"/>
      <c r="P1751" s="5858"/>
      <c r="Q1751" s="5678"/>
      <c r="R1751" s="2483"/>
      <c r="S1751" s="544"/>
      <c r="T1751" s="545"/>
      <c r="U1751" s="546"/>
      <c r="V1751" s="547"/>
      <c r="W1751" s="299" t="s">
        <v>193</v>
      </c>
      <c r="X1751" s="277"/>
      <c r="Y1751" s="277"/>
      <c r="Z1751" s="187"/>
      <c r="AA1751" s="6301"/>
      <c r="AB1751" s="139"/>
      <c r="AC1751" s="139"/>
      <c r="AD1751" s="139"/>
      <c r="AE1751" s="139"/>
      <c r="AF1751" s="139"/>
      <c r="AG1751" s="139"/>
      <c r="AH1751" s="139"/>
      <c r="AI1751" s="139"/>
      <c r="AJ1751" s="139"/>
      <c r="AK1751" s="139"/>
      <c r="AL1751" s="139"/>
      <c r="AM1751" s="139"/>
      <c r="AN1751" s="139"/>
      <c r="AO1751" s="139"/>
      <c r="AP1751" s="139"/>
      <c r="AQ1751" s="139"/>
      <c r="AR1751" s="139"/>
      <c r="AS1751" s="139"/>
      <c r="AT1751" s="139"/>
      <c r="AU1751" s="139"/>
      <c r="AV1751" s="139"/>
      <c r="AW1751" s="139"/>
      <c r="AX1751" s="139"/>
      <c r="AY1751" s="139"/>
      <c r="AZ1751" s="139"/>
      <c r="BA1751" s="139"/>
      <c r="BB1751" s="139"/>
      <c r="BC1751" s="139"/>
      <c r="BD1751" s="139"/>
      <c r="BE1751" s="139"/>
      <c r="BF1751" s="139"/>
      <c r="BG1751" s="139"/>
      <c r="BH1751" s="139"/>
    </row>
    <row r="1752" spans="2:60" s="11" customFormat="1" ht="20.100000000000001" customHeight="1">
      <c r="B1752" s="1360"/>
      <c r="C1752" s="614"/>
      <c r="D1752" s="9598" t="s">
        <v>143</v>
      </c>
      <c r="E1752" s="9600"/>
      <c r="F1752" s="105" t="s">
        <v>557</v>
      </c>
      <c r="G1752" s="666"/>
      <c r="H1752" s="6260"/>
      <c r="I1752" s="9582" t="s">
        <v>144</v>
      </c>
      <c r="J1752" s="9583"/>
      <c r="K1752" s="285" t="s">
        <v>559</v>
      </c>
      <c r="L1752" s="5683"/>
      <c r="M1752" s="5871"/>
      <c r="N1752" s="5857"/>
      <c r="O1752" s="5874"/>
      <c r="P1752" s="5858"/>
      <c r="Q1752" s="5678"/>
      <c r="R1752" s="2483"/>
      <c r="S1752" s="544"/>
      <c r="T1752" s="545"/>
      <c r="U1752" s="546"/>
      <c r="V1752" s="547"/>
      <c r="W1752" s="299" t="s">
        <v>193</v>
      </c>
      <c r="X1752" s="277"/>
      <c r="Y1752" s="277"/>
      <c r="Z1752" s="187"/>
      <c r="AA1752" s="6301"/>
      <c r="AB1752" s="139"/>
      <c r="AC1752" s="139"/>
      <c r="AD1752" s="139"/>
      <c r="AE1752" s="139"/>
      <c r="AF1752" s="139"/>
      <c r="AG1752" s="139"/>
      <c r="AH1752" s="139"/>
      <c r="AI1752" s="139"/>
      <c r="AJ1752" s="139"/>
      <c r="AK1752" s="139"/>
      <c r="AL1752" s="139"/>
      <c r="AM1752" s="139"/>
      <c r="AN1752" s="139"/>
      <c r="AO1752" s="139"/>
      <c r="AP1752" s="139"/>
      <c r="AQ1752" s="139"/>
      <c r="AR1752" s="139"/>
      <c r="AS1752" s="139"/>
      <c r="AT1752" s="139"/>
      <c r="AU1752" s="139"/>
      <c r="AV1752" s="139"/>
      <c r="AW1752" s="139"/>
      <c r="AX1752" s="139"/>
      <c r="AY1752" s="139"/>
      <c r="AZ1752" s="139"/>
      <c r="BA1752" s="139"/>
      <c r="BB1752" s="139"/>
      <c r="BC1752" s="139"/>
      <c r="BD1752" s="139"/>
      <c r="BE1752" s="139"/>
      <c r="BF1752" s="139"/>
      <c r="BG1752" s="139"/>
      <c r="BH1752" s="139"/>
    </row>
    <row r="1753" spans="2:60" s="11" customFormat="1" ht="20.100000000000001" customHeight="1">
      <c r="B1753" s="1360"/>
      <c r="C1753" s="5598"/>
      <c r="D1753" s="9598" t="s">
        <v>631</v>
      </c>
      <c r="E1753" s="9600"/>
      <c r="F1753" s="105" t="s">
        <v>557</v>
      </c>
      <c r="G1753" s="666"/>
      <c r="H1753" s="6261"/>
      <c r="I1753" s="9582" t="s">
        <v>147</v>
      </c>
      <c r="J1753" s="9583"/>
      <c r="K1753" s="285" t="s">
        <v>559</v>
      </c>
      <c r="L1753" s="5683"/>
      <c r="M1753" s="5871"/>
      <c r="N1753" s="5857"/>
      <c r="O1753" s="5874"/>
      <c r="P1753" s="5858"/>
      <c r="Q1753" s="5678"/>
      <c r="R1753" s="2483"/>
      <c r="S1753" s="544"/>
      <c r="T1753" s="545"/>
      <c r="U1753" s="546"/>
      <c r="V1753" s="547"/>
      <c r="W1753" s="299" t="s">
        <v>193</v>
      </c>
      <c r="X1753" s="277"/>
      <c r="Y1753" s="277"/>
      <c r="Z1753" s="187"/>
      <c r="AA1753" s="6301"/>
      <c r="AB1753" s="139"/>
      <c r="AC1753" s="139"/>
      <c r="AD1753" s="139"/>
      <c r="AE1753" s="139"/>
      <c r="AF1753" s="139"/>
      <c r="AG1753" s="139"/>
      <c r="AH1753" s="139"/>
      <c r="AI1753" s="139"/>
      <c r="AJ1753" s="139"/>
      <c r="AK1753" s="139"/>
      <c r="AL1753" s="139"/>
      <c r="AM1753" s="139"/>
      <c r="AN1753" s="139"/>
      <c r="AO1753" s="139"/>
      <c r="AP1753" s="139"/>
      <c r="AQ1753" s="139"/>
      <c r="AR1753" s="139"/>
      <c r="AS1753" s="139"/>
      <c r="AT1753" s="139"/>
      <c r="AU1753" s="139"/>
      <c r="AV1753" s="139"/>
      <c r="AW1753" s="139"/>
      <c r="AX1753" s="139"/>
      <c r="AY1753" s="139"/>
      <c r="AZ1753" s="139"/>
      <c r="BA1753" s="139"/>
      <c r="BB1753" s="139"/>
      <c r="BC1753" s="139"/>
      <c r="BD1753" s="139"/>
      <c r="BE1753" s="139"/>
      <c r="BF1753" s="139"/>
      <c r="BG1753" s="139"/>
      <c r="BH1753" s="139"/>
    </row>
    <row r="1754" spans="2:60" s="11" customFormat="1" ht="20.100000000000001" customHeight="1">
      <c r="B1754" s="1360"/>
      <c r="C1754" s="5598"/>
      <c r="D1754" s="9598" t="s">
        <v>633</v>
      </c>
      <c r="E1754" s="9600"/>
      <c r="F1754" s="105" t="s">
        <v>557</v>
      </c>
      <c r="G1754" s="666"/>
      <c r="H1754" s="6261"/>
      <c r="I1754" s="9582" t="s">
        <v>150</v>
      </c>
      <c r="J1754" s="9583"/>
      <c r="K1754" s="285" t="s">
        <v>559</v>
      </c>
      <c r="L1754" s="5683"/>
      <c r="M1754" s="5871"/>
      <c r="N1754" s="5857"/>
      <c r="O1754" s="5871"/>
      <c r="P1754" s="5857"/>
      <c r="Q1754" s="5678"/>
      <c r="R1754" s="2483"/>
      <c r="S1754" s="544"/>
      <c r="T1754" s="545"/>
      <c r="U1754" s="546"/>
      <c r="V1754" s="547"/>
      <c r="W1754" s="299" t="s">
        <v>193</v>
      </c>
      <c r="X1754" s="277"/>
      <c r="Y1754" s="277"/>
      <c r="Z1754" s="187"/>
      <c r="AA1754" s="6301"/>
      <c r="AB1754" s="139"/>
      <c r="AC1754" s="139"/>
      <c r="AD1754" s="139"/>
      <c r="AE1754" s="139"/>
      <c r="AF1754" s="139"/>
      <c r="AG1754" s="139"/>
      <c r="AH1754" s="139"/>
      <c r="AI1754" s="139"/>
      <c r="AJ1754" s="139"/>
      <c r="AK1754" s="139"/>
      <c r="AL1754" s="139"/>
      <c r="AM1754" s="139"/>
      <c r="AN1754" s="139"/>
      <c r="AO1754" s="139"/>
      <c r="AP1754" s="139"/>
      <c r="AQ1754" s="139"/>
      <c r="AR1754" s="139"/>
      <c r="AS1754" s="139"/>
      <c r="AT1754" s="139"/>
      <c r="AU1754" s="139"/>
      <c r="AV1754" s="139"/>
      <c r="AW1754" s="139"/>
      <c r="AX1754" s="139"/>
      <c r="AY1754" s="139"/>
      <c r="AZ1754" s="139"/>
      <c r="BA1754" s="139"/>
      <c r="BB1754" s="139"/>
      <c r="BC1754" s="139"/>
      <c r="BD1754" s="139"/>
      <c r="BE1754" s="139"/>
      <c r="BF1754" s="139"/>
      <c r="BG1754" s="139"/>
      <c r="BH1754" s="139"/>
    </row>
    <row r="1755" spans="2:60" s="11" customFormat="1" ht="20.100000000000001" customHeight="1">
      <c r="B1755" s="1360"/>
      <c r="C1755" s="1389"/>
      <c r="D1755" s="9584" t="s">
        <v>1309</v>
      </c>
      <c r="E1755" s="9585"/>
      <c r="F1755" s="105" t="s">
        <v>1018</v>
      </c>
      <c r="G1755" s="777"/>
      <c r="H1755" s="6183"/>
      <c r="I1755" s="9584" t="s">
        <v>1310</v>
      </c>
      <c r="J1755" s="9585"/>
      <c r="K1755" s="285" t="s">
        <v>1020</v>
      </c>
      <c r="L1755" s="5653" t="str">
        <f>IF(COUNTBLANK(L1756:L1761)&gt;0,"미취합법인有",SUM(L1756:L1761))</f>
        <v>미취합법인有</v>
      </c>
      <c r="M1755" s="5657"/>
      <c r="N1755" s="5654" t="str">
        <f>IF(COUNTBLANK(N1756:N1761)&gt;0,"미취합법인有",SUM(N1756:N1761))</f>
        <v>미취합법인有</v>
      </c>
      <c r="O1755" s="5663"/>
      <c r="P1755" s="5781" t="str">
        <f>IF(COUNTBLANK(P1756:P1761)&gt;0,"미취합법인有",SUM(P1756:P1761))</f>
        <v>미취합법인有</v>
      </c>
      <c r="Q1755" s="785"/>
      <c r="R1755" s="2468"/>
      <c r="S1755" s="276"/>
      <c r="T1755" s="109" t="s">
        <v>206</v>
      </c>
      <c r="U1755" s="547"/>
      <c r="V1755" s="547"/>
      <c r="W1755" s="299" t="s">
        <v>193</v>
      </c>
      <c r="X1755" s="277" t="s">
        <v>1306</v>
      </c>
      <c r="Y1755" s="265"/>
      <c r="Z1755" s="982"/>
      <c r="AA1755" s="6301"/>
      <c r="AB1755" s="139"/>
      <c r="AC1755" s="139"/>
      <c r="AD1755" s="139"/>
      <c r="AE1755" s="139"/>
      <c r="AF1755" s="139"/>
      <c r="AG1755" s="139"/>
      <c r="AH1755" s="139"/>
      <c r="AI1755" s="139"/>
      <c r="AJ1755" s="139"/>
      <c r="AK1755" s="139"/>
      <c r="AL1755" s="139"/>
      <c r="AM1755" s="139"/>
      <c r="AN1755" s="139"/>
      <c r="AO1755" s="139"/>
      <c r="AP1755" s="139"/>
      <c r="AQ1755" s="139"/>
      <c r="AR1755" s="139"/>
      <c r="AS1755" s="139"/>
      <c r="AT1755" s="139"/>
      <c r="AU1755" s="139"/>
      <c r="AV1755" s="139"/>
      <c r="AW1755" s="139"/>
      <c r="AX1755" s="139"/>
      <c r="AY1755" s="139"/>
      <c r="AZ1755" s="139"/>
      <c r="BA1755" s="139"/>
      <c r="BB1755" s="139"/>
      <c r="BC1755" s="139"/>
      <c r="BD1755" s="139"/>
      <c r="BE1755" s="139"/>
      <c r="BF1755" s="139"/>
      <c r="BG1755" s="139"/>
      <c r="BH1755" s="139"/>
    </row>
    <row r="1756" spans="2:60" s="11" customFormat="1" ht="20.100000000000001" customHeight="1">
      <c r="B1756" s="1360"/>
      <c r="C1756" s="614"/>
      <c r="D1756" s="9598" t="s">
        <v>134</v>
      </c>
      <c r="E1756" s="9600"/>
      <c r="F1756" s="105" t="s">
        <v>1018</v>
      </c>
      <c r="G1756" s="666"/>
      <c r="H1756" s="6260"/>
      <c r="I1756" s="9579" t="s">
        <v>135</v>
      </c>
      <c r="J1756" s="9581"/>
      <c r="K1756" s="285" t="s">
        <v>1020</v>
      </c>
      <c r="L1756" s="5705"/>
      <c r="M1756" s="5719" t="s">
        <v>369</v>
      </c>
      <c r="N1756" s="5730"/>
      <c r="O1756" s="5720" t="s">
        <v>369</v>
      </c>
      <c r="P1756" s="5717"/>
      <c r="Q1756" s="5678"/>
      <c r="R1756" s="2483"/>
      <c r="S1756" s="544"/>
      <c r="T1756" s="545"/>
      <c r="U1756" s="546"/>
      <c r="V1756" s="547"/>
      <c r="W1756" s="299" t="s">
        <v>193</v>
      </c>
      <c r="X1756" s="277"/>
      <c r="Y1756" s="277"/>
      <c r="Z1756" s="187"/>
      <c r="AA1756" s="6301"/>
      <c r="AB1756" s="139"/>
      <c r="AC1756" s="139"/>
      <c r="AD1756" s="139"/>
      <c r="AE1756" s="139"/>
      <c r="AF1756" s="139"/>
      <c r="AG1756" s="139"/>
      <c r="AH1756" s="139"/>
      <c r="AI1756" s="139"/>
      <c r="AJ1756" s="139"/>
      <c r="AK1756" s="139"/>
      <c r="AL1756" s="139"/>
      <c r="AM1756" s="139"/>
      <c r="AN1756" s="139"/>
      <c r="AO1756" s="139"/>
      <c r="AP1756" s="139"/>
      <c r="AQ1756" s="139"/>
      <c r="AR1756" s="139"/>
      <c r="AS1756" s="139"/>
      <c r="AT1756" s="139"/>
      <c r="AU1756" s="139"/>
      <c r="AV1756" s="139"/>
      <c r="AW1756" s="139"/>
      <c r="AX1756" s="139"/>
      <c r="AY1756" s="139"/>
      <c r="AZ1756" s="139"/>
      <c r="BA1756" s="139"/>
      <c r="BB1756" s="139"/>
      <c r="BC1756" s="139"/>
      <c r="BD1756" s="139"/>
      <c r="BE1756" s="139"/>
      <c r="BF1756" s="139"/>
      <c r="BG1756" s="139"/>
      <c r="BH1756" s="139"/>
    </row>
    <row r="1757" spans="2:60" s="11" customFormat="1" ht="20.100000000000001" customHeight="1">
      <c r="B1757" s="1360"/>
      <c r="C1757" s="5598"/>
      <c r="D1757" s="9598" t="s">
        <v>137</v>
      </c>
      <c r="E1757" s="9600"/>
      <c r="F1757" s="105" t="s">
        <v>1018</v>
      </c>
      <c r="G1757" s="666"/>
      <c r="H1757" s="6261"/>
      <c r="I1757" s="9579" t="s">
        <v>138</v>
      </c>
      <c r="J1757" s="9581"/>
      <c r="K1757" s="285" t="s">
        <v>1020</v>
      </c>
      <c r="L1757" s="5594"/>
      <c r="M1757" s="5671"/>
      <c r="N1757" s="5724"/>
      <c r="O1757" s="5680"/>
      <c r="P1757" s="5725"/>
      <c r="Q1757" s="5678"/>
      <c r="R1757" s="2483"/>
      <c r="S1757" s="544"/>
      <c r="T1757" s="545"/>
      <c r="U1757" s="546"/>
      <c r="V1757" s="547"/>
      <c r="W1757" s="299" t="s">
        <v>193</v>
      </c>
      <c r="X1757" s="277"/>
      <c r="Y1757" s="277"/>
      <c r="Z1757" s="187"/>
      <c r="AA1757" s="6301"/>
      <c r="AB1757" s="139"/>
      <c r="AC1757" s="139"/>
      <c r="AD1757" s="139"/>
      <c r="AE1757" s="139"/>
      <c r="AF1757" s="139"/>
      <c r="AG1757" s="139"/>
      <c r="AH1757" s="139"/>
      <c r="AI1757" s="139"/>
      <c r="AJ1757" s="139"/>
      <c r="AK1757" s="139"/>
      <c r="AL1757" s="139"/>
      <c r="AM1757" s="139"/>
      <c r="AN1757" s="139"/>
      <c r="AO1757" s="139"/>
      <c r="AP1757" s="139"/>
      <c r="AQ1757" s="139"/>
      <c r="AR1757" s="139"/>
      <c r="AS1757" s="139"/>
      <c r="AT1757" s="139"/>
      <c r="AU1757" s="139"/>
      <c r="AV1757" s="139"/>
      <c r="AW1757" s="139"/>
      <c r="AX1757" s="139"/>
      <c r="AY1757" s="139"/>
      <c r="AZ1757" s="139"/>
      <c r="BA1757" s="139"/>
      <c r="BB1757" s="139"/>
      <c r="BC1757" s="139"/>
      <c r="BD1757" s="139"/>
      <c r="BE1757" s="139"/>
      <c r="BF1757" s="139"/>
      <c r="BG1757" s="139"/>
      <c r="BH1757" s="139"/>
    </row>
    <row r="1758" spans="2:60" s="11" customFormat="1" ht="20.100000000000001" customHeight="1">
      <c r="B1758" s="1360"/>
      <c r="C1758" s="5598"/>
      <c r="D1758" s="9598" t="s">
        <v>140</v>
      </c>
      <c r="E1758" s="9600"/>
      <c r="F1758" s="105" t="s">
        <v>1018</v>
      </c>
      <c r="G1758" s="666"/>
      <c r="H1758" s="6261"/>
      <c r="I1758" s="9582" t="s">
        <v>141</v>
      </c>
      <c r="J1758" s="9583"/>
      <c r="K1758" s="285" t="s">
        <v>1020</v>
      </c>
      <c r="L1758" s="5683"/>
      <c r="M1758" s="5871"/>
      <c r="N1758" s="5857"/>
      <c r="O1758" s="5874"/>
      <c r="P1758" s="5858"/>
      <c r="Q1758" s="5678"/>
      <c r="R1758" s="2483"/>
      <c r="S1758" s="544"/>
      <c r="T1758" s="545"/>
      <c r="U1758" s="546"/>
      <c r="V1758" s="547"/>
      <c r="W1758" s="299" t="s">
        <v>193</v>
      </c>
      <c r="X1758" s="277"/>
      <c r="Y1758" s="277"/>
      <c r="Z1758" s="187"/>
      <c r="AA1758" s="6301"/>
      <c r="AB1758" s="139"/>
      <c r="AC1758" s="139"/>
      <c r="AD1758" s="139"/>
      <c r="AE1758" s="139"/>
      <c r="AF1758" s="139"/>
      <c r="AG1758" s="139"/>
      <c r="AH1758" s="139"/>
      <c r="AI1758" s="139"/>
      <c r="AJ1758" s="139"/>
      <c r="AK1758" s="139"/>
      <c r="AL1758" s="139"/>
      <c r="AM1758" s="139"/>
      <c r="AN1758" s="139"/>
      <c r="AO1758" s="139"/>
      <c r="AP1758" s="139"/>
      <c r="AQ1758" s="139"/>
      <c r="AR1758" s="139"/>
      <c r="AS1758" s="139"/>
      <c r="AT1758" s="139"/>
      <c r="AU1758" s="139"/>
      <c r="AV1758" s="139"/>
      <c r="AW1758" s="139"/>
      <c r="AX1758" s="139"/>
      <c r="AY1758" s="139"/>
      <c r="AZ1758" s="139"/>
      <c r="BA1758" s="139"/>
      <c r="BB1758" s="139"/>
      <c r="BC1758" s="139"/>
      <c r="BD1758" s="139"/>
      <c r="BE1758" s="139"/>
      <c r="BF1758" s="139"/>
      <c r="BG1758" s="139"/>
      <c r="BH1758" s="139"/>
    </row>
    <row r="1759" spans="2:60" s="11" customFormat="1" ht="20.100000000000001" customHeight="1">
      <c r="B1759" s="1360"/>
      <c r="C1759" s="614"/>
      <c r="D1759" s="9598" t="s">
        <v>143</v>
      </c>
      <c r="E1759" s="9600"/>
      <c r="F1759" s="105" t="s">
        <v>1018</v>
      </c>
      <c r="G1759" s="666"/>
      <c r="H1759" s="6260"/>
      <c r="I1759" s="9582" t="s">
        <v>144</v>
      </c>
      <c r="J1759" s="9583"/>
      <c r="K1759" s="285" t="s">
        <v>1020</v>
      </c>
      <c r="L1759" s="5683"/>
      <c r="M1759" s="5871"/>
      <c r="N1759" s="5857"/>
      <c r="O1759" s="5874"/>
      <c r="P1759" s="5858"/>
      <c r="Q1759" s="5678"/>
      <c r="R1759" s="2483"/>
      <c r="S1759" s="544"/>
      <c r="T1759" s="545"/>
      <c r="U1759" s="546"/>
      <c r="V1759" s="547"/>
      <c r="W1759" s="299" t="s">
        <v>193</v>
      </c>
      <c r="X1759" s="277"/>
      <c r="Y1759" s="277"/>
      <c r="Z1759" s="187"/>
      <c r="AA1759" s="6301"/>
      <c r="AB1759" s="139"/>
      <c r="AC1759" s="139"/>
      <c r="AD1759" s="139"/>
      <c r="AE1759" s="139"/>
      <c r="AF1759" s="139"/>
      <c r="AG1759" s="139"/>
      <c r="AH1759" s="139"/>
      <c r="AI1759" s="139"/>
      <c r="AJ1759" s="139"/>
      <c r="AK1759" s="139"/>
      <c r="AL1759" s="139"/>
      <c r="AM1759" s="139"/>
      <c r="AN1759" s="139"/>
      <c r="AO1759" s="139"/>
      <c r="AP1759" s="139"/>
      <c r="AQ1759" s="139"/>
      <c r="AR1759" s="139"/>
      <c r="AS1759" s="139"/>
      <c r="AT1759" s="139"/>
      <c r="AU1759" s="139"/>
      <c r="AV1759" s="139"/>
      <c r="AW1759" s="139"/>
      <c r="AX1759" s="139"/>
      <c r="AY1759" s="139"/>
      <c r="AZ1759" s="139"/>
      <c r="BA1759" s="139"/>
      <c r="BB1759" s="139"/>
      <c r="BC1759" s="139"/>
      <c r="BD1759" s="139"/>
      <c r="BE1759" s="139"/>
      <c r="BF1759" s="139"/>
      <c r="BG1759" s="139"/>
      <c r="BH1759" s="139"/>
    </row>
    <row r="1760" spans="2:60" s="11" customFormat="1" ht="20.100000000000001" customHeight="1">
      <c r="B1760" s="1360"/>
      <c r="C1760" s="5598"/>
      <c r="D1760" s="9598" t="s">
        <v>631</v>
      </c>
      <c r="E1760" s="9600"/>
      <c r="F1760" s="105" t="s">
        <v>1018</v>
      </c>
      <c r="G1760" s="666"/>
      <c r="H1760" s="6261"/>
      <c r="I1760" s="9582" t="s">
        <v>147</v>
      </c>
      <c r="J1760" s="9583"/>
      <c r="K1760" s="285" t="s">
        <v>1020</v>
      </c>
      <c r="L1760" s="5683"/>
      <c r="M1760" s="5871"/>
      <c r="N1760" s="5857"/>
      <c r="O1760" s="5874"/>
      <c r="P1760" s="5858"/>
      <c r="Q1760" s="5678"/>
      <c r="R1760" s="2483"/>
      <c r="S1760" s="544"/>
      <c r="T1760" s="545"/>
      <c r="U1760" s="546"/>
      <c r="V1760" s="547"/>
      <c r="W1760" s="299" t="s">
        <v>193</v>
      </c>
      <c r="X1760" s="277"/>
      <c r="Y1760" s="277"/>
      <c r="Z1760" s="187"/>
      <c r="AA1760" s="6301"/>
      <c r="AB1760" s="139"/>
      <c r="AC1760" s="139"/>
      <c r="AD1760" s="139"/>
      <c r="AE1760" s="139"/>
      <c r="AF1760" s="139"/>
      <c r="AG1760" s="139"/>
      <c r="AH1760" s="139"/>
      <c r="AI1760" s="139"/>
      <c r="AJ1760" s="139"/>
      <c r="AK1760" s="139"/>
      <c r="AL1760" s="139"/>
      <c r="AM1760" s="139"/>
      <c r="AN1760" s="139"/>
      <c r="AO1760" s="139"/>
      <c r="AP1760" s="139"/>
      <c r="AQ1760" s="139"/>
      <c r="AR1760" s="139"/>
      <c r="AS1760" s="139"/>
      <c r="AT1760" s="139"/>
      <c r="AU1760" s="139"/>
      <c r="AV1760" s="139"/>
      <c r="AW1760" s="139"/>
      <c r="AX1760" s="139"/>
      <c r="AY1760" s="139"/>
      <c r="AZ1760" s="139"/>
      <c r="BA1760" s="139"/>
      <c r="BB1760" s="139"/>
      <c r="BC1760" s="139"/>
      <c r="BD1760" s="139"/>
      <c r="BE1760" s="139"/>
      <c r="BF1760" s="139"/>
      <c r="BG1760" s="139"/>
      <c r="BH1760" s="139"/>
    </row>
    <row r="1761" spans="2:60" s="11" customFormat="1" ht="20.100000000000001" customHeight="1">
      <c r="B1761" s="1360"/>
      <c r="C1761" s="5598"/>
      <c r="D1761" s="9598" t="s">
        <v>633</v>
      </c>
      <c r="E1761" s="9600"/>
      <c r="F1761" s="105" t="s">
        <v>1018</v>
      </c>
      <c r="G1761" s="666"/>
      <c r="H1761" s="6261"/>
      <c r="I1761" s="9582" t="s">
        <v>150</v>
      </c>
      <c r="J1761" s="9583"/>
      <c r="K1761" s="285" t="s">
        <v>1020</v>
      </c>
      <c r="L1761" s="5683"/>
      <c r="M1761" s="5871"/>
      <c r="N1761" s="5857"/>
      <c r="O1761" s="5871"/>
      <c r="P1761" s="5857"/>
      <c r="Q1761" s="5678"/>
      <c r="R1761" s="2483"/>
      <c r="S1761" s="544"/>
      <c r="T1761" s="545"/>
      <c r="U1761" s="546"/>
      <c r="V1761" s="547"/>
      <c r="W1761" s="299" t="s">
        <v>193</v>
      </c>
      <c r="X1761" s="277"/>
      <c r="Y1761" s="277"/>
      <c r="Z1761" s="187"/>
      <c r="AA1761" s="6301"/>
      <c r="AB1761" s="139"/>
      <c r="AC1761" s="139"/>
      <c r="AD1761" s="139"/>
      <c r="AE1761" s="139"/>
      <c r="AF1761" s="139"/>
      <c r="AG1761" s="139"/>
      <c r="AH1761" s="139"/>
      <c r="AI1761" s="139"/>
      <c r="AJ1761" s="139"/>
      <c r="AK1761" s="139"/>
      <c r="AL1761" s="139"/>
      <c r="AM1761" s="139"/>
      <c r="AN1761" s="139"/>
      <c r="AO1761" s="139"/>
      <c r="AP1761" s="139"/>
      <c r="AQ1761" s="139"/>
      <c r="AR1761" s="139"/>
      <c r="AS1761" s="139"/>
      <c r="AT1761" s="139"/>
      <c r="AU1761" s="139"/>
      <c r="AV1761" s="139"/>
      <c r="AW1761" s="139"/>
      <c r="AX1761" s="139"/>
      <c r="AY1761" s="139"/>
      <c r="AZ1761" s="139"/>
      <c r="BA1761" s="139"/>
      <c r="BB1761" s="139"/>
      <c r="BC1761" s="139"/>
      <c r="BD1761" s="139"/>
      <c r="BE1761" s="139"/>
      <c r="BF1761" s="139"/>
      <c r="BG1761" s="139"/>
      <c r="BH1761" s="139"/>
    </row>
    <row r="1762" spans="2:60" s="11" customFormat="1" ht="20.100000000000001" customHeight="1">
      <c r="B1762" s="1360"/>
      <c r="C1762" s="9656" t="s">
        <v>1311</v>
      </c>
      <c r="D1762" s="9587"/>
      <c r="E1762" s="9588"/>
      <c r="F1762" s="105" t="s">
        <v>1312</v>
      </c>
      <c r="G1762" s="961"/>
      <c r="H1762" s="9586" t="s">
        <v>1313</v>
      </c>
      <c r="I1762" s="9587"/>
      <c r="J1762" s="9588"/>
      <c r="K1762" s="285" t="s">
        <v>1314</v>
      </c>
      <c r="L1762" s="5653" t="str">
        <f>IF(COUNTBLANK(L1763:L1768)&gt;0,"미취합법인有",SUM(L1763:L1768))</f>
        <v>미취합법인有</v>
      </c>
      <c r="M1762" s="5657"/>
      <c r="N1762" s="5654" t="str">
        <f>IF(COUNTBLANK(N1763:N1768)&gt;0,"미취합법인有",SUM(N1763:N1768))</f>
        <v>미취합법인有</v>
      </c>
      <c r="O1762" s="5663"/>
      <c r="P1762" s="5781" t="str">
        <f>IF(COUNTBLANK(P1763:P1768)&gt;0,"미취합법인有",SUM(P1763:P1768))</f>
        <v>미취합법인有</v>
      </c>
      <c r="Q1762" s="785"/>
      <c r="R1762" s="2468" t="s">
        <v>1315</v>
      </c>
      <c r="S1762" s="276" t="s">
        <v>1316</v>
      </c>
      <c r="T1762" s="109" t="s">
        <v>206</v>
      </c>
      <c r="U1762" s="547"/>
      <c r="V1762" s="547"/>
      <c r="W1762" s="299" t="s">
        <v>193</v>
      </c>
      <c r="X1762" s="277" t="s">
        <v>1317</v>
      </c>
      <c r="Y1762" s="265"/>
      <c r="Z1762" s="982"/>
      <c r="AA1762" s="6301"/>
      <c r="AB1762" s="139"/>
      <c r="AC1762" s="139"/>
      <c r="AD1762" s="139"/>
      <c r="AE1762" s="139"/>
      <c r="AF1762" s="139"/>
      <c r="AG1762" s="139"/>
      <c r="AH1762" s="139"/>
      <c r="AI1762" s="139"/>
      <c r="AJ1762" s="139"/>
      <c r="AK1762" s="139"/>
      <c r="AL1762" s="139"/>
      <c r="AM1762" s="139"/>
      <c r="AN1762" s="139"/>
      <c r="AO1762" s="139"/>
      <c r="AP1762" s="139"/>
      <c r="AQ1762" s="139"/>
      <c r="AR1762" s="139"/>
      <c r="AS1762" s="139"/>
      <c r="AT1762" s="139"/>
      <c r="AU1762" s="139"/>
      <c r="AV1762" s="139"/>
      <c r="AW1762" s="139"/>
      <c r="AX1762" s="139"/>
      <c r="AY1762" s="139"/>
      <c r="AZ1762" s="139"/>
      <c r="BA1762" s="139"/>
      <c r="BB1762" s="139"/>
      <c r="BC1762" s="139"/>
      <c r="BD1762" s="139"/>
      <c r="BE1762" s="139"/>
      <c r="BF1762" s="139"/>
      <c r="BG1762" s="139"/>
      <c r="BH1762" s="139"/>
    </row>
    <row r="1763" spans="2:60" s="11" customFormat="1" ht="20.100000000000001" customHeight="1">
      <c r="B1763" s="1360"/>
      <c r="C1763" s="9647" t="s">
        <v>134</v>
      </c>
      <c r="D1763" s="9648"/>
      <c r="E1763" s="9649"/>
      <c r="F1763" s="105" t="s">
        <v>1312</v>
      </c>
      <c r="G1763" s="666"/>
      <c r="H1763" s="9579" t="s">
        <v>135</v>
      </c>
      <c r="I1763" s="9580"/>
      <c r="J1763" s="9581"/>
      <c r="K1763" s="285" t="s">
        <v>1314</v>
      </c>
      <c r="L1763" s="5705"/>
      <c r="M1763" s="5719" t="s">
        <v>369</v>
      </c>
      <c r="N1763" s="5730"/>
      <c r="O1763" s="5720" t="s">
        <v>369</v>
      </c>
      <c r="P1763" s="5717"/>
      <c r="Q1763" s="5678"/>
      <c r="R1763" s="2468"/>
      <c r="S1763" s="544"/>
      <c r="T1763" s="545"/>
      <c r="U1763" s="546"/>
      <c r="V1763" s="547"/>
      <c r="W1763" s="299" t="s">
        <v>193</v>
      </c>
      <c r="X1763" s="277"/>
      <c r="Y1763" s="277"/>
      <c r="Z1763" s="187"/>
      <c r="AA1763" s="6301"/>
      <c r="AB1763" s="139"/>
      <c r="AC1763" s="139"/>
      <c r="AD1763" s="139"/>
      <c r="AE1763" s="139"/>
      <c r="AF1763" s="139"/>
      <c r="AG1763" s="139"/>
      <c r="AH1763" s="139"/>
      <c r="AI1763" s="139"/>
      <c r="AJ1763" s="139"/>
      <c r="AK1763" s="139"/>
      <c r="AL1763" s="139"/>
      <c r="AM1763" s="139"/>
      <c r="AN1763" s="139"/>
      <c r="AO1763" s="139"/>
      <c r="AP1763" s="139"/>
      <c r="AQ1763" s="139"/>
      <c r="AR1763" s="139"/>
      <c r="AS1763" s="139"/>
      <c r="AT1763" s="139"/>
      <c r="AU1763" s="139"/>
      <c r="AV1763" s="139"/>
      <c r="AW1763" s="139"/>
      <c r="AX1763" s="139"/>
      <c r="AY1763" s="139"/>
      <c r="AZ1763" s="139"/>
      <c r="BA1763" s="139"/>
      <c r="BB1763" s="139"/>
      <c r="BC1763" s="139"/>
      <c r="BD1763" s="139"/>
      <c r="BE1763" s="139"/>
      <c r="BF1763" s="139"/>
      <c r="BG1763" s="139"/>
      <c r="BH1763" s="139"/>
    </row>
    <row r="1764" spans="2:60" s="11" customFormat="1" ht="20.100000000000001" customHeight="1">
      <c r="B1764" s="1360"/>
      <c r="C1764" s="9647" t="s">
        <v>137</v>
      </c>
      <c r="D1764" s="9648"/>
      <c r="E1764" s="9649"/>
      <c r="F1764" s="105" t="s">
        <v>1312</v>
      </c>
      <c r="G1764" s="666"/>
      <c r="H1764" s="9579" t="s">
        <v>138</v>
      </c>
      <c r="I1764" s="9580"/>
      <c r="J1764" s="9581"/>
      <c r="K1764" s="285" t="s">
        <v>1314</v>
      </c>
      <c r="L1764" s="5594"/>
      <c r="M1764" s="5671"/>
      <c r="N1764" s="5724"/>
      <c r="O1764" s="5680"/>
      <c r="P1764" s="5725"/>
      <c r="Q1764" s="5678"/>
      <c r="R1764" s="2468"/>
      <c r="S1764" s="544"/>
      <c r="T1764" s="545"/>
      <c r="U1764" s="546"/>
      <c r="V1764" s="547"/>
      <c r="W1764" s="299" t="s">
        <v>193</v>
      </c>
      <c r="X1764" s="277"/>
      <c r="Y1764" s="277"/>
      <c r="Z1764" s="187"/>
      <c r="AA1764" s="6301"/>
      <c r="AB1764" s="139"/>
      <c r="AC1764" s="139"/>
      <c r="AD1764" s="139"/>
      <c r="AE1764" s="139"/>
      <c r="AF1764" s="139"/>
      <c r="AG1764" s="139"/>
      <c r="AH1764" s="139"/>
      <c r="AI1764" s="139"/>
      <c r="AJ1764" s="139"/>
      <c r="AK1764" s="139"/>
      <c r="AL1764" s="139"/>
      <c r="AM1764" s="139"/>
      <c r="AN1764" s="139"/>
      <c r="AO1764" s="139"/>
      <c r="AP1764" s="139"/>
      <c r="AQ1764" s="139"/>
      <c r="AR1764" s="139"/>
      <c r="AS1764" s="139"/>
      <c r="AT1764" s="139"/>
      <c r="AU1764" s="139"/>
      <c r="AV1764" s="139"/>
      <c r="AW1764" s="139"/>
      <c r="AX1764" s="139"/>
      <c r="AY1764" s="139"/>
      <c r="AZ1764" s="139"/>
      <c r="BA1764" s="139"/>
      <c r="BB1764" s="139"/>
      <c r="BC1764" s="139"/>
      <c r="BD1764" s="139"/>
      <c r="BE1764" s="139"/>
      <c r="BF1764" s="139"/>
      <c r="BG1764" s="139"/>
      <c r="BH1764" s="139"/>
    </row>
    <row r="1765" spans="2:60" s="11" customFormat="1" ht="20.100000000000001" customHeight="1">
      <c r="B1765" s="1360"/>
      <c r="C1765" s="9647" t="s">
        <v>140</v>
      </c>
      <c r="D1765" s="9648"/>
      <c r="E1765" s="9649"/>
      <c r="F1765" s="105" t="s">
        <v>1312</v>
      </c>
      <c r="G1765" s="666"/>
      <c r="H1765" s="9579" t="s">
        <v>141</v>
      </c>
      <c r="I1765" s="9580"/>
      <c r="J1765" s="9581"/>
      <c r="K1765" s="285" t="s">
        <v>1314</v>
      </c>
      <c r="L1765" s="5956" t="s">
        <v>168</v>
      </c>
      <c r="M1765" s="5671" t="s">
        <v>640</v>
      </c>
      <c r="N1765" s="5724" t="s">
        <v>168</v>
      </c>
      <c r="O1765" s="5671" t="s">
        <v>640</v>
      </c>
      <c r="P1765" s="5724" t="s">
        <v>168</v>
      </c>
      <c r="Q1765" s="5672" t="s">
        <v>640</v>
      </c>
      <c r="R1765" s="2468"/>
      <c r="S1765" s="544"/>
      <c r="T1765" s="545"/>
      <c r="U1765" s="546"/>
      <c r="V1765" s="547"/>
      <c r="W1765" s="299" t="s">
        <v>193</v>
      </c>
      <c r="X1765" s="277"/>
      <c r="Y1765" s="277"/>
      <c r="Z1765" s="187"/>
      <c r="AA1765" s="6301"/>
      <c r="AB1765" s="139"/>
      <c r="AC1765" s="139"/>
      <c r="AD1765" s="139"/>
      <c r="AE1765" s="139"/>
      <c r="AF1765" s="139"/>
      <c r="AG1765" s="139"/>
      <c r="AH1765" s="139"/>
      <c r="AI1765" s="139"/>
      <c r="AJ1765" s="139"/>
      <c r="AK1765" s="139"/>
      <c r="AL1765" s="139"/>
      <c r="AM1765" s="139"/>
      <c r="AN1765" s="139"/>
      <c r="AO1765" s="139"/>
      <c r="AP1765" s="139"/>
      <c r="AQ1765" s="139"/>
      <c r="AR1765" s="139"/>
      <c r="AS1765" s="139"/>
      <c r="AT1765" s="139"/>
      <c r="AU1765" s="139"/>
      <c r="AV1765" s="139"/>
      <c r="AW1765" s="139"/>
      <c r="AX1765" s="139"/>
      <c r="AY1765" s="139"/>
      <c r="AZ1765" s="139"/>
      <c r="BA1765" s="139"/>
      <c r="BB1765" s="139"/>
      <c r="BC1765" s="139"/>
      <c r="BD1765" s="139"/>
      <c r="BE1765" s="139"/>
      <c r="BF1765" s="139"/>
      <c r="BG1765" s="139"/>
      <c r="BH1765" s="139"/>
    </row>
    <row r="1766" spans="2:60" s="11" customFormat="1" ht="20.100000000000001" customHeight="1">
      <c r="B1766" s="1360"/>
      <c r="C1766" s="9647" t="s">
        <v>143</v>
      </c>
      <c r="D1766" s="9648"/>
      <c r="E1766" s="9649"/>
      <c r="F1766" s="105" t="s">
        <v>1312</v>
      </c>
      <c r="G1766" s="666"/>
      <c r="H1766" s="9579" t="s">
        <v>144</v>
      </c>
      <c r="I1766" s="9580"/>
      <c r="J1766" s="9581"/>
      <c r="K1766" s="285" t="s">
        <v>1314</v>
      </c>
      <c r="L1766" s="5594"/>
      <c r="M1766" s="5671"/>
      <c r="N1766" s="5724"/>
      <c r="O1766" s="5680"/>
      <c r="P1766" s="5725"/>
      <c r="Q1766" s="5678"/>
      <c r="R1766" s="2468"/>
      <c r="S1766" s="544"/>
      <c r="T1766" s="545"/>
      <c r="U1766" s="546"/>
      <c r="V1766" s="547"/>
      <c r="W1766" s="299" t="s">
        <v>193</v>
      </c>
      <c r="X1766" s="277"/>
      <c r="Y1766" s="277"/>
      <c r="Z1766" s="187"/>
      <c r="AA1766" s="6301"/>
      <c r="AB1766" s="139"/>
      <c r="AC1766" s="139"/>
      <c r="AD1766" s="139"/>
      <c r="AE1766" s="139"/>
      <c r="AF1766" s="139"/>
      <c r="AG1766" s="139"/>
      <c r="AH1766" s="139"/>
      <c r="AI1766" s="139"/>
      <c r="AJ1766" s="139"/>
      <c r="AK1766" s="139"/>
      <c r="AL1766" s="139"/>
      <c r="AM1766" s="139"/>
      <c r="AN1766" s="139"/>
      <c r="AO1766" s="139"/>
      <c r="AP1766" s="139"/>
      <c r="AQ1766" s="139"/>
      <c r="AR1766" s="139"/>
      <c r="AS1766" s="139"/>
      <c r="AT1766" s="139"/>
      <c r="AU1766" s="139"/>
      <c r="AV1766" s="139"/>
      <c r="AW1766" s="139"/>
      <c r="AX1766" s="139"/>
      <c r="AY1766" s="139"/>
      <c r="AZ1766" s="139"/>
      <c r="BA1766" s="139"/>
      <c r="BB1766" s="139"/>
      <c r="BC1766" s="139"/>
      <c r="BD1766" s="139"/>
      <c r="BE1766" s="139"/>
      <c r="BF1766" s="139"/>
      <c r="BG1766" s="139"/>
      <c r="BH1766" s="139"/>
    </row>
    <row r="1767" spans="2:60" s="11" customFormat="1" ht="20.100000000000001" customHeight="1">
      <c r="B1767" s="1360"/>
      <c r="C1767" s="9647" t="s">
        <v>631</v>
      </c>
      <c r="D1767" s="9648"/>
      <c r="E1767" s="9649"/>
      <c r="F1767" s="105" t="s">
        <v>1312</v>
      </c>
      <c r="G1767" s="666"/>
      <c r="H1767" s="9579" t="s">
        <v>147</v>
      </c>
      <c r="I1767" s="9580"/>
      <c r="J1767" s="9581"/>
      <c r="K1767" s="285" t="s">
        <v>1314</v>
      </c>
      <c r="L1767" s="5594"/>
      <c r="M1767" s="5671"/>
      <c r="N1767" s="5724"/>
      <c r="O1767" s="5680"/>
      <c r="P1767" s="5725"/>
      <c r="Q1767" s="5678"/>
      <c r="R1767" s="2468"/>
      <c r="S1767" s="544"/>
      <c r="T1767" s="545"/>
      <c r="U1767" s="546"/>
      <c r="V1767" s="547"/>
      <c r="W1767" s="299" t="s">
        <v>193</v>
      </c>
      <c r="X1767" s="277"/>
      <c r="Y1767" s="277"/>
      <c r="Z1767" s="187"/>
      <c r="AA1767" s="6301"/>
      <c r="AB1767" s="139"/>
      <c r="AC1767" s="139"/>
      <c r="AD1767" s="139"/>
      <c r="AE1767" s="139"/>
      <c r="AF1767" s="139"/>
      <c r="AG1767" s="139"/>
      <c r="AH1767" s="139"/>
      <c r="AI1767" s="139"/>
      <c r="AJ1767" s="139"/>
      <c r="AK1767" s="139"/>
      <c r="AL1767" s="139"/>
      <c r="AM1767" s="139"/>
      <c r="AN1767" s="139"/>
      <c r="AO1767" s="139"/>
      <c r="AP1767" s="139"/>
      <c r="AQ1767" s="139"/>
      <c r="AR1767" s="139"/>
      <c r="AS1767" s="139"/>
      <c r="AT1767" s="139"/>
      <c r="AU1767" s="139"/>
      <c r="AV1767" s="139"/>
      <c r="AW1767" s="139"/>
      <c r="AX1767" s="139"/>
      <c r="AY1767" s="139"/>
      <c r="AZ1767" s="139"/>
      <c r="BA1767" s="139"/>
      <c r="BB1767" s="139"/>
      <c r="BC1767" s="139"/>
      <c r="BD1767" s="139"/>
      <c r="BE1767" s="139"/>
      <c r="BF1767" s="139"/>
      <c r="BG1767" s="139"/>
      <c r="BH1767" s="139"/>
    </row>
    <row r="1768" spans="2:60" s="11" customFormat="1" ht="20.100000000000001" customHeight="1">
      <c r="B1768" s="1360"/>
      <c r="C1768" s="9647" t="s">
        <v>633</v>
      </c>
      <c r="D1768" s="9648"/>
      <c r="E1768" s="9649"/>
      <c r="F1768" s="105" t="s">
        <v>1312</v>
      </c>
      <c r="G1768" s="666"/>
      <c r="H1768" s="9579" t="s">
        <v>150</v>
      </c>
      <c r="I1768" s="9580"/>
      <c r="J1768" s="9581"/>
      <c r="K1768" s="285" t="s">
        <v>1314</v>
      </c>
      <c r="L1768" s="5594"/>
      <c r="M1768" s="5671"/>
      <c r="N1768" s="5724"/>
      <c r="O1768" s="5671"/>
      <c r="P1768" s="5724"/>
      <c r="Q1768" s="5678"/>
      <c r="R1768" s="2468"/>
      <c r="S1768" s="544"/>
      <c r="T1768" s="545"/>
      <c r="U1768" s="546"/>
      <c r="V1768" s="547"/>
      <c r="W1768" s="299" t="s">
        <v>193</v>
      </c>
      <c r="X1768" s="277"/>
      <c r="Y1768" s="277"/>
      <c r="Z1768" s="187"/>
      <c r="AA1768" s="6301"/>
      <c r="AB1768" s="139"/>
      <c r="AC1768" s="139"/>
      <c r="AD1768" s="139"/>
      <c r="AE1768" s="139"/>
      <c r="AF1768" s="139"/>
      <c r="AG1768" s="139"/>
      <c r="AH1768" s="139"/>
      <c r="AI1768" s="139"/>
      <c r="AJ1768" s="139"/>
      <c r="AK1768" s="139"/>
      <c r="AL1768" s="139"/>
      <c r="AM1768" s="139"/>
      <c r="AN1768" s="139"/>
      <c r="AO1768" s="139"/>
      <c r="AP1768" s="139"/>
      <c r="AQ1768" s="139"/>
      <c r="AR1768" s="139"/>
      <c r="AS1768" s="139"/>
      <c r="AT1768" s="139"/>
      <c r="AU1768" s="139"/>
      <c r="AV1768" s="139"/>
      <c r="AW1768" s="139"/>
      <c r="AX1768" s="139"/>
      <c r="AY1768" s="139"/>
      <c r="AZ1768" s="139"/>
      <c r="BA1768" s="139"/>
      <c r="BB1768" s="139"/>
      <c r="BC1768" s="139"/>
      <c r="BD1768" s="139"/>
      <c r="BE1768" s="139"/>
      <c r="BF1768" s="139"/>
      <c r="BG1768" s="139"/>
      <c r="BH1768" s="139"/>
    </row>
    <row r="1769" spans="2:60" s="11" customFormat="1" ht="20.100000000000001" customHeight="1">
      <c r="B1769" s="1360"/>
      <c r="C1769" s="1388"/>
      <c r="D1769" s="9584" t="s">
        <v>1318</v>
      </c>
      <c r="E1769" s="9585"/>
      <c r="F1769" s="105" t="s">
        <v>557</v>
      </c>
      <c r="G1769" s="777"/>
      <c r="H1769" s="1223"/>
      <c r="I1769" s="9584" t="s">
        <v>1319</v>
      </c>
      <c r="J1769" s="9585"/>
      <c r="K1769" s="285" t="s">
        <v>559</v>
      </c>
      <c r="L1769" s="5653" t="str">
        <f>IF(COUNTBLANK(L1770:L1775)&gt;0,"미취합법인有",SUM(L1770:L1775))</f>
        <v>미취합법인有</v>
      </c>
      <c r="M1769" s="5657"/>
      <c r="N1769" s="5654" t="str">
        <f>IF(COUNTBLANK(N1770:N1775)&gt;0,"미취합법인有",SUM(N1770:N1775))</f>
        <v>미취합법인有</v>
      </c>
      <c r="O1769" s="5663"/>
      <c r="P1769" s="5781" t="str">
        <f>IF(COUNTBLANK(P1770:P1775)&gt;0,"미취합법인有",SUM(P1770:P1775))</f>
        <v>미취합법인有</v>
      </c>
      <c r="Q1769" s="785"/>
      <c r="R1769" s="2468"/>
      <c r="S1769" s="276"/>
      <c r="T1769" s="109" t="s">
        <v>206</v>
      </c>
      <c r="U1769" s="547"/>
      <c r="V1769" s="547"/>
      <c r="W1769" s="299" t="s">
        <v>193</v>
      </c>
      <c r="X1769" s="277" t="s">
        <v>1317</v>
      </c>
      <c r="Y1769" s="265"/>
      <c r="Z1769" s="982"/>
      <c r="AA1769" s="6301"/>
      <c r="AB1769" s="139"/>
      <c r="AC1769" s="139"/>
      <c r="AD1769" s="139"/>
      <c r="AE1769" s="139"/>
      <c r="AF1769" s="139"/>
      <c r="AG1769" s="139"/>
      <c r="AH1769" s="139"/>
      <c r="AI1769" s="139"/>
      <c r="AJ1769" s="139"/>
      <c r="AK1769" s="139"/>
      <c r="AL1769" s="139"/>
      <c r="AM1769" s="139"/>
      <c r="AN1769" s="139"/>
      <c r="AO1769" s="139"/>
      <c r="AP1769" s="139"/>
      <c r="AQ1769" s="139"/>
      <c r="AR1769" s="139"/>
      <c r="AS1769" s="139"/>
      <c r="AT1769" s="139"/>
      <c r="AU1769" s="139"/>
      <c r="AV1769" s="139"/>
      <c r="AW1769" s="139"/>
      <c r="AX1769" s="139"/>
      <c r="AY1769" s="139"/>
      <c r="AZ1769" s="139"/>
      <c r="BA1769" s="139"/>
      <c r="BB1769" s="139"/>
      <c r="BC1769" s="139"/>
      <c r="BD1769" s="139"/>
      <c r="BE1769" s="139"/>
      <c r="BF1769" s="139"/>
      <c r="BG1769" s="139"/>
      <c r="BH1769" s="139"/>
    </row>
    <row r="1770" spans="2:60" s="11" customFormat="1" ht="20.100000000000001" customHeight="1">
      <c r="B1770" s="1360"/>
      <c r="C1770" s="614"/>
      <c r="D1770" s="9598" t="s">
        <v>134</v>
      </c>
      <c r="E1770" s="9600"/>
      <c r="F1770" s="105" t="s">
        <v>557</v>
      </c>
      <c r="G1770" s="666"/>
      <c r="H1770" s="666"/>
      <c r="I1770" s="9579" t="s">
        <v>135</v>
      </c>
      <c r="J1770" s="9581"/>
      <c r="K1770" s="285" t="s">
        <v>559</v>
      </c>
      <c r="L1770" s="5705"/>
      <c r="M1770" s="5719" t="s">
        <v>369</v>
      </c>
      <c r="N1770" s="5730"/>
      <c r="O1770" s="5720" t="s">
        <v>369</v>
      </c>
      <c r="P1770" s="5717"/>
      <c r="Q1770" s="5678"/>
      <c r="R1770" s="2483"/>
      <c r="S1770" s="544"/>
      <c r="T1770" s="545"/>
      <c r="U1770" s="546"/>
      <c r="V1770" s="547"/>
      <c r="W1770" s="299" t="s">
        <v>193</v>
      </c>
      <c r="X1770" s="277"/>
      <c r="Y1770" s="277"/>
      <c r="Z1770" s="187"/>
      <c r="AA1770" s="6301"/>
      <c r="AB1770" s="139"/>
      <c r="AC1770" s="139"/>
      <c r="AD1770" s="139"/>
      <c r="AE1770" s="139"/>
      <c r="AF1770" s="139"/>
      <c r="AG1770" s="139"/>
      <c r="AH1770" s="139"/>
      <c r="AI1770" s="139"/>
      <c r="AJ1770" s="139"/>
      <c r="AK1770" s="139"/>
      <c r="AL1770" s="139"/>
      <c r="AM1770" s="139"/>
      <c r="AN1770" s="139"/>
      <c r="AO1770" s="139"/>
      <c r="AP1770" s="139"/>
      <c r="AQ1770" s="139"/>
      <c r="AR1770" s="139"/>
      <c r="AS1770" s="139"/>
      <c r="AT1770" s="139"/>
      <c r="AU1770" s="139"/>
      <c r="AV1770" s="139"/>
      <c r="AW1770" s="139"/>
      <c r="AX1770" s="139"/>
      <c r="AY1770" s="139"/>
      <c r="AZ1770" s="139"/>
      <c r="BA1770" s="139"/>
      <c r="BB1770" s="139"/>
      <c r="BC1770" s="139"/>
      <c r="BD1770" s="139"/>
      <c r="BE1770" s="139"/>
      <c r="BF1770" s="139"/>
      <c r="BG1770" s="139"/>
      <c r="BH1770" s="139"/>
    </row>
    <row r="1771" spans="2:60" s="11" customFormat="1" ht="20.100000000000001" customHeight="1">
      <c r="B1771" s="1360"/>
      <c r="C1771" s="5598"/>
      <c r="D1771" s="9598" t="s">
        <v>137</v>
      </c>
      <c r="E1771" s="9600"/>
      <c r="F1771" s="105" t="s">
        <v>557</v>
      </c>
      <c r="G1771" s="666"/>
      <c r="H1771" s="666"/>
      <c r="I1771" s="9579" t="s">
        <v>138</v>
      </c>
      <c r="J1771" s="9581"/>
      <c r="K1771" s="285" t="s">
        <v>559</v>
      </c>
      <c r="L1771" s="5594"/>
      <c r="M1771" s="5671"/>
      <c r="N1771" s="5724"/>
      <c r="O1771" s="5680"/>
      <c r="P1771" s="5725"/>
      <c r="Q1771" s="5678"/>
      <c r="R1771" s="2483"/>
      <c r="S1771" s="544"/>
      <c r="T1771" s="545"/>
      <c r="U1771" s="546"/>
      <c r="V1771" s="547"/>
      <c r="W1771" s="299" t="s">
        <v>193</v>
      </c>
      <c r="X1771" s="277"/>
      <c r="Y1771" s="277"/>
      <c r="Z1771" s="187"/>
      <c r="AA1771" s="6301"/>
      <c r="AB1771" s="139"/>
      <c r="AC1771" s="139"/>
      <c r="AD1771" s="139"/>
      <c r="AE1771" s="139"/>
      <c r="AF1771" s="139"/>
      <c r="AG1771" s="139"/>
      <c r="AH1771" s="139"/>
      <c r="AI1771" s="139"/>
      <c r="AJ1771" s="139"/>
      <c r="AK1771" s="139"/>
      <c r="AL1771" s="139"/>
      <c r="AM1771" s="139"/>
      <c r="AN1771" s="139"/>
      <c r="AO1771" s="139"/>
      <c r="AP1771" s="139"/>
      <c r="AQ1771" s="139"/>
      <c r="AR1771" s="139"/>
      <c r="AS1771" s="139"/>
      <c r="AT1771" s="139"/>
      <c r="AU1771" s="139"/>
      <c r="AV1771" s="139"/>
      <c r="AW1771" s="139"/>
      <c r="AX1771" s="139"/>
      <c r="AY1771" s="139"/>
      <c r="AZ1771" s="139"/>
      <c r="BA1771" s="139"/>
      <c r="BB1771" s="139"/>
      <c r="BC1771" s="139"/>
      <c r="BD1771" s="139"/>
      <c r="BE1771" s="139"/>
      <c r="BF1771" s="139"/>
      <c r="BG1771" s="139"/>
      <c r="BH1771" s="139"/>
    </row>
    <row r="1772" spans="2:60" s="11" customFormat="1" ht="20.100000000000001" customHeight="1">
      <c r="B1772" s="1360"/>
      <c r="C1772" s="5598"/>
      <c r="D1772" s="9598" t="s">
        <v>140</v>
      </c>
      <c r="E1772" s="9600"/>
      <c r="F1772" s="105" t="s">
        <v>557</v>
      </c>
      <c r="G1772" s="666"/>
      <c r="H1772" s="666"/>
      <c r="I1772" s="9582" t="s">
        <v>141</v>
      </c>
      <c r="J1772" s="9583"/>
      <c r="K1772" s="285" t="s">
        <v>559</v>
      </c>
      <c r="L1772" s="5683"/>
      <c r="M1772" s="5871"/>
      <c r="N1772" s="5857"/>
      <c r="O1772" s="5874"/>
      <c r="P1772" s="5858"/>
      <c r="Q1772" s="5678"/>
      <c r="R1772" s="2483"/>
      <c r="S1772" s="544"/>
      <c r="T1772" s="545"/>
      <c r="U1772" s="546"/>
      <c r="V1772" s="547"/>
      <c r="W1772" s="299" t="s">
        <v>193</v>
      </c>
      <c r="X1772" s="277"/>
      <c r="Y1772" s="277"/>
      <c r="Z1772" s="187"/>
      <c r="AA1772" s="6301"/>
      <c r="AB1772" s="139"/>
      <c r="AC1772" s="139"/>
      <c r="AD1772" s="139"/>
      <c r="AE1772" s="139"/>
      <c r="AF1772" s="139"/>
      <c r="AG1772" s="139"/>
      <c r="AH1772" s="139"/>
      <c r="AI1772" s="139"/>
      <c r="AJ1772" s="139"/>
      <c r="AK1772" s="139"/>
      <c r="AL1772" s="139"/>
      <c r="AM1772" s="139"/>
      <c r="AN1772" s="139"/>
      <c r="AO1772" s="139"/>
      <c r="AP1772" s="139"/>
      <c r="AQ1772" s="139"/>
      <c r="AR1772" s="139"/>
      <c r="AS1772" s="139"/>
      <c r="AT1772" s="139"/>
      <c r="AU1772" s="139"/>
      <c r="AV1772" s="139"/>
      <c r="AW1772" s="139"/>
      <c r="AX1772" s="139"/>
      <c r="AY1772" s="139"/>
      <c r="AZ1772" s="139"/>
      <c r="BA1772" s="139"/>
      <c r="BB1772" s="139"/>
      <c r="BC1772" s="139"/>
      <c r="BD1772" s="139"/>
      <c r="BE1772" s="139"/>
      <c r="BF1772" s="139"/>
      <c r="BG1772" s="139"/>
      <c r="BH1772" s="139"/>
    </row>
    <row r="1773" spans="2:60" s="11" customFormat="1" ht="20.100000000000001" customHeight="1">
      <c r="B1773" s="1360"/>
      <c r="C1773" s="614"/>
      <c r="D1773" s="9598" t="s">
        <v>143</v>
      </c>
      <c r="E1773" s="9600"/>
      <c r="F1773" s="105" t="s">
        <v>557</v>
      </c>
      <c r="G1773" s="666"/>
      <c r="H1773" s="666"/>
      <c r="I1773" s="9582" t="s">
        <v>144</v>
      </c>
      <c r="J1773" s="9583"/>
      <c r="K1773" s="285" t="s">
        <v>559</v>
      </c>
      <c r="L1773" s="5683"/>
      <c r="M1773" s="5871"/>
      <c r="N1773" s="5857"/>
      <c r="O1773" s="5874"/>
      <c r="P1773" s="5858"/>
      <c r="Q1773" s="5678"/>
      <c r="R1773" s="2483"/>
      <c r="S1773" s="544"/>
      <c r="T1773" s="545"/>
      <c r="U1773" s="546"/>
      <c r="V1773" s="547"/>
      <c r="W1773" s="299" t="s">
        <v>193</v>
      </c>
      <c r="X1773" s="277"/>
      <c r="Y1773" s="277"/>
      <c r="Z1773" s="187"/>
      <c r="AA1773" s="6301"/>
      <c r="AB1773" s="139"/>
      <c r="AC1773" s="139"/>
      <c r="AD1773" s="139"/>
      <c r="AE1773" s="139"/>
      <c r="AF1773" s="139"/>
      <c r="AG1773" s="139"/>
      <c r="AH1773" s="139"/>
      <c r="AI1773" s="139"/>
      <c r="AJ1773" s="139"/>
      <c r="AK1773" s="139"/>
      <c r="AL1773" s="139"/>
      <c r="AM1773" s="139"/>
      <c r="AN1773" s="139"/>
      <c r="AO1773" s="139"/>
      <c r="AP1773" s="139"/>
      <c r="AQ1773" s="139"/>
      <c r="AR1773" s="139"/>
      <c r="AS1773" s="139"/>
      <c r="AT1773" s="139"/>
      <c r="AU1773" s="139"/>
      <c r="AV1773" s="139"/>
      <c r="AW1773" s="139"/>
      <c r="AX1773" s="139"/>
      <c r="AY1773" s="139"/>
      <c r="AZ1773" s="139"/>
      <c r="BA1773" s="139"/>
      <c r="BB1773" s="139"/>
      <c r="BC1773" s="139"/>
      <c r="BD1773" s="139"/>
      <c r="BE1773" s="139"/>
      <c r="BF1773" s="139"/>
      <c r="BG1773" s="139"/>
      <c r="BH1773" s="139"/>
    </row>
    <row r="1774" spans="2:60" s="11" customFormat="1" ht="20.100000000000001" customHeight="1">
      <c r="B1774" s="1360"/>
      <c r="C1774" s="5598"/>
      <c r="D1774" s="9598" t="s">
        <v>631</v>
      </c>
      <c r="E1774" s="9600"/>
      <c r="F1774" s="105" t="s">
        <v>557</v>
      </c>
      <c r="G1774" s="666"/>
      <c r="H1774" s="666"/>
      <c r="I1774" s="9582" t="s">
        <v>147</v>
      </c>
      <c r="J1774" s="9583"/>
      <c r="K1774" s="285" t="s">
        <v>559</v>
      </c>
      <c r="L1774" s="5683"/>
      <c r="M1774" s="5871"/>
      <c r="N1774" s="5857"/>
      <c r="O1774" s="5874"/>
      <c r="P1774" s="5858"/>
      <c r="Q1774" s="5678"/>
      <c r="R1774" s="2483"/>
      <c r="S1774" s="544"/>
      <c r="T1774" s="545"/>
      <c r="U1774" s="546"/>
      <c r="V1774" s="547"/>
      <c r="W1774" s="299" t="s">
        <v>193</v>
      </c>
      <c r="X1774" s="277"/>
      <c r="Y1774" s="277"/>
      <c r="Z1774" s="187"/>
      <c r="AA1774" s="6301"/>
      <c r="AB1774" s="139"/>
      <c r="AC1774" s="139"/>
      <c r="AD1774" s="139"/>
      <c r="AE1774" s="139"/>
      <c r="AF1774" s="139"/>
      <c r="AG1774" s="139"/>
      <c r="AH1774" s="139"/>
      <c r="AI1774" s="139"/>
      <c r="AJ1774" s="139"/>
      <c r="AK1774" s="139"/>
      <c r="AL1774" s="139"/>
      <c r="AM1774" s="139"/>
      <c r="AN1774" s="139"/>
      <c r="AO1774" s="139"/>
      <c r="AP1774" s="139"/>
      <c r="AQ1774" s="139"/>
      <c r="AR1774" s="139"/>
      <c r="AS1774" s="139"/>
      <c r="AT1774" s="139"/>
      <c r="AU1774" s="139"/>
      <c r="AV1774" s="139"/>
      <c r="AW1774" s="139"/>
      <c r="AX1774" s="139"/>
      <c r="AY1774" s="139"/>
      <c r="AZ1774" s="139"/>
      <c r="BA1774" s="139"/>
      <c r="BB1774" s="139"/>
      <c r="BC1774" s="139"/>
      <c r="BD1774" s="139"/>
      <c r="BE1774" s="139"/>
      <c r="BF1774" s="139"/>
      <c r="BG1774" s="139"/>
      <c r="BH1774" s="139"/>
    </row>
    <row r="1775" spans="2:60" s="11" customFormat="1" ht="20.100000000000001" customHeight="1">
      <c r="B1775" s="1360"/>
      <c r="C1775" s="5598"/>
      <c r="D1775" s="9598" t="s">
        <v>633</v>
      </c>
      <c r="E1775" s="9600"/>
      <c r="F1775" s="105" t="s">
        <v>557</v>
      </c>
      <c r="G1775" s="666"/>
      <c r="H1775" s="666"/>
      <c r="I1775" s="9582" t="s">
        <v>150</v>
      </c>
      <c r="J1775" s="9583"/>
      <c r="K1775" s="285" t="s">
        <v>559</v>
      </c>
      <c r="L1775" s="5683"/>
      <c r="M1775" s="5871"/>
      <c r="N1775" s="5857"/>
      <c r="O1775" s="5871"/>
      <c r="P1775" s="5857"/>
      <c r="Q1775" s="5678"/>
      <c r="R1775" s="2483"/>
      <c r="S1775" s="544"/>
      <c r="T1775" s="545"/>
      <c r="U1775" s="546"/>
      <c r="V1775" s="547"/>
      <c r="W1775" s="299" t="s">
        <v>193</v>
      </c>
      <c r="X1775" s="277"/>
      <c r="Y1775" s="277"/>
      <c r="Z1775" s="187"/>
      <c r="AA1775" s="6301"/>
      <c r="AB1775" s="139"/>
      <c r="AC1775" s="139"/>
      <c r="AD1775" s="139"/>
      <c r="AE1775" s="139"/>
      <c r="AF1775" s="139"/>
      <c r="AG1775" s="139"/>
      <c r="AH1775" s="139"/>
      <c r="AI1775" s="139"/>
      <c r="AJ1775" s="139"/>
      <c r="AK1775" s="139"/>
      <c r="AL1775" s="139"/>
      <c r="AM1775" s="139"/>
      <c r="AN1775" s="139"/>
      <c r="AO1775" s="139"/>
      <c r="AP1775" s="139"/>
      <c r="AQ1775" s="139"/>
      <c r="AR1775" s="139"/>
      <c r="AS1775" s="139"/>
      <c r="AT1775" s="139"/>
      <c r="AU1775" s="139"/>
      <c r="AV1775" s="139"/>
      <c r="AW1775" s="139"/>
      <c r="AX1775" s="139"/>
      <c r="AY1775" s="139"/>
      <c r="AZ1775" s="139"/>
      <c r="BA1775" s="139"/>
      <c r="BB1775" s="139"/>
      <c r="BC1775" s="139"/>
      <c r="BD1775" s="139"/>
      <c r="BE1775" s="139"/>
      <c r="BF1775" s="139"/>
      <c r="BG1775" s="139"/>
      <c r="BH1775" s="139"/>
    </row>
    <row r="1776" spans="2:60" s="11" customFormat="1" ht="20.100000000000001" customHeight="1">
      <c r="B1776" s="1360"/>
      <c r="C1776" s="1389"/>
      <c r="D1776" s="9584" t="s">
        <v>1286</v>
      </c>
      <c r="E1776" s="9585"/>
      <c r="F1776" s="105" t="s">
        <v>1018</v>
      </c>
      <c r="G1776" s="777"/>
      <c r="H1776" s="1223"/>
      <c r="I1776" s="9584" t="s">
        <v>1287</v>
      </c>
      <c r="J1776" s="9585"/>
      <c r="K1776" s="285" t="s">
        <v>1020</v>
      </c>
      <c r="L1776" s="5653">
        <f>IF(COUNTBLANK(L1777:L1782)&gt;0,"미취합법인有",SUM(L1777:L1782))</f>
        <v>10564334.58</v>
      </c>
      <c r="M1776" s="5657"/>
      <c r="N1776" s="5654">
        <f>IF(COUNTBLANK(N1777:N1782)&gt;0,"미취합법인有",SUM(N1777:N1782))</f>
        <v>13196069.99</v>
      </c>
      <c r="O1776" s="5663"/>
      <c r="P1776" s="5781" t="str">
        <f>IF(COUNTBLANK(P1777:P1782)&gt;0,"미취합법인有",SUM(P1777:P1782))</f>
        <v>미취합법인有</v>
      </c>
      <c r="Q1776" s="785"/>
      <c r="R1776" s="2468"/>
      <c r="S1776" s="276"/>
      <c r="T1776" s="1715" t="s">
        <v>206</v>
      </c>
      <c r="U1776" s="547"/>
      <c r="V1776" s="547"/>
      <c r="W1776" s="299" t="s">
        <v>193</v>
      </c>
      <c r="X1776" s="277" t="s">
        <v>1317</v>
      </c>
      <c r="Y1776" s="265"/>
      <c r="Z1776" s="982"/>
      <c r="AA1776" s="6301"/>
      <c r="AB1776" s="139"/>
      <c r="AC1776" s="139"/>
      <c r="AD1776" s="139"/>
      <c r="AE1776" s="139"/>
      <c r="AF1776" s="139"/>
      <c r="AG1776" s="139"/>
      <c r="AH1776" s="139"/>
      <c r="AI1776" s="139"/>
      <c r="AJ1776" s="139"/>
      <c r="AK1776" s="139"/>
      <c r="AL1776" s="139"/>
      <c r="AM1776" s="139"/>
      <c r="AN1776" s="139"/>
      <c r="AO1776" s="139"/>
      <c r="AP1776" s="139"/>
      <c r="AQ1776" s="139"/>
      <c r="AR1776" s="139"/>
      <c r="AS1776" s="139"/>
      <c r="AT1776" s="139"/>
      <c r="AU1776" s="139"/>
      <c r="AV1776" s="139"/>
      <c r="AW1776" s="139"/>
      <c r="AX1776" s="139"/>
      <c r="AY1776" s="139"/>
      <c r="AZ1776" s="139"/>
      <c r="BA1776" s="139"/>
      <c r="BB1776" s="139"/>
      <c r="BC1776" s="139"/>
      <c r="BD1776" s="139"/>
      <c r="BE1776" s="139"/>
      <c r="BF1776" s="139"/>
      <c r="BG1776" s="139"/>
      <c r="BH1776" s="139"/>
    </row>
    <row r="1777" spans="2:60" s="11" customFormat="1" ht="20.100000000000001" customHeight="1">
      <c r="B1777" s="1360"/>
      <c r="C1777" s="614"/>
      <c r="D1777" s="9598" t="s">
        <v>134</v>
      </c>
      <c r="E1777" s="9600"/>
      <c r="F1777" s="105" t="s">
        <v>1018</v>
      </c>
      <c r="G1777" s="666"/>
      <c r="H1777" s="666"/>
      <c r="I1777" s="9579" t="s">
        <v>135</v>
      </c>
      <c r="J1777" s="9581"/>
      <c r="K1777" s="285" t="s">
        <v>1020</v>
      </c>
      <c r="L1777" s="5789">
        <v>4213425.58</v>
      </c>
      <c r="M1777" s="5876"/>
      <c r="N1777" s="6005">
        <v>5186674.99</v>
      </c>
      <c r="O1777" s="6007"/>
      <c r="P1777" s="6005">
        <v>5650493.25</v>
      </c>
      <c r="Q1777" s="5678"/>
      <c r="R1777" s="2483"/>
      <c r="S1777" s="544"/>
      <c r="T1777" s="545"/>
      <c r="U1777" s="546"/>
      <c r="V1777" s="547"/>
      <c r="W1777" s="299" t="s">
        <v>193</v>
      </c>
      <c r="X1777" s="277"/>
      <c r="Y1777" s="277"/>
      <c r="Z1777" s="187"/>
      <c r="AA1777" s="6301"/>
      <c r="AB1777" s="139"/>
      <c r="AC1777" s="139"/>
      <c r="AD1777" s="139"/>
      <c r="AE1777" s="139"/>
      <c r="AF1777" s="139"/>
      <c r="AG1777" s="139"/>
      <c r="AH1777" s="139"/>
      <c r="AI1777" s="139"/>
      <c r="AJ1777" s="139"/>
      <c r="AK1777" s="139"/>
      <c r="AL1777" s="139"/>
      <c r="AM1777" s="139"/>
      <c r="AN1777" s="139"/>
      <c r="AO1777" s="139"/>
      <c r="AP1777" s="139"/>
      <c r="AQ1777" s="139"/>
      <c r="AR1777" s="139"/>
      <c r="AS1777" s="139"/>
      <c r="AT1777" s="139"/>
      <c r="AU1777" s="139"/>
      <c r="AV1777" s="139"/>
      <c r="AW1777" s="139"/>
      <c r="AX1777" s="139"/>
      <c r="AY1777" s="139"/>
      <c r="AZ1777" s="139"/>
      <c r="BA1777" s="139"/>
      <c r="BB1777" s="139"/>
      <c r="BC1777" s="139"/>
      <c r="BD1777" s="139"/>
      <c r="BE1777" s="139"/>
      <c r="BF1777" s="139"/>
      <c r="BG1777" s="139"/>
      <c r="BH1777" s="139"/>
    </row>
    <row r="1778" spans="2:60" s="11" customFormat="1" ht="20.100000000000001" customHeight="1">
      <c r="B1778" s="1360"/>
      <c r="C1778" s="5598"/>
      <c r="D1778" s="9598" t="s">
        <v>137</v>
      </c>
      <c r="E1778" s="9600"/>
      <c r="F1778" s="105" t="s">
        <v>1018</v>
      </c>
      <c r="G1778" s="666"/>
      <c r="H1778" s="666"/>
      <c r="I1778" s="9579" t="s">
        <v>138</v>
      </c>
      <c r="J1778" s="9581"/>
      <c r="K1778" s="285" t="s">
        <v>1020</v>
      </c>
      <c r="L1778" s="5789">
        <v>458964</v>
      </c>
      <c r="M1778" s="5876"/>
      <c r="N1778" s="6005">
        <v>539220</v>
      </c>
      <c r="O1778" s="6007"/>
      <c r="P1778" s="6425"/>
      <c r="Q1778" s="5678"/>
      <c r="R1778" s="2483"/>
      <c r="S1778" s="544"/>
      <c r="T1778" s="545"/>
      <c r="U1778" s="546"/>
      <c r="V1778" s="547"/>
      <c r="W1778" s="299" t="s">
        <v>193</v>
      </c>
      <c r="X1778" s="277"/>
      <c r="Y1778" s="277"/>
      <c r="Z1778" s="187"/>
      <c r="AA1778" s="6301"/>
      <c r="AB1778" s="139" t="s">
        <v>1295</v>
      </c>
      <c r="AC1778" s="139"/>
      <c r="AD1778" s="139"/>
      <c r="AE1778" s="139"/>
      <c r="AF1778" s="139"/>
      <c r="AG1778" s="139"/>
      <c r="AH1778" s="139"/>
      <c r="AI1778" s="139"/>
      <c r="AJ1778" s="139"/>
      <c r="AK1778" s="139"/>
      <c r="AL1778" s="139"/>
      <c r="AM1778" s="139"/>
      <c r="AN1778" s="139"/>
      <c r="AO1778" s="139"/>
      <c r="AP1778" s="139"/>
      <c r="AQ1778" s="139"/>
      <c r="AR1778" s="139"/>
      <c r="AS1778" s="139"/>
      <c r="AT1778" s="139"/>
      <c r="AU1778" s="139"/>
      <c r="AV1778" s="139"/>
      <c r="AW1778" s="139"/>
      <c r="AX1778" s="139"/>
      <c r="AY1778" s="139"/>
      <c r="AZ1778" s="139"/>
      <c r="BA1778" s="139"/>
      <c r="BB1778" s="139"/>
      <c r="BC1778" s="139"/>
      <c r="BD1778" s="139"/>
      <c r="BE1778" s="139"/>
      <c r="BF1778" s="139"/>
      <c r="BG1778" s="139"/>
      <c r="BH1778" s="139"/>
    </row>
    <row r="1779" spans="2:60" s="11" customFormat="1" ht="20.100000000000001" customHeight="1">
      <c r="B1779" s="1360"/>
      <c r="C1779" s="5598"/>
      <c r="D1779" s="9598" t="s">
        <v>140</v>
      </c>
      <c r="E1779" s="9600"/>
      <c r="F1779" s="105" t="s">
        <v>1018</v>
      </c>
      <c r="G1779" s="666"/>
      <c r="H1779" s="666"/>
      <c r="I1779" s="9582" t="s">
        <v>141</v>
      </c>
      <c r="J1779" s="9583"/>
      <c r="K1779" s="285" t="s">
        <v>1020</v>
      </c>
      <c r="L1779" s="5789">
        <v>2200752</v>
      </c>
      <c r="M1779" s="5876"/>
      <c r="N1779" s="6005">
        <v>1897992</v>
      </c>
      <c r="O1779" s="6007"/>
      <c r="P1779" s="6008">
        <v>1566000</v>
      </c>
      <c r="Q1779" s="5717"/>
      <c r="R1779" s="2483"/>
      <c r="S1779" s="544"/>
      <c r="T1779" s="545"/>
      <c r="U1779" s="546"/>
      <c r="V1779" s="547"/>
      <c r="W1779" s="299" t="s">
        <v>193</v>
      </c>
      <c r="X1779" s="277"/>
      <c r="Y1779" s="277"/>
      <c r="Z1779" s="187"/>
      <c r="AA1779" s="6301"/>
      <c r="AB1779" s="139"/>
      <c r="AC1779" s="139"/>
      <c r="AD1779" s="139"/>
      <c r="AE1779" s="139"/>
      <c r="AF1779" s="139"/>
      <c r="AG1779" s="139"/>
      <c r="AH1779" s="139"/>
      <c r="AI1779" s="139"/>
      <c r="AJ1779" s="139"/>
      <c r="AK1779" s="139"/>
      <c r="AL1779" s="139"/>
      <c r="AM1779" s="139"/>
      <c r="AN1779" s="139"/>
      <c r="AO1779" s="139"/>
      <c r="AP1779" s="139"/>
      <c r="AQ1779" s="139"/>
      <c r="AR1779" s="139"/>
      <c r="AS1779" s="139"/>
      <c r="AT1779" s="139"/>
      <c r="AU1779" s="139"/>
      <c r="AV1779" s="139"/>
      <c r="AW1779" s="139"/>
      <c r="AX1779" s="139"/>
      <c r="AY1779" s="139"/>
      <c r="AZ1779" s="139"/>
      <c r="BA1779" s="139"/>
      <c r="BB1779" s="139"/>
      <c r="BC1779" s="139"/>
      <c r="BD1779" s="139"/>
      <c r="BE1779" s="139"/>
      <c r="BF1779" s="139"/>
      <c r="BG1779" s="139"/>
      <c r="BH1779" s="139"/>
    </row>
    <row r="1780" spans="2:60" s="11" customFormat="1" ht="20.100000000000001" customHeight="1">
      <c r="B1780" s="1360"/>
      <c r="C1780" s="614"/>
      <c r="D1780" s="9598" t="s">
        <v>143</v>
      </c>
      <c r="E1780" s="9600"/>
      <c r="F1780" s="105" t="s">
        <v>1018</v>
      </c>
      <c r="G1780" s="666"/>
      <c r="H1780" s="666"/>
      <c r="I1780" s="9582" t="s">
        <v>144</v>
      </c>
      <c r="J1780" s="9583"/>
      <c r="K1780" s="285" t="s">
        <v>1020</v>
      </c>
      <c r="L1780" s="5789">
        <v>1446830</v>
      </c>
      <c r="M1780" s="5718"/>
      <c r="N1780" s="6010">
        <v>2421919</v>
      </c>
      <c r="O1780" s="5716"/>
      <c r="P1780" s="6008">
        <v>2672521</v>
      </c>
      <c r="Q1780" s="5717"/>
      <c r="R1780" s="2483"/>
      <c r="S1780" s="544"/>
      <c r="T1780" s="545"/>
      <c r="U1780" s="546"/>
      <c r="V1780" s="547"/>
      <c r="W1780" s="299" t="s">
        <v>193</v>
      </c>
      <c r="X1780" s="277"/>
      <c r="Y1780" s="277"/>
      <c r="Z1780" s="187"/>
      <c r="AA1780" s="6301"/>
      <c r="AB1780" s="139"/>
      <c r="AC1780" s="139"/>
      <c r="AD1780" s="139"/>
      <c r="AE1780" s="139"/>
      <c r="AF1780" s="139"/>
      <c r="AG1780" s="139"/>
      <c r="AH1780" s="139"/>
      <c r="AI1780" s="139"/>
      <c r="AJ1780" s="139"/>
      <c r="AK1780" s="139"/>
      <c r="AL1780" s="139"/>
      <c r="AM1780" s="139"/>
      <c r="AN1780" s="139"/>
      <c r="AO1780" s="139"/>
      <c r="AP1780" s="139"/>
      <c r="AQ1780" s="139"/>
      <c r="AR1780" s="139"/>
      <c r="AS1780" s="139"/>
      <c r="AT1780" s="139"/>
      <c r="AU1780" s="139"/>
      <c r="AV1780" s="139"/>
      <c r="AW1780" s="139"/>
      <c r="AX1780" s="139"/>
      <c r="AY1780" s="139"/>
      <c r="AZ1780" s="139"/>
      <c r="BA1780" s="139"/>
      <c r="BB1780" s="139"/>
      <c r="BC1780" s="139"/>
      <c r="BD1780" s="139"/>
      <c r="BE1780" s="139"/>
      <c r="BF1780" s="139"/>
      <c r="BG1780" s="139"/>
      <c r="BH1780" s="139"/>
    </row>
    <row r="1781" spans="2:60" s="11" customFormat="1" ht="20.100000000000001" customHeight="1">
      <c r="B1781" s="1360"/>
      <c r="C1781" s="5598"/>
      <c r="D1781" s="9598" t="s">
        <v>631</v>
      </c>
      <c r="E1781" s="9600"/>
      <c r="F1781" s="105" t="s">
        <v>1018</v>
      </c>
      <c r="G1781" s="666"/>
      <c r="H1781" s="666"/>
      <c r="I1781" s="9582" t="s">
        <v>147</v>
      </c>
      <c r="J1781" s="9583"/>
      <c r="K1781" s="674" t="s">
        <v>1020</v>
      </c>
      <c r="L1781" s="6509">
        <v>749808</v>
      </c>
      <c r="M1781" s="5718" t="s">
        <v>1300</v>
      </c>
      <c r="N1781" s="6508">
        <v>773424</v>
      </c>
      <c r="O1781" s="5716" t="s">
        <v>1300</v>
      </c>
      <c r="P1781" s="6510">
        <v>817408</v>
      </c>
      <c r="Q1781" s="5878"/>
      <c r="R1781" s="6248"/>
      <c r="S1781" s="6050"/>
      <c r="T1781" s="6195"/>
      <c r="U1781" s="6196"/>
      <c r="V1781" s="681"/>
      <c r="W1781" s="299" t="s">
        <v>193</v>
      </c>
      <c r="X1781" s="277"/>
      <c r="Y1781" s="1243"/>
      <c r="Z1781" s="4532"/>
      <c r="AA1781" s="6301"/>
      <c r="AB1781" s="139"/>
      <c r="AC1781" s="139"/>
      <c r="AD1781" s="139"/>
      <c r="AE1781" s="139"/>
      <c r="AF1781" s="139"/>
      <c r="AG1781" s="139"/>
      <c r="AH1781" s="139"/>
      <c r="AI1781" s="139"/>
      <c r="AJ1781" s="139"/>
      <c r="AK1781" s="139"/>
      <c r="AL1781" s="139"/>
      <c r="AM1781" s="139"/>
      <c r="AN1781" s="139"/>
      <c r="AO1781" s="139"/>
      <c r="AP1781" s="139"/>
      <c r="AQ1781" s="139"/>
      <c r="AR1781" s="139"/>
      <c r="AS1781" s="139"/>
      <c r="AT1781" s="139"/>
      <c r="AU1781" s="139"/>
      <c r="AV1781" s="139"/>
      <c r="AW1781" s="139"/>
      <c r="AX1781" s="139"/>
      <c r="AY1781" s="139"/>
      <c r="AZ1781" s="139"/>
      <c r="BA1781" s="139"/>
      <c r="BB1781" s="139"/>
      <c r="BC1781" s="139"/>
      <c r="BD1781" s="139"/>
      <c r="BE1781" s="139"/>
      <c r="BF1781" s="139"/>
      <c r="BG1781" s="139"/>
      <c r="BH1781" s="139"/>
    </row>
    <row r="1782" spans="2:60" s="11" customFormat="1" ht="20.100000000000001" customHeight="1">
      <c r="B1782" s="1360"/>
      <c r="C1782" s="5598"/>
      <c r="D1782" s="9598" t="s">
        <v>633</v>
      </c>
      <c r="E1782" s="9600"/>
      <c r="F1782" s="105" t="s">
        <v>1018</v>
      </c>
      <c r="G1782" s="666"/>
      <c r="H1782" s="666"/>
      <c r="I1782" s="9582" t="s">
        <v>150</v>
      </c>
      <c r="J1782" s="9583"/>
      <c r="K1782" s="674" t="s">
        <v>1020</v>
      </c>
      <c r="L1782" s="6507">
        <v>1494555</v>
      </c>
      <c r="M1782" s="6505"/>
      <c r="N1782" s="6472">
        <v>2376840</v>
      </c>
      <c r="O1782" s="6505"/>
      <c r="P1782" s="6472">
        <v>2151195</v>
      </c>
      <c r="Q1782" s="5878"/>
      <c r="R1782" s="6248"/>
      <c r="S1782" s="6050"/>
      <c r="T1782" s="6195"/>
      <c r="U1782" s="6196"/>
      <c r="V1782" s="681"/>
      <c r="W1782" s="299" t="s">
        <v>193</v>
      </c>
      <c r="X1782" s="277"/>
      <c r="Y1782" s="1243"/>
      <c r="Z1782" s="4532"/>
      <c r="AA1782" s="6301"/>
      <c r="AB1782" s="6403"/>
      <c r="AC1782" s="139"/>
      <c r="AD1782" s="139"/>
      <c r="AE1782" s="139"/>
      <c r="AF1782" s="139"/>
      <c r="AG1782" s="139"/>
      <c r="AH1782" s="139"/>
      <c r="AI1782" s="139"/>
      <c r="AJ1782" s="139"/>
      <c r="AK1782" s="139"/>
      <c r="AL1782" s="139"/>
      <c r="AM1782" s="139"/>
      <c r="AN1782" s="139"/>
      <c r="AO1782" s="139"/>
      <c r="AP1782" s="139"/>
      <c r="AQ1782" s="139"/>
      <c r="AR1782" s="139"/>
      <c r="AS1782" s="139"/>
      <c r="AT1782" s="139"/>
      <c r="AU1782" s="139"/>
      <c r="AV1782" s="139"/>
      <c r="AW1782" s="139"/>
      <c r="AX1782" s="139"/>
      <c r="AY1782" s="139"/>
      <c r="AZ1782" s="139"/>
      <c r="BA1782" s="139"/>
      <c r="BB1782" s="139"/>
      <c r="BC1782" s="139"/>
      <c r="BD1782" s="139"/>
      <c r="BE1782" s="139"/>
      <c r="BF1782" s="139"/>
      <c r="BG1782" s="139"/>
      <c r="BH1782" s="139"/>
    </row>
    <row r="1783" spans="2:60" s="11" customFormat="1" ht="20.100000000000001" customHeight="1">
      <c r="B1783" s="1360"/>
      <c r="C1783" s="9656" t="s">
        <v>1320</v>
      </c>
      <c r="D1783" s="9587"/>
      <c r="E1783" s="9588"/>
      <c r="F1783" s="105" t="s">
        <v>1312</v>
      </c>
      <c r="G1783" s="184"/>
      <c r="H1783" s="9586" t="s">
        <v>1321</v>
      </c>
      <c r="I1783" s="9587"/>
      <c r="J1783" s="9588"/>
      <c r="K1783" s="6130" t="s">
        <v>1314</v>
      </c>
      <c r="L1783" s="5657" t="str">
        <f>IF(COUNTBLANK(L1784:L1789)&gt;0,"미취합법인有",SUM(L1784:L1789))</f>
        <v>미취합법인有</v>
      </c>
      <c r="M1783" s="5657"/>
      <c r="N1783" s="5654" t="str">
        <f>IF(COUNTBLANK(N1784:N1789)&gt;0,"미취합법인有",SUM(N1784:N1789))</f>
        <v>미취합법인有</v>
      </c>
      <c r="O1783" s="5663"/>
      <c r="P1783" s="5781" t="str">
        <f>IF(COUNTBLANK(P1784:P1789)&gt;0,"미취합법인有",SUM(P1784:P1789))</f>
        <v>미취합법인有</v>
      </c>
      <c r="Q1783" s="785"/>
      <c r="R1783" s="2468" t="s">
        <v>1322</v>
      </c>
      <c r="S1783" s="276" t="s">
        <v>1323</v>
      </c>
      <c r="T1783" s="109" t="s">
        <v>206</v>
      </c>
      <c r="U1783" s="547"/>
      <c r="V1783" s="547"/>
      <c r="W1783" s="299" t="s">
        <v>193</v>
      </c>
      <c r="X1783" s="277" t="s">
        <v>1244</v>
      </c>
      <c r="Y1783" s="265"/>
      <c r="Z1783" s="982"/>
      <c r="AA1783" s="6301"/>
      <c r="AB1783" s="139"/>
      <c r="AC1783" s="139"/>
      <c r="AD1783" s="139"/>
      <c r="AE1783" s="139"/>
      <c r="AF1783" s="139"/>
      <c r="AG1783" s="139"/>
      <c r="AH1783" s="139"/>
      <c r="AI1783" s="139"/>
      <c r="AJ1783" s="139"/>
      <c r="AK1783" s="139"/>
      <c r="AL1783" s="139"/>
      <c r="AM1783" s="139"/>
      <c r="AN1783" s="139"/>
      <c r="AO1783" s="139"/>
      <c r="AP1783" s="139"/>
      <c r="AQ1783" s="139"/>
      <c r="AR1783" s="139"/>
      <c r="AS1783" s="139"/>
      <c r="AT1783" s="139"/>
      <c r="AU1783" s="139"/>
      <c r="AV1783" s="139"/>
      <c r="AW1783" s="139"/>
      <c r="AX1783" s="139"/>
      <c r="AY1783" s="139"/>
      <c r="AZ1783" s="139"/>
      <c r="BA1783" s="139"/>
      <c r="BB1783" s="139"/>
      <c r="BC1783" s="139"/>
      <c r="BD1783" s="139"/>
      <c r="BE1783" s="139"/>
      <c r="BF1783" s="139"/>
      <c r="BG1783" s="139"/>
      <c r="BH1783" s="139"/>
    </row>
    <row r="1784" spans="2:60" s="11" customFormat="1" ht="20.100000000000001" customHeight="1">
      <c r="B1784" s="1360"/>
      <c r="C1784" s="9647" t="s">
        <v>134</v>
      </c>
      <c r="D1784" s="9648"/>
      <c r="E1784" s="9649"/>
      <c r="F1784" s="105" t="s">
        <v>1312</v>
      </c>
      <c r="G1784" s="666"/>
      <c r="H1784" s="9579" t="s">
        <v>135</v>
      </c>
      <c r="I1784" s="9580"/>
      <c r="J1784" s="9581"/>
      <c r="K1784" s="6130" t="s">
        <v>1314</v>
      </c>
      <c r="L1784" s="5706"/>
      <c r="M1784" s="5719" t="s">
        <v>369</v>
      </c>
      <c r="N1784" s="5730"/>
      <c r="O1784" s="5720" t="s">
        <v>369</v>
      </c>
      <c r="P1784" s="5717"/>
      <c r="Q1784" s="5678"/>
      <c r="R1784" s="2468"/>
      <c r="S1784" s="544"/>
      <c r="T1784" s="545"/>
      <c r="U1784" s="546"/>
      <c r="V1784" s="547"/>
      <c r="W1784" s="299" t="s">
        <v>193</v>
      </c>
      <c r="X1784" s="277"/>
      <c r="Y1784" s="277"/>
      <c r="Z1784" s="187"/>
      <c r="AA1784" s="6301"/>
      <c r="AB1784" s="139"/>
      <c r="AC1784" s="139"/>
      <c r="AD1784" s="139"/>
      <c r="AE1784" s="139"/>
      <c r="AF1784" s="139"/>
      <c r="AG1784" s="139"/>
      <c r="AH1784" s="139"/>
      <c r="AI1784" s="139"/>
      <c r="AJ1784" s="139"/>
      <c r="AK1784" s="139"/>
      <c r="AL1784" s="139"/>
      <c r="AM1784" s="139"/>
      <c r="AN1784" s="139"/>
      <c r="AO1784" s="139"/>
      <c r="AP1784" s="139"/>
      <c r="AQ1784" s="139"/>
      <c r="AR1784" s="139"/>
      <c r="AS1784" s="139"/>
      <c r="AT1784" s="139"/>
      <c r="AU1784" s="139"/>
      <c r="AV1784" s="139"/>
      <c r="AW1784" s="139"/>
      <c r="AX1784" s="139"/>
      <c r="AY1784" s="139"/>
      <c r="AZ1784" s="139"/>
      <c r="BA1784" s="139"/>
      <c r="BB1784" s="139"/>
      <c r="BC1784" s="139"/>
      <c r="BD1784" s="139"/>
      <c r="BE1784" s="139"/>
      <c r="BF1784" s="139"/>
      <c r="BG1784" s="139"/>
      <c r="BH1784" s="139"/>
    </row>
    <row r="1785" spans="2:60" s="11" customFormat="1" ht="20.100000000000001" customHeight="1">
      <c r="B1785" s="1360"/>
      <c r="C1785" s="9647" t="s">
        <v>137</v>
      </c>
      <c r="D1785" s="9648"/>
      <c r="E1785" s="9649"/>
      <c r="F1785" s="105" t="s">
        <v>1312</v>
      </c>
      <c r="G1785" s="666"/>
      <c r="H1785" s="9579" t="s">
        <v>138</v>
      </c>
      <c r="I1785" s="9580"/>
      <c r="J1785" s="9581"/>
      <c r="K1785" s="6130" t="s">
        <v>1314</v>
      </c>
      <c r="L1785" s="5658"/>
      <c r="M1785" s="5671"/>
      <c r="N1785" s="5724"/>
      <c r="O1785" s="5680"/>
      <c r="P1785" s="5725"/>
      <c r="Q1785" s="5678"/>
      <c r="R1785" s="2468"/>
      <c r="S1785" s="544"/>
      <c r="T1785" s="545"/>
      <c r="U1785" s="546"/>
      <c r="V1785" s="547"/>
      <c r="W1785" s="299" t="s">
        <v>193</v>
      </c>
      <c r="X1785" s="277"/>
      <c r="Y1785" s="277"/>
      <c r="Z1785" s="187"/>
      <c r="AA1785" s="6301"/>
      <c r="AB1785" s="139"/>
      <c r="AC1785" s="139"/>
      <c r="AD1785" s="139"/>
      <c r="AE1785" s="139"/>
      <c r="AF1785" s="139"/>
      <c r="AG1785" s="139"/>
      <c r="AH1785" s="139"/>
      <c r="AI1785" s="139"/>
      <c r="AJ1785" s="139"/>
      <c r="AK1785" s="139"/>
      <c r="AL1785" s="139"/>
      <c r="AM1785" s="139"/>
      <c r="AN1785" s="139"/>
      <c r="AO1785" s="139"/>
      <c r="AP1785" s="139"/>
      <c r="AQ1785" s="139"/>
      <c r="AR1785" s="139"/>
      <c r="AS1785" s="139"/>
      <c r="AT1785" s="139"/>
      <c r="AU1785" s="139"/>
      <c r="AV1785" s="139"/>
      <c r="AW1785" s="139"/>
      <c r="AX1785" s="139"/>
      <c r="AY1785" s="139"/>
      <c r="AZ1785" s="139"/>
      <c r="BA1785" s="139"/>
      <c r="BB1785" s="139"/>
      <c r="BC1785" s="139"/>
      <c r="BD1785" s="139"/>
      <c r="BE1785" s="139"/>
      <c r="BF1785" s="139"/>
      <c r="BG1785" s="139"/>
      <c r="BH1785" s="139"/>
    </row>
    <row r="1786" spans="2:60" s="11" customFormat="1" ht="20.100000000000001" customHeight="1">
      <c r="B1786" s="1360"/>
      <c r="C1786" s="9647" t="s">
        <v>140</v>
      </c>
      <c r="D1786" s="9648"/>
      <c r="E1786" s="9649"/>
      <c r="F1786" s="105" t="s">
        <v>1312</v>
      </c>
      <c r="G1786" s="666"/>
      <c r="H1786" s="9579" t="s">
        <v>141</v>
      </c>
      <c r="I1786" s="9580"/>
      <c r="J1786" s="9581"/>
      <c r="K1786" s="6130" t="s">
        <v>1314</v>
      </c>
      <c r="L1786" s="5658"/>
      <c r="M1786" s="5671"/>
      <c r="N1786" s="5724"/>
      <c r="O1786" s="5680"/>
      <c r="P1786" s="5725"/>
      <c r="Q1786" s="5678"/>
      <c r="R1786" s="2468"/>
      <c r="S1786" s="544"/>
      <c r="T1786" s="545"/>
      <c r="U1786" s="546"/>
      <c r="V1786" s="547"/>
      <c r="W1786" s="299" t="s">
        <v>193</v>
      </c>
      <c r="X1786" s="277"/>
      <c r="Y1786" s="277"/>
      <c r="Z1786" s="187"/>
      <c r="AA1786" s="6301"/>
      <c r="AB1786" s="139"/>
      <c r="AC1786" s="139"/>
      <c r="AD1786" s="139"/>
      <c r="AE1786" s="139"/>
      <c r="AF1786" s="139"/>
      <c r="AG1786" s="139"/>
      <c r="AH1786" s="139"/>
      <c r="AI1786" s="139"/>
      <c r="AJ1786" s="139"/>
      <c r="AK1786" s="139"/>
      <c r="AL1786" s="139"/>
      <c r="AM1786" s="139"/>
      <c r="AN1786" s="139"/>
      <c r="AO1786" s="139"/>
      <c r="AP1786" s="139"/>
      <c r="AQ1786" s="139"/>
      <c r="AR1786" s="139"/>
      <c r="AS1786" s="139"/>
      <c r="AT1786" s="139"/>
      <c r="AU1786" s="139"/>
      <c r="AV1786" s="139"/>
      <c r="AW1786" s="139"/>
      <c r="AX1786" s="139"/>
      <c r="AY1786" s="139"/>
      <c r="AZ1786" s="139"/>
      <c r="BA1786" s="139"/>
      <c r="BB1786" s="139"/>
      <c r="BC1786" s="139"/>
      <c r="BD1786" s="139"/>
      <c r="BE1786" s="139"/>
      <c r="BF1786" s="139"/>
      <c r="BG1786" s="139"/>
      <c r="BH1786" s="139"/>
    </row>
    <row r="1787" spans="2:60" s="11" customFormat="1" ht="20.100000000000001" customHeight="1">
      <c r="B1787" s="1360"/>
      <c r="C1787" s="9647" t="s">
        <v>143</v>
      </c>
      <c r="D1787" s="9648"/>
      <c r="E1787" s="9649"/>
      <c r="F1787" s="105" t="s">
        <v>1312</v>
      </c>
      <c r="G1787" s="666"/>
      <c r="H1787" s="9579" t="s">
        <v>144</v>
      </c>
      <c r="I1787" s="9580"/>
      <c r="J1787" s="9581"/>
      <c r="K1787" s="6130" t="s">
        <v>1314</v>
      </c>
      <c r="L1787" s="5658"/>
      <c r="M1787" s="5671"/>
      <c r="N1787" s="5724"/>
      <c r="O1787" s="5680"/>
      <c r="P1787" s="5725"/>
      <c r="Q1787" s="5678"/>
      <c r="R1787" s="2468"/>
      <c r="S1787" s="544"/>
      <c r="T1787" s="545"/>
      <c r="U1787" s="546"/>
      <c r="V1787" s="547"/>
      <c r="W1787" s="299" t="s">
        <v>193</v>
      </c>
      <c r="X1787" s="277"/>
      <c r="Y1787" s="277"/>
      <c r="Z1787" s="187"/>
      <c r="AA1787" s="6301"/>
      <c r="AB1787" s="139"/>
      <c r="AC1787" s="139"/>
      <c r="AD1787" s="139"/>
      <c r="AE1787" s="139"/>
      <c r="AF1787" s="139"/>
      <c r="AG1787" s="139"/>
      <c r="AH1787" s="139"/>
      <c r="AI1787" s="139"/>
      <c r="AJ1787" s="139"/>
      <c r="AK1787" s="139"/>
      <c r="AL1787" s="139"/>
      <c r="AM1787" s="139"/>
      <c r="AN1787" s="139"/>
      <c r="AO1787" s="139"/>
      <c r="AP1787" s="139"/>
      <c r="AQ1787" s="139"/>
      <c r="AR1787" s="139"/>
      <c r="AS1787" s="139"/>
      <c r="AT1787" s="139"/>
      <c r="AU1787" s="139"/>
      <c r="AV1787" s="139"/>
      <c r="AW1787" s="139"/>
      <c r="AX1787" s="139"/>
      <c r="AY1787" s="139"/>
      <c r="AZ1787" s="139"/>
      <c r="BA1787" s="139"/>
      <c r="BB1787" s="139"/>
      <c r="BC1787" s="139"/>
      <c r="BD1787" s="139"/>
      <c r="BE1787" s="139"/>
      <c r="BF1787" s="139"/>
      <c r="BG1787" s="139"/>
      <c r="BH1787" s="139"/>
    </row>
    <row r="1788" spans="2:60" s="11" customFormat="1" ht="20.100000000000001" customHeight="1">
      <c r="B1788" s="1360"/>
      <c r="C1788" s="9647" t="s">
        <v>631</v>
      </c>
      <c r="D1788" s="9648"/>
      <c r="E1788" s="9649"/>
      <c r="F1788" s="105" t="s">
        <v>1312</v>
      </c>
      <c r="G1788" s="666"/>
      <c r="H1788" s="9579" t="s">
        <v>147</v>
      </c>
      <c r="I1788" s="9580"/>
      <c r="J1788" s="9581"/>
      <c r="K1788" s="6130" t="s">
        <v>1314</v>
      </c>
      <c r="L1788" s="5658"/>
      <c r="M1788" s="5671"/>
      <c r="N1788" s="5724"/>
      <c r="O1788" s="5680"/>
      <c r="P1788" s="5725"/>
      <c r="Q1788" s="5678"/>
      <c r="R1788" s="2468"/>
      <c r="S1788" s="544"/>
      <c r="T1788" s="545"/>
      <c r="U1788" s="546"/>
      <c r="V1788" s="547"/>
      <c r="W1788" s="299" t="s">
        <v>193</v>
      </c>
      <c r="X1788" s="277"/>
      <c r="Y1788" s="277"/>
      <c r="Z1788" s="187"/>
      <c r="AA1788" s="6301"/>
      <c r="AB1788" s="139"/>
      <c r="AC1788" s="139"/>
      <c r="AD1788" s="139"/>
      <c r="AE1788" s="139"/>
      <c r="AF1788" s="139"/>
      <c r="AG1788" s="139"/>
      <c r="AH1788" s="139"/>
      <c r="AI1788" s="139"/>
      <c r="AJ1788" s="139"/>
      <c r="AK1788" s="139"/>
      <c r="AL1788" s="139"/>
      <c r="AM1788" s="139"/>
      <c r="AN1788" s="139"/>
      <c r="AO1788" s="139"/>
      <c r="AP1788" s="139"/>
      <c r="AQ1788" s="139"/>
      <c r="AR1788" s="139"/>
      <c r="AS1788" s="139"/>
      <c r="AT1788" s="139"/>
      <c r="AU1788" s="139"/>
      <c r="AV1788" s="139"/>
      <c r="AW1788" s="139"/>
      <c r="AX1788" s="139"/>
      <c r="AY1788" s="139"/>
      <c r="AZ1788" s="139"/>
      <c r="BA1788" s="139"/>
      <c r="BB1788" s="139"/>
      <c r="BC1788" s="139"/>
      <c r="BD1788" s="139"/>
      <c r="BE1788" s="139"/>
      <c r="BF1788" s="139"/>
      <c r="BG1788" s="139"/>
      <c r="BH1788" s="139"/>
    </row>
    <row r="1789" spans="2:60" s="11" customFormat="1" ht="20.100000000000001" customHeight="1">
      <c r="B1789" s="1360"/>
      <c r="C1789" s="9647" t="s">
        <v>633</v>
      </c>
      <c r="D1789" s="9648"/>
      <c r="E1789" s="9649"/>
      <c r="F1789" s="105" t="s">
        <v>1312</v>
      </c>
      <c r="G1789" s="666"/>
      <c r="H1789" s="9579" t="s">
        <v>150</v>
      </c>
      <c r="I1789" s="9580"/>
      <c r="J1789" s="9581"/>
      <c r="K1789" s="6249" t="s">
        <v>1314</v>
      </c>
      <c r="L1789" s="5658"/>
      <c r="M1789" s="5671"/>
      <c r="N1789" s="5724"/>
      <c r="O1789" s="5671"/>
      <c r="P1789" s="5724"/>
      <c r="Q1789" s="5678"/>
      <c r="R1789" s="2468"/>
      <c r="S1789" s="544"/>
      <c r="T1789" s="545"/>
      <c r="U1789" s="546"/>
      <c r="V1789" s="547"/>
      <c r="W1789" s="299" t="s">
        <v>193</v>
      </c>
      <c r="X1789" s="277"/>
      <c r="Y1789" s="277"/>
      <c r="Z1789" s="187"/>
      <c r="AA1789" s="6301"/>
      <c r="AB1789" s="139"/>
      <c r="AC1789" s="139"/>
      <c r="AD1789" s="139"/>
      <c r="AE1789" s="139"/>
      <c r="AF1789" s="139"/>
      <c r="AG1789" s="139"/>
      <c r="AH1789" s="139"/>
      <c r="AI1789" s="139"/>
      <c r="AJ1789" s="139"/>
      <c r="AK1789" s="139"/>
      <c r="AL1789" s="139"/>
      <c r="AM1789" s="139"/>
      <c r="AN1789" s="139"/>
      <c r="AO1789" s="139"/>
      <c r="AP1789" s="139"/>
      <c r="AQ1789" s="139"/>
      <c r="AR1789" s="139"/>
      <c r="AS1789" s="139"/>
      <c r="AT1789" s="139"/>
      <c r="AU1789" s="139"/>
      <c r="AV1789" s="139"/>
      <c r="AW1789" s="139"/>
      <c r="AX1789" s="139"/>
      <c r="AY1789" s="139"/>
      <c r="AZ1789" s="139"/>
      <c r="BA1789" s="139"/>
      <c r="BB1789" s="139"/>
      <c r="BC1789" s="139"/>
      <c r="BD1789" s="139"/>
      <c r="BE1789" s="139"/>
      <c r="BF1789" s="139"/>
      <c r="BG1789" s="139"/>
      <c r="BH1789" s="139"/>
    </row>
    <row r="1790" spans="2:60" s="11" customFormat="1" ht="20.100000000000001" customHeight="1">
      <c r="B1790" s="1360"/>
      <c r="C1790" s="1388"/>
      <c r="D1790" s="9584" t="s">
        <v>1318</v>
      </c>
      <c r="E1790" s="9585"/>
      <c r="F1790" s="105" t="s">
        <v>557</v>
      </c>
      <c r="G1790" s="777"/>
      <c r="H1790" s="1223"/>
      <c r="I1790" s="9584" t="s">
        <v>1324</v>
      </c>
      <c r="J1790" s="9585"/>
      <c r="K1790" s="1143" t="s">
        <v>559</v>
      </c>
      <c r="L1790" s="5653" t="str">
        <f>IF(COUNTBLANK(L1791:L1796)&gt;0,"미취합법인有",SUM(L1791:L1796))</f>
        <v>미취합법인有</v>
      </c>
      <c r="M1790" s="5657"/>
      <c r="N1790" s="5654" t="str">
        <f>IF(COUNTBLANK(N1791:N1796)&gt;0,"미취합법인有",SUM(N1791:N1796))</f>
        <v>미취합법인有</v>
      </c>
      <c r="O1790" s="5663"/>
      <c r="P1790" s="5781" t="str">
        <f>IF(COUNTBLANK(P1791:P1796)&gt;0,"미취합법인有",SUM(P1791:P1796))</f>
        <v>미취합법인有</v>
      </c>
      <c r="Q1790" s="785"/>
      <c r="R1790" s="2468"/>
      <c r="S1790" s="276"/>
      <c r="T1790" s="109" t="s">
        <v>206</v>
      </c>
      <c r="U1790" s="547"/>
      <c r="V1790" s="547"/>
      <c r="W1790" s="299" t="s">
        <v>193</v>
      </c>
      <c r="X1790" s="277" t="s">
        <v>1244</v>
      </c>
      <c r="Y1790" s="265"/>
      <c r="Z1790" s="982"/>
      <c r="AA1790" s="6301"/>
      <c r="AB1790" s="139"/>
      <c r="AC1790" s="139"/>
      <c r="AD1790" s="139"/>
      <c r="AE1790" s="139"/>
      <c r="AF1790" s="139"/>
      <c r="AG1790" s="139"/>
      <c r="AH1790" s="139"/>
      <c r="AI1790" s="139"/>
      <c r="AJ1790" s="139"/>
      <c r="AK1790" s="139"/>
      <c r="AL1790" s="139"/>
      <c r="AM1790" s="139"/>
      <c r="AN1790" s="139"/>
      <c r="AO1790" s="139"/>
      <c r="AP1790" s="139"/>
      <c r="AQ1790" s="139"/>
      <c r="AR1790" s="139"/>
      <c r="AS1790" s="139"/>
      <c r="AT1790" s="139"/>
      <c r="AU1790" s="139"/>
      <c r="AV1790" s="139"/>
      <c r="AW1790" s="139"/>
      <c r="AX1790" s="139"/>
      <c r="AY1790" s="139"/>
      <c r="AZ1790" s="139"/>
      <c r="BA1790" s="139"/>
      <c r="BB1790" s="139"/>
      <c r="BC1790" s="139"/>
      <c r="BD1790" s="139"/>
      <c r="BE1790" s="139"/>
      <c r="BF1790" s="139"/>
      <c r="BG1790" s="139"/>
      <c r="BH1790" s="139"/>
    </row>
    <row r="1791" spans="2:60" s="11" customFormat="1" ht="20.100000000000001" customHeight="1">
      <c r="B1791" s="1360"/>
      <c r="C1791" s="614"/>
      <c r="D1791" s="9598" t="s">
        <v>134</v>
      </c>
      <c r="E1791" s="9600"/>
      <c r="F1791" s="105" t="s">
        <v>557</v>
      </c>
      <c r="G1791" s="666"/>
      <c r="H1791" s="666"/>
      <c r="I1791" s="9579" t="s">
        <v>135</v>
      </c>
      <c r="J1791" s="9581"/>
      <c r="K1791" s="285" t="s">
        <v>559</v>
      </c>
      <c r="L1791" s="5705"/>
      <c r="M1791" s="5719" t="s">
        <v>369</v>
      </c>
      <c r="N1791" s="5730"/>
      <c r="O1791" s="5720" t="s">
        <v>369</v>
      </c>
      <c r="P1791" s="5717"/>
      <c r="Q1791" s="5678"/>
      <c r="R1791" s="2483"/>
      <c r="S1791" s="544"/>
      <c r="T1791" s="545"/>
      <c r="U1791" s="546"/>
      <c r="V1791" s="547"/>
      <c r="W1791" s="299" t="s">
        <v>193</v>
      </c>
      <c r="X1791" s="277"/>
      <c r="Y1791" s="277"/>
      <c r="Z1791" s="187"/>
      <c r="AA1791" s="6301"/>
      <c r="AB1791" s="139"/>
      <c r="AC1791" s="139"/>
      <c r="AD1791" s="139"/>
      <c r="AE1791" s="139"/>
      <c r="AF1791" s="139"/>
      <c r="AG1791" s="139"/>
      <c r="AH1791" s="139"/>
      <c r="AI1791" s="139"/>
      <c r="AJ1791" s="139"/>
      <c r="AK1791" s="139"/>
      <c r="AL1791" s="139"/>
      <c r="AM1791" s="139"/>
      <c r="AN1791" s="139"/>
      <c r="AO1791" s="139"/>
      <c r="AP1791" s="139"/>
      <c r="AQ1791" s="139"/>
      <c r="AR1791" s="139"/>
      <c r="AS1791" s="139"/>
      <c r="AT1791" s="139"/>
      <c r="AU1791" s="139"/>
      <c r="AV1791" s="139"/>
      <c r="AW1791" s="139"/>
      <c r="AX1791" s="139"/>
      <c r="AY1791" s="139"/>
      <c r="AZ1791" s="139"/>
      <c r="BA1791" s="139"/>
      <c r="BB1791" s="139"/>
      <c r="BC1791" s="139"/>
      <c r="BD1791" s="139"/>
      <c r="BE1791" s="139"/>
      <c r="BF1791" s="139"/>
      <c r="BG1791" s="139"/>
      <c r="BH1791" s="139"/>
    </row>
    <row r="1792" spans="2:60" s="11" customFormat="1" ht="20.100000000000001" customHeight="1">
      <c r="B1792" s="1360"/>
      <c r="C1792" s="5598"/>
      <c r="D1792" s="9598" t="s">
        <v>137</v>
      </c>
      <c r="E1792" s="9600"/>
      <c r="F1792" s="105" t="s">
        <v>557</v>
      </c>
      <c r="G1792" s="666"/>
      <c r="H1792" s="666"/>
      <c r="I1792" s="9579" t="s">
        <v>138</v>
      </c>
      <c r="J1792" s="9581"/>
      <c r="K1792" s="285" t="s">
        <v>559</v>
      </c>
      <c r="L1792" s="5594"/>
      <c r="M1792" s="5671"/>
      <c r="N1792" s="5724"/>
      <c r="O1792" s="5680"/>
      <c r="P1792" s="5725"/>
      <c r="Q1792" s="5678"/>
      <c r="R1792" s="2483"/>
      <c r="S1792" s="544"/>
      <c r="T1792" s="545"/>
      <c r="U1792" s="546"/>
      <c r="V1792" s="547"/>
      <c r="W1792" s="299" t="s">
        <v>193</v>
      </c>
      <c r="X1792" s="277"/>
      <c r="Y1792" s="277"/>
      <c r="Z1792" s="187"/>
      <c r="AA1792" s="6301"/>
      <c r="AB1792" s="139"/>
      <c r="AC1792" s="139"/>
      <c r="AD1792" s="139"/>
      <c r="AE1792" s="139"/>
      <c r="AF1792" s="139"/>
      <c r="AG1792" s="139"/>
      <c r="AH1792" s="139"/>
      <c r="AI1792" s="139"/>
      <c r="AJ1792" s="139"/>
      <c r="AK1792" s="139"/>
      <c r="AL1792" s="139"/>
      <c r="AM1792" s="139"/>
      <c r="AN1792" s="139"/>
      <c r="AO1792" s="139"/>
      <c r="AP1792" s="139"/>
      <c r="AQ1792" s="139"/>
      <c r="AR1792" s="139"/>
      <c r="AS1792" s="139"/>
      <c r="AT1792" s="139"/>
      <c r="AU1792" s="139"/>
      <c r="AV1792" s="139"/>
      <c r="AW1792" s="139"/>
      <c r="AX1792" s="139"/>
      <c r="AY1792" s="139"/>
      <c r="AZ1792" s="139"/>
      <c r="BA1792" s="139"/>
      <c r="BB1792" s="139"/>
      <c r="BC1792" s="139"/>
      <c r="BD1792" s="139"/>
      <c r="BE1792" s="139"/>
      <c r="BF1792" s="139"/>
      <c r="BG1792" s="139"/>
      <c r="BH1792" s="139"/>
    </row>
    <row r="1793" spans="2:60" s="11" customFormat="1" ht="20.100000000000001" customHeight="1">
      <c r="B1793" s="1360"/>
      <c r="C1793" s="5598"/>
      <c r="D1793" s="9598" t="s">
        <v>140</v>
      </c>
      <c r="E1793" s="9600"/>
      <c r="F1793" s="105" t="s">
        <v>557</v>
      </c>
      <c r="G1793" s="666"/>
      <c r="H1793" s="666"/>
      <c r="I1793" s="9582" t="s">
        <v>141</v>
      </c>
      <c r="J1793" s="9583"/>
      <c r="K1793" s="285" t="s">
        <v>559</v>
      </c>
      <c r="L1793" s="5683"/>
      <c r="M1793" s="5871"/>
      <c r="N1793" s="5857"/>
      <c r="O1793" s="5874"/>
      <c r="P1793" s="5858"/>
      <c r="Q1793" s="5678"/>
      <c r="R1793" s="2483"/>
      <c r="S1793" s="544"/>
      <c r="T1793" s="545"/>
      <c r="U1793" s="546"/>
      <c r="V1793" s="547"/>
      <c r="W1793" s="299" t="s">
        <v>193</v>
      </c>
      <c r="X1793" s="277"/>
      <c r="Y1793" s="277"/>
      <c r="Z1793" s="187"/>
      <c r="AA1793" s="6301"/>
      <c r="AB1793" s="139"/>
      <c r="AC1793" s="139"/>
      <c r="AD1793" s="139"/>
      <c r="AE1793" s="139"/>
      <c r="AF1793" s="139"/>
      <c r="AG1793" s="139"/>
      <c r="AH1793" s="139"/>
      <c r="AI1793" s="139"/>
      <c r="AJ1793" s="139"/>
      <c r="AK1793" s="139"/>
      <c r="AL1793" s="139"/>
      <c r="AM1793" s="139"/>
      <c r="AN1793" s="139"/>
      <c r="AO1793" s="139"/>
      <c r="AP1793" s="139"/>
      <c r="AQ1793" s="139"/>
      <c r="AR1793" s="139"/>
      <c r="AS1793" s="139"/>
      <c r="AT1793" s="139"/>
      <c r="AU1793" s="139"/>
      <c r="AV1793" s="139"/>
      <c r="AW1793" s="139"/>
      <c r="AX1793" s="139"/>
      <c r="AY1793" s="139"/>
      <c r="AZ1793" s="139"/>
      <c r="BA1793" s="139"/>
      <c r="BB1793" s="139"/>
      <c r="BC1793" s="139"/>
      <c r="BD1793" s="139"/>
      <c r="BE1793" s="139"/>
      <c r="BF1793" s="139"/>
      <c r="BG1793" s="139"/>
      <c r="BH1793" s="139"/>
    </row>
    <row r="1794" spans="2:60" s="11" customFormat="1" ht="20.100000000000001" customHeight="1">
      <c r="B1794" s="1360"/>
      <c r="C1794" s="614"/>
      <c r="D1794" s="9598" t="s">
        <v>143</v>
      </c>
      <c r="E1794" s="9600"/>
      <c r="F1794" s="105" t="s">
        <v>557</v>
      </c>
      <c r="G1794" s="666"/>
      <c r="H1794" s="666"/>
      <c r="I1794" s="9582" t="s">
        <v>144</v>
      </c>
      <c r="J1794" s="9583"/>
      <c r="K1794" s="285" t="s">
        <v>559</v>
      </c>
      <c r="L1794" s="5683"/>
      <c r="M1794" s="5871"/>
      <c r="N1794" s="5857"/>
      <c r="O1794" s="5874"/>
      <c r="P1794" s="5858"/>
      <c r="Q1794" s="5678"/>
      <c r="R1794" s="2483"/>
      <c r="S1794" s="544"/>
      <c r="T1794" s="545"/>
      <c r="U1794" s="546"/>
      <c r="V1794" s="547"/>
      <c r="W1794" s="299" t="s">
        <v>193</v>
      </c>
      <c r="X1794" s="277"/>
      <c r="Y1794" s="277"/>
      <c r="Z1794" s="187"/>
      <c r="AA1794" s="6301"/>
      <c r="AB1794" s="139"/>
      <c r="AC1794" s="139"/>
      <c r="AD1794" s="139"/>
      <c r="AE1794" s="139"/>
      <c r="AF1794" s="139"/>
      <c r="AG1794" s="139"/>
      <c r="AH1794" s="139"/>
      <c r="AI1794" s="139"/>
      <c r="AJ1794" s="139"/>
      <c r="AK1794" s="139"/>
      <c r="AL1794" s="139"/>
      <c r="AM1794" s="139"/>
      <c r="AN1794" s="139"/>
      <c r="AO1794" s="139"/>
      <c r="AP1794" s="139"/>
      <c r="AQ1794" s="139"/>
      <c r="AR1794" s="139"/>
      <c r="AS1794" s="139"/>
      <c r="AT1794" s="139"/>
      <c r="AU1794" s="139"/>
      <c r="AV1794" s="139"/>
      <c r="AW1794" s="139"/>
      <c r="AX1794" s="139"/>
      <c r="AY1794" s="139"/>
      <c r="AZ1794" s="139"/>
      <c r="BA1794" s="139"/>
      <c r="BB1794" s="139"/>
      <c r="BC1794" s="139"/>
      <c r="BD1794" s="139"/>
      <c r="BE1794" s="139"/>
      <c r="BF1794" s="139"/>
      <c r="BG1794" s="139"/>
      <c r="BH1794" s="139"/>
    </row>
    <row r="1795" spans="2:60" s="11" customFormat="1" ht="20.100000000000001" customHeight="1">
      <c r="B1795" s="1360"/>
      <c r="C1795" s="5598"/>
      <c r="D1795" s="9598" t="s">
        <v>631</v>
      </c>
      <c r="E1795" s="9600"/>
      <c r="F1795" s="105" t="s">
        <v>557</v>
      </c>
      <c r="G1795" s="666"/>
      <c r="H1795" s="666"/>
      <c r="I1795" s="9582" t="s">
        <v>147</v>
      </c>
      <c r="J1795" s="9583"/>
      <c r="K1795" s="285" t="s">
        <v>559</v>
      </c>
      <c r="L1795" s="5683"/>
      <c r="M1795" s="5871"/>
      <c r="N1795" s="5857"/>
      <c r="O1795" s="5874"/>
      <c r="P1795" s="5858"/>
      <c r="Q1795" s="5678"/>
      <c r="R1795" s="2483"/>
      <c r="S1795" s="544"/>
      <c r="T1795" s="545"/>
      <c r="U1795" s="546"/>
      <c r="V1795" s="547"/>
      <c r="W1795" s="299" t="s">
        <v>193</v>
      </c>
      <c r="X1795" s="277"/>
      <c r="Y1795" s="277"/>
      <c r="Z1795" s="187"/>
      <c r="AA1795" s="6301"/>
      <c r="AB1795" s="139"/>
      <c r="AC1795" s="139"/>
      <c r="AD1795" s="139"/>
      <c r="AE1795" s="139"/>
      <c r="AF1795" s="139"/>
      <c r="AG1795" s="139"/>
      <c r="AH1795" s="139"/>
      <c r="AI1795" s="139"/>
      <c r="AJ1795" s="139"/>
      <c r="AK1795" s="139"/>
      <c r="AL1795" s="139"/>
      <c r="AM1795" s="139"/>
      <c r="AN1795" s="139"/>
      <c r="AO1795" s="139"/>
      <c r="AP1795" s="139"/>
      <c r="AQ1795" s="139"/>
      <c r="AR1795" s="139"/>
      <c r="AS1795" s="139"/>
      <c r="AT1795" s="139"/>
      <c r="AU1795" s="139"/>
      <c r="AV1795" s="139"/>
      <c r="AW1795" s="139"/>
      <c r="AX1795" s="139"/>
      <c r="AY1795" s="139"/>
      <c r="AZ1795" s="139"/>
      <c r="BA1795" s="139"/>
      <c r="BB1795" s="139"/>
      <c r="BC1795" s="139"/>
      <c r="BD1795" s="139"/>
      <c r="BE1795" s="139"/>
      <c r="BF1795" s="139"/>
      <c r="BG1795" s="139"/>
      <c r="BH1795" s="139"/>
    </row>
    <row r="1796" spans="2:60" s="11" customFormat="1" ht="20.100000000000001" customHeight="1">
      <c r="B1796" s="1360"/>
      <c r="C1796" s="5598"/>
      <c r="D1796" s="9598" t="s">
        <v>633</v>
      </c>
      <c r="E1796" s="9600"/>
      <c r="F1796" s="105" t="s">
        <v>557</v>
      </c>
      <c r="G1796" s="666"/>
      <c r="H1796" s="666"/>
      <c r="I1796" s="9582" t="s">
        <v>150</v>
      </c>
      <c r="J1796" s="9583"/>
      <c r="K1796" s="285" t="s">
        <v>559</v>
      </c>
      <c r="L1796" s="5683"/>
      <c r="M1796" s="5871"/>
      <c r="N1796" s="5857"/>
      <c r="O1796" s="5871"/>
      <c r="P1796" s="5857"/>
      <c r="Q1796" s="5678"/>
      <c r="R1796" s="2483"/>
      <c r="S1796" s="544"/>
      <c r="T1796" s="545"/>
      <c r="U1796" s="546"/>
      <c r="V1796" s="547"/>
      <c r="W1796" s="299" t="s">
        <v>193</v>
      </c>
      <c r="X1796" s="277"/>
      <c r="Y1796" s="277"/>
      <c r="Z1796" s="187"/>
      <c r="AA1796" s="6301"/>
      <c r="AB1796" s="139"/>
      <c r="AC1796" s="139"/>
      <c r="AD1796" s="139"/>
      <c r="AE1796" s="139"/>
      <c r="AF1796" s="139"/>
      <c r="AG1796" s="139"/>
      <c r="AH1796" s="139"/>
      <c r="AI1796" s="139"/>
      <c r="AJ1796" s="139"/>
      <c r="AK1796" s="139"/>
      <c r="AL1796" s="139"/>
      <c r="AM1796" s="139"/>
      <c r="AN1796" s="139"/>
      <c r="AO1796" s="139"/>
      <c r="AP1796" s="139"/>
      <c r="AQ1796" s="139"/>
      <c r="AR1796" s="139"/>
      <c r="AS1796" s="139"/>
      <c r="AT1796" s="139"/>
      <c r="AU1796" s="139"/>
      <c r="AV1796" s="139"/>
      <c r="AW1796" s="139"/>
      <c r="AX1796" s="139"/>
      <c r="AY1796" s="139"/>
      <c r="AZ1796" s="139"/>
      <c r="BA1796" s="139"/>
      <c r="BB1796" s="139"/>
      <c r="BC1796" s="139"/>
      <c r="BD1796" s="139"/>
      <c r="BE1796" s="139"/>
      <c r="BF1796" s="139"/>
      <c r="BG1796" s="139"/>
      <c r="BH1796" s="139"/>
    </row>
    <row r="1797" spans="2:60" s="11" customFormat="1" ht="20.100000000000001" customHeight="1">
      <c r="B1797" s="1360"/>
      <c r="C1797" s="1389"/>
      <c r="D1797" s="9584" t="s">
        <v>1286</v>
      </c>
      <c r="E1797" s="9585"/>
      <c r="F1797" s="105" t="s">
        <v>1018</v>
      </c>
      <c r="G1797" s="777"/>
      <c r="H1797" s="1223"/>
      <c r="I1797" s="9584" t="s">
        <v>1287</v>
      </c>
      <c r="J1797" s="9585"/>
      <c r="K1797" s="285" t="s">
        <v>1020</v>
      </c>
      <c r="L1797" s="5653">
        <f>IF(COUNTBLANK(L1798:L1803)&gt;0,"미취합법인有",SUM(L1798:L1803))</f>
        <v>8320016.5800000001</v>
      </c>
      <c r="M1797" s="5657"/>
      <c r="N1797" s="5654">
        <f>IF(COUNTBLANK(N1798:N1803)&gt;0,"미취합법인有",SUM(N1798:N1803))</f>
        <v>10045918.49</v>
      </c>
      <c r="O1797" s="5663"/>
      <c r="P1797" s="5781" t="str">
        <f>IF(COUNTBLANK(P1798:P1803)&gt;0,"미취합법인有",SUM(P1798:P1803))</f>
        <v>미취합법인有</v>
      </c>
      <c r="Q1797" s="785"/>
      <c r="R1797" s="2468"/>
      <c r="S1797" s="276"/>
      <c r="T1797" s="1715" t="s">
        <v>206</v>
      </c>
      <c r="U1797" s="547"/>
      <c r="V1797" s="547"/>
      <c r="W1797" s="299" t="s">
        <v>193</v>
      </c>
      <c r="X1797" s="277" t="s">
        <v>1244</v>
      </c>
      <c r="Y1797" s="265"/>
      <c r="Z1797" s="982"/>
      <c r="AA1797" s="6301"/>
      <c r="AB1797" s="139"/>
      <c r="AC1797" s="139"/>
      <c r="AD1797" s="139"/>
      <c r="AE1797" s="139"/>
      <c r="AF1797" s="139"/>
      <c r="AG1797" s="139"/>
      <c r="AH1797" s="139"/>
      <c r="AI1797" s="139"/>
      <c r="AJ1797" s="139"/>
      <c r="AK1797" s="139"/>
      <c r="AL1797" s="139"/>
      <c r="AM1797" s="139"/>
      <c r="AN1797" s="139"/>
      <c r="AO1797" s="139"/>
      <c r="AP1797" s="139"/>
      <c r="AQ1797" s="139"/>
      <c r="AR1797" s="139"/>
      <c r="AS1797" s="139"/>
      <c r="AT1797" s="139"/>
      <c r="AU1797" s="139"/>
      <c r="AV1797" s="139"/>
      <c r="AW1797" s="139"/>
      <c r="AX1797" s="139"/>
      <c r="AY1797" s="139"/>
      <c r="AZ1797" s="139"/>
      <c r="BA1797" s="139"/>
      <c r="BB1797" s="139"/>
      <c r="BC1797" s="139"/>
      <c r="BD1797" s="139"/>
      <c r="BE1797" s="139"/>
      <c r="BF1797" s="139"/>
      <c r="BG1797" s="139"/>
      <c r="BH1797" s="139"/>
    </row>
    <row r="1798" spans="2:60" s="11" customFormat="1" ht="20.100000000000001" customHeight="1">
      <c r="B1798" s="1360"/>
      <c r="C1798" s="614"/>
      <c r="D1798" s="9598" t="s">
        <v>134</v>
      </c>
      <c r="E1798" s="9600"/>
      <c r="F1798" s="105" t="s">
        <v>1018</v>
      </c>
      <c r="G1798" s="666"/>
      <c r="H1798" s="666"/>
      <c r="I1798" s="9579" t="s">
        <v>135</v>
      </c>
      <c r="J1798" s="9581"/>
      <c r="K1798" s="285" t="s">
        <v>1020</v>
      </c>
      <c r="L1798" s="6395">
        <v>4213425.58</v>
      </c>
      <c r="M1798" s="5719" t="s">
        <v>369</v>
      </c>
      <c r="N1798" s="6123">
        <v>5186674.99</v>
      </c>
      <c r="O1798" s="5720" t="s">
        <v>369</v>
      </c>
      <c r="P1798" s="5717">
        <v>5650493.25</v>
      </c>
      <c r="Q1798" s="5717"/>
      <c r="R1798" s="2483"/>
      <c r="S1798" s="544"/>
      <c r="T1798" s="545"/>
      <c r="U1798" s="546"/>
      <c r="V1798" s="547"/>
      <c r="W1798" s="299" t="s">
        <v>193</v>
      </c>
      <c r="X1798" s="277"/>
      <c r="Y1798" s="277"/>
      <c r="Z1798" s="187"/>
      <c r="AA1798" s="6301"/>
      <c r="AB1798" s="139"/>
      <c r="AC1798" s="139"/>
      <c r="AD1798" s="139"/>
      <c r="AE1798" s="139"/>
      <c r="AF1798" s="139"/>
      <c r="AG1798" s="139"/>
      <c r="AH1798" s="139"/>
      <c r="AI1798" s="139"/>
      <c r="AJ1798" s="139"/>
      <c r="AK1798" s="139"/>
      <c r="AL1798" s="139"/>
      <c r="AM1798" s="139"/>
      <c r="AN1798" s="139"/>
      <c r="AO1798" s="139"/>
      <c r="AP1798" s="139"/>
      <c r="AQ1798" s="139"/>
      <c r="AR1798" s="139"/>
      <c r="AS1798" s="139"/>
      <c r="AT1798" s="139"/>
      <c r="AU1798" s="139"/>
      <c r="AV1798" s="139"/>
      <c r="AW1798" s="139"/>
      <c r="AX1798" s="139"/>
      <c r="AY1798" s="139"/>
      <c r="AZ1798" s="139"/>
      <c r="BA1798" s="139"/>
      <c r="BB1798" s="139"/>
      <c r="BC1798" s="139"/>
      <c r="BD1798" s="139"/>
      <c r="BE1798" s="139"/>
      <c r="BF1798" s="139"/>
      <c r="BG1798" s="139"/>
      <c r="BH1798" s="139"/>
    </row>
    <row r="1799" spans="2:60" s="11" customFormat="1" ht="20.100000000000001" customHeight="1">
      <c r="B1799" s="1360"/>
      <c r="C1799" s="5598"/>
      <c r="D1799" s="9598" t="s">
        <v>137</v>
      </c>
      <c r="E1799" s="9600"/>
      <c r="F1799" s="105" t="s">
        <v>1018</v>
      </c>
      <c r="G1799" s="666"/>
      <c r="H1799" s="666"/>
      <c r="I1799" s="9579" t="s">
        <v>138</v>
      </c>
      <c r="J1799" s="9581"/>
      <c r="K1799" s="285" t="s">
        <v>1020</v>
      </c>
      <c r="L1799" s="5705">
        <v>458964</v>
      </c>
      <c r="M1799" s="5719"/>
      <c r="N1799" s="5730">
        <v>539220</v>
      </c>
      <c r="O1799" s="5720"/>
      <c r="P1799" s="6426"/>
      <c r="Q1799" s="5717"/>
      <c r="R1799" s="2483"/>
      <c r="S1799" s="544"/>
      <c r="T1799" s="545"/>
      <c r="U1799" s="546"/>
      <c r="V1799" s="547"/>
      <c r="W1799" s="299" t="s">
        <v>193</v>
      </c>
      <c r="X1799" s="277"/>
      <c r="Y1799" s="277"/>
      <c r="Z1799" s="187"/>
      <c r="AA1799" s="6301"/>
      <c r="AB1799" s="139" t="s">
        <v>1295</v>
      </c>
      <c r="AC1799" s="139"/>
      <c r="AD1799" s="139"/>
      <c r="AE1799" s="139"/>
      <c r="AF1799" s="139"/>
      <c r="AG1799" s="139"/>
      <c r="AH1799" s="139"/>
      <c r="AI1799" s="139"/>
      <c r="AJ1799" s="139"/>
      <c r="AK1799" s="139"/>
      <c r="AL1799" s="139"/>
      <c r="AM1799" s="139"/>
      <c r="AN1799" s="139"/>
      <c r="AO1799" s="139"/>
      <c r="AP1799" s="139"/>
      <c r="AQ1799" s="139"/>
      <c r="AR1799" s="139"/>
      <c r="AS1799" s="139"/>
      <c r="AT1799" s="139"/>
      <c r="AU1799" s="139"/>
      <c r="AV1799" s="139"/>
      <c r="AW1799" s="139"/>
      <c r="AX1799" s="139"/>
      <c r="AY1799" s="139"/>
      <c r="AZ1799" s="139"/>
      <c r="BA1799" s="139"/>
      <c r="BB1799" s="139"/>
      <c r="BC1799" s="139"/>
      <c r="BD1799" s="139"/>
      <c r="BE1799" s="139"/>
      <c r="BF1799" s="139"/>
      <c r="BG1799" s="139"/>
      <c r="BH1799" s="139"/>
    </row>
    <row r="1800" spans="2:60" s="11" customFormat="1" ht="20.100000000000001" customHeight="1">
      <c r="B1800" s="1360"/>
      <c r="C1800" s="5598"/>
      <c r="D1800" s="9598" t="s">
        <v>140</v>
      </c>
      <c r="E1800" s="9600"/>
      <c r="F1800" s="105" t="s">
        <v>1018</v>
      </c>
      <c r="G1800" s="666"/>
      <c r="H1800" s="666"/>
      <c r="I1800" s="9582" t="s">
        <v>141</v>
      </c>
      <c r="J1800" s="9583"/>
      <c r="K1800" s="285" t="s">
        <v>1020</v>
      </c>
      <c r="L1800" s="6395">
        <v>2200752</v>
      </c>
      <c r="M1800" s="5718"/>
      <c r="N1800" s="6396">
        <v>1897992</v>
      </c>
      <c r="O1800" s="5729"/>
      <c r="P1800" s="6396">
        <v>1566000</v>
      </c>
      <c r="Q1800" s="5717"/>
      <c r="R1800" s="2483"/>
      <c r="S1800" s="544"/>
      <c r="T1800" s="545"/>
      <c r="U1800" s="546"/>
      <c r="V1800" s="547"/>
      <c r="W1800" s="299" t="s">
        <v>193</v>
      </c>
      <c r="X1800" s="277"/>
      <c r="Y1800" s="277"/>
      <c r="Z1800" s="187"/>
      <c r="AA1800" s="6301"/>
      <c r="AB1800" s="139"/>
      <c r="AC1800" s="139"/>
      <c r="AD1800" s="139"/>
      <c r="AE1800" s="139"/>
      <c r="AF1800" s="139"/>
      <c r="AG1800" s="139"/>
      <c r="AH1800" s="139"/>
      <c r="AI1800" s="139"/>
      <c r="AJ1800" s="139"/>
      <c r="AK1800" s="139"/>
      <c r="AL1800" s="139"/>
      <c r="AM1800" s="139"/>
      <c r="AN1800" s="139"/>
      <c r="AO1800" s="139"/>
      <c r="AP1800" s="139"/>
      <c r="AQ1800" s="139"/>
      <c r="AR1800" s="139"/>
      <c r="AS1800" s="139"/>
      <c r="AT1800" s="139"/>
      <c r="AU1800" s="139"/>
      <c r="AV1800" s="139"/>
      <c r="AW1800" s="139"/>
      <c r="AX1800" s="139"/>
      <c r="AY1800" s="139"/>
      <c r="AZ1800" s="139"/>
      <c r="BA1800" s="139"/>
      <c r="BB1800" s="139"/>
      <c r="BC1800" s="139"/>
      <c r="BD1800" s="139"/>
      <c r="BE1800" s="139"/>
      <c r="BF1800" s="139"/>
      <c r="BG1800" s="139"/>
      <c r="BH1800" s="139"/>
    </row>
    <row r="1801" spans="2:60" s="11" customFormat="1" ht="20.100000000000001" customHeight="1">
      <c r="B1801" s="1360"/>
      <c r="C1801" s="614"/>
      <c r="D1801" s="9598" t="s">
        <v>143</v>
      </c>
      <c r="E1801" s="9600"/>
      <c r="F1801" s="105" t="s">
        <v>1018</v>
      </c>
      <c r="G1801" s="666"/>
      <c r="H1801" s="666"/>
      <c r="I1801" s="9582" t="s">
        <v>144</v>
      </c>
      <c r="J1801" s="9583"/>
      <c r="K1801" s="285" t="s">
        <v>1020</v>
      </c>
      <c r="L1801" s="5789">
        <v>1446830</v>
      </c>
      <c r="M1801" s="5718"/>
      <c r="N1801" s="6010">
        <v>2421919</v>
      </c>
      <c r="O1801" s="5716"/>
      <c r="P1801" s="6008">
        <v>2672521</v>
      </c>
      <c r="Q1801" s="5717"/>
      <c r="R1801" s="2483"/>
      <c r="S1801" s="544"/>
      <c r="T1801" s="545"/>
      <c r="U1801" s="546"/>
      <c r="V1801" s="547"/>
      <c r="W1801" s="299" t="s">
        <v>193</v>
      </c>
      <c r="X1801" s="277"/>
      <c r="Y1801" s="277"/>
      <c r="Z1801" s="187"/>
      <c r="AA1801" s="6303" t="s">
        <v>1299</v>
      </c>
      <c r="AB1801" s="139"/>
      <c r="AC1801" s="139"/>
      <c r="AD1801" s="139"/>
      <c r="AE1801" s="139"/>
      <c r="AF1801" s="139"/>
      <c r="AG1801" s="139"/>
      <c r="AH1801" s="139"/>
      <c r="AI1801" s="139"/>
      <c r="AJ1801" s="139"/>
      <c r="AK1801" s="139"/>
      <c r="AL1801" s="139"/>
      <c r="AM1801" s="139"/>
      <c r="AN1801" s="139"/>
      <c r="AO1801" s="139"/>
      <c r="AP1801" s="139"/>
      <c r="AQ1801" s="139"/>
      <c r="AR1801" s="139"/>
      <c r="AS1801" s="139"/>
      <c r="AT1801" s="139"/>
      <c r="AU1801" s="139"/>
      <c r="AV1801" s="139"/>
      <c r="AW1801" s="139"/>
      <c r="AX1801" s="139"/>
      <c r="AY1801" s="139"/>
      <c r="AZ1801" s="139"/>
      <c r="BA1801" s="139"/>
      <c r="BB1801" s="139"/>
      <c r="BC1801" s="139"/>
      <c r="BD1801" s="139"/>
      <c r="BE1801" s="139"/>
      <c r="BF1801" s="139"/>
      <c r="BG1801" s="139"/>
      <c r="BH1801" s="139"/>
    </row>
    <row r="1802" spans="2:60" s="11" customFormat="1" ht="20.100000000000001" customHeight="1">
      <c r="B1802" s="1360"/>
      <c r="C1802" s="5598"/>
      <c r="D1802" s="9598" t="s">
        <v>631</v>
      </c>
      <c r="E1802" s="9600"/>
      <c r="F1802" s="105" t="s">
        <v>1018</v>
      </c>
      <c r="G1802" s="666"/>
      <c r="H1802" s="666"/>
      <c r="I1802" s="9620" t="s">
        <v>147</v>
      </c>
      <c r="J1802" s="9621"/>
      <c r="K1802" s="674" t="s">
        <v>1020</v>
      </c>
      <c r="L1802" s="5789">
        <v>0</v>
      </c>
      <c r="M1802" s="5718" t="s">
        <v>1300</v>
      </c>
      <c r="N1802" s="6010">
        <v>0</v>
      </c>
      <c r="O1802" s="5716" t="s">
        <v>1300</v>
      </c>
      <c r="P1802" s="6008">
        <v>0</v>
      </c>
      <c r="Q1802" s="5878"/>
      <c r="R1802" s="2483"/>
      <c r="S1802" s="544"/>
      <c r="T1802" s="545"/>
      <c r="U1802" s="546"/>
      <c r="V1802" s="547"/>
      <c r="W1802" s="299" t="s">
        <v>193</v>
      </c>
      <c r="X1802" s="277"/>
      <c r="Y1802" s="277"/>
      <c r="Z1802" s="187"/>
      <c r="AA1802" s="6301"/>
      <c r="AB1802" s="139"/>
      <c r="AC1802" s="139"/>
      <c r="AD1802" s="139"/>
      <c r="AE1802" s="139"/>
      <c r="AF1802" s="139"/>
      <c r="AG1802" s="139"/>
      <c r="AH1802" s="139"/>
      <c r="AI1802" s="139"/>
      <c r="AJ1802" s="139"/>
      <c r="AK1802" s="139"/>
      <c r="AL1802" s="139"/>
      <c r="AM1802" s="139"/>
      <c r="AN1802" s="139"/>
      <c r="AO1802" s="139"/>
      <c r="AP1802" s="139"/>
      <c r="AQ1802" s="139"/>
      <c r="AR1802" s="139"/>
      <c r="AS1802" s="139"/>
      <c r="AT1802" s="139"/>
      <c r="AU1802" s="139"/>
      <c r="AV1802" s="139"/>
      <c r="AW1802" s="139"/>
      <c r="AX1802" s="139"/>
      <c r="AY1802" s="139"/>
      <c r="AZ1802" s="139"/>
      <c r="BA1802" s="139"/>
      <c r="BB1802" s="139"/>
      <c r="BC1802" s="139"/>
      <c r="BD1802" s="139"/>
      <c r="BE1802" s="139"/>
      <c r="BF1802" s="139"/>
      <c r="BG1802" s="139"/>
      <c r="BH1802" s="139"/>
    </row>
    <row r="1803" spans="2:60" s="11" customFormat="1" ht="20.100000000000001" customHeight="1">
      <c r="B1803" s="1360"/>
      <c r="C1803" s="5598"/>
      <c r="D1803" s="9598" t="s">
        <v>633</v>
      </c>
      <c r="E1803" s="9600"/>
      <c r="F1803" s="105" t="s">
        <v>1018</v>
      </c>
      <c r="G1803" s="666"/>
      <c r="H1803" s="666"/>
      <c r="I1803" s="9620" t="s">
        <v>150</v>
      </c>
      <c r="J1803" s="9621"/>
      <c r="K1803" s="674" t="s">
        <v>1020</v>
      </c>
      <c r="L1803" s="6392">
        <v>45</v>
      </c>
      <c r="M1803" s="5718"/>
      <c r="N1803" s="6394">
        <v>112.5</v>
      </c>
      <c r="O1803" s="5718"/>
      <c r="P1803" s="6394">
        <v>225</v>
      </c>
      <c r="Q1803" s="5878"/>
      <c r="R1803" s="2483"/>
      <c r="S1803" s="544"/>
      <c r="T1803" s="545"/>
      <c r="U1803" s="546"/>
      <c r="V1803" s="547"/>
      <c r="W1803" s="299" t="s">
        <v>193</v>
      </c>
      <c r="X1803" s="277"/>
      <c r="Y1803" s="277"/>
      <c r="Z1803" s="187"/>
      <c r="AA1803" s="6301"/>
      <c r="AB1803" s="6403" t="s">
        <v>1301</v>
      </c>
      <c r="AC1803" s="139"/>
      <c r="AD1803" s="139"/>
      <c r="AE1803" s="139"/>
      <c r="AF1803" s="139"/>
      <c r="AG1803" s="139"/>
      <c r="AH1803" s="139"/>
      <c r="AI1803" s="139"/>
      <c r="AJ1803" s="139"/>
      <c r="AK1803" s="139"/>
      <c r="AL1803" s="139"/>
      <c r="AM1803" s="139"/>
      <c r="AN1803" s="139"/>
      <c r="AO1803" s="139"/>
      <c r="AP1803" s="139"/>
      <c r="AQ1803" s="139"/>
      <c r="AR1803" s="139"/>
      <c r="AS1803" s="139"/>
      <c r="AT1803" s="139"/>
      <c r="AU1803" s="139"/>
      <c r="AV1803" s="139"/>
      <c r="AW1803" s="139"/>
      <c r="AX1803" s="139"/>
      <c r="AY1803" s="139"/>
      <c r="AZ1803" s="139"/>
      <c r="BA1803" s="139"/>
      <c r="BB1803" s="139"/>
      <c r="BC1803" s="139"/>
      <c r="BD1803" s="139"/>
      <c r="BE1803" s="139"/>
      <c r="BF1803" s="139"/>
      <c r="BG1803" s="139"/>
      <c r="BH1803" s="139"/>
    </row>
    <row r="1804" spans="2:60" s="11" customFormat="1" ht="20.100000000000001" customHeight="1">
      <c r="B1804" s="1360"/>
      <c r="C1804" s="9656" t="s">
        <v>1325</v>
      </c>
      <c r="D1804" s="9587"/>
      <c r="E1804" s="9588"/>
      <c r="F1804" s="105" t="s">
        <v>557</v>
      </c>
      <c r="G1804" s="961"/>
      <c r="H1804" s="9586" t="s">
        <v>1326</v>
      </c>
      <c r="I1804" s="9587"/>
      <c r="J1804" s="9588"/>
      <c r="K1804" s="105" t="s">
        <v>559</v>
      </c>
      <c r="L1804" s="5653" t="str">
        <f>IF(COUNTBLANK(L1805:L1810)&gt;0,"미취합법인有",SUM(L1805:L1810))</f>
        <v>미취합법인有</v>
      </c>
      <c r="M1804" s="5657"/>
      <c r="N1804" s="5654" t="str">
        <f>IF(COUNTBLANK(N1805:N1810)&gt;0,"미취합법인有",SUM(N1805:N1810))</f>
        <v>미취합법인有</v>
      </c>
      <c r="O1804" s="5663"/>
      <c r="P1804" s="5781" t="str">
        <f>IF(COUNTBLANK(P1805:P1810)&gt;0,"미취합법인有",SUM(P1805:P1810))</f>
        <v>미취합법인有</v>
      </c>
      <c r="Q1804" s="785"/>
      <c r="R1804" s="2468" t="s">
        <v>1327</v>
      </c>
      <c r="S1804" s="276" t="s">
        <v>1328</v>
      </c>
      <c r="T1804" s="109" t="s">
        <v>206</v>
      </c>
      <c r="U1804" s="547"/>
      <c r="V1804" s="547"/>
      <c r="W1804" s="986"/>
      <c r="X1804" s="277" t="s">
        <v>1329</v>
      </c>
      <c r="Y1804" s="265"/>
      <c r="Z1804" s="982"/>
      <c r="AA1804" s="6301"/>
      <c r="AB1804" s="139"/>
      <c r="AC1804" s="139"/>
      <c r="AD1804" s="139"/>
      <c r="AE1804" s="139"/>
      <c r="AF1804" s="139"/>
      <c r="AG1804" s="139"/>
      <c r="AH1804" s="139"/>
      <c r="AI1804" s="139"/>
      <c r="AJ1804" s="139"/>
      <c r="AK1804" s="139"/>
      <c r="AL1804" s="139"/>
      <c r="AM1804" s="139"/>
      <c r="AN1804" s="139"/>
      <c r="AO1804" s="139"/>
      <c r="AP1804" s="139"/>
      <c r="AQ1804" s="139"/>
      <c r="AR1804" s="139"/>
      <c r="AS1804" s="139"/>
      <c r="AT1804" s="139"/>
      <c r="AU1804" s="139"/>
      <c r="AV1804" s="139"/>
      <c r="AW1804" s="139"/>
      <c r="AX1804" s="139"/>
      <c r="AY1804" s="139"/>
      <c r="AZ1804" s="139"/>
      <c r="BA1804" s="139"/>
      <c r="BB1804" s="139"/>
      <c r="BC1804" s="139"/>
      <c r="BD1804" s="139"/>
      <c r="BE1804" s="139"/>
      <c r="BF1804" s="139"/>
      <c r="BG1804" s="139"/>
      <c r="BH1804" s="139"/>
    </row>
    <row r="1805" spans="2:60" s="11" customFormat="1" ht="20.100000000000001" customHeight="1">
      <c r="B1805" s="1360"/>
      <c r="C1805" s="9647" t="s">
        <v>134</v>
      </c>
      <c r="D1805" s="9648"/>
      <c r="E1805" s="9649"/>
      <c r="F1805" s="105" t="s">
        <v>557</v>
      </c>
      <c r="G1805" s="666"/>
      <c r="H1805" s="9579" t="s">
        <v>135</v>
      </c>
      <c r="I1805" s="9580"/>
      <c r="J1805" s="9581"/>
      <c r="K1805" s="105" t="s">
        <v>559</v>
      </c>
      <c r="L1805" s="5594">
        <v>0</v>
      </c>
      <c r="M1805" s="5671"/>
      <c r="N1805" s="5724">
        <v>0</v>
      </c>
      <c r="O1805" s="5680"/>
      <c r="P1805" s="5854">
        <v>0</v>
      </c>
      <c r="Q1805" s="5678"/>
      <c r="R1805" s="2468"/>
      <c r="S1805" s="544"/>
      <c r="T1805" s="545"/>
      <c r="U1805" s="546"/>
      <c r="V1805" s="547"/>
      <c r="W1805" s="548"/>
      <c r="X1805" s="277"/>
      <c r="Y1805" s="277"/>
      <c r="Z1805" s="187"/>
      <c r="AA1805" s="6301"/>
      <c r="AB1805" s="139"/>
      <c r="AC1805" s="139"/>
      <c r="AD1805" s="139"/>
      <c r="AE1805" s="139"/>
      <c r="AF1805" s="139"/>
      <c r="AG1805" s="139"/>
      <c r="AH1805" s="139"/>
      <c r="AI1805" s="139"/>
      <c r="AJ1805" s="139"/>
      <c r="AK1805" s="139"/>
      <c r="AL1805" s="139"/>
      <c r="AM1805" s="139"/>
      <c r="AN1805" s="139"/>
      <c r="AO1805" s="139"/>
      <c r="AP1805" s="139"/>
      <c r="AQ1805" s="139"/>
      <c r="AR1805" s="139"/>
      <c r="AS1805" s="139"/>
      <c r="AT1805" s="139"/>
      <c r="AU1805" s="139"/>
      <c r="AV1805" s="139"/>
      <c r="AW1805" s="139"/>
      <c r="AX1805" s="139"/>
      <c r="AY1805" s="139"/>
      <c r="AZ1805" s="139"/>
      <c r="BA1805" s="139"/>
      <c r="BB1805" s="139"/>
      <c r="BC1805" s="139"/>
      <c r="BD1805" s="139"/>
      <c r="BE1805" s="139"/>
      <c r="BF1805" s="139"/>
      <c r="BG1805" s="139"/>
      <c r="BH1805" s="139"/>
    </row>
    <row r="1806" spans="2:60" s="11" customFormat="1" ht="20.100000000000001" customHeight="1">
      <c r="B1806" s="1360"/>
      <c r="C1806" s="9647" t="s">
        <v>137</v>
      </c>
      <c r="D1806" s="9648"/>
      <c r="E1806" s="9649"/>
      <c r="F1806" s="105" t="s">
        <v>557</v>
      </c>
      <c r="G1806" s="666"/>
      <c r="H1806" s="9579" t="s">
        <v>138</v>
      </c>
      <c r="I1806" s="9580"/>
      <c r="J1806" s="9581"/>
      <c r="K1806" s="105" t="s">
        <v>559</v>
      </c>
      <c r="L1806" s="5594"/>
      <c r="M1806" s="5671"/>
      <c r="N1806" s="5724">
        <v>0</v>
      </c>
      <c r="O1806" s="5680"/>
      <c r="P1806" s="5725">
        <v>0</v>
      </c>
      <c r="Q1806" s="5678"/>
      <c r="R1806" s="2468"/>
      <c r="S1806" s="544"/>
      <c r="T1806" s="545"/>
      <c r="U1806" s="546"/>
      <c r="V1806" s="547"/>
      <c r="W1806" s="548"/>
      <c r="X1806" s="277"/>
      <c r="Y1806" s="277"/>
      <c r="Z1806" s="187"/>
      <c r="AA1806" s="6301"/>
      <c r="AB1806" s="139"/>
      <c r="AC1806" s="139"/>
      <c r="AD1806" s="139"/>
      <c r="AE1806" s="139"/>
      <c r="AF1806" s="139"/>
      <c r="AG1806" s="139"/>
      <c r="AH1806" s="139"/>
      <c r="AI1806" s="139"/>
      <c r="AJ1806" s="139"/>
      <c r="AK1806" s="139"/>
      <c r="AL1806" s="139"/>
      <c r="AM1806" s="139"/>
      <c r="AN1806" s="139"/>
      <c r="AO1806" s="139"/>
      <c r="AP1806" s="139"/>
      <c r="AQ1806" s="139"/>
      <c r="AR1806" s="139"/>
      <c r="AS1806" s="139"/>
      <c r="AT1806" s="139"/>
      <c r="AU1806" s="139"/>
      <c r="AV1806" s="139"/>
      <c r="AW1806" s="139"/>
      <c r="AX1806" s="139"/>
      <c r="AY1806" s="139"/>
      <c r="AZ1806" s="139"/>
      <c r="BA1806" s="139"/>
      <c r="BB1806" s="139"/>
      <c r="BC1806" s="139"/>
      <c r="BD1806" s="139"/>
      <c r="BE1806" s="139"/>
      <c r="BF1806" s="139"/>
      <c r="BG1806" s="139"/>
      <c r="BH1806" s="139"/>
    </row>
    <row r="1807" spans="2:60" s="11" customFormat="1" ht="20.100000000000001" customHeight="1">
      <c r="B1807" s="1360"/>
      <c r="C1807" s="9647" t="s">
        <v>140</v>
      </c>
      <c r="D1807" s="9648"/>
      <c r="E1807" s="9649"/>
      <c r="F1807" s="105" t="s">
        <v>557</v>
      </c>
      <c r="G1807" s="666"/>
      <c r="H1807" s="9579" t="s">
        <v>141</v>
      </c>
      <c r="I1807" s="9580"/>
      <c r="J1807" s="9581"/>
      <c r="K1807" s="105" t="s">
        <v>559</v>
      </c>
      <c r="L1807" s="5594">
        <v>0</v>
      </c>
      <c r="M1807" s="5671"/>
      <c r="N1807" s="5724">
        <v>0</v>
      </c>
      <c r="O1807" s="5680"/>
      <c r="P1807" s="5725">
        <v>0</v>
      </c>
      <c r="Q1807" s="5678"/>
      <c r="R1807" s="2468"/>
      <c r="S1807" s="544"/>
      <c r="T1807" s="545"/>
      <c r="U1807" s="546"/>
      <c r="V1807" s="547"/>
      <c r="W1807" s="548"/>
      <c r="X1807" s="277"/>
      <c r="Y1807" s="277"/>
      <c r="Z1807" s="187"/>
      <c r="AA1807" s="6301"/>
      <c r="AB1807" s="139"/>
      <c r="AC1807" s="1377" t="s">
        <v>1330</v>
      </c>
      <c r="AD1807" s="139"/>
      <c r="AE1807" s="139"/>
      <c r="AF1807" s="139"/>
      <c r="AG1807" s="139"/>
      <c r="AH1807" s="139"/>
      <c r="AI1807" s="139"/>
      <c r="AJ1807" s="139"/>
      <c r="AK1807" s="139"/>
      <c r="AL1807" s="139"/>
      <c r="AM1807" s="139"/>
      <c r="AN1807" s="139"/>
      <c r="AO1807" s="139"/>
      <c r="AP1807" s="139"/>
      <c r="AQ1807" s="139"/>
      <c r="AR1807" s="139"/>
      <c r="AS1807" s="139"/>
      <c r="AT1807" s="139"/>
      <c r="AU1807" s="139"/>
      <c r="AV1807" s="139"/>
      <c r="AW1807" s="139"/>
      <c r="AX1807" s="139"/>
      <c r="AY1807" s="139"/>
      <c r="AZ1807" s="139"/>
      <c r="BA1807" s="139"/>
      <c r="BB1807" s="139"/>
      <c r="BC1807" s="139"/>
      <c r="BD1807" s="139"/>
      <c r="BE1807" s="139"/>
      <c r="BF1807" s="139"/>
      <c r="BG1807" s="139"/>
      <c r="BH1807" s="139"/>
    </row>
    <row r="1808" spans="2:60" s="11" customFormat="1" ht="20.100000000000001" customHeight="1">
      <c r="B1808" s="1360"/>
      <c r="C1808" s="9647" t="s">
        <v>143</v>
      </c>
      <c r="D1808" s="9648"/>
      <c r="E1808" s="9649"/>
      <c r="F1808" s="105" t="s">
        <v>557</v>
      </c>
      <c r="G1808" s="666"/>
      <c r="H1808" s="9579" t="s">
        <v>144</v>
      </c>
      <c r="I1808" s="9580"/>
      <c r="J1808" s="9581"/>
      <c r="K1808" s="105" t="s">
        <v>559</v>
      </c>
      <c r="L1808" s="5594"/>
      <c r="M1808" s="5671"/>
      <c r="N1808" s="5724"/>
      <c r="O1808" s="5680"/>
      <c r="P1808" s="5725"/>
      <c r="Q1808" s="5678"/>
      <c r="R1808" s="2468"/>
      <c r="S1808" s="544"/>
      <c r="T1808" s="545"/>
      <c r="U1808" s="546"/>
      <c r="V1808" s="547"/>
      <c r="W1808" s="548"/>
      <c r="X1808" s="277"/>
      <c r="Y1808" s="277"/>
      <c r="Z1808" s="187"/>
      <c r="AA1808" s="6301"/>
      <c r="AB1808" s="139"/>
      <c r="AC1808" s="1377" t="s">
        <v>1330</v>
      </c>
      <c r="AD1808" s="139"/>
      <c r="AE1808" s="139"/>
      <c r="AF1808" s="139"/>
      <c r="AG1808" s="139"/>
      <c r="AH1808" s="139"/>
      <c r="AI1808" s="139"/>
      <c r="AJ1808" s="139"/>
      <c r="AK1808" s="139"/>
      <c r="AL1808" s="139"/>
      <c r="AM1808" s="139"/>
      <c r="AN1808" s="139"/>
      <c r="AO1808" s="139"/>
      <c r="AP1808" s="139"/>
      <c r="AQ1808" s="139"/>
      <c r="AR1808" s="139"/>
      <c r="AS1808" s="139"/>
      <c r="AT1808" s="139"/>
      <c r="AU1808" s="139"/>
      <c r="AV1808" s="139"/>
      <c r="AW1808" s="139"/>
      <c r="AX1808" s="139"/>
      <c r="AY1808" s="139"/>
      <c r="AZ1808" s="139"/>
      <c r="BA1808" s="139"/>
      <c r="BB1808" s="139"/>
      <c r="BC1808" s="139"/>
      <c r="BD1808" s="139"/>
      <c r="BE1808" s="139"/>
      <c r="BF1808" s="139"/>
      <c r="BG1808" s="139"/>
      <c r="BH1808" s="139"/>
    </row>
    <row r="1809" spans="2:60" s="11" customFormat="1" ht="20.100000000000001" customHeight="1">
      <c r="B1809" s="1360"/>
      <c r="C1809" s="9647" t="s">
        <v>631</v>
      </c>
      <c r="D1809" s="9648"/>
      <c r="E1809" s="9649"/>
      <c r="F1809" s="105" t="s">
        <v>557</v>
      </c>
      <c r="G1809" s="666"/>
      <c r="H1809" s="9579" t="s">
        <v>147</v>
      </c>
      <c r="I1809" s="9580"/>
      <c r="J1809" s="9581"/>
      <c r="K1809" s="105" t="s">
        <v>559</v>
      </c>
      <c r="L1809" s="5594"/>
      <c r="M1809" s="5671"/>
      <c r="N1809" s="5724"/>
      <c r="O1809" s="5680"/>
      <c r="P1809" s="5725"/>
      <c r="Q1809" s="5678"/>
      <c r="R1809" s="2468"/>
      <c r="S1809" s="544"/>
      <c r="T1809" s="545"/>
      <c r="U1809" s="546"/>
      <c r="V1809" s="547"/>
      <c r="W1809" s="548"/>
      <c r="X1809" s="277"/>
      <c r="Y1809" s="277"/>
      <c r="Z1809" s="187"/>
      <c r="AA1809" s="6301"/>
      <c r="AB1809" s="139"/>
      <c r="AC1809" s="1377" t="s">
        <v>1330</v>
      </c>
      <c r="AD1809" s="139"/>
      <c r="AE1809" s="139"/>
      <c r="AF1809" s="139"/>
      <c r="AG1809" s="139"/>
      <c r="AH1809" s="139"/>
      <c r="AI1809" s="139"/>
      <c r="AJ1809" s="139"/>
      <c r="AK1809" s="139"/>
      <c r="AL1809" s="139"/>
      <c r="AM1809" s="139"/>
      <c r="AN1809" s="139"/>
      <c r="AO1809" s="139"/>
      <c r="AP1809" s="139"/>
      <c r="AQ1809" s="139"/>
      <c r="AR1809" s="139"/>
      <c r="AS1809" s="139"/>
      <c r="AT1809" s="139"/>
      <c r="AU1809" s="139"/>
      <c r="AV1809" s="139"/>
      <c r="AW1809" s="139"/>
      <c r="AX1809" s="139"/>
      <c r="AY1809" s="139"/>
      <c r="AZ1809" s="139"/>
      <c r="BA1809" s="139"/>
      <c r="BB1809" s="139"/>
      <c r="BC1809" s="139"/>
      <c r="BD1809" s="139"/>
      <c r="BE1809" s="139"/>
      <c r="BF1809" s="139"/>
      <c r="BG1809" s="139"/>
      <c r="BH1809" s="139"/>
    </row>
    <row r="1810" spans="2:60" s="11" customFormat="1" ht="20.100000000000001" customHeight="1">
      <c r="B1810" s="1360"/>
      <c r="C1810" s="9647" t="s">
        <v>633</v>
      </c>
      <c r="D1810" s="9648"/>
      <c r="E1810" s="9649"/>
      <c r="F1810" s="105" t="s">
        <v>557</v>
      </c>
      <c r="G1810" s="666"/>
      <c r="H1810" s="9579" t="s">
        <v>150</v>
      </c>
      <c r="I1810" s="9580"/>
      <c r="J1810" s="9581"/>
      <c r="K1810" s="105" t="s">
        <v>559</v>
      </c>
      <c r="L1810" s="5594"/>
      <c r="M1810" s="5671"/>
      <c r="N1810" s="5724"/>
      <c r="O1810" s="5671"/>
      <c r="P1810" s="5724"/>
      <c r="Q1810" s="5678"/>
      <c r="R1810" s="2468"/>
      <c r="S1810" s="544"/>
      <c r="T1810" s="545"/>
      <c r="U1810" s="546"/>
      <c r="V1810" s="547"/>
      <c r="W1810" s="548"/>
      <c r="X1810" s="277"/>
      <c r="Y1810" s="277"/>
      <c r="Z1810" s="187"/>
      <c r="AA1810" s="6301"/>
      <c r="AB1810" s="139"/>
      <c r="AC1810" s="1377" t="s">
        <v>1330</v>
      </c>
      <c r="AD1810" s="139"/>
      <c r="AE1810" s="139"/>
      <c r="AF1810" s="139"/>
      <c r="AG1810" s="139"/>
      <c r="AH1810" s="139"/>
      <c r="AI1810" s="139"/>
      <c r="AJ1810" s="139"/>
      <c r="AK1810" s="139"/>
      <c r="AL1810" s="139"/>
      <c r="AM1810" s="139"/>
      <c r="AN1810" s="139"/>
      <c r="AO1810" s="139"/>
      <c r="AP1810" s="139"/>
      <c r="AQ1810" s="139"/>
      <c r="AR1810" s="139"/>
      <c r="AS1810" s="139"/>
      <c r="AT1810" s="139"/>
      <c r="AU1810" s="139"/>
      <c r="AV1810" s="139"/>
      <c r="AW1810" s="139"/>
      <c r="AX1810" s="139"/>
      <c r="AY1810" s="139"/>
      <c r="AZ1810" s="139"/>
      <c r="BA1810" s="139"/>
      <c r="BB1810" s="139"/>
      <c r="BC1810" s="139"/>
      <c r="BD1810" s="139"/>
      <c r="BE1810" s="139"/>
      <c r="BF1810" s="139"/>
      <c r="BG1810" s="139"/>
      <c r="BH1810" s="139"/>
    </row>
    <row r="1811" spans="2:60" s="11" customFormat="1" ht="20.100000000000001" customHeight="1">
      <c r="B1811" s="1360"/>
      <c r="C1811" s="9656" t="s">
        <v>1331</v>
      </c>
      <c r="D1811" s="9587"/>
      <c r="E1811" s="9588"/>
      <c r="F1811" s="105" t="s">
        <v>557</v>
      </c>
      <c r="G1811" s="961"/>
      <c r="H1811" s="9586" t="s">
        <v>1332</v>
      </c>
      <c r="I1811" s="9587"/>
      <c r="J1811" s="9588"/>
      <c r="K1811" s="105" t="s">
        <v>559</v>
      </c>
      <c r="L1811" s="5653" t="str">
        <f>IF(COUNTBLANK(L1812:L1817)&gt;0,"미취합법인有",SUM(L1812:L1817))</f>
        <v>미취합법인有</v>
      </c>
      <c r="M1811" s="5657"/>
      <c r="N1811" s="5654" t="str">
        <f>IF(COUNTBLANK(N1812:N1817)&gt;0,"미취합법인有",SUM(N1812:N1817))</f>
        <v>미취합법인有</v>
      </c>
      <c r="O1811" s="5663"/>
      <c r="P1811" s="5781" t="str">
        <f>IF(COUNTBLANK(P1812:P1817)&gt;0,"미취합법인有",SUM(P1812:P1817))</f>
        <v>미취합법인有</v>
      </c>
      <c r="Q1811" s="785"/>
      <c r="R1811" s="498"/>
      <c r="S1811" s="6050"/>
      <c r="T1811" s="109" t="s">
        <v>206</v>
      </c>
      <c r="U1811" s="547"/>
      <c r="V1811" s="547"/>
      <c r="W1811" s="109"/>
      <c r="X1811" s="277" t="s">
        <v>1277</v>
      </c>
      <c r="Y1811" s="265" t="s">
        <v>1333</v>
      </c>
      <c r="Z1811" s="982"/>
      <c r="AA1811" s="6301"/>
      <c r="AB1811" s="139"/>
      <c r="AC1811" s="139"/>
      <c r="AD1811" s="139"/>
      <c r="AE1811" s="139"/>
      <c r="AF1811" s="139"/>
      <c r="AG1811" s="139"/>
      <c r="AH1811" s="139"/>
      <c r="AI1811" s="139"/>
      <c r="AJ1811" s="139"/>
      <c r="AK1811" s="139"/>
      <c r="AL1811" s="139"/>
      <c r="AM1811" s="139"/>
      <c r="AN1811" s="139"/>
      <c r="AO1811" s="139"/>
      <c r="AP1811" s="139"/>
      <c r="AQ1811" s="139"/>
      <c r="AR1811" s="139"/>
      <c r="AS1811" s="139"/>
      <c r="AT1811" s="139"/>
      <c r="AU1811" s="139"/>
      <c r="AV1811" s="139"/>
      <c r="AW1811" s="139"/>
      <c r="AX1811" s="139"/>
      <c r="AY1811" s="139"/>
      <c r="AZ1811" s="139"/>
      <c r="BA1811" s="139"/>
      <c r="BB1811" s="139"/>
      <c r="BC1811" s="139"/>
      <c r="BD1811" s="139"/>
      <c r="BE1811" s="139"/>
      <c r="BF1811" s="139"/>
      <c r="BG1811" s="139"/>
      <c r="BH1811" s="139"/>
    </row>
    <row r="1812" spans="2:60" s="11" customFormat="1" ht="19.5" customHeight="1">
      <c r="B1812" s="1360"/>
      <c r="C1812" s="9647" t="s">
        <v>134</v>
      </c>
      <c r="D1812" s="9648"/>
      <c r="E1812" s="9649"/>
      <c r="F1812" s="105" t="s">
        <v>557</v>
      </c>
      <c r="G1812" s="666"/>
      <c r="H1812" s="9579" t="s">
        <v>135</v>
      </c>
      <c r="I1812" s="9580"/>
      <c r="J1812" s="9581"/>
      <c r="K1812" s="105" t="s">
        <v>559</v>
      </c>
      <c r="L1812" s="5705"/>
      <c r="M1812" s="5719" t="s">
        <v>369</v>
      </c>
      <c r="N1812" s="5730"/>
      <c r="O1812" s="5720" t="s">
        <v>369</v>
      </c>
      <c r="P1812" s="5717"/>
      <c r="Q1812" s="5678"/>
      <c r="R1812" s="2468"/>
      <c r="S1812" s="6050"/>
      <c r="T1812" s="545"/>
      <c r="U1812" s="546"/>
      <c r="V1812" s="547"/>
      <c r="W1812" s="548"/>
      <c r="X1812" s="277"/>
      <c r="Y1812" s="277"/>
      <c r="Z1812" s="187"/>
      <c r="AA1812" s="6301"/>
      <c r="AB1812" s="139"/>
      <c r="AC1812" s="139"/>
      <c r="AD1812" s="139"/>
      <c r="AE1812" s="139"/>
      <c r="AF1812" s="139"/>
      <c r="AG1812" s="139"/>
      <c r="AH1812" s="139"/>
      <c r="AI1812" s="139"/>
      <c r="AJ1812" s="139"/>
      <c r="AK1812" s="139"/>
      <c r="AL1812" s="139"/>
      <c r="AM1812" s="139"/>
      <c r="AN1812" s="139"/>
      <c r="AO1812" s="139"/>
      <c r="AP1812" s="139"/>
      <c r="AQ1812" s="139"/>
      <c r="AR1812" s="139"/>
      <c r="AS1812" s="139"/>
      <c r="AT1812" s="139"/>
      <c r="AU1812" s="139"/>
      <c r="AV1812" s="139"/>
      <c r="AW1812" s="139"/>
      <c r="AX1812" s="139"/>
      <c r="AY1812" s="139"/>
      <c r="AZ1812" s="139"/>
      <c r="BA1812" s="139"/>
      <c r="BB1812" s="139"/>
      <c r="BC1812" s="139"/>
      <c r="BD1812" s="139"/>
      <c r="BE1812" s="139"/>
      <c r="BF1812" s="139"/>
      <c r="BG1812" s="139"/>
      <c r="BH1812" s="139"/>
    </row>
    <row r="1813" spans="2:60" s="11" customFormat="1" ht="20.100000000000001" customHeight="1">
      <c r="B1813" s="1360"/>
      <c r="C1813" s="9647" t="s">
        <v>137</v>
      </c>
      <c r="D1813" s="9648"/>
      <c r="E1813" s="9649"/>
      <c r="F1813" s="105" t="s">
        <v>557</v>
      </c>
      <c r="G1813" s="666"/>
      <c r="H1813" s="9579" t="s">
        <v>138</v>
      </c>
      <c r="I1813" s="9580"/>
      <c r="J1813" s="9581"/>
      <c r="K1813" s="105" t="s">
        <v>559</v>
      </c>
      <c r="L1813" s="5594"/>
      <c r="M1813" s="5671"/>
      <c r="N1813" s="5724"/>
      <c r="O1813" s="5680"/>
      <c r="P1813" s="5725"/>
      <c r="Q1813" s="5678"/>
      <c r="R1813" s="2468"/>
      <c r="S1813" s="6050"/>
      <c r="T1813" s="545"/>
      <c r="U1813" s="546"/>
      <c r="V1813" s="547"/>
      <c r="W1813" s="548"/>
      <c r="X1813" s="277"/>
      <c r="Y1813" s="277"/>
      <c r="Z1813" s="187"/>
      <c r="AA1813" s="6301"/>
      <c r="AB1813" s="139"/>
      <c r="AC1813" s="139"/>
      <c r="AD1813" s="139"/>
      <c r="AE1813" s="139"/>
      <c r="AF1813" s="139"/>
      <c r="AG1813" s="139"/>
      <c r="AH1813" s="139"/>
      <c r="AI1813" s="139"/>
      <c r="AJ1813" s="139"/>
      <c r="AK1813" s="139"/>
      <c r="AL1813" s="139"/>
      <c r="AM1813" s="139"/>
      <c r="AN1813" s="139"/>
      <c r="AO1813" s="139"/>
      <c r="AP1813" s="139"/>
      <c r="AQ1813" s="139"/>
      <c r="AR1813" s="139"/>
      <c r="AS1813" s="139"/>
      <c r="AT1813" s="139"/>
      <c r="AU1813" s="139"/>
      <c r="AV1813" s="139"/>
      <c r="AW1813" s="139"/>
      <c r="AX1813" s="139"/>
      <c r="AY1813" s="139"/>
      <c r="AZ1813" s="139"/>
      <c r="BA1813" s="139"/>
      <c r="BB1813" s="139"/>
      <c r="BC1813" s="139"/>
      <c r="BD1813" s="139"/>
      <c r="BE1813" s="139"/>
      <c r="BF1813" s="139"/>
      <c r="BG1813" s="139"/>
      <c r="BH1813" s="139"/>
    </row>
    <row r="1814" spans="2:60" s="11" customFormat="1" ht="20.100000000000001" customHeight="1">
      <c r="B1814" s="1360"/>
      <c r="C1814" s="9647" t="s">
        <v>140</v>
      </c>
      <c r="D1814" s="9648"/>
      <c r="E1814" s="9649"/>
      <c r="F1814" s="105" t="s">
        <v>557</v>
      </c>
      <c r="G1814" s="666"/>
      <c r="H1814" s="9579" t="s">
        <v>141</v>
      </c>
      <c r="I1814" s="9580"/>
      <c r="J1814" s="9581"/>
      <c r="K1814" s="105" t="s">
        <v>559</v>
      </c>
      <c r="L1814" s="5594"/>
      <c r="M1814" s="5671"/>
      <c r="N1814" s="5724"/>
      <c r="O1814" s="5680"/>
      <c r="P1814" s="5725"/>
      <c r="Q1814" s="5678"/>
      <c r="R1814" s="2468"/>
      <c r="S1814" s="6050"/>
      <c r="T1814" s="545"/>
      <c r="U1814" s="546"/>
      <c r="V1814" s="547"/>
      <c r="W1814" s="548"/>
      <c r="X1814" s="277"/>
      <c r="Y1814" s="277"/>
      <c r="Z1814" s="187"/>
      <c r="AA1814" s="6301"/>
      <c r="AB1814" s="139"/>
      <c r="AC1814" s="139"/>
      <c r="AD1814" s="139"/>
      <c r="AE1814" s="139"/>
      <c r="AF1814" s="139"/>
      <c r="AG1814" s="139"/>
      <c r="AH1814" s="139"/>
      <c r="AI1814" s="139"/>
      <c r="AJ1814" s="139"/>
      <c r="AK1814" s="139"/>
      <c r="AL1814" s="139"/>
      <c r="AM1814" s="139"/>
      <c r="AN1814" s="139"/>
      <c r="AO1814" s="139"/>
      <c r="AP1814" s="139"/>
      <c r="AQ1814" s="139"/>
      <c r="AR1814" s="139"/>
      <c r="AS1814" s="139"/>
      <c r="AT1814" s="139"/>
      <c r="AU1814" s="139"/>
      <c r="AV1814" s="139"/>
      <c r="AW1814" s="139"/>
      <c r="AX1814" s="139"/>
      <c r="AY1814" s="139"/>
      <c r="AZ1814" s="139"/>
      <c r="BA1814" s="139"/>
      <c r="BB1814" s="139"/>
      <c r="BC1814" s="139"/>
      <c r="BD1814" s="139"/>
      <c r="BE1814" s="139"/>
      <c r="BF1814" s="139"/>
      <c r="BG1814" s="139"/>
      <c r="BH1814" s="139"/>
    </row>
    <row r="1815" spans="2:60" s="11" customFormat="1" ht="20.100000000000001" customHeight="1">
      <c r="B1815" s="1360"/>
      <c r="C1815" s="9647" t="s">
        <v>143</v>
      </c>
      <c r="D1815" s="9648"/>
      <c r="E1815" s="9649"/>
      <c r="F1815" s="105" t="s">
        <v>557</v>
      </c>
      <c r="G1815" s="666"/>
      <c r="H1815" s="9579" t="s">
        <v>144</v>
      </c>
      <c r="I1815" s="9580"/>
      <c r="J1815" s="9581"/>
      <c r="K1815" s="105" t="s">
        <v>559</v>
      </c>
      <c r="L1815" s="5594">
        <v>0</v>
      </c>
      <c r="M1815" s="5671"/>
      <c r="N1815" s="5724">
        <v>0</v>
      </c>
      <c r="O1815" s="5680"/>
      <c r="P1815" s="5725">
        <v>0</v>
      </c>
      <c r="Q1815" s="5678"/>
      <c r="R1815" s="2468"/>
      <c r="S1815" s="6050"/>
      <c r="T1815" s="545"/>
      <c r="U1815" s="546"/>
      <c r="V1815" s="547"/>
      <c r="W1815" s="548"/>
      <c r="X1815" s="277"/>
      <c r="Y1815" s="277"/>
      <c r="Z1815" s="187"/>
      <c r="AA1815" s="6301"/>
      <c r="AB1815" s="139"/>
      <c r="AC1815" s="139"/>
      <c r="AD1815" s="139"/>
      <c r="AE1815" s="139"/>
      <c r="AF1815" s="139"/>
      <c r="AG1815" s="139"/>
      <c r="AH1815" s="139"/>
      <c r="AI1815" s="139"/>
      <c r="AJ1815" s="139"/>
      <c r="AK1815" s="139"/>
      <c r="AL1815" s="139"/>
      <c r="AM1815" s="139"/>
      <c r="AN1815" s="139"/>
      <c r="AO1815" s="139"/>
      <c r="AP1815" s="139"/>
      <c r="AQ1815" s="139"/>
      <c r="AR1815" s="139"/>
      <c r="AS1815" s="139"/>
      <c r="AT1815" s="139"/>
      <c r="AU1815" s="139"/>
      <c r="AV1815" s="139"/>
      <c r="AW1815" s="139"/>
      <c r="AX1815" s="139"/>
      <c r="AY1815" s="139"/>
      <c r="AZ1815" s="139"/>
      <c r="BA1815" s="139"/>
      <c r="BB1815" s="139"/>
      <c r="BC1815" s="139"/>
      <c r="BD1815" s="139"/>
      <c r="BE1815" s="139"/>
      <c r="BF1815" s="139"/>
      <c r="BG1815" s="139"/>
      <c r="BH1815" s="139"/>
    </row>
    <row r="1816" spans="2:60" s="11" customFormat="1" ht="20.100000000000001" customHeight="1">
      <c r="B1816" s="1360"/>
      <c r="C1816" s="9647" t="s">
        <v>631</v>
      </c>
      <c r="D1816" s="9648"/>
      <c r="E1816" s="9649"/>
      <c r="F1816" s="105" t="s">
        <v>557</v>
      </c>
      <c r="G1816" s="666"/>
      <c r="H1816" s="9579" t="s">
        <v>147</v>
      </c>
      <c r="I1816" s="9580"/>
      <c r="J1816" s="9581"/>
      <c r="K1816" s="105" t="s">
        <v>559</v>
      </c>
      <c r="L1816" s="5956" t="s">
        <v>168</v>
      </c>
      <c r="M1816" s="5671" t="s">
        <v>641</v>
      </c>
      <c r="N1816" s="5724" t="s">
        <v>168</v>
      </c>
      <c r="O1816" s="5680" t="s">
        <v>641</v>
      </c>
      <c r="P1816" s="5680" t="s">
        <v>168</v>
      </c>
      <c r="Q1816" s="5678" t="s">
        <v>641</v>
      </c>
      <c r="R1816" s="2468"/>
      <c r="S1816" s="6050"/>
      <c r="T1816" s="545"/>
      <c r="U1816" s="546"/>
      <c r="V1816" s="547"/>
      <c r="W1816" s="548"/>
      <c r="X1816" s="277"/>
      <c r="Y1816" s="277"/>
      <c r="Z1816" s="187"/>
      <c r="AA1816" s="6301"/>
      <c r="AB1816" s="139"/>
      <c r="AC1816" s="139"/>
      <c r="AD1816" s="139"/>
      <c r="AE1816" s="139"/>
      <c r="AF1816" s="139"/>
      <c r="AG1816" s="139"/>
      <c r="AH1816" s="139"/>
      <c r="AI1816" s="139"/>
      <c r="AJ1816" s="139"/>
      <c r="AK1816" s="139"/>
      <c r="AL1816" s="139"/>
      <c r="AM1816" s="139"/>
      <c r="AN1816" s="139"/>
      <c r="AO1816" s="139"/>
      <c r="AP1816" s="139"/>
      <c r="AQ1816" s="139"/>
      <c r="AR1816" s="139"/>
      <c r="AS1816" s="139"/>
      <c r="AT1816" s="139"/>
      <c r="AU1816" s="139"/>
      <c r="AV1816" s="139"/>
      <c r="AW1816" s="139"/>
      <c r="AX1816" s="139"/>
      <c r="AY1816" s="139"/>
      <c r="AZ1816" s="139"/>
      <c r="BA1816" s="139"/>
      <c r="BB1816" s="139"/>
      <c r="BC1816" s="139"/>
      <c r="BD1816" s="139"/>
      <c r="BE1816" s="139"/>
      <c r="BF1816" s="139"/>
      <c r="BG1816" s="139"/>
      <c r="BH1816" s="139"/>
    </row>
    <row r="1817" spans="2:60" s="11" customFormat="1" ht="20.100000000000001" customHeight="1">
      <c r="B1817" s="1360"/>
      <c r="C1817" s="9647" t="s">
        <v>633</v>
      </c>
      <c r="D1817" s="9648"/>
      <c r="E1817" s="9649"/>
      <c r="F1817" s="105" t="s">
        <v>557</v>
      </c>
      <c r="G1817" s="666"/>
      <c r="H1817" s="9579" t="s">
        <v>150</v>
      </c>
      <c r="I1817" s="9580"/>
      <c r="J1817" s="9581"/>
      <c r="K1817" s="105" t="s">
        <v>559</v>
      </c>
      <c r="L1817" s="6511">
        <v>2</v>
      </c>
      <c r="M1817" s="5671"/>
      <c r="N1817" s="6512">
        <v>5</v>
      </c>
      <c r="O1817" s="5680"/>
      <c r="P1817" s="6513">
        <v>10</v>
      </c>
      <c r="Q1817" s="5678"/>
      <c r="R1817" s="2468"/>
      <c r="S1817" s="6050"/>
      <c r="T1817" s="545"/>
      <c r="U1817" s="546"/>
      <c r="V1817" s="547"/>
      <c r="W1817" s="548"/>
      <c r="X1817" s="277"/>
      <c r="Y1817" s="277"/>
      <c r="Z1817" s="187"/>
      <c r="AA1817" s="6301"/>
      <c r="AB1817" s="139"/>
      <c r="AC1817" s="139"/>
      <c r="AD1817" s="139"/>
      <c r="AE1817" s="139"/>
      <c r="AF1817" s="139"/>
      <c r="AG1817" s="139"/>
      <c r="AH1817" s="139"/>
      <c r="AI1817" s="139"/>
      <c r="AJ1817" s="139"/>
      <c r="AK1817" s="139"/>
      <c r="AL1817" s="139"/>
      <c r="AM1817" s="139"/>
      <c r="AN1817" s="139"/>
      <c r="AO1817" s="139"/>
      <c r="AP1817" s="139"/>
      <c r="AQ1817" s="139"/>
      <c r="AR1817" s="139"/>
      <c r="AS1817" s="139"/>
      <c r="AT1817" s="139"/>
      <c r="AU1817" s="139"/>
      <c r="AV1817" s="139"/>
      <c r="AW1817" s="139"/>
      <c r="AX1817" s="139"/>
      <c r="AY1817" s="139"/>
      <c r="AZ1817" s="139"/>
      <c r="BA1817" s="139"/>
      <c r="BB1817" s="139"/>
      <c r="BC1817" s="139"/>
      <c r="BD1817" s="139"/>
      <c r="BE1817" s="139"/>
      <c r="BF1817" s="139"/>
      <c r="BG1817" s="139"/>
      <c r="BH1817" s="139"/>
    </row>
    <row r="1818" spans="2:60" s="11" customFormat="1" ht="20.100000000000001" customHeight="1">
      <c r="B1818" s="1360"/>
      <c r="C1818" s="9656" t="s">
        <v>1334</v>
      </c>
      <c r="D1818" s="9587"/>
      <c r="E1818" s="9588"/>
      <c r="F1818" s="105" t="s">
        <v>557</v>
      </c>
      <c r="G1818" s="961"/>
      <c r="H1818" s="9586" t="s">
        <v>1335</v>
      </c>
      <c r="I1818" s="9587"/>
      <c r="J1818" s="9588"/>
      <c r="K1818" s="105" t="s">
        <v>559</v>
      </c>
      <c r="L1818" s="5653" t="str">
        <f>IF(COUNTBLANK(L1819:L1824)&gt;0,"미취합법인有",SUM(L1819:L1824))</f>
        <v>미취합법인有</v>
      </c>
      <c r="M1818" s="5657"/>
      <c r="N1818" s="5654" t="str">
        <f>IF(COUNTBLANK(N1819:N1824)&gt;0,"미취합법인有",SUM(N1819:N1824))</f>
        <v>미취합법인有</v>
      </c>
      <c r="O1818" s="5945"/>
      <c r="P1818" s="5781" t="str">
        <f>IF(COUNTBLANK(P1819:P1824)&gt;0,"미취합법인有",SUM(P1819:P1824))</f>
        <v>미취합법인有</v>
      </c>
      <c r="Q1818" s="785"/>
      <c r="R1818" s="2487"/>
      <c r="S1818" s="6050"/>
      <c r="T1818" s="1715" t="s">
        <v>206</v>
      </c>
      <c r="U1818" s="547"/>
      <c r="V1818" s="547"/>
      <c r="W1818" s="109"/>
      <c r="X1818" s="265"/>
      <c r="Y1818" s="265" t="s">
        <v>1336</v>
      </c>
      <c r="Z1818" s="982"/>
      <c r="AA1818" s="6301"/>
      <c r="AB1818" s="139"/>
      <c r="AC1818" s="139"/>
      <c r="AD1818" s="139"/>
      <c r="AE1818" s="139"/>
      <c r="AF1818" s="139"/>
      <c r="AG1818" s="139"/>
      <c r="AH1818" s="139"/>
      <c r="AI1818" s="139"/>
      <c r="AJ1818" s="139"/>
      <c r="AK1818" s="139"/>
      <c r="AL1818" s="139"/>
      <c r="AM1818" s="139"/>
      <c r="AN1818" s="139"/>
      <c r="AO1818" s="139"/>
      <c r="AP1818" s="139"/>
      <c r="AQ1818" s="139"/>
      <c r="AR1818" s="139"/>
      <c r="AS1818" s="139"/>
      <c r="AT1818" s="139"/>
      <c r="AU1818" s="139"/>
      <c r="AV1818" s="139"/>
      <c r="AW1818" s="139"/>
      <c r="AX1818" s="139"/>
      <c r="AY1818" s="139"/>
      <c r="AZ1818" s="139"/>
      <c r="BA1818" s="139"/>
      <c r="BB1818" s="139"/>
      <c r="BC1818" s="139"/>
      <c r="BD1818" s="139"/>
      <c r="BE1818" s="139"/>
      <c r="BF1818" s="139"/>
      <c r="BG1818" s="139"/>
      <c r="BH1818" s="139"/>
    </row>
    <row r="1819" spans="2:60" s="11" customFormat="1" ht="20.100000000000001" customHeight="1">
      <c r="B1819" s="1360"/>
      <c r="C1819" s="9647" t="s">
        <v>134</v>
      </c>
      <c r="D1819" s="9648"/>
      <c r="E1819" s="9649"/>
      <c r="F1819" s="105" t="s">
        <v>557</v>
      </c>
      <c r="G1819" s="666"/>
      <c r="H1819" s="9579" t="s">
        <v>135</v>
      </c>
      <c r="I1819" s="9580"/>
      <c r="J1819" s="9581"/>
      <c r="K1819" s="105" t="s">
        <v>559</v>
      </c>
      <c r="L1819" s="5594"/>
      <c r="M1819" s="5671"/>
      <c r="N1819" s="5724"/>
      <c r="O1819" s="5680"/>
      <c r="P1819" s="5678"/>
      <c r="Q1819" s="5678"/>
      <c r="R1819" s="2468"/>
      <c r="S1819" s="6050"/>
      <c r="T1819" s="545"/>
      <c r="U1819" s="546"/>
      <c r="V1819" s="547"/>
      <c r="W1819" s="548"/>
      <c r="X1819" s="277"/>
      <c r="Y1819" s="277"/>
      <c r="Z1819" s="187"/>
      <c r="AA1819" s="6301"/>
      <c r="AB1819" s="139"/>
      <c r="AC1819" s="139"/>
      <c r="AD1819" s="139"/>
      <c r="AE1819" s="139"/>
      <c r="AF1819" s="139"/>
      <c r="AG1819" s="139"/>
      <c r="AH1819" s="139"/>
      <c r="AI1819" s="139"/>
      <c r="AJ1819" s="139"/>
      <c r="AK1819" s="139"/>
      <c r="AL1819" s="139"/>
      <c r="AM1819" s="139"/>
      <c r="AN1819" s="139"/>
      <c r="AO1819" s="139"/>
      <c r="AP1819" s="139"/>
      <c r="AQ1819" s="139"/>
      <c r="AR1819" s="139"/>
      <c r="AS1819" s="139"/>
      <c r="AT1819" s="139"/>
      <c r="AU1819" s="139"/>
      <c r="AV1819" s="139"/>
      <c r="AW1819" s="139"/>
      <c r="AX1819" s="139"/>
      <c r="AY1819" s="139"/>
      <c r="AZ1819" s="139"/>
      <c r="BA1819" s="139"/>
      <c r="BB1819" s="139"/>
      <c r="BC1819" s="139"/>
      <c r="BD1819" s="139"/>
      <c r="BE1819" s="139"/>
      <c r="BF1819" s="139"/>
      <c r="BG1819" s="139"/>
      <c r="BH1819" s="139"/>
    </row>
    <row r="1820" spans="2:60" s="11" customFormat="1" ht="20.100000000000001" customHeight="1">
      <c r="B1820" s="1360"/>
      <c r="C1820" s="9647" t="s">
        <v>137</v>
      </c>
      <c r="D1820" s="9648"/>
      <c r="E1820" s="9649"/>
      <c r="F1820" s="105" t="s">
        <v>557</v>
      </c>
      <c r="G1820" s="666"/>
      <c r="H1820" s="9579" t="s">
        <v>138</v>
      </c>
      <c r="I1820" s="9580"/>
      <c r="J1820" s="9581"/>
      <c r="K1820" s="105" t="s">
        <v>559</v>
      </c>
      <c r="L1820" s="5594"/>
      <c r="M1820" s="5671"/>
      <c r="N1820" s="5724"/>
      <c r="O1820" s="5680"/>
      <c r="P1820" s="5725"/>
      <c r="Q1820" s="5678"/>
      <c r="R1820" s="2468"/>
      <c r="S1820" s="6050"/>
      <c r="T1820" s="545"/>
      <c r="U1820" s="546"/>
      <c r="V1820" s="547"/>
      <c r="W1820" s="548"/>
      <c r="X1820" s="277"/>
      <c r="Y1820" s="277"/>
      <c r="Z1820" s="187"/>
      <c r="AA1820" s="6301"/>
      <c r="AB1820" s="139"/>
      <c r="AC1820" s="139"/>
      <c r="AD1820" s="139"/>
      <c r="AE1820" s="139"/>
      <c r="AF1820" s="139"/>
      <c r="AG1820" s="139"/>
      <c r="AH1820" s="139"/>
      <c r="AI1820" s="139"/>
      <c r="AJ1820" s="139"/>
      <c r="AK1820" s="139"/>
      <c r="AL1820" s="139"/>
      <c r="AM1820" s="139"/>
      <c r="AN1820" s="139"/>
      <c r="AO1820" s="139"/>
      <c r="AP1820" s="139"/>
      <c r="AQ1820" s="139"/>
      <c r="AR1820" s="139"/>
      <c r="AS1820" s="139"/>
      <c r="AT1820" s="139"/>
      <c r="AU1820" s="139"/>
      <c r="AV1820" s="139"/>
      <c r="AW1820" s="139"/>
      <c r="AX1820" s="139"/>
      <c r="AY1820" s="139"/>
      <c r="AZ1820" s="139"/>
      <c r="BA1820" s="139"/>
      <c r="BB1820" s="139"/>
      <c r="BC1820" s="139"/>
      <c r="BD1820" s="139"/>
      <c r="BE1820" s="139"/>
      <c r="BF1820" s="139"/>
      <c r="BG1820" s="139"/>
      <c r="BH1820" s="139"/>
    </row>
    <row r="1821" spans="2:60" s="11" customFormat="1" ht="20.100000000000001" customHeight="1">
      <c r="B1821" s="1360"/>
      <c r="C1821" s="9647" t="s">
        <v>140</v>
      </c>
      <c r="D1821" s="9648"/>
      <c r="E1821" s="9649"/>
      <c r="F1821" s="105" t="s">
        <v>557</v>
      </c>
      <c r="G1821" s="666"/>
      <c r="H1821" s="9579" t="s">
        <v>141</v>
      </c>
      <c r="I1821" s="9580"/>
      <c r="J1821" s="9581"/>
      <c r="K1821" s="105" t="s">
        <v>559</v>
      </c>
      <c r="L1821" s="5594"/>
      <c r="M1821" s="5671"/>
      <c r="N1821" s="5724"/>
      <c r="O1821" s="5680"/>
      <c r="P1821" s="5725"/>
      <c r="Q1821" s="5678"/>
      <c r="R1821" s="2468"/>
      <c r="S1821" s="6050"/>
      <c r="T1821" s="545"/>
      <c r="U1821" s="546"/>
      <c r="V1821" s="547"/>
      <c r="W1821" s="548"/>
      <c r="X1821" s="277"/>
      <c r="Y1821" s="277"/>
      <c r="Z1821" s="187"/>
      <c r="AA1821" s="6301"/>
      <c r="AB1821" s="139"/>
      <c r="AC1821" s="139"/>
      <c r="AD1821" s="139"/>
      <c r="AE1821" s="139"/>
      <c r="AF1821" s="139"/>
      <c r="AG1821" s="139"/>
      <c r="AH1821" s="139"/>
      <c r="AI1821" s="139"/>
      <c r="AJ1821" s="139"/>
      <c r="AK1821" s="139"/>
      <c r="AL1821" s="139"/>
      <c r="AM1821" s="139"/>
      <c r="AN1821" s="139"/>
      <c r="AO1821" s="139"/>
      <c r="AP1821" s="139"/>
      <c r="AQ1821" s="139"/>
      <c r="AR1821" s="139"/>
      <c r="AS1821" s="139"/>
      <c r="AT1821" s="139"/>
      <c r="AU1821" s="139"/>
      <c r="AV1821" s="139"/>
      <c r="AW1821" s="139"/>
      <c r="AX1821" s="139"/>
      <c r="AY1821" s="139"/>
      <c r="AZ1821" s="139"/>
      <c r="BA1821" s="139"/>
      <c r="BB1821" s="139"/>
      <c r="BC1821" s="139"/>
      <c r="BD1821" s="139"/>
      <c r="BE1821" s="139"/>
      <c r="BF1821" s="139"/>
      <c r="BG1821" s="139"/>
      <c r="BH1821" s="139"/>
    </row>
    <row r="1822" spans="2:60" s="11" customFormat="1" ht="20.100000000000001" customHeight="1">
      <c r="B1822" s="1360"/>
      <c r="C1822" s="9647" t="s">
        <v>143</v>
      </c>
      <c r="D1822" s="9648"/>
      <c r="E1822" s="9649"/>
      <c r="F1822" s="105" t="s">
        <v>557</v>
      </c>
      <c r="G1822" s="666"/>
      <c r="H1822" s="9579" t="s">
        <v>144</v>
      </c>
      <c r="I1822" s="9580"/>
      <c r="J1822" s="9581"/>
      <c r="K1822" s="105" t="s">
        <v>559</v>
      </c>
      <c r="L1822" s="5594">
        <v>0</v>
      </c>
      <c r="M1822" s="5671"/>
      <c r="N1822" s="5724">
        <v>0</v>
      </c>
      <c r="O1822" s="5680"/>
      <c r="P1822" s="5725">
        <v>0</v>
      </c>
      <c r="Q1822" s="5678"/>
      <c r="R1822" s="2468"/>
      <c r="S1822" s="544"/>
      <c r="T1822" s="545"/>
      <c r="U1822" s="546"/>
      <c r="V1822" s="547"/>
      <c r="W1822" s="548"/>
      <c r="X1822" s="277"/>
      <c r="Y1822" s="277"/>
      <c r="Z1822" s="187"/>
      <c r="AA1822" s="6301"/>
      <c r="AB1822" s="139"/>
      <c r="AC1822" s="139"/>
      <c r="AD1822" s="139"/>
      <c r="AE1822" s="139"/>
      <c r="AF1822" s="139"/>
      <c r="AG1822" s="139"/>
      <c r="AH1822" s="139"/>
      <c r="AI1822" s="139"/>
      <c r="AJ1822" s="139"/>
      <c r="AK1822" s="139"/>
      <c r="AL1822" s="139"/>
      <c r="AM1822" s="139"/>
      <c r="AN1822" s="139"/>
      <c r="AO1822" s="139"/>
      <c r="AP1822" s="139"/>
      <c r="AQ1822" s="139"/>
      <c r="AR1822" s="139"/>
      <c r="AS1822" s="139"/>
      <c r="AT1822" s="139"/>
      <c r="AU1822" s="139"/>
      <c r="AV1822" s="139"/>
      <c r="AW1822" s="139"/>
      <c r="AX1822" s="139"/>
      <c r="AY1822" s="139"/>
      <c r="AZ1822" s="139"/>
      <c r="BA1822" s="139"/>
      <c r="BB1822" s="139"/>
      <c r="BC1822" s="139"/>
      <c r="BD1822" s="139"/>
      <c r="BE1822" s="139"/>
      <c r="BF1822" s="139"/>
      <c r="BG1822" s="139"/>
      <c r="BH1822" s="139"/>
    </row>
    <row r="1823" spans="2:60" s="11" customFormat="1" ht="20.100000000000001" customHeight="1">
      <c r="B1823" s="1360"/>
      <c r="C1823" s="9647" t="s">
        <v>631</v>
      </c>
      <c r="D1823" s="9648"/>
      <c r="E1823" s="9649"/>
      <c r="F1823" s="105" t="s">
        <v>557</v>
      </c>
      <c r="G1823" s="666"/>
      <c r="H1823" s="9579" t="s">
        <v>147</v>
      </c>
      <c r="I1823" s="9580"/>
      <c r="J1823" s="9581"/>
      <c r="K1823" s="105" t="s">
        <v>559</v>
      </c>
      <c r="L1823" s="5956" t="s">
        <v>168</v>
      </c>
      <c r="M1823" s="5671" t="s">
        <v>641</v>
      </c>
      <c r="N1823" s="5724" t="s">
        <v>168</v>
      </c>
      <c r="O1823" s="5680" t="s">
        <v>641</v>
      </c>
      <c r="P1823" s="5680" t="s">
        <v>168</v>
      </c>
      <c r="Q1823" s="5678" t="s">
        <v>641</v>
      </c>
      <c r="R1823" s="2468"/>
      <c r="S1823" s="544"/>
      <c r="T1823" s="545"/>
      <c r="U1823" s="546"/>
      <c r="V1823" s="547"/>
      <c r="W1823" s="548"/>
      <c r="X1823" s="277"/>
      <c r="Y1823" s="277"/>
      <c r="Z1823" s="187"/>
      <c r="AA1823" s="6301"/>
      <c r="AB1823" s="139"/>
      <c r="AC1823" s="139"/>
      <c r="AD1823" s="139"/>
      <c r="AE1823" s="139"/>
      <c r="AF1823" s="139"/>
      <c r="AG1823" s="139"/>
      <c r="AH1823" s="139"/>
      <c r="AI1823" s="139"/>
      <c r="AJ1823" s="139"/>
      <c r="AK1823" s="139"/>
      <c r="AL1823" s="139"/>
      <c r="AM1823" s="139"/>
      <c r="AN1823" s="139"/>
      <c r="AO1823" s="139"/>
      <c r="AP1823" s="139"/>
      <c r="AQ1823" s="139"/>
      <c r="AR1823" s="139"/>
      <c r="AS1823" s="139"/>
      <c r="AT1823" s="139"/>
      <c r="AU1823" s="139"/>
      <c r="AV1823" s="139"/>
      <c r="AW1823" s="139"/>
      <c r="AX1823" s="139"/>
      <c r="AY1823" s="139"/>
      <c r="AZ1823" s="139"/>
      <c r="BA1823" s="139"/>
      <c r="BB1823" s="139"/>
      <c r="BC1823" s="139"/>
      <c r="BD1823" s="139"/>
      <c r="BE1823" s="139"/>
      <c r="BF1823" s="139"/>
      <c r="BG1823" s="139"/>
      <c r="BH1823" s="139"/>
    </row>
    <row r="1824" spans="2:60" s="11" customFormat="1" ht="20.100000000000001" customHeight="1">
      <c r="B1824" s="1360"/>
      <c r="C1824" s="9647" t="s">
        <v>633</v>
      </c>
      <c r="D1824" s="9648"/>
      <c r="E1824" s="9649"/>
      <c r="F1824" s="105" t="s">
        <v>557</v>
      </c>
      <c r="G1824" s="666"/>
      <c r="H1824" s="9579" t="s">
        <v>150</v>
      </c>
      <c r="I1824" s="9580"/>
      <c r="J1824" s="9581"/>
      <c r="K1824" s="105" t="s">
        <v>559</v>
      </c>
      <c r="L1824" s="5956" t="s">
        <v>168</v>
      </c>
      <c r="M1824" s="5671" t="s">
        <v>641</v>
      </c>
      <c r="N1824" s="5724" t="s">
        <v>168</v>
      </c>
      <c r="O1824" s="5680" t="s">
        <v>641</v>
      </c>
      <c r="P1824" s="5680" t="s">
        <v>168</v>
      </c>
      <c r="Q1824" s="5678" t="s">
        <v>641</v>
      </c>
      <c r="R1824" s="2468"/>
      <c r="S1824" s="544"/>
      <c r="T1824" s="545"/>
      <c r="U1824" s="546"/>
      <c r="V1824" s="547"/>
      <c r="W1824" s="548"/>
      <c r="X1824" s="277"/>
      <c r="Y1824" s="277"/>
      <c r="Z1824" s="187"/>
      <c r="AA1824" s="6301"/>
      <c r="AB1824" s="139"/>
      <c r="AC1824" s="139"/>
      <c r="AD1824" s="139"/>
      <c r="AE1824" s="139"/>
      <c r="AF1824" s="139"/>
      <c r="AG1824" s="139"/>
      <c r="AH1824" s="139"/>
      <c r="AI1824" s="139"/>
      <c r="AJ1824" s="139"/>
      <c r="AK1824" s="139"/>
      <c r="AL1824" s="139"/>
      <c r="AM1824" s="139"/>
      <c r="AN1824" s="139"/>
      <c r="AO1824" s="139"/>
      <c r="AP1824" s="139"/>
      <c r="AQ1824" s="139"/>
      <c r="AR1824" s="139"/>
      <c r="AS1824" s="139"/>
      <c r="AT1824" s="139"/>
      <c r="AU1824" s="139"/>
      <c r="AV1824" s="139"/>
      <c r="AW1824" s="139"/>
      <c r="AX1824" s="139"/>
      <c r="AY1824" s="139"/>
      <c r="AZ1824" s="139"/>
      <c r="BA1824" s="139"/>
      <c r="BB1824" s="139"/>
      <c r="BC1824" s="139"/>
      <c r="BD1824" s="139"/>
      <c r="BE1824" s="139"/>
      <c r="BF1824" s="139"/>
      <c r="BG1824" s="139"/>
      <c r="BH1824" s="139"/>
    </row>
    <row r="1825" spans="2:60" s="11" customFormat="1" ht="20.100000000000001" customHeight="1">
      <c r="B1825" s="1360"/>
      <c r="C1825" s="9656" t="s">
        <v>1337</v>
      </c>
      <c r="D1825" s="9587"/>
      <c r="E1825" s="9588"/>
      <c r="F1825" s="105" t="s">
        <v>156</v>
      </c>
      <c r="G1825" s="6177"/>
      <c r="H1825" s="9586" t="s">
        <v>1338</v>
      </c>
      <c r="I1825" s="9587"/>
      <c r="J1825" s="9588"/>
      <c r="K1825" s="105" t="s">
        <v>156</v>
      </c>
      <c r="L1825" s="5968" t="str">
        <f>IF(COUNTBLANK(L1826:L1831)&gt;0,"미취합법인有",AVERAGE(L1826:L1831))</f>
        <v>미취합법인有</v>
      </c>
      <c r="M1825" s="5657"/>
      <c r="N1825" s="5654" t="str">
        <f>IF(COUNTBLANK(N1826:N1831)&gt;0,"미취합법인有",AVERAGE(N1826:N1831))</f>
        <v>미취합법인有</v>
      </c>
      <c r="O1825" s="5945"/>
      <c r="P1825" s="5781" t="str">
        <f>IF(COUNTBLANK(P1826:P1831)&gt;0,"미취합법인有",AVERAGE(P1826:P1831))</f>
        <v>미취합법인有</v>
      </c>
      <c r="Q1825" s="785"/>
      <c r="R1825" s="2472" t="s">
        <v>1339</v>
      </c>
      <c r="S1825" s="457" t="s">
        <v>1340</v>
      </c>
      <c r="T1825" s="109" t="s">
        <v>206</v>
      </c>
      <c r="U1825" s="547"/>
      <c r="V1825" s="547"/>
      <c r="W1825" s="109"/>
      <c r="X1825" s="265" t="s">
        <v>1341</v>
      </c>
      <c r="Y1825" s="265"/>
      <c r="Z1825" s="982"/>
      <c r="AA1825" s="6301"/>
      <c r="AB1825" s="139"/>
      <c r="AC1825" s="139"/>
      <c r="AD1825" s="139"/>
      <c r="AE1825" s="139"/>
      <c r="AF1825" s="139"/>
      <c r="AG1825" s="139"/>
      <c r="AH1825" s="139"/>
      <c r="AI1825" s="139"/>
      <c r="AJ1825" s="139"/>
      <c r="AK1825" s="139"/>
      <c r="AL1825" s="139"/>
      <c r="AM1825" s="139"/>
      <c r="AN1825" s="139"/>
      <c r="AO1825" s="139"/>
      <c r="AP1825" s="139"/>
      <c r="AQ1825" s="139"/>
      <c r="AR1825" s="139"/>
      <c r="AS1825" s="139"/>
      <c r="AT1825" s="139"/>
      <c r="AU1825" s="139"/>
      <c r="AV1825" s="139"/>
      <c r="AW1825" s="139"/>
      <c r="AX1825" s="139"/>
      <c r="AY1825" s="139"/>
      <c r="AZ1825" s="139"/>
      <c r="BA1825" s="139"/>
      <c r="BB1825" s="139"/>
      <c r="BC1825" s="139"/>
      <c r="BD1825" s="139"/>
      <c r="BE1825" s="139"/>
      <c r="BF1825" s="139"/>
      <c r="BG1825" s="139"/>
      <c r="BH1825" s="139"/>
    </row>
    <row r="1826" spans="2:60" s="11" customFormat="1" ht="20.100000000000001" customHeight="1">
      <c r="B1826" s="1360"/>
      <c r="C1826" s="9647" t="s">
        <v>134</v>
      </c>
      <c r="D1826" s="9648"/>
      <c r="E1826" s="9649"/>
      <c r="F1826" s="105" t="s">
        <v>156</v>
      </c>
      <c r="G1826" s="666"/>
      <c r="H1826" s="9579" t="s">
        <v>135</v>
      </c>
      <c r="I1826" s="9580"/>
      <c r="J1826" s="9581"/>
      <c r="K1826" s="105" t="s">
        <v>156</v>
      </c>
      <c r="L1826" s="5723" t="s">
        <v>169</v>
      </c>
      <c r="M1826" s="5863"/>
      <c r="N1826" s="5864" t="s">
        <v>169</v>
      </c>
      <c r="O1826" s="5717"/>
      <c r="P1826" s="5864">
        <v>100</v>
      </c>
      <c r="Q1826" s="5717"/>
      <c r="R1826" s="2468"/>
      <c r="S1826" s="544"/>
      <c r="T1826" s="545"/>
      <c r="U1826" s="546"/>
      <c r="V1826" s="547"/>
      <c r="W1826" s="548"/>
      <c r="X1826" s="277"/>
      <c r="Y1826" s="277"/>
      <c r="Z1826" s="187"/>
      <c r="AA1826" s="6301"/>
      <c r="AB1826" s="139"/>
      <c r="AC1826" s="139"/>
      <c r="AD1826" s="139"/>
      <c r="AE1826" s="139"/>
      <c r="AF1826" s="139"/>
      <c r="AG1826" s="139"/>
      <c r="AH1826" s="139"/>
      <c r="AI1826" s="139"/>
      <c r="AJ1826" s="139"/>
      <c r="AK1826" s="139"/>
      <c r="AL1826" s="139"/>
      <c r="AM1826" s="139"/>
      <c r="AN1826" s="139"/>
      <c r="AO1826" s="139"/>
      <c r="AP1826" s="139"/>
      <c r="AQ1826" s="139"/>
      <c r="AR1826" s="139"/>
      <c r="AS1826" s="139"/>
      <c r="AT1826" s="139"/>
      <c r="AU1826" s="139"/>
      <c r="AV1826" s="139"/>
      <c r="AW1826" s="139"/>
      <c r="AX1826" s="139"/>
      <c r="AY1826" s="139"/>
      <c r="AZ1826" s="139"/>
      <c r="BA1826" s="139"/>
      <c r="BB1826" s="139"/>
      <c r="BC1826" s="139"/>
      <c r="BD1826" s="139"/>
      <c r="BE1826" s="139"/>
      <c r="BF1826" s="139"/>
      <c r="BG1826" s="139"/>
      <c r="BH1826" s="139"/>
    </row>
    <row r="1827" spans="2:60" s="11" customFormat="1" ht="20.100000000000001" customHeight="1">
      <c r="B1827" s="1360"/>
      <c r="C1827" s="9647" t="s">
        <v>137</v>
      </c>
      <c r="D1827" s="9648"/>
      <c r="E1827" s="9649"/>
      <c r="F1827" s="105" t="s">
        <v>156</v>
      </c>
      <c r="G1827" s="666"/>
      <c r="H1827" s="9579" t="s">
        <v>138</v>
      </c>
      <c r="I1827" s="9580"/>
      <c r="J1827" s="9581"/>
      <c r="K1827" s="105" t="s">
        <v>156</v>
      </c>
      <c r="L1827" s="5713" t="s">
        <v>169</v>
      </c>
      <c r="M1827" s="5865"/>
      <c r="N1827" s="5864">
        <v>100</v>
      </c>
      <c r="O1827" s="5717"/>
      <c r="P1827" s="5864">
        <v>100</v>
      </c>
      <c r="Q1827" s="5717"/>
      <c r="R1827" s="2468"/>
      <c r="S1827" s="544"/>
      <c r="T1827" s="545"/>
      <c r="U1827" s="546"/>
      <c r="V1827" s="547"/>
      <c r="W1827" s="548"/>
      <c r="X1827" s="277"/>
      <c r="Y1827" s="277"/>
      <c r="Z1827" s="187"/>
      <c r="AA1827" s="6301"/>
      <c r="AB1827" s="139"/>
      <c r="AC1827" s="139"/>
      <c r="AD1827" s="139"/>
      <c r="AE1827" s="139"/>
      <c r="AF1827" s="139"/>
      <c r="AG1827" s="139"/>
      <c r="AH1827" s="139"/>
      <c r="AI1827" s="139"/>
      <c r="AJ1827" s="139"/>
      <c r="AK1827" s="139"/>
      <c r="AL1827" s="139"/>
      <c r="AM1827" s="139"/>
      <c r="AN1827" s="139"/>
      <c r="AO1827" s="139"/>
      <c r="AP1827" s="139"/>
      <c r="AQ1827" s="139"/>
      <c r="AR1827" s="139"/>
      <c r="AS1827" s="139"/>
      <c r="AT1827" s="139"/>
      <c r="AU1827" s="139"/>
      <c r="AV1827" s="139"/>
      <c r="AW1827" s="139"/>
      <c r="AX1827" s="139"/>
      <c r="AY1827" s="139"/>
      <c r="AZ1827" s="139"/>
      <c r="BA1827" s="139"/>
      <c r="BB1827" s="139"/>
      <c r="BC1827" s="139"/>
      <c r="BD1827" s="139"/>
      <c r="BE1827" s="139"/>
      <c r="BF1827" s="139"/>
      <c r="BG1827" s="139"/>
      <c r="BH1827" s="139"/>
    </row>
    <row r="1828" spans="2:60" s="11" customFormat="1" ht="20.100000000000001" customHeight="1">
      <c r="B1828" s="1360"/>
      <c r="C1828" s="9647" t="s">
        <v>140</v>
      </c>
      <c r="D1828" s="9648"/>
      <c r="E1828" s="9649"/>
      <c r="F1828" s="105" t="s">
        <v>156</v>
      </c>
      <c r="G1828" s="666"/>
      <c r="H1828" s="9579" t="s">
        <v>141</v>
      </c>
      <c r="I1828" s="9580"/>
      <c r="J1828" s="9581"/>
      <c r="K1828" s="105" t="s">
        <v>156</v>
      </c>
      <c r="L1828" s="5723" t="s">
        <v>169</v>
      </c>
      <c r="M1828" s="5863"/>
      <c r="N1828" s="5864" t="s">
        <v>169</v>
      </c>
      <c r="O1828" s="5717"/>
      <c r="P1828" s="5864" t="s">
        <v>169</v>
      </c>
      <c r="Q1828" s="5717"/>
      <c r="R1828" s="2468"/>
      <c r="S1828" s="544"/>
      <c r="T1828" s="545"/>
      <c r="U1828" s="546"/>
      <c r="V1828" s="547"/>
      <c r="W1828" s="548"/>
      <c r="X1828" s="277"/>
      <c r="Y1828" s="277"/>
      <c r="Z1828" s="187"/>
      <c r="AA1828" s="6301"/>
      <c r="AB1828" s="139"/>
      <c r="AC1828" s="139"/>
      <c r="AD1828" s="139"/>
      <c r="AE1828" s="139"/>
      <c r="AF1828" s="139"/>
      <c r="AG1828" s="139"/>
      <c r="AH1828" s="139"/>
      <c r="AI1828" s="139"/>
      <c r="AJ1828" s="139"/>
      <c r="AK1828" s="139"/>
      <c r="AL1828" s="139"/>
      <c r="AM1828" s="139"/>
      <c r="AN1828" s="139"/>
      <c r="AO1828" s="139"/>
      <c r="AP1828" s="139"/>
      <c r="AQ1828" s="139"/>
      <c r="AR1828" s="139"/>
      <c r="AS1828" s="139"/>
      <c r="AT1828" s="139"/>
      <c r="AU1828" s="139"/>
      <c r="AV1828" s="139"/>
      <c r="AW1828" s="139"/>
      <c r="AX1828" s="139"/>
      <c r="AY1828" s="139"/>
      <c r="AZ1828" s="139"/>
      <c r="BA1828" s="139"/>
      <c r="BB1828" s="139"/>
      <c r="BC1828" s="139"/>
      <c r="BD1828" s="139"/>
      <c r="BE1828" s="139"/>
      <c r="BF1828" s="139"/>
      <c r="BG1828" s="139"/>
      <c r="BH1828" s="139"/>
    </row>
    <row r="1829" spans="2:60" s="11" customFormat="1" ht="20.100000000000001" customHeight="1">
      <c r="B1829" s="1360"/>
      <c r="C1829" s="9647" t="s">
        <v>143</v>
      </c>
      <c r="D1829" s="9648"/>
      <c r="E1829" s="9649"/>
      <c r="F1829" s="105" t="s">
        <v>156</v>
      </c>
      <c r="G1829" s="666"/>
      <c r="H1829" s="9579" t="s">
        <v>144</v>
      </c>
      <c r="I1829" s="9580"/>
      <c r="J1829" s="9581"/>
      <c r="K1829" s="105" t="s">
        <v>156</v>
      </c>
      <c r="L1829" s="5723"/>
      <c r="M1829" s="5863"/>
      <c r="N1829" s="5864"/>
      <c r="O1829" s="5717"/>
      <c r="P1829" s="5864"/>
      <c r="Q1829" s="5717"/>
      <c r="R1829" s="2468"/>
      <c r="S1829" s="544"/>
      <c r="T1829" s="545"/>
      <c r="U1829" s="546"/>
      <c r="V1829" s="547"/>
      <c r="W1829" s="548"/>
      <c r="X1829" s="277"/>
      <c r="Y1829" s="277"/>
      <c r="Z1829" s="187"/>
      <c r="AA1829" s="6301"/>
      <c r="AB1829" s="139"/>
      <c r="AC1829" s="139"/>
      <c r="AD1829" s="139"/>
      <c r="AE1829" s="139"/>
      <c r="AF1829" s="139"/>
      <c r="AG1829" s="139"/>
      <c r="AH1829" s="139"/>
      <c r="AI1829" s="139"/>
      <c r="AJ1829" s="139"/>
      <c r="AK1829" s="139"/>
      <c r="AL1829" s="139"/>
      <c r="AM1829" s="139"/>
      <c r="AN1829" s="139"/>
      <c r="AO1829" s="139"/>
      <c r="AP1829" s="139"/>
      <c r="AQ1829" s="139"/>
      <c r="AR1829" s="139"/>
      <c r="AS1829" s="139"/>
      <c r="AT1829" s="139"/>
      <c r="AU1829" s="139"/>
      <c r="AV1829" s="139"/>
      <c r="AW1829" s="139"/>
      <c r="AX1829" s="139"/>
      <c r="AY1829" s="139"/>
      <c r="AZ1829" s="139"/>
      <c r="BA1829" s="139"/>
      <c r="BB1829" s="139"/>
      <c r="BC1829" s="139"/>
      <c r="BD1829" s="139"/>
      <c r="BE1829" s="139"/>
      <c r="BF1829" s="139"/>
      <c r="BG1829" s="139"/>
      <c r="BH1829" s="139"/>
    </row>
    <row r="1830" spans="2:60" s="11" customFormat="1" ht="20.100000000000001" customHeight="1">
      <c r="B1830" s="1360"/>
      <c r="C1830" s="9647" t="s">
        <v>631</v>
      </c>
      <c r="D1830" s="9648"/>
      <c r="E1830" s="9649"/>
      <c r="F1830" s="105" t="s">
        <v>156</v>
      </c>
      <c r="G1830" s="666"/>
      <c r="H1830" s="9579" t="s">
        <v>147</v>
      </c>
      <c r="I1830" s="9580"/>
      <c r="J1830" s="9581"/>
      <c r="K1830" s="105" t="s">
        <v>156</v>
      </c>
      <c r="L1830" s="5723">
        <v>0</v>
      </c>
      <c r="M1830" s="5863"/>
      <c r="N1830" s="5864">
        <v>0</v>
      </c>
      <c r="O1830" s="5717"/>
      <c r="P1830" s="5864">
        <v>0</v>
      </c>
      <c r="Q1830" s="5717"/>
      <c r="R1830" s="2468"/>
      <c r="S1830" s="544"/>
      <c r="T1830" s="545"/>
      <c r="U1830" s="546"/>
      <c r="V1830" s="547"/>
      <c r="W1830" s="548"/>
      <c r="X1830" s="277"/>
      <c r="Y1830" s="277"/>
      <c r="Z1830" s="187"/>
      <c r="AA1830" s="6301"/>
      <c r="AB1830" s="139"/>
      <c r="AC1830" s="139"/>
      <c r="AD1830" s="139"/>
      <c r="AE1830" s="139"/>
      <c r="AF1830" s="139"/>
      <c r="AG1830" s="139"/>
      <c r="AH1830" s="139"/>
      <c r="AI1830" s="139"/>
      <c r="AJ1830" s="139"/>
      <c r="AK1830" s="139"/>
      <c r="AL1830" s="139"/>
      <c r="AM1830" s="139"/>
      <c r="AN1830" s="139"/>
      <c r="AO1830" s="139"/>
      <c r="AP1830" s="139"/>
      <c r="AQ1830" s="139"/>
      <c r="AR1830" s="139"/>
      <c r="AS1830" s="139"/>
      <c r="AT1830" s="139"/>
      <c r="AU1830" s="139"/>
      <c r="AV1830" s="139"/>
      <c r="AW1830" s="139"/>
      <c r="AX1830" s="139"/>
      <c r="AY1830" s="139"/>
      <c r="AZ1830" s="139"/>
      <c r="BA1830" s="139"/>
      <c r="BB1830" s="139"/>
      <c r="BC1830" s="139"/>
      <c r="BD1830" s="139"/>
      <c r="BE1830" s="139"/>
      <c r="BF1830" s="139"/>
      <c r="BG1830" s="139"/>
      <c r="BH1830" s="139"/>
    </row>
    <row r="1831" spans="2:60" s="11" customFormat="1" ht="20.100000000000001" customHeight="1">
      <c r="B1831" s="1360"/>
      <c r="C1831" s="9647" t="s">
        <v>633</v>
      </c>
      <c r="D1831" s="9648"/>
      <c r="E1831" s="9649"/>
      <c r="F1831" s="105" t="s">
        <v>156</v>
      </c>
      <c r="G1831" s="666"/>
      <c r="H1831" s="9579" t="s">
        <v>150</v>
      </c>
      <c r="I1831" s="9580"/>
      <c r="J1831" s="9581"/>
      <c r="K1831" s="105" t="s">
        <v>156</v>
      </c>
      <c r="L1831" s="5723">
        <v>58.75</v>
      </c>
      <c r="M1831" s="5863"/>
      <c r="N1831" s="5864">
        <v>68.269230769230774</v>
      </c>
      <c r="O1831" s="5717"/>
      <c r="P1831" s="5864">
        <v>78.9423984891407</v>
      </c>
      <c r="Q1831" s="5717"/>
      <c r="R1831" s="2468"/>
      <c r="S1831" s="544"/>
      <c r="T1831" s="545"/>
      <c r="U1831" s="546"/>
      <c r="V1831" s="547"/>
      <c r="W1831" s="548"/>
      <c r="X1831" s="277"/>
      <c r="Y1831" s="277"/>
      <c r="Z1831" s="187"/>
      <c r="AA1831" s="6301"/>
      <c r="AB1831" s="139"/>
      <c r="AC1831" s="139"/>
      <c r="AD1831" s="139"/>
      <c r="AE1831" s="139"/>
      <c r="AF1831" s="139"/>
      <c r="AG1831" s="139"/>
      <c r="AH1831" s="139"/>
      <c r="AI1831" s="139"/>
      <c r="AJ1831" s="139"/>
      <c r="AK1831" s="139"/>
      <c r="AL1831" s="139"/>
      <c r="AM1831" s="139"/>
      <c r="AN1831" s="139"/>
      <c r="AO1831" s="139"/>
      <c r="AP1831" s="139"/>
      <c r="AQ1831" s="139"/>
      <c r="AR1831" s="139"/>
      <c r="AS1831" s="139"/>
      <c r="AT1831" s="139"/>
      <c r="AU1831" s="139"/>
      <c r="AV1831" s="139"/>
      <c r="AW1831" s="139"/>
      <c r="AX1831" s="139"/>
      <c r="AY1831" s="139"/>
      <c r="AZ1831" s="139"/>
      <c r="BA1831" s="139"/>
      <c r="BB1831" s="139"/>
      <c r="BC1831" s="139"/>
      <c r="BD1831" s="139"/>
      <c r="BE1831" s="139"/>
      <c r="BF1831" s="139"/>
      <c r="BG1831" s="139"/>
      <c r="BH1831" s="139"/>
    </row>
    <row r="1832" spans="2:60" s="11" customFormat="1" ht="20.100000000000001" customHeight="1">
      <c r="B1832" s="1360"/>
      <c r="C1832" s="1388"/>
      <c r="D1832" s="9584" t="s">
        <v>1342</v>
      </c>
      <c r="E1832" s="9585"/>
      <c r="F1832" s="105" t="s">
        <v>742</v>
      </c>
      <c r="G1832" s="777"/>
      <c r="H1832" s="1223"/>
      <c r="I1832" s="9584" t="s">
        <v>1343</v>
      </c>
      <c r="J1832" s="9585"/>
      <c r="K1832" s="105" t="s">
        <v>734</v>
      </c>
      <c r="L1832" s="5783">
        <f>IF(COUNTBLANK(L1833:L1838)&gt;0,"미취합법인有",SUM(L1833:L1838))</f>
        <v>1181</v>
      </c>
      <c r="M1832" s="5784"/>
      <c r="N1832" s="5944">
        <f>IF(COUNTBLANK(N1833:N1838)&gt;0,"미취합법인有",SUM(N1833:N1838))</f>
        <v>1376</v>
      </c>
      <c r="O1832" s="5663"/>
      <c r="P1832" s="5781" t="str">
        <f>IF(COUNTBLANK(P1833:P1838)&gt;0,"미취합법인有",SUM(P1833:P1838))</f>
        <v>미취합법인有</v>
      </c>
      <c r="Q1832" s="785"/>
      <c r="R1832" s="2468"/>
      <c r="S1832" s="276"/>
      <c r="T1832" s="109" t="s">
        <v>206</v>
      </c>
      <c r="U1832" s="547"/>
      <c r="V1832" s="547"/>
      <c r="W1832" s="109"/>
      <c r="X1832" s="265" t="s">
        <v>1341</v>
      </c>
      <c r="Y1832" s="265"/>
      <c r="Z1832" s="982"/>
      <c r="AA1832" s="6301"/>
      <c r="AB1832" s="139"/>
      <c r="AC1832" s="139"/>
      <c r="AD1832" s="139"/>
      <c r="AE1832" s="139"/>
      <c r="AF1832" s="139"/>
      <c r="AG1832" s="139"/>
      <c r="AH1832" s="139"/>
      <c r="AI1832" s="139"/>
      <c r="AJ1832" s="139"/>
      <c r="AK1832" s="139"/>
      <c r="AL1832" s="139"/>
      <c r="AM1832" s="139"/>
      <c r="AN1832" s="139"/>
      <c r="AO1832" s="139"/>
      <c r="AP1832" s="139"/>
      <c r="AQ1832" s="139"/>
      <c r="AR1832" s="139"/>
      <c r="AS1832" s="139"/>
      <c r="AT1832" s="139"/>
      <c r="AU1832" s="139"/>
      <c r="AV1832" s="139"/>
      <c r="AW1832" s="139"/>
      <c r="AX1832" s="139"/>
      <c r="AY1832" s="139"/>
      <c r="AZ1832" s="139"/>
      <c r="BA1832" s="139"/>
      <c r="BB1832" s="139"/>
      <c r="BC1832" s="139"/>
      <c r="BD1832" s="139"/>
      <c r="BE1832" s="139"/>
      <c r="BF1832" s="139"/>
      <c r="BG1832" s="139"/>
      <c r="BH1832" s="139"/>
    </row>
    <row r="1833" spans="2:60" s="11" customFormat="1" ht="20.100000000000001" customHeight="1">
      <c r="B1833" s="1360"/>
      <c r="C1833" s="614"/>
      <c r="D1833" s="9598" t="s">
        <v>134</v>
      </c>
      <c r="E1833" s="9600"/>
      <c r="F1833" s="105" t="s">
        <v>742</v>
      </c>
      <c r="G1833" s="666"/>
      <c r="H1833" s="666"/>
      <c r="I1833" s="9579" t="s">
        <v>135</v>
      </c>
      <c r="J1833" s="9581"/>
      <c r="K1833" s="105" t="s">
        <v>734</v>
      </c>
      <c r="L1833" s="6392">
        <v>1</v>
      </c>
      <c r="M1833" s="6422" t="s">
        <v>1344</v>
      </c>
      <c r="N1833" s="6393">
        <v>1</v>
      </c>
      <c r="O1833" s="6423" t="s">
        <v>1344</v>
      </c>
      <c r="P1833" s="6418">
        <v>4686</v>
      </c>
      <c r="Q1833" s="6417" t="s">
        <v>1345</v>
      </c>
      <c r="R1833" s="2483"/>
      <c r="S1833" s="544"/>
      <c r="T1833" s="545"/>
      <c r="U1833" s="546"/>
      <c r="V1833" s="547"/>
      <c r="W1833" s="548"/>
      <c r="X1833" s="277"/>
      <c r="Y1833" s="277"/>
      <c r="Z1833" s="187"/>
      <c r="AA1833" s="6301"/>
      <c r="AB1833" s="139"/>
      <c r="AC1833" s="139"/>
      <c r="AD1833" s="139"/>
      <c r="AE1833" s="139"/>
      <c r="AF1833" s="139"/>
      <c r="AG1833" s="139"/>
      <c r="AH1833" s="139"/>
      <c r="AI1833" s="139"/>
      <c r="AJ1833" s="139"/>
      <c r="AK1833" s="139"/>
      <c r="AL1833" s="139"/>
      <c r="AM1833" s="139"/>
      <c r="AN1833" s="139"/>
      <c r="AO1833" s="139"/>
      <c r="AP1833" s="139"/>
      <c r="AQ1833" s="139"/>
      <c r="AR1833" s="139"/>
      <c r="AS1833" s="139"/>
      <c r="AT1833" s="139"/>
      <c r="AU1833" s="139"/>
      <c r="AV1833" s="139"/>
      <c r="AW1833" s="139"/>
      <c r="AX1833" s="139"/>
      <c r="AY1833" s="139"/>
      <c r="AZ1833" s="139"/>
      <c r="BA1833" s="139"/>
      <c r="BB1833" s="139"/>
      <c r="BC1833" s="139"/>
      <c r="BD1833" s="139"/>
      <c r="BE1833" s="139"/>
      <c r="BF1833" s="139"/>
      <c r="BG1833" s="139"/>
      <c r="BH1833" s="139"/>
    </row>
    <row r="1834" spans="2:60" s="11" customFormat="1" ht="20.100000000000001" customHeight="1">
      <c r="B1834" s="1360"/>
      <c r="C1834" s="5598"/>
      <c r="D1834" s="9598" t="s">
        <v>137</v>
      </c>
      <c r="E1834" s="9600"/>
      <c r="F1834" s="105" t="s">
        <v>742</v>
      </c>
      <c r="G1834" s="666"/>
      <c r="H1834" s="666"/>
      <c r="I1834" s="9579" t="s">
        <v>138</v>
      </c>
      <c r="J1834" s="9581"/>
      <c r="K1834" s="105" t="s">
        <v>734</v>
      </c>
      <c r="L1834" s="5705">
        <v>0</v>
      </c>
      <c r="M1834" s="5719" t="s">
        <v>1346</v>
      </c>
      <c r="N1834" s="5730">
        <v>167</v>
      </c>
      <c r="O1834" s="5720"/>
      <c r="P1834" s="5856">
        <v>221</v>
      </c>
      <c r="Q1834" s="5717"/>
      <c r="R1834" s="2483"/>
      <c r="S1834" s="544"/>
      <c r="T1834" s="545"/>
      <c r="U1834" s="546"/>
      <c r="V1834" s="547"/>
      <c r="W1834" s="548"/>
      <c r="X1834" s="277"/>
      <c r="Y1834" s="277"/>
      <c r="Z1834" s="187"/>
      <c r="AA1834" s="6301"/>
      <c r="AB1834" s="1377" t="s">
        <v>1347</v>
      </c>
      <c r="AC1834" s="139"/>
      <c r="AD1834" s="139"/>
      <c r="AE1834" s="139"/>
      <c r="AF1834" s="139"/>
      <c r="AG1834" s="139"/>
      <c r="AH1834" s="139"/>
      <c r="AI1834" s="139"/>
      <c r="AJ1834" s="139"/>
      <c r="AK1834" s="139"/>
      <c r="AL1834" s="139"/>
      <c r="AM1834" s="139"/>
      <c r="AN1834" s="139"/>
      <c r="AO1834" s="139"/>
      <c r="AP1834" s="139"/>
      <c r="AQ1834" s="139"/>
      <c r="AR1834" s="139"/>
      <c r="AS1834" s="139"/>
      <c r="AT1834" s="139"/>
      <c r="AU1834" s="139"/>
      <c r="AV1834" s="139"/>
      <c r="AW1834" s="139"/>
      <c r="AX1834" s="139"/>
      <c r="AY1834" s="139"/>
      <c r="AZ1834" s="139"/>
      <c r="BA1834" s="139"/>
      <c r="BB1834" s="139"/>
      <c r="BC1834" s="139"/>
      <c r="BD1834" s="139"/>
      <c r="BE1834" s="139"/>
      <c r="BF1834" s="139"/>
      <c r="BG1834" s="139"/>
      <c r="BH1834" s="139"/>
    </row>
    <row r="1835" spans="2:60" s="11" customFormat="1" ht="20.100000000000001" customHeight="1">
      <c r="B1835" s="1360"/>
      <c r="C1835" s="5598"/>
      <c r="D1835" s="9598" t="s">
        <v>140</v>
      </c>
      <c r="E1835" s="9600"/>
      <c r="F1835" s="105" t="s">
        <v>742</v>
      </c>
      <c r="G1835" s="666"/>
      <c r="H1835" s="666"/>
      <c r="I1835" s="9582" t="s">
        <v>141</v>
      </c>
      <c r="J1835" s="9583"/>
      <c r="K1835" s="105" t="s">
        <v>734</v>
      </c>
      <c r="L1835" s="5696">
        <v>0</v>
      </c>
      <c r="M1835" s="5718"/>
      <c r="N1835" s="5729">
        <v>0</v>
      </c>
      <c r="O1835" s="5716"/>
      <c r="P1835" s="5855">
        <v>0</v>
      </c>
      <c r="Q1835" s="5717"/>
      <c r="R1835" s="2483"/>
      <c r="S1835" s="544"/>
      <c r="T1835" s="545"/>
      <c r="U1835" s="546"/>
      <c r="V1835" s="547"/>
      <c r="W1835" s="548"/>
      <c r="X1835" s="277"/>
      <c r="Y1835" s="277"/>
      <c r="Z1835" s="187"/>
      <c r="AA1835" s="6301"/>
      <c r="AB1835" s="139"/>
      <c r="AC1835" s="139"/>
      <c r="AD1835" s="139"/>
      <c r="AE1835" s="139"/>
      <c r="AF1835" s="139"/>
      <c r="AG1835" s="139"/>
      <c r="AH1835" s="139"/>
      <c r="AI1835" s="139"/>
      <c r="AJ1835" s="139"/>
      <c r="AK1835" s="139"/>
      <c r="AL1835" s="139"/>
      <c r="AM1835" s="139"/>
      <c r="AN1835" s="139"/>
      <c r="AO1835" s="139"/>
      <c r="AP1835" s="139"/>
      <c r="AQ1835" s="139"/>
      <c r="AR1835" s="139"/>
      <c r="AS1835" s="139"/>
      <c r="AT1835" s="139"/>
      <c r="AU1835" s="139"/>
      <c r="AV1835" s="139"/>
      <c r="AW1835" s="139"/>
      <c r="AX1835" s="139"/>
      <c r="AY1835" s="139"/>
      <c r="AZ1835" s="139"/>
      <c r="BA1835" s="139"/>
      <c r="BB1835" s="139"/>
      <c r="BC1835" s="139"/>
      <c r="BD1835" s="139"/>
      <c r="BE1835" s="139"/>
      <c r="BF1835" s="139"/>
      <c r="BG1835" s="139"/>
      <c r="BH1835" s="139"/>
    </row>
    <row r="1836" spans="2:60" s="11" customFormat="1" ht="20.100000000000001" customHeight="1">
      <c r="B1836" s="1360"/>
      <c r="C1836" s="614"/>
      <c r="D1836" s="9598" t="s">
        <v>143</v>
      </c>
      <c r="E1836" s="9600"/>
      <c r="F1836" s="105" t="s">
        <v>742</v>
      </c>
      <c r="G1836" s="666"/>
      <c r="H1836" s="666"/>
      <c r="I1836" s="9582" t="s">
        <v>144</v>
      </c>
      <c r="J1836" s="9583"/>
      <c r="K1836" s="105" t="s">
        <v>734</v>
      </c>
      <c r="L1836" s="5696">
        <v>428</v>
      </c>
      <c r="M1836" s="5718" t="s">
        <v>1348</v>
      </c>
      <c r="N1836" s="5729">
        <v>427</v>
      </c>
      <c r="O1836" s="5716" t="s">
        <v>1348</v>
      </c>
      <c r="P1836" s="6489">
        <v>416</v>
      </c>
      <c r="Q1836" s="5717"/>
      <c r="R1836" s="2483"/>
      <c r="S1836" s="544"/>
      <c r="T1836" s="545"/>
      <c r="U1836" s="546"/>
      <c r="V1836" s="547"/>
      <c r="W1836" s="548"/>
      <c r="X1836" s="277"/>
      <c r="Y1836" s="277"/>
      <c r="Z1836" s="187"/>
      <c r="AA1836" s="6301"/>
      <c r="AB1836" s="1377" t="s">
        <v>1349</v>
      </c>
      <c r="AC1836" s="139"/>
      <c r="AD1836" s="139"/>
      <c r="AE1836" s="139"/>
      <c r="AF1836" s="139"/>
      <c r="AG1836" s="139"/>
      <c r="AH1836" s="139"/>
      <c r="AI1836" s="139"/>
      <c r="AJ1836" s="139"/>
      <c r="AK1836" s="139"/>
      <c r="AL1836" s="139"/>
      <c r="AM1836" s="139"/>
      <c r="AN1836" s="139"/>
      <c r="AO1836" s="139"/>
      <c r="AP1836" s="139"/>
      <c r="AQ1836" s="139"/>
      <c r="AR1836" s="139"/>
      <c r="AS1836" s="139"/>
      <c r="AT1836" s="139"/>
      <c r="AU1836" s="139"/>
      <c r="AV1836" s="139"/>
      <c r="AW1836" s="139"/>
      <c r="AX1836" s="139"/>
      <c r="AY1836" s="139"/>
      <c r="AZ1836" s="139"/>
      <c r="BA1836" s="139"/>
      <c r="BB1836" s="139"/>
      <c r="BC1836" s="139"/>
      <c r="BD1836" s="139"/>
      <c r="BE1836" s="139"/>
      <c r="BF1836" s="139"/>
      <c r="BG1836" s="139"/>
      <c r="BH1836" s="139"/>
    </row>
    <row r="1837" spans="2:60" s="11" customFormat="1" ht="20.100000000000001" customHeight="1">
      <c r="B1837" s="1360"/>
      <c r="C1837" s="5598"/>
      <c r="D1837" s="9598" t="s">
        <v>631</v>
      </c>
      <c r="E1837" s="9600"/>
      <c r="F1837" s="105" t="s">
        <v>742</v>
      </c>
      <c r="G1837" s="666"/>
      <c r="H1837" s="666"/>
      <c r="I1837" s="9582" t="s">
        <v>147</v>
      </c>
      <c r="J1837" s="9583"/>
      <c r="K1837" s="105" t="s">
        <v>734</v>
      </c>
      <c r="L1837" s="5696">
        <v>0</v>
      </c>
      <c r="M1837" s="5718" t="s">
        <v>1350</v>
      </c>
      <c r="N1837" s="5729">
        <v>0</v>
      </c>
      <c r="O1837" s="5716" t="s">
        <v>1350</v>
      </c>
      <c r="P1837" s="5855"/>
      <c r="Q1837" s="5717"/>
      <c r="R1837" s="2483"/>
      <c r="S1837" s="544"/>
      <c r="T1837" s="545"/>
      <c r="U1837" s="546"/>
      <c r="V1837" s="547"/>
      <c r="W1837" s="548"/>
      <c r="X1837" s="277"/>
      <c r="Y1837" s="277"/>
      <c r="Z1837" s="187"/>
      <c r="AA1837" s="6301"/>
      <c r="AB1837" s="139"/>
      <c r="AC1837" s="139"/>
      <c r="AD1837" s="139"/>
      <c r="AE1837" s="139"/>
      <c r="AF1837" s="139"/>
      <c r="AG1837" s="139"/>
      <c r="AH1837" s="139"/>
      <c r="AI1837" s="139"/>
      <c r="AJ1837" s="139"/>
      <c r="AK1837" s="139"/>
      <c r="AL1837" s="139"/>
      <c r="AM1837" s="139"/>
      <c r="AN1837" s="139"/>
      <c r="AO1837" s="139"/>
      <c r="AP1837" s="139"/>
      <c r="AQ1837" s="139"/>
      <c r="AR1837" s="139"/>
      <c r="AS1837" s="139"/>
      <c r="AT1837" s="139"/>
      <c r="AU1837" s="139"/>
      <c r="AV1837" s="139"/>
      <c r="AW1837" s="139"/>
      <c r="AX1837" s="139"/>
      <c r="AY1837" s="139"/>
      <c r="AZ1837" s="139"/>
      <c r="BA1837" s="139"/>
      <c r="BB1837" s="139"/>
      <c r="BC1837" s="139"/>
      <c r="BD1837" s="139"/>
      <c r="BE1837" s="139"/>
      <c r="BF1837" s="139"/>
      <c r="BG1837" s="139"/>
      <c r="BH1837" s="139"/>
    </row>
    <row r="1838" spans="2:60" s="11" customFormat="1" ht="20.100000000000001" customHeight="1">
      <c r="B1838" s="1360"/>
      <c r="C1838" s="5598"/>
      <c r="D1838" s="9598" t="s">
        <v>633</v>
      </c>
      <c r="E1838" s="9600"/>
      <c r="F1838" s="105" t="s">
        <v>742</v>
      </c>
      <c r="G1838" s="666"/>
      <c r="H1838" s="666"/>
      <c r="I1838" s="9582" t="s">
        <v>150</v>
      </c>
      <c r="J1838" s="9583"/>
      <c r="K1838" s="105" t="s">
        <v>734</v>
      </c>
      <c r="L1838" s="5696">
        <v>752</v>
      </c>
      <c r="M1838" s="5718"/>
      <c r="N1838" s="5729">
        <v>781</v>
      </c>
      <c r="O1838" s="5718"/>
      <c r="P1838" s="5729">
        <v>836</v>
      </c>
      <c r="Q1838" s="5717"/>
      <c r="R1838" s="276"/>
      <c r="S1838" s="276"/>
      <c r="T1838" s="545"/>
      <c r="U1838" s="546"/>
      <c r="V1838" s="547"/>
      <c r="W1838" s="548"/>
      <c r="X1838" s="277"/>
      <c r="Y1838" s="277"/>
      <c r="Z1838" s="187"/>
      <c r="AA1838" s="6301"/>
      <c r="AB1838" s="139"/>
      <c r="AC1838" s="139"/>
      <c r="AD1838" s="139"/>
      <c r="AE1838" s="139"/>
      <c r="AF1838" s="139"/>
      <c r="AG1838" s="139"/>
      <c r="AH1838" s="139"/>
      <c r="AI1838" s="139"/>
      <c r="AJ1838" s="139"/>
      <c r="AK1838" s="139"/>
      <c r="AL1838" s="139"/>
      <c r="AM1838" s="139"/>
      <c r="AN1838" s="139"/>
      <c r="AO1838" s="139"/>
      <c r="AP1838" s="139"/>
      <c r="AQ1838" s="139"/>
      <c r="AR1838" s="139"/>
      <c r="AS1838" s="139"/>
      <c r="AT1838" s="139"/>
      <c r="AU1838" s="139"/>
      <c r="AV1838" s="139"/>
      <c r="AW1838" s="139"/>
      <c r="AX1838" s="139"/>
      <c r="AY1838" s="139"/>
      <c r="AZ1838" s="139"/>
      <c r="BA1838" s="139"/>
      <c r="BB1838" s="139"/>
      <c r="BC1838" s="139"/>
      <c r="BD1838" s="139"/>
      <c r="BE1838" s="139"/>
      <c r="BF1838" s="139"/>
      <c r="BG1838" s="139"/>
      <c r="BH1838" s="139"/>
    </row>
    <row r="1839" spans="2:60" s="11" customFormat="1" ht="20.100000000000001" customHeight="1">
      <c r="B1839" s="1360"/>
      <c r="C1839" s="1389"/>
      <c r="D1839" s="9584" t="s">
        <v>1351</v>
      </c>
      <c r="E1839" s="9585"/>
      <c r="F1839" s="105" t="s">
        <v>742</v>
      </c>
      <c r="G1839" s="777"/>
      <c r="H1839" s="1223"/>
      <c r="I1839" s="9584" t="s">
        <v>1032</v>
      </c>
      <c r="J1839" s="9585"/>
      <c r="K1839" s="105" t="s">
        <v>734</v>
      </c>
      <c r="L1839" s="5783">
        <f>IF(COUNTBLANK(L1840:L1845)&gt;0,"미취합법인有",SUM(L1840:L1845))</f>
        <v>2225</v>
      </c>
      <c r="M1839" s="5784"/>
      <c r="N1839" s="5785">
        <f>IF(COUNTBLANK(N1840:N1845)&gt;0,"미취합법인有",SUM(N1840:N1845))</f>
        <v>2281</v>
      </c>
      <c r="O1839" s="5663"/>
      <c r="P1839" s="5781">
        <f>IF(COUNTBLANK(P1840:P1845)&gt;0,"미취합법인有",SUM(P1840:P1845))</f>
        <v>6378</v>
      </c>
      <c r="Q1839" s="785"/>
      <c r="R1839" s="276"/>
      <c r="S1839" s="276"/>
      <c r="T1839" s="109" t="s">
        <v>206</v>
      </c>
      <c r="U1839" s="547"/>
      <c r="V1839" s="547"/>
      <c r="W1839" s="109"/>
      <c r="X1839" s="265" t="s">
        <v>1341</v>
      </c>
      <c r="Y1839" s="265"/>
      <c r="Z1839" s="982"/>
      <c r="AA1839" s="6301"/>
      <c r="AB1839" s="139"/>
      <c r="AC1839" s="139"/>
      <c r="AD1839" s="139"/>
      <c r="AE1839" s="139"/>
      <c r="AF1839" s="139"/>
      <c r="AG1839" s="139"/>
      <c r="AH1839" s="139"/>
      <c r="AI1839" s="139"/>
      <c r="AJ1839" s="139"/>
      <c r="AK1839" s="139"/>
      <c r="AL1839" s="139"/>
      <c r="AM1839" s="139"/>
      <c r="AN1839" s="139"/>
      <c r="AO1839" s="139"/>
      <c r="AP1839" s="139"/>
      <c r="AQ1839" s="139"/>
      <c r="AR1839" s="139"/>
      <c r="AS1839" s="139"/>
      <c r="AT1839" s="139"/>
      <c r="AU1839" s="139"/>
      <c r="AV1839" s="139"/>
      <c r="AW1839" s="139"/>
      <c r="AX1839" s="139"/>
      <c r="AY1839" s="139"/>
      <c r="AZ1839" s="139"/>
      <c r="BA1839" s="139"/>
      <c r="BB1839" s="139"/>
      <c r="BC1839" s="139"/>
      <c r="BD1839" s="139"/>
      <c r="BE1839" s="139"/>
      <c r="BF1839" s="139"/>
      <c r="BG1839" s="139"/>
      <c r="BH1839" s="139"/>
    </row>
    <row r="1840" spans="2:60" s="11" customFormat="1" ht="20.100000000000001" customHeight="1">
      <c r="B1840" s="1360"/>
      <c r="C1840" s="614"/>
      <c r="D1840" s="9598" t="s">
        <v>134</v>
      </c>
      <c r="E1840" s="9600"/>
      <c r="F1840" s="105" t="s">
        <v>742</v>
      </c>
      <c r="G1840" s="666"/>
      <c r="H1840" s="666"/>
      <c r="I1840" s="9579" t="s">
        <v>135</v>
      </c>
      <c r="J1840" s="9581"/>
      <c r="K1840" s="105" t="s">
        <v>734</v>
      </c>
      <c r="L1840" s="6392">
        <v>0</v>
      </c>
      <c r="M1840" s="6422"/>
      <c r="N1840" s="6393">
        <v>0</v>
      </c>
      <c r="O1840" s="6423">
        <v>0</v>
      </c>
      <c r="P1840" s="6418">
        <v>4686</v>
      </c>
      <c r="Q1840" s="6417" t="s">
        <v>1345</v>
      </c>
      <c r="R1840" s="276"/>
      <c r="S1840" s="276"/>
      <c r="T1840" s="545"/>
      <c r="U1840" s="546"/>
      <c r="V1840" s="547"/>
      <c r="W1840" s="548"/>
      <c r="X1840" s="277"/>
      <c r="Y1840" s="277"/>
      <c r="Z1840" s="187"/>
      <c r="AA1840" s="6301"/>
      <c r="AB1840" s="6405" t="s">
        <v>1347</v>
      </c>
      <c r="AC1840" s="139"/>
      <c r="AD1840" s="139"/>
      <c r="AE1840" s="139"/>
      <c r="AF1840" s="139"/>
      <c r="AG1840" s="139"/>
      <c r="AH1840" s="139"/>
      <c r="AI1840" s="139"/>
      <c r="AJ1840" s="139"/>
      <c r="AK1840" s="139"/>
      <c r="AL1840" s="139"/>
      <c r="AM1840" s="139"/>
      <c r="AN1840" s="139"/>
      <c r="AO1840" s="139"/>
      <c r="AP1840" s="139"/>
      <c r="AQ1840" s="139"/>
      <c r="AR1840" s="139"/>
      <c r="AS1840" s="139"/>
      <c r="AT1840" s="139"/>
      <c r="AU1840" s="139"/>
      <c r="AV1840" s="139"/>
      <c r="AW1840" s="139"/>
      <c r="AX1840" s="139"/>
      <c r="AY1840" s="139"/>
      <c r="AZ1840" s="139"/>
      <c r="BA1840" s="139"/>
      <c r="BB1840" s="139"/>
      <c r="BC1840" s="139"/>
      <c r="BD1840" s="139"/>
      <c r="BE1840" s="139"/>
      <c r="BF1840" s="139"/>
      <c r="BG1840" s="139"/>
      <c r="BH1840" s="139"/>
    </row>
    <row r="1841" spans="2:60" s="11" customFormat="1" ht="20.100000000000001" customHeight="1">
      <c r="B1841" s="1360"/>
      <c r="C1841" s="5598"/>
      <c r="D1841" s="9598" t="s">
        <v>137</v>
      </c>
      <c r="E1841" s="9600"/>
      <c r="F1841" s="105" t="s">
        <v>742</v>
      </c>
      <c r="G1841" s="666"/>
      <c r="H1841" s="666"/>
      <c r="I1841" s="9579" t="s">
        <v>138</v>
      </c>
      <c r="J1841" s="9581"/>
      <c r="K1841" s="105" t="s">
        <v>734</v>
      </c>
      <c r="L1841" s="5705">
        <v>0</v>
      </c>
      <c r="M1841" s="5719" t="s">
        <v>1346</v>
      </c>
      <c r="N1841" s="5730">
        <v>167</v>
      </c>
      <c r="O1841" s="5720"/>
      <c r="P1841" s="5856">
        <v>221</v>
      </c>
      <c r="Q1841" s="5717"/>
      <c r="R1841" s="276"/>
      <c r="S1841" s="276"/>
      <c r="T1841" s="545"/>
      <c r="U1841" s="546"/>
      <c r="V1841" s="547"/>
      <c r="W1841" s="548"/>
      <c r="X1841" s="277"/>
      <c r="Y1841" s="277"/>
      <c r="Z1841" s="187"/>
      <c r="AA1841" s="6301"/>
      <c r="AB1841" s="139"/>
      <c r="AC1841" s="139"/>
      <c r="AD1841" s="139"/>
      <c r="AE1841" s="139"/>
      <c r="AF1841" s="139"/>
      <c r="AG1841" s="139"/>
      <c r="AH1841" s="139"/>
      <c r="AI1841" s="139"/>
      <c r="AJ1841" s="139"/>
      <c r="AK1841" s="139"/>
      <c r="AL1841" s="139"/>
      <c r="AM1841" s="139"/>
      <c r="AN1841" s="139"/>
      <c r="AO1841" s="139"/>
      <c r="AP1841" s="139"/>
      <c r="AQ1841" s="139"/>
      <c r="AR1841" s="139"/>
      <c r="AS1841" s="139"/>
      <c r="AT1841" s="139"/>
      <c r="AU1841" s="139"/>
      <c r="AV1841" s="139"/>
      <c r="AW1841" s="139"/>
      <c r="AX1841" s="139"/>
      <c r="AY1841" s="139"/>
      <c r="AZ1841" s="139"/>
      <c r="BA1841" s="139"/>
      <c r="BB1841" s="139"/>
      <c r="BC1841" s="139"/>
      <c r="BD1841" s="139"/>
      <c r="BE1841" s="139"/>
      <c r="BF1841" s="139"/>
      <c r="BG1841" s="139"/>
      <c r="BH1841" s="139"/>
    </row>
    <row r="1842" spans="2:60" s="11" customFormat="1" ht="20.100000000000001" customHeight="1">
      <c r="B1842" s="1360"/>
      <c r="C1842" s="5598"/>
      <c r="D1842" s="9598" t="s">
        <v>140</v>
      </c>
      <c r="E1842" s="9600"/>
      <c r="F1842" s="105" t="s">
        <v>742</v>
      </c>
      <c r="G1842" s="666"/>
      <c r="H1842" s="666"/>
      <c r="I1842" s="9582" t="s">
        <v>141</v>
      </c>
      <c r="J1842" s="9583"/>
      <c r="K1842" s="105" t="s">
        <v>734</v>
      </c>
      <c r="L1842" s="5696">
        <v>0</v>
      </c>
      <c r="M1842" s="5718"/>
      <c r="N1842" s="5729">
        <v>0</v>
      </c>
      <c r="O1842" s="5716"/>
      <c r="P1842" s="5873">
        <v>0</v>
      </c>
      <c r="Q1842" s="5717"/>
      <c r="R1842" s="276"/>
      <c r="S1842" s="276"/>
      <c r="T1842" s="545"/>
      <c r="U1842" s="546"/>
      <c r="V1842" s="547"/>
      <c r="W1842" s="548"/>
      <c r="X1842" s="277"/>
      <c r="Y1842" s="277"/>
      <c r="Z1842" s="187"/>
      <c r="AA1842" s="6301"/>
      <c r="AB1842" s="139"/>
      <c r="AC1842" s="139"/>
      <c r="AD1842" s="139"/>
      <c r="AE1842" s="139"/>
      <c r="AF1842" s="139"/>
      <c r="AG1842" s="139"/>
      <c r="AH1842" s="139"/>
      <c r="AI1842" s="139"/>
      <c r="AJ1842" s="139"/>
      <c r="AK1842" s="139"/>
      <c r="AL1842" s="139"/>
      <c r="AM1842" s="139"/>
      <c r="AN1842" s="139"/>
      <c r="AO1842" s="139"/>
      <c r="AP1842" s="139"/>
      <c r="AQ1842" s="139"/>
      <c r="AR1842" s="139"/>
      <c r="AS1842" s="139"/>
      <c r="AT1842" s="139"/>
      <c r="AU1842" s="139"/>
      <c r="AV1842" s="139"/>
      <c r="AW1842" s="139"/>
      <c r="AX1842" s="139"/>
      <c r="AY1842" s="139"/>
      <c r="AZ1842" s="139"/>
      <c r="BA1842" s="139"/>
      <c r="BB1842" s="139"/>
      <c r="BC1842" s="139"/>
      <c r="BD1842" s="139"/>
      <c r="BE1842" s="139"/>
      <c r="BF1842" s="139"/>
      <c r="BG1842" s="139"/>
      <c r="BH1842" s="139"/>
    </row>
    <row r="1843" spans="2:60" s="11" customFormat="1" ht="20.100000000000001" customHeight="1">
      <c r="B1843" s="1360"/>
      <c r="C1843" s="614"/>
      <c r="D1843" s="9598" t="s">
        <v>143</v>
      </c>
      <c r="E1843" s="9600"/>
      <c r="F1843" s="105" t="s">
        <v>742</v>
      </c>
      <c r="G1843" s="666"/>
      <c r="H1843" s="666"/>
      <c r="I1843" s="9582" t="s">
        <v>144</v>
      </c>
      <c r="J1843" s="9583"/>
      <c r="K1843" s="105" t="s">
        <v>734</v>
      </c>
      <c r="L1843" s="5696">
        <v>564</v>
      </c>
      <c r="M1843" s="5718" t="s">
        <v>759</v>
      </c>
      <c r="N1843" s="5729">
        <v>577</v>
      </c>
      <c r="O1843" s="5716" t="s">
        <v>759</v>
      </c>
      <c r="P1843" s="5878">
        <v>0</v>
      </c>
      <c r="Q1843" s="5717"/>
      <c r="R1843" s="276"/>
      <c r="S1843" s="276"/>
      <c r="T1843" s="545"/>
      <c r="U1843" s="546"/>
      <c r="V1843" s="547"/>
      <c r="W1843" s="548"/>
      <c r="X1843" s="277"/>
      <c r="Y1843" s="277"/>
      <c r="Z1843" s="187"/>
      <c r="AA1843" s="6301"/>
      <c r="AB1843" s="139"/>
      <c r="AC1843" s="139"/>
      <c r="AD1843" s="139"/>
      <c r="AE1843" s="139"/>
      <c r="AF1843" s="139"/>
      <c r="AG1843" s="139"/>
      <c r="AH1843" s="139"/>
      <c r="AI1843" s="139"/>
      <c r="AJ1843" s="139"/>
      <c r="AK1843" s="139"/>
      <c r="AL1843" s="139"/>
      <c r="AM1843" s="139"/>
      <c r="AN1843" s="139"/>
      <c r="AO1843" s="139"/>
      <c r="AP1843" s="139"/>
      <c r="AQ1843" s="139"/>
      <c r="AR1843" s="139"/>
      <c r="AS1843" s="139"/>
      <c r="AT1843" s="139"/>
      <c r="AU1843" s="139"/>
      <c r="AV1843" s="139"/>
      <c r="AW1843" s="139"/>
      <c r="AX1843" s="139"/>
      <c r="AY1843" s="139"/>
      <c r="AZ1843" s="139"/>
      <c r="BA1843" s="139"/>
      <c r="BB1843" s="139"/>
      <c r="BC1843" s="139"/>
      <c r="BD1843" s="139"/>
      <c r="BE1843" s="139"/>
      <c r="BF1843" s="139"/>
      <c r="BG1843" s="139"/>
      <c r="BH1843" s="139"/>
    </row>
    <row r="1844" spans="2:60" s="11" customFormat="1" ht="20.100000000000001" customHeight="1">
      <c r="B1844" s="1360"/>
      <c r="C1844" s="5598"/>
      <c r="D1844" s="9598" t="s">
        <v>631</v>
      </c>
      <c r="E1844" s="9600"/>
      <c r="F1844" s="105" t="s">
        <v>742</v>
      </c>
      <c r="G1844" s="666"/>
      <c r="H1844" s="666"/>
      <c r="I1844" s="9582" t="s">
        <v>147</v>
      </c>
      <c r="J1844" s="9583"/>
      <c r="K1844" s="105" t="s">
        <v>734</v>
      </c>
      <c r="L1844" s="5696">
        <v>381</v>
      </c>
      <c r="M1844" s="5718"/>
      <c r="N1844" s="5729">
        <v>393</v>
      </c>
      <c r="O1844" s="5716"/>
      <c r="P1844" s="5855">
        <v>412</v>
      </c>
      <c r="Q1844" s="5717"/>
      <c r="R1844" s="276"/>
      <c r="S1844" s="276"/>
      <c r="T1844" s="545"/>
      <c r="U1844" s="546"/>
      <c r="V1844" s="547"/>
      <c r="W1844" s="548"/>
      <c r="X1844" s="277"/>
      <c r="Y1844" s="277"/>
      <c r="Z1844" s="187"/>
      <c r="AA1844" s="6301"/>
      <c r="AB1844" s="139"/>
      <c r="AC1844" s="139"/>
      <c r="AD1844" s="139"/>
      <c r="AE1844" s="139"/>
      <c r="AF1844" s="139"/>
      <c r="AG1844" s="139"/>
      <c r="AH1844" s="139"/>
      <c r="AI1844" s="139"/>
      <c r="AJ1844" s="139"/>
      <c r="AK1844" s="139"/>
      <c r="AL1844" s="139"/>
      <c r="AM1844" s="139"/>
      <c r="AN1844" s="139"/>
      <c r="AO1844" s="139"/>
      <c r="AP1844" s="139"/>
      <c r="AQ1844" s="139"/>
      <c r="AR1844" s="139"/>
      <c r="AS1844" s="139"/>
      <c r="AT1844" s="139"/>
      <c r="AU1844" s="139"/>
      <c r="AV1844" s="139"/>
      <c r="AW1844" s="139"/>
      <c r="AX1844" s="139"/>
      <c r="AY1844" s="139"/>
      <c r="AZ1844" s="139"/>
      <c r="BA1844" s="139"/>
      <c r="BB1844" s="139"/>
      <c r="BC1844" s="139"/>
      <c r="BD1844" s="139"/>
      <c r="BE1844" s="139"/>
      <c r="BF1844" s="139"/>
      <c r="BG1844" s="139"/>
      <c r="BH1844" s="139"/>
    </row>
    <row r="1845" spans="2:60" s="11" customFormat="1" ht="20.100000000000001" customHeight="1">
      <c r="B1845" s="1360"/>
      <c r="C1845" s="5598"/>
      <c r="D1845" s="9598" t="s">
        <v>633</v>
      </c>
      <c r="E1845" s="9600"/>
      <c r="F1845" s="105" t="s">
        <v>742</v>
      </c>
      <c r="G1845" s="666"/>
      <c r="H1845" s="666"/>
      <c r="I1845" s="9582" t="s">
        <v>150</v>
      </c>
      <c r="J1845" s="9583"/>
      <c r="K1845" s="105" t="s">
        <v>734</v>
      </c>
      <c r="L1845" s="5789">
        <v>1280</v>
      </c>
      <c r="M1845" s="5718"/>
      <c r="N1845" s="6005">
        <v>1144</v>
      </c>
      <c r="O1845" s="5718"/>
      <c r="P1845" s="6005">
        <v>1059</v>
      </c>
      <c r="Q1845" s="5717"/>
      <c r="R1845" s="276"/>
      <c r="S1845" s="276"/>
      <c r="T1845" s="545"/>
      <c r="U1845" s="546"/>
      <c r="V1845" s="547"/>
      <c r="W1845" s="548"/>
      <c r="X1845" s="277"/>
      <c r="Y1845" s="277"/>
      <c r="Z1845" s="187"/>
      <c r="AA1845" s="6301"/>
      <c r="AB1845" s="139"/>
      <c r="AC1845" s="139"/>
      <c r="AD1845" s="139"/>
      <c r="AE1845" s="139"/>
      <c r="AF1845" s="139"/>
      <c r="AG1845" s="139"/>
      <c r="AH1845" s="139"/>
      <c r="AI1845" s="139"/>
      <c r="AJ1845" s="139"/>
      <c r="AK1845" s="139"/>
      <c r="AL1845" s="139"/>
      <c r="AM1845" s="139"/>
      <c r="AN1845" s="139"/>
      <c r="AO1845" s="139"/>
      <c r="AP1845" s="139"/>
      <c r="AQ1845" s="139"/>
      <c r="AR1845" s="139"/>
      <c r="AS1845" s="139"/>
      <c r="AT1845" s="139"/>
      <c r="AU1845" s="139"/>
      <c r="AV1845" s="139"/>
      <c r="AW1845" s="139"/>
      <c r="AX1845" s="139"/>
      <c r="AY1845" s="139"/>
      <c r="AZ1845" s="139"/>
      <c r="BA1845" s="139"/>
      <c r="BB1845" s="139"/>
      <c r="BC1845" s="139"/>
      <c r="BD1845" s="139"/>
      <c r="BE1845" s="139"/>
      <c r="BF1845" s="139"/>
      <c r="BG1845" s="139"/>
      <c r="BH1845" s="139"/>
    </row>
    <row r="1846" spans="2:60" s="11" customFormat="1" ht="20.100000000000001" customHeight="1">
      <c r="B1846" s="1360"/>
      <c r="C1846" s="9656" t="s">
        <v>1352</v>
      </c>
      <c r="D1846" s="9587"/>
      <c r="E1846" s="9588"/>
      <c r="F1846" s="119" t="s">
        <v>156</v>
      </c>
      <c r="G1846" s="961"/>
      <c r="H1846" s="9586" t="s">
        <v>1353</v>
      </c>
      <c r="I1846" s="9587"/>
      <c r="J1846" s="9588"/>
      <c r="K1846" s="119" t="s">
        <v>156</v>
      </c>
      <c r="L1846" s="5968" t="str">
        <f>IF(COUNTBLANK(L1847:L1852)&gt;0,"미취합법인有",AVERAGE(L1847:L1852))</f>
        <v>미취합법인有</v>
      </c>
      <c r="M1846" s="5657"/>
      <c r="N1846" s="5654" t="str">
        <f>IF(COUNTBLANK(N1847:N1852)&gt;0,"미취합법인有",AVERAGE(N1847:N1852))</f>
        <v>미취합법인有</v>
      </c>
      <c r="O1846" s="5663"/>
      <c r="P1846" s="5781" t="str">
        <f>IF(COUNTBLANK(P1847:P1852)&gt;0,"미취합법인有",AVERAGE(P1847:P1852))</f>
        <v>미취합법인有</v>
      </c>
      <c r="Q1846" s="785"/>
      <c r="R1846" s="276" t="s">
        <v>1354</v>
      </c>
      <c r="S1846" s="276" t="s">
        <v>1355</v>
      </c>
      <c r="T1846" s="109" t="s">
        <v>1356</v>
      </c>
      <c r="U1846" s="547"/>
      <c r="V1846" s="547"/>
      <c r="W1846" s="299" t="s">
        <v>193</v>
      </c>
      <c r="X1846" s="277" t="s">
        <v>1357</v>
      </c>
      <c r="Y1846" s="265"/>
      <c r="Z1846" s="982"/>
      <c r="AA1846" s="6301"/>
      <c r="AB1846" s="139"/>
      <c r="AC1846" s="139"/>
      <c r="AD1846" s="139"/>
      <c r="AE1846" s="139"/>
      <c r="AF1846" s="139"/>
      <c r="AG1846" s="139"/>
      <c r="AH1846" s="139"/>
      <c r="AI1846" s="139"/>
      <c r="AJ1846" s="139"/>
      <c r="AK1846" s="139"/>
      <c r="AL1846" s="139"/>
      <c r="AM1846" s="139"/>
      <c r="AN1846" s="139"/>
      <c r="AO1846" s="139"/>
      <c r="AP1846" s="139"/>
      <c r="AQ1846" s="139"/>
      <c r="AR1846" s="139"/>
      <c r="AS1846" s="139"/>
      <c r="AT1846" s="139"/>
      <c r="AU1846" s="139"/>
      <c r="AV1846" s="139"/>
      <c r="AW1846" s="139"/>
      <c r="AX1846" s="139"/>
      <c r="AY1846" s="139"/>
      <c r="AZ1846" s="139"/>
      <c r="BA1846" s="139"/>
      <c r="BB1846" s="139"/>
      <c r="BC1846" s="139"/>
      <c r="BD1846" s="139"/>
      <c r="BE1846" s="139"/>
      <c r="BF1846" s="139"/>
      <c r="BG1846" s="139"/>
      <c r="BH1846" s="139"/>
    </row>
    <row r="1847" spans="2:60" s="11" customFormat="1" ht="20.100000000000001" customHeight="1">
      <c r="B1847" s="1360"/>
      <c r="C1847" s="9647" t="s">
        <v>134</v>
      </c>
      <c r="D1847" s="9648"/>
      <c r="E1847" s="9649"/>
      <c r="F1847" s="119" t="s">
        <v>156</v>
      </c>
      <c r="G1847" s="666"/>
      <c r="H1847" s="9579" t="s">
        <v>135</v>
      </c>
      <c r="I1847" s="9580"/>
      <c r="J1847" s="9581"/>
      <c r="K1847" s="119" t="s">
        <v>156</v>
      </c>
      <c r="L1847" s="5594"/>
      <c r="M1847" s="5671"/>
      <c r="N1847" s="5724"/>
      <c r="O1847" s="5680"/>
      <c r="P1847" s="5678"/>
      <c r="Q1847" s="5678"/>
      <c r="R1847" s="276"/>
      <c r="S1847" s="276"/>
      <c r="T1847" s="545"/>
      <c r="U1847" s="546"/>
      <c r="V1847" s="547"/>
      <c r="W1847" s="299" t="s">
        <v>193</v>
      </c>
      <c r="X1847" s="277"/>
      <c r="Y1847" s="277"/>
      <c r="Z1847" s="187"/>
      <c r="AA1847" s="6301"/>
      <c r="AB1847" s="139"/>
      <c r="AC1847" s="139"/>
      <c r="AD1847" s="139"/>
      <c r="AE1847" s="139"/>
      <c r="AF1847" s="139"/>
      <c r="AG1847" s="139"/>
      <c r="AH1847" s="139"/>
      <c r="AI1847" s="139"/>
      <c r="AJ1847" s="139"/>
      <c r="AK1847" s="139"/>
      <c r="AL1847" s="139"/>
      <c r="AM1847" s="139"/>
      <c r="AN1847" s="139"/>
      <c r="AO1847" s="139"/>
      <c r="AP1847" s="139"/>
      <c r="AQ1847" s="139"/>
      <c r="AR1847" s="139"/>
      <c r="AS1847" s="139"/>
      <c r="AT1847" s="139"/>
      <c r="AU1847" s="139"/>
      <c r="AV1847" s="139"/>
      <c r="AW1847" s="139"/>
      <c r="AX1847" s="139"/>
      <c r="AY1847" s="139"/>
      <c r="AZ1847" s="139"/>
      <c r="BA1847" s="139"/>
      <c r="BB1847" s="139"/>
      <c r="BC1847" s="139"/>
      <c r="BD1847" s="139"/>
      <c r="BE1847" s="139"/>
      <c r="BF1847" s="139"/>
      <c r="BG1847" s="139"/>
      <c r="BH1847" s="139"/>
    </row>
    <row r="1848" spans="2:60" s="11" customFormat="1" ht="20.100000000000001" customHeight="1">
      <c r="B1848" s="1360"/>
      <c r="C1848" s="9647" t="s">
        <v>137</v>
      </c>
      <c r="D1848" s="9648"/>
      <c r="E1848" s="9649"/>
      <c r="F1848" s="119" t="s">
        <v>156</v>
      </c>
      <c r="G1848" s="666"/>
      <c r="H1848" s="9579" t="s">
        <v>138</v>
      </c>
      <c r="I1848" s="9580"/>
      <c r="J1848" s="9581"/>
      <c r="K1848" s="119" t="s">
        <v>156</v>
      </c>
      <c r="L1848" s="5594"/>
      <c r="M1848" s="5671"/>
      <c r="N1848" s="5724"/>
      <c r="O1848" s="5680"/>
      <c r="P1848" s="5725"/>
      <c r="Q1848" s="5678"/>
      <c r="R1848" s="276"/>
      <c r="S1848" s="276"/>
      <c r="T1848" s="545"/>
      <c r="U1848" s="546"/>
      <c r="V1848" s="547"/>
      <c r="W1848" s="299" t="s">
        <v>193</v>
      </c>
      <c r="X1848" s="277"/>
      <c r="Y1848" s="277"/>
      <c r="Z1848" s="187"/>
      <c r="AA1848" s="6301"/>
      <c r="AB1848" s="139"/>
      <c r="AC1848" s="139"/>
      <c r="AD1848" s="139"/>
      <c r="AE1848" s="139"/>
      <c r="AF1848" s="139"/>
      <c r="AG1848" s="139"/>
      <c r="AH1848" s="139"/>
      <c r="AI1848" s="139"/>
      <c r="AJ1848" s="139"/>
      <c r="AK1848" s="139"/>
      <c r="AL1848" s="139"/>
      <c r="AM1848" s="139"/>
      <c r="AN1848" s="139"/>
      <c r="AO1848" s="139"/>
      <c r="AP1848" s="139"/>
      <c r="AQ1848" s="139"/>
      <c r="AR1848" s="139"/>
      <c r="AS1848" s="139"/>
      <c r="AT1848" s="139"/>
      <c r="AU1848" s="139"/>
      <c r="AV1848" s="139"/>
      <c r="AW1848" s="139"/>
      <c r="AX1848" s="139"/>
      <c r="AY1848" s="139"/>
      <c r="AZ1848" s="139"/>
      <c r="BA1848" s="139"/>
      <c r="BB1848" s="139"/>
      <c r="BC1848" s="139"/>
      <c r="BD1848" s="139"/>
      <c r="BE1848" s="139"/>
      <c r="BF1848" s="139"/>
      <c r="BG1848" s="139"/>
      <c r="BH1848" s="139"/>
    </row>
    <row r="1849" spans="2:60" s="11" customFormat="1" ht="20.100000000000001" customHeight="1">
      <c r="B1849" s="1360"/>
      <c r="C1849" s="9647" t="s">
        <v>140</v>
      </c>
      <c r="D1849" s="9648"/>
      <c r="E1849" s="9649"/>
      <c r="F1849" s="119" t="s">
        <v>156</v>
      </c>
      <c r="G1849" s="666"/>
      <c r="H1849" s="9579" t="s">
        <v>141</v>
      </c>
      <c r="I1849" s="9580"/>
      <c r="J1849" s="9581"/>
      <c r="K1849" s="119" t="s">
        <v>156</v>
      </c>
      <c r="L1849" s="6421" t="s">
        <v>168</v>
      </c>
      <c r="M1849" s="5671" t="str">
        <f>China!AO355</f>
        <v>데이터 관리하지 않음</v>
      </c>
      <c r="N1849" s="5724" t="s">
        <v>168</v>
      </c>
      <c r="O1849" s="5680" t="str">
        <f>China!AQ355</f>
        <v>데이터 관리하지 않음</v>
      </c>
      <c r="P1849" s="5680" t="s">
        <v>168</v>
      </c>
      <c r="Q1849" s="5678" t="str">
        <f>China!AS355</f>
        <v>데이터 관리하지 않음</v>
      </c>
      <c r="R1849" s="276"/>
      <c r="S1849" s="276"/>
      <c r="T1849" s="545"/>
      <c r="U1849" s="546"/>
      <c r="V1849" s="547"/>
      <c r="W1849" s="299" t="s">
        <v>193</v>
      </c>
      <c r="X1849" s="277"/>
      <c r="Y1849" s="277"/>
      <c r="Z1849" s="187"/>
      <c r="AA1849" s="6301"/>
      <c r="AB1849" s="139"/>
      <c r="AC1849" s="139"/>
      <c r="AD1849" s="139"/>
      <c r="AE1849" s="139"/>
      <c r="AF1849" s="139"/>
      <c r="AG1849" s="139"/>
      <c r="AH1849" s="139"/>
      <c r="AI1849" s="139"/>
      <c r="AJ1849" s="139"/>
      <c r="AK1849" s="139"/>
      <c r="AL1849" s="139"/>
      <c r="AM1849" s="139"/>
      <c r="AN1849" s="139"/>
      <c r="AO1849" s="139"/>
      <c r="AP1849" s="139"/>
      <c r="AQ1849" s="139"/>
      <c r="AR1849" s="139"/>
      <c r="AS1849" s="139"/>
      <c r="AT1849" s="139"/>
      <c r="AU1849" s="139"/>
      <c r="AV1849" s="139"/>
      <c r="AW1849" s="139"/>
      <c r="AX1849" s="139"/>
      <c r="AY1849" s="139"/>
      <c r="AZ1849" s="139"/>
      <c r="BA1849" s="139"/>
      <c r="BB1849" s="139"/>
      <c r="BC1849" s="139"/>
      <c r="BD1849" s="139"/>
      <c r="BE1849" s="139"/>
      <c r="BF1849" s="139"/>
      <c r="BG1849" s="139"/>
      <c r="BH1849" s="139"/>
    </row>
    <row r="1850" spans="2:60" s="11" customFormat="1" ht="20.100000000000001" customHeight="1">
      <c r="B1850" s="1360"/>
      <c r="C1850" s="9647" t="s">
        <v>143</v>
      </c>
      <c r="D1850" s="9648"/>
      <c r="E1850" s="9649"/>
      <c r="F1850" s="119" t="s">
        <v>156</v>
      </c>
      <c r="G1850" s="666"/>
      <c r="H1850" s="9579" t="s">
        <v>144</v>
      </c>
      <c r="I1850" s="9580"/>
      <c r="J1850" s="9581"/>
      <c r="K1850" s="119" t="s">
        <v>156</v>
      </c>
      <c r="L1850" s="5594"/>
      <c r="M1850" s="5671"/>
      <c r="N1850" s="5724"/>
      <c r="O1850" s="5680"/>
      <c r="P1850" s="5725"/>
      <c r="Q1850" s="5678"/>
      <c r="R1850" s="276"/>
      <c r="S1850" s="276"/>
      <c r="T1850" s="545"/>
      <c r="U1850" s="546"/>
      <c r="V1850" s="547"/>
      <c r="W1850" s="299" t="s">
        <v>193</v>
      </c>
      <c r="X1850" s="277"/>
      <c r="Y1850" s="277"/>
      <c r="Z1850" s="187"/>
      <c r="AA1850" s="6301"/>
      <c r="AB1850" s="139"/>
      <c r="AC1850" s="139"/>
      <c r="AD1850" s="139"/>
      <c r="AE1850" s="139"/>
      <c r="AF1850" s="139"/>
      <c r="AG1850" s="139"/>
      <c r="AH1850" s="139"/>
      <c r="AI1850" s="139"/>
      <c r="AJ1850" s="139"/>
      <c r="AK1850" s="139"/>
      <c r="AL1850" s="139"/>
      <c r="AM1850" s="139"/>
      <c r="AN1850" s="139"/>
      <c r="AO1850" s="139"/>
      <c r="AP1850" s="139"/>
      <c r="AQ1850" s="139"/>
      <c r="AR1850" s="139"/>
      <c r="AS1850" s="139"/>
      <c r="AT1850" s="139"/>
      <c r="AU1850" s="139"/>
      <c r="AV1850" s="139"/>
      <c r="AW1850" s="139"/>
      <c r="AX1850" s="139"/>
      <c r="AY1850" s="139"/>
      <c r="AZ1850" s="139"/>
      <c r="BA1850" s="139"/>
      <c r="BB1850" s="139"/>
      <c r="BC1850" s="139"/>
      <c r="BD1850" s="139"/>
      <c r="BE1850" s="139"/>
      <c r="BF1850" s="139"/>
      <c r="BG1850" s="139"/>
      <c r="BH1850" s="139"/>
    </row>
    <row r="1851" spans="2:60" s="11" customFormat="1" ht="20.100000000000001" customHeight="1">
      <c r="B1851" s="1360"/>
      <c r="C1851" s="9647" t="s">
        <v>631</v>
      </c>
      <c r="D1851" s="9648"/>
      <c r="E1851" s="9649"/>
      <c r="F1851" s="119" t="s">
        <v>156</v>
      </c>
      <c r="G1851" s="666"/>
      <c r="H1851" s="9579" t="s">
        <v>147</v>
      </c>
      <c r="I1851" s="9580"/>
      <c r="J1851" s="9581"/>
      <c r="K1851" s="119" t="s">
        <v>156</v>
      </c>
      <c r="L1851" s="5594"/>
      <c r="M1851" s="5671"/>
      <c r="N1851" s="5724"/>
      <c r="O1851" s="5680"/>
      <c r="P1851" s="5725"/>
      <c r="Q1851" s="5678"/>
      <c r="R1851" s="276"/>
      <c r="S1851" s="276"/>
      <c r="T1851" s="545"/>
      <c r="U1851" s="546"/>
      <c r="V1851" s="547"/>
      <c r="W1851" s="299" t="s">
        <v>193</v>
      </c>
      <c r="X1851" s="277"/>
      <c r="Y1851" s="277"/>
      <c r="Z1851" s="187"/>
      <c r="AA1851" s="6301"/>
      <c r="AB1851" s="139"/>
      <c r="AC1851" s="139"/>
      <c r="AD1851" s="139"/>
      <c r="AE1851" s="139"/>
      <c r="AF1851" s="139"/>
      <c r="AG1851" s="139"/>
      <c r="AH1851" s="139"/>
      <c r="AI1851" s="139"/>
      <c r="AJ1851" s="139"/>
      <c r="AK1851" s="139"/>
      <c r="AL1851" s="139"/>
      <c r="AM1851" s="139"/>
      <c r="AN1851" s="139"/>
      <c r="AO1851" s="139"/>
      <c r="AP1851" s="139"/>
      <c r="AQ1851" s="139"/>
      <c r="AR1851" s="139"/>
      <c r="AS1851" s="139"/>
      <c r="AT1851" s="139"/>
      <c r="AU1851" s="139"/>
      <c r="AV1851" s="139"/>
      <c r="AW1851" s="139"/>
      <c r="AX1851" s="139"/>
      <c r="AY1851" s="139"/>
      <c r="AZ1851" s="139"/>
      <c r="BA1851" s="139"/>
      <c r="BB1851" s="139"/>
      <c r="BC1851" s="139"/>
      <c r="BD1851" s="139"/>
      <c r="BE1851" s="139"/>
      <c r="BF1851" s="139"/>
      <c r="BG1851" s="139"/>
      <c r="BH1851" s="139"/>
    </row>
    <row r="1852" spans="2:60" s="11" customFormat="1" ht="20.100000000000001" customHeight="1">
      <c r="B1852" s="1360"/>
      <c r="C1852" s="9647" t="s">
        <v>633</v>
      </c>
      <c r="D1852" s="9648"/>
      <c r="E1852" s="9649"/>
      <c r="F1852" s="119" t="s">
        <v>156</v>
      </c>
      <c r="G1852" s="666"/>
      <c r="H1852" s="9579" t="s">
        <v>150</v>
      </c>
      <c r="I1852" s="9580"/>
      <c r="J1852" s="9581"/>
      <c r="K1852" s="119" t="s">
        <v>156</v>
      </c>
      <c r="L1852" s="5594"/>
      <c r="M1852" s="5671"/>
      <c r="N1852" s="5724"/>
      <c r="O1852" s="5671"/>
      <c r="P1852" s="5724"/>
      <c r="Q1852" s="5678"/>
      <c r="R1852" s="276"/>
      <c r="S1852" s="276"/>
      <c r="T1852" s="545"/>
      <c r="U1852" s="546"/>
      <c r="V1852" s="547"/>
      <c r="W1852" s="299" t="s">
        <v>193</v>
      </c>
      <c r="X1852" s="277"/>
      <c r="Y1852" s="277"/>
      <c r="Z1852" s="187"/>
      <c r="AA1852" s="6301"/>
      <c r="AB1852" s="139"/>
      <c r="AC1852" s="139"/>
      <c r="AD1852" s="139"/>
      <c r="AE1852" s="139"/>
      <c r="AF1852" s="139"/>
      <c r="AG1852" s="139"/>
      <c r="AH1852" s="139"/>
      <c r="AI1852" s="139"/>
      <c r="AJ1852" s="139"/>
      <c r="AK1852" s="139"/>
      <c r="AL1852" s="139"/>
      <c r="AM1852" s="139"/>
      <c r="AN1852" s="139"/>
      <c r="AO1852" s="139"/>
      <c r="AP1852" s="139"/>
      <c r="AQ1852" s="139"/>
      <c r="AR1852" s="139"/>
      <c r="AS1852" s="139"/>
      <c r="AT1852" s="139"/>
      <c r="AU1852" s="139"/>
      <c r="AV1852" s="139"/>
      <c r="AW1852" s="139"/>
      <c r="AX1852" s="139"/>
      <c r="AY1852" s="139"/>
      <c r="AZ1852" s="139"/>
      <c r="BA1852" s="139"/>
      <c r="BB1852" s="139"/>
      <c r="BC1852" s="139"/>
      <c r="BD1852" s="139"/>
      <c r="BE1852" s="139"/>
      <c r="BF1852" s="139"/>
      <c r="BG1852" s="139"/>
      <c r="BH1852" s="139"/>
    </row>
    <row r="1853" spans="2:60" s="11" customFormat="1" ht="20.100000000000001" customHeight="1">
      <c r="B1853" s="1360"/>
      <c r="C1853" s="1388"/>
      <c r="D1853" s="9584" t="s">
        <v>1358</v>
      </c>
      <c r="E1853" s="9585"/>
      <c r="F1853" s="119" t="s">
        <v>1011</v>
      </c>
      <c r="G1853" s="777"/>
      <c r="H1853" s="1223"/>
      <c r="I1853" s="9584" t="s">
        <v>1359</v>
      </c>
      <c r="J1853" s="9585"/>
      <c r="K1853" s="119" t="s">
        <v>1013</v>
      </c>
      <c r="L1853" s="5653" t="str">
        <f>IF(COUNTBLANK(L1854:L1859)&gt;0,"미취합법인有",SUM(L1854:L1859))</f>
        <v>미취합법인有</v>
      </c>
      <c r="M1853" s="5657"/>
      <c r="N1853" s="5654" t="str">
        <f>IF(COUNTBLANK(N1854:N1859)&gt;0,"미취합법인有",SUM(N1854:N1859))</f>
        <v>미취합법인有</v>
      </c>
      <c r="O1853" s="5663"/>
      <c r="P1853" s="5781" t="str">
        <f>IF(COUNTBLANK(P1854:P1859)&gt;0,"미취합법인有",SUM(P1854:P1859))</f>
        <v>미취합법인有</v>
      </c>
      <c r="Q1853" s="785"/>
      <c r="R1853" s="276"/>
      <c r="S1853" s="276"/>
      <c r="T1853" s="109" t="s">
        <v>1356</v>
      </c>
      <c r="U1853" s="547"/>
      <c r="V1853" s="547"/>
      <c r="W1853" s="299" t="s">
        <v>193</v>
      </c>
      <c r="X1853" s="277" t="s">
        <v>1357</v>
      </c>
      <c r="Y1853" s="265"/>
      <c r="Z1853" s="982"/>
      <c r="AA1853" s="6301"/>
      <c r="AB1853" s="139"/>
      <c r="AC1853" s="139"/>
      <c r="AD1853" s="139"/>
      <c r="AE1853" s="139"/>
      <c r="AF1853" s="139"/>
      <c r="AG1853" s="139"/>
      <c r="AH1853" s="139"/>
      <c r="AI1853" s="139"/>
      <c r="AJ1853" s="139"/>
      <c r="AK1853" s="139"/>
      <c r="AL1853" s="139"/>
      <c r="AM1853" s="139"/>
      <c r="AN1853" s="139"/>
      <c r="AO1853" s="139"/>
      <c r="AP1853" s="139"/>
      <c r="AQ1853" s="139"/>
      <c r="AR1853" s="139"/>
      <c r="AS1853" s="139"/>
      <c r="AT1853" s="139"/>
      <c r="AU1853" s="139"/>
      <c r="AV1853" s="139"/>
      <c r="AW1853" s="139"/>
      <c r="AX1853" s="139"/>
      <c r="AY1853" s="139"/>
      <c r="AZ1853" s="139"/>
      <c r="BA1853" s="139"/>
      <c r="BB1853" s="139"/>
      <c r="BC1853" s="139"/>
      <c r="BD1853" s="139"/>
      <c r="BE1853" s="139"/>
      <c r="BF1853" s="139"/>
      <c r="BG1853" s="139"/>
      <c r="BH1853" s="139"/>
    </row>
    <row r="1854" spans="2:60" s="11" customFormat="1" ht="20.100000000000001" customHeight="1">
      <c r="B1854" s="1360"/>
      <c r="C1854" s="614"/>
      <c r="D1854" s="9598" t="s">
        <v>134</v>
      </c>
      <c r="E1854" s="9600"/>
      <c r="F1854" s="119" t="s">
        <v>1011</v>
      </c>
      <c r="G1854" s="666"/>
      <c r="H1854" s="666"/>
      <c r="I1854" s="9579" t="s">
        <v>135</v>
      </c>
      <c r="J1854" s="9581"/>
      <c r="K1854" s="119" t="s">
        <v>1013</v>
      </c>
      <c r="L1854" s="5683"/>
      <c r="M1854" s="5871"/>
      <c r="N1854" s="5857"/>
      <c r="O1854" s="5874"/>
      <c r="P1854" s="5858"/>
      <c r="Q1854" s="5678"/>
      <c r="R1854" s="276"/>
      <c r="S1854" s="276"/>
      <c r="T1854" s="545"/>
      <c r="U1854" s="546"/>
      <c r="V1854" s="547"/>
      <c r="W1854" s="299" t="s">
        <v>193</v>
      </c>
      <c r="X1854" s="277"/>
      <c r="Y1854" s="277"/>
      <c r="Z1854" s="187"/>
      <c r="AA1854" s="6301"/>
      <c r="AB1854" s="139"/>
      <c r="AC1854" s="139"/>
      <c r="AD1854" s="139"/>
      <c r="AE1854" s="139"/>
      <c r="AF1854" s="139"/>
      <c r="AG1854" s="139"/>
      <c r="AH1854" s="139"/>
      <c r="AI1854" s="139"/>
      <c r="AJ1854" s="139"/>
      <c r="AK1854" s="139"/>
      <c r="AL1854" s="139"/>
      <c r="AM1854" s="139"/>
      <c r="AN1854" s="139"/>
      <c r="AO1854" s="139"/>
      <c r="AP1854" s="139"/>
      <c r="AQ1854" s="139"/>
      <c r="AR1854" s="139"/>
      <c r="AS1854" s="139"/>
      <c r="AT1854" s="139"/>
      <c r="AU1854" s="139"/>
      <c r="AV1854" s="139"/>
      <c r="AW1854" s="139"/>
      <c r="AX1854" s="139"/>
      <c r="AY1854" s="139"/>
      <c r="AZ1854" s="139"/>
      <c r="BA1854" s="139"/>
      <c r="BB1854" s="139"/>
      <c r="BC1854" s="139"/>
      <c r="BD1854" s="139"/>
      <c r="BE1854" s="139"/>
      <c r="BF1854" s="139"/>
      <c r="BG1854" s="139"/>
      <c r="BH1854" s="139"/>
    </row>
    <row r="1855" spans="2:60" s="11" customFormat="1" ht="20.100000000000001" customHeight="1">
      <c r="B1855" s="1360"/>
      <c r="C1855" s="5598"/>
      <c r="D1855" s="9598" t="s">
        <v>137</v>
      </c>
      <c r="E1855" s="9600"/>
      <c r="F1855" s="119" t="s">
        <v>1011</v>
      </c>
      <c r="G1855" s="666"/>
      <c r="H1855" s="666"/>
      <c r="I1855" s="9579" t="s">
        <v>138</v>
      </c>
      <c r="J1855" s="9581"/>
      <c r="K1855" s="119" t="s">
        <v>1013</v>
      </c>
      <c r="L1855" s="5594"/>
      <c r="M1855" s="5671"/>
      <c r="N1855" s="5724"/>
      <c r="O1855" s="5680"/>
      <c r="P1855" s="5725"/>
      <c r="Q1855" s="5678"/>
      <c r="R1855" s="276"/>
      <c r="S1855" s="276"/>
      <c r="T1855" s="545"/>
      <c r="U1855" s="546"/>
      <c r="V1855" s="547"/>
      <c r="W1855" s="299" t="s">
        <v>193</v>
      </c>
      <c r="X1855" s="277"/>
      <c r="Y1855" s="277"/>
      <c r="Z1855" s="187"/>
      <c r="AA1855" s="6301"/>
      <c r="AB1855" s="139"/>
      <c r="AC1855" s="139"/>
      <c r="AD1855" s="139"/>
      <c r="AE1855" s="139"/>
      <c r="AF1855" s="139"/>
      <c r="AG1855" s="139"/>
      <c r="AH1855" s="139"/>
      <c r="AI1855" s="139"/>
      <c r="AJ1855" s="139"/>
      <c r="AK1855" s="139"/>
      <c r="AL1855" s="139"/>
      <c r="AM1855" s="139"/>
      <c r="AN1855" s="139"/>
      <c r="AO1855" s="139"/>
      <c r="AP1855" s="139"/>
      <c r="AQ1855" s="139"/>
      <c r="AR1855" s="139"/>
      <c r="AS1855" s="139"/>
      <c r="AT1855" s="139"/>
      <c r="AU1855" s="139"/>
      <c r="AV1855" s="139"/>
      <c r="AW1855" s="139"/>
      <c r="AX1855" s="139"/>
      <c r="AY1855" s="139"/>
      <c r="AZ1855" s="139"/>
      <c r="BA1855" s="139"/>
      <c r="BB1855" s="139"/>
      <c r="BC1855" s="139"/>
      <c r="BD1855" s="139"/>
      <c r="BE1855" s="139"/>
      <c r="BF1855" s="139"/>
      <c r="BG1855" s="139"/>
      <c r="BH1855" s="139"/>
    </row>
    <row r="1856" spans="2:60" s="11" customFormat="1" ht="20.100000000000001" customHeight="1">
      <c r="B1856" s="1360"/>
      <c r="C1856" s="5598"/>
      <c r="D1856" s="9598" t="s">
        <v>140</v>
      </c>
      <c r="E1856" s="9600"/>
      <c r="F1856" s="119" t="s">
        <v>1011</v>
      </c>
      <c r="G1856" s="666"/>
      <c r="H1856" s="666"/>
      <c r="I1856" s="9582" t="s">
        <v>141</v>
      </c>
      <c r="J1856" s="9583"/>
      <c r="K1856" s="119" t="s">
        <v>1013</v>
      </c>
      <c r="L1856" s="5683"/>
      <c r="M1856" s="5871"/>
      <c r="N1856" s="5857"/>
      <c r="O1856" s="5874"/>
      <c r="P1856" s="5858"/>
      <c r="Q1856" s="5678"/>
      <c r="R1856" s="276"/>
      <c r="S1856" s="276"/>
      <c r="T1856" s="545"/>
      <c r="U1856" s="546"/>
      <c r="V1856" s="547"/>
      <c r="W1856" s="299" t="s">
        <v>193</v>
      </c>
      <c r="X1856" s="277"/>
      <c r="Y1856" s="277"/>
      <c r="Z1856" s="187"/>
      <c r="AA1856" s="6301"/>
      <c r="AB1856" s="139"/>
      <c r="AC1856" s="139"/>
      <c r="AD1856" s="139"/>
      <c r="AE1856" s="139"/>
      <c r="AF1856" s="139"/>
      <c r="AG1856" s="139"/>
      <c r="AH1856" s="139"/>
      <c r="AI1856" s="139"/>
      <c r="AJ1856" s="139"/>
      <c r="AK1856" s="139"/>
      <c r="AL1856" s="139"/>
      <c r="AM1856" s="139"/>
      <c r="AN1856" s="139"/>
      <c r="AO1856" s="139"/>
      <c r="AP1856" s="139"/>
      <c r="AQ1856" s="139"/>
      <c r="AR1856" s="139"/>
      <c r="AS1856" s="139"/>
      <c r="AT1856" s="139"/>
      <c r="AU1856" s="139"/>
      <c r="AV1856" s="139"/>
      <c r="AW1856" s="139"/>
      <c r="AX1856" s="139"/>
      <c r="AY1856" s="139"/>
      <c r="AZ1856" s="139"/>
      <c r="BA1856" s="139"/>
      <c r="BB1856" s="139"/>
      <c r="BC1856" s="139"/>
      <c r="BD1856" s="139"/>
      <c r="BE1856" s="139"/>
      <c r="BF1856" s="139"/>
      <c r="BG1856" s="139"/>
      <c r="BH1856" s="139"/>
    </row>
    <row r="1857" spans="2:60" s="11" customFormat="1" ht="20.100000000000001" customHeight="1">
      <c r="B1857" s="1360"/>
      <c r="C1857" s="614"/>
      <c r="D1857" s="9598" t="s">
        <v>143</v>
      </c>
      <c r="E1857" s="9600"/>
      <c r="F1857" s="119" t="s">
        <v>1011</v>
      </c>
      <c r="G1857" s="666"/>
      <c r="H1857" s="666"/>
      <c r="I1857" s="9582" t="s">
        <v>144</v>
      </c>
      <c r="J1857" s="9583"/>
      <c r="K1857" s="119" t="s">
        <v>1013</v>
      </c>
      <c r="L1857" s="5683"/>
      <c r="M1857" s="5871"/>
      <c r="N1857" s="5857"/>
      <c r="O1857" s="5874"/>
      <c r="P1857" s="5858"/>
      <c r="Q1857" s="5678"/>
      <c r="R1857" s="276"/>
      <c r="S1857" s="276"/>
      <c r="T1857" s="545"/>
      <c r="U1857" s="546"/>
      <c r="V1857" s="547"/>
      <c r="W1857" s="299" t="s">
        <v>193</v>
      </c>
      <c r="X1857" s="277"/>
      <c r="Y1857" s="277"/>
      <c r="Z1857" s="187"/>
      <c r="AA1857" s="6301"/>
      <c r="AB1857" s="139"/>
      <c r="AC1857" s="139"/>
      <c r="AD1857" s="139"/>
      <c r="AE1857" s="139"/>
      <c r="AF1857" s="139"/>
      <c r="AG1857" s="139"/>
      <c r="AH1857" s="139"/>
      <c r="AI1857" s="139"/>
      <c r="AJ1857" s="139"/>
      <c r="AK1857" s="139"/>
      <c r="AL1857" s="139"/>
      <c r="AM1857" s="139"/>
      <c r="AN1857" s="139"/>
      <c r="AO1857" s="139"/>
      <c r="AP1857" s="139"/>
      <c r="AQ1857" s="139"/>
      <c r="AR1857" s="139"/>
      <c r="AS1857" s="139"/>
      <c r="AT1857" s="139"/>
      <c r="AU1857" s="139"/>
      <c r="AV1857" s="139"/>
      <c r="AW1857" s="139"/>
      <c r="AX1857" s="139"/>
      <c r="AY1857" s="139"/>
      <c r="AZ1857" s="139"/>
      <c r="BA1857" s="139"/>
      <c r="BB1857" s="139"/>
      <c r="BC1857" s="139"/>
      <c r="BD1857" s="139"/>
      <c r="BE1857" s="139"/>
      <c r="BF1857" s="139"/>
      <c r="BG1857" s="139"/>
      <c r="BH1857" s="139"/>
    </row>
    <row r="1858" spans="2:60" s="11" customFormat="1" ht="20.100000000000001" customHeight="1">
      <c r="B1858" s="1360"/>
      <c r="C1858" s="5598"/>
      <c r="D1858" s="9598" t="s">
        <v>631</v>
      </c>
      <c r="E1858" s="9600"/>
      <c r="F1858" s="119" t="s">
        <v>1011</v>
      </c>
      <c r="G1858" s="666"/>
      <c r="H1858" s="666"/>
      <c r="I1858" s="9582" t="s">
        <v>147</v>
      </c>
      <c r="J1858" s="9583"/>
      <c r="K1858" s="119" t="s">
        <v>1013</v>
      </c>
      <c r="L1858" s="5683"/>
      <c r="M1858" s="5871"/>
      <c r="N1858" s="5857"/>
      <c r="O1858" s="5874"/>
      <c r="P1858" s="5858"/>
      <c r="Q1858" s="5678"/>
      <c r="R1858" s="276"/>
      <c r="S1858" s="276"/>
      <c r="T1858" s="545"/>
      <c r="U1858" s="546"/>
      <c r="V1858" s="547"/>
      <c r="W1858" s="299" t="s">
        <v>193</v>
      </c>
      <c r="X1858" s="277"/>
      <c r="Y1858" s="277"/>
      <c r="Z1858" s="187"/>
      <c r="AA1858" s="6301"/>
      <c r="AB1858" s="139"/>
      <c r="AC1858" s="139"/>
      <c r="AD1858" s="139"/>
      <c r="AE1858" s="139"/>
      <c r="AF1858" s="139"/>
      <c r="AG1858" s="139"/>
      <c r="AH1858" s="139"/>
      <c r="AI1858" s="139"/>
      <c r="AJ1858" s="139"/>
      <c r="AK1858" s="139"/>
      <c r="AL1858" s="139"/>
      <c r="AM1858" s="139"/>
      <c r="AN1858" s="139"/>
      <c r="AO1858" s="139"/>
      <c r="AP1858" s="139"/>
      <c r="AQ1858" s="139"/>
      <c r="AR1858" s="139"/>
      <c r="AS1858" s="139"/>
      <c r="AT1858" s="139"/>
      <c r="AU1858" s="139"/>
      <c r="AV1858" s="139"/>
      <c r="AW1858" s="139"/>
      <c r="AX1858" s="139"/>
      <c r="AY1858" s="139"/>
      <c r="AZ1858" s="139"/>
      <c r="BA1858" s="139"/>
      <c r="BB1858" s="139"/>
      <c r="BC1858" s="139"/>
      <c r="BD1858" s="139"/>
      <c r="BE1858" s="139"/>
      <c r="BF1858" s="139"/>
      <c r="BG1858" s="139"/>
      <c r="BH1858" s="139"/>
    </row>
    <row r="1859" spans="2:60" s="11" customFormat="1" ht="20.100000000000001" customHeight="1">
      <c r="B1859" s="1360"/>
      <c r="C1859" s="5598"/>
      <c r="D1859" s="9598" t="s">
        <v>633</v>
      </c>
      <c r="E1859" s="9600"/>
      <c r="F1859" s="119" t="s">
        <v>1011</v>
      </c>
      <c r="G1859" s="666"/>
      <c r="H1859" s="666"/>
      <c r="I1859" s="9582" t="s">
        <v>150</v>
      </c>
      <c r="J1859" s="9583"/>
      <c r="K1859" s="119" t="s">
        <v>1013</v>
      </c>
      <c r="L1859" s="5683"/>
      <c r="M1859" s="5871"/>
      <c r="N1859" s="5857"/>
      <c r="O1859" s="5871"/>
      <c r="P1859" s="5857"/>
      <c r="Q1859" s="5678"/>
      <c r="R1859" s="276"/>
      <c r="S1859" s="276"/>
      <c r="T1859" s="545"/>
      <c r="U1859" s="546"/>
      <c r="V1859" s="547"/>
      <c r="W1859" s="299" t="s">
        <v>193</v>
      </c>
      <c r="X1859" s="277"/>
      <c r="Y1859" s="277"/>
      <c r="Z1859" s="187"/>
      <c r="AA1859" s="6301"/>
      <c r="AB1859" s="139"/>
      <c r="AC1859" s="139"/>
      <c r="AD1859" s="139"/>
      <c r="AE1859" s="139"/>
      <c r="AF1859" s="139"/>
      <c r="AG1859" s="139"/>
      <c r="AH1859" s="139"/>
      <c r="AI1859" s="139"/>
      <c r="AJ1859" s="139"/>
      <c r="AK1859" s="139"/>
      <c r="AL1859" s="139"/>
      <c r="AM1859" s="139"/>
      <c r="AN1859" s="139"/>
      <c r="AO1859" s="139"/>
      <c r="AP1859" s="139"/>
      <c r="AQ1859" s="139"/>
      <c r="AR1859" s="139"/>
      <c r="AS1859" s="139"/>
      <c r="AT1859" s="139"/>
      <c r="AU1859" s="139"/>
      <c r="AV1859" s="139"/>
      <c r="AW1859" s="139"/>
      <c r="AX1859" s="139"/>
      <c r="AY1859" s="139"/>
      <c r="AZ1859" s="139"/>
      <c r="BA1859" s="139"/>
      <c r="BB1859" s="139"/>
      <c r="BC1859" s="139"/>
      <c r="BD1859" s="139"/>
      <c r="BE1859" s="139"/>
      <c r="BF1859" s="139"/>
      <c r="BG1859" s="139"/>
      <c r="BH1859" s="139"/>
    </row>
    <row r="1860" spans="2:60" s="11" customFormat="1" ht="20.100000000000001" customHeight="1">
      <c r="B1860" s="1360"/>
      <c r="C1860" s="1389"/>
      <c r="D1860" s="9584" t="s">
        <v>1360</v>
      </c>
      <c r="E1860" s="9585"/>
      <c r="F1860" s="119" t="s">
        <v>1011</v>
      </c>
      <c r="G1860" s="777"/>
      <c r="H1860" s="1223"/>
      <c r="I1860" s="9584" t="s">
        <v>1361</v>
      </c>
      <c r="J1860" s="9585"/>
      <c r="K1860" s="119" t="s">
        <v>1013</v>
      </c>
      <c r="L1860" s="5653" t="str">
        <f>IF(COUNTBLANK(L1861:L1866)&gt;0,"미취합법인有",SUM(L1861:L1866))</f>
        <v>미취합법인有</v>
      </c>
      <c r="M1860" s="5657"/>
      <c r="N1860" s="5654" t="str">
        <f>IF(COUNTBLANK(N1861:N1866)&gt;0,"미취합법인有",SUM(N1861:N1866))</f>
        <v>미취합법인有</v>
      </c>
      <c r="O1860" s="5663"/>
      <c r="P1860" s="5781" t="str">
        <f>IF(COUNTBLANK(P1861:P1866)&gt;0,"미취합법인有",SUM(P1861:P1866))</f>
        <v>미취합법인有</v>
      </c>
      <c r="Q1860" s="785"/>
      <c r="R1860" s="276"/>
      <c r="S1860" s="276"/>
      <c r="T1860" s="109" t="s">
        <v>1356</v>
      </c>
      <c r="U1860" s="547"/>
      <c r="V1860" s="547"/>
      <c r="W1860" s="299" t="s">
        <v>193</v>
      </c>
      <c r="X1860" s="277" t="s">
        <v>1357</v>
      </c>
      <c r="Y1860" s="265"/>
      <c r="Z1860" s="982"/>
      <c r="AA1860" s="6301"/>
      <c r="AB1860" s="139"/>
      <c r="AC1860" s="139"/>
      <c r="AD1860" s="139"/>
      <c r="AE1860" s="139"/>
      <c r="AF1860" s="139"/>
      <c r="AG1860" s="139"/>
      <c r="AH1860" s="139"/>
      <c r="AI1860" s="139"/>
      <c r="AJ1860" s="139"/>
      <c r="AK1860" s="139"/>
      <c r="AL1860" s="139"/>
      <c r="AM1860" s="139"/>
      <c r="AN1860" s="139"/>
      <c r="AO1860" s="139"/>
      <c r="AP1860" s="139"/>
      <c r="AQ1860" s="139"/>
      <c r="AR1860" s="139"/>
      <c r="AS1860" s="139"/>
      <c r="AT1860" s="139"/>
      <c r="AU1860" s="139"/>
      <c r="AV1860" s="139"/>
      <c r="AW1860" s="139"/>
      <c r="AX1860" s="139"/>
      <c r="AY1860" s="139"/>
      <c r="AZ1860" s="139"/>
      <c r="BA1860" s="139"/>
      <c r="BB1860" s="139"/>
      <c r="BC1860" s="139"/>
      <c r="BD1860" s="139"/>
      <c r="BE1860" s="139"/>
      <c r="BF1860" s="139"/>
      <c r="BG1860" s="139"/>
      <c r="BH1860" s="139"/>
    </row>
    <row r="1861" spans="2:60" s="11" customFormat="1" ht="20.100000000000001" customHeight="1">
      <c r="B1861" s="1360"/>
      <c r="C1861" s="614"/>
      <c r="D1861" s="9598" t="s">
        <v>134</v>
      </c>
      <c r="E1861" s="9600"/>
      <c r="F1861" s="119" t="s">
        <v>1011</v>
      </c>
      <c r="G1861" s="666"/>
      <c r="H1861" s="666"/>
      <c r="I1861" s="9579" t="s">
        <v>135</v>
      </c>
      <c r="J1861" s="9581"/>
      <c r="K1861" s="119" t="s">
        <v>1013</v>
      </c>
      <c r="L1861" s="5683"/>
      <c r="M1861" s="5871"/>
      <c r="N1861" s="5857"/>
      <c r="O1861" s="5874"/>
      <c r="P1861" s="5858"/>
      <c r="Q1861" s="5678"/>
      <c r="R1861" s="276"/>
      <c r="S1861" s="276"/>
      <c r="T1861" s="545"/>
      <c r="U1861" s="546"/>
      <c r="V1861" s="547"/>
      <c r="W1861" s="299" t="s">
        <v>193</v>
      </c>
      <c r="X1861" s="277"/>
      <c r="Y1861" s="277"/>
      <c r="Z1861" s="187"/>
      <c r="AA1861" s="6301"/>
      <c r="AB1861" s="139"/>
      <c r="AC1861" s="139"/>
      <c r="AD1861" s="139"/>
      <c r="AE1861" s="139"/>
      <c r="AF1861" s="139"/>
      <c r="AG1861" s="139"/>
      <c r="AH1861" s="139"/>
      <c r="AI1861" s="139"/>
      <c r="AJ1861" s="139"/>
      <c r="AK1861" s="139"/>
      <c r="AL1861" s="139"/>
      <c r="AM1861" s="139"/>
      <c r="AN1861" s="139"/>
      <c r="AO1861" s="139"/>
      <c r="AP1861" s="139"/>
      <c r="AQ1861" s="139"/>
      <c r="AR1861" s="139"/>
      <c r="AS1861" s="139"/>
      <c r="AT1861" s="139"/>
      <c r="AU1861" s="139"/>
      <c r="AV1861" s="139"/>
      <c r="AW1861" s="139"/>
      <c r="AX1861" s="139"/>
      <c r="AY1861" s="139"/>
      <c r="AZ1861" s="139"/>
      <c r="BA1861" s="139"/>
      <c r="BB1861" s="139"/>
      <c r="BC1861" s="139"/>
      <c r="BD1861" s="139"/>
      <c r="BE1861" s="139"/>
      <c r="BF1861" s="139"/>
      <c r="BG1861" s="139"/>
      <c r="BH1861" s="139"/>
    </row>
    <row r="1862" spans="2:60" s="11" customFormat="1" ht="20.100000000000001" customHeight="1">
      <c r="B1862" s="1360"/>
      <c r="C1862" s="5598"/>
      <c r="D1862" s="9598" t="s">
        <v>137</v>
      </c>
      <c r="E1862" s="9600"/>
      <c r="F1862" s="119" t="s">
        <v>1011</v>
      </c>
      <c r="G1862" s="666"/>
      <c r="H1862" s="666"/>
      <c r="I1862" s="9579" t="s">
        <v>138</v>
      </c>
      <c r="J1862" s="9581"/>
      <c r="K1862" s="119" t="s">
        <v>1013</v>
      </c>
      <c r="L1862" s="5594"/>
      <c r="M1862" s="5671"/>
      <c r="N1862" s="5724"/>
      <c r="O1862" s="5680"/>
      <c r="P1862" s="5725"/>
      <c r="Q1862" s="5678"/>
      <c r="R1862" s="276"/>
      <c r="S1862" s="276"/>
      <c r="T1862" s="545"/>
      <c r="U1862" s="546"/>
      <c r="V1862" s="547"/>
      <c r="W1862" s="299" t="s">
        <v>193</v>
      </c>
      <c r="X1862" s="277"/>
      <c r="Y1862" s="277"/>
      <c r="Z1862" s="187"/>
      <c r="AA1862" s="6301"/>
      <c r="AB1862" s="139"/>
      <c r="AC1862" s="139"/>
      <c r="AD1862" s="139"/>
      <c r="AE1862" s="139"/>
      <c r="AF1862" s="139"/>
      <c r="AG1862" s="139"/>
      <c r="AH1862" s="139"/>
      <c r="AI1862" s="139"/>
      <c r="AJ1862" s="139"/>
      <c r="AK1862" s="139"/>
      <c r="AL1862" s="139"/>
      <c r="AM1862" s="139"/>
      <c r="AN1862" s="139"/>
      <c r="AO1862" s="139"/>
      <c r="AP1862" s="139"/>
      <c r="AQ1862" s="139"/>
      <c r="AR1862" s="139"/>
      <c r="AS1862" s="139"/>
      <c r="AT1862" s="139"/>
      <c r="AU1862" s="139"/>
      <c r="AV1862" s="139"/>
      <c r="AW1862" s="139"/>
      <c r="AX1862" s="139"/>
      <c r="AY1862" s="139"/>
      <c r="AZ1862" s="139"/>
      <c r="BA1862" s="139"/>
      <c r="BB1862" s="139"/>
      <c r="BC1862" s="139"/>
      <c r="BD1862" s="139"/>
      <c r="BE1862" s="139"/>
      <c r="BF1862" s="139"/>
      <c r="BG1862" s="139"/>
      <c r="BH1862" s="139"/>
    </row>
    <row r="1863" spans="2:60" s="11" customFormat="1" ht="20.100000000000001" customHeight="1">
      <c r="B1863" s="1360"/>
      <c r="C1863" s="5598"/>
      <c r="D1863" s="9598" t="s">
        <v>140</v>
      </c>
      <c r="E1863" s="9600"/>
      <c r="F1863" s="119" t="s">
        <v>1011</v>
      </c>
      <c r="G1863" s="666"/>
      <c r="H1863" s="666"/>
      <c r="I1863" s="9582" t="s">
        <v>141</v>
      </c>
      <c r="J1863" s="9583"/>
      <c r="K1863" s="119" t="s">
        <v>1013</v>
      </c>
      <c r="L1863" s="5683"/>
      <c r="M1863" s="5871"/>
      <c r="N1863" s="5857"/>
      <c r="O1863" s="5874"/>
      <c r="P1863" s="5858"/>
      <c r="Q1863" s="5678"/>
      <c r="R1863" s="276"/>
      <c r="S1863" s="276"/>
      <c r="T1863" s="545"/>
      <c r="U1863" s="546"/>
      <c r="V1863" s="547"/>
      <c r="W1863" s="299" t="s">
        <v>193</v>
      </c>
      <c r="X1863" s="277"/>
      <c r="Y1863" s="277"/>
      <c r="Z1863" s="187"/>
      <c r="AA1863" s="6301"/>
      <c r="AB1863" s="139"/>
      <c r="AC1863" s="139"/>
      <c r="AD1863" s="139"/>
      <c r="AE1863" s="139"/>
      <c r="AF1863" s="139"/>
      <c r="AG1863" s="139"/>
      <c r="AH1863" s="139"/>
      <c r="AI1863" s="139"/>
      <c r="AJ1863" s="139"/>
      <c r="AK1863" s="139"/>
      <c r="AL1863" s="139"/>
      <c r="AM1863" s="139"/>
      <c r="AN1863" s="139"/>
      <c r="AO1863" s="139"/>
      <c r="AP1863" s="139"/>
      <c r="AQ1863" s="139"/>
      <c r="AR1863" s="139"/>
      <c r="AS1863" s="139"/>
      <c r="AT1863" s="139"/>
      <c r="AU1863" s="139"/>
      <c r="AV1863" s="139"/>
      <c r="AW1863" s="139"/>
      <c r="AX1863" s="139"/>
      <c r="AY1863" s="139"/>
      <c r="AZ1863" s="139"/>
      <c r="BA1863" s="139"/>
      <c r="BB1863" s="139"/>
      <c r="BC1863" s="139"/>
      <c r="BD1863" s="139"/>
      <c r="BE1863" s="139"/>
      <c r="BF1863" s="139"/>
      <c r="BG1863" s="139"/>
      <c r="BH1863" s="139"/>
    </row>
    <row r="1864" spans="2:60" s="11" customFormat="1" ht="20.100000000000001" customHeight="1">
      <c r="B1864" s="1360"/>
      <c r="C1864" s="614"/>
      <c r="D1864" s="9598" t="s">
        <v>143</v>
      </c>
      <c r="E1864" s="9600"/>
      <c r="F1864" s="119" t="s">
        <v>1011</v>
      </c>
      <c r="G1864" s="666"/>
      <c r="H1864" s="666"/>
      <c r="I1864" s="9582" t="s">
        <v>144</v>
      </c>
      <c r="J1864" s="9583"/>
      <c r="K1864" s="119" t="s">
        <v>1013</v>
      </c>
      <c r="L1864" s="5683"/>
      <c r="M1864" s="5871"/>
      <c r="N1864" s="5857"/>
      <c r="O1864" s="5874"/>
      <c r="P1864" s="5858"/>
      <c r="Q1864" s="5678"/>
      <c r="R1864" s="2483"/>
      <c r="S1864" s="544"/>
      <c r="T1864" s="545"/>
      <c r="U1864" s="546"/>
      <c r="V1864" s="547"/>
      <c r="W1864" s="299" t="s">
        <v>193</v>
      </c>
      <c r="X1864" s="277"/>
      <c r="Y1864" s="277"/>
      <c r="Z1864" s="187"/>
      <c r="AA1864" s="6301"/>
      <c r="AB1864" s="139"/>
      <c r="AC1864" s="139"/>
      <c r="AD1864" s="139"/>
      <c r="AE1864" s="139"/>
      <c r="AF1864" s="139"/>
      <c r="AG1864" s="139"/>
      <c r="AH1864" s="139"/>
      <c r="AI1864" s="139"/>
      <c r="AJ1864" s="139"/>
      <c r="AK1864" s="139"/>
      <c r="AL1864" s="139"/>
      <c r="AM1864" s="139"/>
      <c r="AN1864" s="139"/>
      <c r="AO1864" s="139"/>
      <c r="AP1864" s="139"/>
      <c r="AQ1864" s="139"/>
      <c r="AR1864" s="139"/>
      <c r="AS1864" s="139"/>
      <c r="AT1864" s="139"/>
      <c r="AU1864" s="139"/>
      <c r="AV1864" s="139"/>
      <c r="AW1864" s="139"/>
      <c r="AX1864" s="139"/>
      <c r="AY1864" s="139"/>
      <c r="AZ1864" s="139"/>
      <c r="BA1864" s="139"/>
      <c r="BB1864" s="139"/>
      <c r="BC1864" s="139"/>
      <c r="BD1864" s="139"/>
      <c r="BE1864" s="139"/>
      <c r="BF1864" s="139"/>
      <c r="BG1864" s="139"/>
      <c r="BH1864" s="139"/>
    </row>
    <row r="1865" spans="2:60" s="11" customFormat="1" ht="20.100000000000001" customHeight="1">
      <c r="B1865" s="1360"/>
      <c r="C1865" s="5598"/>
      <c r="D1865" s="9598" t="s">
        <v>631</v>
      </c>
      <c r="E1865" s="9600"/>
      <c r="F1865" s="119" t="s">
        <v>1011</v>
      </c>
      <c r="G1865" s="666"/>
      <c r="H1865" s="666"/>
      <c r="I1865" s="9582" t="s">
        <v>147</v>
      </c>
      <c r="J1865" s="9583"/>
      <c r="K1865" s="119" t="s">
        <v>1013</v>
      </c>
      <c r="L1865" s="5683"/>
      <c r="M1865" s="5871"/>
      <c r="N1865" s="5857"/>
      <c r="O1865" s="5874"/>
      <c r="P1865" s="5858"/>
      <c r="Q1865" s="5678"/>
      <c r="R1865" s="2483"/>
      <c r="S1865" s="544"/>
      <c r="T1865" s="545"/>
      <c r="U1865" s="546"/>
      <c r="V1865" s="547"/>
      <c r="W1865" s="299" t="s">
        <v>193</v>
      </c>
      <c r="X1865" s="277"/>
      <c r="Y1865" s="277"/>
      <c r="Z1865" s="187"/>
      <c r="AA1865" s="6301"/>
      <c r="AB1865" s="139"/>
      <c r="AC1865" s="139"/>
      <c r="AD1865" s="139"/>
      <c r="AE1865" s="139"/>
      <c r="AF1865" s="139"/>
      <c r="AG1865" s="139"/>
      <c r="AH1865" s="139"/>
      <c r="AI1865" s="139"/>
      <c r="AJ1865" s="139"/>
      <c r="AK1865" s="139"/>
      <c r="AL1865" s="139"/>
      <c r="AM1865" s="139"/>
      <c r="AN1865" s="139"/>
      <c r="AO1865" s="139"/>
      <c r="AP1865" s="139"/>
      <c r="AQ1865" s="139"/>
      <c r="AR1865" s="139"/>
      <c r="AS1865" s="139"/>
      <c r="AT1865" s="139"/>
      <c r="AU1865" s="139"/>
      <c r="AV1865" s="139"/>
      <c r="AW1865" s="139"/>
      <c r="AX1865" s="139"/>
      <c r="AY1865" s="139"/>
      <c r="AZ1865" s="139"/>
      <c r="BA1865" s="139"/>
      <c r="BB1865" s="139"/>
      <c r="BC1865" s="139"/>
      <c r="BD1865" s="139"/>
      <c r="BE1865" s="139"/>
      <c r="BF1865" s="139"/>
      <c r="BG1865" s="139"/>
      <c r="BH1865" s="139"/>
    </row>
    <row r="1866" spans="2:60" s="11" customFormat="1" ht="20.100000000000001" customHeight="1">
      <c r="B1866" s="1360"/>
      <c r="C1866" s="5598"/>
      <c r="D1866" s="9598" t="s">
        <v>633</v>
      </c>
      <c r="E1866" s="9600"/>
      <c r="F1866" s="119" t="s">
        <v>1011</v>
      </c>
      <c r="G1866" s="666"/>
      <c r="H1866" s="666"/>
      <c r="I1866" s="9582" t="s">
        <v>150</v>
      </c>
      <c r="J1866" s="9583"/>
      <c r="K1866" s="119" t="s">
        <v>1013</v>
      </c>
      <c r="L1866" s="5683"/>
      <c r="M1866" s="5871"/>
      <c r="N1866" s="5857"/>
      <c r="O1866" s="5871"/>
      <c r="P1866" s="5857"/>
      <c r="Q1866" s="5678"/>
      <c r="R1866" s="2483"/>
      <c r="S1866" s="544"/>
      <c r="T1866" s="545"/>
      <c r="U1866" s="546"/>
      <c r="V1866" s="547"/>
      <c r="W1866" s="299" t="s">
        <v>193</v>
      </c>
      <c r="X1866" s="277"/>
      <c r="Y1866" s="277"/>
      <c r="Z1866" s="187"/>
      <c r="AA1866" s="6301"/>
      <c r="AB1866" s="139"/>
      <c r="AC1866" s="139"/>
      <c r="AD1866" s="139"/>
      <c r="AE1866" s="139"/>
      <c r="AF1866" s="139"/>
      <c r="AG1866" s="139"/>
      <c r="AH1866" s="139"/>
      <c r="AI1866" s="139"/>
      <c r="AJ1866" s="139"/>
      <c r="AK1866" s="139"/>
      <c r="AL1866" s="139"/>
      <c r="AM1866" s="139"/>
      <c r="AN1866" s="139"/>
      <c r="AO1866" s="139"/>
      <c r="AP1866" s="139"/>
      <c r="AQ1866" s="139"/>
      <c r="AR1866" s="139"/>
      <c r="AS1866" s="139"/>
      <c r="AT1866" s="139"/>
      <c r="AU1866" s="139"/>
      <c r="AV1866" s="139"/>
      <c r="AW1866" s="139"/>
      <c r="AX1866" s="139"/>
      <c r="AY1866" s="139"/>
      <c r="AZ1866" s="139"/>
      <c r="BA1866" s="139"/>
      <c r="BB1866" s="139"/>
      <c r="BC1866" s="139"/>
      <c r="BD1866" s="139"/>
      <c r="BE1866" s="139"/>
      <c r="BF1866" s="139"/>
      <c r="BG1866" s="139"/>
      <c r="BH1866" s="139"/>
    </row>
    <row r="1867" spans="2:60" s="11" customFormat="1" ht="20.100000000000001" customHeight="1">
      <c r="B1867" s="1360"/>
      <c r="C1867" s="9656" t="s">
        <v>1362</v>
      </c>
      <c r="D1867" s="9587"/>
      <c r="E1867" s="9588"/>
      <c r="F1867" s="119" t="s">
        <v>156</v>
      </c>
      <c r="G1867" s="961"/>
      <c r="H1867" s="9586" t="s">
        <v>1363</v>
      </c>
      <c r="I1867" s="9587"/>
      <c r="J1867" s="9588"/>
      <c r="K1867" s="119" t="s">
        <v>156</v>
      </c>
      <c r="L1867" s="5968" t="str">
        <f>IF(COUNTBLANK(L1868:L1873)&gt;0,"미취합법인有",AVERAGE(L1868:L1873))</f>
        <v>미취합법인有</v>
      </c>
      <c r="M1867" s="5657"/>
      <c r="N1867" s="5654" t="str">
        <f>IF(COUNTBLANK(N1868:N1873)&gt;0,"미취합법인有",AVERAGE(N1868:N1873))</f>
        <v>미취합법인有</v>
      </c>
      <c r="O1867" s="5663"/>
      <c r="P1867" s="5781" t="str">
        <f>IF(COUNTBLANK(P1868:P1873)&gt;0,"미취합법인有",AVERAGE(P1868:P1873))</f>
        <v>미취합법인有</v>
      </c>
      <c r="Q1867" s="785"/>
      <c r="R1867" s="1052" t="s">
        <v>1364</v>
      </c>
      <c r="S1867" s="714" t="s">
        <v>1365</v>
      </c>
      <c r="T1867" s="109" t="s">
        <v>1356</v>
      </c>
      <c r="U1867" s="547"/>
      <c r="V1867" s="547"/>
      <c r="W1867" s="299" t="s">
        <v>193</v>
      </c>
      <c r="X1867" s="277" t="s">
        <v>1366</v>
      </c>
      <c r="Y1867" s="265"/>
      <c r="Z1867" s="982"/>
      <c r="AA1867" s="6301"/>
      <c r="AB1867" s="139"/>
      <c r="AC1867" s="139"/>
      <c r="AD1867" s="139"/>
      <c r="AE1867" s="139"/>
      <c r="AF1867" s="139"/>
      <c r="AG1867" s="139"/>
      <c r="AH1867" s="139"/>
      <c r="AI1867" s="139"/>
      <c r="AJ1867" s="139"/>
      <c r="AK1867" s="139"/>
      <c r="AL1867" s="139"/>
      <c r="AM1867" s="139"/>
      <c r="AN1867" s="139"/>
      <c r="AO1867" s="139"/>
      <c r="AP1867" s="139"/>
      <c r="AQ1867" s="139"/>
      <c r="AR1867" s="139"/>
      <c r="AS1867" s="139"/>
      <c r="AT1867" s="139"/>
      <c r="AU1867" s="139"/>
      <c r="AV1867" s="139"/>
      <c r="AW1867" s="139"/>
      <c r="AX1867" s="139"/>
      <c r="AY1867" s="139"/>
      <c r="AZ1867" s="139"/>
      <c r="BA1867" s="139"/>
      <c r="BB1867" s="139"/>
      <c r="BC1867" s="139"/>
      <c r="BD1867" s="139"/>
      <c r="BE1867" s="139"/>
      <c r="BF1867" s="139"/>
      <c r="BG1867" s="139"/>
      <c r="BH1867" s="139"/>
    </row>
    <row r="1868" spans="2:60" s="11" customFormat="1" ht="20.100000000000001" customHeight="1">
      <c r="B1868" s="1360"/>
      <c r="C1868" s="9647" t="s">
        <v>134</v>
      </c>
      <c r="D1868" s="9648"/>
      <c r="E1868" s="9649"/>
      <c r="F1868" s="119" t="s">
        <v>156</v>
      </c>
      <c r="G1868" s="666"/>
      <c r="H1868" s="9579" t="s">
        <v>135</v>
      </c>
      <c r="I1868" s="9580"/>
      <c r="J1868" s="9581"/>
      <c r="K1868" s="119" t="s">
        <v>156</v>
      </c>
      <c r="L1868" s="5594"/>
      <c r="M1868" s="5671"/>
      <c r="N1868" s="5724"/>
      <c r="O1868" s="5680"/>
      <c r="P1868" s="5678"/>
      <c r="Q1868" s="5678"/>
      <c r="R1868" s="2468"/>
      <c r="S1868" s="544"/>
      <c r="T1868" s="545"/>
      <c r="U1868" s="546"/>
      <c r="V1868" s="547"/>
      <c r="W1868" s="299" t="s">
        <v>193</v>
      </c>
      <c r="X1868" s="277"/>
      <c r="Y1868" s="277"/>
      <c r="Z1868" s="187"/>
      <c r="AA1868" s="6301"/>
      <c r="AB1868" s="139"/>
      <c r="AC1868" s="139"/>
      <c r="AD1868" s="139"/>
      <c r="AE1868" s="139"/>
      <c r="AF1868" s="139"/>
      <c r="AG1868" s="139"/>
      <c r="AH1868" s="139"/>
      <c r="AI1868" s="139"/>
      <c r="AJ1868" s="139"/>
      <c r="AK1868" s="139"/>
      <c r="AL1868" s="139"/>
      <c r="AM1868" s="139"/>
      <c r="AN1868" s="139"/>
      <c r="AO1868" s="139"/>
      <c r="AP1868" s="139"/>
      <c r="AQ1868" s="139"/>
      <c r="AR1868" s="139"/>
      <c r="AS1868" s="139"/>
      <c r="AT1868" s="139"/>
      <c r="AU1868" s="139"/>
      <c r="AV1868" s="139"/>
      <c r="AW1868" s="139"/>
      <c r="AX1868" s="139"/>
      <c r="AY1868" s="139"/>
      <c r="AZ1868" s="139"/>
      <c r="BA1868" s="139"/>
      <c r="BB1868" s="139"/>
      <c r="BC1868" s="139"/>
      <c r="BD1868" s="139"/>
      <c r="BE1868" s="139"/>
      <c r="BF1868" s="139"/>
      <c r="BG1868" s="139"/>
      <c r="BH1868" s="139"/>
    </row>
    <row r="1869" spans="2:60" s="11" customFormat="1" ht="20.100000000000001" customHeight="1">
      <c r="B1869" s="1360"/>
      <c r="C1869" s="9647" t="s">
        <v>137</v>
      </c>
      <c r="D1869" s="9648"/>
      <c r="E1869" s="9649"/>
      <c r="F1869" s="119" t="s">
        <v>156</v>
      </c>
      <c r="G1869" s="666"/>
      <c r="H1869" s="9579" t="s">
        <v>138</v>
      </c>
      <c r="I1869" s="9580"/>
      <c r="J1869" s="9581"/>
      <c r="K1869" s="119" t="s">
        <v>156</v>
      </c>
      <c r="L1869" s="5594"/>
      <c r="M1869" s="5671"/>
      <c r="N1869" s="5724"/>
      <c r="O1869" s="5680"/>
      <c r="P1869" s="5725"/>
      <c r="Q1869" s="5678"/>
      <c r="R1869" s="2468"/>
      <c r="S1869" s="544"/>
      <c r="T1869" s="545"/>
      <c r="U1869" s="546"/>
      <c r="V1869" s="547"/>
      <c r="W1869" s="299" t="s">
        <v>193</v>
      </c>
      <c r="X1869" s="277"/>
      <c r="Y1869" s="277"/>
      <c r="Z1869" s="187"/>
      <c r="AA1869" s="6301"/>
      <c r="AB1869" s="139"/>
      <c r="AC1869" s="139"/>
      <c r="AD1869" s="139"/>
      <c r="AE1869" s="139"/>
      <c r="AF1869" s="139"/>
      <c r="AG1869" s="139"/>
      <c r="AH1869" s="139"/>
      <c r="AI1869" s="139"/>
      <c r="AJ1869" s="139"/>
      <c r="AK1869" s="139"/>
      <c r="AL1869" s="139"/>
      <c r="AM1869" s="139"/>
      <c r="AN1869" s="139"/>
      <c r="AO1869" s="139"/>
      <c r="AP1869" s="139"/>
      <c r="AQ1869" s="139"/>
      <c r="AR1869" s="139"/>
      <c r="AS1869" s="139"/>
      <c r="AT1869" s="139"/>
      <c r="AU1869" s="139"/>
      <c r="AV1869" s="139"/>
      <c r="AW1869" s="139"/>
      <c r="AX1869" s="139"/>
      <c r="AY1869" s="139"/>
      <c r="AZ1869" s="139"/>
      <c r="BA1869" s="139"/>
      <c r="BB1869" s="139"/>
      <c r="BC1869" s="139"/>
      <c r="BD1869" s="139"/>
      <c r="BE1869" s="139"/>
      <c r="BF1869" s="139"/>
      <c r="BG1869" s="139"/>
      <c r="BH1869" s="139"/>
    </row>
    <row r="1870" spans="2:60" s="11" customFormat="1" ht="20.100000000000001" customHeight="1">
      <c r="B1870" s="1360"/>
      <c r="C1870" s="9647" t="s">
        <v>140</v>
      </c>
      <c r="D1870" s="9648"/>
      <c r="E1870" s="9649"/>
      <c r="F1870" s="119" t="s">
        <v>156</v>
      </c>
      <c r="G1870" s="666"/>
      <c r="H1870" s="9579" t="s">
        <v>141</v>
      </c>
      <c r="I1870" s="9580"/>
      <c r="J1870" s="9581"/>
      <c r="K1870" s="119" t="s">
        <v>156</v>
      </c>
      <c r="L1870" s="6421" t="s">
        <v>168</v>
      </c>
      <c r="M1870" s="5671" t="str">
        <f>China!AO358</f>
        <v>데이터 관리하지 않음</v>
      </c>
      <c r="N1870" s="5724" t="s">
        <v>168</v>
      </c>
      <c r="O1870" s="5680" t="str">
        <f>China!AQ358</f>
        <v>데이터 관리하지 않음</v>
      </c>
      <c r="P1870" s="5680" t="s">
        <v>168</v>
      </c>
      <c r="Q1870" s="5678" t="str">
        <f>China!AS358</f>
        <v>데이터 관리하지 않음</v>
      </c>
      <c r="R1870" s="276"/>
      <c r="S1870" s="276"/>
      <c r="T1870" s="545"/>
      <c r="U1870" s="546"/>
      <c r="V1870" s="547"/>
      <c r="W1870" s="299" t="s">
        <v>193</v>
      </c>
      <c r="X1870" s="277"/>
      <c r="Y1870" s="277"/>
      <c r="Z1870" s="187"/>
      <c r="AA1870" s="6301"/>
      <c r="AB1870" s="139"/>
      <c r="AC1870" s="139"/>
      <c r="AD1870" s="139"/>
      <c r="AE1870" s="139"/>
      <c r="AF1870" s="139"/>
      <c r="AG1870" s="139"/>
      <c r="AH1870" s="139"/>
      <c r="AI1870" s="139"/>
      <c r="AJ1870" s="139"/>
      <c r="AK1870" s="139"/>
      <c r="AL1870" s="139"/>
      <c r="AM1870" s="139"/>
      <c r="AN1870" s="139"/>
      <c r="AO1870" s="139"/>
      <c r="AP1870" s="139"/>
      <c r="AQ1870" s="139"/>
      <c r="AR1870" s="139"/>
      <c r="AS1870" s="139"/>
      <c r="AT1870" s="139"/>
      <c r="AU1870" s="139"/>
      <c r="AV1870" s="139"/>
      <c r="AW1870" s="139"/>
      <c r="AX1870" s="139"/>
      <c r="AY1870" s="139"/>
      <c r="AZ1870" s="139"/>
      <c r="BA1870" s="139"/>
      <c r="BB1870" s="139"/>
      <c r="BC1870" s="139"/>
      <c r="BD1870" s="139"/>
      <c r="BE1870" s="139"/>
      <c r="BF1870" s="139"/>
      <c r="BG1870" s="139"/>
      <c r="BH1870" s="139"/>
    </row>
    <row r="1871" spans="2:60" s="11" customFormat="1" ht="20.100000000000001" customHeight="1">
      <c r="B1871" s="1360"/>
      <c r="C1871" s="9647" t="s">
        <v>143</v>
      </c>
      <c r="D1871" s="9648"/>
      <c r="E1871" s="9649"/>
      <c r="F1871" s="119" t="s">
        <v>156</v>
      </c>
      <c r="G1871" s="666"/>
      <c r="H1871" s="9579" t="s">
        <v>144</v>
      </c>
      <c r="I1871" s="9580"/>
      <c r="J1871" s="9581"/>
      <c r="K1871" s="119" t="s">
        <v>156</v>
      </c>
      <c r="L1871" s="5594"/>
      <c r="M1871" s="5671"/>
      <c r="N1871" s="5724"/>
      <c r="O1871" s="5680"/>
      <c r="P1871" s="5725"/>
      <c r="Q1871" s="5678"/>
      <c r="R1871" s="276"/>
      <c r="S1871" s="276"/>
      <c r="T1871" s="545"/>
      <c r="U1871" s="546"/>
      <c r="V1871" s="547"/>
      <c r="W1871" s="299" t="s">
        <v>193</v>
      </c>
      <c r="X1871" s="277"/>
      <c r="Y1871" s="277"/>
      <c r="Z1871" s="187"/>
      <c r="AA1871" s="6301"/>
      <c r="AB1871" s="139"/>
      <c r="AC1871" s="139"/>
      <c r="AD1871" s="139"/>
      <c r="AE1871" s="139"/>
      <c r="AF1871" s="139"/>
      <c r="AG1871" s="139"/>
      <c r="AH1871" s="139"/>
      <c r="AI1871" s="139"/>
      <c r="AJ1871" s="139"/>
      <c r="AK1871" s="139"/>
      <c r="AL1871" s="139"/>
      <c r="AM1871" s="139"/>
      <c r="AN1871" s="139"/>
      <c r="AO1871" s="139"/>
      <c r="AP1871" s="139"/>
      <c r="AQ1871" s="139"/>
      <c r="AR1871" s="139"/>
      <c r="AS1871" s="139"/>
      <c r="AT1871" s="139"/>
      <c r="AU1871" s="139"/>
      <c r="AV1871" s="139"/>
      <c r="AW1871" s="139"/>
      <c r="AX1871" s="139"/>
      <c r="AY1871" s="139"/>
      <c r="AZ1871" s="139"/>
      <c r="BA1871" s="139"/>
      <c r="BB1871" s="139"/>
      <c r="BC1871" s="139"/>
      <c r="BD1871" s="139"/>
      <c r="BE1871" s="139"/>
      <c r="BF1871" s="139"/>
      <c r="BG1871" s="139"/>
      <c r="BH1871" s="139"/>
    </row>
    <row r="1872" spans="2:60" s="11" customFormat="1" ht="20.100000000000001" customHeight="1">
      <c r="B1872" s="1360"/>
      <c r="C1872" s="9647" t="s">
        <v>631</v>
      </c>
      <c r="D1872" s="9648"/>
      <c r="E1872" s="9649"/>
      <c r="F1872" s="119" t="s">
        <v>156</v>
      </c>
      <c r="G1872" s="666"/>
      <c r="H1872" s="9579" t="s">
        <v>147</v>
      </c>
      <c r="I1872" s="9580"/>
      <c r="J1872" s="9581"/>
      <c r="K1872" s="119" t="s">
        <v>156</v>
      </c>
      <c r="L1872" s="5594"/>
      <c r="M1872" s="5671"/>
      <c r="N1872" s="5724"/>
      <c r="O1872" s="5680"/>
      <c r="P1872" s="5725"/>
      <c r="Q1872" s="5678"/>
      <c r="R1872" s="276"/>
      <c r="S1872" s="276"/>
      <c r="T1872" s="545"/>
      <c r="U1872" s="546"/>
      <c r="V1872" s="547"/>
      <c r="W1872" s="299" t="s">
        <v>193</v>
      </c>
      <c r="X1872" s="277"/>
      <c r="Y1872" s="277"/>
      <c r="Z1872" s="187"/>
      <c r="AA1872" s="6301"/>
      <c r="AB1872" s="139"/>
      <c r="AC1872" s="139"/>
      <c r="AD1872" s="139"/>
      <c r="AE1872" s="139"/>
      <c r="AF1872" s="139"/>
      <c r="AG1872" s="139"/>
      <c r="AH1872" s="139"/>
      <c r="AI1872" s="139"/>
      <c r="AJ1872" s="139"/>
      <c r="AK1872" s="139"/>
      <c r="AL1872" s="139"/>
      <c r="AM1872" s="139"/>
      <c r="AN1872" s="139"/>
      <c r="AO1872" s="139"/>
      <c r="AP1872" s="139"/>
      <c r="AQ1872" s="139"/>
      <c r="AR1872" s="139"/>
      <c r="AS1872" s="139"/>
      <c r="AT1872" s="139"/>
      <c r="AU1872" s="139"/>
      <c r="AV1872" s="139"/>
      <c r="AW1872" s="139"/>
      <c r="AX1872" s="139"/>
      <c r="AY1872" s="139"/>
      <c r="AZ1872" s="139"/>
      <c r="BA1872" s="139"/>
      <c r="BB1872" s="139"/>
      <c r="BC1872" s="139"/>
      <c r="BD1872" s="139"/>
      <c r="BE1872" s="139"/>
      <c r="BF1872" s="139"/>
      <c r="BG1872" s="139"/>
      <c r="BH1872" s="139"/>
    </row>
    <row r="1873" spans="2:60" s="11" customFormat="1" ht="20.100000000000001" customHeight="1">
      <c r="B1873" s="1360"/>
      <c r="C1873" s="9647" t="s">
        <v>633</v>
      </c>
      <c r="D1873" s="9648"/>
      <c r="E1873" s="9649"/>
      <c r="F1873" s="119" t="s">
        <v>156</v>
      </c>
      <c r="G1873" s="666"/>
      <c r="H1873" s="9579" t="s">
        <v>150</v>
      </c>
      <c r="I1873" s="9580"/>
      <c r="J1873" s="9581"/>
      <c r="K1873" s="119" t="s">
        <v>156</v>
      </c>
      <c r="L1873" s="5594"/>
      <c r="M1873" s="5671"/>
      <c r="N1873" s="5724"/>
      <c r="O1873" s="5671"/>
      <c r="P1873" s="5724"/>
      <c r="Q1873" s="5678"/>
      <c r="R1873" s="276"/>
      <c r="S1873" s="276"/>
      <c r="T1873" s="545"/>
      <c r="U1873" s="546"/>
      <c r="V1873" s="547"/>
      <c r="W1873" s="299" t="s">
        <v>193</v>
      </c>
      <c r="X1873" s="277"/>
      <c r="Y1873" s="277"/>
      <c r="Z1873" s="187"/>
      <c r="AA1873" s="6301"/>
      <c r="AB1873" s="139"/>
      <c r="AC1873" s="139"/>
      <c r="AD1873" s="139"/>
      <c r="AE1873" s="139"/>
      <c r="AF1873" s="139"/>
      <c r="AG1873" s="139"/>
      <c r="AH1873" s="139"/>
      <c r="AI1873" s="139"/>
      <c r="AJ1873" s="139"/>
      <c r="AK1873" s="139"/>
      <c r="AL1873" s="139"/>
      <c r="AM1873" s="139"/>
      <c r="AN1873" s="139"/>
      <c r="AO1873" s="139"/>
      <c r="AP1873" s="139"/>
      <c r="AQ1873" s="139"/>
      <c r="AR1873" s="139"/>
      <c r="AS1873" s="139"/>
      <c r="AT1873" s="139"/>
      <c r="AU1873" s="139"/>
      <c r="AV1873" s="139"/>
      <c r="AW1873" s="139"/>
      <c r="AX1873" s="139"/>
      <c r="AY1873" s="139"/>
      <c r="AZ1873" s="139"/>
      <c r="BA1873" s="139"/>
      <c r="BB1873" s="139"/>
      <c r="BC1873" s="139"/>
      <c r="BD1873" s="139"/>
      <c r="BE1873" s="139"/>
      <c r="BF1873" s="139"/>
      <c r="BG1873" s="139"/>
      <c r="BH1873" s="139"/>
    </row>
    <row r="1874" spans="2:60" s="11" customFormat="1" ht="20.100000000000001" customHeight="1">
      <c r="B1874" s="1360"/>
      <c r="C1874" s="1388"/>
      <c r="D1874" s="9584" t="s">
        <v>1367</v>
      </c>
      <c r="E1874" s="9585"/>
      <c r="F1874" s="119" t="s">
        <v>1011</v>
      </c>
      <c r="G1874" s="777"/>
      <c r="H1874" s="1223"/>
      <c r="I1874" s="9584" t="s">
        <v>1368</v>
      </c>
      <c r="J1874" s="9585"/>
      <c r="K1874" s="119" t="s">
        <v>1013</v>
      </c>
      <c r="L1874" s="5653" t="str">
        <f>IF(COUNTBLANK(L1875:L1880)&gt;0,"미취합법인有",SUM(L1875:L1880))</f>
        <v>미취합법인有</v>
      </c>
      <c r="M1874" s="5657"/>
      <c r="N1874" s="5654" t="str">
        <f>IF(COUNTBLANK(N1875:N1880)&gt;0,"미취합법인有",SUM(N1875:N1880))</f>
        <v>미취합법인有</v>
      </c>
      <c r="O1874" s="5663"/>
      <c r="P1874" s="5781" t="str">
        <f>IF(COUNTBLANK(P1875:P1880)&gt;0,"미취합법인有",SUM(P1875:P1880))</f>
        <v>미취합법인有</v>
      </c>
      <c r="Q1874" s="785"/>
      <c r="R1874" s="276"/>
      <c r="S1874" s="276"/>
      <c r="T1874" s="109" t="s">
        <v>1356</v>
      </c>
      <c r="U1874" s="547"/>
      <c r="V1874" s="547"/>
      <c r="W1874" s="299" t="s">
        <v>193</v>
      </c>
      <c r="X1874" s="277" t="s">
        <v>1366</v>
      </c>
      <c r="Y1874" s="265"/>
      <c r="Z1874" s="982"/>
      <c r="AA1874" s="6301"/>
      <c r="AB1874" s="139"/>
      <c r="AC1874" s="139"/>
      <c r="AD1874" s="139"/>
      <c r="AE1874" s="139"/>
      <c r="AF1874" s="139"/>
      <c r="AG1874" s="139"/>
      <c r="AH1874" s="139"/>
      <c r="AI1874" s="139"/>
      <c r="AJ1874" s="139"/>
      <c r="AK1874" s="139"/>
      <c r="AL1874" s="139"/>
      <c r="AM1874" s="139"/>
      <c r="AN1874" s="139"/>
      <c r="AO1874" s="139"/>
      <c r="AP1874" s="139"/>
      <c r="AQ1874" s="139"/>
      <c r="AR1874" s="139"/>
      <c r="AS1874" s="139"/>
      <c r="AT1874" s="139"/>
      <c r="AU1874" s="139"/>
      <c r="AV1874" s="139"/>
      <c r="AW1874" s="139"/>
      <c r="AX1874" s="139"/>
      <c r="AY1874" s="139"/>
      <c r="AZ1874" s="139"/>
      <c r="BA1874" s="139"/>
      <c r="BB1874" s="139"/>
      <c r="BC1874" s="139"/>
      <c r="BD1874" s="139"/>
      <c r="BE1874" s="139"/>
      <c r="BF1874" s="139"/>
      <c r="BG1874" s="139"/>
      <c r="BH1874" s="139"/>
    </row>
    <row r="1875" spans="2:60" s="11" customFormat="1" ht="20.100000000000001" customHeight="1">
      <c r="B1875" s="1360"/>
      <c r="C1875" s="614"/>
      <c r="D1875" s="9598" t="s">
        <v>134</v>
      </c>
      <c r="E1875" s="9600"/>
      <c r="F1875" s="119" t="s">
        <v>1011</v>
      </c>
      <c r="G1875" s="666"/>
      <c r="H1875" s="666"/>
      <c r="I1875" s="9579" t="s">
        <v>135</v>
      </c>
      <c r="J1875" s="9581"/>
      <c r="K1875" s="119" t="s">
        <v>1013</v>
      </c>
      <c r="L1875" s="5683"/>
      <c r="M1875" s="5871"/>
      <c r="N1875" s="5857"/>
      <c r="O1875" s="5874"/>
      <c r="P1875" s="5858"/>
      <c r="Q1875" s="5678"/>
      <c r="R1875" s="276"/>
      <c r="S1875" s="276"/>
      <c r="T1875" s="545"/>
      <c r="U1875" s="546"/>
      <c r="V1875" s="547"/>
      <c r="W1875" s="299" t="s">
        <v>193</v>
      </c>
      <c r="X1875" s="277"/>
      <c r="Y1875" s="277"/>
      <c r="Z1875" s="187"/>
      <c r="AA1875" s="6301"/>
      <c r="AB1875" s="139"/>
      <c r="AC1875" s="139"/>
      <c r="AD1875" s="139"/>
      <c r="AE1875" s="139"/>
      <c r="AF1875" s="139"/>
      <c r="AG1875" s="139"/>
      <c r="AH1875" s="139"/>
      <c r="AI1875" s="139"/>
      <c r="AJ1875" s="139"/>
      <c r="AK1875" s="139"/>
      <c r="AL1875" s="139"/>
      <c r="AM1875" s="139"/>
      <c r="AN1875" s="139"/>
      <c r="AO1875" s="139"/>
      <c r="AP1875" s="139"/>
      <c r="AQ1875" s="139"/>
      <c r="AR1875" s="139"/>
      <c r="AS1875" s="139"/>
      <c r="AT1875" s="139"/>
      <c r="AU1875" s="139"/>
      <c r="AV1875" s="139"/>
      <c r="AW1875" s="139"/>
      <c r="AX1875" s="139"/>
      <c r="AY1875" s="139"/>
      <c r="AZ1875" s="139"/>
      <c r="BA1875" s="139"/>
      <c r="BB1875" s="139"/>
      <c r="BC1875" s="139"/>
      <c r="BD1875" s="139"/>
      <c r="BE1875" s="139"/>
      <c r="BF1875" s="139"/>
      <c r="BG1875" s="139"/>
      <c r="BH1875" s="139"/>
    </row>
    <row r="1876" spans="2:60" s="11" customFormat="1" ht="20.100000000000001" customHeight="1">
      <c r="B1876" s="1360"/>
      <c r="C1876" s="5598"/>
      <c r="D1876" s="9598" t="s">
        <v>137</v>
      </c>
      <c r="E1876" s="9600"/>
      <c r="F1876" s="119" t="s">
        <v>1011</v>
      </c>
      <c r="G1876" s="666"/>
      <c r="H1876" s="666"/>
      <c r="I1876" s="9579" t="s">
        <v>138</v>
      </c>
      <c r="J1876" s="9581"/>
      <c r="K1876" s="119" t="s">
        <v>1013</v>
      </c>
      <c r="L1876" s="5594"/>
      <c r="M1876" s="5671"/>
      <c r="N1876" s="5724"/>
      <c r="O1876" s="5680"/>
      <c r="P1876" s="5725"/>
      <c r="Q1876" s="5678"/>
      <c r="R1876" s="276"/>
      <c r="S1876" s="276"/>
      <c r="T1876" s="545"/>
      <c r="U1876" s="546"/>
      <c r="V1876" s="547"/>
      <c r="W1876" s="299" t="s">
        <v>193</v>
      </c>
      <c r="X1876" s="277"/>
      <c r="Y1876" s="277"/>
      <c r="Z1876" s="187"/>
      <c r="AA1876" s="6301"/>
      <c r="AB1876" s="139"/>
      <c r="AC1876" s="139"/>
      <c r="AD1876" s="139"/>
      <c r="AE1876" s="139"/>
      <c r="AF1876" s="139"/>
      <c r="AG1876" s="139"/>
      <c r="AH1876" s="139"/>
      <c r="AI1876" s="139"/>
      <c r="AJ1876" s="139"/>
      <c r="AK1876" s="139"/>
      <c r="AL1876" s="139"/>
      <c r="AM1876" s="139"/>
      <c r="AN1876" s="139"/>
      <c r="AO1876" s="139"/>
      <c r="AP1876" s="139"/>
      <c r="AQ1876" s="139"/>
      <c r="AR1876" s="139"/>
      <c r="AS1876" s="139"/>
      <c r="AT1876" s="139"/>
      <c r="AU1876" s="139"/>
      <c r="AV1876" s="139"/>
      <c r="AW1876" s="139"/>
      <c r="AX1876" s="139"/>
      <c r="AY1876" s="139"/>
      <c r="AZ1876" s="139"/>
      <c r="BA1876" s="139"/>
      <c r="BB1876" s="139"/>
      <c r="BC1876" s="139"/>
      <c r="BD1876" s="139"/>
      <c r="BE1876" s="139"/>
      <c r="BF1876" s="139"/>
      <c r="BG1876" s="139"/>
      <c r="BH1876" s="139"/>
    </row>
    <row r="1877" spans="2:60" s="11" customFormat="1" ht="20.100000000000001" customHeight="1">
      <c r="B1877" s="1360"/>
      <c r="C1877" s="5598"/>
      <c r="D1877" s="9598" t="s">
        <v>140</v>
      </c>
      <c r="E1877" s="9600"/>
      <c r="F1877" s="119" t="s">
        <v>1011</v>
      </c>
      <c r="G1877" s="666"/>
      <c r="H1877" s="666"/>
      <c r="I1877" s="9582" t="s">
        <v>141</v>
      </c>
      <c r="J1877" s="9583"/>
      <c r="K1877" s="119" t="s">
        <v>1013</v>
      </c>
      <c r="L1877" s="5683"/>
      <c r="M1877" s="5871"/>
      <c r="N1877" s="5857"/>
      <c r="O1877" s="5874"/>
      <c r="P1877" s="5858"/>
      <c r="Q1877" s="5678"/>
      <c r="R1877" s="276"/>
      <c r="S1877" s="276"/>
      <c r="T1877" s="545"/>
      <c r="U1877" s="546"/>
      <c r="V1877" s="547"/>
      <c r="W1877" s="299" t="s">
        <v>193</v>
      </c>
      <c r="X1877" s="277"/>
      <c r="Y1877" s="277"/>
      <c r="Z1877" s="187"/>
      <c r="AA1877" s="6301"/>
      <c r="AB1877" s="139"/>
      <c r="AC1877" s="139"/>
      <c r="AD1877" s="139"/>
      <c r="AE1877" s="139"/>
      <c r="AF1877" s="139"/>
      <c r="AG1877" s="139"/>
      <c r="AH1877" s="139"/>
      <c r="AI1877" s="139"/>
      <c r="AJ1877" s="139"/>
      <c r="AK1877" s="139"/>
      <c r="AL1877" s="139"/>
      <c r="AM1877" s="139"/>
      <c r="AN1877" s="139"/>
      <c r="AO1877" s="139"/>
      <c r="AP1877" s="139"/>
      <c r="AQ1877" s="139"/>
      <c r="AR1877" s="139"/>
      <c r="AS1877" s="139"/>
      <c r="AT1877" s="139"/>
      <c r="AU1877" s="139"/>
      <c r="AV1877" s="139"/>
      <c r="AW1877" s="139"/>
      <c r="AX1877" s="139"/>
      <c r="AY1877" s="139"/>
      <c r="AZ1877" s="139"/>
      <c r="BA1877" s="139"/>
      <c r="BB1877" s="139"/>
      <c r="BC1877" s="139"/>
      <c r="BD1877" s="139"/>
      <c r="BE1877" s="139"/>
      <c r="BF1877" s="139"/>
      <c r="BG1877" s="139"/>
      <c r="BH1877" s="139"/>
    </row>
    <row r="1878" spans="2:60" s="11" customFormat="1" ht="20.100000000000001" customHeight="1">
      <c r="B1878" s="1360"/>
      <c r="C1878" s="614"/>
      <c r="D1878" s="9598" t="s">
        <v>143</v>
      </c>
      <c r="E1878" s="9600"/>
      <c r="F1878" s="119" t="s">
        <v>1011</v>
      </c>
      <c r="G1878" s="666"/>
      <c r="H1878" s="666"/>
      <c r="I1878" s="9582" t="s">
        <v>144</v>
      </c>
      <c r="J1878" s="9583"/>
      <c r="K1878" s="119" t="s">
        <v>1013</v>
      </c>
      <c r="L1878" s="5683"/>
      <c r="M1878" s="5871"/>
      <c r="N1878" s="5857"/>
      <c r="O1878" s="5874"/>
      <c r="P1878" s="5858"/>
      <c r="Q1878" s="5678"/>
      <c r="R1878" s="276"/>
      <c r="S1878" s="276"/>
      <c r="T1878" s="545"/>
      <c r="U1878" s="546"/>
      <c r="V1878" s="547"/>
      <c r="W1878" s="299" t="s">
        <v>193</v>
      </c>
      <c r="X1878" s="277"/>
      <c r="Y1878" s="277"/>
      <c r="Z1878" s="187"/>
      <c r="AA1878" s="6301"/>
      <c r="AB1878" s="139"/>
      <c r="AC1878" s="139"/>
      <c r="AD1878" s="139"/>
      <c r="AE1878" s="139"/>
      <c r="AF1878" s="139"/>
      <c r="AG1878" s="139"/>
      <c r="AH1878" s="139"/>
      <c r="AI1878" s="139"/>
      <c r="AJ1878" s="139"/>
      <c r="AK1878" s="139"/>
      <c r="AL1878" s="139"/>
      <c r="AM1878" s="139"/>
      <c r="AN1878" s="139"/>
      <c r="AO1878" s="139"/>
      <c r="AP1878" s="139"/>
      <c r="AQ1878" s="139"/>
      <c r="AR1878" s="139"/>
      <c r="AS1878" s="139"/>
      <c r="AT1878" s="139"/>
      <c r="AU1878" s="139"/>
      <c r="AV1878" s="139"/>
      <c r="AW1878" s="139"/>
      <c r="AX1878" s="139"/>
      <c r="AY1878" s="139"/>
      <c r="AZ1878" s="139"/>
      <c r="BA1878" s="139"/>
      <c r="BB1878" s="139"/>
      <c r="BC1878" s="139"/>
      <c r="BD1878" s="139"/>
      <c r="BE1878" s="139"/>
      <c r="BF1878" s="139"/>
      <c r="BG1878" s="139"/>
      <c r="BH1878" s="139"/>
    </row>
    <row r="1879" spans="2:60" s="11" customFormat="1" ht="20.100000000000001" customHeight="1">
      <c r="B1879" s="1360"/>
      <c r="C1879" s="5598"/>
      <c r="D1879" s="9598" t="s">
        <v>631</v>
      </c>
      <c r="E1879" s="9600"/>
      <c r="F1879" s="119" t="s">
        <v>1011</v>
      </c>
      <c r="G1879" s="666"/>
      <c r="H1879" s="666"/>
      <c r="I1879" s="9582" t="s">
        <v>147</v>
      </c>
      <c r="J1879" s="9583"/>
      <c r="K1879" s="119" t="s">
        <v>1013</v>
      </c>
      <c r="L1879" s="5683"/>
      <c r="M1879" s="5871"/>
      <c r="N1879" s="5857"/>
      <c r="O1879" s="5874"/>
      <c r="P1879" s="5858"/>
      <c r="Q1879" s="5678"/>
      <c r="R1879" s="276"/>
      <c r="S1879" s="276"/>
      <c r="T1879" s="545"/>
      <c r="U1879" s="546"/>
      <c r="V1879" s="547"/>
      <c r="W1879" s="299" t="s">
        <v>193</v>
      </c>
      <c r="X1879" s="277"/>
      <c r="Y1879" s="277"/>
      <c r="Z1879" s="187"/>
      <c r="AA1879" s="6301"/>
      <c r="AB1879" s="139"/>
      <c r="AC1879" s="139"/>
      <c r="AD1879" s="139"/>
      <c r="AE1879" s="139"/>
      <c r="AF1879" s="139"/>
      <c r="AG1879" s="139"/>
      <c r="AH1879" s="139"/>
      <c r="AI1879" s="139"/>
      <c r="AJ1879" s="139"/>
      <c r="AK1879" s="139"/>
      <c r="AL1879" s="139"/>
      <c r="AM1879" s="139"/>
      <c r="AN1879" s="139"/>
      <c r="AO1879" s="139"/>
      <c r="AP1879" s="139"/>
      <c r="AQ1879" s="139"/>
      <c r="AR1879" s="139"/>
      <c r="AS1879" s="139"/>
      <c r="AT1879" s="139"/>
      <c r="AU1879" s="139"/>
      <c r="AV1879" s="139"/>
      <c r="AW1879" s="139"/>
      <c r="AX1879" s="139"/>
      <c r="AY1879" s="139"/>
      <c r="AZ1879" s="139"/>
      <c r="BA1879" s="139"/>
      <c r="BB1879" s="139"/>
      <c r="BC1879" s="139"/>
      <c r="BD1879" s="139"/>
      <c r="BE1879" s="139"/>
      <c r="BF1879" s="139"/>
      <c r="BG1879" s="139"/>
      <c r="BH1879" s="139"/>
    </row>
    <row r="1880" spans="2:60" s="11" customFormat="1" ht="20.100000000000001" customHeight="1">
      <c r="B1880" s="1360"/>
      <c r="C1880" s="5598"/>
      <c r="D1880" s="9598" t="s">
        <v>633</v>
      </c>
      <c r="E1880" s="9600"/>
      <c r="F1880" s="119" t="s">
        <v>1011</v>
      </c>
      <c r="G1880" s="666"/>
      <c r="H1880" s="666"/>
      <c r="I1880" s="9582" t="s">
        <v>150</v>
      </c>
      <c r="J1880" s="9583"/>
      <c r="K1880" s="119" t="s">
        <v>1013</v>
      </c>
      <c r="L1880" s="5683"/>
      <c r="M1880" s="5871"/>
      <c r="N1880" s="5857"/>
      <c r="O1880" s="5871"/>
      <c r="P1880" s="5857"/>
      <c r="Q1880" s="5678"/>
      <c r="R1880" s="276"/>
      <c r="S1880" s="276"/>
      <c r="T1880" s="545"/>
      <c r="U1880" s="546"/>
      <c r="V1880" s="547"/>
      <c r="W1880" s="299" t="s">
        <v>193</v>
      </c>
      <c r="X1880" s="277"/>
      <c r="Y1880" s="277"/>
      <c r="Z1880" s="187"/>
      <c r="AA1880" s="6301"/>
      <c r="AB1880" s="139"/>
      <c r="AC1880" s="139"/>
      <c r="AD1880" s="139"/>
      <c r="AE1880" s="139"/>
      <c r="AF1880" s="139"/>
      <c r="AG1880" s="139"/>
      <c r="AH1880" s="139"/>
      <c r="AI1880" s="139"/>
      <c r="AJ1880" s="139"/>
      <c r="AK1880" s="139"/>
      <c r="AL1880" s="139"/>
      <c r="AM1880" s="139"/>
      <c r="AN1880" s="139"/>
      <c r="AO1880" s="139"/>
      <c r="AP1880" s="139"/>
      <c r="AQ1880" s="139"/>
      <c r="AR1880" s="139"/>
      <c r="AS1880" s="139"/>
      <c r="AT1880" s="139"/>
      <c r="AU1880" s="139"/>
      <c r="AV1880" s="139"/>
      <c r="AW1880" s="139"/>
      <c r="AX1880" s="139"/>
      <c r="AY1880" s="139"/>
      <c r="AZ1880" s="139"/>
      <c r="BA1880" s="139"/>
      <c r="BB1880" s="139"/>
      <c r="BC1880" s="139"/>
      <c r="BD1880" s="139"/>
      <c r="BE1880" s="139"/>
      <c r="BF1880" s="139"/>
      <c r="BG1880" s="139"/>
      <c r="BH1880" s="139"/>
    </row>
    <row r="1881" spans="2:60" s="11" customFormat="1" ht="20.100000000000001" customHeight="1">
      <c r="B1881" s="1360"/>
      <c r="C1881" s="1389"/>
      <c r="D1881" s="9584" t="s">
        <v>1369</v>
      </c>
      <c r="E1881" s="9585"/>
      <c r="F1881" s="119" t="s">
        <v>1011</v>
      </c>
      <c r="G1881" s="777"/>
      <c r="H1881" s="1223"/>
      <c r="I1881" s="9584" t="s">
        <v>1370</v>
      </c>
      <c r="J1881" s="9585"/>
      <c r="K1881" s="119" t="s">
        <v>1013</v>
      </c>
      <c r="L1881" s="5653" t="str">
        <f>IF(COUNTBLANK(L1882:L1887)&gt;0,"미취합법인有",SUM(L1882:L1887))</f>
        <v>미취합법인有</v>
      </c>
      <c r="M1881" s="5657"/>
      <c r="N1881" s="5654" t="str">
        <f>IF(COUNTBLANK(N1882:N1887)&gt;0,"미취합법인有",SUM(N1882:N1887))</f>
        <v>미취합법인有</v>
      </c>
      <c r="O1881" s="5663"/>
      <c r="P1881" s="5781" t="str">
        <f>IF(COUNTBLANK(P1882:P1887)&gt;0,"미취합법인有",SUM(P1882:P1887))</f>
        <v>미취합법인有</v>
      </c>
      <c r="Q1881" s="785"/>
      <c r="R1881" s="276"/>
      <c r="S1881" s="276"/>
      <c r="T1881" s="109" t="s">
        <v>1356</v>
      </c>
      <c r="U1881" s="547"/>
      <c r="V1881" s="547"/>
      <c r="W1881" s="299" t="s">
        <v>193</v>
      </c>
      <c r="X1881" s="896" t="s">
        <v>1366</v>
      </c>
      <c r="Y1881" s="265"/>
      <c r="Z1881" s="982"/>
      <c r="AA1881" s="6301"/>
      <c r="AB1881" s="139"/>
      <c r="AC1881" s="139"/>
      <c r="AD1881" s="139"/>
      <c r="AE1881" s="139"/>
      <c r="AF1881" s="139"/>
      <c r="AG1881" s="139"/>
      <c r="AH1881" s="139"/>
      <c r="AI1881" s="139"/>
      <c r="AJ1881" s="139"/>
      <c r="AK1881" s="139"/>
      <c r="AL1881" s="139"/>
      <c r="AM1881" s="139"/>
      <c r="AN1881" s="139"/>
      <c r="AO1881" s="139"/>
      <c r="AP1881" s="139"/>
      <c r="AQ1881" s="139"/>
      <c r="AR1881" s="139"/>
      <c r="AS1881" s="139"/>
      <c r="AT1881" s="139"/>
      <c r="AU1881" s="139"/>
      <c r="AV1881" s="139"/>
      <c r="AW1881" s="139"/>
      <c r="AX1881" s="139"/>
      <c r="AY1881" s="139"/>
      <c r="AZ1881" s="139"/>
      <c r="BA1881" s="139"/>
      <c r="BB1881" s="139"/>
      <c r="BC1881" s="139"/>
      <c r="BD1881" s="139"/>
      <c r="BE1881" s="139"/>
      <c r="BF1881" s="139"/>
      <c r="BG1881" s="139"/>
      <c r="BH1881" s="139"/>
    </row>
    <row r="1882" spans="2:60" s="11" customFormat="1" ht="20.100000000000001" customHeight="1">
      <c r="B1882" s="1360"/>
      <c r="C1882" s="614"/>
      <c r="D1882" s="9598" t="s">
        <v>134</v>
      </c>
      <c r="E1882" s="9600"/>
      <c r="F1882" s="119" t="s">
        <v>1011</v>
      </c>
      <c r="G1882" s="666"/>
      <c r="H1882" s="666"/>
      <c r="I1882" s="9579" t="s">
        <v>135</v>
      </c>
      <c r="J1882" s="9581"/>
      <c r="K1882" s="119" t="s">
        <v>1013</v>
      </c>
      <c r="L1882" s="5683"/>
      <c r="M1882" s="5871"/>
      <c r="N1882" s="5857"/>
      <c r="O1882" s="5874"/>
      <c r="P1882" s="5858"/>
      <c r="Q1882" s="5678"/>
      <c r="R1882" s="276"/>
      <c r="S1882" s="276"/>
      <c r="T1882" s="545"/>
      <c r="U1882" s="546"/>
      <c r="V1882" s="547"/>
      <c r="W1882" s="299" t="s">
        <v>193</v>
      </c>
      <c r="X1882" s="277"/>
      <c r="Y1882" s="277"/>
      <c r="Z1882" s="187"/>
      <c r="AA1882" s="6301"/>
      <c r="AB1882" s="139"/>
      <c r="AC1882" s="139"/>
      <c r="AD1882" s="139"/>
      <c r="AE1882" s="139"/>
      <c r="AF1882" s="139"/>
      <c r="AG1882" s="139"/>
      <c r="AH1882" s="139"/>
      <c r="AI1882" s="139"/>
      <c r="AJ1882" s="139"/>
      <c r="AK1882" s="139"/>
      <c r="AL1882" s="139"/>
      <c r="AM1882" s="139"/>
      <c r="AN1882" s="139"/>
      <c r="AO1882" s="139"/>
      <c r="AP1882" s="139"/>
      <c r="AQ1882" s="139"/>
      <c r="AR1882" s="139"/>
      <c r="AS1882" s="139"/>
      <c r="AT1882" s="139"/>
      <c r="AU1882" s="139"/>
      <c r="AV1882" s="139"/>
      <c r="AW1882" s="139"/>
      <c r="AX1882" s="139"/>
      <c r="AY1882" s="139"/>
      <c r="AZ1882" s="139"/>
      <c r="BA1882" s="139"/>
      <c r="BB1882" s="139"/>
      <c r="BC1882" s="139"/>
      <c r="BD1882" s="139"/>
      <c r="BE1882" s="139"/>
      <c r="BF1882" s="139"/>
      <c r="BG1882" s="139"/>
      <c r="BH1882" s="139"/>
    </row>
    <row r="1883" spans="2:60" s="11" customFormat="1" ht="20.100000000000001" customHeight="1">
      <c r="B1883" s="1360"/>
      <c r="C1883" s="5598"/>
      <c r="D1883" s="9598" t="s">
        <v>137</v>
      </c>
      <c r="E1883" s="9600"/>
      <c r="F1883" s="119" t="s">
        <v>1011</v>
      </c>
      <c r="G1883" s="666"/>
      <c r="H1883" s="666"/>
      <c r="I1883" s="9579" t="s">
        <v>138</v>
      </c>
      <c r="J1883" s="9581"/>
      <c r="K1883" s="119" t="s">
        <v>1013</v>
      </c>
      <c r="L1883" s="5594"/>
      <c r="M1883" s="5671"/>
      <c r="N1883" s="5724"/>
      <c r="O1883" s="5680"/>
      <c r="P1883" s="5725"/>
      <c r="Q1883" s="5678"/>
      <c r="R1883" s="2483"/>
      <c r="S1883" s="544"/>
      <c r="T1883" s="545"/>
      <c r="U1883" s="546"/>
      <c r="V1883" s="547"/>
      <c r="W1883" s="299" t="s">
        <v>193</v>
      </c>
      <c r="X1883" s="277"/>
      <c r="Y1883" s="277"/>
      <c r="Z1883" s="187"/>
      <c r="AA1883" s="6301"/>
      <c r="AB1883" s="139"/>
      <c r="AC1883" s="139"/>
      <c r="AD1883" s="139"/>
      <c r="AE1883" s="139"/>
      <c r="AF1883" s="139"/>
      <c r="AG1883" s="139"/>
      <c r="AH1883" s="139"/>
      <c r="AI1883" s="139"/>
      <c r="AJ1883" s="139"/>
      <c r="AK1883" s="139"/>
      <c r="AL1883" s="139"/>
      <c r="AM1883" s="139"/>
      <c r="AN1883" s="139"/>
      <c r="AO1883" s="139"/>
      <c r="AP1883" s="139"/>
      <c r="AQ1883" s="139"/>
      <c r="AR1883" s="139"/>
      <c r="AS1883" s="139"/>
      <c r="AT1883" s="139"/>
      <c r="AU1883" s="139"/>
      <c r="AV1883" s="139"/>
      <c r="AW1883" s="139"/>
      <c r="AX1883" s="139"/>
      <c r="AY1883" s="139"/>
      <c r="AZ1883" s="139"/>
      <c r="BA1883" s="139"/>
      <c r="BB1883" s="139"/>
      <c r="BC1883" s="139"/>
      <c r="BD1883" s="139"/>
      <c r="BE1883" s="139"/>
      <c r="BF1883" s="139"/>
      <c r="BG1883" s="139"/>
      <c r="BH1883" s="139"/>
    </row>
    <row r="1884" spans="2:60" s="11" customFormat="1" ht="20.100000000000001" customHeight="1">
      <c r="B1884" s="1360"/>
      <c r="C1884" s="5598"/>
      <c r="D1884" s="9598" t="s">
        <v>140</v>
      </c>
      <c r="E1884" s="9600"/>
      <c r="F1884" s="119" t="s">
        <v>1011</v>
      </c>
      <c r="G1884" s="666"/>
      <c r="H1884" s="666"/>
      <c r="I1884" s="9582" t="s">
        <v>141</v>
      </c>
      <c r="J1884" s="9583"/>
      <c r="K1884" s="119" t="s">
        <v>1013</v>
      </c>
      <c r="L1884" s="5683"/>
      <c r="M1884" s="5871"/>
      <c r="N1884" s="5857"/>
      <c r="O1884" s="5874"/>
      <c r="P1884" s="5858"/>
      <c r="Q1884" s="5678"/>
      <c r="R1884" s="2483"/>
      <c r="S1884" s="544"/>
      <c r="T1884" s="545"/>
      <c r="U1884" s="546"/>
      <c r="V1884" s="547"/>
      <c r="W1884" s="299" t="s">
        <v>193</v>
      </c>
      <c r="X1884" s="277"/>
      <c r="Y1884" s="277"/>
      <c r="Z1884" s="187"/>
      <c r="AA1884" s="6301"/>
      <c r="AB1884" s="139"/>
      <c r="AC1884" s="139"/>
      <c r="AD1884" s="139"/>
      <c r="AE1884" s="139"/>
      <c r="AF1884" s="139"/>
      <c r="AG1884" s="139"/>
      <c r="AH1884" s="139"/>
      <c r="AI1884" s="139"/>
      <c r="AJ1884" s="139"/>
      <c r="AK1884" s="139"/>
      <c r="AL1884" s="139"/>
      <c r="AM1884" s="139"/>
      <c r="AN1884" s="139"/>
      <c r="AO1884" s="139"/>
      <c r="AP1884" s="139"/>
      <c r="AQ1884" s="139"/>
      <c r="AR1884" s="139"/>
      <c r="AS1884" s="139"/>
      <c r="AT1884" s="139"/>
      <c r="AU1884" s="139"/>
      <c r="AV1884" s="139"/>
      <c r="AW1884" s="139"/>
      <c r="AX1884" s="139"/>
      <c r="AY1884" s="139"/>
      <c r="AZ1884" s="139"/>
      <c r="BA1884" s="139"/>
      <c r="BB1884" s="139"/>
      <c r="BC1884" s="139"/>
      <c r="BD1884" s="139"/>
      <c r="BE1884" s="139"/>
      <c r="BF1884" s="139"/>
      <c r="BG1884" s="139"/>
      <c r="BH1884" s="139"/>
    </row>
    <row r="1885" spans="2:60" s="11" customFormat="1" ht="20.100000000000001" customHeight="1">
      <c r="B1885" s="1360"/>
      <c r="C1885" s="614"/>
      <c r="D1885" s="9598" t="s">
        <v>143</v>
      </c>
      <c r="E1885" s="9600"/>
      <c r="F1885" s="119" t="s">
        <v>1011</v>
      </c>
      <c r="G1885" s="666"/>
      <c r="H1885" s="666"/>
      <c r="I1885" s="9582" t="s">
        <v>144</v>
      </c>
      <c r="J1885" s="9583"/>
      <c r="K1885" s="119" t="s">
        <v>1013</v>
      </c>
      <c r="L1885" s="5683"/>
      <c r="M1885" s="5871"/>
      <c r="N1885" s="5857"/>
      <c r="O1885" s="5874"/>
      <c r="P1885" s="5858"/>
      <c r="Q1885" s="5678"/>
      <c r="R1885" s="2483"/>
      <c r="S1885" s="544"/>
      <c r="T1885" s="545"/>
      <c r="U1885" s="546"/>
      <c r="V1885" s="547"/>
      <c r="W1885" s="299" t="s">
        <v>193</v>
      </c>
      <c r="X1885" s="277"/>
      <c r="Y1885" s="277"/>
      <c r="Z1885" s="187"/>
      <c r="AA1885" s="6301"/>
      <c r="AB1885" s="139"/>
      <c r="AC1885" s="139"/>
      <c r="AD1885" s="139"/>
      <c r="AE1885" s="139"/>
      <c r="AF1885" s="139"/>
      <c r="AG1885" s="139"/>
      <c r="AH1885" s="139"/>
      <c r="AI1885" s="139"/>
      <c r="AJ1885" s="139"/>
      <c r="AK1885" s="139"/>
      <c r="AL1885" s="139"/>
      <c r="AM1885" s="139"/>
      <c r="AN1885" s="139"/>
      <c r="AO1885" s="139"/>
      <c r="AP1885" s="139"/>
      <c r="AQ1885" s="139"/>
      <c r="AR1885" s="139"/>
      <c r="AS1885" s="139"/>
      <c r="AT1885" s="139"/>
      <c r="AU1885" s="139"/>
      <c r="AV1885" s="139"/>
      <c r="AW1885" s="139"/>
      <c r="AX1885" s="139"/>
      <c r="AY1885" s="139"/>
      <c r="AZ1885" s="139"/>
      <c r="BA1885" s="139"/>
      <c r="BB1885" s="139"/>
      <c r="BC1885" s="139"/>
      <c r="BD1885" s="139"/>
      <c r="BE1885" s="139"/>
      <c r="BF1885" s="139"/>
      <c r="BG1885" s="139"/>
      <c r="BH1885" s="139"/>
    </row>
    <row r="1886" spans="2:60" s="11" customFormat="1" ht="20.100000000000001" customHeight="1">
      <c r="B1886" s="1360"/>
      <c r="C1886" s="5598"/>
      <c r="D1886" s="9598" t="s">
        <v>631</v>
      </c>
      <c r="E1886" s="9600"/>
      <c r="F1886" s="119" t="s">
        <v>1011</v>
      </c>
      <c r="G1886" s="666"/>
      <c r="H1886" s="666"/>
      <c r="I1886" s="9582" t="s">
        <v>147</v>
      </c>
      <c r="J1886" s="9583"/>
      <c r="K1886" s="119" t="s">
        <v>1013</v>
      </c>
      <c r="L1886" s="5683"/>
      <c r="M1886" s="5871"/>
      <c r="N1886" s="5857"/>
      <c r="O1886" s="5874"/>
      <c r="P1886" s="5858"/>
      <c r="Q1886" s="5678"/>
      <c r="R1886" s="2483"/>
      <c r="S1886" s="544"/>
      <c r="T1886" s="545"/>
      <c r="U1886" s="546"/>
      <c r="V1886" s="547"/>
      <c r="W1886" s="299" t="s">
        <v>193</v>
      </c>
      <c r="X1886" s="277"/>
      <c r="Y1886" s="277"/>
      <c r="Z1886" s="187"/>
      <c r="AA1886" s="6301"/>
      <c r="AB1886" s="139"/>
      <c r="AC1886" s="139"/>
      <c r="AD1886" s="139"/>
      <c r="AE1886" s="139"/>
      <c r="AF1886" s="139"/>
      <c r="AG1886" s="139"/>
      <c r="AH1886" s="139"/>
      <c r="AI1886" s="139"/>
      <c r="AJ1886" s="139"/>
      <c r="AK1886" s="139"/>
      <c r="AL1886" s="139"/>
      <c r="AM1886" s="139"/>
      <c r="AN1886" s="139"/>
      <c r="AO1886" s="139"/>
      <c r="AP1886" s="139"/>
      <c r="AQ1886" s="139"/>
      <c r="AR1886" s="139"/>
      <c r="AS1886" s="139"/>
      <c r="AT1886" s="139"/>
      <c r="AU1886" s="139"/>
      <c r="AV1886" s="139"/>
      <c r="AW1886" s="139"/>
      <c r="AX1886" s="139"/>
      <c r="AY1886" s="139"/>
      <c r="AZ1886" s="139"/>
      <c r="BA1886" s="139"/>
      <c r="BB1886" s="139"/>
      <c r="BC1886" s="139"/>
      <c r="BD1886" s="139"/>
      <c r="BE1886" s="139"/>
      <c r="BF1886" s="139"/>
      <c r="BG1886" s="139"/>
      <c r="BH1886" s="139"/>
    </row>
    <row r="1887" spans="2:60" s="11" customFormat="1" ht="20.100000000000001" customHeight="1">
      <c r="B1887" s="1360"/>
      <c r="C1887" s="5598"/>
      <c r="D1887" s="9598" t="s">
        <v>633</v>
      </c>
      <c r="E1887" s="9600"/>
      <c r="F1887" s="119" t="s">
        <v>1011</v>
      </c>
      <c r="G1887" s="666"/>
      <c r="H1887" s="666"/>
      <c r="I1887" s="9582" t="s">
        <v>150</v>
      </c>
      <c r="J1887" s="9583"/>
      <c r="K1887" s="119" t="s">
        <v>1013</v>
      </c>
      <c r="L1887" s="5683"/>
      <c r="M1887" s="5871"/>
      <c r="N1887" s="5857"/>
      <c r="O1887" s="5871"/>
      <c r="P1887" s="5857"/>
      <c r="Q1887" s="5678"/>
      <c r="R1887" s="2483"/>
      <c r="S1887" s="544"/>
      <c r="T1887" s="545"/>
      <c r="U1887" s="546"/>
      <c r="V1887" s="547"/>
      <c r="W1887" s="299" t="s">
        <v>193</v>
      </c>
      <c r="X1887" s="277"/>
      <c r="Y1887" s="277"/>
      <c r="Z1887" s="187"/>
      <c r="AA1887" s="6301"/>
      <c r="AB1887" s="139"/>
      <c r="AC1887" s="139"/>
      <c r="AD1887" s="139"/>
      <c r="AE1887" s="139"/>
      <c r="AF1887" s="139"/>
      <c r="AG1887" s="139"/>
      <c r="AH1887" s="139"/>
      <c r="AI1887" s="139"/>
      <c r="AJ1887" s="139"/>
      <c r="AK1887" s="139"/>
      <c r="AL1887" s="139"/>
      <c r="AM1887" s="139"/>
      <c r="AN1887" s="139"/>
      <c r="AO1887" s="139"/>
      <c r="AP1887" s="139"/>
      <c r="AQ1887" s="139"/>
      <c r="AR1887" s="139"/>
      <c r="AS1887" s="139"/>
      <c r="AT1887" s="139"/>
      <c r="AU1887" s="139"/>
      <c r="AV1887" s="139"/>
      <c r="AW1887" s="139"/>
      <c r="AX1887" s="139"/>
      <c r="AY1887" s="139"/>
      <c r="AZ1887" s="139"/>
      <c r="BA1887" s="139"/>
      <c r="BB1887" s="139"/>
      <c r="BC1887" s="139"/>
      <c r="BD1887" s="139"/>
      <c r="BE1887" s="139"/>
      <c r="BF1887" s="139"/>
      <c r="BG1887" s="139"/>
      <c r="BH1887" s="139"/>
    </row>
    <row r="1888" spans="2:60" s="11" customFormat="1" ht="20.100000000000001" customHeight="1">
      <c r="B1888" s="1360"/>
      <c r="C1888" s="9656" t="s">
        <v>1371</v>
      </c>
      <c r="D1888" s="9587"/>
      <c r="E1888" s="9588"/>
      <c r="F1888" s="997" t="s">
        <v>156</v>
      </c>
      <c r="G1888" s="495"/>
      <c r="H1888" s="9586" t="s">
        <v>1372</v>
      </c>
      <c r="I1888" s="9587"/>
      <c r="J1888" s="9588"/>
      <c r="K1888" s="119" t="s">
        <v>156</v>
      </c>
      <c r="L1888" s="5968" t="str">
        <f>IF(COUNTBLANK(L1889:L1894)&gt;0,"미취합법인有",AVERAGE(L1889:L1894))</f>
        <v>미취합법인有</v>
      </c>
      <c r="M1888" s="5657"/>
      <c r="N1888" s="5654" t="str">
        <f>IF(COUNTBLANK(N1889:N1894)&gt;0,"미취합법인有",AVERAGE(N1889:N1894))</f>
        <v>미취합법인有</v>
      </c>
      <c r="O1888" s="5663"/>
      <c r="P1888" s="5781" t="str">
        <f>IF(COUNTBLANK(P1889:P1894)&gt;0,"미취합법인有",AVERAGE(P1889:P1894))</f>
        <v>미취합법인有</v>
      </c>
      <c r="Q1888" s="785"/>
      <c r="R1888" s="1052" t="s">
        <v>1373</v>
      </c>
      <c r="S1888" s="6211" t="s">
        <v>1374</v>
      </c>
      <c r="T1888" s="109" t="s">
        <v>1356</v>
      </c>
      <c r="U1888" s="547"/>
      <c r="V1888" s="547"/>
      <c r="W1888" s="986"/>
      <c r="X1888" s="896" t="s">
        <v>1375</v>
      </c>
      <c r="Y1888" s="265"/>
      <c r="Z1888" s="982"/>
      <c r="AA1888" s="6301"/>
      <c r="AB1888" s="139"/>
      <c r="AC1888" s="139"/>
      <c r="AD1888" s="139"/>
      <c r="AE1888" s="139"/>
      <c r="AF1888" s="139"/>
      <c r="AG1888" s="139"/>
      <c r="AH1888" s="139"/>
      <c r="AI1888" s="139"/>
      <c r="AJ1888" s="139"/>
      <c r="AK1888" s="139"/>
      <c r="AL1888" s="139"/>
      <c r="AM1888" s="139"/>
      <c r="AN1888" s="139"/>
      <c r="AO1888" s="139"/>
      <c r="AP1888" s="139"/>
      <c r="AQ1888" s="139"/>
      <c r="AR1888" s="139"/>
      <c r="AS1888" s="139"/>
      <c r="AT1888" s="139"/>
      <c r="AU1888" s="139"/>
      <c r="AV1888" s="139"/>
      <c r="AW1888" s="139"/>
      <c r="AX1888" s="139"/>
      <c r="AY1888" s="139"/>
      <c r="AZ1888" s="139"/>
      <c r="BA1888" s="139"/>
      <c r="BB1888" s="139"/>
      <c r="BC1888" s="139"/>
      <c r="BD1888" s="139"/>
      <c r="BE1888" s="139"/>
      <c r="BF1888" s="139"/>
      <c r="BG1888" s="139"/>
      <c r="BH1888" s="139"/>
    </row>
    <row r="1889" spans="2:60" s="11" customFormat="1" ht="20.100000000000001" customHeight="1">
      <c r="B1889" s="1360"/>
      <c r="C1889" s="9647" t="s">
        <v>134</v>
      </c>
      <c r="D1889" s="9648"/>
      <c r="E1889" s="9649"/>
      <c r="F1889" s="997" t="s">
        <v>156</v>
      </c>
      <c r="G1889" s="666"/>
      <c r="H1889" s="9579" t="s">
        <v>135</v>
      </c>
      <c r="I1889" s="9580"/>
      <c r="J1889" s="9581"/>
      <c r="K1889" s="119" t="s">
        <v>156</v>
      </c>
      <c r="L1889" s="5594"/>
      <c r="M1889" s="5671"/>
      <c r="N1889" s="5724"/>
      <c r="O1889" s="5680"/>
      <c r="P1889" s="5678"/>
      <c r="Q1889" s="5678"/>
      <c r="R1889" s="2468"/>
      <c r="S1889" s="4849"/>
      <c r="T1889" s="545"/>
      <c r="U1889" s="546"/>
      <c r="V1889" s="547"/>
      <c r="W1889" s="548"/>
      <c r="X1889" s="277"/>
      <c r="Y1889" s="277"/>
      <c r="Z1889" s="187"/>
      <c r="AA1889" s="6301"/>
      <c r="AB1889" s="139"/>
      <c r="AC1889" s="139"/>
      <c r="AD1889" s="139"/>
      <c r="AE1889" s="139"/>
      <c r="AF1889" s="139"/>
      <c r="AG1889" s="139"/>
      <c r="AH1889" s="139"/>
      <c r="AI1889" s="139"/>
      <c r="AJ1889" s="139"/>
      <c r="AK1889" s="139"/>
      <c r="AL1889" s="139"/>
      <c r="AM1889" s="139"/>
      <c r="AN1889" s="139"/>
      <c r="AO1889" s="139"/>
      <c r="AP1889" s="139"/>
      <c r="AQ1889" s="139"/>
      <c r="AR1889" s="139"/>
      <c r="AS1889" s="139"/>
      <c r="AT1889" s="139"/>
      <c r="AU1889" s="139"/>
      <c r="AV1889" s="139"/>
      <c r="AW1889" s="139"/>
      <c r="AX1889" s="139"/>
      <c r="AY1889" s="139"/>
      <c r="AZ1889" s="139"/>
      <c r="BA1889" s="139"/>
      <c r="BB1889" s="139"/>
      <c r="BC1889" s="139"/>
      <c r="BD1889" s="139"/>
      <c r="BE1889" s="139"/>
      <c r="BF1889" s="139"/>
      <c r="BG1889" s="139"/>
      <c r="BH1889" s="139"/>
    </row>
    <row r="1890" spans="2:60" s="11" customFormat="1" ht="20.100000000000001" customHeight="1">
      <c r="B1890" s="1360"/>
      <c r="C1890" s="9647" t="s">
        <v>137</v>
      </c>
      <c r="D1890" s="9648"/>
      <c r="E1890" s="9649"/>
      <c r="F1890" s="997" t="s">
        <v>156</v>
      </c>
      <c r="G1890" s="666"/>
      <c r="H1890" s="9579" t="s">
        <v>138</v>
      </c>
      <c r="I1890" s="9580"/>
      <c r="J1890" s="9581"/>
      <c r="K1890" s="119" t="s">
        <v>156</v>
      </c>
      <c r="L1890" s="5594"/>
      <c r="M1890" s="5671"/>
      <c r="N1890" s="5724"/>
      <c r="O1890" s="5680"/>
      <c r="P1890" s="6383">
        <v>100</v>
      </c>
      <c r="Q1890" s="5678"/>
      <c r="R1890" s="2468"/>
      <c r="S1890" s="4849"/>
      <c r="T1890" s="545"/>
      <c r="U1890" s="546"/>
      <c r="V1890" s="547"/>
      <c r="W1890" s="548"/>
      <c r="X1890" s="277"/>
      <c r="Y1890" s="277"/>
      <c r="Z1890" s="187"/>
      <c r="AA1890" s="6301"/>
      <c r="AB1890" s="139"/>
      <c r="AC1890" s="139"/>
      <c r="AD1890" s="139"/>
      <c r="AE1890" s="139"/>
      <c r="AF1890" s="139"/>
      <c r="AG1890" s="139"/>
      <c r="AH1890" s="139"/>
      <c r="AI1890" s="139"/>
      <c r="AJ1890" s="139"/>
      <c r="AK1890" s="139"/>
      <c r="AL1890" s="139"/>
      <c r="AM1890" s="139"/>
      <c r="AN1890" s="139"/>
      <c r="AO1890" s="139"/>
      <c r="AP1890" s="139"/>
      <c r="AQ1890" s="139"/>
      <c r="AR1890" s="139"/>
      <c r="AS1890" s="139"/>
      <c r="AT1890" s="139"/>
      <c r="AU1890" s="139"/>
      <c r="AV1890" s="139"/>
      <c r="AW1890" s="139"/>
      <c r="AX1890" s="139"/>
      <c r="AY1890" s="139"/>
      <c r="AZ1890" s="139"/>
      <c r="BA1890" s="139"/>
      <c r="BB1890" s="139"/>
      <c r="BC1890" s="139"/>
      <c r="BD1890" s="139"/>
      <c r="BE1890" s="139"/>
      <c r="BF1890" s="139"/>
      <c r="BG1890" s="139"/>
      <c r="BH1890" s="139"/>
    </row>
    <row r="1891" spans="2:60" s="11" customFormat="1" ht="20.100000000000001" customHeight="1">
      <c r="B1891" s="1360"/>
      <c r="C1891" s="9647" t="s">
        <v>140</v>
      </c>
      <c r="D1891" s="9648"/>
      <c r="E1891" s="9649"/>
      <c r="F1891" s="997" t="s">
        <v>156</v>
      </c>
      <c r="G1891" s="666"/>
      <c r="H1891" s="9579" t="s">
        <v>141</v>
      </c>
      <c r="I1891" s="9580"/>
      <c r="J1891" s="9581"/>
      <c r="K1891" s="119" t="s">
        <v>156</v>
      </c>
      <c r="L1891" s="6421" t="s">
        <v>168</v>
      </c>
      <c r="M1891" s="5671" t="str">
        <f>China!AO361</f>
        <v>데이터 관리하지 않음</v>
      </c>
      <c r="N1891" s="5724" t="s">
        <v>168</v>
      </c>
      <c r="O1891" s="5680" t="str">
        <f>China!AQ361</f>
        <v>데이터 관리하지 않음</v>
      </c>
      <c r="P1891" s="5680" t="s">
        <v>168</v>
      </c>
      <c r="Q1891" s="5678" t="str">
        <f>China!AS361</f>
        <v>데이터 관리하지 않음</v>
      </c>
      <c r="R1891" s="2468"/>
      <c r="S1891" s="4849"/>
      <c r="T1891" s="545"/>
      <c r="U1891" s="546"/>
      <c r="V1891" s="547"/>
      <c r="W1891" s="548"/>
      <c r="X1891" s="277"/>
      <c r="Y1891" s="277"/>
      <c r="Z1891" s="187"/>
      <c r="AA1891" s="6301"/>
      <c r="AB1891" s="139"/>
      <c r="AC1891" s="139"/>
      <c r="AD1891" s="139"/>
      <c r="AE1891" s="139"/>
      <c r="AF1891" s="139"/>
      <c r="AG1891" s="139"/>
      <c r="AH1891" s="139"/>
      <c r="AI1891" s="139"/>
      <c r="AJ1891" s="139"/>
      <c r="AK1891" s="139"/>
      <c r="AL1891" s="139"/>
      <c r="AM1891" s="139"/>
      <c r="AN1891" s="139"/>
      <c r="AO1891" s="139"/>
      <c r="AP1891" s="139"/>
      <c r="AQ1891" s="139"/>
      <c r="AR1891" s="139"/>
      <c r="AS1891" s="139"/>
      <c r="AT1891" s="139"/>
      <c r="AU1891" s="139"/>
      <c r="AV1891" s="139"/>
      <c r="AW1891" s="139"/>
      <c r="AX1891" s="139"/>
      <c r="AY1891" s="139"/>
      <c r="AZ1891" s="139"/>
      <c r="BA1891" s="139"/>
      <c r="BB1891" s="139"/>
      <c r="BC1891" s="139"/>
      <c r="BD1891" s="139"/>
      <c r="BE1891" s="139"/>
      <c r="BF1891" s="139"/>
      <c r="BG1891" s="139"/>
      <c r="BH1891" s="139"/>
    </row>
    <row r="1892" spans="2:60" s="11" customFormat="1" ht="20.100000000000001" customHeight="1">
      <c r="B1892" s="1360"/>
      <c r="C1892" s="9647" t="s">
        <v>143</v>
      </c>
      <c r="D1892" s="9648"/>
      <c r="E1892" s="9649"/>
      <c r="F1892" s="997" t="s">
        <v>156</v>
      </c>
      <c r="G1892" s="666"/>
      <c r="H1892" s="9579" t="s">
        <v>144</v>
      </c>
      <c r="I1892" s="9580"/>
      <c r="J1892" s="9581"/>
      <c r="K1892" s="119" t="s">
        <v>156</v>
      </c>
      <c r="L1892" s="5594"/>
      <c r="M1892" s="5671"/>
      <c r="N1892" s="5724"/>
      <c r="O1892" s="5680"/>
      <c r="P1892" s="5725"/>
      <c r="Q1892" s="5678"/>
      <c r="R1892" s="2468"/>
      <c r="S1892" s="4849"/>
      <c r="T1892" s="545"/>
      <c r="U1892" s="546"/>
      <c r="V1892" s="547"/>
      <c r="W1892" s="548"/>
      <c r="X1892" s="277"/>
      <c r="Y1892" s="277"/>
      <c r="Z1892" s="187"/>
      <c r="AA1892" s="6301"/>
      <c r="AB1892" s="139"/>
      <c r="AC1892" s="139"/>
      <c r="AD1892" s="139"/>
      <c r="AE1892" s="139"/>
      <c r="AF1892" s="139"/>
      <c r="AG1892" s="139"/>
      <c r="AH1892" s="139"/>
      <c r="AI1892" s="139"/>
      <c r="AJ1892" s="139"/>
      <c r="AK1892" s="139"/>
      <c r="AL1892" s="139"/>
      <c r="AM1892" s="139"/>
      <c r="AN1892" s="139"/>
      <c r="AO1892" s="139"/>
      <c r="AP1892" s="139"/>
      <c r="AQ1892" s="139"/>
      <c r="AR1892" s="139"/>
      <c r="AS1892" s="139"/>
      <c r="AT1892" s="139"/>
      <c r="AU1892" s="139"/>
      <c r="AV1892" s="139"/>
      <c r="AW1892" s="139"/>
      <c r="AX1892" s="139"/>
      <c r="AY1892" s="139"/>
      <c r="AZ1892" s="139"/>
      <c r="BA1892" s="139"/>
      <c r="BB1892" s="139"/>
      <c r="BC1892" s="139"/>
      <c r="BD1892" s="139"/>
      <c r="BE1892" s="139"/>
      <c r="BF1892" s="139"/>
      <c r="BG1892" s="139"/>
      <c r="BH1892" s="139"/>
    </row>
    <row r="1893" spans="2:60" s="11" customFormat="1" ht="20.100000000000001" customHeight="1">
      <c r="B1893" s="1360"/>
      <c r="C1893" s="9647" t="s">
        <v>631</v>
      </c>
      <c r="D1893" s="9648"/>
      <c r="E1893" s="9649"/>
      <c r="F1893" s="997" t="s">
        <v>156</v>
      </c>
      <c r="G1893" s="666"/>
      <c r="H1893" s="9579" t="s">
        <v>147</v>
      </c>
      <c r="I1893" s="9580"/>
      <c r="J1893" s="9581"/>
      <c r="K1893" s="119" t="s">
        <v>156</v>
      </c>
      <c r="L1893" s="5594"/>
      <c r="M1893" s="5671"/>
      <c r="N1893" s="5724"/>
      <c r="O1893" s="5680"/>
      <c r="P1893" s="5725"/>
      <c r="Q1893" s="5678"/>
      <c r="R1893" s="2468"/>
      <c r="S1893" s="4849"/>
      <c r="T1893" s="545"/>
      <c r="U1893" s="546"/>
      <c r="V1893" s="547"/>
      <c r="W1893" s="548"/>
      <c r="X1893" s="277"/>
      <c r="Y1893" s="277"/>
      <c r="Z1893" s="187"/>
      <c r="AA1893" s="6301"/>
      <c r="AB1893" s="139"/>
      <c r="AC1893" s="139"/>
      <c r="AD1893" s="139"/>
      <c r="AE1893" s="139"/>
      <c r="AF1893" s="139"/>
      <c r="AG1893" s="139"/>
      <c r="AH1893" s="139"/>
      <c r="AI1893" s="139"/>
      <c r="AJ1893" s="139"/>
      <c r="AK1893" s="139"/>
      <c r="AL1893" s="139"/>
      <c r="AM1893" s="139"/>
      <c r="AN1893" s="139"/>
      <c r="AO1893" s="139"/>
      <c r="AP1893" s="139"/>
      <c r="AQ1893" s="139"/>
      <c r="AR1893" s="139"/>
      <c r="AS1893" s="139"/>
      <c r="AT1893" s="139"/>
      <c r="AU1893" s="139"/>
      <c r="AV1893" s="139"/>
      <c r="AW1893" s="139"/>
      <c r="AX1893" s="139"/>
      <c r="AY1893" s="139"/>
      <c r="AZ1893" s="139"/>
      <c r="BA1893" s="139"/>
      <c r="BB1893" s="139"/>
      <c r="BC1893" s="139"/>
      <c r="BD1893" s="139"/>
      <c r="BE1893" s="139"/>
      <c r="BF1893" s="139"/>
      <c r="BG1893" s="139"/>
      <c r="BH1893" s="139"/>
    </row>
    <row r="1894" spans="2:60" s="11" customFormat="1" ht="20.100000000000001" customHeight="1">
      <c r="B1894" s="1360"/>
      <c r="C1894" s="9647" t="s">
        <v>633</v>
      </c>
      <c r="D1894" s="9648"/>
      <c r="E1894" s="9649"/>
      <c r="F1894" s="997" t="s">
        <v>156</v>
      </c>
      <c r="G1894" s="666"/>
      <c r="H1894" s="9579" t="s">
        <v>150</v>
      </c>
      <c r="I1894" s="9580"/>
      <c r="J1894" s="9581"/>
      <c r="K1894" s="119" t="s">
        <v>156</v>
      </c>
      <c r="L1894" s="5594"/>
      <c r="M1894" s="5671"/>
      <c r="N1894" s="5724"/>
      <c r="O1894" s="5671"/>
      <c r="P1894" s="5724"/>
      <c r="Q1894" s="5678"/>
      <c r="R1894" s="276"/>
      <c r="S1894" s="4849"/>
      <c r="T1894" s="545"/>
      <c r="U1894" s="546"/>
      <c r="V1894" s="547"/>
      <c r="W1894" s="548"/>
      <c r="X1894" s="277"/>
      <c r="Y1894" s="277"/>
      <c r="Z1894" s="187"/>
      <c r="AA1894" s="6301"/>
      <c r="AB1894" s="139"/>
      <c r="AC1894" s="139"/>
      <c r="AD1894" s="139"/>
      <c r="AE1894" s="139"/>
      <c r="AF1894" s="139"/>
      <c r="AG1894" s="139"/>
      <c r="AH1894" s="139"/>
      <c r="AI1894" s="139"/>
      <c r="AJ1894" s="139"/>
      <c r="AK1894" s="139"/>
      <c r="AL1894" s="139"/>
      <c r="AM1894" s="139"/>
      <c r="AN1894" s="139"/>
      <c r="AO1894" s="139"/>
      <c r="AP1894" s="139"/>
      <c r="AQ1894" s="139"/>
      <c r="AR1894" s="139"/>
      <c r="AS1894" s="139"/>
      <c r="AT1894" s="139"/>
      <c r="AU1894" s="139"/>
      <c r="AV1894" s="139"/>
      <c r="AW1894" s="139"/>
      <c r="AX1894" s="139"/>
      <c r="AY1894" s="139"/>
      <c r="AZ1894" s="139"/>
      <c r="BA1894" s="139"/>
      <c r="BB1894" s="139"/>
      <c r="BC1894" s="139"/>
      <c r="BD1894" s="139"/>
      <c r="BE1894" s="139"/>
      <c r="BF1894" s="139"/>
      <c r="BG1894" s="139"/>
      <c r="BH1894" s="139"/>
    </row>
    <row r="1895" spans="2:60" s="11" customFormat="1" ht="20.100000000000001" customHeight="1">
      <c r="B1895" s="1360"/>
      <c r="C1895" s="1390"/>
      <c r="D1895" s="9584" t="s">
        <v>1376</v>
      </c>
      <c r="E1895" s="9585"/>
      <c r="F1895" s="997" t="s">
        <v>1011</v>
      </c>
      <c r="G1895" s="358"/>
      <c r="H1895" s="358"/>
      <c r="I1895" s="9584" t="s">
        <v>1377</v>
      </c>
      <c r="J1895" s="9585"/>
      <c r="K1895" s="119" t="s">
        <v>1013</v>
      </c>
      <c r="L1895" s="5653" t="str">
        <f>IF(COUNTBLANK(L1896:L1901)&gt;0,"미취합법인有",SUM(L1896:L1901))</f>
        <v>미취합법인有</v>
      </c>
      <c r="M1895" s="5657"/>
      <c r="N1895" s="5654" t="str">
        <f>IF(COUNTBLANK(N1896:N1901)&gt;0,"미취합법인有",SUM(N1896:N1901))</f>
        <v>미취합법인有</v>
      </c>
      <c r="O1895" s="5663"/>
      <c r="P1895" s="5781" t="str">
        <f>IF(COUNTBLANK(P1896:P1901)&gt;0,"미취합법인有",SUM(P1896:P1901))</f>
        <v>미취합법인有</v>
      </c>
      <c r="Q1895" s="785"/>
      <c r="R1895" s="1856"/>
      <c r="S1895" s="6211"/>
      <c r="T1895" s="109" t="s">
        <v>1356</v>
      </c>
      <c r="U1895" s="547"/>
      <c r="V1895" s="547"/>
      <c r="W1895" s="109"/>
      <c r="X1895" s="896" t="s">
        <v>1375</v>
      </c>
      <c r="Y1895" s="265"/>
      <c r="Z1895" s="982"/>
      <c r="AA1895" s="6301"/>
      <c r="AB1895" s="139"/>
      <c r="AC1895" s="139"/>
      <c r="AD1895" s="139"/>
      <c r="AE1895" s="139"/>
      <c r="AF1895" s="139"/>
      <c r="AG1895" s="139"/>
      <c r="AH1895" s="139"/>
      <c r="AI1895" s="139"/>
      <c r="AJ1895" s="139"/>
      <c r="AK1895" s="139"/>
      <c r="AL1895" s="139"/>
      <c r="AM1895" s="139"/>
      <c r="AN1895" s="139"/>
      <c r="AO1895" s="139"/>
      <c r="AP1895" s="139"/>
      <c r="AQ1895" s="139"/>
      <c r="AR1895" s="139"/>
      <c r="AS1895" s="139"/>
      <c r="AT1895" s="139"/>
      <c r="AU1895" s="139"/>
      <c r="AV1895" s="139"/>
      <c r="AW1895" s="139"/>
      <c r="AX1895" s="139"/>
      <c r="AY1895" s="139"/>
      <c r="AZ1895" s="139"/>
      <c r="BA1895" s="139"/>
      <c r="BB1895" s="139"/>
      <c r="BC1895" s="139"/>
      <c r="BD1895" s="139"/>
      <c r="BE1895" s="139"/>
      <c r="BF1895" s="139"/>
      <c r="BG1895" s="139"/>
      <c r="BH1895" s="139"/>
    </row>
    <row r="1896" spans="2:60" s="11" customFormat="1" ht="20.100000000000001" customHeight="1">
      <c r="B1896" s="1360"/>
      <c r="C1896" s="614"/>
      <c r="D1896" s="9598" t="s">
        <v>134</v>
      </c>
      <c r="E1896" s="9600"/>
      <c r="F1896" s="997" t="s">
        <v>1011</v>
      </c>
      <c r="G1896" s="666"/>
      <c r="H1896" s="666"/>
      <c r="I1896" s="9579" t="s">
        <v>135</v>
      </c>
      <c r="J1896" s="9581"/>
      <c r="K1896" s="119" t="s">
        <v>1013</v>
      </c>
      <c r="L1896" s="5683"/>
      <c r="M1896" s="5871"/>
      <c r="N1896" s="5857"/>
      <c r="O1896" s="5874"/>
      <c r="P1896" s="5875">
        <v>0</v>
      </c>
      <c r="Q1896" s="5678"/>
      <c r="R1896" s="1856"/>
      <c r="S1896" s="4849"/>
      <c r="T1896" s="545"/>
      <c r="U1896" s="546"/>
      <c r="V1896" s="547"/>
      <c r="W1896" s="548"/>
      <c r="X1896" s="277"/>
      <c r="Y1896" s="277"/>
      <c r="Z1896" s="187"/>
      <c r="AA1896" s="6301"/>
      <c r="AB1896" s="139"/>
      <c r="AC1896" s="139"/>
      <c r="AD1896" s="139"/>
      <c r="AE1896" s="139"/>
      <c r="AF1896" s="139"/>
      <c r="AG1896" s="139"/>
      <c r="AH1896" s="139"/>
      <c r="AI1896" s="139"/>
      <c r="AJ1896" s="139"/>
      <c r="AK1896" s="139"/>
      <c r="AL1896" s="139"/>
      <c r="AM1896" s="139"/>
      <c r="AN1896" s="139"/>
      <c r="AO1896" s="139"/>
      <c r="AP1896" s="139"/>
      <c r="AQ1896" s="139"/>
      <c r="AR1896" s="139"/>
      <c r="AS1896" s="139"/>
      <c r="AT1896" s="139"/>
      <c r="AU1896" s="139"/>
      <c r="AV1896" s="139"/>
      <c r="AW1896" s="139"/>
      <c r="AX1896" s="139"/>
      <c r="AY1896" s="139"/>
      <c r="AZ1896" s="139"/>
      <c r="BA1896" s="139"/>
      <c r="BB1896" s="139"/>
      <c r="BC1896" s="139"/>
      <c r="BD1896" s="139"/>
      <c r="BE1896" s="139"/>
      <c r="BF1896" s="139"/>
      <c r="BG1896" s="139"/>
      <c r="BH1896" s="139"/>
    </row>
    <row r="1897" spans="2:60" s="11" customFormat="1" ht="20.100000000000001" customHeight="1">
      <c r="B1897" s="1360"/>
      <c r="C1897" s="5598"/>
      <c r="D1897" s="9598" t="s">
        <v>137</v>
      </c>
      <c r="E1897" s="9600"/>
      <c r="F1897" s="997" t="s">
        <v>1011</v>
      </c>
      <c r="G1897" s="666"/>
      <c r="H1897" s="666"/>
      <c r="I1897" s="9579" t="s">
        <v>138</v>
      </c>
      <c r="J1897" s="9581"/>
      <c r="K1897" s="119" t="s">
        <v>1013</v>
      </c>
      <c r="L1897" s="5594"/>
      <c r="M1897" s="5671"/>
      <c r="N1897" s="5724"/>
      <c r="O1897" s="5680"/>
      <c r="P1897" s="5725">
        <v>5</v>
      </c>
      <c r="Q1897" s="5678"/>
      <c r="R1897" s="1856"/>
      <c r="S1897" s="544"/>
      <c r="T1897" s="545"/>
      <c r="U1897" s="546"/>
      <c r="V1897" s="547"/>
      <c r="W1897" s="548"/>
      <c r="X1897" s="277"/>
      <c r="Y1897" s="277"/>
      <c r="Z1897" s="187"/>
      <c r="AA1897" s="6301"/>
      <c r="AB1897" s="139"/>
      <c r="AC1897" s="139"/>
      <c r="AD1897" s="139"/>
      <c r="AE1897" s="139"/>
      <c r="AF1897" s="139"/>
      <c r="AG1897" s="139"/>
      <c r="AH1897" s="139"/>
      <c r="AI1897" s="139"/>
      <c r="AJ1897" s="139"/>
      <c r="AK1897" s="139"/>
      <c r="AL1897" s="139"/>
      <c r="AM1897" s="139"/>
      <c r="AN1897" s="139"/>
      <c r="AO1897" s="139"/>
      <c r="AP1897" s="139"/>
      <c r="AQ1897" s="139"/>
      <c r="AR1897" s="139"/>
      <c r="AS1897" s="139"/>
      <c r="AT1897" s="139"/>
      <c r="AU1897" s="139"/>
      <c r="AV1897" s="139"/>
      <c r="AW1897" s="139"/>
      <c r="AX1897" s="139"/>
      <c r="AY1897" s="139"/>
      <c r="AZ1897" s="139"/>
      <c r="BA1897" s="139"/>
      <c r="BB1897" s="139"/>
      <c r="BC1897" s="139"/>
      <c r="BD1897" s="139"/>
      <c r="BE1897" s="139"/>
      <c r="BF1897" s="139"/>
      <c r="BG1897" s="139"/>
      <c r="BH1897" s="139"/>
    </row>
    <row r="1898" spans="2:60" s="11" customFormat="1" ht="20.100000000000001" customHeight="1">
      <c r="B1898" s="1360"/>
      <c r="C1898" s="5598"/>
      <c r="D1898" s="9598" t="s">
        <v>140</v>
      </c>
      <c r="E1898" s="9600"/>
      <c r="F1898" s="997" t="s">
        <v>1011</v>
      </c>
      <c r="G1898" s="666"/>
      <c r="H1898" s="666"/>
      <c r="I1898" s="9582" t="s">
        <v>141</v>
      </c>
      <c r="J1898" s="9583"/>
      <c r="K1898" s="119" t="s">
        <v>1013</v>
      </c>
      <c r="L1898" s="5683"/>
      <c r="M1898" s="5871"/>
      <c r="N1898" s="5857"/>
      <c r="O1898" s="5874"/>
      <c r="P1898" s="5858"/>
      <c r="Q1898" s="5678"/>
      <c r="R1898" s="4849"/>
      <c r="S1898" s="544"/>
      <c r="T1898" s="545"/>
      <c r="U1898" s="546"/>
      <c r="V1898" s="547"/>
      <c r="W1898" s="548"/>
      <c r="X1898" s="277"/>
      <c r="Y1898" s="277"/>
      <c r="Z1898" s="187"/>
      <c r="AA1898" s="6301"/>
      <c r="AB1898" s="139"/>
      <c r="AC1898" s="139"/>
      <c r="AD1898" s="139"/>
      <c r="AE1898" s="139"/>
      <c r="AF1898" s="139"/>
      <c r="AG1898" s="139"/>
      <c r="AH1898" s="139"/>
      <c r="AI1898" s="139"/>
      <c r="AJ1898" s="139"/>
      <c r="AK1898" s="139"/>
      <c r="AL1898" s="139"/>
      <c r="AM1898" s="139"/>
      <c r="AN1898" s="139"/>
      <c r="AO1898" s="139"/>
      <c r="AP1898" s="139"/>
      <c r="AQ1898" s="139"/>
      <c r="AR1898" s="139"/>
      <c r="AS1898" s="139"/>
      <c r="AT1898" s="139"/>
      <c r="AU1898" s="139"/>
      <c r="AV1898" s="139"/>
      <c r="AW1898" s="139"/>
      <c r="AX1898" s="139"/>
      <c r="AY1898" s="139"/>
      <c r="AZ1898" s="139"/>
      <c r="BA1898" s="139"/>
      <c r="BB1898" s="139"/>
      <c r="BC1898" s="139"/>
      <c r="BD1898" s="139"/>
      <c r="BE1898" s="139"/>
      <c r="BF1898" s="139"/>
      <c r="BG1898" s="139"/>
      <c r="BH1898" s="139"/>
    </row>
    <row r="1899" spans="2:60" s="11" customFormat="1" ht="20.100000000000001" customHeight="1">
      <c r="B1899" s="1360"/>
      <c r="C1899" s="614"/>
      <c r="D1899" s="9598" t="s">
        <v>143</v>
      </c>
      <c r="E1899" s="9600"/>
      <c r="F1899" s="997" t="s">
        <v>1011</v>
      </c>
      <c r="G1899" s="666"/>
      <c r="H1899" s="666"/>
      <c r="I1899" s="9582" t="s">
        <v>144</v>
      </c>
      <c r="J1899" s="9583"/>
      <c r="K1899" s="119" t="s">
        <v>1013</v>
      </c>
      <c r="L1899" s="5683"/>
      <c r="M1899" s="5871"/>
      <c r="N1899" s="5857"/>
      <c r="O1899" s="5874"/>
      <c r="P1899" s="5858"/>
      <c r="Q1899" s="5678"/>
      <c r="R1899" s="4849"/>
      <c r="S1899" s="544"/>
      <c r="T1899" s="545"/>
      <c r="U1899" s="546"/>
      <c r="V1899" s="547"/>
      <c r="W1899" s="548"/>
      <c r="X1899" s="277"/>
      <c r="Y1899" s="277"/>
      <c r="Z1899" s="187"/>
      <c r="AA1899" s="6301"/>
      <c r="AB1899" s="139"/>
      <c r="AC1899" s="139"/>
      <c r="AD1899" s="139"/>
      <c r="AE1899" s="139"/>
      <c r="AF1899" s="139"/>
      <c r="AG1899" s="139"/>
      <c r="AH1899" s="139"/>
      <c r="AI1899" s="139"/>
      <c r="AJ1899" s="139"/>
      <c r="AK1899" s="139"/>
      <c r="AL1899" s="139"/>
      <c r="AM1899" s="139"/>
      <c r="AN1899" s="139"/>
      <c r="AO1899" s="139"/>
      <c r="AP1899" s="139"/>
      <c r="AQ1899" s="139"/>
      <c r="AR1899" s="139"/>
      <c r="AS1899" s="139"/>
      <c r="AT1899" s="139"/>
      <c r="AU1899" s="139"/>
      <c r="AV1899" s="139"/>
      <c r="AW1899" s="139"/>
      <c r="AX1899" s="139"/>
      <c r="AY1899" s="139"/>
      <c r="AZ1899" s="139"/>
      <c r="BA1899" s="139"/>
      <c r="BB1899" s="139"/>
      <c r="BC1899" s="139"/>
      <c r="BD1899" s="139"/>
      <c r="BE1899" s="139"/>
      <c r="BF1899" s="139"/>
      <c r="BG1899" s="139"/>
      <c r="BH1899" s="139"/>
    </row>
    <row r="1900" spans="2:60" s="11" customFormat="1" ht="20.100000000000001" customHeight="1">
      <c r="B1900" s="1360"/>
      <c r="C1900" s="5598"/>
      <c r="D1900" s="9598" t="s">
        <v>631</v>
      </c>
      <c r="E1900" s="9600"/>
      <c r="F1900" s="997" t="s">
        <v>1011</v>
      </c>
      <c r="G1900" s="666"/>
      <c r="H1900" s="666"/>
      <c r="I1900" s="9582" t="s">
        <v>147</v>
      </c>
      <c r="J1900" s="9583"/>
      <c r="K1900" s="119" t="s">
        <v>1013</v>
      </c>
      <c r="L1900" s="5683"/>
      <c r="M1900" s="5871"/>
      <c r="N1900" s="5857"/>
      <c r="O1900" s="5874"/>
      <c r="P1900" s="5858"/>
      <c r="Q1900" s="5678"/>
      <c r="R1900" s="276"/>
      <c r="S1900" s="276"/>
      <c r="T1900" s="545"/>
      <c r="U1900" s="546"/>
      <c r="V1900" s="547"/>
      <c r="W1900" s="548"/>
      <c r="X1900" s="277"/>
      <c r="Y1900" s="277"/>
      <c r="Z1900" s="187"/>
      <c r="AA1900" s="6301"/>
      <c r="AB1900" s="139"/>
      <c r="AC1900" s="139"/>
      <c r="AD1900" s="139"/>
      <c r="AE1900" s="139"/>
      <c r="AF1900" s="139"/>
      <c r="AG1900" s="139"/>
      <c r="AH1900" s="139"/>
      <c r="AI1900" s="139"/>
      <c r="AJ1900" s="139"/>
      <c r="AK1900" s="139"/>
      <c r="AL1900" s="139"/>
      <c r="AM1900" s="139"/>
      <c r="AN1900" s="139"/>
      <c r="AO1900" s="139"/>
      <c r="AP1900" s="139"/>
      <c r="AQ1900" s="139"/>
      <c r="AR1900" s="139"/>
      <c r="AS1900" s="139"/>
      <c r="AT1900" s="139"/>
      <c r="AU1900" s="139"/>
      <c r="AV1900" s="139"/>
      <c r="AW1900" s="139"/>
      <c r="AX1900" s="139"/>
      <c r="AY1900" s="139"/>
      <c r="AZ1900" s="139"/>
      <c r="BA1900" s="139"/>
      <c r="BB1900" s="139"/>
      <c r="BC1900" s="139"/>
      <c r="BD1900" s="139"/>
      <c r="BE1900" s="139"/>
      <c r="BF1900" s="139"/>
      <c r="BG1900" s="139"/>
      <c r="BH1900" s="139"/>
    </row>
    <row r="1901" spans="2:60" s="11" customFormat="1" ht="20.100000000000001" customHeight="1">
      <c r="B1901" s="1360"/>
      <c r="C1901" s="5598"/>
      <c r="D1901" s="9598" t="s">
        <v>633</v>
      </c>
      <c r="E1901" s="9600"/>
      <c r="F1901" s="997" t="s">
        <v>1011</v>
      </c>
      <c r="G1901" s="666"/>
      <c r="H1901" s="666"/>
      <c r="I1901" s="9582" t="s">
        <v>150</v>
      </c>
      <c r="J1901" s="9583"/>
      <c r="K1901" s="119" t="s">
        <v>1013</v>
      </c>
      <c r="L1901" s="5683"/>
      <c r="M1901" s="5871"/>
      <c r="N1901" s="5857"/>
      <c r="O1901" s="5871"/>
      <c r="P1901" s="5857"/>
      <c r="Q1901" s="5678"/>
      <c r="R1901" s="276"/>
      <c r="S1901" s="276"/>
      <c r="T1901" s="545"/>
      <c r="U1901" s="546"/>
      <c r="V1901" s="547"/>
      <c r="W1901" s="548"/>
      <c r="X1901" s="277"/>
      <c r="Y1901" s="277"/>
      <c r="Z1901" s="187"/>
      <c r="AA1901" s="6301"/>
      <c r="AB1901" s="139"/>
      <c r="AC1901" s="139"/>
      <c r="AD1901" s="139"/>
      <c r="AE1901" s="139"/>
      <c r="AF1901" s="139"/>
      <c r="AG1901" s="139"/>
      <c r="AH1901" s="139"/>
      <c r="AI1901" s="139"/>
      <c r="AJ1901" s="139"/>
      <c r="AK1901" s="139"/>
      <c r="AL1901" s="139"/>
      <c r="AM1901" s="139"/>
      <c r="AN1901" s="139"/>
      <c r="AO1901" s="139"/>
      <c r="AP1901" s="139"/>
      <c r="AQ1901" s="139"/>
      <c r="AR1901" s="139"/>
      <c r="AS1901" s="139"/>
      <c r="AT1901" s="139"/>
      <c r="AU1901" s="139"/>
      <c r="AV1901" s="139"/>
      <c r="AW1901" s="139"/>
      <c r="AX1901" s="139"/>
      <c r="AY1901" s="139"/>
      <c r="AZ1901" s="139"/>
      <c r="BA1901" s="139"/>
      <c r="BB1901" s="139"/>
      <c r="BC1901" s="139"/>
      <c r="BD1901" s="139"/>
      <c r="BE1901" s="139"/>
      <c r="BF1901" s="139"/>
      <c r="BG1901" s="139"/>
      <c r="BH1901" s="139"/>
    </row>
    <row r="1902" spans="2:60" s="11" customFormat="1" ht="20.100000000000001" customHeight="1">
      <c r="B1902" s="1360"/>
      <c r="C1902" s="911"/>
      <c r="D1902" s="9584" t="s">
        <v>1369</v>
      </c>
      <c r="E1902" s="9585"/>
      <c r="F1902" s="997" t="s">
        <v>1011</v>
      </c>
      <c r="G1902" s="358"/>
      <c r="H1902" s="358"/>
      <c r="I1902" s="9584" t="s">
        <v>1370</v>
      </c>
      <c r="J1902" s="9585"/>
      <c r="K1902" s="119" t="s">
        <v>1013</v>
      </c>
      <c r="L1902" s="5653" t="str">
        <f>IF(COUNTBLANK(L1903:L1908)&gt;0,"미취합법인有",SUM(L1903:L1908))</f>
        <v>미취합법인有</v>
      </c>
      <c r="M1902" s="5657"/>
      <c r="N1902" s="5654" t="str">
        <f>IF(COUNTBLANK(N1903:N1908)&gt;0,"미취합법인有",SUM(N1903:N1908))</f>
        <v>미취합법인有</v>
      </c>
      <c r="O1902" s="5663"/>
      <c r="P1902" s="5781" t="str">
        <f>IF(COUNTBLANK(P1903:P1908)&gt;0,"미취합법인有",SUM(P1903:P1908))</f>
        <v>미취합법인有</v>
      </c>
      <c r="Q1902" s="785"/>
      <c r="R1902" s="276"/>
      <c r="S1902" s="276"/>
      <c r="T1902" s="109" t="s">
        <v>1356</v>
      </c>
      <c r="U1902" s="547"/>
      <c r="V1902" s="547"/>
      <c r="W1902" s="109"/>
      <c r="X1902" s="896" t="s">
        <v>1375</v>
      </c>
      <c r="Y1902" s="265"/>
      <c r="Z1902" s="982"/>
      <c r="AA1902" s="6301"/>
      <c r="AB1902" s="139"/>
      <c r="AC1902" s="139"/>
      <c r="AD1902" s="139"/>
      <c r="AE1902" s="139"/>
      <c r="AF1902" s="139"/>
      <c r="AG1902" s="139"/>
      <c r="AH1902" s="139"/>
      <c r="AI1902" s="139"/>
      <c r="AJ1902" s="139"/>
      <c r="AK1902" s="139"/>
      <c r="AL1902" s="139"/>
      <c r="AM1902" s="139"/>
      <c r="AN1902" s="139"/>
      <c r="AO1902" s="139"/>
      <c r="AP1902" s="139"/>
      <c r="AQ1902" s="139"/>
      <c r="AR1902" s="139"/>
      <c r="AS1902" s="139"/>
      <c r="AT1902" s="139"/>
      <c r="AU1902" s="139"/>
      <c r="AV1902" s="139"/>
      <c r="AW1902" s="139"/>
      <c r="AX1902" s="139"/>
      <c r="AY1902" s="139"/>
      <c r="AZ1902" s="139"/>
      <c r="BA1902" s="139"/>
      <c r="BB1902" s="139"/>
      <c r="BC1902" s="139"/>
      <c r="BD1902" s="139"/>
      <c r="BE1902" s="139"/>
      <c r="BF1902" s="139"/>
      <c r="BG1902" s="139"/>
      <c r="BH1902" s="139"/>
    </row>
    <row r="1903" spans="2:60" s="11" customFormat="1" ht="20.100000000000001" customHeight="1">
      <c r="B1903" s="1360"/>
      <c r="C1903" s="614"/>
      <c r="D1903" s="9598" t="s">
        <v>134</v>
      </c>
      <c r="E1903" s="9600"/>
      <c r="F1903" s="997" t="s">
        <v>1011</v>
      </c>
      <c r="G1903" s="666"/>
      <c r="H1903" s="666"/>
      <c r="I1903" s="9579" t="s">
        <v>135</v>
      </c>
      <c r="J1903" s="9581"/>
      <c r="K1903" s="119" t="s">
        <v>1013</v>
      </c>
      <c r="L1903" s="5683"/>
      <c r="M1903" s="5871"/>
      <c r="N1903" s="5857"/>
      <c r="O1903" s="5874"/>
      <c r="P1903" s="5858"/>
      <c r="Q1903" s="5678"/>
      <c r="R1903" s="276"/>
      <c r="S1903" s="276"/>
      <c r="T1903" s="545"/>
      <c r="U1903" s="546"/>
      <c r="V1903" s="547"/>
      <c r="W1903" s="548"/>
      <c r="X1903" s="277"/>
      <c r="Y1903" s="277"/>
      <c r="Z1903" s="187"/>
      <c r="AA1903" s="6301"/>
      <c r="AB1903" s="139"/>
      <c r="AC1903" s="139"/>
      <c r="AD1903" s="139"/>
      <c r="AE1903" s="139"/>
      <c r="AF1903" s="139"/>
      <c r="AG1903" s="139"/>
      <c r="AH1903" s="139"/>
      <c r="AI1903" s="139"/>
      <c r="AJ1903" s="139"/>
      <c r="AK1903" s="139"/>
      <c r="AL1903" s="139"/>
      <c r="AM1903" s="139"/>
      <c r="AN1903" s="139"/>
      <c r="AO1903" s="139"/>
      <c r="AP1903" s="139"/>
      <c r="AQ1903" s="139"/>
      <c r="AR1903" s="139"/>
      <c r="AS1903" s="139"/>
      <c r="AT1903" s="139"/>
      <c r="AU1903" s="139"/>
      <c r="AV1903" s="139"/>
      <c r="AW1903" s="139"/>
      <c r="AX1903" s="139"/>
      <c r="AY1903" s="139"/>
      <c r="AZ1903" s="139"/>
      <c r="BA1903" s="139"/>
      <c r="BB1903" s="139"/>
      <c r="BC1903" s="139"/>
      <c r="BD1903" s="139"/>
      <c r="BE1903" s="139"/>
      <c r="BF1903" s="139"/>
      <c r="BG1903" s="139"/>
      <c r="BH1903" s="139"/>
    </row>
    <row r="1904" spans="2:60" s="11" customFormat="1" ht="20.100000000000001" customHeight="1">
      <c r="B1904" s="1360"/>
      <c r="C1904" s="5598"/>
      <c r="D1904" s="9598" t="s">
        <v>137</v>
      </c>
      <c r="E1904" s="9600"/>
      <c r="F1904" s="997" t="s">
        <v>1011</v>
      </c>
      <c r="G1904" s="666"/>
      <c r="H1904" s="666"/>
      <c r="I1904" s="9579" t="s">
        <v>138</v>
      </c>
      <c r="J1904" s="9581"/>
      <c r="K1904" s="119" t="s">
        <v>1013</v>
      </c>
      <c r="L1904" s="5594"/>
      <c r="M1904" s="5671"/>
      <c r="N1904" s="5724"/>
      <c r="O1904" s="5680"/>
      <c r="P1904" s="5725">
        <v>5</v>
      </c>
      <c r="Q1904" s="5678"/>
      <c r="R1904" s="276"/>
      <c r="S1904" s="276"/>
      <c r="T1904" s="545"/>
      <c r="U1904" s="546"/>
      <c r="V1904" s="547"/>
      <c r="W1904" s="548"/>
      <c r="X1904" s="277"/>
      <c r="Y1904" s="277"/>
      <c r="Z1904" s="187"/>
      <c r="AA1904" s="6301"/>
      <c r="AB1904" s="139"/>
      <c r="AC1904" s="139"/>
      <c r="AD1904" s="139"/>
      <c r="AE1904" s="139"/>
      <c r="AF1904" s="139"/>
      <c r="AG1904" s="139"/>
      <c r="AH1904" s="139"/>
      <c r="AI1904" s="139"/>
      <c r="AJ1904" s="139"/>
      <c r="AK1904" s="139"/>
      <c r="AL1904" s="139"/>
      <c r="AM1904" s="139"/>
      <c r="AN1904" s="139"/>
      <c r="AO1904" s="139"/>
      <c r="AP1904" s="139"/>
      <c r="AQ1904" s="139"/>
      <c r="AR1904" s="139"/>
      <c r="AS1904" s="139"/>
      <c r="AT1904" s="139"/>
      <c r="AU1904" s="139"/>
      <c r="AV1904" s="139"/>
      <c r="AW1904" s="139"/>
      <c r="AX1904" s="139"/>
      <c r="AY1904" s="139"/>
      <c r="AZ1904" s="139"/>
      <c r="BA1904" s="139"/>
      <c r="BB1904" s="139"/>
      <c r="BC1904" s="139"/>
      <c r="BD1904" s="139"/>
      <c r="BE1904" s="139"/>
      <c r="BF1904" s="139"/>
      <c r="BG1904" s="139"/>
      <c r="BH1904" s="139"/>
    </row>
    <row r="1905" spans="2:60" s="11" customFormat="1" ht="20.100000000000001" customHeight="1">
      <c r="B1905" s="1360"/>
      <c r="C1905" s="5598"/>
      <c r="D1905" s="9598" t="s">
        <v>140</v>
      </c>
      <c r="E1905" s="9600"/>
      <c r="F1905" s="997" t="s">
        <v>1011</v>
      </c>
      <c r="G1905" s="666"/>
      <c r="H1905" s="666"/>
      <c r="I1905" s="9582" t="s">
        <v>141</v>
      </c>
      <c r="J1905" s="9583"/>
      <c r="K1905" s="119" t="s">
        <v>1013</v>
      </c>
      <c r="L1905" s="5683"/>
      <c r="M1905" s="5871"/>
      <c r="N1905" s="5857"/>
      <c r="O1905" s="5874"/>
      <c r="P1905" s="5858"/>
      <c r="Q1905" s="5678"/>
      <c r="R1905" s="276"/>
      <c r="S1905" s="276"/>
      <c r="T1905" s="545"/>
      <c r="U1905" s="546"/>
      <c r="V1905" s="547"/>
      <c r="W1905" s="548"/>
      <c r="X1905" s="277"/>
      <c r="Y1905" s="277"/>
      <c r="Z1905" s="187"/>
      <c r="AA1905" s="6301"/>
      <c r="AB1905" s="139"/>
      <c r="AC1905" s="139"/>
      <c r="AD1905" s="139"/>
      <c r="AE1905" s="139"/>
      <c r="AF1905" s="139"/>
      <c r="AG1905" s="139"/>
      <c r="AH1905" s="139"/>
      <c r="AI1905" s="139"/>
      <c r="AJ1905" s="139"/>
      <c r="AK1905" s="139"/>
      <c r="AL1905" s="139"/>
      <c r="AM1905" s="139"/>
      <c r="AN1905" s="139"/>
      <c r="AO1905" s="139"/>
      <c r="AP1905" s="139"/>
      <c r="AQ1905" s="139"/>
      <c r="AR1905" s="139"/>
      <c r="AS1905" s="139"/>
      <c r="AT1905" s="139"/>
      <c r="AU1905" s="139"/>
      <c r="AV1905" s="139"/>
      <c r="AW1905" s="139"/>
      <c r="AX1905" s="139"/>
      <c r="AY1905" s="139"/>
      <c r="AZ1905" s="139"/>
      <c r="BA1905" s="139"/>
      <c r="BB1905" s="139"/>
      <c r="BC1905" s="139"/>
      <c r="BD1905" s="139"/>
      <c r="BE1905" s="139"/>
      <c r="BF1905" s="139"/>
      <c r="BG1905" s="139"/>
      <c r="BH1905" s="139"/>
    </row>
    <row r="1906" spans="2:60" s="11" customFormat="1" ht="20.100000000000001" customHeight="1">
      <c r="B1906" s="1360"/>
      <c r="C1906" s="614"/>
      <c r="D1906" s="9598" t="s">
        <v>143</v>
      </c>
      <c r="E1906" s="9600"/>
      <c r="F1906" s="997" t="s">
        <v>1011</v>
      </c>
      <c r="G1906" s="666"/>
      <c r="H1906" s="666"/>
      <c r="I1906" s="9582" t="s">
        <v>144</v>
      </c>
      <c r="J1906" s="9583"/>
      <c r="K1906" s="119" t="s">
        <v>1013</v>
      </c>
      <c r="L1906" s="5683"/>
      <c r="M1906" s="5871"/>
      <c r="N1906" s="5857"/>
      <c r="O1906" s="5874"/>
      <c r="P1906" s="5858"/>
      <c r="Q1906" s="5678"/>
      <c r="R1906" s="276"/>
      <c r="S1906" s="276"/>
      <c r="T1906" s="545"/>
      <c r="U1906" s="546"/>
      <c r="V1906" s="547"/>
      <c r="W1906" s="548"/>
      <c r="X1906" s="277"/>
      <c r="Y1906" s="277"/>
      <c r="Z1906" s="187"/>
      <c r="AA1906" s="6301"/>
      <c r="AB1906" s="139"/>
      <c r="AC1906" s="139"/>
      <c r="AD1906" s="139"/>
      <c r="AE1906" s="139"/>
      <c r="AF1906" s="139"/>
      <c r="AG1906" s="139"/>
      <c r="AH1906" s="139"/>
      <c r="AI1906" s="139"/>
      <c r="AJ1906" s="139"/>
      <c r="AK1906" s="139"/>
      <c r="AL1906" s="139"/>
      <c r="AM1906" s="139"/>
      <c r="AN1906" s="139"/>
      <c r="AO1906" s="139"/>
      <c r="AP1906" s="139"/>
      <c r="AQ1906" s="139"/>
      <c r="AR1906" s="139"/>
      <c r="AS1906" s="139"/>
      <c r="AT1906" s="139"/>
      <c r="AU1906" s="139"/>
      <c r="AV1906" s="139"/>
      <c r="AW1906" s="139"/>
      <c r="AX1906" s="139"/>
      <c r="AY1906" s="139"/>
      <c r="AZ1906" s="139"/>
      <c r="BA1906" s="139"/>
      <c r="BB1906" s="139"/>
      <c r="BC1906" s="139"/>
      <c r="BD1906" s="139"/>
      <c r="BE1906" s="139"/>
      <c r="BF1906" s="139"/>
      <c r="BG1906" s="139"/>
      <c r="BH1906" s="139"/>
    </row>
    <row r="1907" spans="2:60" s="11" customFormat="1" ht="20.100000000000001" customHeight="1">
      <c r="B1907" s="1360"/>
      <c r="C1907" s="5598"/>
      <c r="D1907" s="9598" t="s">
        <v>631</v>
      </c>
      <c r="E1907" s="9600"/>
      <c r="F1907" s="997" t="s">
        <v>1011</v>
      </c>
      <c r="G1907" s="666"/>
      <c r="H1907" s="666"/>
      <c r="I1907" s="9582" t="s">
        <v>147</v>
      </c>
      <c r="J1907" s="9583"/>
      <c r="K1907" s="119" t="s">
        <v>1013</v>
      </c>
      <c r="L1907" s="5683"/>
      <c r="M1907" s="5871"/>
      <c r="N1907" s="5857"/>
      <c r="O1907" s="5874"/>
      <c r="P1907" s="5858"/>
      <c r="Q1907" s="5678"/>
      <c r="R1907" s="276"/>
      <c r="S1907" s="276"/>
      <c r="T1907" s="545"/>
      <c r="U1907" s="546"/>
      <c r="V1907" s="547"/>
      <c r="W1907" s="548"/>
      <c r="X1907" s="277"/>
      <c r="Y1907" s="277"/>
      <c r="Z1907" s="187"/>
      <c r="AA1907" s="6301"/>
      <c r="AB1907" s="139"/>
      <c r="AC1907" s="139"/>
      <c r="AD1907" s="139"/>
      <c r="AE1907" s="139"/>
      <c r="AF1907" s="139"/>
      <c r="AG1907" s="139"/>
      <c r="AH1907" s="139"/>
      <c r="AI1907" s="139"/>
      <c r="AJ1907" s="139"/>
      <c r="AK1907" s="139"/>
      <c r="AL1907" s="139"/>
      <c r="AM1907" s="139"/>
      <c r="AN1907" s="139"/>
      <c r="AO1907" s="139"/>
      <c r="AP1907" s="139"/>
      <c r="AQ1907" s="139"/>
      <c r="AR1907" s="139"/>
      <c r="AS1907" s="139"/>
      <c r="AT1907" s="139"/>
      <c r="AU1907" s="139"/>
      <c r="AV1907" s="139"/>
      <c r="AW1907" s="139"/>
      <c r="AX1907" s="139"/>
      <c r="AY1907" s="139"/>
      <c r="AZ1907" s="139"/>
      <c r="BA1907" s="139"/>
      <c r="BB1907" s="139"/>
      <c r="BC1907" s="139"/>
      <c r="BD1907" s="139"/>
      <c r="BE1907" s="139"/>
      <c r="BF1907" s="139"/>
      <c r="BG1907" s="139"/>
      <c r="BH1907" s="139"/>
    </row>
    <row r="1908" spans="2:60" s="11" customFormat="1" ht="20.100000000000001" customHeight="1">
      <c r="B1908" s="1360"/>
      <c r="C1908" s="5598"/>
      <c r="D1908" s="9598" t="s">
        <v>633</v>
      </c>
      <c r="E1908" s="9600"/>
      <c r="F1908" s="997" t="s">
        <v>1011</v>
      </c>
      <c r="G1908" s="666"/>
      <c r="H1908" s="666"/>
      <c r="I1908" s="9582" t="s">
        <v>150</v>
      </c>
      <c r="J1908" s="9583"/>
      <c r="K1908" s="119" t="s">
        <v>1013</v>
      </c>
      <c r="L1908" s="5683"/>
      <c r="M1908" s="5871"/>
      <c r="N1908" s="5857"/>
      <c r="O1908" s="5871"/>
      <c r="P1908" s="5857"/>
      <c r="Q1908" s="5678"/>
      <c r="R1908" s="276"/>
      <c r="S1908" s="276"/>
      <c r="T1908" s="545"/>
      <c r="U1908" s="546"/>
      <c r="V1908" s="547"/>
      <c r="W1908" s="548"/>
      <c r="X1908" s="277"/>
      <c r="Y1908" s="277"/>
      <c r="Z1908" s="187"/>
      <c r="AA1908" s="6301"/>
      <c r="AB1908" s="139"/>
      <c r="AC1908" s="139"/>
      <c r="AD1908" s="139"/>
      <c r="AE1908" s="139"/>
      <c r="AF1908" s="139"/>
      <c r="AG1908" s="139"/>
      <c r="AH1908" s="139"/>
      <c r="AI1908" s="139"/>
      <c r="AJ1908" s="139"/>
      <c r="AK1908" s="139"/>
      <c r="AL1908" s="139"/>
      <c r="AM1908" s="139"/>
      <c r="AN1908" s="139"/>
      <c r="AO1908" s="139"/>
      <c r="AP1908" s="139"/>
      <c r="AQ1908" s="139"/>
      <c r="AR1908" s="139"/>
      <c r="AS1908" s="139"/>
      <c r="AT1908" s="139"/>
      <c r="AU1908" s="139"/>
      <c r="AV1908" s="139"/>
      <c r="AW1908" s="139"/>
      <c r="AX1908" s="139"/>
      <c r="AY1908" s="139"/>
      <c r="AZ1908" s="139"/>
      <c r="BA1908" s="139"/>
      <c r="BB1908" s="139"/>
      <c r="BC1908" s="139"/>
      <c r="BD1908" s="139"/>
      <c r="BE1908" s="139"/>
      <c r="BF1908" s="139"/>
      <c r="BG1908" s="139"/>
      <c r="BH1908" s="139"/>
    </row>
    <row r="1909" spans="2:60" s="11" customFormat="1" ht="20.100000000000001" customHeight="1">
      <c r="B1909" s="1360"/>
      <c r="C1909" s="9656" t="s">
        <v>1378</v>
      </c>
      <c r="D1909" s="9587"/>
      <c r="E1909" s="9588"/>
      <c r="F1909" s="997" t="s">
        <v>156</v>
      </c>
      <c r="G1909" s="495"/>
      <c r="H1909" s="9586" t="s">
        <v>1379</v>
      </c>
      <c r="I1909" s="9587"/>
      <c r="J1909" s="9588"/>
      <c r="K1909" s="997" t="s">
        <v>156</v>
      </c>
      <c r="L1909" s="5968" t="str">
        <f>IF(COUNTBLANK(L1910:L1915)&gt;0,"미취합법인有",AVERAGE(L1910:L1915))</f>
        <v>미취합법인有</v>
      </c>
      <c r="M1909" s="5657"/>
      <c r="N1909" s="5654" t="str">
        <f>IF(COUNTBLANK(N1910:N1915)&gt;0,"미취합법인有",AVERAGE(N1910:N1915))</f>
        <v>미취합법인有</v>
      </c>
      <c r="O1909" s="5663"/>
      <c r="P1909" s="5781" t="str">
        <f>IF(COUNTBLANK(P1910:P1915)&gt;0,"미취합법인有",AVERAGE(P1910:P1915))</f>
        <v>미취합법인有</v>
      </c>
      <c r="Q1909" s="785"/>
      <c r="R1909" s="276" t="s">
        <v>1380</v>
      </c>
      <c r="S1909" s="276" t="s">
        <v>1381</v>
      </c>
      <c r="T1909" s="109" t="s">
        <v>1356</v>
      </c>
      <c r="U1909" s="547"/>
      <c r="V1909" s="547"/>
      <c r="W1909" s="299" t="s">
        <v>193</v>
      </c>
      <c r="X1909" s="896" t="s">
        <v>1375</v>
      </c>
      <c r="Y1909" s="265"/>
      <c r="Z1909" s="982"/>
      <c r="AA1909" s="6301"/>
      <c r="AB1909" s="139"/>
      <c r="AC1909" s="139"/>
      <c r="AD1909" s="139"/>
      <c r="AE1909" s="139"/>
      <c r="AF1909" s="139"/>
      <c r="AG1909" s="139"/>
      <c r="AH1909" s="139"/>
      <c r="AI1909" s="139"/>
      <c r="AJ1909" s="139"/>
      <c r="AK1909" s="139"/>
      <c r="AL1909" s="139"/>
      <c r="AM1909" s="139"/>
      <c r="AN1909" s="139"/>
      <c r="AO1909" s="139"/>
      <c r="AP1909" s="139"/>
      <c r="AQ1909" s="139"/>
      <c r="AR1909" s="139"/>
      <c r="AS1909" s="139"/>
      <c r="AT1909" s="139"/>
      <c r="AU1909" s="139"/>
      <c r="AV1909" s="139"/>
      <c r="AW1909" s="139"/>
      <c r="AX1909" s="139"/>
      <c r="AY1909" s="139"/>
      <c r="AZ1909" s="139"/>
      <c r="BA1909" s="139"/>
      <c r="BB1909" s="139"/>
      <c r="BC1909" s="139"/>
      <c r="BD1909" s="139"/>
      <c r="BE1909" s="139"/>
      <c r="BF1909" s="139"/>
      <c r="BG1909" s="139"/>
      <c r="BH1909" s="139"/>
    </row>
    <row r="1910" spans="2:60" s="11" customFormat="1" ht="20.100000000000001" customHeight="1">
      <c r="B1910" s="1360"/>
      <c r="C1910" s="9647" t="s">
        <v>134</v>
      </c>
      <c r="D1910" s="9648"/>
      <c r="E1910" s="9649"/>
      <c r="F1910" s="997" t="s">
        <v>156</v>
      </c>
      <c r="G1910" s="666"/>
      <c r="H1910" s="9579" t="s">
        <v>135</v>
      </c>
      <c r="I1910" s="9580"/>
      <c r="J1910" s="9581"/>
      <c r="K1910" s="997" t="s">
        <v>156</v>
      </c>
      <c r="L1910" s="5594"/>
      <c r="M1910" s="5671"/>
      <c r="N1910" s="5724"/>
      <c r="O1910" s="5680"/>
      <c r="P1910" s="5678"/>
      <c r="Q1910" s="5678"/>
      <c r="R1910" s="276"/>
      <c r="S1910" s="276"/>
      <c r="T1910" s="545"/>
      <c r="U1910" s="546"/>
      <c r="V1910" s="547"/>
      <c r="W1910" s="299" t="s">
        <v>193</v>
      </c>
      <c r="X1910" s="277"/>
      <c r="Y1910" s="277"/>
      <c r="Z1910" s="187"/>
      <c r="AA1910" s="6301"/>
      <c r="AB1910" s="139"/>
      <c r="AC1910" s="139"/>
      <c r="AD1910" s="139"/>
      <c r="AE1910" s="139"/>
      <c r="AF1910" s="139"/>
      <c r="AG1910" s="139"/>
      <c r="AH1910" s="139"/>
      <c r="AI1910" s="139"/>
      <c r="AJ1910" s="139"/>
      <c r="AK1910" s="139"/>
      <c r="AL1910" s="139"/>
      <c r="AM1910" s="139"/>
      <c r="AN1910" s="139"/>
      <c r="AO1910" s="139"/>
      <c r="AP1910" s="139"/>
      <c r="AQ1910" s="139"/>
      <c r="AR1910" s="139"/>
      <c r="AS1910" s="139"/>
      <c r="AT1910" s="139"/>
      <c r="AU1910" s="139"/>
      <c r="AV1910" s="139"/>
      <c r="AW1910" s="139"/>
      <c r="AX1910" s="139"/>
      <c r="AY1910" s="139"/>
      <c r="AZ1910" s="139"/>
      <c r="BA1910" s="139"/>
      <c r="BB1910" s="139"/>
      <c r="BC1910" s="139"/>
      <c r="BD1910" s="139"/>
      <c r="BE1910" s="139"/>
      <c r="BF1910" s="139"/>
      <c r="BG1910" s="139"/>
      <c r="BH1910" s="139"/>
    </row>
    <row r="1911" spans="2:60" s="11" customFormat="1" ht="20.100000000000001" customHeight="1">
      <c r="B1911" s="1360"/>
      <c r="C1911" s="9647" t="s">
        <v>137</v>
      </c>
      <c r="D1911" s="9648"/>
      <c r="E1911" s="9649"/>
      <c r="F1911" s="997" t="s">
        <v>156</v>
      </c>
      <c r="G1911" s="666"/>
      <c r="H1911" s="9579" t="s">
        <v>138</v>
      </c>
      <c r="I1911" s="9580"/>
      <c r="J1911" s="9581"/>
      <c r="K1911" s="997" t="s">
        <v>156</v>
      </c>
      <c r="L1911" s="5594"/>
      <c r="M1911" s="5671"/>
      <c r="N1911" s="5960"/>
      <c r="O1911" s="5724"/>
      <c r="P1911" s="5961"/>
      <c r="Q1911" s="5678"/>
      <c r="R1911" s="276"/>
      <c r="S1911" s="276"/>
      <c r="T1911" s="545"/>
      <c r="U1911" s="546"/>
      <c r="V1911" s="547"/>
      <c r="W1911" s="299" t="s">
        <v>193</v>
      </c>
      <c r="X1911" s="277"/>
      <c r="Y1911" s="277"/>
      <c r="Z1911" s="187"/>
      <c r="AA1911" s="6301"/>
      <c r="AB1911" s="139"/>
      <c r="AC1911" s="139"/>
      <c r="AD1911" s="139"/>
      <c r="AE1911" s="139"/>
      <c r="AF1911" s="139"/>
      <c r="AG1911" s="139"/>
      <c r="AH1911" s="139"/>
      <c r="AI1911" s="139"/>
      <c r="AJ1911" s="139"/>
      <c r="AK1911" s="139"/>
      <c r="AL1911" s="139"/>
      <c r="AM1911" s="139"/>
      <c r="AN1911" s="139"/>
      <c r="AO1911" s="139"/>
      <c r="AP1911" s="139"/>
      <c r="AQ1911" s="139"/>
      <c r="AR1911" s="139"/>
      <c r="AS1911" s="139"/>
      <c r="AT1911" s="139"/>
      <c r="AU1911" s="139"/>
      <c r="AV1911" s="139"/>
      <c r="AW1911" s="139"/>
      <c r="AX1911" s="139"/>
      <c r="AY1911" s="139"/>
      <c r="AZ1911" s="139"/>
      <c r="BA1911" s="139"/>
      <c r="BB1911" s="139"/>
      <c r="BC1911" s="139"/>
      <c r="BD1911" s="139"/>
      <c r="BE1911" s="139"/>
      <c r="BF1911" s="139"/>
      <c r="BG1911" s="139"/>
      <c r="BH1911" s="139"/>
    </row>
    <row r="1912" spans="2:60" s="11" customFormat="1" ht="20.100000000000001" customHeight="1">
      <c r="B1912" s="1360"/>
      <c r="C1912" s="9647" t="s">
        <v>140</v>
      </c>
      <c r="D1912" s="9648"/>
      <c r="E1912" s="9649"/>
      <c r="F1912" s="997" t="s">
        <v>156</v>
      </c>
      <c r="G1912" s="666"/>
      <c r="H1912" s="9579" t="s">
        <v>141</v>
      </c>
      <c r="I1912" s="9580"/>
      <c r="J1912" s="9581"/>
      <c r="K1912" s="997" t="s">
        <v>156</v>
      </c>
      <c r="L1912" s="6421" t="s">
        <v>168</v>
      </c>
      <c r="M1912" s="5671" t="str">
        <f>China!AO364</f>
        <v>데이터 관리하지 않음</v>
      </c>
      <c r="N1912" s="5724" t="s">
        <v>168</v>
      </c>
      <c r="O1912" s="5879" t="str">
        <f>China!AQ364</f>
        <v>데이터 관리하지 않음</v>
      </c>
      <c r="P1912" s="5680" t="s">
        <v>168</v>
      </c>
      <c r="Q1912" s="5879" t="str">
        <f>China!AS364</f>
        <v>데이터 관리하지 않음</v>
      </c>
      <c r="R1912" s="276"/>
      <c r="S1912" s="276"/>
      <c r="T1912" s="545"/>
      <c r="U1912" s="546"/>
      <c r="V1912" s="547"/>
      <c r="W1912" s="299" t="s">
        <v>193</v>
      </c>
      <c r="X1912" s="277"/>
      <c r="Y1912" s="277"/>
      <c r="Z1912" s="187"/>
      <c r="AA1912" s="6301"/>
      <c r="AB1912" s="139"/>
      <c r="AC1912" s="139"/>
      <c r="AD1912" s="139"/>
      <c r="AE1912" s="139"/>
      <c r="AF1912" s="139"/>
      <c r="AG1912" s="139"/>
      <c r="AH1912" s="139"/>
      <c r="AI1912" s="139"/>
      <c r="AJ1912" s="139"/>
      <c r="AK1912" s="139"/>
      <c r="AL1912" s="139"/>
      <c r="AM1912" s="139"/>
      <c r="AN1912" s="139"/>
      <c r="AO1912" s="139"/>
      <c r="AP1912" s="139"/>
      <c r="AQ1912" s="139"/>
      <c r="AR1912" s="139"/>
      <c r="AS1912" s="139"/>
      <c r="AT1912" s="139"/>
      <c r="AU1912" s="139"/>
      <c r="AV1912" s="139"/>
      <c r="AW1912" s="139"/>
      <c r="AX1912" s="139"/>
      <c r="AY1912" s="139"/>
      <c r="AZ1912" s="139"/>
      <c r="BA1912" s="139"/>
      <c r="BB1912" s="139"/>
      <c r="BC1912" s="139"/>
      <c r="BD1912" s="139"/>
      <c r="BE1912" s="139"/>
      <c r="BF1912" s="139"/>
      <c r="BG1912" s="139"/>
      <c r="BH1912" s="139"/>
    </row>
    <row r="1913" spans="2:60" s="11" customFormat="1" ht="20.100000000000001" customHeight="1">
      <c r="B1913" s="1360"/>
      <c r="C1913" s="9647" t="s">
        <v>143</v>
      </c>
      <c r="D1913" s="9648"/>
      <c r="E1913" s="9649"/>
      <c r="F1913" s="997" t="s">
        <v>156</v>
      </c>
      <c r="G1913" s="666"/>
      <c r="H1913" s="9579" t="s">
        <v>144</v>
      </c>
      <c r="I1913" s="9580"/>
      <c r="J1913" s="9581"/>
      <c r="K1913" s="997" t="s">
        <v>156</v>
      </c>
      <c r="L1913" s="5594"/>
      <c r="M1913" s="5671"/>
      <c r="N1913" s="5724"/>
      <c r="O1913" s="5680"/>
      <c r="P1913" s="5725"/>
      <c r="Q1913" s="5678"/>
      <c r="R1913" s="276"/>
      <c r="S1913" s="276"/>
      <c r="T1913" s="545"/>
      <c r="U1913" s="546"/>
      <c r="V1913" s="547"/>
      <c r="W1913" s="299" t="s">
        <v>193</v>
      </c>
      <c r="X1913" s="277"/>
      <c r="Y1913" s="277"/>
      <c r="Z1913" s="187"/>
      <c r="AA1913" s="6301"/>
      <c r="AB1913" s="139"/>
      <c r="AC1913" s="139"/>
      <c r="AD1913" s="139"/>
      <c r="AE1913" s="139"/>
      <c r="AF1913" s="139"/>
      <c r="AG1913" s="139"/>
      <c r="AH1913" s="139"/>
      <c r="AI1913" s="139"/>
      <c r="AJ1913" s="139"/>
      <c r="AK1913" s="139"/>
      <c r="AL1913" s="139"/>
      <c r="AM1913" s="139"/>
      <c r="AN1913" s="139"/>
      <c r="AO1913" s="139"/>
      <c r="AP1913" s="139"/>
      <c r="AQ1913" s="139"/>
      <c r="AR1913" s="139"/>
      <c r="AS1913" s="139"/>
      <c r="AT1913" s="139"/>
      <c r="AU1913" s="139"/>
      <c r="AV1913" s="139"/>
      <c r="AW1913" s="139"/>
      <c r="AX1913" s="139"/>
      <c r="AY1913" s="139"/>
      <c r="AZ1913" s="139"/>
      <c r="BA1913" s="139"/>
      <c r="BB1913" s="139"/>
      <c r="BC1913" s="139"/>
      <c r="BD1913" s="139"/>
      <c r="BE1913" s="139"/>
      <c r="BF1913" s="139"/>
      <c r="BG1913" s="139"/>
      <c r="BH1913" s="139"/>
    </row>
    <row r="1914" spans="2:60" s="11" customFormat="1" ht="20.100000000000001" customHeight="1">
      <c r="B1914" s="1360"/>
      <c r="C1914" s="9647" t="s">
        <v>631</v>
      </c>
      <c r="D1914" s="9648"/>
      <c r="E1914" s="9649"/>
      <c r="F1914" s="997" t="s">
        <v>156</v>
      </c>
      <c r="G1914" s="666"/>
      <c r="H1914" s="9579" t="s">
        <v>147</v>
      </c>
      <c r="I1914" s="9580"/>
      <c r="J1914" s="9581"/>
      <c r="K1914" s="997" t="s">
        <v>156</v>
      </c>
      <c r="L1914" s="5594"/>
      <c r="M1914" s="5671"/>
      <c r="N1914" s="5724"/>
      <c r="O1914" s="5680"/>
      <c r="P1914" s="5725"/>
      <c r="Q1914" s="5678"/>
      <c r="R1914" s="276"/>
      <c r="S1914" s="276"/>
      <c r="T1914" s="545"/>
      <c r="U1914" s="546"/>
      <c r="V1914" s="547"/>
      <c r="W1914" s="299" t="s">
        <v>193</v>
      </c>
      <c r="X1914" s="277"/>
      <c r="Y1914" s="277"/>
      <c r="Z1914" s="187"/>
      <c r="AA1914" s="6301"/>
      <c r="AB1914" s="139"/>
      <c r="AC1914" s="139"/>
      <c r="AD1914" s="139"/>
      <c r="AE1914" s="139"/>
      <c r="AF1914" s="139"/>
      <c r="AG1914" s="139"/>
      <c r="AH1914" s="139"/>
      <c r="AI1914" s="139"/>
      <c r="AJ1914" s="139"/>
      <c r="AK1914" s="139"/>
      <c r="AL1914" s="139"/>
      <c r="AM1914" s="139"/>
      <c r="AN1914" s="139"/>
      <c r="AO1914" s="139"/>
      <c r="AP1914" s="139"/>
      <c r="AQ1914" s="139"/>
      <c r="AR1914" s="139"/>
      <c r="AS1914" s="139"/>
      <c r="AT1914" s="139"/>
      <c r="AU1914" s="139"/>
      <c r="AV1914" s="139"/>
      <c r="AW1914" s="139"/>
      <c r="AX1914" s="139"/>
      <c r="AY1914" s="139"/>
      <c r="AZ1914" s="139"/>
      <c r="BA1914" s="139"/>
      <c r="BB1914" s="139"/>
      <c r="BC1914" s="139"/>
      <c r="BD1914" s="139"/>
      <c r="BE1914" s="139"/>
      <c r="BF1914" s="139"/>
      <c r="BG1914" s="139"/>
      <c r="BH1914" s="139"/>
    </row>
    <row r="1915" spans="2:60" s="11" customFormat="1" ht="20.100000000000001" customHeight="1">
      <c r="B1915" s="1360"/>
      <c r="C1915" s="9647" t="s">
        <v>633</v>
      </c>
      <c r="D1915" s="9648"/>
      <c r="E1915" s="9649"/>
      <c r="F1915" s="997" t="s">
        <v>156</v>
      </c>
      <c r="G1915" s="666"/>
      <c r="H1915" s="9579" t="s">
        <v>150</v>
      </c>
      <c r="I1915" s="9580"/>
      <c r="J1915" s="9581"/>
      <c r="K1915" s="997" t="s">
        <v>156</v>
      </c>
      <c r="L1915" s="5594"/>
      <c r="M1915" s="5671"/>
      <c r="N1915" s="5724"/>
      <c r="O1915" s="5671"/>
      <c r="P1915" s="5724"/>
      <c r="Q1915" s="5678"/>
      <c r="R1915" s="276"/>
      <c r="S1915" s="276"/>
      <c r="T1915" s="545"/>
      <c r="U1915" s="546"/>
      <c r="V1915" s="547"/>
      <c r="W1915" s="299" t="s">
        <v>193</v>
      </c>
      <c r="X1915" s="277"/>
      <c r="Y1915" s="277"/>
      <c r="Z1915" s="187"/>
      <c r="AA1915" s="6301"/>
      <c r="AB1915" s="139"/>
      <c r="AC1915" s="139"/>
      <c r="AD1915" s="139"/>
      <c r="AE1915" s="139"/>
      <c r="AF1915" s="139"/>
      <c r="AG1915" s="139"/>
      <c r="AH1915" s="139"/>
      <c r="AI1915" s="139"/>
      <c r="AJ1915" s="139"/>
      <c r="AK1915" s="139"/>
      <c r="AL1915" s="139"/>
      <c r="AM1915" s="139"/>
      <c r="AN1915" s="139"/>
      <c r="AO1915" s="139"/>
      <c r="AP1915" s="139"/>
      <c r="AQ1915" s="139"/>
      <c r="AR1915" s="139"/>
      <c r="AS1915" s="139"/>
      <c r="AT1915" s="139"/>
      <c r="AU1915" s="139"/>
      <c r="AV1915" s="139"/>
      <c r="AW1915" s="139"/>
      <c r="AX1915" s="139"/>
      <c r="AY1915" s="139"/>
      <c r="AZ1915" s="139"/>
      <c r="BA1915" s="139"/>
      <c r="BB1915" s="139"/>
      <c r="BC1915" s="139"/>
      <c r="BD1915" s="139"/>
      <c r="BE1915" s="139"/>
      <c r="BF1915" s="139"/>
      <c r="BG1915" s="139"/>
      <c r="BH1915" s="139"/>
    </row>
    <row r="1916" spans="2:60" s="11" customFormat="1" ht="20.100000000000001" customHeight="1">
      <c r="B1916" s="1360"/>
      <c r="C1916" s="1390"/>
      <c r="D1916" s="9584" t="s">
        <v>1382</v>
      </c>
      <c r="E1916" s="9585"/>
      <c r="F1916" s="997" t="s">
        <v>1011</v>
      </c>
      <c r="G1916" s="358"/>
      <c r="H1916" s="6179"/>
      <c r="I1916" s="9619" t="s">
        <v>1383</v>
      </c>
      <c r="J1916" s="9585"/>
      <c r="K1916" s="119" t="s">
        <v>1013</v>
      </c>
      <c r="L1916" s="5653" t="str">
        <f>IF(COUNTBLANK(L1917:L1922)&gt;0,"미취합법인有",SUM(L1917:L1922))</f>
        <v>미취합법인有</v>
      </c>
      <c r="M1916" s="5657"/>
      <c r="N1916" s="5654" t="str">
        <f>IF(COUNTBLANK(N1917:N1922)&gt;0,"미취합법인有",SUM(N1917:N1922))</f>
        <v>미취합법인有</v>
      </c>
      <c r="O1916" s="5663"/>
      <c r="P1916" s="5781" t="str">
        <f>IF(COUNTBLANK(P1917:P1922)&gt;0,"미취합법인有",SUM(P1917:P1922))</f>
        <v>미취합법인有</v>
      </c>
      <c r="Q1916" s="785"/>
      <c r="R1916" s="276"/>
      <c r="S1916" s="276"/>
      <c r="T1916" s="109" t="s">
        <v>1356</v>
      </c>
      <c r="U1916" s="547"/>
      <c r="V1916" s="547"/>
      <c r="W1916" s="299" t="s">
        <v>193</v>
      </c>
      <c r="X1916" s="896" t="s">
        <v>1375</v>
      </c>
      <c r="Y1916" s="265"/>
      <c r="Z1916" s="982"/>
      <c r="AA1916" s="6301"/>
      <c r="AB1916" s="139"/>
      <c r="AC1916" s="139"/>
      <c r="AD1916" s="139"/>
      <c r="AE1916" s="139"/>
      <c r="AF1916" s="139"/>
      <c r="AG1916" s="139"/>
      <c r="AH1916" s="139"/>
      <c r="AI1916" s="139"/>
      <c r="AJ1916" s="139"/>
      <c r="AK1916" s="139"/>
      <c r="AL1916" s="139"/>
      <c r="AM1916" s="139"/>
      <c r="AN1916" s="139"/>
      <c r="AO1916" s="139"/>
      <c r="AP1916" s="139"/>
      <c r="AQ1916" s="139"/>
      <c r="AR1916" s="139"/>
      <c r="AS1916" s="139"/>
      <c r="AT1916" s="139"/>
      <c r="AU1916" s="139"/>
      <c r="AV1916" s="139"/>
      <c r="AW1916" s="139"/>
      <c r="AX1916" s="139"/>
      <c r="AY1916" s="139"/>
      <c r="AZ1916" s="139"/>
      <c r="BA1916" s="139"/>
      <c r="BB1916" s="139"/>
      <c r="BC1916" s="139"/>
      <c r="BD1916" s="139"/>
      <c r="BE1916" s="139"/>
      <c r="BF1916" s="139"/>
      <c r="BG1916" s="139"/>
      <c r="BH1916" s="139"/>
    </row>
    <row r="1917" spans="2:60" s="11" customFormat="1" ht="20.100000000000001" customHeight="1">
      <c r="B1917" s="1360"/>
      <c r="C1917" s="614"/>
      <c r="D1917" s="9598" t="s">
        <v>134</v>
      </c>
      <c r="E1917" s="9600"/>
      <c r="F1917" s="997" t="s">
        <v>1011</v>
      </c>
      <c r="G1917" s="666"/>
      <c r="H1917" s="6260"/>
      <c r="I1917" s="9616" t="s">
        <v>135</v>
      </c>
      <c r="J1917" s="9617"/>
      <c r="K1917" s="119" t="s">
        <v>1013</v>
      </c>
      <c r="L1917" s="5683"/>
      <c r="M1917" s="5871"/>
      <c r="N1917" s="5857"/>
      <c r="O1917" s="5874"/>
      <c r="P1917" s="5858"/>
      <c r="Q1917" s="5678"/>
      <c r="R1917" s="276"/>
      <c r="S1917" s="276"/>
      <c r="T1917" s="545"/>
      <c r="U1917" s="546"/>
      <c r="V1917" s="547"/>
      <c r="W1917" s="299" t="s">
        <v>193</v>
      </c>
      <c r="X1917" s="277"/>
      <c r="Y1917" s="277"/>
      <c r="Z1917" s="187"/>
      <c r="AA1917" s="6301"/>
      <c r="AB1917" s="139"/>
      <c r="AC1917" s="139"/>
      <c r="AD1917" s="139"/>
      <c r="AE1917" s="139"/>
      <c r="AF1917" s="139"/>
      <c r="AG1917" s="139"/>
      <c r="AH1917" s="139"/>
      <c r="AI1917" s="139"/>
      <c r="AJ1917" s="139"/>
      <c r="AK1917" s="139"/>
      <c r="AL1917" s="139"/>
      <c r="AM1917" s="139"/>
      <c r="AN1917" s="139"/>
      <c r="AO1917" s="139"/>
      <c r="AP1917" s="139"/>
      <c r="AQ1917" s="139"/>
      <c r="AR1917" s="139"/>
      <c r="AS1917" s="139"/>
      <c r="AT1917" s="139"/>
      <c r="AU1917" s="139"/>
      <c r="AV1917" s="139"/>
      <c r="AW1917" s="139"/>
      <c r="AX1917" s="139"/>
      <c r="AY1917" s="139"/>
      <c r="AZ1917" s="139"/>
      <c r="BA1917" s="139"/>
      <c r="BB1917" s="139"/>
      <c r="BC1917" s="139"/>
      <c r="BD1917" s="139"/>
      <c r="BE1917" s="139"/>
      <c r="BF1917" s="139"/>
      <c r="BG1917" s="139"/>
      <c r="BH1917" s="139"/>
    </row>
    <row r="1918" spans="2:60" s="11" customFormat="1" ht="20.100000000000001" customHeight="1">
      <c r="B1918" s="1360"/>
      <c r="C1918" s="5598"/>
      <c r="D1918" s="9598" t="s">
        <v>137</v>
      </c>
      <c r="E1918" s="9600"/>
      <c r="F1918" s="997" t="s">
        <v>1011</v>
      </c>
      <c r="G1918" s="666"/>
      <c r="H1918" s="6261"/>
      <c r="I1918" s="9616" t="s">
        <v>138</v>
      </c>
      <c r="J1918" s="9617"/>
      <c r="K1918" s="119" t="s">
        <v>1013</v>
      </c>
      <c r="L1918" s="5594"/>
      <c r="M1918" s="5671"/>
      <c r="N1918" s="5724"/>
      <c r="O1918" s="5680"/>
      <c r="P1918" s="5725"/>
      <c r="Q1918" s="5678"/>
      <c r="R1918" s="276"/>
      <c r="S1918" s="276"/>
      <c r="T1918" s="545"/>
      <c r="U1918" s="546"/>
      <c r="V1918" s="547"/>
      <c r="W1918" s="299" t="s">
        <v>193</v>
      </c>
      <c r="X1918" s="277"/>
      <c r="Y1918" s="277"/>
      <c r="Z1918" s="187"/>
      <c r="AA1918" s="6301"/>
      <c r="AB1918" s="139"/>
      <c r="AC1918" s="139"/>
      <c r="AD1918" s="139"/>
      <c r="AE1918" s="139"/>
      <c r="AF1918" s="139"/>
      <c r="AG1918" s="139"/>
      <c r="AH1918" s="139"/>
      <c r="AI1918" s="139"/>
      <c r="AJ1918" s="139"/>
      <c r="AK1918" s="139"/>
      <c r="AL1918" s="139"/>
      <c r="AM1918" s="139"/>
      <c r="AN1918" s="139"/>
      <c r="AO1918" s="139"/>
      <c r="AP1918" s="139"/>
      <c r="AQ1918" s="139"/>
      <c r="AR1918" s="139"/>
      <c r="AS1918" s="139"/>
      <c r="AT1918" s="139"/>
      <c r="AU1918" s="139"/>
      <c r="AV1918" s="139"/>
      <c r="AW1918" s="139"/>
      <c r="AX1918" s="139"/>
      <c r="AY1918" s="139"/>
      <c r="AZ1918" s="139"/>
      <c r="BA1918" s="139"/>
      <c r="BB1918" s="139"/>
      <c r="BC1918" s="139"/>
      <c r="BD1918" s="139"/>
      <c r="BE1918" s="139"/>
      <c r="BF1918" s="139"/>
      <c r="BG1918" s="139"/>
      <c r="BH1918" s="139"/>
    </row>
    <row r="1919" spans="2:60" s="11" customFormat="1" ht="20.100000000000001" customHeight="1">
      <c r="B1919" s="1360"/>
      <c r="C1919" s="5598"/>
      <c r="D1919" s="9598" t="s">
        <v>140</v>
      </c>
      <c r="E1919" s="9600"/>
      <c r="F1919" s="997" t="s">
        <v>1011</v>
      </c>
      <c r="G1919" s="666"/>
      <c r="H1919" s="6261"/>
      <c r="I1919" s="9616" t="s">
        <v>141</v>
      </c>
      <c r="J1919" s="9617"/>
      <c r="K1919" s="119" t="s">
        <v>1013</v>
      </c>
      <c r="L1919" s="5683"/>
      <c r="M1919" s="5871"/>
      <c r="N1919" s="5857"/>
      <c r="O1919" s="5874"/>
      <c r="P1919" s="5858"/>
      <c r="Q1919" s="5678"/>
      <c r="R1919" s="276"/>
      <c r="S1919" s="276"/>
      <c r="T1919" s="545"/>
      <c r="U1919" s="546"/>
      <c r="V1919" s="547"/>
      <c r="W1919" s="299" t="s">
        <v>193</v>
      </c>
      <c r="X1919" s="277"/>
      <c r="Y1919" s="277"/>
      <c r="Z1919" s="187"/>
      <c r="AA1919" s="6301"/>
      <c r="AB1919" s="139"/>
      <c r="AC1919" s="139"/>
      <c r="AD1919" s="139"/>
      <c r="AE1919" s="139"/>
      <c r="AF1919" s="139"/>
      <c r="AG1919" s="139"/>
      <c r="AH1919" s="139"/>
      <c r="AI1919" s="139"/>
      <c r="AJ1919" s="139"/>
      <c r="AK1919" s="139"/>
      <c r="AL1919" s="139"/>
      <c r="AM1919" s="139"/>
      <c r="AN1919" s="139"/>
      <c r="AO1919" s="139"/>
      <c r="AP1919" s="139"/>
      <c r="AQ1919" s="139"/>
      <c r="AR1919" s="139"/>
      <c r="AS1919" s="139"/>
      <c r="AT1919" s="139"/>
      <c r="AU1919" s="139"/>
      <c r="AV1919" s="139"/>
      <c r="AW1919" s="139"/>
      <c r="AX1919" s="139"/>
      <c r="AY1919" s="139"/>
      <c r="AZ1919" s="139"/>
      <c r="BA1919" s="139"/>
      <c r="BB1919" s="139"/>
      <c r="BC1919" s="139"/>
      <c r="BD1919" s="139"/>
      <c r="BE1919" s="139"/>
      <c r="BF1919" s="139"/>
      <c r="BG1919" s="139"/>
      <c r="BH1919" s="139"/>
    </row>
    <row r="1920" spans="2:60" s="11" customFormat="1" ht="20.100000000000001" customHeight="1">
      <c r="B1920" s="1360"/>
      <c r="C1920" s="614"/>
      <c r="D1920" s="9598" t="s">
        <v>143</v>
      </c>
      <c r="E1920" s="9600"/>
      <c r="F1920" s="997" t="s">
        <v>1011</v>
      </c>
      <c r="G1920" s="666"/>
      <c r="H1920" s="6260"/>
      <c r="I1920" s="9616" t="s">
        <v>144</v>
      </c>
      <c r="J1920" s="9617"/>
      <c r="K1920" s="119" t="s">
        <v>1013</v>
      </c>
      <c r="L1920" s="5683"/>
      <c r="M1920" s="5871"/>
      <c r="N1920" s="5857"/>
      <c r="O1920" s="5874"/>
      <c r="P1920" s="5858"/>
      <c r="Q1920" s="5678"/>
      <c r="R1920" s="276"/>
      <c r="S1920" s="276"/>
      <c r="T1920" s="545"/>
      <c r="U1920" s="546"/>
      <c r="V1920" s="547"/>
      <c r="W1920" s="299" t="s">
        <v>193</v>
      </c>
      <c r="X1920" s="277"/>
      <c r="Y1920" s="277"/>
      <c r="Z1920" s="187"/>
      <c r="AA1920" s="6301"/>
      <c r="AB1920" s="139"/>
      <c r="AC1920" s="139"/>
      <c r="AD1920" s="139"/>
      <c r="AE1920" s="139"/>
      <c r="AF1920" s="139"/>
      <c r="AG1920" s="139"/>
      <c r="AH1920" s="139"/>
      <c r="AI1920" s="139"/>
      <c r="AJ1920" s="139"/>
      <c r="AK1920" s="139"/>
      <c r="AL1920" s="139"/>
      <c r="AM1920" s="139"/>
      <c r="AN1920" s="139"/>
      <c r="AO1920" s="139"/>
      <c r="AP1920" s="139"/>
      <c r="AQ1920" s="139"/>
      <c r="AR1920" s="139"/>
      <c r="AS1920" s="139"/>
      <c r="AT1920" s="139"/>
      <c r="AU1920" s="139"/>
      <c r="AV1920" s="139"/>
      <c r="AW1920" s="139"/>
      <c r="AX1920" s="139"/>
      <c r="AY1920" s="139"/>
      <c r="AZ1920" s="139"/>
      <c r="BA1920" s="139"/>
      <c r="BB1920" s="139"/>
      <c r="BC1920" s="139"/>
      <c r="BD1920" s="139"/>
      <c r="BE1920" s="139"/>
      <c r="BF1920" s="139"/>
      <c r="BG1920" s="139"/>
      <c r="BH1920" s="139"/>
    </row>
    <row r="1921" spans="2:60" s="11" customFormat="1" ht="20.100000000000001" customHeight="1">
      <c r="B1921" s="1360"/>
      <c r="C1921" s="5598"/>
      <c r="D1921" s="9598" t="s">
        <v>631</v>
      </c>
      <c r="E1921" s="9600"/>
      <c r="F1921" s="997" t="s">
        <v>1011</v>
      </c>
      <c r="G1921" s="666"/>
      <c r="H1921" s="6261"/>
      <c r="I1921" s="9616" t="s">
        <v>147</v>
      </c>
      <c r="J1921" s="9617"/>
      <c r="K1921" s="119" t="s">
        <v>1013</v>
      </c>
      <c r="L1921" s="5683"/>
      <c r="M1921" s="5871"/>
      <c r="N1921" s="5857"/>
      <c r="O1921" s="5874"/>
      <c r="P1921" s="5858"/>
      <c r="Q1921" s="5678"/>
      <c r="R1921" s="276"/>
      <c r="S1921" s="276"/>
      <c r="T1921" s="545"/>
      <c r="U1921" s="546"/>
      <c r="V1921" s="547"/>
      <c r="W1921" s="299" t="s">
        <v>193</v>
      </c>
      <c r="X1921" s="277"/>
      <c r="Y1921" s="277"/>
      <c r="Z1921" s="187"/>
      <c r="AA1921" s="6301"/>
      <c r="AB1921" s="139"/>
      <c r="AC1921" s="139"/>
      <c r="AD1921" s="139"/>
      <c r="AE1921" s="139"/>
      <c r="AF1921" s="139"/>
      <c r="AG1921" s="139"/>
      <c r="AH1921" s="139"/>
      <c r="AI1921" s="139"/>
      <c r="AJ1921" s="139"/>
      <c r="AK1921" s="139"/>
      <c r="AL1921" s="139"/>
      <c r="AM1921" s="139"/>
      <c r="AN1921" s="139"/>
      <c r="AO1921" s="139"/>
      <c r="AP1921" s="139"/>
      <c r="AQ1921" s="139"/>
      <c r="AR1921" s="139"/>
      <c r="AS1921" s="139"/>
      <c r="AT1921" s="139"/>
      <c r="AU1921" s="139"/>
      <c r="AV1921" s="139"/>
      <c r="AW1921" s="139"/>
      <c r="AX1921" s="139"/>
      <c r="AY1921" s="139"/>
      <c r="AZ1921" s="139"/>
      <c r="BA1921" s="139"/>
      <c r="BB1921" s="139"/>
      <c r="BC1921" s="139"/>
      <c r="BD1921" s="139"/>
      <c r="BE1921" s="139"/>
      <c r="BF1921" s="139"/>
      <c r="BG1921" s="139"/>
      <c r="BH1921" s="139"/>
    </row>
    <row r="1922" spans="2:60" s="11" customFormat="1" ht="20.100000000000001" customHeight="1">
      <c r="B1922" s="1360"/>
      <c r="C1922" s="5598"/>
      <c r="D1922" s="9598" t="s">
        <v>633</v>
      </c>
      <c r="E1922" s="9600"/>
      <c r="F1922" s="997" t="s">
        <v>1011</v>
      </c>
      <c r="G1922" s="666"/>
      <c r="H1922" s="6261"/>
      <c r="I1922" s="9616" t="s">
        <v>150</v>
      </c>
      <c r="J1922" s="9617"/>
      <c r="K1922" s="119" t="s">
        <v>1013</v>
      </c>
      <c r="L1922" s="5683"/>
      <c r="M1922" s="5871"/>
      <c r="N1922" s="5857"/>
      <c r="O1922" s="5871"/>
      <c r="P1922" s="5857"/>
      <c r="Q1922" s="5678"/>
      <c r="R1922" s="276"/>
      <c r="S1922" s="276"/>
      <c r="T1922" s="545"/>
      <c r="U1922" s="546"/>
      <c r="V1922" s="547"/>
      <c r="W1922" s="299" t="s">
        <v>193</v>
      </c>
      <c r="X1922" s="277"/>
      <c r="Y1922" s="277"/>
      <c r="Z1922" s="187"/>
      <c r="AA1922" s="6301"/>
      <c r="AB1922" s="139"/>
      <c r="AC1922" s="139"/>
      <c r="AD1922" s="139"/>
      <c r="AE1922" s="139"/>
      <c r="AF1922" s="139"/>
      <c r="AG1922" s="139"/>
      <c r="AH1922" s="139"/>
      <c r="AI1922" s="139"/>
      <c r="AJ1922" s="139"/>
      <c r="AK1922" s="139"/>
      <c r="AL1922" s="139"/>
      <c r="AM1922" s="139"/>
      <c r="AN1922" s="139"/>
      <c r="AO1922" s="139"/>
      <c r="AP1922" s="139"/>
      <c r="AQ1922" s="139"/>
      <c r="AR1922" s="139"/>
      <c r="AS1922" s="139"/>
      <c r="AT1922" s="139"/>
      <c r="AU1922" s="139"/>
      <c r="AV1922" s="139"/>
      <c r="AW1922" s="139"/>
      <c r="AX1922" s="139"/>
      <c r="AY1922" s="139"/>
      <c r="AZ1922" s="139"/>
      <c r="BA1922" s="139"/>
      <c r="BB1922" s="139"/>
      <c r="BC1922" s="139"/>
      <c r="BD1922" s="139"/>
      <c r="BE1922" s="139"/>
      <c r="BF1922" s="139"/>
      <c r="BG1922" s="139"/>
      <c r="BH1922" s="139"/>
    </row>
    <row r="1923" spans="2:60" s="11" customFormat="1" ht="20.100000000000001" customHeight="1">
      <c r="B1923" s="1360"/>
      <c r="C1923" s="911"/>
      <c r="D1923" s="9584" t="s">
        <v>1384</v>
      </c>
      <c r="E1923" s="9585"/>
      <c r="F1923" s="997" t="s">
        <v>1011</v>
      </c>
      <c r="G1923" s="358"/>
      <c r="H1923" s="6179"/>
      <c r="I1923" s="9619" t="s">
        <v>1385</v>
      </c>
      <c r="J1923" s="9585"/>
      <c r="K1923" s="105" t="s">
        <v>1013</v>
      </c>
      <c r="L1923" s="5653" t="str">
        <f>IF(COUNTBLANK(L1924:L1929)&gt;0,"미취합법인有",SUM(L1924:L1929))</f>
        <v>미취합법인有</v>
      </c>
      <c r="M1923" s="5657"/>
      <c r="N1923" s="5654" t="str">
        <f>IF(COUNTBLANK(N1924:N1929)&gt;0,"미취합법인有",SUM(N1924:N1929))</f>
        <v>미취합법인有</v>
      </c>
      <c r="O1923" s="5663"/>
      <c r="P1923" s="5781" t="str">
        <f>IF(COUNTBLANK(P1924:P1929)&gt;0,"미취합법인有",SUM(P1924:P1929))</f>
        <v>미취합법인有</v>
      </c>
      <c r="Q1923" s="785"/>
      <c r="R1923" s="276"/>
      <c r="S1923" s="6148"/>
      <c r="T1923" s="109" t="s">
        <v>1356</v>
      </c>
      <c r="U1923" s="547"/>
      <c r="V1923" s="547"/>
      <c r="W1923" s="299" t="s">
        <v>193</v>
      </c>
      <c r="X1923" s="277" t="s">
        <v>1375</v>
      </c>
      <c r="Y1923" s="265"/>
      <c r="Z1923" s="982"/>
      <c r="AA1923" s="6301"/>
      <c r="AB1923" s="139"/>
      <c r="AC1923" s="139"/>
      <c r="AD1923" s="139"/>
      <c r="AE1923" s="139"/>
      <c r="AF1923" s="139"/>
      <c r="AG1923" s="139"/>
      <c r="AH1923" s="139"/>
      <c r="AI1923" s="139"/>
      <c r="AJ1923" s="139"/>
      <c r="AK1923" s="139"/>
      <c r="AL1923" s="139"/>
      <c r="AM1923" s="139"/>
      <c r="AN1923" s="139"/>
      <c r="AO1923" s="139"/>
      <c r="AP1923" s="139"/>
      <c r="AQ1923" s="139"/>
      <c r="AR1923" s="139"/>
      <c r="AS1923" s="139"/>
      <c r="AT1923" s="139"/>
      <c r="AU1923" s="139"/>
      <c r="AV1923" s="139"/>
      <c r="AW1923" s="139"/>
      <c r="AX1923" s="139"/>
      <c r="AY1923" s="139"/>
      <c r="AZ1923" s="139"/>
      <c r="BA1923" s="139"/>
      <c r="BB1923" s="139"/>
      <c r="BC1923" s="139"/>
      <c r="BD1923" s="139"/>
      <c r="BE1923" s="139"/>
      <c r="BF1923" s="139"/>
      <c r="BG1923" s="139"/>
      <c r="BH1923" s="139"/>
    </row>
    <row r="1924" spans="2:60" s="11" customFormat="1" ht="20.100000000000001" customHeight="1">
      <c r="B1924" s="1360"/>
      <c r="C1924" s="614"/>
      <c r="D1924" s="9598" t="s">
        <v>134</v>
      </c>
      <c r="E1924" s="9600"/>
      <c r="F1924" s="997" t="s">
        <v>1011</v>
      </c>
      <c r="G1924" s="666"/>
      <c r="H1924" s="6260"/>
      <c r="I1924" s="9616" t="s">
        <v>135</v>
      </c>
      <c r="J1924" s="9617"/>
      <c r="K1924" s="105" t="s">
        <v>1013</v>
      </c>
      <c r="L1924" s="5683"/>
      <c r="M1924" s="5871"/>
      <c r="N1924" s="5857"/>
      <c r="O1924" s="5874"/>
      <c r="P1924" s="5858"/>
      <c r="Q1924" s="5678"/>
      <c r="R1924" s="276"/>
      <c r="S1924" s="276"/>
      <c r="T1924" s="545"/>
      <c r="U1924" s="546"/>
      <c r="V1924" s="547"/>
      <c r="W1924" s="299" t="s">
        <v>193</v>
      </c>
      <c r="X1924" s="277"/>
      <c r="Y1924" s="277"/>
      <c r="Z1924" s="187"/>
      <c r="AA1924" s="6301"/>
      <c r="AB1924" s="139"/>
      <c r="AC1924" s="139"/>
      <c r="AD1924" s="139"/>
      <c r="AE1924" s="139"/>
      <c r="AF1924" s="139"/>
      <c r="AG1924" s="139"/>
      <c r="AH1924" s="139"/>
      <c r="AI1924" s="139"/>
      <c r="AJ1924" s="139"/>
      <c r="AK1924" s="139"/>
      <c r="AL1924" s="139"/>
      <c r="AM1924" s="139"/>
      <c r="AN1924" s="139"/>
      <c r="AO1924" s="139"/>
      <c r="AP1924" s="139"/>
      <c r="AQ1924" s="139"/>
      <c r="AR1924" s="139"/>
      <c r="AS1924" s="139"/>
      <c r="AT1924" s="139"/>
      <c r="AU1924" s="139"/>
      <c r="AV1924" s="139"/>
      <c r="AW1924" s="139"/>
      <c r="AX1924" s="139"/>
      <c r="AY1924" s="139"/>
      <c r="AZ1924" s="139"/>
      <c r="BA1924" s="139"/>
      <c r="BB1924" s="139"/>
      <c r="BC1924" s="139"/>
      <c r="BD1924" s="139"/>
      <c r="BE1924" s="139"/>
      <c r="BF1924" s="139"/>
      <c r="BG1924" s="139"/>
      <c r="BH1924" s="139"/>
    </row>
    <row r="1925" spans="2:60" s="11" customFormat="1" ht="20.100000000000001" customHeight="1">
      <c r="B1925" s="1360"/>
      <c r="C1925" s="5598"/>
      <c r="D1925" s="9598" t="s">
        <v>137</v>
      </c>
      <c r="E1925" s="9600"/>
      <c r="F1925" s="997" t="s">
        <v>1011</v>
      </c>
      <c r="G1925" s="666"/>
      <c r="H1925" s="6261"/>
      <c r="I1925" s="9616" t="s">
        <v>138</v>
      </c>
      <c r="J1925" s="9617"/>
      <c r="K1925" s="105" t="s">
        <v>1013</v>
      </c>
      <c r="L1925" s="5594"/>
      <c r="M1925" s="5671"/>
      <c r="N1925" s="5724"/>
      <c r="O1925" s="5680"/>
      <c r="P1925" s="5725"/>
      <c r="Q1925" s="5678"/>
      <c r="R1925" s="276"/>
      <c r="S1925" s="276"/>
      <c r="T1925" s="545"/>
      <c r="U1925" s="546"/>
      <c r="V1925" s="547"/>
      <c r="W1925" s="299" t="s">
        <v>193</v>
      </c>
      <c r="X1925" s="277"/>
      <c r="Y1925" s="277"/>
      <c r="Z1925" s="187"/>
      <c r="AA1925" s="6301"/>
      <c r="AB1925" s="139"/>
      <c r="AC1925" s="139"/>
      <c r="AD1925" s="139"/>
      <c r="AE1925" s="139"/>
      <c r="AF1925" s="139"/>
      <c r="AG1925" s="139"/>
      <c r="AH1925" s="139"/>
      <c r="AI1925" s="139"/>
      <c r="AJ1925" s="139"/>
      <c r="AK1925" s="139"/>
      <c r="AL1925" s="139"/>
      <c r="AM1925" s="139"/>
      <c r="AN1925" s="139"/>
      <c r="AO1925" s="139"/>
      <c r="AP1925" s="139"/>
      <c r="AQ1925" s="139"/>
      <c r="AR1925" s="139"/>
      <c r="AS1925" s="139"/>
      <c r="AT1925" s="139"/>
      <c r="AU1925" s="139"/>
      <c r="AV1925" s="139"/>
      <c r="AW1925" s="139"/>
      <c r="AX1925" s="139"/>
      <c r="AY1925" s="139"/>
      <c r="AZ1925" s="139"/>
      <c r="BA1925" s="139"/>
      <c r="BB1925" s="139"/>
      <c r="BC1925" s="139"/>
      <c r="BD1925" s="139"/>
      <c r="BE1925" s="139"/>
      <c r="BF1925" s="139"/>
      <c r="BG1925" s="139"/>
      <c r="BH1925" s="139"/>
    </row>
    <row r="1926" spans="2:60" s="11" customFormat="1" ht="20.100000000000001" customHeight="1">
      <c r="B1926" s="1360"/>
      <c r="C1926" s="5598"/>
      <c r="D1926" s="9598" t="s">
        <v>140</v>
      </c>
      <c r="E1926" s="9600"/>
      <c r="F1926" s="997" t="s">
        <v>1011</v>
      </c>
      <c r="G1926" s="666"/>
      <c r="H1926" s="6261"/>
      <c r="I1926" s="9616" t="s">
        <v>141</v>
      </c>
      <c r="J1926" s="9617"/>
      <c r="K1926" s="105" t="s">
        <v>1013</v>
      </c>
      <c r="L1926" s="5683"/>
      <c r="M1926" s="5871"/>
      <c r="N1926" s="5857"/>
      <c r="O1926" s="5874"/>
      <c r="P1926" s="5858"/>
      <c r="Q1926" s="5678"/>
      <c r="R1926" s="276"/>
      <c r="S1926" s="276"/>
      <c r="T1926" s="545"/>
      <c r="U1926" s="546"/>
      <c r="V1926" s="547"/>
      <c r="W1926" s="299" t="s">
        <v>193</v>
      </c>
      <c r="X1926" s="277"/>
      <c r="Y1926" s="277"/>
      <c r="Z1926" s="187"/>
      <c r="AA1926" s="6301"/>
      <c r="AB1926" s="139"/>
      <c r="AC1926" s="139"/>
      <c r="AD1926" s="139"/>
      <c r="AE1926" s="139"/>
      <c r="AF1926" s="139"/>
      <c r="AG1926" s="139"/>
      <c r="AH1926" s="139"/>
      <c r="AI1926" s="139"/>
      <c r="AJ1926" s="139"/>
      <c r="AK1926" s="139"/>
      <c r="AL1926" s="139"/>
      <c r="AM1926" s="139"/>
      <c r="AN1926" s="139"/>
      <c r="AO1926" s="139"/>
      <c r="AP1926" s="139"/>
      <c r="AQ1926" s="139"/>
      <c r="AR1926" s="139"/>
      <c r="AS1926" s="139"/>
      <c r="AT1926" s="139"/>
      <c r="AU1926" s="139"/>
      <c r="AV1926" s="139"/>
      <c r="AW1926" s="139"/>
      <c r="AX1926" s="139"/>
      <c r="AY1926" s="139"/>
      <c r="AZ1926" s="139"/>
      <c r="BA1926" s="139"/>
      <c r="BB1926" s="139"/>
      <c r="BC1926" s="139"/>
      <c r="BD1926" s="139"/>
      <c r="BE1926" s="139"/>
      <c r="BF1926" s="139"/>
      <c r="BG1926" s="139"/>
      <c r="BH1926" s="139"/>
    </row>
    <row r="1927" spans="2:60" s="11" customFormat="1" ht="20.100000000000001" customHeight="1">
      <c r="B1927" s="1360"/>
      <c r="C1927" s="614"/>
      <c r="D1927" s="9598" t="s">
        <v>143</v>
      </c>
      <c r="E1927" s="9600"/>
      <c r="F1927" s="997" t="s">
        <v>1011</v>
      </c>
      <c r="G1927" s="666"/>
      <c r="H1927" s="6260"/>
      <c r="I1927" s="9616" t="s">
        <v>144</v>
      </c>
      <c r="J1927" s="9617"/>
      <c r="K1927" s="105" t="s">
        <v>1013</v>
      </c>
      <c r="L1927" s="5683"/>
      <c r="M1927" s="5871"/>
      <c r="N1927" s="5857"/>
      <c r="O1927" s="5874"/>
      <c r="P1927" s="5858"/>
      <c r="Q1927" s="5678"/>
      <c r="R1927" s="276"/>
      <c r="S1927" s="276"/>
      <c r="T1927" s="545"/>
      <c r="U1927" s="546"/>
      <c r="V1927" s="547"/>
      <c r="W1927" s="299" t="s">
        <v>193</v>
      </c>
      <c r="X1927" s="277"/>
      <c r="Y1927" s="277"/>
      <c r="Z1927" s="187"/>
      <c r="AA1927" s="6301"/>
      <c r="AB1927" s="139"/>
      <c r="AC1927" s="139"/>
      <c r="AD1927" s="139"/>
      <c r="AE1927" s="139"/>
      <c r="AF1927" s="139"/>
      <c r="AG1927" s="139"/>
      <c r="AH1927" s="139"/>
      <c r="AI1927" s="139"/>
      <c r="AJ1927" s="139"/>
      <c r="AK1927" s="139"/>
      <c r="AL1927" s="139"/>
      <c r="AM1927" s="139"/>
      <c r="AN1927" s="139"/>
      <c r="AO1927" s="139"/>
      <c r="AP1927" s="139"/>
      <c r="AQ1927" s="139"/>
      <c r="AR1927" s="139"/>
      <c r="AS1927" s="139"/>
      <c r="AT1927" s="139"/>
      <c r="AU1927" s="139"/>
      <c r="AV1927" s="139"/>
      <c r="AW1927" s="139"/>
      <c r="AX1927" s="139"/>
      <c r="AY1927" s="139"/>
      <c r="AZ1927" s="139"/>
      <c r="BA1927" s="139"/>
      <c r="BB1927" s="139"/>
      <c r="BC1927" s="139"/>
      <c r="BD1927" s="139"/>
      <c r="BE1927" s="139"/>
      <c r="BF1927" s="139"/>
      <c r="BG1927" s="139"/>
      <c r="BH1927" s="139"/>
    </row>
    <row r="1928" spans="2:60" s="11" customFormat="1" ht="20.100000000000001" customHeight="1">
      <c r="B1928" s="1360"/>
      <c r="C1928" s="5598"/>
      <c r="D1928" s="9598" t="s">
        <v>631</v>
      </c>
      <c r="E1928" s="9600"/>
      <c r="F1928" s="997" t="s">
        <v>1011</v>
      </c>
      <c r="G1928" s="666"/>
      <c r="H1928" s="6261"/>
      <c r="I1928" s="9616" t="s">
        <v>147</v>
      </c>
      <c r="J1928" s="9617"/>
      <c r="K1928" s="105" t="s">
        <v>1013</v>
      </c>
      <c r="L1928" s="5683"/>
      <c r="M1928" s="5871"/>
      <c r="N1928" s="5857"/>
      <c r="O1928" s="5874"/>
      <c r="P1928" s="5858"/>
      <c r="Q1928" s="5678"/>
      <c r="R1928" s="276"/>
      <c r="S1928" s="276"/>
      <c r="T1928" s="545"/>
      <c r="U1928" s="546"/>
      <c r="V1928" s="547"/>
      <c r="W1928" s="299" t="s">
        <v>193</v>
      </c>
      <c r="X1928" s="277"/>
      <c r="Y1928" s="277"/>
      <c r="Z1928" s="187"/>
      <c r="AA1928" s="6301"/>
      <c r="AB1928" s="139"/>
      <c r="AC1928" s="139"/>
      <c r="AD1928" s="139"/>
      <c r="AE1928" s="139"/>
      <c r="AF1928" s="139"/>
      <c r="AG1928" s="139"/>
      <c r="AH1928" s="139"/>
      <c r="AI1928" s="139"/>
      <c r="AJ1928" s="139"/>
      <c r="AK1928" s="139"/>
      <c r="AL1928" s="139"/>
      <c r="AM1928" s="139"/>
      <c r="AN1928" s="139"/>
      <c r="AO1928" s="139"/>
      <c r="AP1928" s="139"/>
      <c r="AQ1928" s="139"/>
      <c r="AR1928" s="139"/>
      <c r="AS1928" s="139"/>
      <c r="AT1928" s="139"/>
      <c r="AU1928" s="139"/>
      <c r="AV1928" s="139"/>
      <c r="AW1928" s="139"/>
      <c r="AX1928" s="139"/>
      <c r="AY1928" s="139"/>
      <c r="AZ1928" s="139"/>
      <c r="BA1928" s="139"/>
      <c r="BB1928" s="139"/>
      <c r="BC1928" s="139"/>
      <c r="BD1928" s="139"/>
      <c r="BE1928" s="139"/>
      <c r="BF1928" s="139"/>
      <c r="BG1928" s="139"/>
      <c r="BH1928" s="139"/>
    </row>
    <row r="1929" spans="2:60" s="11" customFormat="1" ht="20.100000000000001" customHeight="1">
      <c r="B1929" s="1360"/>
      <c r="C1929" s="5598"/>
      <c r="D1929" s="9598" t="s">
        <v>633</v>
      </c>
      <c r="E1929" s="9600"/>
      <c r="F1929" s="997" t="s">
        <v>1011</v>
      </c>
      <c r="G1929" s="666"/>
      <c r="H1929" s="6261"/>
      <c r="I1929" s="9616" t="s">
        <v>150</v>
      </c>
      <c r="J1929" s="9617"/>
      <c r="K1929" s="105" t="s">
        <v>1013</v>
      </c>
      <c r="L1929" s="5683"/>
      <c r="M1929" s="5871"/>
      <c r="N1929" s="5857"/>
      <c r="O1929" s="5871"/>
      <c r="P1929" s="5857"/>
      <c r="Q1929" s="5678"/>
      <c r="R1929" s="276"/>
      <c r="S1929" s="276"/>
      <c r="T1929" s="545"/>
      <c r="U1929" s="546"/>
      <c r="V1929" s="547"/>
      <c r="W1929" s="299" t="s">
        <v>193</v>
      </c>
      <c r="X1929" s="277"/>
      <c r="Y1929" s="277"/>
      <c r="Z1929" s="187"/>
      <c r="AA1929" s="6301"/>
      <c r="AB1929" s="139"/>
      <c r="AC1929" s="139"/>
      <c r="AD1929" s="139"/>
      <c r="AE1929" s="139"/>
      <c r="AF1929" s="139"/>
      <c r="AG1929" s="139"/>
      <c r="AH1929" s="139"/>
      <c r="AI1929" s="139"/>
      <c r="AJ1929" s="139"/>
      <c r="AK1929" s="139"/>
      <c r="AL1929" s="139"/>
      <c r="AM1929" s="139"/>
      <c r="AN1929" s="139"/>
      <c r="AO1929" s="139"/>
      <c r="AP1929" s="139"/>
      <c r="AQ1929" s="139"/>
      <c r="AR1929" s="139"/>
      <c r="AS1929" s="139"/>
      <c r="AT1929" s="139"/>
      <c r="AU1929" s="139"/>
      <c r="AV1929" s="139"/>
      <c r="AW1929" s="139"/>
      <c r="AX1929" s="139"/>
      <c r="AY1929" s="139"/>
      <c r="AZ1929" s="139"/>
      <c r="BA1929" s="139"/>
      <c r="BB1929" s="139"/>
      <c r="BC1929" s="139"/>
      <c r="BD1929" s="139"/>
      <c r="BE1929" s="139"/>
      <c r="BF1929" s="139"/>
      <c r="BG1929" s="139"/>
      <c r="BH1929" s="139"/>
    </row>
    <row r="1930" spans="2:60" s="11" customFormat="1" ht="20.100000000000001" customHeight="1">
      <c r="B1930" s="1360"/>
      <c r="C1930" s="9656" t="s">
        <v>1386</v>
      </c>
      <c r="D1930" s="9587"/>
      <c r="E1930" s="9588"/>
      <c r="F1930" s="997" t="s">
        <v>557</v>
      </c>
      <c r="G1930" s="344"/>
      <c r="H1930" s="9618" t="s">
        <v>1387</v>
      </c>
      <c r="I1930" s="9587"/>
      <c r="J1930" s="9588"/>
      <c r="K1930" s="119" t="s">
        <v>559</v>
      </c>
      <c r="L1930" s="5653" t="str">
        <f>IF(COUNTBLANK(L1931:L1936)&gt;0,"미취합법인有",SUM(L1931:L1936))</f>
        <v>미취합법인有</v>
      </c>
      <c r="M1930" s="5657"/>
      <c r="N1930" s="5654" t="str">
        <f>IF(COUNTBLANK(N1931:N1936)&gt;0,"미취합법인有",SUM(N1931:N1936))</f>
        <v>미취합법인有</v>
      </c>
      <c r="O1930" s="5663"/>
      <c r="P1930" s="5781" t="str">
        <f>IF(COUNTBLANK(P1931:P1936)&gt;0,"미취합법인有",SUM(P1931:P1936))</f>
        <v>미취합법인有</v>
      </c>
      <c r="Q1930" s="785"/>
      <c r="R1930" s="1052" t="s">
        <v>1388</v>
      </c>
      <c r="S1930" s="714" t="s">
        <v>1389</v>
      </c>
      <c r="T1930" s="109" t="s">
        <v>1356</v>
      </c>
      <c r="U1930" s="547"/>
      <c r="V1930" s="547"/>
      <c r="W1930" s="299" t="s">
        <v>193</v>
      </c>
      <c r="X1930" s="694" t="s">
        <v>1390</v>
      </c>
      <c r="Y1930" s="265"/>
      <c r="Z1930" s="982"/>
      <c r="AA1930" s="6301"/>
      <c r="AB1930" s="139"/>
      <c r="AC1930" s="139"/>
      <c r="AD1930" s="139"/>
      <c r="AE1930" s="139"/>
      <c r="AF1930" s="139"/>
      <c r="AG1930" s="139"/>
      <c r="AH1930" s="139"/>
      <c r="AI1930" s="139"/>
      <c r="AJ1930" s="139"/>
      <c r="AK1930" s="139"/>
      <c r="AL1930" s="139"/>
      <c r="AM1930" s="139"/>
      <c r="AN1930" s="139"/>
      <c r="AO1930" s="139"/>
      <c r="AP1930" s="139"/>
      <c r="AQ1930" s="139"/>
      <c r="AR1930" s="139"/>
      <c r="AS1930" s="139"/>
      <c r="AT1930" s="139"/>
      <c r="AU1930" s="139"/>
      <c r="AV1930" s="139"/>
      <c r="AW1930" s="139"/>
      <c r="AX1930" s="139"/>
      <c r="AY1930" s="139"/>
      <c r="AZ1930" s="139"/>
      <c r="BA1930" s="139"/>
      <c r="BB1930" s="139"/>
      <c r="BC1930" s="139"/>
      <c r="BD1930" s="139"/>
      <c r="BE1930" s="139"/>
      <c r="BF1930" s="139"/>
      <c r="BG1930" s="139"/>
      <c r="BH1930" s="139"/>
    </row>
    <row r="1931" spans="2:60" s="11" customFormat="1" ht="20.100000000000001" customHeight="1">
      <c r="B1931" s="1360"/>
      <c r="C1931" s="9647" t="s">
        <v>134</v>
      </c>
      <c r="D1931" s="9648"/>
      <c r="E1931" s="9649"/>
      <c r="F1931" s="997" t="s">
        <v>557</v>
      </c>
      <c r="G1931" s="666"/>
      <c r="H1931" s="9579" t="s">
        <v>135</v>
      </c>
      <c r="I1931" s="9580"/>
      <c r="J1931" s="9581"/>
      <c r="K1931" s="119" t="s">
        <v>559</v>
      </c>
      <c r="L1931" s="5594"/>
      <c r="M1931" s="5671"/>
      <c r="N1931" s="5724"/>
      <c r="O1931" s="5680"/>
      <c r="P1931" s="5678"/>
      <c r="Q1931" s="5678"/>
      <c r="R1931" s="2468"/>
      <c r="S1931" s="544"/>
      <c r="T1931" s="545"/>
      <c r="U1931" s="546"/>
      <c r="V1931" s="547"/>
      <c r="W1931" s="299" t="s">
        <v>193</v>
      </c>
      <c r="X1931" s="277"/>
      <c r="Y1931" s="277"/>
      <c r="Z1931" s="187"/>
      <c r="AA1931" s="6301"/>
      <c r="AB1931" s="139"/>
      <c r="AC1931" s="139"/>
      <c r="AD1931" s="139"/>
      <c r="AE1931" s="139"/>
      <c r="AF1931" s="139"/>
      <c r="AG1931" s="139"/>
      <c r="AH1931" s="139"/>
      <c r="AI1931" s="139"/>
      <c r="AJ1931" s="139"/>
      <c r="AK1931" s="139"/>
      <c r="AL1931" s="139"/>
      <c r="AM1931" s="139"/>
      <c r="AN1931" s="139"/>
      <c r="AO1931" s="139"/>
      <c r="AP1931" s="139"/>
      <c r="AQ1931" s="139"/>
      <c r="AR1931" s="139"/>
      <c r="AS1931" s="139"/>
      <c r="AT1931" s="139"/>
      <c r="AU1931" s="139"/>
      <c r="AV1931" s="139"/>
      <c r="AW1931" s="139"/>
      <c r="AX1931" s="139"/>
      <c r="AY1931" s="139"/>
      <c r="AZ1931" s="139"/>
      <c r="BA1931" s="139"/>
      <c r="BB1931" s="139"/>
      <c r="BC1931" s="139"/>
      <c r="BD1931" s="139"/>
      <c r="BE1931" s="139"/>
      <c r="BF1931" s="139"/>
      <c r="BG1931" s="139"/>
      <c r="BH1931" s="139"/>
    </row>
    <row r="1932" spans="2:60" s="11" customFormat="1" ht="20.100000000000001" customHeight="1">
      <c r="B1932" s="1360"/>
      <c r="C1932" s="9647" t="s">
        <v>137</v>
      </c>
      <c r="D1932" s="9648"/>
      <c r="E1932" s="9649"/>
      <c r="F1932" s="997" t="s">
        <v>557</v>
      </c>
      <c r="G1932" s="666"/>
      <c r="H1932" s="9579" t="s">
        <v>138</v>
      </c>
      <c r="I1932" s="9580"/>
      <c r="J1932" s="9581"/>
      <c r="K1932" s="119" t="s">
        <v>559</v>
      </c>
      <c r="L1932" s="5594"/>
      <c r="M1932" s="5671"/>
      <c r="N1932" s="5724"/>
      <c r="O1932" s="5680"/>
      <c r="P1932" s="5725"/>
      <c r="Q1932" s="5678"/>
      <c r="R1932" s="2468"/>
      <c r="S1932" s="544"/>
      <c r="T1932" s="545"/>
      <c r="U1932" s="546"/>
      <c r="V1932" s="547"/>
      <c r="W1932" s="299" t="s">
        <v>193</v>
      </c>
      <c r="X1932" s="277"/>
      <c r="Y1932" s="277"/>
      <c r="Z1932" s="187"/>
      <c r="AA1932" s="6301"/>
      <c r="AB1932" s="139"/>
      <c r="AC1932" s="139"/>
      <c r="AD1932" s="139"/>
      <c r="AE1932" s="139"/>
      <c r="AF1932" s="139"/>
      <c r="AG1932" s="139"/>
      <c r="AH1932" s="139"/>
      <c r="AI1932" s="139"/>
      <c r="AJ1932" s="139"/>
      <c r="AK1932" s="139"/>
      <c r="AL1932" s="139"/>
      <c r="AM1932" s="139"/>
      <c r="AN1932" s="139"/>
      <c r="AO1932" s="139"/>
      <c r="AP1932" s="139"/>
      <c r="AQ1932" s="139"/>
      <c r="AR1932" s="139"/>
      <c r="AS1932" s="139"/>
      <c r="AT1932" s="139"/>
      <c r="AU1932" s="139"/>
      <c r="AV1932" s="139"/>
      <c r="AW1932" s="139"/>
      <c r="AX1932" s="139"/>
      <c r="AY1932" s="139"/>
      <c r="AZ1932" s="139"/>
      <c r="BA1932" s="139"/>
      <c r="BB1932" s="139"/>
      <c r="BC1932" s="139"/>
      <c r="BD1932" s="139"/>
      <c r="BE1932" s="139"/>
      <c r="BF1932" s="139"/>
      <c r="BG1932" s="139"/>
      <c r="BH1932" s="139"/>
    </row>
    <row r="1933" spans="2:60" s="11" customFormat="1" ht="20.100000000000001" customHeight="1">
      <c r="B1933" s="1360"/>
      <c r="C1933" s="9647" t="s">
        <v>140</v>
      </c>
      <c r="D1933" s="9648"/>
      <c r="E1933" s="9649"/>
      <c r="F1933" s="997" t="s">
        <v>557</v>
      </c>
      <c r="G1933" s="666"/>
      <c r="H1933" s="9579" t="s">
        <v>141</v>
      </c>
      <c r="I1933" s="9580"/>
      <c r="J1933" s="9581"/>
      <c r="K1933" s="119" t="s">
        <v>559</v>
      </c>
      <c r="L1933" s="6421" t="s">
        <v>168</v>
      </c>
      <c r="M1933" s="5671" t="str">
        <f>China!AO367</f>
        <v>데이터 관리하지 않음</v>
      </c>
      <c r="N1933" s="5724" t="s">
        <v>168</v>
      </c>
      <c r="O1933" s="5680" t="str">
        <f>China!AQ367</f>
        <v>데이터 관리하지 않음</v>
      </c>
      <c r="P1933" s="5680" t="s">
        <v>168</v>
      </c>
      <c r="Q1933" s="5678" t="str">
        <f>China!AS367</f>
        <v>데이터 관리하지 않음</v>
      </c>
      <c r="R1933" s="2468"/>
      <c r="S1933" s="544"/>
      <c r="T1933" s="545"/>
      <c r="U1933" s="546"/>
      <c r="V1933" s="547"/>
      <c r="W1933" s="299" t="s">
        <v>193</v>
      </c>
      <c r="X1933" s="277"/>
      <c r="Y1933" s="277"/>
      <c r="Z1933" s="187"/>
      <c r="AA1933" s="6301"/>
      <c r="AB1933" s="139"/>
      <c r="AC1933" s="139"/>
      <c r="AD1933" s="139"/>
      <c r="AE1933" s="139"/>
      <c r="AF1933" s="139"/>
      <c r="AG1933" s="139"/>
      <c r="AH1933" s="139"/>
      <c r="AI1933" s="139"/>
      <c r="AJ1933" s="139"/>
      <c r="AK1933" s="139"/>
      <c r="AL1933" s="139"/>
      <c r="AM1933" s="139"/>
      <c r="AN1933" s="139"/>
      <c r="AO1933" s="139"/>
      <c r="AP1933" s="139"/>
      <c r="AQ1933" s="139"/>
      <c r="AR1933" s="139"/>
      <c r="AS1933" s="139"/>
      <c r="AT1933" s="139"/>
      <c r="AU1933" s="139"/>
      <c r="AV1933" s="139"/>
      <c r="AW1933" s="139"/>
      <c r="AX1933" s="139"/>
      <c r="AY1933" s="139"/>
      <c r="AZ1933" s="139"/>
      <c r="BA1933" s="139"/>
      <c r="BB1933" s="139"/>
      <c r="BC1933" s="139"/>
      <c r="BD1933" s="139"/>
      <c r="BE1933" s="139"/>
      <c r="BF1933" s="139"/>
      <c r="BG1933" s="139"/>
      <c r="BH1933" s="139"/>
    </row>
    <row r="1934" spans="2:60" s="11" customFormat="1" ht="20.100000000000001" customHeight="1">
      <c r="B1934" s="1360"/>
      <c r="C1934" s="9647" t="s">
        <v>143</v>
      </c>
      <c r="D1934" s="9648"/>
      <c r="E1934" s="9649"/>
      <c r="F1934" s="997" t="s">
        <v>557</v>
      </c>
      <c r="G1934" s="666"/>
      <c r="H1934" s="9579" t="s">
        <v>144</v>
      </c>
      <c r="I1934" s="9580"/>
      <c r="J1934" s="9581"/>
      <c r="K1934" s="119" t="s">
        <v>559</v>
      </c>
      <c r="L1934" s="5594"/>
      <c r="M1934" s="5671"/>
      <c r="N1934" s="5724"/>
      <c r="O1934" s="5680"/>
      <c r="P1934" s="5725"/>
      <c r="Q1934" s="5678"/>
      <c r="R1934" s="2468"/>
      <c r="S1934" s="544"/>
      <c r="T1934" s="545"/>
      <c r="U1934" s="546"/>
      <c r="V1934" s="547"/>
      <c r="W1934" s="299" t="s">
        <v>193</v>
      </c>
      <c r="X1934" s="277"/>
      <c r="Y1934" s="277"/>
      <c r="Z1934" s="187"/>
      <c r="AA1934" s="6301"/>
      <c r="AB1934" s="139"/>
      <c r="AC1934" s="139"/>
      <c r="AD1934" s="139"/>
      <c r="AE1934" s="139"/>
      <c r="AF1934" s="139"/>
      <c r="AG1934" s="139"/>
      <c r="AH1934" s="139"/>
      <c r="AI1934" s="139"/>
      <c r="AJ1934" s="139"/>
      <c r="AK1934" s="139"/>
      <c r="AL1934" s="139"/>
      <c r="AM1934" s="139"/>
      <c r="AN1934" s="139"/>
      <c r="AO1934" s="139"/>
      <c r="AP1934" s="139"/>
      <c r="AQ1934" s="139"/>
      <c r="AR1934" s="139"/>
      <c r="AS1934" s="139"/>
      <c r="AT1934" s="139"/>
      <c r="AU1934" s="139"/>
      <c r="AV1934" s="139"/>
      <c r="AW1934" s="139"/>
      <c r="AX1934" s="139"/>
      <c r="AY1934" s="139"/>
      <c r="AZ1934" s="139"/>
      <c r="BA1934" s="139"/>
      <c r="BB1934" s="139"/>
      <c r="BC1934" s="139"/>
      <c r="BD1934" s="139"/>
      <c r="BE1934" s="139"/>
      <c r="BF1934" s="139"/>
      <c r="BG1934" s="139"/>
      <c r="BH1934" s="139"/>
    </row>
    <row r="1935" spans="2:60" s="11" customFormat="1" ht="20.100000000000001" customHeight="1">
      <c r="B1935" s="1360"/>
      <c r="C1935" s="9647" t="s">
        <v>631</v>
      </c>
      <c r="D1935" s="9648"/>
      <c r="E1935" s="9649"/>
      <c r="F1935" s="997" t="s">
        <v>557</v>
      </c>
      <c r="G1935" s="666"/>
      <c r="H1935" s="9579" t="s">
        <v>147</v>
      </c>
      <c r="I1935" s="9580"/>
      <c r="J1935" s="9581"/>
      <c r="K1935" s="119" t="s">
        <v>559</v>
      </c>
      <c r="L1935" s="5594"/>
      <c r="M1935" s="5671"/>
      <c r="N1935" s="5724"/>
      <c r="O1935" s="5680"/>
      <c r="P1935" s="5725"/>
      <c r="Q1935" s="5678"/>
      <c r="R1935" s="2468"/>
      <c r="S1935" s="544"/>
      <c r="T1935" s="545"/>
      <c r="U1935" s="546"/>
      <c r="V1935" s="547"/>
      <c r="W1935" s="299" t="s">
        <v>193</v>
      </c>
      <c r="X1935" s="277"/>
      <c r="Y1935" s="277"/>
      <c r="Z1935" s="187"/>
      <c r="AA1935" s="6301"/>
      <c r="AB1935" s="139"/>
      <c r="AC1935" s="139"/>
      <c r="AD1935" s="139"/>
      <c r="AE1935" s="139"/>
      <c r="AF1935" s="139"/>
      <c r="AG1935" s="139"/>
      <c r="AH1935" s="139"/>
      <c r="AI1935" s="139"/>
      <c r="AJ1935" s="139"/>
      <c r="AK1935" s="139"/>
      <c r="AL1935" s="139"/>
      <c r="AM1935" s="139"/>
      <c r="AN1935" s="139"/>
      <c r="AO1935" s="139"/>
      <c r="AP1935" s="139"/>
      <c r="AQ1935" s="139"/>
      <c r="AR1935" s="139"/>
      <c r="AS1935" s="139"/>
      <c r="AT1935" s="139"/>
      <c r="AU1935" s="139"/>
      <c r="AV1935" s="139"/>
      <c r="AW1935" s="139"/>
      <c r="AX1935" s="139"/>
      <c r="AY1935" s="139"/>
      <c r="AZ1935" s="139"/>
      <c r="BA1935" s="139"/>
      <c r="BB1935" s="139"/>
      <c r="BC1935" s="139"/>
      <c r="BD1935" s="139"/>
      <c r="BE1935" s="139"/>
      <c r="BF1935" s="139"/>
      <c r="BG1935" s="139"/>
      <c r="BH1935" s="139"/>
    </row>
    <row r="1936" spans="2:60" s="11" customFormat="1" ht="20.100000000000001" customHeight="1">
      <c r="B1936" s="1360"/>
      <c r="C1936" s="9647" t="s">
        <v>633</v>
      </c>
      <c r="D1936" s="9648"/>
      <c r="E1936" s="9649"/>
      <c r="F1936" s="997" t="s">
        <v>557</v>
      </c>
      <c r="G1936" s="666"/>
      <c r="H1936" s="9579" t="s">
        <v>150</v>
      </c>
      <c r="I1936" s="9580"/>
      <c r="J1936" s="9581"/>
      <c r="K1936" s="119" t="s">
        <v>559</v>
      </c>
      <c r="L1936" s="5594"/>
      <c r="M1936" s="5671"/>
      <c r="N1936" s="5724"/>
      <c r="O1936" s="5671"/>
      <c r="P1936" s="5724"/>
      <c r="Q1936" s="5678"/>
      <c r="R1936" s="2468"/>
      <c r="S1936" s="544"/>
      <c r="T1936" s="545"/>
      <c r="U1936" s="546"/>
      <c r="V1936" s="547"/>
      <c r="W1936" s="299" t="s">
        <v>193</v>
      </c>
      <c r="X1936" s="277"/>
      <c r="Y1936" s="277"/>
      <c r="Z1936" s="187"/>
      <c r="AA1936" s="6301"/>
      <c r="AB1936" s="139"/>
      <c r="AC1936" s="139"/>
      <c r="AD1936" s="139"/>
      <c r="AE1936" s="139"/>
      <c r="AF1936" s="139"/>
      <c r="AG1936" s="139"/>
      <c r="AH1936" s="139"/>
      <c r="AI1936" s="139"/>
      <c r="AJ1936" s="139"/>
      <c r="AK1936" s="139"/>
      <c r="AL1936" s="139"/>
      <c r="AM1936" s="139"/>
      <c r="AN1936" s="139"/>
      <c r="AO1936" s="139"/>
      <c r="AP1936" s="139"/>
      <c r="AQ1936" s="139"/>
      <c r="AR1936" s="139"/>
      <c r="AS1936" s="139"/>
      <c r="AT1936" s="139"/>
      <c r="AU1936" s="139"/>
      <c r="AV1936" s="139"/>
      <c r="AW1936" s="139"/>
      <c r="AX1936" s="139"/>
      <c r="AY1936" s="139"/>
      <c r="AZ1936" s="139"/>
      <c r="BA1936" s="139"/>
      <c r="BB1936" s="139"/>
      <c r="BC1936" s="139"/>
      <c r="BD1936" s="139"/>
      <c r="BE1936" s="139"/>
      <c r="BF1936" s="139"/>
      <c r="BG1936" s="139"/>
      <c r="BH1936" s="139"/>
    </row>
    <row r="1937" spans="2:60" s="11" customFormat="1" ht="20.100000000000001" customHeight="1">
      <c r="B1937" s="1360"/>
      <c r="C1937" s="9656" t="s">
        <v>1391</v>
      </c>
      <c r="D1937" s="9587"/>
      <c r="E1937" s="9588"/>
      <c r="F1937" s="997" t="s">
        <v>156</v>
      </c>
      <c r="G1937" s="184"/>
      <c r="H1937" s="9586" t="s">
        <v>1392</v>
      </c>
      <c r="I1937" s="9587"/>
      <c r="J1937" s="9588"/>
      <c r="K1937" s="119" t="s">
        <v>156</v>
      </c>
      <c r="L1937" s="5968" t="str">
        <f>IF(COUNTBLANK(L1938:L1943)&gt;0,"미취합법인有",AVERAGE(L1938:L1943))</f>
        <v>미취합법인有</v>
      </c>
      <c r="M1937" s="5657"/>
      <c r="N1937" s="5654" t="str">
        <f>IF(COUNTBLANK(N1938:N1943)&gt;0,"미취합법인有",AVERAGE(N1938:N1943))</f>
        <v>미취합법인有</v>
      </c>
      <c r="O1937" s="5663"/>
      <c r="P1937" s="5781" t="str">
        <f>IF(COUNTBLANK(P1938:P1943)&gt;0,"미취합법인有",AVERAGE(P1938:P1943))</f>
        <v>미취합법인有</v>
      </c>
      <c r="Q1937" s="785"/>
      <c r="R1937" s="1052" t="s">
        <v>1393</v>
      </c>
      <c r="S1937" s="714" t="s">
        <v>1394</v>
      </c>
      <c r="T1937" s="109" t="s">
        <v>1356</v>
      </c>
      <c r="U1937" s="547"/>
      <c r="V1937" s="547"/>
      <c r="W1937" s="299" t="s">
        <v>193</v>
      </c>
      <c r="X1937" s="694" t="s">
        <v>1395</v>
      </c>
      <c r="Y1937" s="265"/>
      <c r="Z1937" s="982"/>
      <c r="AA1937" s="6301"/>
      <c r="AB1937" s="139"/>
      <c r="AC1937" s="139"/>
      <c r="AD1937" s="139"/>
      <c r="AE1937" s="139"/>
      <c r="AF1937" s="139"/>
      <c r="AG1937" s="139"/>
      <c r="AH1937" s="139"/>
      <c r="AI1937" s="139"/>
      <c r="AJ1937" s="139"/>
      <c r="AK1937" s="139"/>
      <c r="AL1937" s="139"/>
      <c r="AM1937" s="139"/>
      <c r="AN1937" s="139"/>
      <c r="AO1937" s="139"/>
      <c r="AP1937" s="139"/>
      <c r="AQ1937" s="139"/>
      <c r="AR1937" s="139"/>
      <c r="AS1937" s="139"/>
      <c r="AT1937" s="139"/>
      <c r="AU1937" s="139"/>
      <c r="AV1937" s="139"/>
      <c r="AW1937" s="139"/>
      <c r="AX1937" s="139"/>
      <c r="AY1937" s="139"/>
      <c r="AZ1937" s="139"/>
      <c r="BA1937" s="139"/>
      <c r="BB1937" s="139"/>
      <c r="BC1937" s="139"/>
      <c r="BD1937" s="139"/>
      <c r="BE1937" s="139"/>
      <c r="BF1937" s="139"/>
      <c r="BG1937" s="139"/>
      <c r="BH1937" s="139"/>
    </row>
    <row r="1938" spans="2:60" s="11" customFormat="1" ht="20.100000000000001" customHeight="1">
      <c r="B1938" s="1360"/>
      <c r="C1938" s="9647" t="s">
        <v>134</v>
      </c>
      <c r="D1938" s="9648"/>
      <c r="E1938" s="9649"/>
      <c r="F1938" s="997" t="s">
        <v>156</v>
      </c>
      <c r="G1938" s="666"/>
      <c r="H1938" s="9579" t="s">
        <v>135</v>
      </c>
      <c r="I1938" s="9580"/>
      <c r="J1938" s="9581"/>
      <c r="K1938" s="119" t="s">
        <v>156</v>
      </c>
      <c r="L1938" s="5594"/>
      <c r="M1938" s="5671"/>
      <c r="N1938" s="5724"/>
      <c r="O1938" s="5680"/>
      <c r="P1938" s="5877">
        <v>100</v>
      </c>
      <c r="Q1938" s="5678"/>
      <c r="R1938" s="2468"/>
      <c r="S1938" s="544"/>
      <c r="T1938" s="545"/>
      <c r="U1938" s="546"/>
      <c r="V1938" s="547"/>
      <c r="W1938" s="299" t="s">
        <v>193</v>
      </c>
      <c r="X1938" s="277"/>
      <c r="Y1938" s="277"/>
      <c r="Z1938" s="187"/>
      <c r="AA1938" s="6301"/>
      <c r="AB1938" s="139"/>
      <c r="AC1938" s="139"/>
      <c r="AD1938" s="139"/>
      <c r="AE1938" s="139"/>
      <c r="AF1938" s="139"/>
      <c r="AG1938" s="139"/>
      <c r="AH1938" s="139"/>
      <c r="AI1938" s="139"/>
      <c r="AJ1938" s="139"/>
      <c r="AK1938" s="139"/>
      <c r="AL1938" s="139"/>
      <c r="AM1938" s="139"/>
      <c r="AN1938" s="139"/>
      <c r="AO1938" s="139"/>
      <c r="AP1938" s="139"/>
      <c r="AQ1938" s="139"/>
      <c r="AR1938" s="139"/>
      <c r="AS1938" s="139"/>
      <c r="AT1938" s="139"/>
      <c r="AU1938" s="139"/>
      <c r="AV1938" s="139"/>
      <c r="AW1938" s="139"/>
      <c r="AX1938" s="139"/>
      <c r="AY1938" s="139"/>
      <c r="AZ1938" s="139"/>
      <c r="BA1938" s="139"/>
      <c r="BB1938" s="139"/>
      <c r="BC1938" s="139"/>
      <c r="BD1938" s="139"/>
      <c r="BE1938" s="139"/>
      <c r="BF1938" s="139"/>
      <c r="BG1938" s="139"/>
      <c r="BH1938" s="139"/>
    </row>
    <row r="1939" spans="2:60" s="11" customFormat="1" ht="20.100000000000001" customHeight="1">
      <c r="B1939" s="1360"/>
      <c r="C1939" s="9647" t="s">
        <v>137</v>
      </c>
      <c r="D1939" s="9648"/>
      <c r="E1939" s="9649"/>
      <c r="F1939" s="997" t="s">
        <v>156</v>
      </c>
      <c r="G1939" s="666"/>
      <c r="H1939" s="9579" t="s">
        <v>138</v>
      </c>
      <c r="I1939" s="9580"/>
      <c r="J1939" s="9581"/>
      <c r="K1939" s="119" t="s">
        <v>156</v>
      </c>
      <c r="L1939" s="5594"/>
      <c r="M1939" s="5671"/>
      <c r="N1939" s="5724"/>
      <c r="O1939" s="5680"/>
      <c r="P1939" s="5725"/>
      <c r="Q1939" s="5678"/>
      <c r="R1939" s="2468"/>
      <c r="S1939" s="544"/>
      <c r="T1939" s="545"/>
      <c r="U1939" s="546"/>
      <c r="V1939" s="547"/>
      <c r="W1939" s="299" t="s">
        <v>193</v>
      </c>
      <c r="X1939" s="277"/>
      <c r="Y1939" s="277"/>
      <c r="Z1939" s="187"/>
      <c r="AA1939" s="6301"/>
      <c r="AB1939" s="139"/>
      <c r="AC1939" s="139"/>
      <c r="AD1939" s="139"/>
      <c r="AE1939" s="139"/>
      <c r="AF1939" s="139"/>
      <c r="AG1939" s="139"/>
      <c r="AH1939" s="139"/>
      <c r="AI1939" s="139"/>
      <c r="AJ1939" s="139"/>
      <c r="AK1939" s="139"/>
      <c r="AL1939" s="139"/>
      <c r="AM1939" s="139"/>
      <c r="AN1939" s="139"/>
      <c r="AO1939" s="139"/>
      <c r="AP1939" s="139"/>
      <c r="AQ1939" s="139"/>
      <c r="AR1939" s="139"/>
      <c r="AS1939" s="139"/>
      <c r="AT1939" s="139"/>
      <c r="AU1939" s="139"/>
      <c r="AV1939" s="139"/>
      <c r="AW1939" s="139"/>
      <c r="AX1939" s="139"/>
      <c r="AY1939" s="139"/>
      <c r="AZ1939" s="139"/>
      <c r="BA1939" s="139"/>
      <c r="BB1939" s="139"/>
      <c r="BC1939" s="139"/>
      <c r="BD1939" s="139"/>
      <c r="BE1939" s="139"/>
      <c r="BF1939" s="139"/>
      <c r="BG1939" s="139"/>
      <c r="BH1939" s="139"/>
    </row>
    <row r="1940" spans="2:60" s="11" customFormat="1" ht="20.100000000000001" customHeight="1">
      <c r="B1940" s="1360"/>
      <c r="C1940" s="9647" t="s">
        <v>140</v>
      </c>
      <c r="D1940" s="9648"/>
      <c r="E1940" s="9649"/>
      <c r="F1940" s="997" t="s">
        <v>156</v>
      </c>
      <c r="G1940" s="666"/>
      <c r="H1940" s="9579" t="s">
        <v>141</v>
      </c>
      <c r="I1940" s="9580"/>
      <c r="J1940" s="9581"/>
      <c r="K1940" s="119" t="s">
        <v>156</v>
      </c>
      <c r="L1940" s="5594"/>
      <c r="M1940" s="5671"/>
      <c r="N1940" s="5724"/>
      <c r="O1940" s="5680"/>
      <c r="P1940" s="5725"/>
      <c r="Q1940" s="5678"/>
      <c r="R1940" s="2468"/>
      <c r="S1940" s="544"/>
      <c r="T1940" s="545"/>
      <c r="U1940" s="546"/>
      <c r="V1940" s="547"/>
      <c r="W1940" s="299" t="s">
        <v>193</v>
      </c>
      <c r="X1940" s="277"/>
      <c r="Y1940" s="277"/>
      <c r="Z1940" s="187"/>
      <c r="AA1940" s="6301"/>
      <c r="AB1940" s="139"/>
      <c r="AC1940" s="139"/>
      <c r="AD1940" s="139"/>
      <c r="AE1940" s="139"/>
      <c r="AF1940" s="139"/>
      <c r="AG1940" s="139"/>
      <c r="AH1940" s="139"/>
      <c r="AI1940" s="139"/>
      <c r="AJ1940" s="139"/>
      <c r="AK1940" s="139"/>
      <c r="AL1940" s="139"/>
      <c r="AM1940" s="139"/>
      <c r="AN1940" s="139"/>
      <c r="AO1940" s="139"/>
      <c r="AP1940" s="139"/>
      <c r="AQ1940" s="139"/>
      <c r="AR1940" s="139"/>
      <c r="AS1940" s="139"/>
      <c r="AT1940" s="139"/>
      <c r="AU1940" s="139"/>
      <c r="AV1940" s="139"/>
      <c r="AW1940" s="139"/>
      <c r="AX1940" s="139"/>
      <c r="AY1940" s="139"/>
      <c r="AZ1940" s="139"/>
      <c r="BA1940" s="139"/>
      <c r="BB1940" s="139"/>
      <c r="BC1940" s="139"/>
      <c r="BD1940" s="139"/>
      <c r="BE1940" s="139"/>
      <c r="BF1940" s="139"/>
      <c r="BG1940" s="139"/>
      <c r="BH1940" s="139"/>
    </row>
    <row r="1941" spans="2:60" s="11" customFormat="1" ht="20.100000000000001" customHeight="1">
      <c r="B1941" s="1360"/>
      <c r="C1941" s="9647" t="s">
        <v>143</v>
      </c>
      <c r="D1941" s="9648"/>
      <c r="E1941" s="9649"/>
      <c r="F1941" s="997" t="s">
        <v>156</v>
      </c>
      <c r="G1941" s="666"/>
      <c r="H1941" s="9579" t="s">
        <v>144</v>
      </c>
      <c r="I1941" s="9580"/>
      <c r="J1941" s="9581"/>
      <c r="K1941" s="119" t="s">
        <v>156</v>
      </c>
      <c r="L1941" s="5594"/>
      <c r="M1941" s="5671"/>
      <c r="N1941" s="5724"/>
      <c r="O1941" s="5680"/>
      <c r="P1941" s="5725"/>
      <c r="Q1941" s="5678"/>
      <c r="R1941" s="2468"/>
      <c r="S1941" s="544"/>
      <c r="T1941" s="545"/>
      <c r="U1941" s="546"/>
      <c r="V1941" s="547"/>
      <c r="W1941" s="299" t="s">
        <v>193</v>
      </c>
      <c r="X1941" s="277"/>
      <c r="Y1941" s="277"/>
      <c r="Z1941" s="187"/>
      <c r="AA1941" s="6301"/>
      <c r="AB1941" s="139"/>
      <c r="AC1941" s="139"/>
      <c r="AD1941" s="139"/>
      <c r="AE1941" s="139"/>
      <c r="AF1941" s="139"/>
      <c r="AG1941" s="139"/>
      <c r="AH1941" s="139"/>
      <c r="AI1941" s="139"/>
      <c r="AJ1941" s="139"/>
      <c r="AK1941" s="139"/>
      <c r="AL1941" s="139"/>
      <c r="AM1941" s="139"/>
      <c r="AN1941" s="139"/>
      <c r="AO1941" s="139"/>
      <c r="AP1941" s="139"/>
      <c r="AQ1941" s="139"/>
      <c r="AR1941" s="139"/>
      <c r="AS1941" s="139"/>
      <c r="AT1941" s="139"/>
      <c r="AU1941" s="139"/>
      <c r="AV1941" s="139"/>
      <c r="AW1941" s="139"/>
      <c r="AX1941" s="139"/>
      <c r="AY1941" s="139"/>
      <c r="AZ1941" s="139"/>
      <c r="BA1941" s="139"/>
      <c r="BB1941" s="139"/>
      <c r="BC1941" s="139"/>
      <c r="BD1941" s="139"/>
      <c r="BE1941" s="139"/>
      <c r="BF1941" s="139"/>
      <c r="BG1941" s="139"/>
      <c r="BH1941" s="139"/>
    </row>
    <row r="1942" spans="2:60" s="11" customFormat="1" ht="20.100000000000001" customHeight="1">
      <c r="B1942" s="1360"/>
      <c r="C1942" s="9647" t="s">
        <v>631</v>
      </c>
      <c r="D1942" s="9648"/>
      <c r="E1942" s="9649"/>
      <c r="F1942" s="997" t="s">
        <v>156</v>
      </c>
      <c r="G1942" s="666"/>
      <c r="H1942" s="9579" t="s">
        <v>147</v>
      </c>
      <c r="I1942" s="9580"/>
      <c r="J1942" s="9581"/>
      <c r="K1942" s="119" t="s">
        <v>156</v>
      </c>
      <c r="L1942" s="5594"/>
      <c r="M1942" s="5671"/>
      <c r="N1942" s="5724"/>
      <c r="O1942" s="5680"/>
      <c r="P1942" s="5725"/>
      <c r="Q1942" s="5678"/>
      <c r="R1942" s="2468"/>
      <c r="S1942" s="544"/>
      <c r="T1942" s="545"/>
      <c r="U1942" s="546"/>
      <c r="V1942" s="547"/>
      <c r="W1942" s="299" t="s">
        <v>193</v>
      </c>
      <c r="X1942" s="277"/>
      <c r="Y1942" s="277"/>
      <c r="Z1942" s="187"/>
      <c r="AA1942" s="6301"/>
      <c r="AB1942" s="139"/>
      <c r="AC1942" s="139"/>
      <c r="AD1942" s="139"/>
      <c r="AE1942" s="139"/>
      <c r="AF1942" s="139"/>
      <c r="AG1942" s="139"/>
      <c r="AH1942" s="139"/>
      <c r="AI1942" s="139"/>
      <c r="AJ1942" s="139"/>
      <c r="AK1942" s="139"/>
      <c r="AL1942" s="139"/>
      <c r="AM1942" s="139"/>
      <c r="AN1942" s="139"/>
      <c r="AO1942" s="139"/>
      <c r="AP1942" s="139"/>
      <c r="AQ1942" s="139"/>
      <c r="AR1942" s="139"/>
      <c r="AS1942" s="139"/>
      <c r="AT1942" s="139"/>
      <c r="AU1942" s="139"/>
      <c r="AV1942" s="139"/>
      <c r="AW1942" s="139"/>
      <c r="AX1942" s="139"/>
      <c r="AY1942" s="139"/>
      <c r="AZ1942" s="139"/>
      <c r="BA1942" s="139"/>
      <c r="BB1942" s="139"/>
      <c r="BC1942" s="139"/>
      <c r="BD1942" s="139"/>
      <c r="BE1942" s="139"/>
      <c r="BF1942" s="139"/>
      <c r="BG1942" s="139"/>
      <c r="BH1942" s="139"/>
    </row>
    <row r="1943" spans="2:60" s="11" customFormat="1" ht="20.100000000000001" customHeight="1" thickBot="1">
      <c r="B1943" s="1360"/>
      <c r="C1943" s="9647" t="s">
        <v>633</v>
      </c>
      <c r="D1943" s="9648"/>
      <c r="E1943" s="9649"/>
      <c r="F1943" s="809" t="s">
        <v>156</v>
      </c>
      <c r="G1943" s="6161"/>
      <c r="H1943" s="9579" t="s">
        <v>150</v>
      </c>
      <c r="I1943" s="9580"/>
      <c r="J1943" s="9581"/>
      <c r="K1943" s="119" t="s">
        <v>156</v>
      </c>
      <c r="L1943" s="5594"/>
      <c r="M1943" s="5671"/>
      <c r="N1943" s="5724"/>
      <c r="O1943" s="5671"/>
      <c r="P1943" s="5724"/>
      <c r="Q1943" s="6125"/>
      <c r="R1943" s="2468"/>
      <c r="S1943" s="544"/>
      <c r="T1943" s="545"/>
      <c r="U1943" s="546"/>
      <c r="V1943" s="547"/>
      <c r="W1943" s="299" t="s">
        <v>193</v>
      </c>
      <c r="X1943" s="277"/>
      <c r="Y1943" s="277"/>
      <c r="Z1943" s="187"/>
      <c r="AA1943" s="6301"/>
      <c r="AB1943" s="139"/>
      <c r="AC1943" s="139"/>
      <c r="AD1943" s="139"/>
      <c r="AE1943" s="139"/>
      <c r="AF1943" s="139"/>
      <c r="AG1943" s="139"/>
      <c r="AH1943" s="139"/>
      <c r="AI1943" s="139"/>
      <c r="AJ1943" s="139"/>
      <c r="AK1943" s="139"/>
      <c r="AL1943" s="139"/>
      <c r="AM1943" s="139"/>
      <c r="AN1943" s="139"/>
      <c r="AO1943" s="139"/>
      <c r="AP1943" s="139"/>
      <c r="AQ1943" s="139"/>
      <c r="AR1943" s="139"/>
      <c r="AS1943" s="139"/>
      <c r="AT1943" s="139"/>
      <c r="AU1943" s="139"/>
      <c r="AV1943" s="139"/>
      <c r="AW1943" s="139"/>
      <c r="AX1943" s="139"/>
      <c r="AY1943" s="139"/>
      <c r="AZ1943" s="139"/>
      <c r="BA1943" s="139"/>
      <c r="BB1943" s="139"/>
      <c r="BC1943" s="139"/>
      <c r="BD1943" s="139"/>
      <c r="BE1943" s="139"/>
      <c r="BF1943" s="139"/>
      <c r="BG1943" s="139"/>
      <c r="BH1943" s="139"/>
    </row>
    <row r="1944" spans="2:60" s="11" customFormat="1" ht="27" thickBot="1">
      <c r="B1944" s="123" t="s">
        <v>1396</v>
      </c>
      <c r="C1944" s="124"/>
      <c r="D1944" s="124"/>
      <c r="E1944" s="124"/>
      <c r="F1944" s="124"/>
      <c r="G1944" s="598" t="s">
        <v>1397</v>
      </c>
      <c r="H1944" s="124"/>
      <c r="I1944" s="126"/>
      <c r="J1944" s="126"/>
      <c r="K1944" s="78"/>
      <c r="L1944" s="5626"/>
      <c r="M1944" s="5627"/>
      <c r="N1944" s="5627"/>
      <c r="O1944" s="5627"/>
      <c r="P1944" s="5627"/>
      <c r="Q1944" s="5627"/>
      <c r="R1944" s="80"/>
      <c r="S1944" s="80"/>
      <c r="T1944" s="129"/>
      <c r="U1944" s="129"/>
      <c r="V1944" s="129"/>
      <c r="W1944" s="129"/>
      <c r="X1944" s="328"/>
      <c r="Y1944" s="328"/>
      <c r="Z1944" s="1006"/>
      <c r="AA1944" s="6301"/>
      <c r="AB1944" s="139"/>
      <c r="AC1944" s="139"/>
      <c r="AD1944" s="139"/>
      <c r="AE1944" s="139"/>
      <c r="AF1944" s="139"/>
      <c r="AG1944" s="139"/>
      <c r="AH1944" s="139"/>
      <c r="AI1944" s="139"/>
      <c r="AJ1944" s="139"/>
      <c r="AK1944" s="139"/>
      <c r="AL1944" s="139"/>
      <c r="AM1944" s="139"/>
      <c r="AN1944" s="139"/>
      <c r="AO1944" s="139"/>
      <c r="AP1944" s="139"/>
      <c r="AQ1944" s="139"/>
      <c r="AR1944" s="139"/>
      <c r="AS1944" s="139"/>
      <c r="AT1944" s="139"/>
      <c r="AU1944" s="139"/>
      <c r="AV1944" s="139"/>
      <c r="AW1944" s="139"/>
      <c r="AX1944" s="139"/>
      <c r="AY1944" s="139"/>
      <c r="AZ1944" s="139"/>
      <c r="BA1944" s="139"/>
      <c r="BB1944" s="139"/>
      <c r="BC1944" s="139"/>
      <c r="BD1944" s="139"/>
      <c r="BE1944" s="139"/>
      <c r="BF1944" s="139"/>
      <c r="BG1944" s="139"/>
      <c r="BH1944" s="139"/>
    </row>
    <row r="1945" spans="2:60" s="11" customFormat="1" ht="20.100000000000001" customHeight="1">
      <c r="B1945" s="1359"/>
      <c r="C1945" s="9656" t="s">
        <v>1398</v>
      </c>
      <c r="D1945" s="9587"/>
      <c r="E1945" s="9588"/>
      <c r="F1945" s="1007" t="s">
        <v>233</v>
      </c>
      <c r="G1945" s="1008"/>
      <c r="H1945" s="9586" t="s">
        <v>1399</v>
      </c>
      <c r="I1945" s="9587"/>
      <c r="J1945" s="9588"/>
      <c r="K1945" s="5628" t="s">
        <v>295</v>
      </c>
      <c r="L1945" s="5653" t="str">
        <f>IF(COUNTBLANK(L1946:L1951)&gt;0,"미취합법인有",SUM(L1946:L1951))</f>
        <v>미취합법인有</v>
      </c>
      <c r="M1945" s="5657"/>
      <c r="N1945" s="5654" t="str">
        <f>IF(COUNTBLANK(N1946:N1951)&gt;0,"미취합법인有",SUM(N1946:N1951))</f>
        <v>미취합법인有</v>
      </c>
      <c r="O1945" s="5663"/>
      <c r="P1945" s="5781" t="str">
        <f>IF(COUNTBLANK(P1946:P1951)&gt;0,"미취합법인有",SUM(P1946:P1951))</f>
        <v>미취합법인有</v>
      </c>
      <c r="Q1945" s="6108"/>
      <c r="R1945" s="1021" t="s">
        <v>1400</v>
      </c>
      <c r="S1945" s="1021" t="s">
        <v>1401</v>
      </c>
      <c r="T1945" s="758" t="s">
        <v>189</v>
      </c>
      <c r="U1945" s="534"/>
      <c r="V1945" s="534"/>
      <c r="W1945" s="299" t="s">
        <v>193</v>
      </c>
      <c r="X1945" s="277" t="s">
        <v>1402</v>
      </c>
      <c r="Y1945" s="277"/>
      <c r="Z1945" s="982"/>
      <c r="AA1945" s="6301"/>
      <c r="AB1945" s="139"/>
      <c r="AC1945" s="139"/>
      <c r="AD1945" s="139"/>
      <c r="AE1945" s="139"/>
      <c r="AF1945" s="139"/>
      <c r="AG1945" s="139"/>
      <c r="AH1945" s="139"/>
      <c r="AI1945" s="139"/>
      <c r="AJ1945" s="139"/>
      <c r="AK1945" s="139"/>
      <c r="AL1945" s="139"/>
      <c r="AM1945" s="139"/>
      <c r="AN1945" s="139"/>
      <c r="AO1945" s="139"/>
      <c r="AP1945" s="139"/>
      <c r="AQ1945" s="139"/>
      <c r="AR1945" s="139"/>
      <c r="AS1945" s="139"/>
      <c r="AT1945" s="139"/>
      <c r="AU1945" s="139"/>
      <c r="AV1945" s="139"/>
      <c r="AW1945" s="139"/>
      <c r="AX1945" s="139"/>
      <c r="AY1945" s="139"/>
      <c r="AZ1945" s="139"/>
      <c r="BA1945" s="139"/>
      <c r="BB1945" s="139"/>
      <c r="BC1945" s="139"/>
      <c r="BD1945" s="139"/>
      <c r="BE1945" s="139"/>
      <c r="BF1945" s="139"/>
      <c r="BG1945" s="139"/>
      <c r="BH1945" s="139"/>
    </row>
    <row r="1946" spans="2:60" s="11" customFormat="1" ht="20.100000000000001" customHeight="1">
      <c r="B1946" s="1360"/>
      <c r="C1946" s="9647" t="s">
        <v>134</v>
      </c>
      <c r="D1946" s="9648"/>
      <c r="E1946" s="9649"/>
      <c r="F1946" s="1007" t="s">
        <v>233</v>
      </c>
      <c r="G1946" s="666"/>
      <c r="H1946" s="9579" t="s">
        <v>135</v>
      </c>
      <c r="I1946" s="9580"/>
      <c r="J1946" s="9581"/>
      <c r="K1946" s="492" t="s">
        <v>295</v>
      </c>
      <c r="L1946" s="5594"/>
      <c r="M1946" s="5658"/>
      <c r="N1946" s="5841">
        <v>1</v>
      </c>
      <c r="O1946" s="5667"/>
      <c r="P1946" s="5593">
        <v>1</v>
      </c>
      <c r="Q1946" s="5593"/>
      <c r="R1946" s="2468"/>
      <c r="S1946" s="544"/>
      <c r="T1946" s="545"/>
      <c r="U1946" s="546"/>
      <c r="V1946" s="547"/>
      <c r="W1946" s="299" t="s">
        <v>193</v>
      </c>
      <c r="X1946" s="277"/>
      <c r="Y1946" s="277"/>
      <c r="Z1946" s="187"/>
      <c r="AA1946" s="6301"/>
      <c r="AB1946" s="139"/>
      <c r="AC1946" s="139"/>
      <c r="AD1946" s="139"/>
      <c r="AE1946" s="139"/>
      <c r="AF1946" s="139"/>
      <c r="AG1946" s="139"/>
      <c r="AH1946" s="139"/>
      <c r="AI1946" s="139"/>
      <c r="AJ1946" s="139"/>
      <c r="AK1946" s="139"/>
      <c r="AL1946" s="139"/>
      <c r="AM1946" s="139"/>
      <c r="AN1946" s="139"/>
      <c r="AO1946" s="139"/>
      <c r="AP1946" s="139"/>
      <c r="AQ1946" s="139"/>
      <c r="AR1946" s="139"/>
      <c r="AS1946" s="139"/>
      <c r="AT1946" s="139"/>
      <c r="AU1946" s="139"/>
      <c r="AV1946" s="139"/>
      <c r="AW1946" s="139"/>
      <c r="AX1946" s="139"/>
      <c r="AY1946" s="139"/>
      <c r="AZ1946" s="139"/>
      <c r="BA1946" s="139"/>
      <c r="BB1946" s="139"/>
      <c r="BC1946" s="139"/>
      <c r="BD1946" s="139"/>
      <c r="BE1946" s="139"/>
      <c r="BF1946" s="139"/>
      <c r="BG1946" s="139"/>
      <c r="BH1946" s="139"/>
    </row>
    <row r="1947" spans="2:60" s="11" customFormat="1" ht="20.100000000000001" customHeight="1">
      <c r="B1947" s="1360"/>
      <c r="C1947" s="9647" t="s">
        <v>137</v>
      </c>
      <c r="D1947" s="9648"/>
      <c r="E1947" s="9649"/>
      <c r="F1947" s="1007" t="s">
        <v>233</v>
      </c>
      <c r="G1947" s="666"/>
      <c r="H1947" s="9579" t="s">
        <v>138</v>
      </c>
      <c r="I1947" s="9580"/>
      <c r="J1947" s="9581"/>
      <c r="K1947" s="492" t="s">
        <v>295</v>
      </c>
      <c r="L1947" s="5594"/>
      <c r="M1947" s="5658"/>
      <c r="N1947" s="5601"/>
      <c r="O1947" s="5667"/>
      <c r="P1947" s="5602"/>
      <c r="Q1947" s="5593"/>
      <c r="R1947" s="2468"/>
      <c r="S1947" s="544"/>
      <c r="T1947" s="545"/>
      <c r="U1947" s="546"/>
      <c r="V1947" s="547"/>
      <c r="W1947" s="299" t="s">
        <v>193</v>
      </c>
      <c r="X1947" s="277"/>
      <c r="Y1947" s="277"/>
      <c r="Z1947" s="187"/>
      <c r="AA1947" s="6301"/>
      <c r="AB1947" s="139"/>
      <c r="AC1947" s="139"/>
      <c r="AD1947" s="139"/>
      <c r="AE1947" s="139"/>
      <c r="AF1947" s="139"/>
      <c r="AG1947" s="139"/>
      <c r="AH1947" s="139"/>
      <c r="AI1947" s="139"/>
      <c r="AJ1947" s="139"/>
      <c r="AK1947" s="139"/>
      <c r="AL1947" s="139"/>
      <c r="AM1947" s="139"/>
      <c r="AN1947" s="139"/>
      <c r="AO1947" s="139"/>
      <c r="AP1947" s="139"/>
      <c r="AQ1947" s="139"/>
      <c r="AR1947" s="139"/>
      <c r="AS1947" s="139"/>
      <c r="AT1947" s="139"/>
      <c r="AU1947" s="139"/>
      <c r="AV1947" s="139"/>
      <c r="AW1947" s="139"/>
      <c r="AX1947" s="139"/>
      <c r="AY1947" s="139"/>
      <c r="AZ1947" s="139"/>
      <c r="BA1947" s="139"/>
      <c r="BB1947" s="139"/>
      <c r="BC1947" s="139"/>
      <c r="BD1947" s="139"/>
      <c r="BE1947" s="139"/>
      <c r="BF1947" s="139"/>
      <c r="BG1947" s="139"/>
      <c r="BH1947" s="139"/>
    </row>
    <row r="1948" spans="2:60" s="11" customFormat="1" ht="20.100000000000001" customHeight="1">
      <c r="B1948" s="1360"/>
      <c r="C1948" s="9647" t="s">
        <v>140</v>
      </c>
      <c r="D1948" s="9648"/>
      <c r="E1948" s="9649"/>
      <c r="F1948" s="1007" t="s">
        <v>233</v>
      </c>
      <c r="G1948" s="666"/>
      <c r="H1948" s="9579" t="s">
        <v>141</v>
      </c>
      <c r="I1948" s="9580"/>
      <c r="J1948" s="9581"/>
      <c r="K1948" s="492" t="s">
        <v>295</v>
      </c>
      <c r="L1948" s="5594"/>
      <c r="M1948" s="5658"/>
      <c r="N1948" s="5601"/>
      <c r="O1948" s="5667"/>
      <c r="P1948" s="5602"/>
      <c r="Q1948" s="5593"/>
      <c r="R1948" s="2468"/>
      <c r="S1948" s="544"/>
      <c r="T1948" s="545"/>
      <c r="U1948" s="546"/>
      <c r="V1948" s="547"/>
      <c r="W1948" s="299" t="s">
        <v>193</v>
      </c>
      <c r="X1948" s="277"/>
      <c r="Y1948" s="277"/>
      <c r="Z1948" s="187"/>
      <c r="AA1948" s="6301"/>
      <c r="AB1948" s="139"/>
      <c r="AC1948" s="139"/>
      <c r="AD1948" s="139"/>
      <c r="AE1948" s="139"/>
      <c r="AF1948" s="139"/>
      <c r="AG1948" s="139"/>
      <c r="AH1948" s="139"/>
      <c r="AI1948" s="139"/>
      <c r="AJ1948" s="139"/>
      <c r="AK1948" s="139"/>
      <c r="AL1948" s="139"/>
      <c r="AM1948" s="139"/>
      <c r="AN1948" s="139"/>
      <c r="AO1948" s="139"/>
      <c r="AP1948" s="139"/>
      <c r="AQ1948" s="139"/>
      <c r="AR1948" s="139"/>
      <c r="AS1948" s="139"/>
      <c r="AT1948" s="139"/>
      <c r="AU1948" s="139"/>
      <c r="AV1948" s="139"/>
      <c r="AW1948" s="139"/>
      <c r="AX1948" s="139"/>
      <c r="AY1948" s="139"/>
      <c r="AZ1948" s="139"/>
      <c r="BA1948" s="139"/>
      <c r="BB1948" s="139"/>
      <c r="BC1948" s="139"/>
      <c r="BD1948" s="139"/>
      <c r="BE1948" s="139"/>
      <c r="BF1948" s="139"/>
      <c r="BG1948" s="139"/>
      <c r="BH1948" s="139"/>
    </row>
    <row r="1949" spans="2:60" s="11" customFormat="1" ht="20.100000000000001" customHeight="1">
      <c r="B1949" s="1360"/>
      <c r="C1949" s="9647" t="s">
        <v>143</v>
      </c>
      <c r="D1949" s="9648"/>
      <c r="E1949" s="9649"/>
      <c r="F1949" s="1007" t="s">
        <v>233</v>
      </c>
      <c r="G1949" s="666"/>
      <c r="H1949" s="9579" t="s">
        <v>144</v>
      </c>
      <c r="I1949" s="9580"/>
      <c r="J1949" s="9581"/>
      <c r="K1949" s="492" t="s">
        <v>295</v>
      </c>
      <c r="L1949" s="5594"/>
      <c r="M1949" s="5658"/>
      <c r="N1949" s="5601"/>
      <c r="O1949" s="5667"/>
      <c r="P1949" s="5602"/>
      <c r="Q1949" s="5593"/>
      <c r="R1949" s="2468"/>
      <c r="S1949" s="544"/>
      <c r="T1949" s="545"/>
      <c r="U1949" s="546"/>
      <c r="V1949" s="547"/>
      <c r="W1949" s="299" t="s">
        <v>193</v>
      </c>
      <c r="X1949" s="277"/>
      <c r="Y1949" s="277"/>
      <c r="Z1949" s="187"/>
      <c r="AA1949" s="6301"/>
      <c r="AB1949" s="139"/>
      <c r="AC1949" s="139"/>
      <c r="AD1949" s="139"/>
      <c r="AE1949" s="139"/>
      <c r="AF1949" s="139"/>
      <c r="AG1949" s="139"/>
      <c r="AH1949" s="139"/>
      <c r="AI1949" s="139"/>
      <c r="AJ1949" s="139"/>
      <c r="AK1949" s="139"/>
      <c r="AL1949" s="139"/>
      <c r="AM1949" s="139"/>
      <c r="AN1949" s="139"/>
      <c r="AO1949" s="139"/>
      <c r="AP1949" s="139"/>
      <c r="AQ1949" s="139"/>
      <c r="AR1949" s="139"/>
      <c r="AS1949" s="139"/>
      <c r="AT1949" s="139"/>
      <c r="AU1949" s="139"/>
      <c r="AV1949" s="139"/>
      <c r="AW1949" s="139"/>
      <c r="AX1949" s="139"/>
      <c r="AY1949" s="139"/>
      <c r="AZ1949" s="139"/>
      <c r="BA1949" s="139"/>
      <c r="BB1949" s="139"/>
      <c r="BC1949" s="139"/>
      <c r="BD1949" s="139"/>
      <c r="BE1949" s="139"/>
      <c r="BF1949" s="139"/>
      <c r="BG1949" s="139"/>
      <c r="BH1949" s="139"/>
    </row>
    <row r="1950" spans="2:60" s="11" customFormat="1" ht="20.100000000000001" customHeight="1">
      <c r="B1950" s="1360"/>
      <c r="C1950" s="9647" t="s">
        <v>631</v>
      </c>
      <c r="D1950" s="9648"/>
      <c r="E1950" s="9649"/>
      <c r="F1950" s="1007" t="s">
        <v>233</v>
      </c>
      <c r="G1950" s="666"/>
      <c r="H1950" s="9579" t="s">
        <v>147</v>
      </c>
      <c r="I1950" s="9580"/>
      <c r="J1950" s="9581"/>
      <c r="K1950" s="492" t="s">
        <v>295</v>
      </c>
      <c r="L1950" s="5594"/>
      <c r="M1950" s="5658"/>
      <c r="N1950" s="5601"/>
      <c r="O1950" s="5667"/>
      <c r="P1950" s="5602"/>
      <c r="Q1950" s="5593"/>
      <c r="R1950" s="2468"/>
      <c r="S1950" s="544"/>
      <c r="T1950" s="545"/>
      <c r="U1950" s="546"/>
      <c r="V1950" s="547"/>
      <c r="W1950" s="299" t="s">
        <v>193</v>
      </c>
      <c r="X1950" s="277"/>
      <c r="Y1950" s="277"/>
      <c r="Z1950" s="187"/>
      <c r="AA1950" s="6301"/>
      <c r="AB1950" s="139"/>
      <c r="AC1950" s="139"/>
      <c r="AD1950" s="139"/>
      <c r="AE1950" s="139"/>
      <c r="AF1950" s="139"/>
      <c r="AG1950" s="139"/>
      <c r="AH1950" s="139"/>
      <c r="AI1950" s="139"/>
      <c r="AJ1950" s="139"/>
      <c r="AK1950" s="139"/>
      <c r="AL1950" s="139"/>
      <c r="AM1950" s="139"/>
      <c r="AN1950" s="139"/>
      <c r="AO1950" s="139"/>
      <c r="AP1950" s="139"/>
      <c r="AQ1950" s="139"/>
      <c r="AR1950" s="139"/>
      <c r="AS1950" s="139"/>
      <c r="AT1950" s="139"/>
      <c r="AU1950" s="139"/>
      <c r="AV1950" s="139"/>
      <c r="AW1950" s="139"/>
      <c r="AX1950" s="139"/>
      <c r="AY1950" s="139"/>
      <c r="AZ1950" s="139"/>
      <c r="BA1950" s="139"/>
      <c r="BB1950" s="139"/>
      <c r="BC1950" s="139"/>
      <c r="BD1950" s="139"/>
      <c r="BE1950" s="139"/>
      <c r="BF1950" s="139"/>
      <c r="BG1950" s="139"/>
      <c r="BH1950" s="139"/>
    </row>
    <row r="1951" spans="2:60" s="11" customFormat="1" ht="20.100000000000001" customHeight="1">
      <c r="B1951" s="1360"/>
      <c r="C1951" s="9647" t="s">
        <v>633</v>
      </c>
      <c r="D1951" s="9648"/>
      <c r="E1951" s="9649"/>
      <c r="F1951" s="1007" t="s">
        <v>233</v>
      </c>
      <c r="G1951" s="666"/>
      <c r="H1951" s="9579" t="s">
        <v>150</v>
      </c>
      <c r="I1951" s="9580"/>
      <c r="J1951" s="9581"/>
      <c r="K1951" s="492" t="s">
        <v>295</v>
      </c>
      <c r="L1951" s="5594"/>
      <c r="M1951" s="5658"/>
      <c r="N1951" s="5601"/>
      <c r="O1951" s="5658"/>
      <c r="P1951" s="5601"/>
      <c r="Q1951" s="5593"/>
      <c r="R1951" s="2468"/>
      <c r="S1951" s="544"/>
      <c r="T1951" s="545"/>
      <c r="U1951" s="546"/>
      <c r="V1951" s="547"/>
      <c r="W1951" s="299" t="s">
        <v>193</v>
      </c>
      <c r="X1951" s="277"/>
      <c r="Y1951" s="277"/>
      <c r="Z1951" s="187"/>
      <c r="AA1951" s="6301"/>
      <c r="AB1951" s="139"/>
      <c r="AC1951" s="139"/>
      <c r="AD1951" s="139"/>
      <c r="AE1951" s="139"/>
      <c r="AF1951" s="139"/>
      <c r="AG1951" s="139"/>
      <c r="AH1951" s="139"/>
      <c r="AI1951" s="139"/>
      <c r="AJ1951" s="139"/>
      <c r="AK1951" s="139"/>
      <c r="AL1951" s="139"/>
      <c r="AM1951" s="139"/>
      <c r="AN1951" s="139"/>
      <c r="AO1951" s="139"/>
      <c r="AP1951" s="139"/>
      <c r="AQ1951" s="139"/>
      <c r="AR1951" s="139"/>
      <c r="AS1951" s="139"/>
      <c r="AT1951" s="139"/>
      <c r="AU1951" s="139"/>
      <c r="AV1951" s="139"/>
      <c r="AW1951" s="139"/>
      <c r="AX1951" s="139"/>
      <c r="AY1951" s="139"/>
      <c r="AZ1951" s="139"/>
      <c r="BA1951" s="139"/>
      <c r="BB1951" s="139"/>
      <c r="BC1951" s="139"/>
      <c r="BD1951" s="139"/>
      <c r="BE1951" s="139"/>
      <c r="BF1951" s="139"/>
      <c r="BG1951" s="139"/>
      <c r="BH1951" s="139"/>
    </row>
    <row r="1952" spans="2:60" s="11" customFormat="1" ht="20.100000000000001" customHeight="1">
      <c r="B1952" s="1360"/>
      <c r="C1952" s="9656" t="s">
        <v>1403</v>
      </c>
      <c r="D1952" s="9587"/>
      <c r="E1952" s="9588"/>
      <c r="F1952" s="1007" t="s">
        <v>1404</v>
      </c>
      <c r="G1952" s="358"/>
      <c r="H1952" s="9586" t="s">
        <v>1405</v>
      </c>
      <c r="I1952" s="9587"/>
      <c r="J1952" s="9588"/>
      <c r="K1952" s="5629" t="s">
        <v>1406</v>
      </c>
      <c r="L1952" s="6335"/>
      <c r="M1952" s="6427"/>
      <c r="N1952" s="6430"/>
      <c r="O1952" s="6431"/>
      <c r="P1952" s="6429"/>
      <c r="Q1952" s="5260"/>
      <c r="R1952" s="1033" t="s">
        <v>1407</v>
      </c>
      <c r="S1952" s="1033" t="s">
        <v>1408</v>
      </c>
      <c r="T1952" s="1034" t="s">
        <v>189</v>
      </c>
      <c r="U1952" s="878"/>
      <c r="V1952" s="878"/>
      <c r="W1952" s="1034"/>
      <c r="X1952" s="277" t="s">
        <v>1409</v>
      </c>
      <c r="Y1952" s="265"/>
      <c r="Z1952" s="982"/>
      <c r="AA1952" s="6301"/>
      <c r="AB1952" s="139" t="s">
        <v>1410</v>
      </c>
      <c r="AC1952" s="6442" t="s">
        <v>1411</v>
      </c>
      <c r="AD1952" s="139"/>
      <c r="AE1952" s="139"/>
      <c r="AF1952" s="139"/>
      <c r="AG1952" s="139"/>
      <c r="AH1952" s="139"/>
      <c r="AI1952" s="139"/>
      <c r="AJ1952" s="139"/>
      <c r="AK1952" s="139"/>
      <c r="AL1952" s="139"/>
      <c r="AM1952" s="139"/>
      <c r="AN1952" s="139"/>
      <c r="AO1952" s="139"/>
      <c r="AP1952" s="139"/>
      <c r="AQ1952" s="139"/>
      <c r="AR1952" s="139"/>
      <c r="AS1952" s="139"/>
      <c r="AT1952" s="139"/>
      <c r="AU1952" s="139"/>
      <c r="AV1952" s="139"/>
      <c r="AW1952" s="139"/>
      <c r="AX1952" s="139"/>
      <c r="AY1952" s="139"/>
      <c r="AZ1952" s="139"/>
      <c r="BA1952" s="139"/>
      <c r="BB1952" s="139"/>
      <c r="BC1952" s="139"/>
      <c r="BD1952" s="139"/>
      <c r="BE1952" s="139"/>
      <c r="BF1952" s="139"/>
      <c r="BG1952" s="139"/>
      <c r="BH1952" s="139"/>
    </row>
    <row r="1953" spans="2:60" s="11" customFormat="1" ht="18.75" customHeight="1">
      <c r="B1953" s="1360"/>
      <c r="C1953" s="9647" t="s">
        <v>134</v>
      </c>
      <c r="D1953" s="9648"/>
      <c r="E1953" s="9649"/>
      <c r="F1953" s="1007" t="s">
        <v>1404</v>
      </c>
      <c r="G1953" s="666"/>
      <c r="H1953" s="9579" t="s">
        <v>135</v>
      </c>
      <c r="I1953" s="9580"/>
      <c r="J1953" s="9581"/>
      <c r="K1953" s="5629" t="s">
        <v>1406</v>
      </c>
      <c r="L1953" s="5839">
        <v>1.59</v>
      </c>
      <c r="M1953" s="5840"/>
      <c r="N1953" s="5841">
        <v>2.86</v>
      </c>
      <c r="O1953" s="5842"/>
      <c r="P1953" s="5841">
        <v>5.07</v>
      </c>
      <c r="Q1953" s="5593"/>
      <c r="R1953" s="2468"/>
      <c r="S1953" s="544"/>
      <c r="T1953" s="545"/>
      <c r="U1953" s="546"/>
      <c r="V1953" s="547"/>
      <c r="W1953" s="548"/>
      <c r="X1953" s="277"/>
      <c r="Y1953" s="277"/>
      <c r="Z1953" s="187"/>
      <c r="AA1953" s="6301"/>
      <c r="AB1953" s="139"/>
      <c r="AC1953" s="6443"/>
      <c r="AD1953" s="139"/>
      <c r="AE1953" s="139"/>
      <c r="AF1953" s="139"/>
      <c r="AG1953" s="139"/>
      <c r="AH1953" s="139"/>
      <c r="AI1953" s="139"/>
      <c r="AJ1953" s="139"/>
      <c r="AK1953" s="139"/>
      <c r="AL1953" s="139"/>
      <c r="AM1953" s="139"/>
      <c r="AN1953" s="139"/>
      <c r="AO1953" s="139"/>
      <c r="AP1953" s="139"/>
      <c r="AQ1953" s="139"/>
      <c r="AR1953" s="139"/>
      <c r="AS1953" s="139"/>
      <c r="AT1953" s="139"/>
      <c r="AU1953" s="139"/>
      <c r="AV1953" s="139"/>
      <c r="AW1953" s="139"/>
      <c r="AX1953" s="139"/>
      <c r="AY1953" s="139"/>
      <c r="AZ1953" s="139"/>
      <c r="BA1953" s="139"/>
      <c r="BB1953" s="139"/>
      <c r="BC1953" s="139"/>
      <c r="BD1953" s="139"/>
      <c r="BE1953" s="139"/>
      <c r="BF1953" s="139"/>
      <c r="BG1953" s="139"/>
      <c r="BH1953" s="139"/>
    </row>
    <row r="1954" spans="2:60" s="11" customFormat="1" ht="20.100000000000001" customHeight="1">
      <c r="B1954" s="1360"/>
      <c r="C1954" s="9647" t="s">
        <v>137</v>
      </c>
      <c r="D1954" s="9648"/>
      <c r="E1954" s="9649"/>
      <c r="F1954" s="492" t="s">
        <v>1412</v>
      </c>
      <c r="G1954" s="666"/>
      <c r="H1954" s="9579" t="s">
        <v>138</v>
      </c>
      <c r="I1954" s="9580"/>
      <c r="J1954" s="9581"/>
      <c r="K1954" s="5629" t="s">
        <v>1406</v>
      </c>
      <c r="L1954" s="5839">
        <v>0</v>
      </c>
      <c r="M1954" s="5840"/>
      <c r="N1954" s="5841">
        <v>0</v>
      </c>
      <c r="O1954" s="5842"/>
      <c r="P1954" s="6384">
        <v>0</v>
      </c>
      <c r="Q1954" s="5593"/>
      <c r="R1954" s="2468"/>
      <c r="S1954" s="544"/>
      <c r="T1954" s="545"/>
      <c r="U1954" s="546"/>
      <c r="V1954" s="547"/>
      <c r="W1954" s="548"/>
      <c r="X1954" s="277"/>
      <c r="Y1954" s="277"/>
      <c r="Z1954" s="187"/>
      <c r="AA1954" s="6301"/>
      <c r="AB1954" s="139"/>
      <c r="AC1954" s="6443"/>
      <c r="AD1954" s="139"/>
      <c r="AE1954" s="139"/>
      <c r="AF1954" s="139"/>
      <c r="AG1954" s="139"/>
      <c r="AH1954" s="139"/>
      <c r="AI1954" s="139"/>
      <c r="AJ1954" s="139"/>
      <c r="AK1954" s="139"/>
      <c r="AL1954" s="139"/>
      <c r="AM1954" s="139"/>
      <c r="AN1954" s="139"/>
      <c r="AO1954" s="139"/>
      <c r="AP1954" s="139"/>
      <c r="AQ1954" s="139"/>
      <c r="AR1954" s="139"/>
      <c r="AS1954" s="139"/>
      <c r="AT1954" s="139"/>
      <c r="AU1954" s="139"/>
      <c r="AV1954" s="139"/>
      <c r="AW1954" s="139"/>
      <c r="AX1954" s="139"/>
      <c r="AY1954" s="139"/>
      <c r="AZ1954" s="139"/>
      <c r="BA1954" s="139"/>
      <c r="BB1954" s="139"/>
      <c r="BC1954" s="139"/>
      <c r="BD1954" s="139"/>
      <c r="BE1954" s="139"/>
      <c r="BF1954" s="139"/>
      <c r="BG1954" s="139"/>
      <c r="BH1954" s="139"/>
    </row>
    <row r="1955" spans="2:60" s="11" customFormat="1" ht="20.100000000000001" customHeight="1">
      <c r="B1955" s="1360"/>
      <c r="C1955" s="9647" t="s">
        <v>140</v>
      </c>
      <c r="D1955" s="9648"/>
      <c r="E1955" s="9649"/>
      <c r="F1955" s="492" t="s">
        <v>1412</v>
      </c>
      <c r="G1955" s="666"/>
      <c r="H1955" s="9579" t="s">
        <v>141</v>
      </c>
      <c r="I1955" s="9580"/>
      <c r="J1955" s="9581"/>
      <c r="K1955" s="5629" t="s">
        <v>1406</v>
      </c>
      <c r="L1955" s="5839">
        <v>0</v>
      </c>
      <c r="M1955" s="5840"/>
      <c r="N1955" s="5841">
        <v>0</v>
      </c>
      <c r="O1955" s="5842"/>
      <c r="P1955" s="6384">
        <v>0</v>
      </c>
      <c r="Q1955" s="5593"/>
      <c r="R1955" s="2468"/>
      <c r="S1955" s="544"/>
      <c r="T1955" s="545"/>
      <c r="U1955" s="546"/>
      <c r="V1955" s="547"/>
      <c r="W1955" s="548"/>
      <c r="X1955" s="277"/>
      <c r="Y1955" s="277"/>
      <c r="Z1955" s="187"/>
      <c r="AA1955" s="6301"/>
      <c r="AB1955" s="139"/>
      <c r="AC1955" s="6442" t="s">
        <v>1411</v>
      </c>
      <c r="AD1955" s="139"/>
      <c r="AE1955" s="139"/>
      <c r="AF1955" s="139"/>
      <c r="AG1955" s="139"/>
      <c r="AH1955" s="139"/>
      <c r="AI1955" s="139"/>
      <c r="AJ1955" s="139"/>
      <c r="AK1955" s="139"/>
      <c r="AL1955" s="139"/>
      <c r="AM1955" s="139"/>
      <c r="AN1955" s="139"/>
      <c r="AO1955" s="139"/>
      <c r="AP1955" s="139"/>
      <c r="AQ1955" s="139"/>
      <c r="AR1955" s="139"/>
      <c r="AS1955" s="139"/>
      <c r="AT1955" s="139"/>
      <c r="AU1955" s="139"/>
      <c r="AV1955" s="139"/>
      <c r="AW1955" s="139"/>
      <c r="AX1955" s="139"/>
      <c r="AY1955" s="139"/>
      <c r="AZ1955" s="139"/>
      <c r="BA1955" s="139"/>
      <c r="BB1955" s="139"/>
      <c r="BC1955" s="139"/>
      <c r="BD1955" s="139"/>
      <c r="BE1955" s="139"/>
      <c r="BF1955" s="139"/>
      <c r="BG1955" s="139"/>
      <c r="BH1955" s="139"/>
    </row>
    <row r="1956" spans="2:60" s="11" customFormat="1" ht="20.100000000000001" customHeight="1">
      <c r="B1956" s="1360"/>
      <c r="C1956" s="9647" t="s">
        <v>143</v>
      </c>
      <c r="D1956" s="9648"/>
      <c r="E1956" s="9649"/>
      <c r="F1956" s="492" t="s">
        <v>1412</v>
      </c>
      <c r="G1956" s="666"/>
      <c r="H1956" s="9579" t="s">
        <v>144</v>
      </c>
      <c r="I1956" s="9580"/>
      <c r="J1956" s="9581"/>
      <c r="K1956" s="5629" t="s">
        <v>1406</v>
      </c>
      <c r="L1956" s="5594"/>
      <c r="M1956" s="5658"/>
      <c r="N1956" s="5601"/>
      <c r="O1956" s="5667"/>
      <c r="P1956" s="5602"/>
      <c r="Q1956" s="5593"/>
      <c r="R1956" s="2468"/>
      <c r="S1956" s="544"/>
      <c r="T1956" s="545"/>
      <c r="U1956" s="546"/>
      <c r="V1956" s="547"/>
      <c r="W1956" s="548"/>
      <c r="X1956" s="277"/>
      <c r="Y1956" s="277"/>
      <c r="Z1956" s="187"/>
      <c r="AA1956" s="6301"/>
      <c r="AB1956" s="139"/>
      <c r="AC1956" s="6442" t="s">
        <v>1411</v>
      </c>
      <c r="AD1956" s="139"/>
      <c r="AE1956" s="139"/>
      <c r="AF1956" s="139"/>
      <c r="AG1956" s="139"/>
      <c r="AH1956" s="139"/>
      <c r="AI1956" s="139"/>
      <c r="AJ1956" s="139"/>
      <c r="AK1956" s="139"/>
      <c r="AL1956" s="139"/>
      <c r="AM1956" s="139"/>
      <c r="AN1956" s="139"/>
      <c r="AO1956" s="139"/>
      <c r="AP1956" s="139"/>
      <c r="AQ1956" s="139"/>
      <c r="AR1956" s="139"/>
      <c r="AS1956" s="139"/>
      <c r="AT1956" s="139"/>
      <c r="AU1956" s="139"/>
      <c r="AV1956" s="139"/>
      <c r="AW1956" s="139"/>
      <c r="AX1956" s="139"/>
      <c r="AY1956" s="139"/>
      <c r="AZ1956" s="139"/>
      <c r="BA1956" s="139"/>
      <c r="BB1956" s="139"/>
      <c r="BC1956" s="139"/>
      <c r="BD1956" s="139"/>
      <c r="BE1956" s="139"/>
      <c r="BF1956" s="139"/>
      <c r="BG1956" s="139"/>
      <c r="BH1956" s="139"/>
    </row>
    <row r="1957" spans="2:60" s="11" customFormat="1" ht="20.100000000000001" customHeight="1">
      <c r="B1957" s="1360"/>
      <c r="C1957" s="9647" t="s">
        <v>631</v>
      </c>
      <c r="D1957" s="9648"/>
      <c r="E1957" s="9649"/>
      <c r="F1957" s="492" t="s">
        <v>1412</v>
      </c>
      <c r="G1957" s="666"/>
      <c r="H1957" s="9579" t="s">
        <v>147</v>
      </c>
      <c r="I1957" s="9580"/>
      <c r="J1957" s="9581"/>
      <c r="K1957" s="5629" t="s">
        <v>1406</v>
      </c>
      <c r="L1957" s="5594"/>
      <c r="M1957" s="5658"/>
      <c r="N1957" s="5601"/>
      <c r="O1957" s="5667"/>
      <c r="P1957" s="5602"/>
      <c r="Q1957" s="5593"/>
      <c r="R1957" s="2468"/>
      <c r="S1957" s="544"/>
      <c r="T1957" s="545"/>
      <c r="U1957" s="546"/>
      <c r="V1957" s="547"/>
      <c r="W1957" s="548"/>
      <c r="X1957" s="277"/>
      <c r="Y1957" s="277"/>
      <c r="Z1957" s="187"/>
      <c r="AA1957" s="6301"/>
      <c r="AB1957" s="139"/>
      <c r="AC1957" s="6442" t="s">
        <v>1411</v>
      </c>
      <c r="AD1957" s="139"/>
      <c r="AE1957" s="139"/>
      <c r="AF1957" s="139"/>
      <c r="AG1957" s="139"/>
      <c r="AH1957" s="139"/>
      <c r="AI1957" s="139"/>
      <c r="AJ1957" s="139"/>
      <c r="AK1957" s="139"/>
      <c r="AL1957" s="139"/>
      <c r="AM1957" s="139"/>
      <c r="AN1957" s="139"/>
      <c r="AO1957" s="139"/>
      <c r="AP1957" s="139"/>
      <c r="AQ1957" s="139"/>
      <c r="AR1957" s="139"/>
      <c r="AS1957" s="139"/>
      <c r="AT1957" s="139"/>
      <c r="AU1957" s="139"/>
      <c r="AV1957" s="139"/>
      <c r="AW1957" s="139"/>
      <c r="AX1957" s="139"/>
      <c r="AY1957" s="139"/>
      <c r="AZ1957" s="139"/>
      <c r="BA1957" s="139"/>
      <c r="BB1957" s="139"/>
      <c r="BC1957" s="139"/>
      <c r="BD1957" s="139"/>
      <c r="BE1957" s="139"/>
      <c r="BF1957" s="139"/>
      <c r="BG1957" s="139"/>
      <c r="BH1957" s="139"/>
    </row>
    <row r="1958" spans="2:60" s="11" customFormat="1" ht="20.100000000000001" customHeight="1">
      <c r="B1958" s="1360"/>
      <c r="C1958" s="9647" t="s">
        <v>633</v>
      </c>
      <c r="D1958" s="9648"/>
      <c r="E1958" s="9649"/>
      <c r="F1958" s="492" t="s">
        <v>1412</v>
      </c>
      <c r="G1958" s="666"/>
      <c r="H1958" s="9579" t="s">
        <v>150</v>
      </c>
      <c r="I1958" s="9580"/>
      <c r="J1958" s="9581"/>
      <c r="K1958" s="5629" t="s">
        <v>1406</v>
      </c>
      <c r="L1958" s="5594"/>
      <c r="M1958" s="5658"/>
      <c r="N1958" s="5601"/>
      <c r="O1958" s="5658"/>
      <c r="P1958" s="5601"/>
      <c r="Q1958" s="5593"/>
      <c r="R1958" s="2468"/>
      <c r="S1958" s="544"/>
      <c r="T1958" s="545"/>
      <c r="U1958" s="546"/>
      <c r="V1958" s="547"/>
      <c r="W1958" s="548"/>
      <c r="X1958" s="277"/>
      <c r="Y1958" s="277"/>
      <c r="Z1958" s="187"/>
      <c r="AA1958" s="6301"/>
      <c r="AB1958" s="139"/>
      <c r="AC1958" s="6442" t="s">
        <v>1411</v>
      </c>
      <c r="AD1958" s="139"/>
      <c r="AE1958" s="139"/>
      <c r="AF1958" s="139"/>
      <c r="AG1958" s="139"/>
      <c r="AH1958" s="139"/>
      <c r="AI1958" s="139"/>
      <c r="AJ1958" s="139"/>
      <c r="AK1958" s="139"/>
      <c r="AL1958" s="139"/>
      <c r="AM1958" s="139"/>
      <c r="AN1958" s="139"/>
      <c r="AO1958" s="139"/>
      <c r="AP1958" s="139"/>
      <c r="AQ1958" s="139"/>
      <c r="AR1958" s="139"/>
      <c r="AS1958" s="139"/>
      <c r="AT1958" s="139"/>
      <c r="AU1958" s="139"/>
      <c r="AV1958" s="139"/>
      <c r="AW1958" s="139"/>
      <c r="AX1958" s="139"/>
      <c r="AY1958" s="139"/>
      <c r="AZ1958" s="139"/>
      <c r="BA1958" s="139"/>
      <c r="BB1958" s="139"/>
      <c r="BC1958" s="139"/>
      <c r="BD1958" s="139"/>
      <c r="BE1958" s="139"/>
      <c r="BF1958" s="139"/>
      <c r="BG1958" s="139"/>
      <c r="BH1958" s="139"/>
    </row>
    <row r="1959" spans="2:60" s="11" customFormat="1" ht="20.100000000000001" customHeight="1">
      <c r="B1959" s="1360"/>
      <c r="C1959" s="9656" t="s">
        <v>1413</v>
      </c>
      <c r="D1959" s="9587"/>
      <c r="E1959" s="9588"/>
      <c r="F1959" s="674" t="s">
        <v>628</v>
      </c>
      <c r="G1959" s="358"/>
      <c r="H1959" s="9586" t="s">
        <v>1414</v>
      </c>
      <c r="I1959" s="9587"/>
      <c r="J1959" s="9588"/>
      <c r="K1959" s="5589" t="s">
        <v>128</v>
      </c>
      <c r="L1959" s="6335"/>
      <c r="M1959" s="6427"/>
      <c r="N1959" s="6430"/>
      <c r="O1959" s="6431"/>
      <c r="P1959" s="6429"/>
      <c r="Q1959" s="5260"/>
      <c r="R1959" s="2468"/>
      <c r="S1959" s="276"/>
      <c r="T1959" s="162" t="s">
        <v>1415</v>
      </c>
      <c r="U1959" s="547"/>
      <c r="V1959" s="547"/>
      <c r="W1959" s="162"/>
      <c r="X1959" s="277"/>
      <c r="Y1959" s="277" t="s">
        <v>1416</v>
      </c>
      <c r="Z1959" s="982"/>
      <c r="AA1959" s="6301"/>
      <c r="AB1959" s="139" t="s">
        <v>1417</v>
      </c>
      <c r="AC1959" s="139"/>
      <c r="AD1959" s="139"/>
      <c r="AE1959" s="139"/>
      <c r="AF1959" s="139"/>
      <c r="AG1959" s="139"/>
      <c r="AH1959" s="139"/>
      <c r="AI1959" s="139"/>
      <c r="AJ1959" s="139"/>
      <c r="AK1959" s="139"/>
      <c r="AL1959" s="139"/>
      <c r="AM1959" s="139"/>
      <c r="AN1959" s="139"/>
      <c r="AO1959" s="139"/>
      <c r="AP1959" s="139"/>
      <c r="AQ1959" s="139"/>
      <c r="AR1959" s="139"/>
      <c r="AS1959" s="139"/>
      <c r="AT1959" s="139"/>
      <c r="AU1959" s="139"/>
      <c r="AV1959" s="139"/>
      <c r="AW1959" s="139"/>
      <c r="AX1959" s="139"/>
      <c r="AY1959" s="139"/>
      <c r="AZ1959" s="139"/>
      <c r="BA1959" s="139"/>
      <c r="BB1959" s="139"/>
      <c r="BC1959" s="139"/>
      <c r="BD1959" s="139"/>
      <c r="BE1959" s="139"/>
      <c r="BF1959" s="139"/>
      <c r="BG1959" s="139"/>
      <c r="BH1959" s="139"/>
    </row>
    <row r="1960" spans="2:60" s="11" customFormat="1" ht="20.100000000000001" customHeight="1">
      <c r="B1960" s="1360"/>
      <c r="C1960" s="9647" t="s">
        <v>134</v>
      </c>
      <c r="D1960" s="9648"/>
      <c r="E1960" s="9649"/>
      <c r="F1960" s="674" t="s">
        <v>33</v>
      </c>
      <c r="G1960" s="666"/>
      <c r="H1960" s="9579" t="s">
        <v>135</v>
      </c>
      <c r="I1960" s="9580"/>
      <c r="J1960" s="9581"/>
      <c r="K1960" s="5833" t="s">
        <v>35</v>
      </c>
      <c r="L1960" s="5839">
        <f>CGV국내!R372</f>
        <v>0</v>
      </c>
      <c r="M1960" s="5840"/>
      <c r="N1960" s="5841">
        <f>CGV국내!T372</f>
        <v>0</v>
      </c>
      <c r="O1960" s="5842"/>
      <c r="P1960" s="6060">
        <f>CGV국내!V372</f>
        <v>0</v>
      </c>
      <c r="Q1960" s="5593"/>
      <c r="R1960" s="2468"/>
      <c r="S1960" s="544"/>
      <c r="T1960" s="545"/>
      <c r="U1960" s="546"/>
      <c r="V1960" s="547"/>
      <c r="W1960" s="548"/>
      <c r="X1960" s="277"/>
      <c r="Y1960" s="277"/>
      <c r="Z1960" s="187"/>
      <c r="AA1960" s="6301"/>
      <c r="AB1960" s="139"/>
      <c r="AC1960" s="139"/>
      <c r="AD1960" s="139"/>
      <c r="AE1960" s="139"/>
      <c r="AF1960" s="139"/>
      <c r="AG1960" s="139"/>
      <c r="AH1960" s="139"/>
      <c r="AI1960" s="139"/>
      <c r="AJ1960" s="139"/>
      <c r="AK1960" s="139"/>
      <c r="AL1960" s="139"/>
      <c r="AM1960" s="139"/>
      <c r="AN1960" s="139"/>
      <c r="AO1960" s="139"/>
      <c r="AP1960" s="139"/>
      <c r="AQ1960" s="139"/>
      <c r="AR1960" s="139"/>
      <c r="AS1960" s="139"/>
      <c r="AT1960" s="139"/>
      <c r="AU1960" s="139"/>
      <c r="AV1960" s="139"/>
      <c r="AW1960" s="139"/>
      <c r="AX1960" s="139"/>
      <c r="AY1960" s="139"/>
      <c r="AZ1960" s="139"/>
      <c r="BA1960" s="139"/>
      <c r="BB1960" s="139"/>
      <c r="BC1960" s="139"/>
      <c r="BD1960" s="139"/>
      <c r="BE1960" s="139"/>
      <c r="BF1960" s="139"/>
      <c r="BG1960" s="139"/>
      <c r="BH1960" s="139"/>
    </row>
    <row r="1961" spans="2:60" s="11" customFormat="1" ht="20.100000000000001" customHeight="1">
      <c r="B1961" s="1360"/>
      <c r="C1961" s="9647" t="s">
        <v>137</v>
      </c>
      <c r="D1961" s="9648"/>
      <c r="E1961" s="9649"/>
      <c r="F1961" s="674" t="s">
        <v>33</v>
      </c>
      <c r="G1961" s="666"/>
      <c r="H1961" s="9579" t="s">
        <v>138</v>
      </c>
      <c r="I1961" s="9580"/>
      <c r="J1961" s="9581"/>
      <c r="K1961" s="5833" t="s">
        <v>35</v>
      </c>
      <c r="L1961" s="5594"/>
      <c r="M1961" s="5658"/>
      <c r="N1961" s="5601"/>
      <c r="O1961" s="5667"/>
      <c r="P1961" s="5602"/>
      <c r="Q1961" s="5593"/>
      <c r="R1961" s="2468"/>
      <c r="S1961" s="544"/>
      <c r="T1961" s="545"/>
      <c r="U1961" s="546"/>
      <c r="V1961" s="547"/>
      <c r="W1961" s="548"/>
      <c r="X1961" s="277"/>
      <c r="Y1961" s="277"/>
      <c r="Z1961" s="187"/>
      <c r="AA1961" s="6301"/>
      <c r="AB1961" s="139"/>
      <c r="AC1961" s="139"/>
      <c r="AD1961" s="139"/>
      <c r="AE1961" s="139"/>
      <c r="AF1961" s="139"/>
      <c r="AG1961" s="139"/>
      <c r="AH1961" s="139"/>
      <c r="AI1961" s="139"/>
      <c r="AJ1961" s="139"/>
      <c r="AK1961" s="139"/>
      <c r="AL1961" s="139"/>
      <c r="AM1961" s="139"/>
      <c r="AN1961" s="139"/>
      <c r="AO1961" s="139"/>
      <c r="AP1961" s="139"/>
      <c r="AQ1961" s="139"/>
      <c r="AR1961" s="139"/>
      <c r="AS1961" s="139"/>
      <c r="AT1961" s="139"/>
      <c r="AU1961" s="139"/>
      <c r="AV1961" s="139"/>
      <c r="AW1961" s="139"/>
      <c r="AX1961" s="139"/>
      <c r="AY1961" s="139"/>
      <c r="AZ1961" s="139"/>
      <c r="BA1961" s="139"/>
      <c r="BB1961" s="139"/>
      <c r="BC1961" s="139"/>
      <c r="BD1961" s="139"/>
      <c r="BE1961" s="139"/>
      <c r="BF1961" s="139"/>
      <c r="BG1961" s="139"/>
      <c r="BH1961" s="139"/>
    </row>
    <row r="1962" spans="2:60" s="11" customFormat="1" ht="20.100000000000001" customHeight="1">
      <c r="B1962" s="1360"/>
      <c r="C1962" s="9647" t="s">
        <v>140</v>
      </c>
      <c r="D1962" s="9648"/>
      <c r="E1962" s="9649"/>
      <c r="F1962" s="674" t="s">
        <v>272</v>
      </c>
      <c r="G1962" s="666"/>
      <c r="H1962" s="9579" t="s">
        <v>141</v>
      </c>
      <c r="I1962" s="9580"/>
      <c r="J1962" s="9581"/>
      <c r="K1962" s="132" t="s">
        <v>142</v>
      </c>
      <c r="L1962" s="5594"/>
      <c r="M1962" s="5658"/>
      <c r="N1962" s="5601"/>
      <c r="O1962" s="5667"/>
      <c r="P1962" s="5602"/>
      <c r="Q1962" s="5593"/>
      <c r="R1962" s="2468"/>
      <c r="S1962" s="544"/>
      <c r="T1962" s="545"/>
      <c r="U1962" s="546"/>
      <c r="V1962" s="547"/>
      <c r="W1962" s="548"/>
      <c r="X1962" s="277"/>
      <c r="Y1962" s="277"/>
      <c r="Z1962" s="187"/>
      <c r="AA1962" s="6301"/>
      <c r="AB1962" s="139"/>
      <c r="AC1962" s="139"/>
      <c r="AD1962" s="139"/>
      <c r="AE1962" s="139"/>
      <c r="AF1962" s="139"/>
      <c r="AG1962" s="139"/>
      <c r="AH1962" s="139"/>
      <c r="AI1962" s="139"/>
      <c r="AJ1962" s="139"/>
      <c r="AK1962" s="139"/>
      <c r="AL1962" s="139"/>
      <c r="AM1962" s="139"/>
      <c r="AN1962" s="139"/>
      <c r="AO1962" s="139"/>
      <c r="AP1962" s="139"/>
      <c r="AQ1962" s="139"/>
      <c r="AR1962" s="139"/>
      <c r="AS1962" s="139"/>
      <c r="AT1962" s="139"/>
      <c r="AU1962" s="139"/>
      <c r="AV1962" s="139"/>
      <c r="AW1962" s="139"/>
      <c r="AX1962" s="139"/>
      <c r="AY1962" s="139"/>
      <c r="AZ1962" s="139"/>
      <c r="BA1962" s="139"/>
      <c r="BB1962" s="139"/>
      <c r="BC1962" s="139"/>
      <c r="BD1962" s="139"/>
      <c r="BE1962" s="139"/>
      <c r="BF1962" s="139"/>
      <c r="BG1962" s="139"/>
      <c r="BH1962" s="139"/>
    </row>
    <row r="1963" spans="2:60" s="11" customFormat="1" ht="20.100000000000001" customHeight="1">
      <c r="B1963" s="1360"/>
      <c r="C1963" s="9647" t="s">
        <v>143</v>
      </c>
      <c r="D1963" s="9648"/>
      <c r="E1963" s="9649"/>
      <c r="F1963" s="674" t="s">
        <v>630</v>
      </c>
      <c r="G1963" s="666"/>
      <c r="H1963" s="9579" t="s">
        <v>144</v>
      </c>
      <c r="I1963" s="9580"/>
      <c r="J1963" s="9581"/>
      <c r="K1963" s="132" t="s">
        <v>145</v>
      </c>
      <c r="L1963" s="5594">
        <v>500000</v>
      </c>
      <c r="M1963" s="5671" t="s">
        <v>1418</v>
      </c>
      <c r="N1963" s="5601"/>
      <c r="O1963" s="5667"/>
      <c r="P1963" s="5602"/>
      <c r="Q1963" s="5593"/>
      <c r="R1963" s="2468"/>
      <c r="S1963" s="544"/>
      <c r="T1963" s="545"/>
      <c r="U1963" s="546"/>
      <c r="V1963" s="547"/>
      <c r="W1963" s="548"/>
      <c r="X1963" s="277"/>
      <c r="Y1963" s="277"/>
      <c r="Z1963" s="187"/>
      <c r="AA1963" s="6301"/>
      <c r="AB1963" s="139"/>
      <c r="AC1963" s="139"/>
      <c r="AD1963" s="139"/>
      <c r="AE1963" s="139"/>
      <c r="AF1963" s="139"/>
      <c r="AG1963" s="139"/>
      <c r="AH1963" s="139"/>
      <c r="AI1963" s="139"/>
      <c r="AJ1963" s="139"/>
      <c r="AK1963" s="139"/>
      <c r="AL1963" s="139"/>
      <c r="AM1963" s="139"/>
      <c r="AN1963" s="139"/>
      <c r="AO1963" s="139"/>
      <c r="AP1963" s="139"/>
      <c r="AQ1963" s="139"/>
      <c r="AR1963" s="139"/>
      <c r="AS1963" s="139"/>
      <c r="AT1963" s="139"/>
      <c r="AU1963" s="139"/>
      <c r="AV1963" s="139"/>
      <c r="AW1963" s="139"/>
      <c r="AX1963" s="139"/>
      <c r="AY1963" s="139"/>
      <c r="AZ1963" s="139"/>
      <c r="BA1963" s="139"/>
      <c r="BB1963" s="139"/>
      <c r="BC1963" s="139"/>
      <c r="BD1963" s="139"/>
      <c r="BE1963" s="139"/>
      <c r="BF1963" s="139"/>
      <c r="BG1963" s="139"/>
      <c r="BH1963" s="139"/>
    </row>
    <row r="1964" spans="2:60" s="11" customFormat="1" ht="20.100000000000001" customHeight="1">
      <c r="B1964" s="1360"/>
      <c r="C1964" s="9647" t="s">
        <v>631</v>
      </c>
      <c r="D1964" s="9648"/>
      <c r="E1964" s="9649"/>
      <c r="F1964" s="674" t="s">
        <v>632</v>
      </c>
      <c r="G1964" s="666"/>
      <c r="H1964" s="9579" t="s">
        <v>147</v>
      </c>
      <c r="I1964" s="9580"/>
      <c r="J1964" s="9581"/>
      <c r="K1964" s="132" t="s">
        <v>148</v>
      </c>
      <c r="L1964" s="5956" t="s">
        <v>168</v>
      </c>
      <c r="M1964" s="5682" t="s">
        <v>641</v>
      </c>
      <c r="N1964" s="5601" t="s">
        <v>168</v>
      </c>
      <c r="O1964" s="5667" t="s">
        <v>641</v>
      </c>
      <c r="P1964" s="5667" t="s">
        <v>168</v>
      </c>
      <c r="Q1964" s="5593" t="s">
        <v>641</v>
      </c>
      <c r="R1964" s="2468"/>
      <c r="S1964" s="544"/>
      <c r="T1964" s="545"/>
      <c r="U1964" s="546"/>
      <c r="V1964" s="547"/>
      <c r="W1964" s="548"/>
      <c r="X1964" s="277"/>
      <c r="Y1964" s="277"/>
      <c r="Z1964" s="187"/>
      <c r="AA1964" s="6301"/>
      <c r="AB1964" s="139"/>
      <c r="AC1964" s="139"/>
      <c r="AD1964" s="139"/>
      <c r="AE1964" s="139"/>
      <c r="AF1964" s="139"/>
      <c r="AG1964" s="139"/>
      <c r="AH1964" s="139"/>
      <c r="AI1964" s="139"/>
      <c r="AJ1964" s="139"/>
      <c r="AK1964" s="139"/>
      <c r="AL1964" s="139"/>
      <c r="AM1964" s="139"/>
      <c r="AN1964" s="139"/>
      <c r="AO1964" s="139"/>
      <c r="AP1964" s="139"/>
      <c r="AQ1964" s="139"/>
      <c r="AR1964" s="139"/>
      <c r="AS1964" s="139"/>
      <c r="AT1964" s="139"/>
      <c r="AU1964" s="139"/>
      <c r="AV1964" s="139"/>
      <c r="AW1964" s="139"/>
      <c r="AX1964" s="139"/>
      <c r="AY1964" s="139"/>
      <c r="AZ1964" s="139"/>
      <c r="BA1964" s="139"/>
      <c r="BB1964" s="139"/>
      <c r="BC1964" s="139"/>
      <c r="BD1964" s="139"/>
      <c r="BE1964" s="139"/>
      <c r="BF1964" s="139"/>
      <c r="BG1964" s="139"/>
      <c r="BH1964" s="139"/>
    </row>
    <row r="1965" spans="2:60" s="11" customFormat="1" ht="20.100000000000001" customHeight="1">
      <c r="B1965" s="1360"/>
      <c r="C1965" s="9647" t="s">
        <v>633</v>
      </c>
      <c r="D1965" s="9648"/>
      <c r="E1965" s="9649"/>
      <c r="F1965" s="674" t="s">
        <v>634</v>
      </c>
      <c r="G1965" s="666"/>
      <c r="H1965" s="9579" t="s">
        <v>150</v>
      </c>
      <c r="I1965" s="9580"/>
      <c r="J1965" s="9581"/>
      <c r="K1965" s="132" t="s">
        <v>151</v>
      </c>
      <c r="L1965" s="5956" t="s">
        <v>168</v>
      </c>
      <c r="M1965" s="5682" t="s">
        <v>641</v>
      </c>
      <c r="N1965" s="5601" t="s">
        <v>168</v>
      </c>
      <c r="O1965" s="5667" t="s">
        <v>641</v>
      </c>
      <c r="P1965" s="5667" t="s">
        <v>168</v>
      </c>
      <c r="Q1965" s="5593" t="s">
        <v>641</v>
      </c>
      <c r="R1965" s="2468"/>
      <c r="S1965" s="544"/>
      <c r="T1965" s="545"/>
      <c r="U1965" s="546"/>
      <c r="V1965" s="547"/>
      <c r="W1965" s="548"/>
      <c r="X1965" s="277"/>
      <c r="Y1965" s="277"/>
      <c r="Z1965" s="187"/>
      <c r="AA1965" s="6301"/>
      <c r="AB1965" s="139"/>
      <c r="AC1965" s="139"/>
      <c r="AD1965" s="139"/>
      <c r="AE1965" s="139"/>
      <c r="AF1965" s="139"/>
      <c r="AG1965" s="139"/>
      <c r="AH1965" s="139"/>
      <c r="AI1965" s="139"/>
      <c r="AJ1965" s="139"/>
      <c r="AK1965" s="139"/>
      <c r="AL1965" s="139"/>
      <c r="AM1965" s="139"/>
      <c r="AN1965" s="139"/>
      <c r="AO1965" s="139"/>
      <c r="AP1965" s="139"/>
      <c r="AQ1965" s="139"/>
      <c r="AR1965" s="139"/>
      <c r="AS1965" s="139"/>
      <c r="AT1965" s="139"/>
      <c r="AU1965" s="139"/>
      <c r="AV1965" s="139"/>
      <c r="AW1965" s="139"/>
      <c r="AX1965" s="139"/>
      <c r="AY1965" s="139"/>
      <c r="AZ1965" s="139"/>
      <c r="BA1965" s="139"/>
      <c r="BB1965" s="139"/>
      <c r="BC1965" s="139"/>
      <c r="BD1965" s="139"/>
      <c r="BE1965" s="139"/>
      <c r="BF1965" s="139"/>
      <c r="BG1965" s="139"/>
      <c r="BH1965" s="139"/>
    </row>
    <row r="1966" spans="2:60" s="11" customFormat="1" ht="20.100000000000001" customHeight="1">
      <c r="B1966" s="1353"/>
      <c r="C1966" s="9690" t="s">
        <v>1419</v>
      </c>
      <c r="D1966" s="9691"/>
      <c r="E1966" s="9691"/>
      <c r="F1966" s="9691"/>
      <c r="G1966" s="9691"/>
      <c r="H1966" s="9691" t="s">
        <v>1420</v>
      </c>
      <c r="I1966" s="9691"/>
      <c r="J1966" s="9691"/>
      <c r="K1966" s="9691" t="s">
        <v>168</v>
      </c>
      <c r="L1966" s="9691"/>
      <c r="M1966" s="9691"/>
      <c r="N1966" s="9691"/>
      <c r="O1966" s="9691"/>
      <c r="P1966" s="9691"/>
      <c r="Q1966" s="9692"/>
      <c r="R1966" s="2468"/>
      <c r="S1966" s="24"/>
      <c r="T1966" s="162" t="s">
        <v>189</v>
      </c>
      <c r="U1966" s="547"/>
      <c r="V1966" s="547"/>
      <c r="W1966" s="162"/>
      <c r="X1966" s="1243"/>
      <c r="Y1966" s="1243"/>
      <c r="Z1966" s="4532"/>
      <c r="AA1966" s="6301"/>
      <c r="AB1966" s="139"/>
      <c r="AC1966" s="139"/>
      <c r="AD1966" s="139"/>
      <c r="AE1966" s="139"/>
      <c r="AF1966" s="139"/>
      <c r="AG1966" s="139"/>
      <c r="AH1966" s="139"/>
      <c r="AI1966" s="139"/>
      <c r="AJ1966" s="139"/>
      <c r="AK1966" s="139"/>
      <c r="AL1966" s="139"/>
      <c r="AM1966" s="139"/>
      <c r="AN1966" s="139"/>
      <c r="AO1966" s="139"/>
      <c r="AP1966" s="139"/>
      <c r="AQ1966" s="139"/>
      <c r="AR1966" s="139"/>
      <c r="AS1966" s="139"/>
      <c r="AT1966" s="139"/>
      <c r="AU1966" s="139"/>
      <c r="AV1966" s="139"/>
      <c r="AW1966" s="139"/>
      <c r="AX1966" s="139"/>
      <c r="AY1966" s="139"/>
      <c r="AZ1966" s="139"/>
      <c r="BA1966" s="139"/>
      <c r="BB1966" s="139"/>
      <c r="BC1966" s="139"/>
      <c r="BD1966" s="139"/>
      <c r="BE1966" s="139"/>
      <c r="BF1966" s="139"/>
      <c r="BG1966" s="139"/>
      <c r="BH1966" s="139"/>
    </row>
    <row r="1967" spans="2:60" s="11" customFormat="1" ht="20.100000000000001" customHeight="1">
      <c r="B1967" s="1360"/>
      <c r="C1967" s="1374"/>
      <c r="D1967" s="9584" t="s">
        <v>1018</v>
      </c>
      <c r="E1967" s="9585"/>
      <c r="F1967" s="1007" t="s">
        <v>1018</v>
      </c>
      <c r="G1967" s="358"/>
      <c r="H1967" s="6262"/>
      <c r="I1967" s="5608" t="s">
        <v>1421</v>
      </c>
      <c r="J1967" s="6155"/>
      <c r="K1967" s="285" t="s">
        <v>1020</v>
      </c>
      <c r="L1967" s="5783">
        <f>IF(COUNTBLANK(L1968:L1973)&gt;0,"미취합법인有",SUM(L1968:L1973))</f>
        <v>890</v>
      </c>
      <c r="M1967" s="5784"/>
      <c r="N1967" s="5785">
        <f>IF(COUNTBLANK(N1968:N1973)&gt;0,"미취합법인有",SUM(N1968:N1973))</f>
        <v>598</v>
      </c>
      <c r="O1967" s="5663"/>
      <c r="P1967" s="5781">
        <f>IF(COUNTBLANK(P1968:P1973)&gt;0,"미취합법인有",SUM(P1968:P1973))</f>
        <v>917</v>
      </c>
      <c r="Q1967" s="785"/>
      <c r="R1967" s="498" t="s">
        <v>1422</v>
      </c>
      <c r="S1967" s="498" t="s">
        <v>1423</v>
      </c>
      <c r="T1967" s="162" t="s">
        <v>189</v>
      </c>
      <c r="U1967" s="547"/>
      <c r="V1967" s="1047" t="s">
        <v>1424</v>
      </c>
      <c r="W1967" s="162"/>
      <c r="X1967" s="277" t="s">
        <v>1425</v>
      </c>
      <c r="Y1967" s="265"/>
      <c r="Z1967" s="982"/>
      <c r="AA1967" s="6301"/>
      <c r="AB1967" s="139"/>
      <c r="AC1967" s="139"/>
      <c r="AD1967" s="139"/>
      <c r="AE1967" s="139"/>
      <c r="AF1967" s="139"/>
      <c r="AG1967" s="139"/>
      <c r="AH1967" s="139"/>
      <c r="AI1967" s="139"/>
      <c r="AJ1967" s="139"/>
      <c r="AK1967" s="139"/>
      <c r="AL1967" s="139"/>
      <c r="AM1967" s="139"/>
      <c r="AN1967" s="139"/>
      <c r="AO1967" s="139"/>
      <c r="AP1967" s="139"/>
      <c r="AQ1967" s="139"/>
      <c r="AR1967" s="139"/>
      <c r="AS1967" s="139"/>
      <c r="AT1967" s="139"/>
      <c r="AU1967" s="139"/>
      <c r="AV1967" s="139"/>
      <c r="AW1967" s="139"/>
      <c r="AX1967" s="139"/>
      <c r="AY1967" s="139"/>
      <c r="AZ1967" s="139"/>
      <c r="BA1967" s="139"/>
      <c r="BB1967" s="139"/>
      <c r="BC1967" s="139"/>
      <c r="BD1967" s="139"/>
      <c r="BE1967" s="139"/>
      <c r="BF1967" s="139"/>
      <c r="BG1967" s="139"/>
      <c r="BH1967" s="139"/>
    </row>
    <row r="1968" spans="2:60" s="11" customFormat="1" ht="20.100000000000001" customHeight="1">
      <c r="B1968" s="1360"/>
      <c r="C1968" s="614"/>
      <c r="D1968" s="9598" t="s">
        <v>134</v>
      </c>
      <c r="E1968" s="9600"/>
      <c r="F1968" s="1007" t="s">
        <v>1018</v>
      </c>
      <c r="G1968" s="666"/>
      <c r="H1968" s="6256"/>
      <c r="I1968" s="9579" t="s">
        <v>135</v>
      </c>
      <c r="J1968" s="9581"/>
      <c r="K1968" s="285" t="s">
        <v>1020</v>
      </c>
      <c r="L1968" s="5696">
        <v>890</v>
      </c>
      <c r="M1968" s="5697"/>
      <c r="N1968" s="5698">
        <v>598</v>
      </c>
      <c r="O1968" s="5699"/>
      <c r="P1968" s="5700">
        <v>917</v>
      </c>
      <c r="Q1968" s="5593"/>
      <c r="R1968" s="2483"/>
      <c r="S1968" s="544"/>
      <c r="T1968" s="545"/>
      <c r="U1968" s="546"/>
      <c r="V1968" s="547"/>
      <c r="W1968" s="548"/>
      <c r="X1968" s="277"/>
      <c r="Y1968" s="277"/>
      <c r="Z1968" s="187"/>
      <c r="AA1968" s="6301"/>
      <c r="AB1968" s="139"/>
      <c r="AC1968" s="139"/>
      <c r="AD1968" s="139"/>
      <c r="AE1968" s="139"/>
      <c r="AF1968" s="139"/>
      <c r="AG1968" s="139"/>
      <c r="AH1968" s="139"/>
      <c r="AI1968" s="139"/>
      <c r="AJ1968" s="139"/>
      <c r="AK1968" s="139"/>
      <c r="AL1968" s="139"/>
      <c r="AM1968" s="139"/>
      <c r="AN1968" s="139"/>
      <c r="AO1968" s="139"/>
      <c r="AP1968" s="139"/>
      <c r="AQ1968" s="139"/>
      <c r="AR1968" s="139"/>
      <c r="AS1968" s="139"/>
      <c r="AT1968" s="139"/>
      <c r="AU1968" s="139"/>
      <c r="AV1968" s="139"/>
      <c r="AW1968" s="139"/>
      <c r="AX1968" s="139"/>
      <c r="AY1968" s="139"/>
      <c r="AZ1968" s="139"/>
      <c r="BA1968" s="139"/>
      <c r="BB1968" s="139"/>
      <c r="BC1968" s="139"/>
      <c r="BD1968" s="139"/>
      <c r="BE1968" s="139"/>
      <c r="BF1968" s="139"/>
      <c r="BG1968" s="139"/>
      <c r="BH1968" s="139"/>
    </row>
    <row r="1969" spans="2:60" s="11" customFormat="1" ht="20.100000000000001" customHeight="1">
      <c r="B1969" s="1360"/>
      <c r="C1969" s="5598"/>
      <c r="D1969" s="9598" t="s">
        <v>137</v>
      </c>
      <c r="E1969" s="9600"/>
      <c r="F1969" s="1007" t="s">
        <v>1018</v>
      </c>
      <c r="G1969" s="666"/>
      <c r="H1969" s="6192"/>
      <c r="I1969" s="9579" t="s">
        <v>138</v>
      </c>
      <c r="J1969" s="9581"/>
      <c r="K1969" s="285" t="s">
        <v>1020</v>
      </c>
      <c r="L1969" s="5705">
        <v>0</v>
      </c>
      <c r="M1969" s="5706"/>
      <c r="N1969" s="5707">
        <v>0</v>
      </c>
      <c r="O1969" s="5708"/>
      <c r="P1969" s="5695">
        <v>0</v>
      </c>
      <c r="Q1969" s="5593"/>
      <c r="R1969" s="2483"/>
      <c r="S1969" s="544"/>
      <c r="T1969" s="545"/>
      <c r="U1969" s="546"/>
      <c r="V1969" s="547"/>
      <c r="W1969" s="548"/>
      <c r="X1969" s="277"/>
      <c r="Y1969" s="277"/>
      <c r="Z1969" s="187"/>
      <c r="AA1969" s="6301"/>
      <c r="AB1969" s="139"/>
      <c r="AC1969" s="139"/>
      <c r="AD1969" s="139"/>
      <c r="AE1969" s="139"/>
      <c r="AF1969" s="139"/>
      <c r="AG1969" s="139"/>
      <c r="AH1969" s="139"/>
      <c r="AI1969" s="139"/>
      <c r="AJ1969" s="139"/>
      <c r="AK1969" s="139"/>
      <c r="AL1969" s="139"/>
      <c r="AM1969" s="139"/>
      <c r="AN1969" s="139"/>
      <c r="AO1969" s="139"/>
      <c r="AP1969" s="139"/>
      <c r="AQ1969" s="139"/>
      <c r="AR1969" s="139"/>
      <c r="AS1969" s="139"/>
      <c r="AT1969" s="139"/>
      <c r="AU1969" s="139"/>
      <c r="AV1969" s="139"/>
      <c r="AW1969" s="139"/>
      <c r="AX1969" s="139"/>
      <c r="AY1969" s="139"/>
      <c r="AZ1969" s="139"/>
      <c r="BA1969" s="139"/>
      <c r="BB1969" s="139"/>
      <c r="BC1969" s="139"/>
      <c r="BD1969" s="139"/>
      <c r="BE1969" s="139"/>
      <c r="BF1969" s="139"/>
      <c r="BG1969" s="139"/>
      <c r="BH1969" s="139"/>
    </row>
    <row r="1970" spans="2:60" s="11" customFormat="1" ht="20.100000000000001" customHeight="1">
      <c r="B1970" s="1360"/>
      <c r="C1970" s="5598"/>
      <c r="D1970" s="9598" t="s">
        <v>140</v>
      </c>
      <c r="E1970" s="9600"/>
      <c r="F1970" s="1007" t="s">
        <v>1018</v>
      </c>
      <c r="G1970" s="666"/>
      <c r="H1970" s="6192"/>
      <c r="I1970" s="9582" t="s">
        <v>141</v>
      </c>
      <c r="J1970" s="9583"/>
      <c r="K1970" s="285" t="s">
        <v>1020</v>
      </c>
      <c r="L1970" s="5696">
        <v>0</v>
      </c>
      <c r="M1970" s="5697"/>
      <c r="N1970" s="5698">
        <v>0</v>
      </c>
      <c r="O1970" s="5699"/>
      <c r="P1970" s="5700">
        <v>0</v>
      </c>
      <c r="Q1970" s="5593"/>
      <c r="R1970" s="2483"/>
      <c r="S1970" s="544"/>
      <c r="T1970" s="545"/>
      <c r="U1970" s="546"/>
      <c r="V1970" s="547"/>
      <c r="W1970" s="548"/>
      <c r="X1970" s="277"/>
      <c r="Y1970" s="277"/>
      <c r="Z1970" s="187"/>
      <c r="AA1970" s="6301"/>
      <c r="AB1970" s="139"/>
      <c r="AC1970" s="139"/>
      <c r="AD1970" s="139"/>
      <c r="AE1970" s="139"/>
      <c r="AF1970" s="139"/>
      <c r="AG1970" s="139"/>
      <c r="AH1970" s="139"/>
      <c r="AI1970" s="139"/>
      <c r="AJ1970" s="139"/>
      <c r="AK1970" s="139"/>
      <c r="AL1970" s="139"/>
      <c r="AM1970" s="139"/>
      <c r="AN1970" s="139"/>
      <c r="AO1970" s="139"/>
      <c r="AP1970" s="139"/>
      <c r="AQ1970" s="139"/>
      <c r="AR1970" s="139"/>
      <c r="AS1970" s="139"/>
      <c r="AT1970" s="139"/>
      <c r="AU1970" s="139"/>
      <c r="AV1970" s="139"/>
      <c r="AW1970" s="139"/>
      <c r="AX1970" s="139"/>
      <c r="AY1970" s="139"/>
      <c r="AZ1970" s="139"/>
      <c r="BA1970" s="139"/>
      <c r="BB1970" s="139"/>
      <c r="BC1970" s="139"/>
      <c r="BD1970" s="139"/>
      <c r="BE1970" s="139"/>
      <c r="BF1970" s="139"/>
      <c r="BG1970" s="139"/>
      <c r="BH1970" s="139"/>
    </row>
    <row r="1971" spans="2:60" s="11" customFormat="1" ht="20.100000000000001" customHeight="1">
      <c r="B1971" s="1360"/>
      <c r="C1971" s="614"/>
      <c r="D1971" s="9598" t="s">
        <v>143</v>
      </c>
      <c r="E1971" s="9600"/>
      <c r="F1971" s="1007" t="s">
        <v>1018</v>
      </c>
      <c r="G1971" s="666"/>
      <c r="H1971" s="6256"/>
      <c r="I1971" s="9582" t="s">
        <v>144</v>
      </c>
      <c r="J1971" s="9583"/>
      <c r="K1971" s="285" t="s">
        <v>1020</v>
      </c>
      <c r="L1971" s="5696">
        <v>0</v>
      </c>
      <c r="M1971" s="5697"/>
      <c r="N1971" s="5698">
        <v>0</v>
      </c>
      <c r="O1971" s="5699"/>
      <c r="P1971" s="5700">
        <v>0</v>
      </c>
      <c r="Q1971" s="5593"/>
      <c r="R1971" s="2483"/>
      <c r="S1971" s="544"/>
      <c r="T1971" s="545"/>
      <c r="U1971" s="546"/>
      <c r="V1971" s="547"/>
      <c r="W1971" s="548"/>
      <c r="X1971" s="277"/>
      <c r="Y1971" s="277"/>
      <c r="Z1971" s="187"/>
      <c r="AA1971" s="6301"/>
      <c r="AB1971" s="139"/>
      <c r="AC1971" s="139"/>
      <c r="AD1971" s="139"/>
      <c r="AE1971" s="139"/>
      <c r="AF1971" s="139"/>
      <c r="AG1971" s="139"/>
      <c r="AH1971" s="139"/>
      <c r="AI1971" s="139"/>
      <c r="AJ1971" s="139"/>
      <c r="AK1971" s="139"/>
      <c r="AL1971" s="139"/>
      <c r="AM1971" s="139"/>
      <c r="AN1971" s="139"/>
      <c r="AO1971" s="139"/>
      <c r="AP1971" s="139"/>
      <c r="AQ1971" s="139"/>
      <c r="AR1971" s="139"/>
      <c r="AS1971" s="139"/>
      <c r="AT1971" s="139"/>
      <c r="AU1971" s="139"/>
      <c r="AV1971" s="139"/>
      <c r="AW1971" s="139"/>
      <c r="AX1971" s="139"/>
      <c r="AY1971" s="139"/>
      <c r="AZ1971" s="139"/>
      <c r="BA1971" s="139"/>
      <c r="BB1971" s="139"/>
      <c r="BC1971" s="139"/>
      <c r="BD1971" s="139"/>
      <c r="BE1971" s="139"/>
      <c r="BF1971" s="139"/>
      <c r="BG1971" s="139"/>
      <c r="BH1971" s="139"/>
    </row>
    <row r="1972" spans="2:60" s="11" customFormat="1" ht="20.100000000000001" customHeight="1">
      <c r="B1972" s="1360"/>
      <c r="C1972" s="5598"/>
      <c r="D1972" s="9598" t="s">
        <v>631</v>
      </c>
      <c r="E1972" s="9600"/>
      <c r="F1972" s="1007" t="s">
        <v>1018</v>
      </c>
      <c r="G1972" s="666"/>
      <c r="H1972" s="6192"/>
      <c r="I1972" s="9582" t="s">
        <v>147</v>
      </c>
      <c r="J1972" s="9583"/>
      <c r="K1972" s="285" t="s">
        <v>1020</v>
      </c>
      <c r="L1972" s="5696">
        <v>0</v>
      </c>
      <c r="M1972" s="5718" t="s">
        <v>1426</v>
      </c>
      <c r="N1972" s="5729">
        <v>0</v>
      </c>
      <c r="O1972" s="5716" t="s">
        <v>1426</v>
      </c>
      <c r="P1972" s="5855">
        <v>0</v>
      </c>
      <c r="Q1972" s="5593"/>
      <c r="R1972" s="2483"/>
      <c r="S1972" s="544"/>
      <c r="T1972" s="545"/>
      <c r="U1972" s="546"/>
      <c r="V1972" s="547"/>
      <c r="W1972" s="548"/>
      <c r="X1972" s="277"/>
      <c r="Y1972" s="277"/>
      <c r="Z1972" s="187"/>
      <c r="AA1972" s="6301"/>
      <c r="AB1972" s="139"/>
      <c r="AC1972" s="139"/>
      <c r="AD1972" s="139"/>
      <c r="AE1972" s="139"/>
      <c r="AF1972" s="139"/>
      <c r="AG1972" s="139"/>
      <c r="AH1972" s="139"/>
      <c r="AI1972" s="139"/>
      <c r="AJ1972" s="139"/>
      <c r="AK1972" s="139"/>
      <c r="AL1972" s="139"/>
      <c r="AM1972" s="139"/>
      <c r="AN1972" s="139"/>
      <c r="AO1972" s="139"/>
      <c r="AP1972" s="139"/>
      <c r="AQ1972" s="139"/>
      <c r="AR1972" s="139"/>
      <c r="AS1972" s="139"/>
      <c r="AT1972" s="139"/>
      <c r="AU1972" s="139"/>
      <c r="AV1972" s="139"/>
      <c r="AW1972" s="139"/>
      <c r="AX1972" s="139"/>
      <c r="AY1972" s="139"/>
      <c r="AZ1972" s="139"/>
      <c r="BA1972" s="139"/>
      <c r="BB1972" s="139"/>
      <c r="BC1972" s="139"/>
      <c r="BD1972" s="139"/>
      <c r="BE1972" s="139"/>
      <c r="BF1972" s="139"/>
      <c r="BG1972" s="139"/>
      <c r="BH1972" s="139"/>
    </row>
    <row r="1973" spans="2:60" s="11" customFormat="1" ht="20.100000000000001" customHeight="1">
      <c r="B1973" s="1360"/>
      <c r="C1973" s="5598"/>
      <c r="D1973" s="9598" t="s">
        <v>633</v>
      </c>
      <c r="E1973" s="9600"/>
      <c r="F1973" s="1007" t="s">
        <v>1018</v>
      </c>
      <c r="G1973" s="666"/>
      <c r="H1973" s="6192"/>
      <c r="I1973" s="9582" t="s">
        <v>150</v>
      </c>
      <c r="J1973" s="9583"/>
      <c r="K1973" s="285" t="s">
        <v>1020</v>
      </c>
      <c r="L1973" s="5956" t="s">
        <v>168</v>
      </c>
      <c r="M1973" s="5682" t="s">
        <v>641</v>
      </c>
      <c r="N1973" s="5601" t="s">
        <v>168</v>
      </c>
      <c r="O1973" s="5667" t="s">
        <v>641</v>
      </c>
      <c r="P1973" s="5667" t="s">
        <v>168</v>
      </c>
      <c r="Q1973" s="5593" t="s">
        <v>641</v>
      </c>
      <c r="R1973" s="2483"/>
      <c r="S1973" s="544"/>
      <c r="T1973" s="545"/>
      <c r="U1973" s="546"/>
      <c r="V1973" s="547"/>
      <c r="W1973" s="548"/>
      <c r="X1973" s="277"/>
      <c r="Y1973" s="277"/>
      <c r="Z1973" s="187"/>
      <c r="AA1973" s="6301"/>
      <c r="AB1973" s="139"/>
      <c r="AC1973" s="1377" t="s">
        <v>1427</v>
      </c>
      <c r="AD1973" s="139"/>
      <c r="AE1973" s="139"/>
      <c r="AF1973" s="139"/>
      <c r="AG1973" s="139"/>
      <c r="AH1973" s="139"/>
      <c r="AI1973" s="139"/>
      <c r="AJ1973" s="139"/>
      <c r="AK1973" s="139"/>
      <c r="AL1973" s="139"/>
      <c r="AM1973" s="139"/>
      <c r="AN1973" s="139"/>
      <c r="AO1973" s="139"/>
      <c r="AP1973" s="139"/>
      <c r="AQ1973" s="139"/>
      <c r="AR1973" s="139"/>
      <c r="AS1973" s="139"/>
      <c r="AT1973" s="139"/>
      <c r="AU1973" s="139"/>
      <c r="AV1973" s="139"/>
      <c r="AW1973" s="139"/>
      <c r="AX1973" s="139"/>
      <c r="AY1973" s="139"/>
      <c r="AZ1973" s="139"/>
      <c r="BA1973" s="139"/>
      <c r="BB1973" s="139"/>
      <c r="BC1973" s="139"/>
      <c r="BD1973" s="139"/>
      <c r="BE1973" s="139"/>
      <c r="BF1973" s="139"/>
      <c r="BG1973" s="139"/>
      <c r="BH1973" s="139"/>
    </row>
    <row r="1974" spans="2:60" s="11" customFormat="1" ht="20.100000000000001" customHeight="1">
      <c r="B1974" s="1360"/>
      <c r="C1974" s="871"/>
      <c r="D1974" s="9584" t="s">
        <v>1428</v>
      </c>
      <c r="E1974" s="9585"/>
      <c r="F1974" s="1007" t="s">
        <v>742</v>
      </c>
      <c r="G1974" s="358"/>
      <c r="H1974" s="6263"/>
      <c r="I1974" s="9584" t="s">
        <v>1429</v>
      </c>
      <c r="J1974" s="9585"/>
      <c r="K1974" s="285" t="s">
        <v>734</v>
      </c>
      <c r="L1974" s="5783">
        <f>IF(COUNTBLANK(L1975:L1980)&gt;0,"미취합법인有",SUM(L1975:L1980))</f>
        <v>196</v>
      </c>
      <c r="M1974" s="5784"/>
      <c r="N1974" s="5785">
        <f>IF(COUNTBLANK(N1975:N1980)&gt;0,"미취합법인有",SUM(N1975:N1980))</f>
        <v>154</v>
      </c>
      <c r="O1974" s="5945"/>
      <c r="P1974" s="5781">
        <f>IF(COUNTBLANK(P1975:P1980)&gt;0,"미취합법인有",SUM(P1975:P1980))</f>
        <v>175</v>
      </c>
      <c r="Q1974" s="785"/>
      <c r="R1974" s="498" t="s">
        <v>1430</v>
      </c>
      <c r="S1974" s="498" t="s">
        <v>1429</v>
      </c>
      <c r="T1974" s="162" t="s">
        <v>189</v>
      </c>
      <c r="U1974" s="547"/>
      <c r="V1974" s="1047" t="s">
        <v>1424</v>
      </c>
      <c r="W1974" s="162"/>
      <c r="X1974" s="981" t="s">
        <v>1431</v>
      </c>
      <c r="Y1974" s="427"/>
      <c r="Z1974" s="974"/>
      <c r="AA1974" s="6301"/>
      <c r="AB1974" s="139"/>
      <c r="AC1974" s="139"/>
      <c r="AD1974" s="139"/>
      <c r="AE1974" s="139"/>
      <c r="AF1974" s="139"/>
      <c r="AG1974" s="139"/>
      <c r="AH1974" s="139"/>
      <c r="AI1974" s="139"/>
      <c r="AJ1974" s="139"/>
      <c r="AK1974" s="139"/>
      <c r="AL1974" s="139"/>
      <c r="AM1974" s="139"/>
      <c r="AN1974" s="139"/>
      <c r="AO1974" s="139"/>
      <c r="AP1974" s="139"/>
      <c r="AQ1974" s="139"/>
      <c r="AR1974" s="139"/>
      <c r="AS1974" s="139"/>
      <c r="AT1974" s="139"/>
      <c r="AU1974" s="139"/>
      <c r="AV1974" s="139"/>
      <c r="AW1974" s="139"/>
      <c r="AX1974" s="139"/>
      <c r="AY1974" s="139"/>
      <c r="AZ1974" s="139"/>
      <c r="BA1974" s="139"/>
      <c r="BB1974" s="139"/>
      <c r="BC1974" s="139"/>
      <c r="BD1974" s="139"/>
      <c r="BE1974" s="139"/>
      <c r="BF1974" s="139"/>
      <c r="BG1974" s="139"/>
      <c r="BH1974" s="139"/>
    </row>
    <row r="1975" spans="2:60" s="11" customFormat="1" ht="20.100000000000001" customHeight="1">
      <c r="B1975" s="1360"/>
      <c r="C1975" s="614"/>
      <c r="D1975" s="9598" t="s">
        <v>134</v>
      </c>
      <c r="E1975" s="9600"/>
      <c r="F1975" s="1007" t="s">
        <v>742</v>
      </c>
      <c r="G1975" s="666"/>
      <c r="H1975" s="6256"/>
      <c r="I1975" s="9579" t="s">
        <v>135</v>
      </c>
      <c r="J1975" s="9581"/>
      <c r="K1975" s="285" t="s">
        <v>734</v>
      </c>
      <c r="L1975" s="5696">
        <v>196</v>
      </c>
      <c r="M1975" s="5697"/>
      <c r="N1975" s="5698">
        <v>154</v>
      </c>
      <c r="O1975" s="5699"/>
      <c r="P1975" s="5700">
        <v>175</v>
      </c>
      <c r="Q1975" s="5593"/>
      <c r="R1975" s="2483"/>
      <c r="S1975" s="544"/>
      <c r="T1975" s="545"/>
      <c r="U1975" s="546"/>
      <c r="V1975" s="547"/>
      <c r="W1975" s="548"/>
      <c r="X1975" s="277"/>
      <c r="Y1975" s="277"/>
      <c r="Z1975" s="187"/>
      <c r="AA1975" s="6301"/>
      <c r="AB1975" s="139"/>
      <c r="AC1975" s="139"/>
      <c r="AD1975" s="139"/>
      <c r="AE1975" s="139"/>
      <c r="AF1975" s="139"/>
      <c r="AG1975" s="139"/>
      <c r="AH1975" s="139"/>
      <c r="AI1975" s="139"/>
      <c r="AJ1975" s="139"/>
      <c r="AK1975" s="139"/>
      <c r="AL1975" s="139"/>
      <c r="AM1975" s="139"/>
      <c r="AN1975" s="139"/>
      <c r="AO1975" s="139"/>
      <c r="AP1975" s="139"/>
      <c r="AQ1975" s="139"/>
      <c r="AR1975" s="139"/>
      <c r="AS1975" s="139"/>
      <c r="AT1975" s="139"/>
      <c r="AU1975" s="139"/>
      <c r="AV1975" s="139"/>
      <c r="AW1975" s="139"/>
      <c r="AX1975" s="139"/>
      <c r="AY1975" s="139"/>
      <c r="AZ1975" s="139"/>
      <c r="BA1975" s="139"/>
      <c r="BB1975" s="139"/>
      <c r="BC1975" s="139"/>
      <c r="BD1975" s="139"/>
      <c r="BE1975" s="139"/>
      <c r="BF1975" s="139"/>
      <c r="BG1975" s="139"/>
      <c r="BH1975" s="139"/>
    </row>
    <row r="1976" spans="2:60" s="11" customFormat="1" ht="20.100000000000001" customHeight="1">
      <c r="B1976" s="1360"/>
      <c r="C1976" s="5598"/>
      <c r="D1976" s="9598" t="s">
        <v>137</v>
      </c>
      <c r="E1976" s="9600"/>
      <c r="F1976" s="1007" t="s">
        <v>742</v>
      </c>
      <c r="G1976" s="666"/>
      <c r="H1976" s="6192"/>
      <c r="I1976" s="9579" t="s">
        <v>138</v>
      </c>
      <c r="J1976" s="9581"/>
      <c r="K1976" s="285" t="s">
        <v>734</v>
      </c>
      <c r="L1976" s="5705">
        <v>0</v>
      </c>
      <c r="M1976" s="5706"/>
      <c r="N1976" s="5707">
        <v>0</v>
      </c>
      <c r="O1976" s="5708"/>
      <c r="P1976" s="5695">
        <v>0</v>
      </c>
      <c r="Q1976" s="5593"/>
      <c r="R1976" s="2483"/>
      <c r="S1976" s="544"/>
      <c r="T1976" s="545"/>
      <c r="U1976" s="546"/>
      <c r="V1976" s="547"/>
      <c r="W1976" s="548"/>
      <c r="X1976" s="277"/>
      <c r="Y1976" s="277"/>
      <c r="Z1976" s="187"/>
      <c r="AA1976" s="6301"/>
      <c r="AB1976" s="139"/>
      <c r="AC1976" s="139"/>
      <c r="AD1976" s="139"/>
      <c r="AE1976" s="139"/>
      <c r="AF1976" s="139"/>
      <c r="AG1976" s="139"/>
      <c r="AH1976" s="139"/>
      <c r="AI1976" s="139"/>
      <c r="AJ1976" s="139"/>
      <c r="AK1976" s="139"/>
      <c r="AL1976" s="139"/>
      <c r="AM1976" s="139"/>
      <c r="AN1976" s="139"/>
      <c r="AO1976" s="139"/>
      <c r="AP1976" s="139"/>
      <c r="AQ1976" s="139"/>
      <c r="AR1976" s="139"/>
      <c r="AS1976" s="139"/>
      <c r="AT1976" s="139"/>
      <c r="AU1976" s="139"/>
      <c r="AV1976" s="139"/>
      <c r="AW1976" s="139"/>
      <c r="AX1976" s="139"/>
      <c r="AY1976" s="139"/>
      <c r="AZ1976" s="139"/>
      <c r="BA1976" s="139"/>
      <c r="BB1976" s="139"/>
      <c r="BC1976" s="139"/>
      <c r="BD1976" s="139"/>
      <c r="BE1976" s="139"/>
      <c r="BF1976" s="139"/>
      <c r="BG1976" s="139"/>
      <c r="BH1976" s="139"/>
    </row>
    <row r="1977" spans="2:60" s="11" customFormat="1" ht="20.100000000000001" customHeight="1">
      <c r="B1977" s="1360"/>
      <c r="C1977" s="5598"/>
      <c r="D1977" s="9598" t="s">
        <v>140</v>
      </c>
      <c r="E1977" s="9600"/>
      <c r="F1977" s="1007" t="s">
        <v>742</v>
      </c>
      <c r="G1977" s="666"/>
      <c r="H1977" s="6192"/>
      <c r="I1977" s="9582" t="s">
        <v>141</v>
      </c>
      <c r="J1977" s="9583"/>
      <c r="K1977" s="285" t="s">
        <v>734</v>
      </c>
      <c r="L1977" s="5696">
        <v>0</v>
      </c>
      <c r="M1977" s="5697"/>
      <c r="N1977" s="5698">
        <v>0</v>
      </c>
      <c r="O1977" s="5699"/>
      <c r="P1977" s="5700">
        <v>0</v>
      </c>
      <c r="Q1977" s="5593"/>
      <c r="R1977" s="2483"/>
      <c r="S1977" s="544"/>
      <c r="T1977" s="545"/>
      <c r="U1977" s="546"/>
      <c r="V1977" s="547"/>
      <c r="W1977" s="548"/>
      <c r="X1977" s="277"/>
      <c r="Y1977" s="277"/>
      <c r="Z1977" s="187"/>
      <c r="AA1977" s="6301"/>
      <c r="AB1977" s="139"/>
      <c r="AC1977" s="139"/>
      <c r="AD1977" s="139"/>
      <c r="AE1977" s="139"/>
      <c r="AF1977" s="139"/>
      <c r="AG1977" s="139"/>
      <c r="AH1977" s="139"/>
      <c r="AI1977" s="139"/>
      <c r="AJ1977" s="139"/>
      <c r="AK1977" s="139"/>
      <c r="AL1977" s="139"/>
      <c r="AM1977" s="139"/>
      <c r="AN1977" s="139"/>
      <c r="AO1977" s="139"/>
      <c r="AP1977" s="139"/>
      <c r="AQ1977" s="139"/>
      <c r="AR1977" s="139"/>
      <c r="AS1977" s="139"/>
      <c r="AT1977" s="139"/>
      <c r="AU1977" s="139"/>
      <c r="AV1977" s="139"/>
      <c r="AW1977" s="139"/>
      <c r="AX1977" s="139"/>
      <c r="AY1977" s="139"/>
      <c r="AZ1977" s="139"/>
      <c r="BA1977" s="139"/>
      <c r="BB1977" s="139"/>
      <c r="BC1977" s="139"/>
      <c r="BD1977" s="139"/>
      <c r="BE1977" s="139"/>
      <c r="BF1977" s="139"/>
      <c r="BG1977" s="139"/>
      <c r="BH1977" s="139"/>
    </row>
    <row r="1978" spans="2:60" s="11" customFormat="1" ht="20.100000000000001" customHeight="1">
      <c r="B1978" s="1360"/>
      <c r="C1978" s="614"/>
      <c r="D1978" s="9598" t="s">
        <v>143</v>
      </c>
      <c r="E1978" s="9600"/>
      <c r="F1978" s="1007" t="s">
        <v>742</v>
      </c>
      <c r="G1978" s="666"/>
      <c r="H1978" s="6256"/>
      <c r="I1978" s="9582" t="s">
        <v>144</v>
      </c>
      <c r="J1978" s="9583"/>
      <c r="K1978" s="285" t="s">
        <v>734</v>
      </c>
      <c r="L1978" s="5696">
        <v>0</v>
      </c>
      <c r="M1978" s="5697"/>
      <c r="N1978" s="5698">
        <v>0</v>
      </c>
      <c r="O1978" s="5699"/>
      <c r="P1978" s="5700">
        <v>0</v>
      </c>
      <c r="Q1978" s="5593"/>
      <c r="R1978" s="2483"/>
      <c r="S1978" s="544"/>
      <c r="T1978" s="545"/>
      <c r="U1978" s="546"/>
      <c r="V1978" s="547"/>
      <c r="W1978" s="548"/>
      <c r="X1978" s="277"/>
      <c r="Y1978" s="277"/>
      <c r="Z1978" s="187"/>
      <c r="AA1978" s="6301"/>
      <c r="AB1978" s="139"/>
      <c r="AC1978" s="139"/>
      <c r="AD1978" s="139"/>
      <c r="AE1978" s="139"/>
      <c r="AF1978" s="139"/>
      <c r="AG1978" s="139"/>
      <c r="AH1978" s="139"/>
      <c r="AI1978" s="139"/>
      <c r="AJ1978" s="139"/>
      <c r="AK1978" s="139"/>
      <c r="AL1978" s="139"/>
      <c r="AM1978" s="139"/>
      <c r="AN1978" s="139"/>
      <c r="AO1978" s="139"/>
      <c r="AP1978" s="139"/>
      <c r="AQ1978" s="139"/>
      <c r="AR1978" s="139"/>
      <c r="AS1978" s="139"/>
      <c r="AT1978" s="139"/>
      <c r="AU1978" s="139"/>
      <c r="AV1978" s="139"/>
      <c r="AW1978" s="139"/>
      <c r="AX1978" s="139"/>
      <c r="AY1978" s="139"/>
      <c r="AZ1978" s="139"/>
      <c r="BA1978" s="139"/>
      <c r="BB1978" s="139"/>
      <c r="BC1978" s="139"/>
      <c r="BD1978" s="139"/>
      <c r="BE1978" s="139"/>
      <c r="BF1978" s="139"/>
      <c r="BG1978" s="139"/>
      <c r="BH1978" s="139"/>
    </row>
    <row r="1979" spans="2:60" s="11" customFormat="1" ht="20.100000000000001" customHeight="1">
      <c r="B1979" s="1360"/>
      <c r="C1979" s="5598"/>
      <c r="D1979" s="9598" t="s">
        <v>631</v>
      </c>
      <c r="E1979" s="9600"/>
      <c r="F1979" s="1007" t="s">
        <v>742</v>
      </c>
      <c r="G1979" s="666"/>
      <c r="H1979" s="6192"/>
      <c r="I1979" s="9582" t="s">
        <v>147</v>
      </c>
      <c r="J1979" s="9583"/>
      <c r="K1979" s="285" t="s">
        <v>734</v>
      </c>
      <c r="L1979" s="5696">
        <v>0</v>
      </c>
      <c r="M1979" s="5697"/>
      <c r="N1979" s="5698">
        <v>0</v>
      </c>
      <c r="O1979" s="5699"/>
      <c r="P1979" s="5700">
        <v>0</v>
      </c>
      <c r="Q1979" s="5593"/>
      <c r="R1979" s="2483"/>
      <c r="S1979" s="544"/>
      <c r="T1979" s="545"/>
      <c r="U1979" s="546"/>
      <c r="V1979" s="547"/>
      <c r="W1979" s="548"/>
      <c r="X1979" s="277"/>
      <c r="Y1979" s="277"/>
      <c r="Z1979" s="187"/>
      <c r="AA1979" s="6301"/>
      <c r="AB1979" s="139"/>
      <c r="AC1979" s="139"/>
      <c r="AD1979" s="139"/>
      <c r="AE1979" s="139"/>
      <c r="AF1979" s="139"/>
      <c r="AG1979" s="139"/>
      <c r="AH1979" s="139"/>
      <c r="AI1979" s="139"/>
      <c r="AJ1979" s="139"/>
      <c r="AK1979" s="139"/>
      <c r="AL1979" s="139"/>
      <c r="AM1979" s="139"/>
      <c r="AN1979" s="139"/>
      <c r="AO1979" s="139"/>
      <c r="AP1979" s="139"/>
      <c r="AQ1979" s="139"/>
      <c r="AR1979" s="139"/>
      <c r="AS1979" s="139"/>
      <c r="AT1979" s="139"/>
      <c r="AU1979" s="139"/>
      <c r="AV1979" s="139"/>
      <c r="AW1979" s="139"/>
      <c r="AX1979" s="139"/>
      <c r="AY1979" s="139"/>
      <c r="AZ1979" s="139"/>
      <c r="BA1979" s="139"/>
      <c r="BB1979" s="139"/>
      <c r="BC1979" s="139"/>
      <c r="BD1979" s="139"/>
      <c r="BE1979" s="139"/>
      <c r="BF1979" s="139"/>
      <c r="BG1979" s="139"/>
      <c r="BH1979" s="139"/>
    </row>
    <row r="1980" spans="2:60" s="11" customFormat="1" ht="20.100000000000001" customHeight="1">
      <c r="B1980" s="1360"/>
      <c r="C1980" s="5598"/>
      <c r="D1980" s="9598" t="s">
        <v>633</v>
      </c>
      <c r="E1980" s="9600"/>
      <c r="F1980" s="1007" t="s">
        <v>742</v>
      </c>
      <c r="G1980" s="746"/>
      <c r="H1980" s="6192"/>
      <c r="I1980" s="9582" t="s">
        <v>150</v>
      </c>
      <c r="J1980" s="9583"/>
      <c r="K1980" s="285" t="s">
        <v>734</v>
      </c>
      <c r="L1980" s="5956" t="s">
        <v>168</v>
      </c>
      <c r="M1980" s="5682" t="s">
        <v>641</v>
      </c>
      <c r="N1980" s="5601" t="s">
        <v>168</v>
      </c>
      <c r="O1980" s="5667" t="s">
        <v>641</v>
      </c>
      <c r="P1980" s="5667" t="s">
        <v>168</v>
      </c>
      <c r="Q1980" s="5593" t="s">
        <v>641</v>
      </c>
      <c r="R1980" s="2483"/>
      <c r="S1980" s="544"/>
      <c r="T1980" s="545"/>
      <c r="U1980" s="546"/>
      <c r="V1980" s="547"/>
      <c r="W1980" s="548"/>
      <c r="X1980" s="277"/>
      <c r="Y1980" s="277"/>
      <c r="Z1980" s="187"/>
      <c r="AA1980" s="6301"/>
      <c r="AB1980" s="139"/>
      <c r="AC1980" s="1377" t="s">
        <v>1432</v>
      </c>
      <c r="AD1980" s="139"/>
      <c r="AE1980" s="139"/>
      <c r="AF1980" s="139"/>
      <c r="AG1980" s="139"/>
      <c r="AH1980" s="139"/>
      <c r="AI1980" s="139"/>
      <c r="AJ1980" s="139"/>
      <c r="AK1980" s="139"/>
      <c r="AL1980" s="139"/>
      <c r="AM1980" s="139"/>
      <c r="AN1980" s="139"/>
      <c r="AO1980" s="139"/>
      <c r="AP1980" s="139"/>
      <c r="AQ1980" s="139"/>
      <c r="AR1980" s="139"/>
      <c r="AS1980" s="139"/>
      <c r="AT1980" s="139"/>
      <c r="AU1980" s="139"/>
      <c r="AV1980" s="139"/>
      <c r="AW1980" s="139"/>
      <c r="AX1980" s="139"/>
      <c r="AY1980" s="139"/>
      <c r="AZ1980" s="139"/>
      <c r="BA1980" s="139"/>
      <c r="BB1980" s="139"/>
      <c r="BC1980" s="139"/>
      <c r="BD1980" s="139"/>
      <c r="BE1980" s="139"/>
      <c r="BF1980" s="139"/>
      <c r="BG1980" s="139"/>
      <c r="BH1980" s="139"/>
    </row>
    <row r="1981" spans="2:60" s="11" customFormat="1" ht="20.100000000000001" customHeight="1">
      <c r="B1981" s="1360"/>
      <c r="C1981" s="9656" t="s">
        <v>1433</v>
      </c>
      <c r="D1981" s="9587"/>
      <c r="E1981" s="9588"/>
      <c r="F1981" s="1007" t="s">
        <v>156</v>
      </c>
      <c r="G1981" s="495"/>
      <c r="H1981" s="9586" t="s">
        <v>1434</v>
      </c>
      <c r="I1981" s="9587"/>
      <c r="J1981" s="9588"/>
      <c r="K1981" s="105" t="s">
        <v>156</v>
      </c>
      <c r="L1981" s="5968" t="str">
        <f>IF(COUNTBLANK(L1982:L1987)&gt;0,"미취합법인有",AVERAGE(L1982:L1987))</f>
        <v>미취합법인有</v>
      </c>
      <c r="M1981" s="5657"/>
      <c r="N1981" s="5654" t="str">
        <f>IF(COUNTBLANK(N1982:N1987)&gt;0,"미취합법인有",AVERAGE(N1982:N1987))</f>
        <v>미취합법인有</v>
      </c>
      <c r="O1981" s="5945"/>
      <c r="P1981" s="5781" t="str">
        <f>IF(COUNTBLANK(P1982:P1987)&gt;0,"미취합법인有",AVERAGE(P1982:P1987))</f>
        <v>미취합법인有</v>
      </c>
      <c r="Q1981" s="785"/>
      <c r="R1981" s="2468"/>
      <c r="S1981" s="276"/>
      <c r="T1981" s="162" t="s">
        <v>189</v>
      </c>
      <c r="U1981" s="547"/>
      <c r="V1981" s="547"/>
      <c r="W1981" s="299" t="s">
        <v>1435</v>
      </c>
      <c r="X1981" s="277"/>
      <c r="Y1981" s="277" t="s">
        <v>1436</v>
      </c>
      <c r="Z1981" s="982"/>
      <c r="AA1981" s="6301"/>
      <c r="AB1981" s="139"/>
      <c r="AC1981" s="139"/>
      <c r="AD1981" s="139"/>
      <c r="AE1981" s="139"/>
      <c r="AF1981" s="139"/>
      <c r="AG1981" s="139"/>
      <c r="AH1981" s="139"/>
      <c r="AI1981" s="139"/>
      <c r="AJ1981" s="139"/>
      <c r="AK1981" s="139"/>
      <c r="AL1981" s="139"/>
      <c r="AM1981" s="139"/>
      <c r="AN1981" s="139"/>
      <c r="AO1981" s="139"/>
      <c r="AP1981" s="139"/>
      <c r="AQ1981" s="139"/>
      <c r="AR1981" s="139"/>
      <c r="AS1981" s="139"/>
      <c r="AT1981" s="139"/>
      <c r="AU1981" s="139"/>
      <c r="AV1981" s="139"/>
      <c r="AW1981" s="139"/>
      <c r="AX1981" s="139"/>
      <c r="AY1981" s="139"/>
      <c r="AZ1981" s="139"/>
      <c r="BA1981" s="139"/>
      <c r="BB1981" s="139"/>
      <c r="BC1981" s="139"/>
      <c r="BD1981" s="139"/>
      <c r="BE1981" s="139"/>
      <c r="BF1981" s="139"/>
      <c r="BG1981" s="139"/>
      <c r="BH1981" s="139"/>
    </row>
    <row r="1982" spans="2:60" s="11" customFormat="1" ht="20.100000000000001" customHeight="1">
      <c r="B1982" s="1360"/>
      <c r="C1982" s="9647" t="s">
        <v>134</v>
      </c>
      <c r="D1982" s="9648"/>
      <c r="E1982" s="9649"/>
      <c r="F1982" s="1007" t="s">
        <v>156</v>
      </c>
      <c r="G1982" s="666"/>
      <c r="H1982" s="9579" t="s">
        <v>135</v>
      </c>
      <c r="I1982" s="9580"/>
      <c r="J1982" s="9581"/>
      <c r="K1982" s="105" t="s">
        <v>156</v>
      </c>
      <c r="L1982" s="5705"/>
      <c r="M1982" s="5706"/>
      <c r="N1982" s="5707"/>
      <c r="O1982" s="5708"/>
      <c r="P1982" s="5704"/>
      <c r="Q1982" s="5593"/>
      <c r="R1982" s="2468"/>
      <c r="S1982" s="544"/>
      <c r="T1982" s="545"/>
      <c r="U1982" s="546"/>
      <c r="V1982" s="547"/>
      <c r="W1982" s="299" t="s">
        <v>1435</v>
      </c>
      <c r="X1982" s="277"/>
      <c r="Y1982" s="277"/>
      <c r="Z1982" s="187"/>
      <c r="AA1982" s="6301"/>
      <c r="AB1982" s="139"/>
      <c r="AC1982" s="139"/>
      <c r="AD1982" s="139"/>
      <c r="AE1982" s="139"/>
      <c r="AF1982" s="139"/>
      <c r="AG1982" s="139"/>
      <c r="AH1982" s="139"/>
      <c r="AI1982" s="139"/>
      <c r="AJ1982" s="139"/>
      <c r="AK1982" s="139"/>
      <c r="AL1982" s="139"/>
      <c r="AM1982" s="139"/>
      <c r="AN1982" s="139"/>
      <c r="AO1982" s="139"/>
      <c r="AP1982" s="139"/>
      <c r="AQ1982" s="139"/>
      <c r="AR1982" s="139"/>
      <c r="AS1982" s="139"/>
      <c r="AT1982" s="139"/>
      <c r="AU1982" s="139"/>
      <c r="AV1982" s="139"/>
      <c r="AW1982" s="139"/>
      <c r="AX1982" s="139"/>
      <c r="AY1982" s="139"/>
      <c r="AZ1982" s="139"/>
      <c r="BA1982" s="139"/>
      <c r="BB1982" s="139"/>
      <c r="BC1982" s="139"/>
      <c r="BD1982" s="139"/>
      <c r="BE1982" s="139"/>
      <c r="BF1982" s="139"/>
      <c r="BG1982" s="139"/>
      <c r="BH1982" s="139"/>
    </row>
    <row r="1983" spans="2:60" s="11" customFormat="1" ht="20.100000000000001" customHeight="1">
      <c r="B1983" s="1360"/>
      <c r="C1983" s="9647" t="s">
        <v>137</v>
      </c>
      <c r="D1983" s="9648"/>
      <c r="E1983" s="9649"/>
      <c r="F1983" s="1007" t="s">
        <v>156</v>
      </c>
      <c r="G1983" s="666"/>
      <c r="H1983" s="9579" t="s">
        <v>138</v>
      </c>
      <c r="I1983" s="9580"/>
      <c r="J1983" s="9581"/>
      <c r="K1983" s="105" t="s">
        <v>156</v>
      </c>
      <c r="L1983" s="5705"/>
      <c r="M1983" s="5706"/>
      <c r="N1983" s="5707"/>
      <c r="O1983" s="5708"/>
      <c r="P1983" s="5695"/>
      <c r="Q1983" s="5593"/>
      <c r="R1983" s="2468"/>
      <c r="S1983" s="544"/>
      <c r="T1983" s="545"/>
      <c r="U1983" s="546"/>
      <c r="V1983" s="547"/>
      <c r="W1983" s="299" t="s">
        <v>1435</v>
      </c>
      <c r="X1983" s="277"/>
      <c r="Y1983" s="277"/>
      <c r="Z1983" s="187"/>
      <c r="AA1983" s="6301"/>
      <c r="AB1983" s="139"/>
      <c r="AC1983" s="139"/>
      <c r="AD1983" s="139"/>
      <c r="AE1983" s="139"/>
      <c r="AF1983" s="139"/>
      <c r="AG1983" s="139"/>
      <c r="AH1983" s="139"/>
      <c r="AI1983" s="139"/>
      <c r="AJ1983" s="139"/>
      <c r="AK1983" s="139"/>
      <c r="AL1983" s="139"/>
      <c r="AM1983" s="139"/>
      <c r="AN1983" s="139"/>
      <c r="AO1983" s="139"/>
      <c r="AP1983" s="139"/>
      <c r="AQ1983" s="139"/>
      <c r="AR1983" s="139"/>
      <c r="AS1983" s="139"/>
      <c r="AT1983" s="139"/>
      <c r="AU1983" s="139"/>
      <c r="AV1983" s="139"/>
      <c r="AW1983" s="139"/>
      <c r="AX1983" s="139"/>
      <c r="AY1983" s="139"/>
      <c r="AZ1983" s="139"/>
      <c r="BA1983" s="139"/>
      <c r="BB1983" s="139"/>
      <c r="BC1983" s="139"/>
      <c r="BD1983" s="139"/>
      <c r="BE1983" s="139"/>
      <c r="BF1983" s="139"/>
      <c r="BG1983" s="139"/>
      <c r="BH1983" s="139"/>
    </row>
    <row r="1984" spans="2:60" s="11" customFormat="1" ht="20.100000000000001" customHeight="1">
      <c r="B1984" s="1360"/>
      <c r="C1984" s="9647" t="s">
        <v>140</v>
      </c>
      <c r="D1984" s="9648"/>
      <c r="E1984" s="9649"/>
      <c r="F1984" s="1007" t="s">
        <v>156</v>
      </c>
      <c r="G1984" s="666"/>
      <c r="H1984" s="9579" t="s">
        <v>141</v>
      </c>
      <c r="I1984" s="9580"/>
      <c r="J1984" s="9581"/>
      <c r="K1984" s="105" t="s">
        <v>156</v>
      </c>
      <c r="L1984" s="5705"/>
      <c r="M1984" s="5706"/>
      <c r="N1984" s="5707"/>
      <c r="O1984" s="5708"/>
      <c r="P1984" s="5695"/>
      <c r="Q1984" s="5593"/>
      <c r="R1984" s="2468"/>
      <c r="S1984" s="544"/>
      <c r="T1984" s="545"/>
      <c r="U1984" s="546"/>
      <c r="V1984" s="547"/>
      <c r="W1984" s="299" t="s">
        <v>1435</v>
      </c>
      <c r="X1984" s="277"/>
      <c r="Y1984" s="277"/>
      <c r="Z1984" s="187"/>
      <c r="AA1984" s="6301"/>
      <c r="AB1984" s="139"/>
      <c r="AC1984" s="139"/>
      <c r="AD1984" s="139"/>
      <c r="AE1984" s="139"/>
      <c r="AF1984" s="139"/>
      <c r="AG1984" s="139"/>
      <c r="AH1984" s="139"/>
      <c r="AI1984" s="139"/>
      <c r="AJ1984" s="139"/>
      <c r="AK1984" s="139"/>
      <c r="AL1984" s="139"/>
      <c r="AM1984" s="139"/>
      <c r="AN1984" s="139"/>
      <c r="AO1984" s="139"/>
      <c r="AP1984" s="139"/>
      <c r="AQ1984" s="139"/>
      <c r="AR1984" s="139"/>
      <c r="AS1984" s="139"/>
      <c r="AT1984" s="139"/>
      <c r="AU1984" s="139"/>
      <c r="AV1984" s="139"/>
      <c r="AW1984" s="139"/>
      <c r="AX1984" s="139"/>
      <c r="AY1984" s="139"/>
      <c r="AZ1984" s="139"/>
      <c r="BA1984" s="139"/>
      <c r="BB1984" s="139"/>
      <c r="BC1984" s="139"/>
      <c r="BD1984" s="139"/>
      <c r="BE1984" s="139"/>
      <c r="BF1984" s="139"/>
      <c r="BG1984" s="139"/>
      <c r="BH1984" s="139"/>
    </row>
    <row r="1985" spans="1:28" ht="20.100000000000001" customHeight="1">
      <c r="A1985" s="11"/>
      <c r="B1985" s="1360"/>
      <c r="C1985" s="9647" t="s">
        <v>143</v>
      </c>
      <c r="D1985" s="9648"/>
      <c r="E1985" s="9649"/>
      <c r="F1985" s="1007" t="s">
        <v>156</v>
      </c>
      <c r="G1985" s="666"/>
      <c r="H1985" s="9579" t="s">
        <v>144</v>
      </c>
      <c r="I1985" s="9580"/>
      <c r="J1985" s="9581"/>
      <c r="K1985" s="105" t="s">
        <v>156</v>
      </c>
      <c r="L1985" s="5696"/>
      <c r="M1985" s="5697"/>
      <c r="N1985" s="5698"/>
      <c r="O1985" s="5699"/>
      <c r="P1985" s="1486"/>
      <c r="Q1985" s="5593"/>
      <c r="R1985" s="2468"/>
      <c r="S1985" s="544"/>
      <c r="T1985" s="545"/>
      <c r="U1985" s="546"/>
      <c r="V1985" s="547"/>
      <c r="W1985" s="299" t="s">
        <v>1435</v>
      </c>
      <c r="X1985" s="277"/>
      <c r="Y1985" s="277"/>
      <c r="Z1985" s="187"/>
    </row>
    <row r="1986" spans="1:28" ht="20.100000000000001" customHeight="1">
      <c r="A1986" s="11"/>
      <c r="B1986" s="1360"/>
      <c r="C1986" s="9647" t="s">
        <v>631</v>
      </c>
      <c r="D1986" s="9648"/>
      <c r="E1986" s="9649"/>
      <c r="F1986" s="1007" t="s">
        <v>156</v>
      </c>
      <c r="G1986" s="666"/>
      <c r="H1986" s="9579" t="s">
        <v>147</v>
      </c>
      <c r="I1986" s="9580"/>
      <c r="J1986" s="9581"/>
      <c r="K1986" s="105" t="s">
        <v>156</v>
      </c>
      <c r="L1986" s="5705"/>
      <c r="M1986" s="5719"/>
      <c r="N1986" s="5707"/>
      <c r="O1986" s="5720"/>
      <c r="P1986" s="5695"/>
      <c r="Q1986" s="5593"/>
      <c r="R1986" s="2468"/>
      <c r="S1986" s="544"/>
      <c r="T1986" s="545"/>
      <c r="U1986" s="546"/>
      <c r="V1986" s="547"/>
      <c r="W1986" s="299" t="s">
        <v>1435</v>
      </c>
      <c r="X1986" s="277"/>
      <c r="Y1986" s="277"/>
      <c r="Z1986" s="187"/>
    </row>
    <row r="1987" spans="1:28" ht="20.100000000000001" customHeight="1" thickBot="1">
      <c r="A1987" s="11"/>
      <c r="B1987" s="1360"/>
      <c r="C1987" s="9647" t="s">
        <v>633</v>
      </c>
      <c r="D1987" s="9648"/>
      <c r="E1987" s="9649"/>
      <c r="F1987" s="1007" t="s">
        <v>156</v>
      </c>
      <c r="G1987" s="746"/>
      <c r="H1987" s="9579" t="s">
        <v>150</v>
      </c>
      <c r="I1987" s="9580"/>
      <c r="J1987" s="9581"/>
      <c r="K1987" s="105" t="s">
        <v>156</v>
      </c>
      <c r="L1987" s="5705"/>
      <c r="M1987" s="5706"/>
      <c r="N1987" s="5707"/>
      <c r="O1987" s="5706"/>
      <c r="P1987" s="5707"/>
      <c r="Q1987" s="5593"/>
      <c r="R1987" s="2468"/>
      <c r="S1987" s="544"/>
      <c r="T1987" s="545"/>
      <c r="U1987" s="546"/>
      <c r="V1987" s="547"/>
      <c r="W1987" s="299" t="s">
        <v>1435</v>
      </c>
      <c r="X1987" s="277"/>
      <c r="Y1987" s="277"/>
      <c r="Z1987" s="187"/>
    </row>
    <row r="1988" spans="1:28" ht="27.75" thickTop="1" thickBot="1">
      <c r="A1988" s="50"/>
      <c r="B1988" s="65" t="s">
        <v>1437</v>
      </c>
      <c r="C1988" s="629"/>
      <c r="D1988" s="629"/>
      <c r="E1988" s="629"/>
      <c r="F1988" s="630"/>
      <c r="G1988" s="631" t="s">
        <v>1438</v>
      </c>
      <c r="H1988" s="629"/>
      <c r="I1988" s="632"/>
      <c r="J1988" s="632"/>
      <c r="K1988" s="630"/>
      <c r="L1988" s="5630"/>
      <c r="M1988" s="5631"/>
      <c r="N1988" s="5631"/>
      <c r="O1988" s="5631"/>
      <c r="P1988" s="5631"/>
      <c r="Q1988" s="5631"/>
      <c r="R1988" s="634"/>
      <c r="S1988" s="634"/>
      <c r="T1988" s="633"/>
      <c r="U1988" s="633"/>
      <c r="V1988" s="633"/>
      <c r="W1988" s="633"/>
      <c r="X1988" s="1055"/>
      <c r="Y1988" s="1055"/>
      <c r="Z1988" s="635"/>
      <c r="AB1988" s="6402"/>
    </row>
    <row r="1989" spans="1:28" ht="27" thickBot="1">
      <c r="A1989" s="11"/>
      <c r="B1989" s="123" t="s">
        <v>1439</v>
      </c>
      <c r="C1989" s="124"/>
      <c r="D1989" s="124"/>
      <c r="E1989" s="124"/>
      <c r="F1989" s="78"/>
      <c r="G1989" s="1272" t="s">
        <v>1440</v>
      </c>
      <c r="H1989" s="1132"/>
      <c r="I1989" s="1132"/>
      <c r="J1989" s="1273"/>
      <c r="K1989" s="518"/>
      <c r="L1989" s="5624"/>
      <c r="M1989" s="5614"/>
      <c r="N1989" s="5614"/>
      <c r="O1989" s="5614"/>
      <c r="P1989" s="5614"/>
      <c r="Q1989" s="5614"/>
      <c r="R1989" s="80"/>
      <c r="S1989" s="1133"/>
      <c r="T1989" s="1274"/>
      <c r="U1989" s="129"/>
      <c r="V1989" s="129"/>
      <c r="W1989" s="1274"/>
      <c r="X1989" s="328"/>
      <c r="Y1989" s="328"/>
      <c r="Z1989" s="1006"/>
    </row>
    <row r="1990" spans="1:28" ht="20.100000000000001" customHeight="1">
      <c r="A1990" s="11"/>
      <c r="B1990" s="1395"/>
      <c r="C1990" s="9690" t="s">
        <v>1441</v>
      </c>
      <c r="D1990" s="9691"/>
      <c r="E1990" s="9691"/>
      <c r="F1990" s="9691"/>
      <c r="G1990" s="9691"/>
      <c r="H1990" s="9691" t="s">
        <v>1442</v>
      </c>
      <c r="I1990" s="9691"/>
      <c r="J1990" s="9691"/>
      <c r="K1990" s="9691" t="s">
        <v>1443</v>
      </c>
      <c r="L1990" s="9691"/>
      <c r="M1990" s="9691"/>
      <c r="N1990" s="9691"/>
      <c r="O1990" s="9691"/>
      <c r="P1990" s="9691"/>
      <c r="Q1990" s="9692"/>
      <c r="R1990" s="826"/>
      <c r="S1990" s="533"/>
      <c r="T1990" s="873" t="s">
        <v>1444</v>
      </c>
      <c r="U1990" s="547"/>
      <c r="V1990" s="547"/>
      <c r="W1990" s="299" t="s">
        <v>1435</v>
      </c>
      <c r="X1990" s="1243"/>
      <c r="Y1990" s="1243"/>
      <c r="Z1990" s="4532"/>
    </row>
    <row r="1991" spans="1:28" ht="20.100000000000001" customHeight="1">
      <c r="A1991" s="11"/>
      <c r="B1991" s="1360"/>
      <c r="C1991" s="6156"/>
      <c r="D1991" s="787" t="s">
        <v>1445</v>
      </c>
      <c r="E1991" s="781"/>
      <c r="F1991" s="105" t="s">
        <v>732</v>
      </c>
      <c r="G1991" s="358"/>
      <c r="H1991" s="6256"/>
      <c r="I1991" s="945" t="s">
        <v>1446</v>
      </c>
      <c r="J1991" s="945"/>
      <c r="K1991" s="1222" t="s">
        <v>734</v>
      </c>
      <c r="L1991" s="5594">
        <v>5</v>
      </c>
      <c r="M1991" s="5658"/>
      <c r="N1991" s="5601">
        <v>7</v>
      </c>
      <c r="O1991" s="5666"/>
      <c r="P1991" s="5625">
        <v>7</v>
      </c>
      <c r="Q1991" s="5601"/>
      <c r="R1991" s="544" t="s">
        <v>1447</v>
      </c>
      <c r="S1991" s="276" t="s">
        <v>1448</v>
      </c>
      <c r="T1991" s="873" t="s">
        <v>1444</v>
      </c>
      <c r="U1991" s="547"/>
      <c r="V1991" s="547"/>
      <c r="W1991" s="299" t="s">
        <v>1435</v>
      </c>
      <c r="X1991" s="277" t="s">
        <v>1449</v>
      </c>
      <c r="Y1991" s="277" t="s">
        <v>1450</v>
      </c>
      <c r="Z1991" s="4679"/>
    </row>
    <row r="1992" spans="1:28" ht="20.100000000000001" customHeight="1">
      <c r="A1992" s="11"/>
      <c r="B1992" s="1360"/>
      <c r="C1992" s="6209"/>
      <c r="D1992" s="787" t="s">
        <v>1451</v>
      </c>
      <c r="E1992" s="781"/>
      <c r="F1992" s="105" t="s">
        <v>732</v>
      </c>
      <c r="G1992" s="358"/>
      <c r="H1992" s="6192"/>
      <c r="I1992" s="735" t="s">
        <v>1452</v>
      </c>
      <c r="J1992" s="735"/>
      <c r="K1992" s="105" t="s">
        <v>734</v>
      </c>
      <c r="L1992" s="5594">
        <v>3</v>
      </c>
      <c r="M1992" s="5658"/>
      <c r="N1992" s="5601">
        <v>4</v>
      </c>
      <c r="O1992" s="5666"/>
      <c r="P1992" s="5625">
        <v>4</v>
      </c>
      <c r="Q1992" s="5601"/>
      <c r="R1992" s="276" t="s">
        <v>1453</v>
      </c>
      <c r="S1992" s="276" t="s">
        <v>1454</v>
      </c>
      <c r="T1992" s="109" t="s">
        <v>37</v>
      </c>
      <c r="U1992" s="547"/>
      <c r="V1992" s="547"/>
      <c r="W1992" s="299" t="s">
        <v>193</v>
      </c>
      <c r="X1992" s="277" t="s">
        <v>1455</v>
      </c>
      <c r="Y1992" s="277" t="s">
        <v>1450</v>
      </c>
      <c r="Z1992" s="982"/>
    </row>
    <row r="1993" spans="1:28" ht="20.100000000000001" customHeight="1">
      <c r="A1993" s="11"/>
      <c r="B1993" s="1360"/>
      <c r="C1993" s="6209"/>
      <c r="D1993" s="787" t="s">
        <v>1456</v>
      </c>
      <c r="E1993" s="781"/>
      <c r="F1993" s="105" t="s">
        <v>732</v>
      </c>
      <c r="G1993" s="358"/>
      <c r="H1993" s="6192"/>
      <c r="I1993" s="1065" t="s">
        <v>1457</v>
      </c>
      <c r="J1993" s="1066"/>
      <c r="K1993" s="105" t="s">
        <v>734</v>
      </c>
      <c r="L1993" s="5594">
        <v>0</v>
      </c>
      <c r="M1993" s="5658"/>
      <c r="N1993" s="5601">
        <v>1</v>
      </c>
      <c r="O1993" s="5666"/>
      <c r="P1993" s="5625">
        <v>1</v>
      </c>
      <c r="Q1993" s="5601"/>
      <c r="R1993" s="276" t="s">
        <v>1458</v>
      </c>
      <c r="S1993" s="276" t="s">
        <v>1459</v>
      </c>
      <c r="T1993" s="109" t="s">
        <v>37</v>
      </c>
      <c r="U1993" s="547"/>
      <c r="V1993" s="547"/>
      <c r="W1993" s="299" t="s">
        <v>193</v>
      </c>
      <c r="X1993" s="277" t="s">
        <v>1460</v>
      </c>
      <c r="Y1993" s="277" t="s">
        <v>1450</v>
      </c>
      <c r="Z1993" s="982"/>
    </row>
    <row r="1994" spans="1:28" ht="20.100000000000001" customHeight="1">
      <c r="A1994" s="11"/>
      <c r="B1994" s="1396"/>
      <c r="C1994" s="9690" t="s">
        <v>1461</v>
      </c>
      <c r="D1994" s="9691"/>
      <c r="E1994" s="9691"/>
      <c r="F1994" s="9691"/>
      <c r="G1994" s="9691"/>
      <c r="H1994" s="9691" t="s">
        <v>1462</v>
      </c>
      <c r="I1994" s="9691"/>
      <c r="J1994" s="9691"/>
      <c r="K1994" s="9691" t="s">
        <v>168</v>
      </c>
      <c r="L1994" s="9691"/>
      <c r="M1994" s="9691"/>
      <c r="N1994" s="9691"/>
      <c r="O1994" s="9691"/>
      <c r="P1994" s="9691"/>
      <c r="Q1994" s="9692"/>
      <c r="R1994" s="92"/>
      <c r="S1994" s="276"/>
      <c r="T1994" s="873" t="s">
        <v>1444</v>
      </c>
      <c r="U1994" s="547"/>
      <c r="V1994" s="547"/>
      <c r="W1994" s="299" t="s">
        <v>1435</v>
      </c>
      <c r="X1994" s="1243"/>
      <c r="Y1994" s="1243"/>
      <c r="Z1994" s="4532"/>
    </row>
    <row r="1995" spans="1:28" ht="20.100000000000001" customHeight="1">
      <c r="A1995" s="11"/>
      <c r="B1995" s="1360"/>
      <c r="C1995" s="6209"/>
      <c r="D1995" s="787" t="s">
        <v>1445</v>
      </c>
      <c r="E1995" s="781"/>
      <c r="F1995" s="105" t="s">
        <v>154</v>
      </c>
      <c r="G1995" s="358"/>
      <c r="H1995" s="6192"/>
      <c r="I1995" s="735" t="s">
        <v>1454</v>
      </c>
      <c r="J1995" s="735"/>
      <c r="K1995" s="105" t="s">
        <v>154</v>
      </c>
      <c r="L1995" s="5709">
        <v>60</v>
      </c>
      <c r="M1995" s="6385"/>
      <c r="N1995" s="5750">
        <v>57.142857142857139</v>
      </c>
      <c r="O1995" s="6385"/>
      <c r="P1995" s="5750">
        <v>57</v>
      </c>
      <c r="Q1995" s="6385"/>
      <c r="R1995" s="276" t="s">
        <v>1463</v>
      </c>
      <c r="S1995" s="276" t="s">
        <v>1464</v>
      </c>
      <c r="T1995" s="109" t="s">
        <v>37</v>
      </c>
      <c r="U1995" s="547"/>
      <c r="V1995" s="547"/>
      <c r="W1995" s="299" t="s">
        <v>193</v>
      </c>
      <c r="X1995" s="277" t="s">
        <v>1465</v>
      </c>
      <c r="Y1995" s="277" t="s">
        <v>1450</v>
      </c>
      <c r="Z1995" s="982"/>
    </row>
    <row r="1996" spans="1:28" ht="20.100000000000001" customHeight="1" thickBot="1">
      <c r="A1996" s="11"/>
      <c r="B1996" s="1361"/>
      <c r="C1996" s="6156"/>
      <c r="D1996" s="787" t="s">
        <v>1466</v>
      </c>
      <c r="E1996" s="781"/>
      <c r="F1996" s="706" t="s">
        <v>154</v>
      </c>
      <c r="G1996" s="707"/>
      <c r="H1996" s="6256"/>
      <c r="I1996" s="1072" t="s">
        <v>1467</v>
      </c>
      <c r="J1996" s="1072"/>
      <c r="K1996" s="706" t="s">
        <v>154</v>
      </c>
      <c r="L1996" s="5709">
        <v>100</v>
      </c>
      <c r="M1996" s="6385"/>
      <c r="N1996" s="5750">
        <v>100</v>
      </c>
      <c r="O1996" s="6385"/>
      <c r="P1996" s="6386">
        <v>100</v>
      </c>
      <c r="Q1996" s="6385"/>
      <c r="R1996" s="2477"/>
      <c r="S1996" s="595"/>
      <c r="T1996" s="711" t="s">
        <v>37</v>
      </c>
      <c r="U1996" s="547"/>
      <c r="V1996" s="547"/>
      <c r="W1996" s="299" t="s">
        <v>193</v>
      </c>
      <c r="X1996" s="277" t="s">
        <v>1465</v>
      </c>
      <c r="Y1996" s="277" t="s">
        <v>1450</v>
      </c>
      <c r="Z1996" s="982"/>
    </row>
    <row r="1997" spans="1:28" ht="27" thickBot="1">
      <c r="A1997" s="11"/>
      <c r="B1997" s="123" t="s">
        <v>1468</v>
      </c>
      <c r="C1997" s="124"/>
      <c r="D1997" s="124"/>
      <c r="E1997" s="124"/>
      <c r="F1997" s="78"/>
      <c r="G1997" s="78"/>
      <c r="H1997" s="78"/>
      <c r="I1997" s="78"/>
      <c r="J1997" s="78"/>
      <c r="K1997" s="78"/>
      <c r="L1997" s="2194"/>
      <c r="M1997" s="78"/>
      <c r="N1997" s="78"/>
      <c r="O1997" s="78"/>
      <c r="P1997" s="78"/>
      <c r="Q1997" s="78"/>
      <c r="R1997" s="80"/>
      <c r="S1997" s="1133"/>
      <c r="T1997" s="1274"/>
      <c r="U1997" s="129"/>
      <c r="V1997" s="129"/>
      <c r="W1997" s="1274"/>
      <c r="X1997" s="328"/>
      <c r="Y1997" s="328"/>
      <c r="Z1997" s="1006"/>
    </row>
    <row r="1998" spans="1:28" ht="20.100000000000001" customHeight="1">
      <c r="A1998" s="11"/>
      <c r="B1998" s="1398"/>
      <c r="C1998" s="728" t="s">
        <v>1469</v>
      </c>
      <c r="D1998" s="728"/>
      <c r="E1998" s="728"/>
      <c r="F1998" s="1560"/>
      <c r="G1998" s="739"/>
      <c r="H1998" s="698" t="s">
        <v>1470</v>
      </c>
      <c r="I1998" s="698"/>
      <c r="J1998" s="655"/>
      <c r="K1998" s="2371" t="s">
        <v>168</v>
      </c>
      <c r="L1998" s="5632"/>
      <c r="M1998" s="5659"/>
      <c r="N1998" s="5633"/>
      <c r="O1998" s="5634"/>
      <c r="P1998" s="5634"/>
      <c r="Q1998" s="5634"/>
      <c r="R1998" s="826"/>
      <c r="S1998" s="262"/>
      <c r="T1998" s="162" t="s">
        <v>37</v>
      </c>
      <c r="U1998" s="534"/>
      <c r="V1998" s="534"/>
      <c r="W1998" s="299" t="s">
        <v>1435</v>
      </c>
      <c r="X1998" s="1243"/>
      <c r="Y1998" s="1243"/>
      <c r="Z1998" s="4532"/>
    </row>
    <row r="1999" spans="1:28" ht="20.100000000000001" customHeight="1">
      <c r="A1999" s="11"/>
      <c r="B1999" s="1360"/>
      <c r="C1999" s="6209"/>
      <c r="D1999" s="787" t="s">
        <v>1445</v>
      </c>
      <c r="E1999" s="781"/>
      <c r="F1999" s="105" t="s">
        <v>1471</v>
      </c>
      <c r="G1999" s="358"/>
      <c r="H1999" s="6192"/>
      <c r="I1999" s="384" t="s">
        <v>1472</v>
      </c>
      <c r="J1999" s="384"/>
      <c r="K1999" s="1143" t="s">
        <v>559</v>
      </c>
      <c r="L1999" s="5594">
        <v>15</v>
      </c>
      <c r="M1999" s="5658"/>
      <c r="N1999" s="5601">
        <v>11</v>
      </c>
      <c r="O1999" s="5666"/>
      <c r="P1999" s="5625">
        <v>12</v>
      </c>
      <c r="Q1999" s="5666"/>
      <c r="R1999" s="544" t="s">
        <v>1473</v>
      </c>
      <c r="S1999" s="263" t="s">
        <v>1474</v>
      </c>
      <c r="T1999" s="1034" t="s">
        <v>1444</v>
      </c>
      <c r="U1999" s="878"/>
      <c r="V1999" s="878"/>
      <c r="W1999" s="299" t="s">
        <v>1435</v>
      </c>
      <c r="X1999" s="277" t="s">
        <v>1475</v>
      </c>
      <c r="Y1999" s="277" t="s">
        <v>1450</v>
      </c>
      <c r="Z1999" s="982"/>
    </row>
    <row r="2000" spans="1:28" ht="20.100000000000001" customHeight="1">
      <c r="A2000" s="11"/>
      <c r="B2000" s="1360"/>
      <c r="C2000" s="6156"/>
      <c r="D2000" s="787" t="s">
        <v>1466</v>
      </c>
      <c r="E2000" s="781"/>
      <c r="F2000" s="105" t="s">
        <v>1476</v>
      </c>
      <c r="G2000" s="358"/>
      <c r="H2000" s="6256"/>
      <c r="I2000" s="358" t="s">
        <v>1477</v>
      </c>
      <c r="J2000" s="358"/>
      <c r="K2000" s="285" t="s">
        <v>1013</v>
      </c>
      <c r="L2000" s="5594">
        <v>6</v>
      </c>
      <c r="M2000" s="5658"/>
      <c r="N2000" s="5601">
        <v>6</v>
      </c>
      <c r="O2000" s="5666"/>
      <c r="P2000" s="5625">
        <v>5</v>
      </c>
      <c r="Q2000" s="5666"/>
      <c r="R2000" s="276" t="s">
        <v>1478</v>
      </c>
      <c r="S2000" s="367" t="s">
        <v>1479</v>
      </c>
      <c r="T2000" s="162" t="s">
        <v>37</v>
      </c>
      <c r="U2000" s="547"/>
      <c r="V2000" s="547"/>
      <c r="W2000" s="299" t="s">
        <v>193</v>
      </c>
      <c r="X2000" s="277" t="s">
        <v>1480</v>
      </c>
      <c r="Y2000" s="265"/>
      <c r="Z2000" s="982"/>
    </row>
    <row r="2001" spans="2:60" s="11" customFormat="1" ht="20.100000000000001" customHeight="1">
      <c r="B2001" s="1399"/>
      <c r="C2001" s="728" t="s">
        <v>1481</v>
      </c>
      <c r="D2001" s="728"/>
      <c r="E2001" s="728"/>
      <c r="F2001" s="1560"/>
      <c r="G2001" s="739"/>
      <c r="H2001" s="698" t="s">
        <v>1482</v>
      </c>
      <c r="I2001" s="698"/>
      <c r="J2001" s="655"/>
      <c r="K2001" s="2371" t="s">
        <v>168</v>
      </c>
      <c r="L2001" s="5635"/>
      <c r="M2001" s="5660"/>
      <c r="N2001" s="5636"/>
      <c r="O2001" s="5637"/>
      <c r="P2001" s="5637"/>
      <c r="Q2001" s="5637"/>
      <c r="R2001" s="92"/>
      <c r="S2001" s="1287"/>
      <c r="T2001" s="162" t="s">
        <v>37</v>
      </c>
      <c r="U2001" s="547"/>
      <c r="V2001" s="547"/>
      <c r="W2001" s="299" t="s">
        <v>1435</v>
      </c>
      <c r="X2001" s="1243"/>
      <c r="Y2001" s="1243"/>
      <c r="Z2001" s="4532"/>
      <c r="AA2001" s="6301"/>
      <c r="AB2001" s="139"/>
      <c r="AC2001" s="139"/>
      <c r="AD2001" s="139"/>
      <c r="AE2001" s="139"/>
      <c r="AF2001" s="139"/>
      <c r="AG2001" s="139"/>
      <c r="AH2001" s="139"/>
      <c r="AI2001" s="139"/>
      <c r="AJ2001" s="139"/>
      <c r="AK2001" s="139"/>
      <c r="AL2001" s="139"/>
      <c r="AM2001" s="139"/>
      <c r="AN2001" s="139"/>
      <c r="AO2001" s="139"/>
      <c r="AP2001" s="139"/>
      <c r="AQ2001" s="139"/>
      <c r="AR2001" s="139"/>
      <c r="AS2001" s="139"/>
      <c r="AT2001" s="139"/>
      <c r="AU2001" s="139"/>
      <c r="AV2001" s="139"/>
      <c r="AW2001" s="139"/>
      <c r="AX2001" s="139"/>
      <c r="AY2001" s="139"/>
      <c r="AZ2001" s="139"/>
      <c r="BA2001" s="139"/>
      <c r="BB2001" s="139"/>
      <c r="BC2001" s="139"/>
      <c r="BD2001" s="139"/>
      <c r="BE2001" s="139"/>
      <c r="BF2001" s="139"/>
      <c r="BG2001" s="139"/>
      <c r="BH2001" s="139"/>
    </row>
    <row r="2002" spans="2:60" s="11" customFormat="1" ht="20.100000000000001" customHeight="1">
      <c r="B2002" s="1360"/>
      <c r="C2002" s="6209"/>
      <c r="D2002" s="787" t="s">
        <v>1483</v>
      </c>
      <c r="E2002" s="781"/>
      <c r="F2002" s="105" t="s">
        <v>1476</v>
      </c>
      <c r="G2002" s="358"/>
      <c r="H2002" s="6192"/>
      <c r="I2002" s="358" t="s">
        <v>1484</v>
      </c>
      <c r="J2002" s="358"/>
      <c r="K2002" s="285" t="s">
        <v>559</v>
      </c>
      <c r="L2002" s="5594">
        <v>34</v>
      </c>
      <c r="M2002" s="5658"/>
      <c r="N2002" s="5601">
        <v>24</v>
      </c>
      <c r="O2002" s="5666"/>
      <c r="P2002" s="5625">
        <v>33</v>
      </c>
      <c r="Q2002" s="5666"/>
      <c r="R2002" s="276" t="s">
        <v>1485</v>
      </c>
      <c r="S2002" s="276" t="s">
        <v>1486</v>
      </c>
      <c r="T2002" s="162" t="s">
        <v>37</v>
      </c>
      <c r="U2002" s="547"/>
      <c r="V2002" s="547"/>
      <c r="W2002" s="299" t="s">
        <v>193</v>
      </c>
      <c r="X2002" s="277" t="s">
        <v>1487</v>
      </c>
      <c r="Y2002" s="265"/>
      <c r="Z2002" s="982"/>
      <c r="AA2002" s="6301"/>
      <c r="AB2002" s="139"/>
      <c r="AC2002" s="139"/>
      <c r="AD2002" s="139"/>
      <c r="AE2002" s="139"/>
      <c r="AF2002" s="139"/>
      <c r="AG2002" s="139"/>
      <c r="AH2002" s="139"/>
      <c r="AI2002" s="139"/>
      <c r="AJ2002" s="139"/>
      <c r="AK2002" s="139"/>
      <c r="AL2002" s="139"/>
      <c r="AM2002" s="139"/>
      <c r="AN2002" s="139"/>
      <c r="AO2002" s="139"/>
      <c r="AP2002" s="139"/>
      <c r="AQ2002" s="139"/>
      <c r="AR2002" s="139"/>
      <c r="AS2002" s="139"/>
      <c r="AT2002" s="139"/>
      <c r="AU2002" s="139"/>
      <c r="AV2002" s="139"/>
      <c r="AW2002" s="139"/>
      <c r="AX2002" s="139"/>
      <c r="AY2002" s="139"/>
      <c r="AZ2002" s="139"/>
      <c r="BA2002" s="139"/>
      <c r="BB2002" s="139"/>
      <c r="BC2002" s="139"/>
      <c r="BD2002" s="139"/>
      <c r="BE2002" s="139"/>
      <c r="BF2002" s="139"/>
      <c r="BG2002" s="139"/>
      <c r="BH2002" s="139"/>
    </row>
    <row r="2003" spans="2:60" s="11" customFormat="1" ht="20.100000000000001" customHeight="1">
      <c r="B2003" s="1360"/>
      <c r="C2003" s="6156"/>
      <c r="D2003" s="787" t="s">
        <v>1488</v>
      </c>
      <c r="E2003" s="781"/>
      <c r="F2003" s="105" t="s">
        <v>1476</v>
      </c>
      <c r="G2003" s="358"/>
      <c r="H2003" s="6256"/>
      <c r="I2003" s="358" t="s">
        <v>1489</v>
      </c>
      <c r="J2003" s="358"/>
      <c r="K2003" s="285" t="s">
        <v>559</v>
      </c>
      <c r="L2003" s="5594">
        <v>0</v>
      </c>
      <c r="M2003" s="5658"/>
      <c r="N2003" s="5601">
        <v>0</v>
      </c>
      <c r="O2003" s="5666"/>
      <c r="P2003" s="5625">
        <v>0</v>
      </c>
      <c r="Q2003" s="5666"/>
      <c r="R2003" s="276" t="s">
        <v>1490</v>
      </c>
      <c r="S2003" s="276" t="s">
        <v>1491</v>
      </c>
      <c r="T2003" s="162" t="s">
        <v>37</v>
      </c>
      <c r="U2003" s="547"/>
      <c r="V2003" s="547"/>
      <c r="W2003" s="299" t="s">
        <v>193</v>
      </c>
      <c r="X2003" s="277" t="s">
        <v>1492</v>
      </c>
      <c r="Y2003" s="265"/>
      <c r="Z2003" s="982"/>
      <c r="AA2003" s="6301"/>
      <c r="AB2003" s="139"/>
      <c r="AC2003" s="139"/>
      <c r="AD2003" s="139"/>
      <c r="AE2003" s="139"/>
      <c r="AF2003" s="139"/>
      <c r="AG2003" s="139"/>
      <c r="AH2003" s="139"/>
      <c r="AI2003" s="139"/>
      <c r="AJ2003" s="139"/>
      <c r="AK2003" s="139"/>
      <c r="AL2003" s="139"/>
      <c r="AM2003" s="139"/>
      <c r="AN2003" s="139"/>
      <c r="AO2003" s="139"/>
      <c r="AP2003" s="139"/>
      <c r="AQ2003" s="139"/>
      <c r="AR2003" s="139"/>
      <c r="AS2003" s="139"/>
      <c r="AT2003" s="139"/>
      <c r="AU2003" s="139"/>
      <c r="AV2003" s="139"/>
      <c r="AW2003" s="139"/>
      <c r="AX2003" s="139"/>
      <c r="AY2003" s="139"/>
      <c r="AZ2003" s="139"/>
      <c r="BA2003" s="139"/>
      <c r="BB2003" s="139"/>
      <c r="BC2003" s="139"/>
      <c r="BD2003" s="139"/>
      <c r="BE2003" s="139"/>
      <c r="BF2003" s="139"/>
      <c r="BG2003" s="139"/>
      <c r="BH2003" s="139"/>
    </row>
    <row r="2004" spans="2:60" s="11" customFormat="1" ht="20.100000000000001" customHeight="1">
      <c r="B2004" s="1353"/>
      <c r="C2004" s="698" t="s">
        <v>1493</v>
      </c>
      <c r="D2004" s="698"/>
      <c r="E2004" s="698"/>
      <c r="F2004" s="1560"/>
      <c r="G2004" s="739"/>
      <c r="H2004" s="698" t="s">
        <v>1494</v>
      </c>
      <c r="I2004" s="698"/>
      <c r="J2004" s="655"/>
      <c r="K2004" s="2371" t="s">
        <v>168</v>
      </c>
      <c r="L2004" s="5635"/>
      <c r="M2004" s="5660"/>
      <c r="N2004" s="5636"/>
      <c r="O2004" s="5637"/>
      <c r="P2004" s="5637"/>
      <c r="Q2004" s="5637"/>
      <c r="R2004" s="92"/>
      <c r="S2004" s="1287"/>
      <c r="T2004" s="162" t="s">
        <v>37</v>
      </c>
      <c r="U2004" s="547"/>
      <c r="V2004" s="547"/>
      <c r="W2004" s="299" t="s">
        <v>1435</v>
      </c>
      <c r="X2004" s="1243"/>
      <c r="Y2004" s="1243"/>
      <c r="Z2004" s="4532"/>
      <c r="AA2004" s="6301"/>
      <c r="AB2004" s="139"/>
      <c r="AC2004" s="139"/>
      <c r="AD2004" s="139"/>
      <c r="AE2004" s="139"/>
      <c r="AF2004" s="139"/>
      <c r="AG2004" s="139"/>
      <c r="AH2004" s="139"/>
      <c r="AI2004" s="139"/>
      <c r="AJ2004" s="139"/>
      <c r="AK2004" s="139"/>
      <c r="AL2004" s="139"/>
      <c r="AM2004" s="139"/>
      <c r="AN2004" s="139"/>
      <c r="AO2004" s="139"/>
      <c r="AP2004" s="139"/>
      <c r="AQ2004" s="139"/>
      <c r="AR2004" s="139"/>
      <c r="AS2004" s="139"/>
      <c r="AT2004" s="139"/>
      <c r="AU2004" s="139"/>
      <c r="AV2004" s="139"/>
      <c r="AW2004" s="139"/>
      <c r="AX2004" s="139"/>
      <c r="AY2004" s="139"/>
      <c r="AZ2004" s="139"/>
      <c r="BA2004" s="139"/>
      <c r="BB2004" s="139"/>
      <c r="BC2004" s="139"/>
      <c r="BD2004" s="139"/>
      <c r="BE2004" s="139"/>
      <c r="BF2004" s="139"/>
      <c r="BG2004" s="139"/>
      <c r="BH2004" s="139"/>
    </row>
    <row r="2005" spans="2:60" s="139" customFormat="1" ht="20.100000000000001" customHeight="1">
      <c r="B2005" s="1360"/>
      <c r="C2005" s="6256"/>
      <c r="D2005" s="787" t="s">
        <v>1495</v>
      </c>
      <c r="E2005" s="781"/>
      <c r="F2005" s="105" t="s">
        <v>154</v>
      </c>
      <c r="G2005" s="358"/>
      <c r="H2005" s="6256"/>
      <c r="I2005" s="735" t="s">
        <v>1496</v>
      </c>
      <c r="J2005" s="735"/>
      <c r="K2005" s="105" t="s">
        <v>154</v>
      </c>
      <c r="L2005" s="5709">
        <v>90</v>
      </c>
      <c r="M2005" s="5658"/>
      <c r="N2005" s="5750">
        <v>93.55</v>
      </c>
      <c r="O2005" s="2514"/>
      <c r="P2005" s="5751">
        <v>100</v>
      </c>
      <c r="Q2005" s="2514"/>
      <c r="R2005" s="276" t="s">
        <v>1497</v>
      </c>
      <c r="S2005" s="276" t="s">
        <v>1498</v>
      </c>
      <c r="T2005" s="162" t="s">
        <v>37</v>
      </c>
      <c r="U2005" s="547"/>
      <c r="V2005" s="547"/>
      <c r="W2005" s="299" t="s">
        <v>193</v>
      </c>
      <c r="X2005" s="277" t="s">
        <v>1499</v>
      </c>
      <c r="Y2005" s="265"/>
      <c r="Z2005" s="982"/>
      <c r="AA2005" s="6301"/>
    </row>
    <row r="2006" spans="2:60" s="139" customFormat="1" ht="20.100000000000001" customHeight="1">
      <c r="B2006" s="1360"/>
      <c r="C2006" s="6209"/>
      <c r="D2006" s="787" t="s">
        <v>1500</v>
      </c>
      <c r="E2006" s="781"/>
      <c r="F2006" s="105" t="s">
        <v>154</v>
      </c>
      <c r="G2006" s="358"/>
      <c r="H2006" s="6192"/>
      <c r="I2006" s="735" t="s">
        <v>1501</v>
      </c>
      <c r="J2006" s="735"/>
      <c r="K2006" s="105" t="s">
        <v>154</v>
      </c>
      <c r="L2006" s="5709">
        <v>97.77</v>
      </c>
      <c r="M2006" s="5658"/>
      <c r="N2006" s="5750">
        <v>100</v>
      </c>
      <c r="O2006" s="5658"/>
      <c r="P2006" s="5751">
        <v>96</v>
      </c>
      <c r="Q2006" s="2514"/>
      <c r="R2006" s="276" t="s">
        <v>1502</v>
      </c>
      <c r="S2006" s="276" t="s">
        <v>1503</v>
      </c>
      <c r="T2006" s="162" t="s">
        <v>37</v>
      </c>
      <c r="U2006" s="547"/>
      <c r="V2006" s="547"/>
      <c r="W2006" s="299" t="s">
        <v>193</v>
      </c>
      <c r="X2006" s="277" t="s">
        <v>1504</v>
      </c>
      <c r="Y2006" s="265"/>
      <c r="Z2006" s="982"/>
      <c r="AA2006" s="6301"/>
    </row>
    <row r="2007" spans="2:60" s="139" customFormat="1" ht="20.100000000000001" customHeight="1">
      <c r="B2007" s="1360"/>
      <c r="C2007" s="6156"/>
      <c r="D2007" s="787" t="s">
        <v>1505</v>
      </c>
      <c r="E2007" s="781"/>
      <c r="F2007" s="105" t="s">
        <v>154</v>
      </c>
      <c r="G2007" s="358"/>
      <c r="H2007" s="6256"/>
      <c r="I2007" s="735" t="s">
        <v>1506</v>
      </c>
      <c r="J2007" s="735"/>
      <c r="K2007" s="105" t="s">
        <v>154</v>
      </c>
      <c r="L2007" s="5709">
        <v>100</v>
      </c>
      <c r="M2007" s="5658"/>
      <c r="N2007" s="5750">
        <v>100</v>
      </c>
      <c r="O2007" s="2514"/>
      <c r="P2007" s="5751">
        <v>0</v>
      </c>
      <c r="Q2007" s="516"/>
      <c r="R2007" s="2468" t="s">
        <v>1507</v>
      </c>
      <c r="S2007" s="276" t="s">
        <v>1508</v>
      </c>
      <c r="T2007" s="162" t="s">
        <v>37</v>
      </c>
      <c r="U2007" s="547"/>
      <c r="V2007" s="547"/>
      <c r="W2007" s="299" t="s">
        <v>193</v>
      </c>
      <c r="X2007" s="277" t="s">
        <v>1509</v>
      </c>
      <c r="Y2007" s="265"/>
      <c r="Z2007" s="982"/>
      <c r="AA2007" s="6301"/>
    </row>
    <row r="2008" spans="2:60" s="139" customFormat="1" ht="20.100000000000001" customHeight="1">
      <c r="B2008" s="1360"/>
      <c r="C2008" s="6209"/>
      <c r="D2008" s="787" t="s">
        <v>1510</v>
      </c>
      <c r="E2008" s="781"/>
      <c r="F2008" s="105" t="s">
        <v>154</v>
      </c>
      <c r="G2008" s="358"/>
      <c r="H2008" s="6192"/>
      <c r="I2008" s="735" t="s">
        <v>1511</v>
      </c>
      <c r="J2008" s="735"/>
      <c r="K2008" s="105" t="s">
        <v>154</v>
      </c>
      <c r="L2008" s="5709">
        <v>100</v>
      </c>
      <c r="M2008" s="5658"/>
      <c r="N2008" s="5750">
        <v>100</v>
      </c>
      <c r="O2008" s="2514"/>
      <c r="P2008" s="5751">
        <v>100</v>
      </c>
      <c r="Q2008" s="516"/>
      <c r="R2008" s="2468" t="s">
        <v>1512</v>
      </c>
      <c r="S2008" s="276" t="s">
        <v>1513</v>
      </c>
      <c r="T2008" s="162" t="s">
        <v>37</v>
      </c>
      <c r="U2008" s="547"/>
      <c r="V2008" s="547"/>
      <c r="W2008" s="299" t="s">
        <v>193</v>
      </c>
      <c r="X2008" s="277" t="s">
        <v>1514</v>
      </c>
      <c r="Y2008" s="265"/>
      <c r="Z2008" s="982"/>
      <c r="AA2008" s="6301"/>
    </row>
    <row r="2009" spans="2:60" s="139" customFormat="1" ht="20.100000000000001" customHeight="1">
      <c r="B2009" s="1360"/>
      <c r="C2009" s="6209"/>
      <c r="D2009" s="787" t="s">
        <v>1515</v>
      </c>
      <c r="E2009" s="781"/>
      <c r="F2009" s="105" t="s">
        <v>154</v>
      </c>
      <c r="G2009" s="358"/>
      <c r="H2009" s="6192"/>
      <c r="I2009" s="735" t="s">
        <v>1516</v>
      </c>
      <c r="J2009" s="735"/>
      <c r="K2009" s="105" t="s">
        <v>154</v>
      </c>
      <c r="L2009" s="5709">
        <v>94.44</v>
      </c>
      <c r="M2009" s="5658"/>
      <c r="N2009" s="5750">
        <v>100</v>
      </c>
      <c r="O2009" s="5658"/>
      <c r="P2009" s="5750">
        <v>100</v>
      </c>
      <c r="Q2009" s="1814"/>
      <c r="R2009" s="2468" t="s">
        <v>1517</v>
      </c>
      <c r="S2009" s="276" t="s">
        <v>1518</v>
      </c>
      <c r="T2009" s="162" t="s">
        <v>37</v>
      </c>
      <c r="U2009" s="547"/>
      <c r="V2009" s="547"/>
      <c r="W2009" s="299" t="s">
        <v>193</v>
      </c>
      <c r="X2009" s="277" t="s">
        <v>1519</v>
      </c>
      <c r="Y2009" s="265"/>
      <c r="Z2009" s="982"/>
      <c r="AA2009" s="6301"/>
    </row>
    <row r="2010" spans="2:60" s="139" customFormat="1" ht="20.100000000000001" customHeight="1">
      <c r="B2010" s="1360"/>
      <c r="C2010" s="924" t="s">
        <v>1520</v>
      </c>
      <c r="D2010" s="924"/>
      <c r="E2010" s="924"/>
      <c r="F2010" s="105" t="s">
        <v>742</v>
      </c>
      <c r="G2010" s="358"/>
      <c r="H2010" s="359" t="s">
        <v>1521</v>
      </c>
      <c r="I2010" s="359"/>
      <c r="J2010" s="643"/>
      <c r="K2010" s="105" t="s">
        <v>734</v>
      </c>
      <c r="L2010" s="5594">
        <v>3</v>
      </c>
      <c r="M2010" s="5658"/>
      <c r="N2010" s="5601">
        <v>4</v>
      </c>
      <c r="O2010" s="5666"/>
      <c r="P2010" s="5752">
        <v>4</v>
      </c>
      <c r="Q2010" s="5601"/>
      <c r="R2010" s="2468" t="s">
        <v>1520</v>
      </c>
      <c r="S2010" s="276" t="s">
        <v>1521</v>
      </c>
      <c r="T2010" s="162" t="s">
        <v>37</v>
      </c>
      <c r="U2010" s="547"/>
      <c r="V2010" s="547"/>
      <c r="W2010" s="299" t="s">
        <v>193</v>
      </c>
      <c r="X2010" s="981" t="s">
        <v>1522</v>
      </c>
      <c r="Y2010" s="427"/>
      <c r="Z2010" s="974"/>
      <c r="AA2010" s="6301"/>
    </row>
    <row r="2011" spans="2:60" s="139" customFormat="1" ht="20.100000000000001" customHeight="1">
      <c r="B2011" s="1360"/>
      <c r="C2011" s="924" t="s">
        <v>1523</v>
      </c>
      <c r="D2011" s="924"/>
      <c r="E2011" s="924"/>
      <c r="F2011" s="105" t="s">
        <v>742</v>
      </c>
      <c r="G2011" s="358"/>
      <c r="H2011" s="359" t="s">
        <v>1524</v>
      </c>
      <c r="I2011" s="359"/>
      <c r="J2011" s="643"/>
      <c r="K2011" s="105" t="s">
        <v>734</v>
      </c>
      <c r="L2011" s="5594">
        <v>3</v>
      </c>
      <c r="M2011" s="5658"/>
      <c r="N2011" s="5601">
        <v>4</v>
      </c>
      <c r="O2011" s="5666"/>
      <c r="P2011" s="5752">
        <v>4</v>
      </c>
      <c r="Q2011" s="5601"/>
      <c r="R2011" s="2468" t="s">
        <v>1523</v>
      </c>
      <c r="S2011" s="714" t="s">
        <v>1524</v>
      </c>
      <c r="T2011" s="165" t="s">
        <v>37</v>
      </c>
      <c r="U2011" s="1101"/>
      <c r="V2011" s="1102"/>
      <c r="W2011" s="299" t="s">
        <v>193</v>
      </c>
      <c r="X2011" s="1103" t="s">
        <v>1525</v>
      </c>
      <c r="Y2011" s="427"/>
      <c r="Z2011" s="974"/>
      <c r="AA2011" s="6301"/>
    </row>
    <row r="2012" spans="2:60" s="139" customFormat="1" ht="20.100000000000001" customHeight="1">
      <c r="B2012" s="1360"/>
      <c r="C2012" s="9656" t="s">
        <v>1526</v>
      </c>
      <c r="D2012" s="9587"/>
      <c r="E2012" s="9588"/>
      <c r="F2012" s="105" t="s">
        <v>156</v>
      </c>
      <c r="G2012" s="735"/>
      <c r="H2012" s="9586" t="s">
        <v>1527</v>
      </c>
      <c r="I2012" s="9625"/>
      <c r="J2012" s="9626"/>
      <c r="K2012" s="119" t="s">
        <v>156</v>
      </c>
      <c r="L2012" s="6419" t="s">
        <v>168</v>
      </c>
      <c r="M2012" s="5658" t="s">
        <v>302</v>
      </c>
      <c r="N2012" s="6420" t="s">
        <v>168</v>
      </c>
      <c r="O2012" s="5682" t="s">
        <v>302</v>
      </c>
      <c r="P2012" s="6096" t="s">
        <v>168</v>
      </c>
      <c r="Q2012" s="6096" t="s">
        <v>302</v>
      </c>
      <c r="R2012" s="2488" t="s">
        <v>1528</v>
      </c>
      <c r="S2012" s="6297"/>
      <c r="T2012" s="1114" t="s">
        <v>37</v>
      </c>
      <c r="U2012" s="1115"/>
      <c r="V2012" s="773"/>
      <c r="W2012" s="299" t="s">
        <v>193</v>
      </c>
      <c r="X2012" s="1116" t="s">
        <v>1529</v>
      </c>
      <c r="Y2012" s="427"/>
      <c r="Z2012" s="974"/>
      <c r="AA2012" s="6301"/>
    </row>
    <row r="2013" spans="2:60" s="139" customFormat="1" ht="20.100000000000001" customHeight="1">
      <c r="B2013" s="1360"/>
      <c r="C2013" s="1385"/>
      <c r="D2013" s="936" t="s">
        <v>1530</v>
      </c>
      <c r="E2013" s="924"/>
      <c r="F2013" s="105" t="s">
        <v>742</v>
      </c>
      <c r="G2013" s="1223"/>
      <c r="H2013" s="6264"/>
      <c r="I2013" s="932" t="s">
        <v>1531</v>
      </c>
      <c r="J2013" s="993"/>
      <c r="K2013" s="105" t="s">
        <v>734</v>
      </c>
      <c r="L2013" s="5956" t="s">
        <v>168</v>
      </c>
      <c r="M2013" s="5658" t="s">
        <v>302</v>
      </c>
      <c r="N2013" s="6420" t="s">
        <v>168</v>
      </c>
      <c r="O2013" s="5666" t="s">
        <v>302</v>
      </c>
      <c r="P2013" s="5601" t="s">
        <v>168</v>
      </c>
      <c r="Q2013" s="5601" t="s">
        <v>302</v>
      </c>
      <c r="R2013" s="2489"/>
      <c r="S2013" s="6298"/>
      <c r="T2013" s="1119" t="s">
        <v>37</v>
      </c>
      <c r="U2013" s="1115"/>
      <c r="V2013" s="773"/>
      <c r="W2013" s="299" t="s">
        <v>193</v>
      </c>
      <c r="X2013" s="1120" t="s">
        <v>1529</v>
      </c>
      <c r="Y2013" s="265"/>
      <c r="Z2013" s="982"/>
      <c r="AA2013" s="6301"/>
    </row>
    <row r="2014" spans="2:60" s="139" customFormat="1" ht="20.100000000000001" customHeight="1" thickBot="1">
      <c r="B2014" s="1546"/>
      <c r="C2014" s="1547"/>
      <c r="D2014" s="1548" t="s">
        <v>1532</v>
      </c>
      <c r="E2014" s="1549"/>
      <c r="F2014" s="119" t="s">
        <v>742</v>
      </c>
      <c r="G2014" s="6285"/>
      <c r="H2014" s="6273"/>
      <c r="I2014" s="1123" t="s">
        <v>1533</v>
      </c>
      <c r="J2014" s="1124"/>
      <c r="K2014" s="706" t="s">
        <v>734</v>
      </c>
      <c r="L2014" s="5651">
        <v>3</v>
      </c>
      <c r="M2014" s="5662"/>
      <c r="N2014" s="5613">
        <v>4</v>
      </c>
      <c r="O2014" s="5668"/>
      <c r="P2014" s="5652">
        <v>4</v>
      </c>
      <c r="Q2014" s="5613"/>
      <c r="R2014" s="2488"/>
      <c r="S2014" s="6299"/>
      <c r="T2014" s="1119" t="s">
        <v>37</v>
      </c>
      <c r="U2014" s="1550"/>
      <c r="V2014" s="1102"/>
      <c r="W2014" s="1551" t="s">
        <v>193</v>
      </c>
      <c r="X2014" s="1552" t="s">
        <v>1529</v>
      </c>
      <c r="Y2014" s="427"/>
      <c r="Z2014" s="974"/>
      <c r="AA2014" s="6301"/>
    </row>
    <row r="2015" spans="2:60" s="11" customFormat="1" ht="27" thickBot="1">
      <c r="B2015" s="123" t="s">
        <v>1534</v>
      </c>
      <c r="C2015" s="124"/>
      <c r="D2015" s="124"/>
      <c r="E2015" s="124"/>
      <c r="F2015" s="78"/>
      <c r="G2015" s="1272" t="s">
        <v>1440</v>
      </c>
      <c r="H2015" s="1132"/>
      <c r="I2015" s="1132"/>
      <c r="J2015" s="1273"/>
      <c r="K2015" s="518"/>
      <c r="L2015" s="5624"/>
      <c r="M2015" s="5614"/>
      <c r="N2015" s="5614"/>
      <c r="O2015" s="5614"/>
      <c r="P2015" s="5614"/>
      <c r="Q2015" s="5614"/>
      <c r="R2015" s="80"/>
      <c r="S2015" s="1133"/>
      <c r="T2015" s="1274"/>
      <c r="U2015" s="129"/>
      <c r="V2015" s="129"/>
      <c r="W2015" s="1274"/>
      <c r="X2015" s="328"/>
      <c r="Y2015" s="328"/>
      <c r="Z2015" s="1006"/>
      <c r="AA2015" s="6301"/>
      <c r="AB2015" s="139"/>
      <c r="AC2015" s="139"/>
      <c r="AD2015" s="139"/>
      <c r="AE2015" s="139"/>
      <c r="AF2015" s="139"/>
      <c r="AG2015" s="139"/>
      <c r="AH2015" s="139"/>
      <c r="AI2015" s="139"/>
      <c r="AJ2015" s="139"/>
      <c r="AK2015" s="139"/>
      <c r="AL2015" s="139"/>
      <c r="AM2015" s="139"/>
      <c r="AN2015" s="139"/>
      <c r="AO2015" s="139"/>
      <c r="AP2015" s="139"/>
      <c r="AQ2015" s="139"/>
      <c r="AR2015" s="139"/>
      <c r="AS2015" s="139"/>
      <c r="AT2015" s="139"/>
      <c r="AU2015" s="139"/>
      <c r="AV2015" s="139"/>
      <c r="AW2015" s="139"/>
      <c r="AX2015" s="139"/>
      <c r="AY2015" s="139"/>
      <c r="AZ2015" s="139"/>
      <c r="BA2015" s="139"/>
      <c r="BB2015" s="139"/>
      <c r="BC2015" s="139"/>
      <c r="BD2015" s="139"/>
      <c r="BE2015" s="139"/>
      <c r="BF2015" s="139"/>
      <c r="BG2015" s="139"/>
      <c r="BH2015" s="139"/>
    </row>
    <row r="2016" spans="2:60" s="11" customFormat="1" ht="20.100000000000001" customHeight="1">
      <c r="B2016" s="1553"/>
      <c r="C2016" s="9693" t="s">
        <v>1468</v>
      </c>
      <c r="D2016" s="9694"/>
      <c r="E2016" s="9694"/>
      <c r="F2016" s="9695"/>
      <c r="G2016" s="6336"/>
      <c r="H2016" s="9694" t="s">
        <v>1535</v>
      </c>
      <c r="I2016" s="9694"/>
      <c r="J2016" s="9694"/>
      <c r="K2016" s="9738" t="s">
        <v>168</v>
      </c>
      <c r="L2016" s="5638"/>
      <c r="M2016" s="5661"/>
      <c r="N2016" s="5639"/>
      <c r="O2016" s="5640"/>
      <c r="P2016" s="5640"/>
      <c r="Q2016" s="5640"/>
      <c r="R2016" s="826"/>
      <c r="S2016" s="262"/>
      <c r="T2016" s="1034" t="s">
        <v>37</v>
      </c>
      <c r="U2016" s="1554"/>
      <c r="V2016" s="1555"/>
      <c r="W2016" s="1556"/>
      <c r="X2016" s="6338"/>
      <c r="Y2016" s="1231"/>
      <c r="Z2016" s="1232"/>
      <c r="AA2016" s="6301"/>
      <c r="AB2016" s="139"/>
      <c r="AC2016" s="139"/>
      <c r="AD2016" s="139"/>
      <c r="AE2016" s="139"/>
      <c r="AF2016" s="139"/>
      <c r="AG2016" s="139"/>
      <c r="AH2016" s="139"/>
      <c r="AI2016" s="139"/>
      <c r="AJ2016" s="139"/>
      <c r="AK2016" s="139"/>
      <c r="AL2016" s="139"/>
      <c r="AM2016" s="139"/>
      <c r="AN2016" s="139"/>
      <c r="AO2016" s="139"/>
      <c r="AP2016" s="139"/>
      <c r="AQ2016" s="139"/>
      <c r="AR2016" s="139"/>
      <c r="AS2016" s="139"/>
      <c r="AT2016" s="139"/>
      <c r="AU2016" s="139"/>
      <c r="AV2016" s="139"/>
      <c r="AW2016" s="139"/>
      <c r="AX2016" s="139"/>
      <c r="AY2016" s="139"/>
      <c r="AZ2016" s="139"/>
      <c r="BA2016" s="139"/>
      <c r="BB2016" s="139"/>
      <c r="BC2016" s="139"/>
      <c r="BD2016" s="139"/>
      <c r="BE2016" s="139"/>
      <c r="BF2016" s="139"/>
      <c r="BG2016" s="139"/>
      <c r="BH2016" s="139"/>
    </row>
    <row r="2017" spans="2:60" s="11" customFormat="1" ht="20.100000000000001" customHeight="1">
      <c r="B2017" s="1360"/>
      <c r="C2017" s="6264"/>
      <c r="D2017" s="1142" t="s">
        <v>1536</v>
      </c>
      <c r="E2017" s="915"/>
      <c r="F2017" s="1143" t="s">
        <v>33</v>
      </c>
      <c r="G2017" s="358"/>
      <c r="H2017" s="6266"/>
      <c r="I2017" s="384" t="s">
        <v>1537</v>
      </c>
      <c r="J2017" s="384"/>
      <c r="K2017" s="1143" t="s">
        <v>35</v>
      </c>
      <c r="L2017" s="5594">
        <v>975</v>
      </c>
      <c r="M2017" s="5658"/>
      <c r="N2017" s="5601">
        <v>2044</v>
      </c>
      <c r="O2017" s="5666"/>
      <c r="P2017" s="5625">
        <v>1303</v>
      </c>
      <c r="Q2017" s="5601"/>
      <c r="R2017" s="1033" t="s">
        <v>1538</v>
      </c>
      <c r="S2017" s="6300" t="s">
        <v>1539</v>
      </c>
      <c r="T2017" s="1153" t="s">
        <v>37</v>
      </c>
      <c r="U2017" s="1154"/>
      <c r="V2017" s="1155"/>
      <c r="W2017" s="299" t="s">
        <v>193</v>
      </c>
      <c r="X2017" s="981" t="s">
        <v>1540</v>
      </c>
      <c r="Y2017" s="427"/>
      <c r="Z2017" s="974"/>
      <c r="AA2017" s="6301"/>
      <c r="AB2017" s="139"/>
      <c r="AC2017" s="139"/>
      <c r="AD2017" s="139"/>
      <c r="AE2017" s="139"/>
      <c r="AF2017" s="139"/>
      <c r="AG2017" s="139"/>
      <c r="AH2017" s="139"/>
      <c r="AI2017" s="139"/>
      <c r="AJ2017" s="139"/>
      <c r="AK2017" s="139"/>
      <c r="AL2017" s="139"/>
      <c r="AM2017" s="139"/>
      <c r="AN2017" s="139"/>
      <c r="AO2017" s="139"/>
      <c r="AP2017" s="139"/>
      <c r="AQ2017" s="139"/>
      <c r="AR2017" s="139"/>
      <c r="AS2017" s="139"/>
      <c r="AT2017" s="139"/>
      <c r="AU2017" s="139"/>
      <c r="AV2017" s="139"/>
      <c r="AW2017" s="139"/>
      <c r="AX2017" s="139"/>
      <c r="AY2017" s="139"/>
      <c r="AZ2017" s="139"/>
      <c r="BA2017" s="139"/>
      <c r="BB2017" s="139"/>
      <c r="BC2017" s="139"/>
      <c r="BD2017" s="139"/>
      <c r="BE2017" s="139"/>
      <c r="BF2017" s="139"/>
      <c r="BG2017" s="139"/>
      <c r="BH2017" s="139"/>
    </row>
    <row r="2018" spans="2:60" s="11" customFormat="1" ht="20.100000000000001" customHeight="1">
      <c r="B2018" s="1360"/>
      <c r="C2018" s="6265"/>
      <c r="D2018" s="787" t="s">
        <v>1451</v>
      </c>
      <c r="E2018" s="781"/>
      <c r="F2018" s="285" t="s">
        <v>33</v>
      </c>
      <c r="G2018" s="358"/>
      <c r="H2018" s="6267"/>
      <c r="I2018" s="347" t="s">
        <v>1541</v>
      </c>
      <c r="J2018" s="347"/>
      <c r="K2018" s="997" t="s">
        <v>35</v>
      </c>
      <c r="L2018" s="5594">
        <v>181</v>
      </c>
      <c r="M2018" s="5658"/>
      <c r="N2018" s="5601">
        <v>227</v>
      </c>
      <c r="O2018" s="5666"/>
      <c r="P2018" s="5625">
        <v>240</v>
      </c>
      <c r="Q2018" s="5601"/>
      <c r="R2018" s="2487" t="s">
        <v>1542</v>
      </c>
      <c r="S2018" s="1164" t="s">
        <v>1543</v>
      </c>
      <c r="T2018" s="165" t="s">
        <v>37</v>
      </c>
      <c r="U2018" s="1102"/>
      <c r="V2018" s="1101"/>
      <c r="W2018" s="299" t="s">
        <v>193</v>
      </c>
      <c r="X2018" s="277" t="s">
        <v>1544</v>
      </c>
      <c r="Y2018" s="265"/>
      <c r="Z2018" s="982"/>
      <c r="AA2018" s="6301"/>
      <c r="AB2018" s="139"/>
      <c r="AC2018" s="139"/>
      <c r="AD2018" s="139"/>
      <c r="AE2018" s="139"/>
      <c r="AF2018" s="139"/>
      <c r="AG2018" s="139"/>
      <c r="AH2018" s="139"/>
      <c r="AI2018" s="139"/>
      <c r="AJ2018" s="139"/>
      <c r="AK2018" s="139"/>
      <c r="AL2018" s="139"/>
      <c r="AM2018" s="139"/>
      <c r="AN2018" s="139"/>
      <c r="AO2018" s="139"/>
      <c r="AP2018" s="139"/>
      <c r="AQ2018" s="139"/>
      <c r="AR2018" s="139"/>
      <c r="AS2018" s="139"/>
      <c r="AT2018" s="139"/>
      <c r="AU2018" s="139"/>
      <c r="AV2018" s="139"/>
      <c r="AW2018" s="139"/>
      <c r="AX2018" s="139"/>
      <c r="AY2018" s="139"/>
      <c r="AZ2018" s="139"/>
      <c r="BA2018" s="139"/>
      <c r="BB2018" s="139"/>
      <c r="BC2018" s="139"/>
      <c r="BD2018" s="139"/>
      <c r="BE2018" s="139"/>
      <c r="BF2018" s="139"/>
      <c r="BG2018" s="139"/>
      <c r="BH2018" s="139"/>
    </row>
    <row r="2019" spans="2:60" s="11" customFormat="1" ht="20.100000000000001" customHeight="1">
      <c r="B2019" s="1360"/>
      <c r="C2019" s="9733" t="s">
        <v>1545</v>
      </c>
      <c r="D2019" s="9734"/>
      <c r="E2019" s="9735"/>
      <c r="F2019" s="105" t="s">
        <v>156</v>
      </c>
      <c r="G2019" s="495"/>
      <c r="H2019" s="9736" t="s">
        <v>1546</v>
      </c>
      <c r="I2019" s="9737"/>
      <c r="J2019" s="9642"/>
      <c r="K2019" s="285" t="s">
        <v>154</v>
      </c>
      <c r="L2019" s="6024">
        <v>0</v>
      </c>
      <c r="M2019" s="5840"/>
      <c r="N2019" s="6079">
        <v>0</v>
      </c>
      <c r="O2019" s="5840"/>
      <c r="P2019" s="6387">
        <v>0</v>
      </c>
      <c r="Q2019" s="6056"/>
      <c r="R2019" s="498" t="s">
        <v>1547</v>
      </c>
      <c r="S2019" s="367" t="s">
        <v>1548</v>
      </c>
      <c r="T2019" s="162" t="s">
        <v>37</v>
      </c>
      <c r="U2019" s="773"/>
      <c r="V2019" s="547"/>
      <c r="W2019" s="299" t="s">
        <v>193</v>
      </c>
      <c r="X2019" s="277" t="s">
        <v>1549</v>
      </c>
      <c r="Y2019" s="265"/>
      <c r="Z2019" s="982"/>
      <c r="AA2019" s="6301"/>
      <c r="AB2019" s="139"/>
      <c r="AC2019" s="139"/>
      <c r="AD2019" s="139"/>
      <c r="AE2019" s="139"/>
      <c r="AF2019" s="139"/>
      <c r="AG2019" s="139"/>
      <c r="AH2019" s="139"/>
      <c r="AI2019" s="139"/>
      <c r="AJ2019" s="139"/>
      <c r="AK2019" s="139"/>
      <c r="AL2019" s="139"/>
      <c r="AM2019" s="139"/>
      <c r="AN2019" s="139"/>
      <c r="AO2019" s="139"/>
      <c r="AP2019" s="139"/>
      <c r="AQ2019" s="139"/>
      <c r="AR2019" s="139"/>
      <c r="AS2019" s="139"/>
      <c r="AT2019" s="139"/>
      <c r="AU2019" s="139"/>
      <c r="AV2019" s="139"/>
      <c r="AW2019" s="139"/>
      <c r="AX2019" s="139"/>
      <c r="AY2019" s="139"/>
      <c r="AZ2019" s="139"/>
      <c r="BA2019" s="139"/>
      <c r="BB2019" s="139"/>
      <c r="BC2019" s="139"/>
      <c r="BD2019" s="139"/>
      <c r="BE2019" s="139"/>
      <c r="BF2019" s="139"/>
      <c r="BG2019" s="139"/>
      <c r="BH2019" s="139"/>
    </row>
    <row r="2020" spans="2:60" s="11" customFormat="1" ht="20.100000000000001" customHeight="1">
      <c r="B2020" s="1360"/>
      <c r="C2020" s="6264"/>
      <c r="D2020" s="936" t="s">
        <v>1550</v>
      </c>
      <c r="E2020" s="924"/>
      <c r="F2020" s="105" t="s">
        <v>33</v>
      </c>
      <c r="G2020" s="358"/>
      <c r="H2020" s="6319"/>
      <c r="I2020" s="384" t="s">
        <v>1551</v>
      </c>
      <c r="J2020" s="384"/>
      <c r="K2020" s="285" t="s">
        <v>35</v>
      </c>
      <c r="L2020" s="5594">
        <v>0</v>
      </c>
      <c r="M2020" s="5658"/>
      <c r="N2020" s="5601">
        <v>0</v>
      </c>
      <c r="O2020" s="5666"/>
      <c r="P2020" s="5625">
        <v>0</v>
      </c>
      <c r="Q2020" s="5601"/>
      <c r="R2020" s="498"/>
      <c r="S2020" s="1164"/>
      <c r="T2020" s="165" t="s">
        <v>37</v>
      </c>
      <c r="U2020" s="773"/>
      <c r="V2020" s="1101"/>
      <c r="W2020" s="299" t="s">
        <v>193</v>
      </c>
      <c r="X2020" s="427" t="s">
        <v>1549</v>
      </c>
      <c r="Y2020" s="427"/>
      <c r="Z2020" s="982"/>
      <c r="AA2020" s="6301"/>
      <c r="AB2020" s="139"/>
      <c r="AC2020" s="139"/>
      <c r="AD2020" s="139"/>
      <c r="AE2020" s="139"/>
      <c r="AF2020" s="139"/>
      <c r="AG2020" s="139"/>
      <c r="AH2020" s="139"/>
      <c r="AI2020" s="139"/>
      <c r="AJ2020" s="139"/>
      <c r="AK2020" s="139"/>
      <c r="AL2020" s="139"/>
      <c r="AM2020" s="139"/>
      <c r="AN2020" s="139"/>
      <c r="AO2020" s="139"/>
      <c r="AP2020" s="139"/>
      <c r="AQ2020" s="139"/>
      <c r="AR2020" s="139"/>
      <c r="AS2020" s="139"/>
      <c r="AT2020" s="139"/>
      <c r="AU2020" s="139"/>
      <c r="AV2020" s="139"/>
      <c r="AW2020" s="139"/>
      <c r="AX2020" s="139"/>
      <c r="AY2020" s="139"/>
      <c r="AZ2020" s="139"/>
      <c r="BA2020" s="139"/>
      <c r="BB2020" s="139"/>
      <c r="BC2020" s="139"/>
      <c r="BD2020" s="139"/>
      <c r="BE2020" s="139"/>
      <c r="BF2020" s="139"/>
      <c r="BG2020" s="139"/>
      <c r="BH2020" s="139"/>
    </row>
    <row r="2021" spans="2:60" s="11" customFormat="1" ht="20.100000000000001" customHeight="1" thickBot="1">
      <c r="B2021" s="1361"/>
      <c r="C2021" s="6313"/>
      <c r="D2021" s="1168" t="s">
        <v>1552</v>
      </c>
      <c r="E2021" s="1169"/>
      <c r="F2021" s="1170" t="s">
        <v>33</v>
      </c>
      <c r="G2021" s="707"/>
      <c r="H2021" s="6278"/>
      <c r="I2021" s="707" t="s">
        <v>1553</v>
      </c>
      <c r="J2021" s="707"/>
      <c r="K2021" s="5641" t="s">
        <v>35</v>
      </c>
      <c r="L2021" s="5651">
        <v>650</v>
      </c>
      <c r="M2021" s="6397" t="s">
        <v>1554</v>
      </c>
      <c r="N2021" s="5613">
        <v>690</v>
      </c>
      <c r="O2021" s="6398" t="s">
        <v>1554</v>
      </c>
      <c r="P2021" s="5652">
        <v>720</v>
      </c>
      <c r="Q2021" s="5613"/>
      <c r="R2021" s="2490"/>
      <c r="S2021" s="1180"/>
      <c r="T2021" s="1181" t="s">
        <v>37</v>
      </c>
      <c r="U2021" s="1182"/>
      <c r="V2021" s="597"/>
      <c r="W2021" s="1130" t="s">
        <v>193</v>
      </c>
      <c r="X2021" s="1183" t="s">
        <v>1549</v>
      </c>
      <c r="Y2021" s="1131"/>
      <c r="Z2021" s="1184"/>
      <c r="AA2021" s="6301"/>
      <c r="AB2021" s="139"/>
      <c r="AC2021" s="139"/>
      <c r="AD2021" s="139"/>
      <c r="AE2021" s="139"/>
      <c r="AF2021" s="139"/>
      <c r="AG2021" s="139"/>
      <c r="AH2021" s="139"/>
      <c r="AI2021" s="139"/>
      <c r="AJ2021" s="139"/>
      <c r="AK2021" s="139"/>
      <c r="AL2021" s="139"/>
      <c r="AM2021" s="139"/>
      <c r="AN2021" s="139"/>
      <c r="AO2021" s="139"/>
      <c r="AP2021" s="139"/>
      <c r="AQ2021" s="139"/>
      <c r="AR2021" s="139"/>
      <c r="AS2021" s="139"/>
      <c r="AT2021" s="139"/>
      <c r="AU2021" s="139"/>
      <c r="AV2021" s="139"/>
      <c r="AW2021" s="139"/>
      <c r="AX2021" s="139"/>
      <c r="AY2021" s="139"/>
      <c r="AZ2021" s="139"/>
      <c r="BA2021" s="139"/>
      <c r="BB2021" s="139"/>
      <c r="BC2021" s="139"/>
      <c r="BD2021" s="139"/>
      <c r="BE2021" s="139"/>
      <c r="BF2021" s="139"/>
      <c r="BG2021" s="139"/>
      <c r="BH2021" s="139"/>
    </row>
    <row r="2022" spans="2:60" s="11" customFormat="1" ht="27" thickBot="1">
      <c r="B2022" s="123" t="s">
        <v>1555</v>
      </c>
      <c r="C2022" s="1132"/>
      <c r="D2022" s="1132"/>
      <c r="E2022" s="1132"/>
      <c r="F2022" s="1132"/>
      <c r="G2022" s="519" t="s">
        <v>1556</v>
      </c>
      <c r="H2022" s="521"/>
      <c r="I2022" s="521"/>
      <c r="J2022" s="521"/>
      <c r="K2022" s="518"/>
      <c r="L2022" s="5624"/>
      <c r="M2022" s="5614"/>
      <c r="N2022" s="5614"/>
      <c r="O2022" s="5614"/>
      <c r="P2022" s="5614"/>
      <c r="Q2022" s="6126"/>
      <c r="R2022" s="1133"/>
      <c r="S2022" s="1185"/>
      <c r="T2022" s="1185"/>
      <c r="U2022" s="1135"/>
      <c r="V2022" s="1135"/>
      <c r="W2022" s="1185"/>
      <c r="X2022" s="1136"/>
      <c r="Y2022" s="1136"/>
      <c r="Z2022" s="1137"/>
      <c r="AA2022" s="6301"/>
      <c r="AB2022" s="139"/>
      <c r="AC2022" s="139"/>
      <c r="AD2022" s="139"/>
      <c r="AE2022" s="139"/>
      <c r="AF2022" s="139"/>
      <c r="AG2022" s="139"/>
      <c r="AH2022" s="139"/>
      <c r="AI2022" s="139"/>
      <c r="AJ2022" s="139"/>
      <c r="AK2022" s="139"/>
      <c r="AL2022" s="139"/>
      <c r="AM2022" s="139"/>
      <c r="AN2022" s="139"/>
      <c r="AO2022" s="139"/>
      <c r="AP2022" s="139"/>
      <c r="AQ2022" s="139"/>
      <c r="AR2022" s="139"/>
      <c r="AS2022" s="139"/>
      <c r="AT2022" s="139"/>
      <c r="AU2022" s="139"/>
      <c r="AV2022" s="139"/>
      <c r="AW2022" s="139"/>
      <c r="AX2022" s="139"/>
      <c r="AY2022" s="139"/>
      <c r="AZ2022" s="139"/>
      <c r="BA2022" s="139"/>
      <c r="BB2022" s="139"/>
      <c r="BC2022" s="139"/>
      <c r="BD2022" s="139"/>
      <c r="BE2022" s="139"/>
      <c r="BF2022" s="139"/>
      <c r="BG2022" s="139"/>
      <c r="BH2022" s="139"/>
    </row>
    <row r="2023" spans="2:60" s="139" customFormat="1" ht="20.100000000000001" customHeight="1">
      <c r="B2023" s="1359"/>
      <c r="C2023" s="9739" t="s">
        <v>1557</v>
      </c>
      <c r="D2023" s="9740"/>
      <c r="E2023" s="9741"/>
      <c r="F2023" s="755" t="s">
        <v>156</v>
      </c>
      <c r="G2023" s="1008"/>
      <c r="H2023" s="9736" t="s">
        <v>1558</v>
      </c>
      <c r="I2023" s="9737"/>
      <c r="J2023" s="9642"/>
      <c r="K2023" s="755" t="s">
        <v>156</v>
      </c>
      <c r="L2023" s="5642">
        <v>40.019095388033222</v>
      </c>
      <c r="M2023" s="6399"/>
      <c r="N2023" s="5643">
        <v>48.507536747687816</v>
      </c>
      <c r="O2023" s="5644"/>
      <c r="P2023" s="5643">
        <v>33.621514197458332</v>
      </c>
      <c r="Q2023" s="1225"/>
      <c r="R2023" s="2491" t="s">
        <v>1559</v>
      </c>
      <c r="S2023" s="1194" t="s">
        <v>1560</v>
      </c>
      <c r="T2023" s="758" t="s">
        <v>37</v>
      </c>
      <c r="U2023" s="534"/>
      <c r="V2023" s="534"/>
      <c r="W2023" s="299" t="s">
        <v>193</v>
      </c>
      <c r="X2023" s="277" t="s">
        <v>1561</v>
      </c>
      <c r="Y2023" s="154"/>
      <c r="Z2023" s="1195"/>
      <c r="AA2023" s="6301"/>
    </row>
    <row r="2024" spans="2:60" s="139" customFormat="1" ht="20.100000000000001" customHeight="1">
      <c r="B2024" s="1360"/>
      <c r="C2024" s="6264"/>
      <c r="D2024" s="1196" t="s">
        <v>1562</v>
      </c>
      <c r="E2024" s="1197"/>
      <c r="F2024" s="105" t="s">
        <v>1563</v>
      </c>
      <c r="G2024" s="735"/>
      <c r="H2024" s="6266"/>
      <c r="I2024" s="457" t="s">
        <v>1564</v>
      </c>
      <c r="J2024" s="457"/>
      <c r="K2024" s="105" t="s">
        <v>1565</v>
      </c>
      <c r="L2024" s="5594">
        <v>16330477</v>
      </c>
      <c r="M2024" s="5658"/>
      <c r="N2024" s="5601">
        <v>23148659</v>
      </c>
      <c r="O2024" s="5666"/>
      <c r="P2024" s="6461">
        <v>41163345</v>
      </c>
      <c r="Q2024" s="5601"/>
      <c r="R2024" s="2492"/>
      <c r="S2024" s="1202"/>
      <c r="T2024" s="162" t="s">
        <v>37</v>
      </c>
      <c r="U2024" s="547"/>
      <c r="V2024" s="547"/>
      <c r="W2024" s="299" t="s">
        <v>193</v>
      </c>
      <c r="X2024" s="277" t="s">
        <v>1561</v>
      </c>
      <c r="Y2024" s="154"/>
      <c r="Z2024" s="1195"/>
      <c r="AA2024" s="6301"/>
      <c r="AB2024" s="139" t="s">
        <v>1566</v>
      </c>
    </row>
    <row r="2025" spans="2:60" s="139" customFormat="1" ht="20.100000000000001" customHeight="1">
      <c r="B2025" s="1360"/>
      <c r="C2025" s="6265"/>
      <c r="D2025" s="1196" t="s">
        <v>1567</v>
      </c>
      <c r="E2025" s="1203"/>
      <c r="F2025" s="105" t="s">
        <v>1563</v>
      </c>
      <c r="G2025" s="735"/>
      <c r="H2025" s="6267"/>
      <c r="I2025" s="457" t="s">
        <v>1568</v>
      </c>
      <c r="J2025" s="457"/>
      <c r="K2025" s="105" t="s">
        <v>1565</v>
      </c>
      <c r="L2025" s="5756">
        <v>40806712</v>
      </c>
      <c r="M2025" s="5757"/>
      <c r="N2025" s="5758">
        <v>47721778</v>
      </c>
      <c r="O2025" s="5667"/>
      <c r="P2025" s="5759">
        <v>122431562</v>
      </c>
      <c r="Q2025" s="5601"/>
      <c r="R2025" s="2468"/>
      <c r="S2025" s="276"/>
      <c r="T2025" s="162" t="s">
        <v>37</v>
      </c>
      <c r="U2025" s="547"/>
      <c r="V2025" s="547"/>
      <c r="W2025" s="299" t="s">
        <v>193</v>
      </c>
      <c r="X2025" s="277" t="s">
        <v>1561</v>
      </c>
      <c r="Y2025" s="154"/>
      <c r="Z2025" s="1195"/>
      <c r="AA2025" s="6301"/>
    </row>
    <row r="2026" spans="2:60" s="139" customFormat="1" ht="20.100000000000001" customHeight="1">
      <c r="B2026" s="1360"/>
      <c r="C2026" s="9739" t="s">
        <v>1569</v>
      </c>
      <c r="D2026" s="9740"/>
      <c r="E2026" s="9741"/>
      <c r="F2026" s="105" t="s">
        <v>156</v>
      </c>
      <c r="G2026" s="358"/>
      <c r="H2026" s="9736" t="s">
        <v>1570</v>
      </c>
      <c r="I2026" s="9737"/>
      <c r="J2026" s="9642"/>
      <c r="K2026" s="105" t="s">
        <v>156</v>
      </c>
      <c r="L2026" s="5645">
        <v>0</v>
      </c>
      <c r="M2026" s="6400"/>
      <c r="N2026" s="1205">
        <v>0</v>
      </c>
      <c r="O2026" s="5646"/>
      <c r="P2026" s="1205">
        <v>0</v>
      </c>
      <c r="Q2026" s="1225"/>
      <c r="R2026" s="2492" t="s">
        <v>1571</v>
      </c>
      <c r="S2026" s="1202" t="s">
        <v>1572</v>
      </c>
      <c r="T2026" s="162" t="s">
        <v>37</v>
      </c>
      <c r="U2026" s="547"/>
      <c r="V2026" s="547"/>
      <c r="W2026" s="299" t="s">
        <v>193</v>
      </c>
      <c r="X2026" s="277" t="s">
        <v>1573</v>
      </c>
      <c r="Y2026" s="154"/>
      <c r="Z2026" s="1195"/>
      <c r="AA2026" s="6301"/>
    </row>
    <row r="2027" spans="2:60" s="139" customFormat="1" ht="20.100000000000001" customHeight="1">
      <c r="B2027" s="1360"/>
      <c r="C2027" s="1210"/>
      <c r="D2027" s="936" t="s">
        <v>1574</v>
      </c>
      <c r="E2027" s="924"/>
      <c r="F2027" s="105" t="s">
        <v>1563</v>
      </c>
      <c r="G2027" s="1223"/>
      <c r="H2027" s="6264"/>
      <c r="I2027" s="6316" t="s">
        <v>1575</v>
      </c>
      <c r="J2027" s="6242"/>
      <c r="K2027" s="105" t="s">
        <v>1565</v>
      </c>
      <c r="L2027" s="5594">
        <v>0</v>
      </c>
      <c r="M2027" s="5658"/>
      <c r="N2027" s="5601">
        <v>0</v>
      </c>
      <c r="O2027" s="5666"/>
      <c r="P2027" s="5625">
        <v>0</v>
      </c>
      <c r="Q2027" s="5601"/>
      <c r="R2027" s="2492"/>
      <c r="S2027" s="1202"/>
      <c r="T2027" s="162" t="s">
        <v>37</v>
      </c>
      <c r="U2027" s="547"/>
      <c r="V2027" s="547"/>
      <c r="W2027" s="299" t="s">
        <v>193</v>
      </c>
      <c r="X2027" s="277" t="s">
        <v>1573</v>
      </c>
      <c r="Y2027" s="154"/>
      <c r="Z2027" s="1195"/>
      <c r="AA2027" s="6301"/>
    </row>
    <row r="2028" spans="2:60" s="139" customFormat="1" ht="20.100000000000001" customHeight="1">
      <c r="B2028" s="1360"/>
      <c r="C2028" s="1210"/>
      <c r="D2028" s="1216" t="s">
        <v>1567</v>
      </c>
      <c r="E2028" s="1217"/>
      <c r="F2028" s="105" t="s">
        <v>1563</v>
      </c>
      <c r="G2028" s="1223"/>
      <c r="H2028" s="6265"/>
      <c r="I2028" s="1219" t="s">
        <v>1576</v>
      </c>
      <c r="J2028" s="1220"/>
      <c r="K2028" s="105" t="s">
        <v>1565</v>
      </c>
      <c r="L2028" s="5756">
        <v>40806712</v>
      </c>
      <c r="M2028" s="5757"/>
      <c r="N2028" s="5758">
        <v>47721778</v>
      </c>
      <c r="O2028" s="5667"/>
      <c r="P2028" s="5759">
        <v>122431562</v>
      </c>
      <c r="Q2028" s="5601"/>
      <c r="R2028" s="2468"/>
      <c r="S2028" s="276"/>
      <c r="T2028" s="162" t="s">
        <v>37</v>
      </c>
      <c r="U2028" s="547"/>
      <c r="V2028" s="547"/>
      <c r="W2028" s="299" t="s">
        <v>193</v>
      </c>
      <c r="X2028" s="277" t="s">
        <v>1573</v>
      </c>
      <c r="Y2028" s="154"/>
      <c r="Z2028" s="1195"/>
      <c r="AA2028" s="6301"/>
    </row>
    <row r="2029" spans="2:60" s="139" customFormat="1" ht="20.100000000000001" customHeight="1">
      <c r="B2029" s="1360"/>
      <c r="C2029" s="9739" t="s">
        <v>1577</v>
      </c>
      <c r="D2029" s="9740"/>
      <c r="E2029" s="9741"/>
      <c r="F2029" s="1222" t="s">
        <v>156</v>
      </c>
      <c r="G2029" s="1223"/>
      <c r="H2029" s="9739" t="s">
        <v>1578</v>
      </c>
      <c r="I2029" s="9740"/>
      <c r="J2029" s="9741"/>
      <c r="K2029" s="1222" t="s">
        <v>156</v>
      </c>
      <c r="L2029" s="5645">
        <v>0</v>
      </c>
      <c r="M2029" s="6400"/>
      <c r="N2029" s="1205">
        <v>0</v>
      </c>
      <c r="O2029" s="5646"/>
      <c r="P2029" s="1205" t="s">
        <v>169</v>
      </c>
      <c r="Q2029" s="1225"/>
      <c r="R2029" s="2493" t="s">
        <v>1579</v>
      </c>
      <c r="S2029" s="1230" t="s">
        <v>1580</v>
      </c>
      <c r="T2029" s="1034" t="s">
        <v>37</v>
      </c>
      <c r="U2029" s="878"/>
      <c r="V2029" s="878"/>
      <c r="W2029" s="299" t="s">
        <v>193</v>
      </c>
      <c r="X2029" s="277" t="s">
        <v>1581</v>
      </c>
      <c r="Y2029" s="154"/>
      <c r="Z2029" s="1195"/>
      <c r="AA2029" s="6301"/>
    </row>
    <row r="2030" spans="2:60" s="139" customFormat="1" ht="20.100000000000001" customHeight="1">
      <c r="B2030" s="1360"/>
      <c r="C2030" s="1210"/>
      <c r="D2030" s="936" t="s">
        <v>1582</v>
      </c>
      <c r="E2030" s="924"/>
      <c r="F2030" s="105" t="s">
        <v>1563</v>
      </c>
      <c r="G2030" s="1223"/>
      <c r="H2030" s="6264"/>
      <c r="I2030" s="932" t="s">
        <v>1583</v>
      </c>
      <c r="J2030" s="993"/>
      <c r="K2030" s="105" t="s">
        <v>1565</v>
      </c>
      <c r="L2030" s="5594">
        <v>0</v>
      </c>
      <c r="M2030" s="5658"/>
      <c r="N2030" s="5601">
        <v>0</v>
      </c>
      <c r="O2030" s="5666"/>
      <c r="P2030" s="5625">
        <v>0</v>
      </c>
      <c r="Q2030" s="5601"/>
      <c r="R2030" s="2492"/>
      <c r="S2030" s="1202"/>
      <c r="T2030" s="162" t="s">
        <v>37</v>
      </c>
      <c r="U2030" s="547"/>
      <c r="V2030" s="547"/>
      <c r="W2030" s="299" t="s">
        <v>193</v>
      </c>
      <c r="X2030" s="277" t="s">
        <v>1581</v>
      </c>
      <c r="Y2030" s="154"/>
      <c r="Z2030" s="1195"/>
      <c r="AA2030" s="6301"/>
    </row>
    <row r="2031" spans="2:60" s="139" customFormat="1" ht="20.100000000000001" customHeight="1">
      <c r="B2031" s="1360"/>
      <c r="C2031" s="1210"/>
      <c r="D2031" s="1216" t="s">
        <v>1584</v>
      </c>
      <c r="E2031" s="1217"/>
      <c r="F2031" s="105" t="s">
        <v>1563</v>
      </c>
      <c r="G2031" s="1223"/>
      <c r="H2031" s="6265"/>
      <c r="I2031" s="1219" t="s">
        <v>1585</v>
      </c>
      <c r="J2031" s="1220"/>
      <c r="K2031" s="105" t="s">
        <v>1565</v>
      </c>
      <c r="L2031" s="5594">
        <v>29176998</v>
      </c>
      <c r="M2031" s="5658"/>
      <c r="N2031" s="5601">
        <v>29176998</v>
      </c>
      <c r="O2031" s="5666"/>
      <c r="P2031" s="5625">
        <v>41134270</v>
      </c>
      <c r="Q2031" s="5601"/>
      <c r="R2031" s="1052"/>
      <c r="S2031" s="714"/>
      <c r="T2031" s="165" t="s">
        <v>37</v>
      </c>
      <c r="U2031" s="1101"/>
      <c r="V2031" s="1101"/>
      <c r="W2031" s="299" t="s">
        <v>193</v>
      </c>
      <c r="X2031" s="277" t="s">
        <v>1581</v>
      </c>
      <c r="Y2031" s="1231"/>
      <c r="Z2031" s="1232"/>
      <c r="AA2031" s="6301"/>
    </row>
    <row r="2032" spans="2:60" s="139" customFormat="1" ht="20.100000000000001" customHeight="1">
      <c r="B2032" s="1360"/>
      <c r="C2032" s="924" t="s">
        <v>1586</v>
      </c>
      <c r="D2032" s="1233"/>
      <c r="E2032" s="1217"/>
      <c r="F2032" s="5835" t="s">
        <v>156</v>
      </c>
      <c r="G2032" s="1223"/>
      <c r="H2032" s="6315" t="s">
        <v>1587</v>
      </c>
      <c r="I2032" s="6197"/>
      <c r="J2032" s="6314"/>
      <c r="K2032" s="105" t="s">
        <v>156</v>
      </c>
      <c r="L2032" s="5721" t="s">
        <v>169</v>
      </c>
      <c r="M2032" s="5682"/>
      <c r="N2032" s="1212" t="s">
        <v>169</v>
      </c>
      <c r="O2032" s="5682"/>
      <c r="P2032" s="5647" t="s">
        <v>169</v>
      </c>
      <c r="Q2032" s="1814"/>
      <c r="R2032" s="2468"/>
      <c r="S2032" s="1242"/>
      <c r="T2032" s="285" t="s">
        <v>37</v>
      </c>
      <c r="U2032" s="547"/>
      <c r="V2032" s="546"/>
      <c r="W2032" s="299" t="s">
        <v>193</v>
      </c>
      <c r="X2032" s="1243" t="s">
        <v>1588</v>
      </c>
      <c r="Y2032" s="265"/>
      <c r="Z2032" s="1244"/>
      <c r="AA2032" s="6301"/>
    </row>
    <row r="2033" spans="2:60" s="139" customFormat="1" ht="20.100000000000001" customHeight="1">
      <c r="B2033" s="1360"/>
      <c r="C2033" s="9739" t="s">
        <v>1589</v>
      </c>
      <c r="D2033" s="9740"/>
      <c r="E2033" s="9741"/>
      <c r="F2033" s="105" t="s">
        <v>156</v>
      </c>
      <c r="G2033" s="1223"/>
      <c r="H2033" s="9736" t="s">
        <v>1590</v>
      </c>
      <c r="I2033" s="9740"/>
      <c r="J2033" s="9741"/>
      <c r="K2033" s="105" t="s">
        <v>156</v>
      </c>
      <c r="L2033" s="6462">
        <v>0.59523809523809523</v>
      </c>
      <c r="M2033" s="6463"/>
      <c r="N2033" s="6463">
        <v>32.335329341317362</v>
      </c>
      <c r="O2033" s="6463"/>
      <c r="P2033" s="6463">
        <v>-333.39100346020763</v>
      </c>
      <c r="Q2033" s="1205"/>
      <c r="R2033" s="2493" t="s">
        <v>1591</v>
      </c>
      <c r="S2033" s="1230" t="s">
        <v>1592</v>
      </c>
      <c r="T2033" s="1034" t="s">
        <v>37</v>
      </c>
      <c r="U2033" s="878"/>
      <c r="V2033" s="878"/>
      <c r="W2033" s="299" t="s">
        <v>193</v>
      </c>
      <c r="X2033" s="277" t="s">
        <v>1593</v>
      </c>
      <c r="Y2033" s="154"/>
      <c r="Z2033" s="982"/>
      <c r="AA2033" s="6301"/>
    </row>
    <row r="2034" spans="2:60" s="139" customFormat="1" ht="20.100000000000001" customHeight="1">
      <c r="B2034" s="1360"/>
      <c r="C2034" s="6264"/>
      <c r="D2034" s="932" t="s">
        <v>1594</v>
      </c>
      <c r="E2034" s="926"/>
      <c r="F2034" s="105" t="s">
        <v>1595</v>
      </c>
      <c r="G2034" s="1211"/>
      <c r="H2034" s="6264"/>
      <c r="I2034" s="932" t="s">
        <v>1596</v>
      </c>
      <c r="J2034" s="993"/>
      <c r="K2034" s="105" t="s">
        <v>1597</v>
      </c>
      <c r="L2034" s="5594">
        <v>25200</v>
      </c>
      <c r="M2034" s="5658"/>
      <c r="N2034" s="516">
        <v>25050</v>
      </c>
      <c r="O2034" s="5666"/>
      <c r="P2034" s="6461">
        <v>5780</v>
      </c>
      <c r="Q2034" s="5601"/>
      <c r="R2034" s="2492"/>
      <c r="S2034" s="1202"/>
      <c r="T2034" s="162" t="s">
        <v>37</v>
      </c>
      <c r="U2034" s="547"/>
      <c r="V2034" s="547"/>
      <c r="W2034" s="299" t="s">
        <v>193</v>
      </c>
      <c r="X2034" s="277" t="s">
        <v>1598</v>
      </c>
      <c r="Y2034" s="154"/>
      <c r="Z2034" s="1195"/>
      <c r="AA2034" s="6301"/>
      <c r="AB2034" s="139" t="s">
        <v>1599</v>
      </c>
    </row>
    <row r="2035" spans="2:60" s="139" customFormat="1" ht="20.100000000000001" customHeight="1">
      <c r="B2035" s="1360"/>
      <c r="C2035" s="6264"/>
      <c r="D2035" s="1219" t="s">
        <v>1600</v>
      </c>
      <c r="E2035" s="1251"/>
      <c r="F2035" s="109" t="s">
        <v>1595</v>
      </c>
      <c r="G2035" s="6270"/>
      <c r="H2035" s="6271"/>
      <c r="I2035" s="6268" t="s">
        <v>1601</v>
      </c>
      <c r="J2035" s="1251"/>
      <c r="K2035" s="665" t="s">
        <v>1597</v>
      </c>
      <c r="L2035" s="5594">
        <v>25050</v>
      </c>
      <c r="M2035" s="5658"/>
      <c r="N2035" s="5601">
        <v>16950</v>
      </c>
      <c r="O2035" s="5666"/>
      <c r="P2035" s="5625">
        <v>25050</v>
      </c>
      <c r="Q2035" s="5601"/>
      <c r="R2035" s="2468"/>
      <c r="S2035" s="276"/>
      <c r="T2035" s="162" t="s">
        <v>37</v>
      </c>
      <c r="U2035" s="547"/>
      <c r="V2035" s="547"/>
      <c r="W2035" s="299" t="s">
        <v>193</v>
      </c>
      <c r="X2035" s="277" t="s">
        <v>1598</v>
      </c>
      <c r="Y2035" s="154"/>
      <c r="Z2035" s="1195"/>
      <c r="AA2035" s="6301"/>
    </row>
    <row r="2036" spans="2:60" s="139" customFormat="1" ht="20.100000000000001" customHeight="1" thickBot="1">
      <c r="B2036" s="1361"/>
      <c r="C2036" s="6265"/>
      <c r="D2036" s="1256" t="s">
        <v>1602</v>
      </c>
      <c r="E2036" s="1251"/>
      <c r="F2036" s="665" t="s">
        <v>1595</v>
      </c>
      <c r="G2036" s="6272"/>
      <c r="H2036" s="6273"/>
      <c r="I2036" s="6269" t="s">
        <v>1603</v>
      </c>
      <c r="J2036" s="1251"/>
      <c r="K2036" s="665" t="s">
        <v>1597</v>
      </c>
      <c r="L2036" s="5651">
        <v>0</v>
      </c>
      <c r="M2036" s="5662"/>
      <c r="N2036" s="5613">
        <v>0</v>
      </c>
      <c r="O2036" s="5668"/>
      <c r="P2036" s="5652">
        <v>0</v>
      </c>
      <c r="Q2036" s="5613"/>
      <c r="R2036" s="2477"/>
      <c r="S2036" s="1271"/>
      <c r="T2036" s="165" t="s">
        <v>37</v>
      </c>
      <c r="U2036" s="1101"/>
      <c r="V2036" s="1101"/>
      <c r="W2036" s="299" t="s">
        <v>193</v>
      </c>
      <c r="X2036" s="981" t="s">
        <v>1598</v>
      </c>
      <c r="Y2036" s="1231"/>
      <c r="Z2036" s="1232"/>
      <c r="AA2036" s="6301"/>
    </row>
    <row r="2037" spans="2:60" s="11" customFormat="1" ht="27" thickBot="1">
      <c r="B2037" s="123" t="s">
        <v>1604</v>
      </c>
      <c r="C2037" s="124"/>
      <c r="D2037" s="124"/>
      <c r="E2037" s="124"/>
      <c r="F2037" s="78"/>
      <c r="G2037" s="123" t="s">
        <v>1440</v>
      </c>
      <c r="H2037" s="77"/>
      <c r="I2037" s="124"/>
      <c r="J2037" s="124"/>
      <c r="K2037" s="78"/>
      <c r="L2037" s="5624"/>
      <c r="M2037" s="5614"/>
      <c r="N2037" s="5614"/>
      <c r="O2037" s="5614"/>
      <c r="P2037" s="5614"/>
      <c r="Q2037" s="5614"/>
      <c r="R2037" s="80"/>
      <c r="S2037" s="1133"/>
      <c r="T2037" s="1274"/>
      <c r="U2037" s="129"/>
      <c r="V2037" s="129"/>
      <c r="W2037" s="1274"/>
      <c r="X2037" s="328"/>
      <c r="Y2037" s="328"/>
      <c r="Z2037" s="1006"/>
      <c r="AA2037" s="6301"/>
      <c r="AB2037" s="139"/>
      <c r="AC2037" s="139"/>
      <c r="AD2037" s="139"/>
      <c r="AE2037" s="139"/>
      <c r="AF2037" s="139"/>
      <c r="AG2037" s="139"/>
      <c r="AH2037" s="139"/>
      <c r="AI2037" s="139"/>
      <c r="AJ2037" s="139"/>
      <c r="AK2037" s="139"/>
      <c r="AL2037" s="139"/>
      <c r="AM2037" s="139"/>
      <c r="AN2037" s="139"/>
      <c r="AO2037" s="139"/>
      <c r="AP2037" s="139"/>
      <c r="AQ2037" s="139"/>
      <c r="AR2037" s="139"/>
      <c r="AS2037" s="139"/>
      <c r="AT2037" s="139"/>
      <c r="AU2037" s="139"/>
      <c r="AV2037" s="139"/>
      <c r="AW2037" s="139"/>
      <c r="AX2037" s="139"/>
      <c r="AY2037" s="139"/>
      <c r="AZ2037" s="139"/>
      <c r="BA2037" s="139"/>
      <c r="BB2037" s="139"/>
      <c r="BC2037" s="139"/>
      <c r="BD2037" s="139"/>
      <c r="BE2037" s="139"/>
      <c r="BF2037" s="139"/>
      <c r="BG2037" s="139"/>
      <c r="BH2037" s="139"/>
    </row>
    <row r="2038" spans="2:60" s="139" customFormat="1" ht="20.100000000000001" customHeight="1">
      <c r="B2038" s="1662"/>
      <c r="C2038" s="9739" t="s">
        <v>1605</v>
      </c>
      <c r="D2038" s="9740"/>
      <c r="E2038" s="9741"/>
      <c r="F2038" s="755" t="s">
        <v>156</v>
      </c>
      <c r="G2038" s="1275"/>
      <c r="H2038" s="9736" t="s">
        <v>1606</v>
      </c>
      <c r="I2038" s="9740"/>
      <c r="J2038" s="9741"/>
      <c r="K2038" s="755" t="s">
        <v>156</v>
      </c>
      <c r="L2038" s="6464">
        <v>0</v>
      </c>
      <c r="M2038" s="6465"/>
      <c r="N2038" s="5648">
        <v>0</v>
      </c>
      <c r="O2038" s="6466"/>
      <c r="P2038" s="6466">
        <v>0</v>
      </c>
      <c r="Q2038" s="5648"/>
      <c r="R2038" s="2491" t="s">
        <v>1607</v>
      </c>
      <c r="S2038" s="1284" t="s">
        <v>1608</v>
      </c>
      <c r="T2038" s="162" t="s">
        <v>37</v>
      </c>
      <c r="U2038" s="534"/>
      <c r="V2038" s="534"/>
      <c r="W2038" s="299" t="s">
        <v>193</v>
      </c>
      <c r="X2038" s="277" t="s">
        <v>1609</v>
      </c>
      <c r="Y2038" s="154"/>
      <c r="Z2038" s="1195"/>
      <c r="AA2038" s="6301"/>
    </row>
    <row r="2039" spans="2:60" s="139" customFormat="1" ht="20.100000000000001" customHeight="1">
      <c r="B2039" s="1360"/>
      <c r="C2039" s="6274"/>
      <c r="D2039" s="1216" t="s">
        <v>1610</v>
      </c>
      <c r="E2039" s="1217"/>
      <c r="F2039" s="105" t="s">
        <v>33</v>
      </c>
      <c r="G2039" s="475"/>
      <c r="H2039" s="1285"/>
      <c r="I2039" s="1219" t="s">
        <v>1611</v>
      </c>
      <c r="J2039" s="1285"/>
      <c r="K2039" s="105" t="s">
        <v>35</v>
      </c>
      <c r="L2039" s="5594">
        <v>0</v>
      </c>
      <c r="M2039" s="5658"/>
      <c r="N2039" s="5601">
        <v>0</v>
      </c>
      <c r="O2039" s="5666"/>
      <c r="P2039" s="5625">
        <v>0</v>
      </c>
      <c r="Q2039" s="5601"/>
      <c r="R2039" s="2492"/>
      <c r="S2039" s="1202"/>
      <c r="T2039" s="162" t="s">
        <v>37</v>
      </c>
      <c r="U2039" s="547"/>
      <c r="V2039" s="547"/>
      <c r="W2039" s="299" t="s">
        <v>193</v>
      </c>
      <c r="X2039" s="277" t="s">
        <v>1609</v>
      </c>
      <c r="Y2039" s="154"/>
      <c r="Z2039" s="1195"/>
      <c r="AA2039" s="6301"/>
    </row>
    <row r="2040" spans="2:60" s="139" customFormat="1" ht="20.100000000000001" customHeight="1">
      <c r="B2040" s="1360"/>
      <c r="C2040" s="6258"/>
      <c r="D2040" s="1216" t="s">
        <v>1612</v>
      </c>
      <c r="E2040" s="1217"/>
      <c r="F2040" s="105" t="s">
        <v>33</v>
      </c>
      <c r="G2040" s="475"/>
      <c r="H2040" s="1285"/>
      <c r="I2040" s="1219" t="s">
        <v>1613</v>
      </c>
      <c r="J2040" s="1285"/>
      <c r="K2040" s="105" t="s">
        <v>35</v>
      </c>
      <c r="L2040" s="5594">
        <v>396981</v>
      </c>
      <c r="M2040" s="5658"/>
      <c r="N2040" s="5601">
        <v>569297</v>
      </c>
      <c r="O2040" s="5666"/>
      <c r="P2040" s="5625">
        <v>628458</v>
      </c>
      <c r="Q2040" s="5601"/>
      <c r="R2040" s="2468"/>
      <c r="S2040" s="276"/>
      <c r="T2040" s="162" t="s">
        <v>37</v>
      </c>
      <c r="U2040" s="547"/>
      <c r="V2040" s="547"/>
      <c r="W2040" s="299" t="s">
        <v>193</v>
      </c>
      <c r="X2040" s="154" t="s">
        <v>1609</v>
      </c>
      <c r="Y2040" s="154"/>
      <c r="Z2040" s="1195"/>
      <c r="AA2040" s="6301"/>
    </row>
    <row r="2041" spans="2:60" s="139" customFormat="1" ht="20.100000000000001" customHeight="1">
      <c r="B2041" s="1662"/>
      <c r="C2041" s="6317" t="s">
        <v>1614</v>
      </c>
      <c r="D2041" s="6318"/>
      <c r="E2041" s="6337"/>
      <c r="F2041" s="285" t="s">
        <v>156</v>
      </c>
      <c r="G2041" s="1286"/>
      <c r="H2041" s="9736" t="s">
        <v>1615</v>
      </c>
      <c r="I2041" s="9740"/>
      <c r="J2041" s="9642"/>
      <c r="K2041" s="285" t="s">
        <v>156</v>
      </c>
      <c r="L2041" s="2447">
        <v>7.2726885424496288</v>
      </c>
      <c r="M2041" s="2164"/>
      <c r="N2041" s="1314">
        <v>3.880341856150396</v>
      </c>
      <c r="O2041" s="4755"/>
      <c r="P2041" s="4755">
        <v>4.6157765289153607</v>
      </c>
      <c r="Q2041" s="1314"/>
      <c r="R2041" s="2492" t="s">
        <v>1616</v>
      </c>
      <c r="S2041" s="1230" t="s">
        <v>1617</v>
      </c>
      <c r="T2041" s="1034" t="s">
        <v>37</v>
      </c>
      <c r="U2041" s="547"/>
      <c r="V2041" s="547"/>
      <c r="W2041" s="299" t="s">
        <v>193</v>
      </c>
      <c r="X2041" s="154" t="s">
        <v>1618</v>
      </c>
      <c r="Y2041" s="154"/>
      <c r="Z2041" s="1195"/>
      <c r="AA2041" s="6301"/>
    </row>
    <row r="2042" spans="2:60" s="139" customFormat="1" ht="20.100000000000001" customHeight="1">
      <c r="B2042" s="1360"/>
      <c r="C2042" s="1210"/>
      <c r="D2042" s="936" t="s">
        <v>1619</v>
      </c>
      <c r="E2042" s="924"/>
      <c r="F2042" s="105" t="s">
        <v>33</v>
      </c>
      <c r="G2042" s="1286"/>
      <c r="H2042" s="1292"/>
      <c r="I2042" s="995" t="s">
        <v>1620</v>
      </c>
      <c r="J2042" s="993"/>
      <c r="K2042" s="105" t="s">
        <v>35</v>
      </c>
      <c r="L2042" s="5594">
        <v>23899</v>
      </c>
      <c r="M2042" s="5658"/>
      <c r="N2042" s="5601">
        <v>27419</v>
      </c>
      <c r="O2042" s="5666"/>
      <c r="P2042" s="5625">
        <v>35695</v>
      </c>
      <c r="Q2042" s="5601"/>
      <c r="R2042" s="2492"/>
      <c r="S2042" s="1230"/>
      <c r="T2042" s="1034" t="s">
        <v>37</v>
      </c>
      <c r="U2042" s="547"/>
      <c r="V2042" s="547"/>
      <c r="W2042" s="299" t="s">
        <v>193</v>
      </c>
      <c r="X2042" s="154" t="s">
        <v>1618</v>
      </c>
      <c r="Y2042" s="154"/>
      <c r="Z2042" s="1195"/>
      <c r="AA2042" s="6301"/>
    </row>
    <row r="2043" spans="2:60" s="139" customFormat="1" ht="20.100000000000001" customHeight="1">
      <c r="B2043" s="1360"/>
      <c r="C2043" s="1210"/>
      <c r="D2043" s="1216" t="s">
        <v>1621</v>
      </c>
      <c r="E2043" s="1217"/>
      <c r="F2043" s="105" t="s">
        <v>33</v>
      </c>
      <c r="G2043" s="475"/>
      <c r="H2043" s="1285"/>
      <c r="I2043" s="726" t="s">
        <v>1622</v>
      </c>
      <c r="J2043" s="1293"/>
      <c r="K2043" s="105" t="s">
        <v>35</v>
      </c>
      <c r="L2043" s="5594">
        <v>328613</v>
      </c>
      <c r="M2043" s="5658"/>
      <c r="N2043" s="5601">
        <v>706613</v>
      </c>
      <c r="O2043" s="5666"/>
      <c r="P2043" s="5625">
        <v>773326</v>
      </c>
      <c r="Q2043" s="5601"/>
      <c r="R2043" s="2468"/>
      <c r="S2043" s="544"/>
      <c r="T2043" s="1034" t="s">
        <v>37</v>
      </c>
      <c r="U2043" s="547"/>
      <c r="V2043" s="547"/>
      <c r="W2043" s="299" t="s">
        <v>193</v>
      </c>
      <c r="X2043" s="154" t="s">
        <v>1618</v>
      </c>
      <c r="Y2043" s="154"/>
      <c r="Z2043" s="1195"/>
      <c r="AA2043" s="6301"/>
    </row>
    <row r="2044" spans="2:60" s="139" customFormat="1" ht="20.100000000000001" customHeight="1">
      <c r="B2044" s="1662"/>
      <c r="C2044" s="6317" t="s">
        <v>1623</v>
      </c>
      <c r="D2044" s="6318"/>
      <c r="E2044" s="6337"/>
      <c r="F2044" s="285" t="s">
        <v>156</v>
      </c>
      <c r="G2044" s="1223"/>
      <c r="H2044" s="9736" t="s">
        <v>1624</v>
      </c>
      <c r="I2044" s="9740"/>
      <c r="J2044" s="9741"/>
      <c r="K2044" s="285" t="s">
        <v>156</v>
      </c>
      <c r="L2044" s="2447">
        <v>10.767786647595091</v>
      </c>
      <c r="M2044" s="2164"/>
      <c r="N2044" s="1314">
        <v>14.159225569556872</v>
      </c>
      <c r="O2044" s="4755"/>
      <c r="P2044" s="4755">
        <v>13.541782443881015</v>
      </c>
      <c r="Q2044" s="1314"/>
      <c r="R2044" s="2492" t="s">
        <v>1625</v>
      </c>
      <c r="S2044" s="1230" t="s">
        <v>1626</v>
      </c>
      <c r="T2044" s="1034" t="s">
        <v>37</v>
      </c>
      <c r="U2044" s="547"/>
      <c r="V2044" s="547"/>
      <c r="W2044" s="299" t="s">
        <v>193</v>
      </c>
      <c r="X2044" s="154" t="s">
        <v>1627</v>
      </c>
      <c r="Y2044" s="154"/>
      <c r="Z2044" s="1195"/>
      <c r="AA2044" s="6301"/>
    </row>
    <row r="2045" spans="2:60" s="139" customFormat="1" ht="20.100000000000001" customHeight="1">
      <c r="B2045" s="1360"/>
      <c r="C2045" s="1210"/>
      <c r="D2045" s="936" t="s">
        <v>1628</v>
      </c>
      <c r="E2045" s="924"/>
      <c r="F2045" s="105" t="s">
        <v>33</v>
      </c>
      <c r="G2045" s="1286"/>
      <c r="H2045" s="1292"/>
      <c r="I2045" s="995" t="s">
        <v>1629</v>
      </c>
      <c r="J2045" s="993"/>
      <c r="K2045" s="105" t="s">
        <v>35</v>
      </c>
      <c r="L2045" s="5594">
        <v>52997</v>
      </c>
      <c r="M2045" s="5658"/>
      <c r="N2045" s="5601">
        <v>101802</v>
      </c>
      <c r="O2045" s="5666"/>
      <c r="P2045" s="5625">
        <v>103562</v>
      </c>
      <c r="Q2045" s="5601"/>
      <c r="R2045" s="2492"/>
      <c r="S2045" s="1230"/>
      <c r="T2045" s="1034" t="s">
        <v>37</v>
      </c>
      <c r="U2045" s="547"/>
      <c r="V2045" s="547"/>
      <c r="W2045" s="299" t="s">
        <v>193</v>
      </c>
      <c r="X2045" s="277" t="s">
        <v>1627</v>
      </c>
      <c r="Y2045" s="154"/>
      <c r="Z2045" s="1195"/>
      <c r="AA2045" s="6301"/>
    </row>
    <row r="2046" spans="2:60" s="139" customFormat="1" ht="20.100000000000001" customHeight="1" thickBot="1">
      <c r="B2046" s="1361"/>
      <c r="C2046" s="1388"/>
      <c r="D2046" s="1295" t="s">
        <v>1630</v>
      </c>
      <c r="E2046" s="1296"/>
      <c r="F2046" s="105" t="s">
        <v>33</v>
      </c>
      <c r="G2046" s="1297"/>
      <c r="H2046" s="1298"/>
      <c r="I2046" s="1299" t="s">
        <v>1631</v>
      </c>
      <c r="J2046" s="1255"/>
      <c r="K2046" s="105" t="s">
        <v>35</v>
      </c>
      <c r="L2046" s="5594">
        <v>492181</v>
      </c>
      <c r="M2046" s="5658"/>
      <c r="N2046" s="5601">
        <v>718980</v>
      </c>
      <c r="O2046" s="5666"/>
      <c r="P2046" s="5625">
        <v>764759</v>
      </c>
      <c r="Q2046" s="6111"/>
      <c r="R2046" s="1052"/>
      <c r="S2046" s="596"/>
      <c r="T2046" s="1153" t="s">
        <v>37</v>
      </c>
      <c r="U2046" s="1101"/>
      <c r="V2046" s="1101"/>
      <c r="W2046" s="1551" t="s">
        <v>193</v>
      </c>
      <c r="X2046" s="981" t="s">
        <v>1627</v>
      </c>
      <c r="Y2046" s="1231"/>
      <c r="Z2046" s="1232"/>
      <c r="AA2046" s="6301"/>
    </row>
    <row r="2047" spans="2:60" s="11" customFormat="1" ht="27" thickBot="1">
      <c r="B2047" s="123" t="s">
        <v>1632</v>
      </c>
      <c r="C2047" s="124"/>
      <c r="D2047" s="124"/>
      <c r="E2047" s="124"/>
      <c r="F2047" s="78"/>
      <c r="G2047" s="78"/>
      <c r="H2047" s="78"/>
      <c r="I2047" s="78"/>
      <c r="J2047" s="78"/>
      <c r="K2047" s="78"/>
      <c r="L2047" s="2194"/>
      <c r="M2047" s="78"/>
      <c r="N2047" s="78"/>
      <c r="O2047" s="78"/>
      <c r="P2047" s="78"/>
      <c r="Q2047" s="78"/>
      <c r="R2047" s="2507"/>
      <c r="S2047" s="2507"/>
      <c r="T2047" s="2508"/>
      <c r="U2047" s="2509"/>
      <c r="V2047" s="2509"/>
      <c r="W2047" s="2508"/>
      <c r="X2047" s="2510"/>
      <c r="Y2047" s="2510"/>
      <c r="Z2047" s="2511"/>
      <c r="AA2047" s="6301"/>
      <c r="AB2047" s="139"/>
      <c r="AC2047" s="139"/>
      <c r="AD2047" s="139"/>
      <c r="AE2047" s="139"/>
      <c r="AF2047" s="139"/>
      <c r="AG2047" s="139"/>
      <c r="AH2047" s="139"/>
      <c r="AI2047" s="139"/>
      <c r="AJ2047" s="139"/>
      <c r="AK2047" s="139"/>
      <c r="AL2047" s="139"/>
      <c r="AM2047" s="139"/>
      <c r="AN2047" s="139"/>
      <c r="AO2047" s="139"/>
      <c r="AP2047" s="139"/>
      <c r="AQ2047" s="139"/>
      <c r="AR2047" s="139"/>
      <c r="AS2047" s="139"/>
      <c r="AT2047" s="139"/>
      <c r="AU2047" s="139"/>
      <c r="AV2047" s="139"/>
      <c r="AW2047" s="139"/>
      <c r="AX2047" s="139"/>
      <c r="AY2047" s="139"/>
      <c r="AZ2047" s="139"/>
      <c r="BA2047" s="139"/>
      <c r="BB2047" s="139"/>
      <c r="BC2047" s="139"/>
      <c r="BD2047" s="139"/>
      <c r="BE2047" s="139"/>
      <c r="BF2047" s="139"/>
      <c r="BG2047" s="139"/>
      <c r="BH2047" s="139"/>
    </row>
    <row r="2048" spans="2:60" s="11" customFormat="1" ht="20.100000000000001" customHeight="1">
      <c r="B2048" s="6321"/>
      <c r="C2048" s="6320" t="s">
        <v>1633</v>
      </c>
      <c r="D2048" s="947"/>
      <c r="E2048" s="947"/>
      <c r="F2048" s="1560"/>
      <c r="G2048" s="168"/>
      <c r="H2048" s="949" t="s">
        <v>1634</v>
      </c>
      <c r="I2048" s="949"/>
      <c r="J2048" s="949"/>
      <c r="K2048" s="4731"/>
      <c r="L2048" s="5638"/>
      <c r="M2048" s="5661"/>
      <c r="N2048" s="5639"/>
      <c r="O2048" s="5640"/>
      <c r="P2048" s="5640"/>
      <c r="Q2048" s="5639"/>
      <c r="R2048" s="6308"/>
      <c r="S2048" s="1287"/>
      <c r="T2048" s="1034" t="s">
        <v>1635</v>
      </c>
      <c r="U2048" s="878"/>
      <c r="V2048" s="878"/>
      <c r="W2048" s="1034"/>
      <c r="X2048" s="690"/>
      <c r="Y2048" s="690"/>
      <c r="Z2048" s="1306"/>
      <c r="AA2048" s="6301"/>
      <c r="AB2048" s="139"/>
      <c r="AC2048" s="139"/>
      <c r="AD2048" s="139"/>
      <c r="AE2048" s="139"/>
      <c r="AF2048" s="139"/>
      <c r="AG2048" s="139"/>
      <c r="AH2048" s="139"/>
      <c r="AI2048" s="139"/>
      <c r="AJ2048" s="139"/>
      <c r="AK2048" s="139"/>
      <c r="AL2048" s="139"/>
      <c r="AM2048" s="139"/>
      <c r="AN2048" s="139"/>
      <c r="AO2048" s="139"/>
      <c r="AP2048" s="139"/>
      <c r="AQ2048" s="139"/>
      <c r="AR2048" s="139"/>
      <c r="AS2048" s="139"/>
      <c r="AT2048" s="139"/>
      <c r="AU2048" s="139"/>
      <c r="AV2048" s="139"/>
      <c r="AW2048" s="139"/>
      <c r="AX2048" s="139"/>
      <c r="AY2048" s="139"/>
      <c r="AZ2048" s="139"/>
      <c r="BA2048" s="139"/>
      <c r="BB2048" s="139"/>
      <c r="BC2048" s="139"/>
      <c r="BD2048" s="139"/>
      <c r="BE2048" s="139"/>
      <c r="BF2048" s="139"/>
      <c r="BG2048" s="139"/>
      <c r="BH2048" s="139"/>
    </row>
    <row r="2049" spans="2:60" s="11" customFormat="1" ht="20.100000000000001" customHeight="1">
      <c r="B2049" s="1360"/>
      <c r="C2049" s="6274"/>
      <c r="D2049" s="5762" t="s">
        <v>1018</v>
      </c>
      <c r="E2049" s="5763"/>
      <c r="F2049" s="5766" t="s">
        <v>1636</v>
      </c>
      <c r="G2049" s="6281"/>
      <c r="H2049" s="5769"/>
      <c r="I2049" s="5767" t="s">
        <v>1637</v>
      </c>
      <c r="J2049" s="5767"/>
      <c r="K2049" s="5768" t="s">
        <v>1020</v>
      </c>
      <c r="L2049" s="5653" t="str">
        <f>IF(COUNTBLANK(L2050:L2055)&gt;0,"미취합법인有",SUM(L2050:L2055))</f>
        <v>미취합법인有</v>
      </c>
      <c r="M2049" s="5657"/>
      <c r="N2049" s="5654" t="str">
        <f>IF(COUNTBLANK(N2050:N2055)&gt;0,"미취합법인有",SUM(N2050:N2055))</f>
        <v>미취합법인有</v>
      </c>
      <c r="O2049" s="5663"/>
      <c r="P2049" s="5781" t="str">
        <f>IF(COUNTBLANK(P2050:P2055)&gt;0,"미취합법인有",SUM(P2050:P2055))</f>
        <v>미취합법인有</v>
      </c>
      <c r="Q2049" s="396"/>
      <c r="R2049" s="2483" t="s">
        <v>1638</v>
      </c>
      <c r="S2049" s="276" t="s">
        <v>1639</v>
      </c>
      <c r="T2049" s="1034" t="s">
        <v>1635</v>
      </c>
      <c r="U2049" s="878"/>
      <c r="V2049" s="878"/>
      <c r="W2049" s="1034"/>
      <c r="X2049" s="620" t="s">
        <v>1640</v>
      </c>
      <c r="Y2049" s="277" t="s">
        <v>1024</v>
      </c>
      <c r="Z2049" s="1195"/>
      <c r="AA2049" s="6301"/>
      <c r="AB2049" s="139"/>
      <c r="AC2049" s="139"/>
      <c r="AD2049" s="139"/>
      <c r="AE2049" s="139"/>
      <c r="AF2049" s="139"/>
      <c r="AG2049" s="139"/>
      <c r="AH2049" s="139"/>
      <c r="AI2049" s="139"/>
      <c r="AJ2049" s="139"/>
      <c r="AK2049" s="139"/>
      <c r="AL2049" s="139"/>
      <c r="AM2049" s="139"/>
      <c r="AN2049" s="139"/>
      <c r="AO2049" s="139"/>
      <c r="AP2049" s="139"/>
      <c r="AQ2049" s="139"/>
      <c r="AR2049" s="139"/>
      <c r="AS2049" s="139"/>
      <c r="AT2049" s="139"/>
      <c r="AU2049" s="139"/>
      <c r="AV2049" s="139"/>
      <c r="AW2049" s="139"/>
      <c r="AX2049" s="139"/>
      <c r="AY2049" s="139"/>
      <c r="AZ2049" s="139"/>
      <c r="BA2049" s="139"/>
      <c r="BB2049" s="139"/>
      <c r="BC2049" s="139"/>
      <c r="BD2049" s="139"/>
      <c r="BE2049" s="139"/>
      <c r="BF2049" s="139"/>
      <c r="BG2049" s="139"/>
      <c r="BH2049" s="139"/>
    </row>
    <row r="2050" spans="2:60" s="11" customFormat="1" ht="20.100000000000001" customHeight="1">
      <c r="B2050" s="1360"/>
      <c r="C2050" s="6258"/>
      <c r="D2050" s="9598" t="s">
        <v>134</v>
      </c>
      <c r="E2050" s="9600"/>
      <c r="F2050" s="285" t="s">
        <v>1636</v>
      </c>
      <c r="G2050" s="358"/>
      <c r="H2050" s="643"/>
      <c r="I2050" s="9579" t="s">
        <v>135</v>
      </c>
      <c r="J2050" s="9581"/>
      <c r="K2050" s="1143" t="s">
        <v>1020</v>
      </c>
      <c r="L2050" s="5594">
        <v>2892.3</v>
      </c>
      <c r="M2050" s="5669" t="s">
        <v>1641</v>
      </c>
      <c r="N2050" s="5601">
        <v>4113</v>
      </c>
      <c r="O2050" s="5960" t="s">
        <v>1642</v>
      </c>
      <c r="P2050" s="5601">
        <v>2030</v>
      </c>
      <c r="Q2050" s="5601"/>
      <c r="R2050" s="2483"/>
      <c r="S2050" s="276"/>
      <c r="T2050" s="1034"/>
      <c r="U2050" s="878"/>
      <c r="V2050" s="878"/>
      <c r="W2050" s="1034"/>
      <c r="X2050" s="620"/>
      <c r="Y2050" s="277"/>
      <c r="Z2050" s="1195"/>
      <c r="AA2050" s="6301"/>
      <c r="AB2050" s="139"/>
      <c r="AC2050" s="139"/>
      <c r="AD2050" s="139"/>
      <c r="AE2050" s="139"/>
      <c r="AF2050" s="139"/>
      <c r="AG2050" s="139"/>
      <c r="AH2050" s="139"/>
      <c r="AI2050" s="139"/>
      <c r="AJ2050" s="139"/>
      <c r="AK2050" s="139"/>
      <c r="AL2050" s="139"/>
      <c r="AM2050" s="139"/>
      <c r="AN2050" s="139"/>
      <c r="AO2050" s="139"/>
      <c r="AP2050" s="139"/>
      <c r="AQ2050" s="139"/>
      <c r="AR2050" s="139"/>
      <c r="AS2050" s="139"/>
      <c r="AT2050" s="139"/>
      <c r="AU2050" s="139"/>
      <c r="AV2050" s="139"/>
      <c r="AW2050" s="139"/>
      <c r="AX2050" s="139"/>
      <c r="AY2050" s="139"/>
      <c r="AZ2050" s="139"/>
      <c r="BA2050" s="139"/>
      <c r="BB2050" s="139"/>
      <c r="BC2050" s="139"/>
      <c r="BD2050" s="139"/>
      <c r="BE2050" s="139"/>
      <c r="BF2050" s="139"/>
      <c r="BG2050" s="139"/>
      <c r="BH2050" s="139"/>
    </row>
    <row r="2051" spans="2:60" s="11" customFormat="1" ht="20.100000000000001" customHeight="1">
      <c r="B2051" s="1360"/>
      <c r="C2051" s="6274"/>
      <c r="D2051" s="9598" t="s">
        <v>137</v>
      </c>
      <c r="E2051" s="9600"/>
      <c r="F2051" s="285" t="s">
        <v>1636</v>
      </c>
      <c r="G2051" s="358"/>
      <c r="H2051" s="643"/>
      <c r="I2051" s="9579" t="s">
        <v>138</v>
      </c>
      <c r="J2051" s="9581"/>
      <c r="K2051" s="1143" t="s">
        <v>1020</v>
      </c>
      <c r="L2051" s="5594">
        <f>'4DPLEX'!W400</f>
        <v>244</v>
      </c>
      <c r="M2051" s="5658"/>
      <c r="N2051" s="5601">
        <f>'4DPLEX'!T400</f>
        <v>288</v>
      </c>
      <c r="O2051" s="5666"/>
      <c r="P2051" s="5625">
        <f>'4DPLEX'!V400</f>
        <v>236.75</v>
      </c>
      <c r="Q2051" s="5601"/>
      <c r="R2051" s="2483"/>
      <c r="S2051" s="276"/>
      <c r="T2051" s="1034"/>
      <c r="U2051" s="878"/>
      <c r="V2051" s="878"/>
      <c r="W2051" s="1034"/>
      <c r="X2051" s="620"/>
      <c r="Y2051" s="277"/>
      <c r="Z2051" s="1195"/>
      <c r="AA2051" s="6301"/>
      <c r="AB2051" s="139"/>
      <c r="AC2051" s="139"/>
      <c r="AD2051" s="139"/>
      <c r="AE2051" s="139"/>
      <c r="AF2051" s="139"/>
      <c r="AG2051" s="139"/>
      <c r="AH2051" s="139"/>
      <c r="AI2051" s="139"/>
      <c r="AJ2051" s="139"/>
      <c r="AK2051" s="139"/>
      <c r="AL2051" s="139"/>
      <c r="AM2051" s="139"/>
      <c r="AN2051" s="139"/>
      <c r="AO2051" s="139"/>
      <c r="AP2051" s="139"/>
      <c r="AQ2051" s="139"/>
      <c r="AR2051" s="139"/>
      <c r="AS2051" s="139"/>
      <c r="AT2051" s="139"/>
      <c r="AU2051" s="139"/>
      <c r="AV2051" s="139"/>
      <c r="AW2051" s="139"/>
      <c r="AX2051" s="139"/>
      <c r="AY2051" s="139"/>
      <c r="AZ2051" s="139"/>
      <c r="BA2051" s="139"/>
      <c r="BB2051" s="139"/>
      <c r="BC2051" s="139"/>
      <c r="BD2051" s="139"/>
      <c r="BE2051" s="139"/>
      <c r="BF2051" s="139"/>
      <c r="BG2051" s="139"/>
      <c r="BH2051" s="139"/>
    </row>
    <row r="2052" spans="2:60" s="11" customFormat="1" ht="20.100000000000001" customHeight="1">
      <c r="B2052" s="1360"/>
      <c r="C2052" s="6258"/>
      <c r="D2052" s="9598" t="s">
        <v>140</v>
      </c>
      <c r="E2052" s="9600"/>
      <c r="F2052" s="285" t="s">
        <v>1636</v>
      </c>
      <c r="G2052" s="358"/>
      <c r="H2052" s="643"/>
      <c r="I2052" s="9582" t="s">
        <v>141</v>
      </c>
      <c r="J2052" s="9583"/>
      <c r="K2052" s="1143" t="s">
        <v>1020</v>
      </c>
      <c r="L2052" s="5594">
        <f>China!AO438</f>
        <v>0</v>
      </c>
      <c r="M2052" s="5658"/>
      <c r="N2052" s="5601">
        <f>China!AQ438</f>
        <v>0</v>
      </c>
      <c r="O2052" s="5666"/>
      <c r="P2052" s="5625">
        <f>China!AS438</f>
        <v>2</v>
      </c>
      <c r="Q2052" s="5601"/>
      <c r="R2052" s="2483"/>
      <c r="S2052" s="276"/>
      <c r="T2052" s="1034"/>
      <c r="U2052" s="878"/>
      <c r="V2052" s="878"/>
      <c r="W2052" s="1034"/>
      <c r="X2052" s="620"/>
      <c r="Y2052" s="277"/>
      <c r="Z2052" s="1195"/>
      <c r="AA2052" s="6301"/>
      <c r="AB2052" s="139"/>
      <c r="AC2052" s="139"/>
      <c r="AD2052" s="139"/>
      <c r="AE2052" s="139"/>
      <c r="AF2052" s="139"/>
      <c r="AG2052" s="139"/>
      <c r="AH2052" s="139"/>
      <c r="AI2052" s="139"/>
      <c r="AJ2052" s="139"/>
      <c r="AK2052" s="139"/>
      <c r="AL2052" s="139"/>
      <c r="AM2052" s="139"/>
      <c r="AN2052" s="139"/>
      <c r="AO2052" s="139"/>
      <c r="AP2052" s="139"/>
      <c r="AQ2052" s="139"/>
      <c r="AR2052" s="139"/>
      <c r="AS2052" s="139"/>
      <c r="AT2052" s="139"/>
      <c r="AU2052" s="139"/>
      <c r="AV2052" s="139"/>
      <c r="AW2052" s="139"/>
      <c r="AX2052" s="139"/>
      <c r="AY2052" s="139"/>
      <c r="AZ2052" s="139"/>
      <c r="BA2052" s="139"/>
      <c r="BB2052" s="139"/>
      <c r="BC2052" s="139"/>
      <c r="BD2052" s="139"/>
      <c r="BE2052" s="139"/>
      <c r="BF2052" s="139"/>
      <c r="BG2052" s="139"/>
      <c r="BH2052" s="139"/>
    </row>
    <row r="2053" spans="2:60" s="11" customFormat="1" ht="20.100000000000001" customHeight="1">
      <c r="B2053" s="1360"/>
      <c r="C2053" s="6274"/>
      <c r="D2053" s="9598" t="s">
        <v>143</v>
      </c>
      <c r="E2053" s="9600"/>
      <c r="F2053" s="285" t="s">
        <v>1636</v>
      </c>
      <c r="G2053" s="358"/>
      <c r="H2053" s="643"/>
      <c r="I2053" s="9582" t="s">
        <v>144</v>
      </c>
      <c r="J2053" s="9583"/>
      <c r="K2053" s="1143" t="s">
        <v>1020</v>
      </c>
      <c r="L2053" s="6490">
        <v>376</v>
      </c>
      <c r="M2053" s="5658"/>
      <c r="N2053" s="6491">
        <v>548</v>
      </c>
      <c r="O2053" s="5666"/>
      <c r="P2053" s="6492">
        <v>428</v>
      </c>
      <c r="Q2053" s="5601"/>
      <c r="R2053" s="2483"/>
      <c r="S2053" s="276"/>
      <c r="T2053" s="1034"/>
      <c r="U2053" s="878"/>
      <c r="V2053" s="878"/>
      <c r="W2053" s="1034"/>
      <c r="X2053" s="620"/>
      <c r="Y2053" s="277"/>
      <c r="Z2053" s="1195"/>
      <c r="AA2053" s="6301"/>
      <c r="AB2053" s="139"/>
      <c r="AC2053" s="139"/>
      <c r="AD2053" s="139"/>
      <c r="AE2053" s="139"/>
      <c r="AF2053" s="139"/>
      <c r="AG2053" s="139"/>
      <c r="AH2053" s="139"/>
      <c r="AI2053" s="139"/>
      <c r="AJ2053" s="139"/>
      <c r="AK2053" s="139"/>
      <c r="AL2053" s="139"/>
      <c r="AM2053" s="139"/>
      <c r="AN2053" s="139"/>
      <c r="AO2053" s="139"/>
      <c r="AP2053" s="139"/>
      <c r="AQ2053" s="139"/>
      <c r="AR2053" s="139"/>
      <c r="AS2053" s="139"/>
      <c r="AT2053" s="139"/>
      <c r="AU2053" s="139"/>
      <c r="AV2053" s="139"/>
      <c r="AW2053" s="139"/>
      <c r="AX2053" s="139"/>
      <c r="AY2053" s="139"/>
      <c r="AZ2053" s="139"/>
      <c r="BA2053" s="139"/>
      <c r="BB2053" s="139"/>
      <c r="BC2053" s="139"/>
      <c r="BD2053" s="139"/>
      <c r="BE2053" s="139"/>
      <c r="BF2053" s="139"/>
      <c r="BG2053" s="139"/>
      <c r="BH2053" s="139"/>
    </row>
    <row r="2054" spans="2:60" s="11" customFormat="1" ht="20.100000000000001" customHeight="1">
      <c r="B2054" s="1360"/>
      <c r="C2054" s="6258"/>
      <c r="D2054" s="9598" t="s">
        <v>631</v>
      </c>
      <c r="E2054" s="9600"/>
      <c r="F2054" s="285" t="s">
        <v>1636</v>
      </c>
      <c r="G2054" s="358"/>
      <c r="H2054" s="643"/>
      <c r="I2054" s="9582" t="s">
        <v>147</v>
      </c>
      <c r="J2054" s="9583"/>
      <c r="K2054" s="1143" t="s">
        <v>1020</v>
      </c>
      <c r="L2054" s="5594"/>
      <c r="M2054" s="5658"/>
      <c r="N2054" s="5601"/>
      <c r="O2054" s="5666"/>
      <c r="P2054" s="5625"/>
      <c r="Q2054" s="5601"/>
      <c r="R2054" s="2483"/>
      <c r="S2054" s="276"/>
      <c r="T2054" s="1034"/>
      <c r="U2054" s="878"/>
      <c r="V2054" s="878"/>
      <c r="W2054" s="1034"/>
      <c r="X2054" s="620"/>
      <c r="Y2054" s="277"/>
      <c r="Z2054" s="1195"/>
      <c r="AA2054" s="6301"/>
      <c r="AB2054" s="139"/>
      <c r="AC2054" s="139"/>
      <c r="AD2054" s="139"/>
      <c r="AE2054" s="139"/>
      <c r="AF2054" s="139"/>
      <c r="AG2054" s="139"/>
      <c r="AH2054" s="139"/>
      <c r="AI2054" s="139"/>
      <c r="AJ2054" s="139"/>
      <c r="AK2054" s="139"/>
      <c r="AL2054" s="139"/>
      <c r="AM2054" s="139"/>
      <c r="AN2054" s="139"/>
      <c r="AO2054" s="139"/>
      <c r="AP2054" s="139"/>
      <c r="AQ2054" s="139"/>
      <c r="AR2054" s="139"/>
      <c r="AS2054" s="139"/>
      <c r="AT2054" s="139"/>
      <c r="AU2054" s="139"/>
      <c r="AV2054" s="139"/>
      <c r="AW2054" s="139"/>
      <c r="AX2054" s="139"/>
      <c r="AY2054" s="139"/>
      <c r="AZ2054" s="139"/>
      <c r="BA2054" s="139"/>
      <c r="BB2054" s="139"/>
      <c r="BC2054" s="139"/>
      <c r="BD2054" s="139"/>
      <c r="BE2054" s="139"/>
      <c r="BF2054" s="139"/>
      <c r="BG2054" s="139"/>
      <c r="BH2054" s="139"/>
    </row>
    <row r="2055" spans="2:60" s="11" customFormat="1" ht="20.100000000000001" customHeight="1">
      <c r="B2055" s="1360"/>
      <c r="C2055" s="6274"/>
      <c r="D2055" s="9598" t="s">
        <v>633</v>
      </c>
      <c r="E2055" s="9600"/>
      <c r="F2055" s="285" t="s">
        <v>1636</v>
      </c>
      <c r="G2055" s="358"/>
      <c r="H2055" s="643"/>
      <c r="I2055" s="9582" t="s">
        <v>150</v>
      </c>
      <c r="J2055" s="9583"/>
      <c r="K2055" s="1143" t="s">
        <v>1020</v>
      </c>
      <c r="L2055" s="5594"/>
      <c r="M2055" s="5658"/>
      <c r="N2055" s="5601"/>
      <c r="O2055" s="5666"/>
      <c r="P2055" s="5625"/>
      <c r="Q2055" s="5601"/>
      <c r="R2055" s="2483"/>
      <c r="S2055" s="276"/>
      <c r="T2055" s="1034"/>
      <c r="U2055" s="878"/>
      <c r="V2055" s="878"/>
      <c r="W2055" s="1034"/>
      <c r="X2055" s="620"/>
      <c r="Y2055" s="277"/>
      <c r="Z2055" s="1195"/>
      <c r="AA2055" s="6301"/>
      <c r="AB2055" s="139"/>
      <c r="AC2055" s="139"/>
      <c r="AD2055" s="139"/>
      <c r="AE2055" s="139"/>
      <c r="AF2055" s="139"/>
      <c r="AG2055" s="139"/>
      <c r="AH2055" s="139"/>
      <c r="AI2055" s="139"/>
      <c r="AJ2055" s="139"/>
      <c r="AK2055" s="139"/>
      <c r="AL2055" s="139"/>
      <c r="AM2055" s="139"/>
      <c r="AN2055" s="139"/>
      <c r="AO2055" s="139"/>
      <c r="AP2055" s="139"/>
      <c r="AQ2055" s="139"/>
      <c r="AR2055" s="139"/>
      <c r="AS2055" s="139"/>
      <c r="AT2055" s="139"/>
      <c r="AU2055" s="139"/>
      <c r="AV2055" s="139"/>
      <c r="AW2055" s="139"/>
      <c r="AX2055" s="139"/>
      <c r="AY2055" s="139"/>
      <c r="AZ2055" s="139"/>
      <c r="BA2055" s="139"/>
      <c r="BB2055" s="139"/>
      <c r="BC2055" s="139"/>
      <c r="BD2055" s="139"/>
      <c r="BE2055" s="139"/>
      <c r="BF2055" s="139"/>
      <c r="BG2055" s="139"/>
      <c r="BH2055" s="139"/>
    </row>
    <row r="2056" spans="2:60" s="11" customFormat="1" ht="20.100000000000001" customHeight="1">
      <c r="B2056" s="1360"/>
      <c r="C2056" s="6258"/>
      <c r="D2056" s="5762" t="s">
        <v>1428</v>
      </c>
      <c r="E2056" s="5763"/>
      <c r="F2056" s="5766" t="s">
        <v>732</v>
      </c>
      <c r="G2056" s="6281"/>
      <c r="H2056" s="6279"/>
      <c r="I2056" s="5770" t="s">
        <v>1643</v>
      </c>
      <c r="J2056" s="5770"/>
      <c r="K2056" s="5766" t="s">
        <v>734</v>
      </c>
      <c r="L2056" s="5653" t="str">
        <f>IF(COUNTBLANK(L2057:L2062)&gt;0,"미취합법인有",SUM(L2057:L2062))</f>
        <v>미취합법인有</v>
      </c>
      <c r="M2056" s="5657"/>
      <c r="N2056" s="5654" t="str">
        <f>IF(COUNTBLANK(N2057:N2062)&gt;0,"미취합법인有",SUM(N2057:N2062))</f>
        <v>미취합법인有</v>
      </c>
      <c r="O2056" s="5663"/>
      <c r="P2056" s="5781" t="str">
        <f>IF(COUNTBLANK(P2057:P2062)&gt;0,"미취합법인有",SUM(P2057:P2062))</f>
        <v>미취합법인有</v>
      </c>
      <c r="Q2056" s="396"/>
      <c r="R2056" s="2468" t="s">
        <v>1644</v>
      </c>
      <c r="S2056" s="276" t="s">
        <v>1643</v>
      </c>
      <c r="T2056" s="162" t="s">
        <v>758</v>
      </c>
      <c r="U2056" s="547"/>
      <c r="V2056" s="547"/>
      <c r="W2056" s="162"/>
      <c r="X2056" s="620" t="s">
        <v>1645</v>
      </c>
      <c r="Y2056" s="277" t="s">
        <v>1024</v>
      </c>
      <c r="Z2056" s="982"/>
      <c r="AA2056" s="6301"/>
      <c r="AB2056" s="139"/>
      <c r="AC2056" s="139"/>
      <c r="AD2056" s="139"/>
      <c r="AE2056" s="139"/>
      <c r="AF2056" s="139"/>
      <c r="AG2056" s="139"/>
      <c r="AH2056" s="139"/>
      <c r="AI2056" s="139"/>
      <c r="AJ2056" s="139"/>
      <c r="AK2056" s="139"/>
      <c r="AL2056" s="139"/>
      <c r="AM2056" s="139"/>
      <c r="AN2056" s="139"/>
      <c r="AO2056" s="139"/>
      <c r="AP2056" s="139"/>
      <c r="AQ2056" s="139"/>
      <c r="AR2056" s="139"/>
      <c r="AS2056" s="139"/>
      <c r="AT2056" s="139"/>
      <c r="AU2056" s="139"/>
      <c r="AV2056" s="139"/>
      <c r="AW2056" s="139"/>
      <c r="AX2056" s="139"/>
      <c r="AY2056" s="139"/>
      <c r="AZ2056" s="139"/>
      <c r="BA2056" s="139"/>
      <c r="BB2056" s="139"/>
      <c r="BC2056" s="139"/>
      <c r="BD2056" s="139"/>
      <c r="BE2056" s="139"/>
      <c r="BF2056" s="139"/>
      <c r="BG2056" s="139"/>
      <c r="BH2056" s="139"/>
    </row>
    <row r="2057" spans="2:60" s="11" customFormat="1" ht="20.100000000000001" customHeight="1">
      <c r="B2057" s="1360"/>
      <c r="C2057" s="6274"/>
      <c r="D2057" s="9598" t="s">
        <v>134</v>
      </c>
      <c r="E2057" s="9600"/>
      <c r="F2057" s="5623" t="s">
        <v>732</v>
      </c>
      <c r="G2057" s="358"/>
      <c r="H2057" s="643"/>
      <c r="I2057" s="9579" t="s">
        <v>135</v>
      </c>
      <c r="J2057" s="9581"/>
      <c r="K2057" s="285" t="s">
        <v>734</v>
      </c>
      <c r="L2057" s="5594">
        <v>1031</v>
      </c>
      <c r="M2057" s="5669" t="s">
        <v>1646</v>
      </c>
      <c r="N2057" s="5601">
        <v>1186</v>
      </c>
      <c r="O2057" s="5960" t="s">
        <v>1646</v>
      </c>
      <c r="P2057" s="5601">
        <v>1016</v>
      </c>
      <c r="Q2057" s="5601"/>
      <c r="R2057" s="2468"/>
      <c r="S2057" s="276"/>
      <c r="T2057" s="162"/>
      <c r="U2057" s="547"/>
      <c r="V2057" s="547"/>
      <c r="W2057" s="162"/>
      <c r="X2057" s="620"/>
      <c r="Y2057" s="277"/>
      <c r="Z2057" s="982"/>
      <c r="AA2057" s="6301"/>
      <c r="AB2057" s="139"/>
      <c r="AC2057" s="139"/>
      <c r="AD2057" s="139"/>
      <c r="AE2057" s="139"/>
      <c r="AF2057" s="139"/>
      <c r="AG2057" s="139"/>
      <c r="AH2057" s="139"/>
      <c r="AI2057" s="139"/>
      <c r="AJ2057" s="139"/>
      <c r="AK2057" s="139"/>
      <c r="AL2057" s="139"/>
      <c r="AM2057" s="139"/>
      <c r="AN2057" s="139"/>
      <c r="AO2057" s="139"/>
      <c r="AP2057" s="139"/>
      <c r="AQ2057" s="139"/>
      <c r="AR2057" s="139"/>
      <c r="AS2057" s="139"/>
      <c r="AT2057" s="139"/>
      <c r="AU2057" s="139"/>
      <c r="AV2057" s="139"/>
      <c r="AW2057" s="139"/>
      <c r="AX2057" s="139"/>
      <c r="AY2057" s="139"/>
      <c r="AZ2057" s="139"/>
      <c r="BA2057" s="139"/>
      <c r="BB2057" s="139"/>
      <c r="BC2057" s="139"/>
      <c r="BD2057" s="139"/>
      <c r="BE2057" s="139"/>
      <c r="BF2057" s="139"/>
      <c r="BG2057" s="139"/>
      <c r="BH2057" s="139"/>
    </row>
    <row r="2058" spans="2:60" s="11" customFormat="1" ht="20.100000000000001" customHeight="1">
      <c r="B2058" s="1360"/>
      <c r="C2058" s="6258"/>
      <c r="D2058" s="9598" t="s">
        <v>137</v>
      </c>
      <c r="E2058" s="9600"/>
      <c r="F2058" s="5623" t="s">
        <v>732</v>
      </c>
      <c r="G2058" s="358"/>
      <c r="H2058" s="643"/>
      <c r="I2058" s="9579" t="s">
        <v>138</v>
      </c>
      <c r="J2058" s="9581"/>
      <c r="K2058" s="285" t="s">
        <v>734</v>
      </c>
      <c r="L2058" s="5594">
        <f>'4DPLEX'!R401</f>
        <v>123</v>
      </c>
      <c r="M2058" s="5658"/>
      <c r="N2058" s="5601">
        <f>'4DPLEX'!T401</f>
        <v>161</v>
      </c>
      <c r="O2058" s="5666"/>
      <c r="P2058" s="5625">
        <f>'4DPLEX'!V401</f>
        <v>231</v>
      </c>
      <c r="Q2058" s="5601"/>
      <c r="R2058" s="2468"/>
      <c r="S2058" s="276"/>
      <c r="T2058" s="162"/>
      <c r="U2058" s="547"/>
      <c r="V2058" s="547"/>
      <c r="W2058" s="162"/>
      <c r="X2058" s="620"/>
      <c r="Y2058" s="277"/>
      <c r="Z2058" s="982"/>
      <c r="AA2058" s="6301"/>
      <c r="AB2058" s="139"/>
      <c r="AC2058" s="139"/>
      <c r="AD2058" s="139"/>
      <c r="AE2058" s="139"/>
      <c r="AF2058" s="139"/>
      <c r="AG2058" s="139"/>
      <c r="AH2058" s="139"/>
      <c r="AI2058" s="139"/>
      <c r="AJ2058" s="139"/>
      <c r="AK2058" s="139"/>
      <c r="AL2058" s="139"/>
      <c r="AM2058" s="139"/>
      <c r="AN2058" s="139"/>
      <c r="AO2058" s="139"/>
      <c r="AP2058" s="139"/>
      <c r="AQ2058" s="139"/>
      <c r="AR2058" s="139"/>
      <c r="AS2058" s="139"/>
      <c r="AT2058" s="139"/>
      <c r="AU2058" s="139"/>
      <c r="AV2058" s="139"/>
      <c r="AW2058" s="139"/>
      <c r="AX2058" s="139"/>
      <c r="AY2058" s="139"/>
      <c r="AZ2058" s="139"/>
      <c r="BA2058" s="139"/>
      <c r="BB2058" s="139"/>
      <c r="BC2058" s="139"/>
      <c r="BD2058" s="139"/>
      <c r="BE2058" s="139"/>
      <c r="BF2058" s="139"/>
      <c r="BG2058" s="139"/>
      <c r="BH2058" s="139"/>
    </row>
    <row r="2059" spans="2:60" s="11" customFormat="1" ht="20.100000000000001" customHeight="1">
      <c r="B2059" s="1360"/>
      <c r="C2059" s="6274"/>
      <c r="D2059" s="9598" t="s">
        <v>140</v>
      </c>
      <c r="E2059" s="9600"/>
      <c r="F2059" s="5623" t="s">
        <v>732</v>
      </c>
      <c r="G2059" s="358"/>
      <c r="H2059" s="643"/>
      <c r="I2059" s="9582" t="s">
        <v>141</v>
      </c>
      <c r="J2059" s="9583"/>
      <c r="K2059" s="285" t="s">
        <v>734</v>
      </c>
      <c r="L2059" s="5594">
        <f>China!AO439</f>
        <v>0</v>
      </c>
      <c r="M2059" s="5658"/>
      <c r="N2059" s="5601">
        <f>China!AQ439</f>
        <v>0</v>
      </c>
      <c r="O2059" s="5666"/>
      <c r="P2059" s="5625">
        <f>China!AS439</f>
        <v>750</v>
      </c>
      <c r="Q2059" s="5601"/>
      <c r="R2059" s="2468"/>
      <c r="S2059" s="276"/>
      <c r="T2059" s="162"/>
      <c r="U2059" s="547"/>
      <c r="V2059" s="547"/>
      <c r="W2059" s="162"/>
      <c r="X2059" s="620"/>
      <c r="Y2059" s="277"/>
      <c r="Z2059" s="982"/>
      <c r="AA2059" s="6301"/>
      <c r="AB2059" s="139"/>
      <c r="AC2059" s="139"/>
      <c r="AD2059" s="139"/>
      <c r="AE2059" s="139"/>
      <c r="AF2059" s="139"/>
      <c r="AG2059" s="139"/>
      <c r="AH2059" s="139"/>
      <c r="AI2059" s="139"/>
      <c r="AJ2059" s="139"/>
      <c r="AK2059" s="139"/>
      <c r="AL2059" s="139"/>
      <c r="AM2059" s="139"/>
      <c r="AN2059" s="139"/>
      <c r="AO2059" s="139"/>
      <c r="AP2059" s="139"/>
      <c r="AQ2059" s="139"/>
      <c r="AR2059" s="139"/>
      <c r="AS2059" s="139"/>
      <c r="AT2059" s="139"/>
      <c r="AU2059" s="139"/>
      <c r="AV2059" s="139"/>
      <c r="AW2059" s="139"/>
      <c r="AX2059" s="139"/>
      <c r="AY2059" s="139"/>
      <c r="AZ2059" s="139"/>
      <c r="BA2059" s="139"/>
      <c r="BB2059" s="139"/>
      <c r="BC2059" s="139"/>
      <c r="BD2059" s="139"/>
      <c r="BE2059" s="139"/>
      <c r="BF2059" s="139"/>
      <c r="BG2059" s="139"/>
      <c r="BH2059" s="139"/>
    </row>
    <row r="2060" spans="2:60" s="11" customFormat="1" ht="20.100000000000001" customHeight="1">
      <c r="B2060" s="1360"/>
      <c r="C2060" s="6258"/>
      <c r="D2060" s="9598" t="s">
        <v>143</v>
      </c>
      <c r="E2060" s="9600"/>
      <c r="F2060" s="5623" t="s">
        <v>732</v>
      </c>
      <c r="G2060" s="358"/>
      <c r="H2060" s="643"/>
      <c r="I2060" s="9582" t="s">
        <v>144</v>
      </c>
      <c r="J2060" s="9583"/>
      <c r="K2060" s="285" t="s">
        <v>734</v>
      </c>
      <c r="L2060" s="6490">
        <v>94</v>
      </c>
      <c r="M2060" s="5658"/>
      <c r="N2060" s="6491">
        <v>137</v>
      </c>
      <c r="O2060" s="5666"/>
      <c r="P2060" s="6492">
        <v>214</v>
      </c>
      <c r="Q2060" s="5601"/>
      <c r="R2060" s="2468"/>
      <c r="S2060" s="276"/>
      <c r="T2060" s="162"/>
      <c r="U2060" s="547"/>
      <c r="V2060" s="547"/>
      <c r="W2060" s="162"/>
      <c r="X2060" s="620"/>
      <c r="Y2060" s="277"/>
      <c r="Z2060" s="982"/>
      <c r="AA2060" s="6301"/>
      <c r="AB2060" s="139"/>
      <c r="AC2060" s="139"/>
      <c r="AD2060" s="139"/>
      <c r="AE2060" s="139"/>
      <c r="AF2060" s="139"/>
      <c r="AG2060" s="139"/>
      <c r="AH2060" s="139"/>
      <c r="AI2060" s="139"/>
      <c r="AJ2060" s="139"/>
      <c r="AK2060" s="139"/>
      <c r="AL2060" s="139"/>
      <c r="AM2060" s="139"/>
      <c r="AN2060" s="139"/>
      <c r="AO2060" s="139"/>
      <c r="AP2060" s="139"/>
      <c r="AQ2060" s="139"/>
      <c r="AR2060" s="139"/>
      <c r="AS2060" s="139"/>
      <c r="AT2060" s="139"/>
      <c r="AU2060" s="139"/>
      <c r="AV2060" s="139"/>
      <c r="AW2060" s="139"/>
      <c r="AX2060" s="139"/>
      <c r="AY2060" s="139"/>
      <c r="AZ2060" s="139"/>
      <c r="BA2060" s="139"/>
      <c r="BB2060" s="139"/>
      <c r="BC2060" s="139"/>
      <c r="BD2060" s="139"/>
      <c r="BE2060" s="139"/>
      <c r="BF2060" s="139"/>
      <c r="BG2060" s="139"/>
      <c r="BH2060" s="139"/>
    </row>
    <row r="2061" spans="2:60" s="11" customFormat="1" ht="20.100000000000001" customHeight="1">
      <c r="B2061" s="1360"/>
      <c r="C2061" s="6274"/>
      <c r="D2061" s="9598" t="s">
        <v>631</v>
      </c>
      <c r="E2061" s="9600"/>
      <c r="F2061" s="5623" t="s">
        <v>732</v>
      </c>
      <c r="G2061" s="358"/>
      <c r="H2061" s="643"/>
      <c r="I2061" s="9582" t="s">
        <v>147</v>
      </c>
      <c r="J2061" s="9583"/>
      <c r="K2061" s="285" t="s">
        <v>734</v>
      </c>
      <c r="L2061" s="5594"/>
      <c r="M2061" s="5658"/>
      <c r="N2061" s="5601"/>
      <c r="O2061" s="5666"/>
      <c r="P2061" s="5625"/>
      <c r="Q2061" s="5601"/>
      <c r="R2061" s="2468"/>
      <c r="S2061" s="276"/>
      <c r="T2061" s="162"/>
      <c r="U2061" s="547"/>
      <c r="V2061" s="547"/>
      <c r="W2061" s="162"/>
      <c r="X2061" s="620"/>
      <c r="Y2061" s="277"/>
      <c r="Z2061" s="982"/>
      <c r="AA2061" s="6301"/>
      <c r="AB2061" s="139"/>
      <c r="AC2061" s="139"/>
      <c r="AD2061" s="139"/>
      <c r="AE2061" s="139"/>
      <c r="AF2061" s="139"/>
      <c r="AG2061" s="139"/>
      <c r="AH2061" s="139"/>
      <c r="AI2061" s="139"/>
      <c r="AJ2061" s="139"/>
      <c r="AK2061" s="139"/>
      <c r="AL2061" s="139"/>
      <c r="AM2061" s="139"/>
      <c r="AN2061" s="139"/>
      <c r="AO2061" s="139"/>
      <c r="AP2061" s="139"/>
      <c r="AQ2061" s="139"/>
      <c r="AR2061" s="139"/>
      <c r="AS2061" s="139"/>
      <c r="AT2061" s="139"/>
      <c r="AU2061" s="139"/>
      <c r="AV2061" s="139"/>
      <c r="AW2061" s="139"/>
      <c r="AX2061" s="139"/>
      <c r="AY2061" s="139"/>
      <c r="AZ2061" s="139"/>
      <c r="BA2061" s="139"/>
      <c r="BB2061" s="139"/>
      <c r="BC2061" s="139"/>
      <c r="BD2061" s="139"/>
      <c r="BE2061" s="139"/>
      <c r="BF2061" s="139"/>
      <c r="BG2061" s="139"/>
      <c r="BH2061" s="139"/>
    </row>
    <row r="2062" spans="2:60" s="11" customFormat="1" ht="20.100000000000001" customHeight="1">
      <c r="B2062" s="6332"/>
      <c r="C2062" s="6165"/>
      <c r="D2062" s="9620" t="s">
        <v>633</v>
      </c>
      <c r="E2062" s="9621"/>
      <c r="F2062" s="5623" t="s">
        <v>732</v>
      </c>
      <c r="G2062" s="358"/>
      <c r="H2062" s="643"/>
      <c r="I2062" s="9582" t="s">
        <v>150</v>
      </c>
      <c r="J2062" s="9583"/>
      <c r="K2062" s="285" t="s">
        <v>734</v>
      </c>
      <c r="L2062" s="5594"/>
      <c r="M2062" s="5658"/>
      <c r="N2062" s="5601"/>
      <c r="O2062" s="5666"/>
      <c r="P2062" s="5625"/>
      <c r="Q2062" s="5601"/>
      <c r="R2062" s="2468"/>
      <c r="S2062" s="276"/>
      <c r="T2062" s="162"/>
      <c r="U2062" s="547"/>
      <c r="V2062" s="547"/>
      <c r="W2062" s="162"/>
      <c r="X2062" s="620"/>
      <c r="Y2062" s="277"/>
      <c r="Z2062" s="982"/>
      <c r="AA2062" s="6301"/>
      <c r="AB2062" s="139"/>
      <c r="AC2062" s="139"/>
      <c r="AD2062" s="139"/>
      <c r="AE2062" s="139"/>
      <c r="AF2062" s="139"/>
      <c r="AG2062" s="139"/>
      <c r="AH2062" s="139"/>
      <c r="AI2062" s="139"/>
      <c r="AJ2062" s="139"/>
      <c r="AK2062" s="139"/>
      <c r="AL2062" s="139"/>
      <c r="AM2062" s="139"/>
      <c r="AN2062" s="139"/>
      <c r="AO2062" s="139"/>
      <c r="AP2062" s="139"/>
      <c r="AQ2062" s="139"/>
      <c r="AR2062" s="139"/>
      <c r="AS2062" s="139"/>
      <c r="AT2062" s="139"/>
      <c r="AU2062" s="139"/>
      <c r="AV2062" s="139"/>
      <c r="AW2062" s="139"/>
      <c r="AX2062" s="139"/>
      <c r="AY2062" s="139"/>
      <c r="AZ2062" s="139"/>
      <c r="BA2062" s="139"/>
      <c r="BB2062" s="139"/>
      <c r="BC2062" s="139"/>
      <c r="BD2062" s="139"/>
      <c r="BE2062" s="139"/>
      <c r="BF2062" s="139"/>
      <c r="BG2062" s="139"/>
      <c r="BH2062" s="139"/>
    </row>
    <row r="2063" spans="2:60" s="11" customFormat="1" ht="20.100000000000001" customHeight="1">
      <c r="B2063" s="6333"/>
      <c r="C2063" s="6328" t="s">
        <v>1647</v>
      </c>
      <c r="D2063" s="6166"/>
      <c r="E2063" s="6329"/>
      <c r="F2063" s="1560"/>
      <c r="G2063" s="739"/>
      <c r="H2063" s="686" t="s">
        <v>1648</v>
      </c>
      <c r="I2063" s="654"/>
      <c r="J2063" s="655"/>
      <c r="K2063" s="2371"/>
      <c r="L2063" s="5635"/>
      <c r="M2063" s="5660"/>
      <c r="N2063" s="5636"/>
      <c r="O2063" s="5637"/>
      <c r="P2063" s="5637"/>
      <c r="Q2063" s="5636"/>
      <c r="R2063" s="6309"/>
      <c r="S2063" s="6310"/>
      <c r="T2063" s="162" t="s">
        <v>1649</v>
      </c>
      <c r="U2063" s="547"/>
      <c r="V2063" s="547"/>
      <c r="W2063" s="162"/>
      <c r="X2063" s="620"/>
      <c r="Y2063" s="277"/>
      <c r="Z2063" s="982"/>
      <c r="AA2063" s="6301"/>
      <c r="AB2063" s="139"/>
      <c r="AC2063" s="139"/>
      <c r="AD2063" s="139"/>
      <c r="AE2063" s="139"/>
      <c r="AF2063" s="139"/>
      <c r="AG2063" s="139"/>
      <c r="AH2063" s="139"/>
      <c r="AI2063" s="139"/>
      <c r="AJ2063" s="139"/>
      <c r="AK2063" s="139"/>
      <c r="AL2063" s="139"/>
      <c r="AM2063" s="139"/>
      <c r="AN2063" s="139"/>
      <c r="AO2063" s="139"/>
      <c r="AP2063" s="139"/>
      <c r="AQ2063" s="139"/>
      <c r="AR2063" s="139"/>
      <c r="AS2063" s="139"/>
      <c r="AT2063" s="139"/>
      <c r="AU2063" s="139"/>
      <c r="AV2063" s="139"/>
      <c r="AW2063" s="139"/>
      <c r="AX2063" s="139"/>
      <c r="AY2063" s="139"/>
      <c r="AZ2063" s="139"/>
      <c r="BA2063" s="139"/>
      <c r="BB2063" s="139"/>
      <c r="BC2063" s="139"/>
      <c r="BD2063" s="139"/>
      <c r="BE2063" s="139"/>
      <c r="BF2063" s="139"/>
      <c r="BG2063" s="139"/>
      <c r="BH2063" s="139"/>
    </row>
    <row r="2064" spans="2:60" s="11" customFormat="1" ht="20.100000000000001" customHeight="1">
      <c r="B2064" s="5590"/>
      <c r="C2064" s="6275"/>
      <c r="D2064" s="5762" t="s">
        <v>1650</v>
      </c>
      <c r="E2064" s="5763"/>
      <c r="F2064" s="5766" t="s">
        <v>1476</v>
      </c>
      <c r="G2064" s="6281"/>
      <c r="H2064" s="6275"/>
      <c r="I2064" s="5770" t="s">
        <v>1651</v>
      </c>
      <c r="J2064" s="5770"/>
      <c r="K2064" s="5766" t="s">
        <v>559</v>
      </c>
      <c r="L2064" s="5653" t="str">
        <f>IF(COUNTBLANK(L2065:L2070)&gt;0,"미취합법인有",SUM(L2065:L2070))</f>
        <v>미취합법인有</v>
      </c>
      <c r="M2064" s="5657"/>
      <c r="N2064" s="5654" t="str">
        <f>IF(COUNTBLANK(N2065:N2070)&gt;0,"미취합법인有",SUM(N2065:N2070))</f>
        <v>미취합법인有</v>
      </c>
      <c r="O2064" s="5663"/>
      <c r="P2064" s="5781" t="str">
        <f>IF(COUNTBLANK(P2065:P2070)&gt;0,"미취합법인有",SUM(P2065:P2070))</f>
        <v>미취합법인有</v>
      </c>
      <c r="Q2064" s="396"/>
      <c r="R2064" s="2468" t="s">
        <v>1652</v>
      </c>
      <c r="S2064" s="276" t="s">
        <v>1653</v>
      </c>
      <c r="T2064" s="162" t="s">
        <v>1649</v>
      </c>
      <c r="U2064" s="547"/>
      <c r="V2064" s="547"/>
      <c r="W2064" s="162"/>
      <c r="X2064" s="277" t="s">
        <v>1654</v>
      </c>
      <c r="Y2064" s="277" t="s">
        <v>1655</v>
      </c>
      <c r="Z2064" s="982"/>
      <c r="AA2064" s="6301"/>
      <c r="AB2064" s="139"/>
      <c r="AC2064" s="139"/>
      <c r="AD2064" s="139"/>
      <c r="AE2064" s="139"/>
      <c r="AF2064" s="139"/>
      <c r="AG2064" s="139"/>
      <c r="AH2064" s="139"/>
      <c r="AI2064" s="139"/>
      <c r="AJ2064" s="139"/>
      <c r="AK2064" s="139"/>
      <c r="AL2064" s="139"/>
      <c r="AM2064" s="139"/>
      <c r="AN2064" s="139"/>
      <c r="AO2064" s="139"/>
      <c r="AP2064" s="139"/>
      <c r="AQ2064" s="139"/>
      <c r="AR2064" s="139"/>
      <c r="AS2064" s="139"/>
      <c r="AT2064" s="139"/>
      <c r="AU2064" s="139"/>
      <c r="AV2064" s="139"/>
      <c r="AW2064" s="139"/>
      <c r="AX2064" s="139"/>
      <c r="AY2064" s="139"/>
      <c r="AZ2064" s="139"/>
      <c r="BA2064" s="139"/>
      <c r="BB2064" s="139"/>
      <c r="BC2064" s="139"/>
      <c r="BD2064" s="139"/>
      <c r="BE2064" s="139"/>
      <c r="BF2064" s="139"/>
      <c r="BG2064" s="139"/>
      <c r="BH2064" s="139"/>
    </row>
    <row r="2065" spans="2:60" s="11" customFormat="1" ht="20.100000000000001" customHeight="1">
      <c r="B2065" s="1360"/>
      <c r="C2065" s="6276"/>
      <c r="D2065" s="9598" t="s">
        <v>134</v>
      </c>
      <c r="E2065" s="9600"/>
      <c r="F2065" s="285" t="s">
        <v>1476</v>
      </c>
      <c r="G2065" s="358"/>
      <c r="H2065" s="6276"/>
      <c r="I2065" s="9579" t="s">
        <v>135</v>
      </c>
      <c r="J2065" s="9581"/>
      <c r="K2065" s="285" t="s">
        <v>559</v>
      </c>
      <c r="L2065" s="5594">
        <v>0</v>
      </c>
      <c r="M2065" s="5658"/>
      <c r="N2065" s="5601">
        <v>0</v>
      </c>
      <c r="O2065" s="5666"/>
      <c r="P2065" s="5625">
        <v>0</v>
      </c>
      <c r="Q2065" s="5601"/>
      <c r="R2065" s="2468"/>
      <c r="S2065" s="276"/>
      <c r="T2065" s="162"/>
      <c r="U2065" s="547"/>
      <c r="V2065" s="547"/>
      <c r="W2065" s="162"/>
      <c r="X2065" s="277"/>
      <c r="Y2065" s="277"/>
      <c r="Z2065" s="982"/>
      <c r="AA2065" s="6301"/>
      <c r="AB2065" s="139"/>
      <c r="AC2065" s="139"/>
      <c r="AD2065" s="139"/>
      <c r="AE2065" s="139"/>
      <c r="AF2065" s="139"/>
      <c r="AG2065" s="139"/>
      <c r="AH2065" s="139"/>
      <c r="AI2065" s="139"/>
      <c r="AJ2065" s="139"/>
      <c r="AK2065" s="139"/>
      <c r="AL2065" s="139"/>
      <c r="AM2065" s="139"/>
      <c r="AN2065" s="139"/>
      <c r="AO2065" s="139"/>
      <c r="AP2065" s="139"/>
      <c r="AQ2065" s="139"/>
      <c r="AR2065" s="139"/>
      <c r="AS2065" s="139"/>
      <c r="AT2065" s="139"/>
      <c r="AU2065" s="139"/>
      <c r="AV2065" s="139"/>
      <c r="AW2065" s="139"/>
      <c r="AX2065" s="139"/>
      <c r="AY2065" s="139"/>
      <c r="AZ2065" s="139"/>
      <c r="BA2065" s="139"/>
      <c r="BB2065" s="139"/>
      <c r="BC2065" s="139"/>
      <c r="BD2065" s="139"/>
      <c r="BE2065" s="139"/>
      <c r="BF2065" s="139"/>
      <c r="BG2065" s="139"/>
      <c r="BH2065" s="139"/>
    </row>
    <row r="2066" spans="2:60" s="11" customFormat="1" ht="20.100000000000001" customHeight="1">
      <c r="B2066" s="1360"/>
      <c r="C2066" s="6275"/>
      <c r="D2066" s="9598" t="s">
        <v>137</v>
      </c>
      <c r="E2066" s="9600"/>
      <c r="F2066" s="285" t="s">
        <v>1476</v>
      </c>
      <c r="G2066" s="358"/>
      <c r="H2066" s="6275"/>
      <c r="I2066" s="9579" t="s">
        <v>138</v>
      </c>
      <c r="J2066" s="9581"/>
      <c r="K2066" s="285" t="s">
        <v>559</v>
      </c>
      <c r="L2066" s="5594">
        <v>0</v>
      </c>
      <c r="M2066" s="5658"/>
      <c r="N2066" s="5601">
        <v>0</v>
      </c>
      <c r="O2066" s="5666"/>
      <c r="P2066" s="5625">
        <v>0</v>
      </c>
      <c r="Q2066" s="5601"/>
      <c r="R2066" s="2468"/>
      <c r="S2066" s="276"/>
      <c r="T2066" s="162"/>
      <c r="U2066" s="547"/>
      <c r="V2066" s="547"/>
      <c r="W2066" s="162"/>
      <c r="X2066" s="277"/>
      <c r="Y2066" s="277"/>
      <c r="Z2066" s="982"/>
      <c r="AA2066" s="6301"/>
      <c r="AB2066" s="139"/>
      <c r="AC2066" s="139"/>
      <c r="AD2066" s="139"/>
      <c r="AE2066" s="139"/>
      <c r="AF2066" s="139"/>
      <c r="AG2066" s="139"/>
      <c r="AH2066" s="139"/>
      <c r="AI2066" s="139"/>
      <c r="AJ2066" s="139"/>
      <c r="AK2066" s="139"/>
      <c r="AL2066" s="139"/>
      <c r="AM2066" s="139"/>
      <c r="AN2066" s="139"/>
      <c r="AO2066" s="139"/>
      <c r="AP2066" s="139"/>
      <c r="AQ2066" s="139"/>
      <c r="AR2066" s="139"/>
      <c r="AS2066" s="139"/>
      <c r="AT2066" s="139"/>
      <c r="AU2066" s="139"/>
      <c r="AV2066" s="139"/>
      <c r="AW2066" s="139"/>
      <c r="AX2066" s="139"/>
      <c r="AY2066" s="139"/>
      <c r="AZ2066" s="139"/>
      <c r="BA2066" s="139"/>
      <c r="BB2066" s="139"/>
      <c r="BC2066" s="139"/>
      <c r="BD2066" s="139"/>
      <c r="BE2066" s="139"/>
      <c r="BF2066" s="139"/>
      <c r="BG2066" s="139"/>
      <c r="BH2066" s="139"/>
    </row>
    <row r="2067" spans="2:60" s="11" customFormat="1" ht="20.100000000000001" customHeight="1">
      <c r="B2067" s="1360"/>
      <c r="C2067" s="6276"/>
      <c r="D2067" s="9598" t="s">
        <v>140</v>
      </c>
      <c r="E2067" s="9600"/>
      <c r="F2067" s="285" t="s">
        <v>1476</v>
      </c>
      <c r="G2067" s="358"/>
      <c r="H2067" s="6276"/>
      <c r="I2067" s="9582" t="s">
        <v>141</v>
      </c>
      <c r="J2067" s="9583"/>
      <c r="K2067" s="285" t="s">
        <v>559</v>
      </c>
      <c r="L2067" s="5594">
        <v>0</v>
      </c>
      <c r="M2067" s="5658"/>
      <c r="N2067" s="5601">
        <v>0</v>
      </c>
      <c r="O2067" s="5666"/>
      <c r="P2067" s="5625">
        <v>0</v>
      </c>
      <c r="Q2067" s="5601"/>
      <c r="R2067" s="2468"/>
      <c r="S2067" s="276"/>
      <c r="T2067" s="162"/>
      <c r="U2067" s="547"/>
      <c r="V2067" s="547"/>
      <c r="W2067" s="162"/>
      <c r="X2067" s="277"/>
      <c r="Y2067" s="277"/>
      <c r="Z2067" s="982"/>
      <c r="AA2067" s="6301"/>
      <c r="AB2067" s="139"/>
      <c r="AC2067" s="139"/>
      <c r="AD2067" s="139"/>
      <c r="AE2067" s="139"/>
      <c r="AF2067" s="139"/>
      <c r="AG2067" s="139"/>
      <c r="AH2067" s="139"/>
      <c r="AI2067" s="139"/>
      <c r="AJ2067" s="139"/>
      <c r="AK2067" s="139"/>
      <c r="AL2067" s="139"/>
      <c r="AM2067" s="139"/>
      <c r="AN2067" s="139"/>
      <c r="AO2067" s="139"/>
      <c r="AP2067" s="139"/>
      <c r="AQ2067" s="139"/>
      <c r="AR2067" s="139"/>
      <c r="AS2067" s="139"/>
      <c r="AT2067" s="139"/>
      <c r="AU2067" s="139"/>
      <c r="AV2067" s="139"/>
      <c r="AW2067" s="139"/>
      <c r="AX2067" s="139"/>
      <c r="AY2067" s="139"/>
      <c r="AZ2067" s="139"/>
      <c r="BA2067" s="139"/>
      <c r="BB2067" s="139"/>
      <c r="BC2067" s="139"/>
      <c r="BD2067" s="139"/>
      <c r="BE2067" s="139"/>
      <c r="BF2067" s="139"/>
      <c r="BG2067" s="139"/>
      <c r="BH2067" s="139"/>
    </row>
    <row r="2068" spans="2:60" s="11" customFormat="1" ht="20.100000000000001" customHeight="1">
      <c r="B2068" s="1360"/>
      <c r="C2068" s="6275"/>
      <c r="D2068" s="9598" t="s">
        <v>143</v>
      </c>
      <c r="E2068" s="9600"/>
      <c r="F2068" s="285" t="s">
        <v>1476</v>
      </c>
      <c r="G2068" s="358"/>
      <c r="H2068" s="6275"/>
      <c r="I2068" s="9582" t="s">
        <v>144</v>
      </c>
      <c r="J2068" s="9583"/>
      <c r="K2068" s="285" t="s">
        <v>559</v>
      </c>
      <c r="L2068" s="5594"/>
      <c r="M2068" s="5658"/>
      <c r="N2068" s="5601"/>
      <c r="O2068" s="5666"/>
      <c r="P2068" s="5625"/>
      <c r="Q2068" s="5601"/>
      <c r="R2068" s="498"/>
      <c r="S2068" s="367"/>
      <c r="T2068" s="162"/>
      <c r="U2068" s="547"/>
      <c r="V2068" s="547"/>
      <c r="W2068" s="162"/>
      <c r="X2068" s="277"/>
      <c r="Y2068" s="277"/>
      <c r="Z2068" s="982"/>
      <c r="AA2068" s="6301"/>
      <c r="AB2068" s="139"/>
      <c r="AC2068" s="139"/>
      <c r="AD2068" s="139"/>
      <c r="AE2068" s="139"/>
      <c r="AF2068" s="139"/>
      <c r="AG2068" s="139"/>
      <c r="AH2068" s="139"/>
      <c r="AI2068" s="139"/>
      <c r="AJ2068" s="139"/>
      <c r="AK2068" s="139"/>
      <c r="AL2068" s="139"/>
      <c r="AM2068" s="139"/>
      <c r="AN2068" s="139"/>
      <c r="AO2068" s="139"/>
      <c r="AP2068" s="139"/>
      <c r="AQ2068" s="139"/>
      <c r="AR2068" s="139"/>
      <c r="AS2068" s="139"/>
      <c r="AT2068" s="139"/>
      <c r="AU2068" s="139"/>
      <c r="AV2068" s="139"/>
      <c r="AW2068" s="139"/>
      <c r="AX2068" s="139"/>
      <c r="AY2068" s="139"/>
      <c r="AZ2068" s="139"/>
      <c r="BA2068" s="139"/>
      <c r="BB2068" s="139"/>
      <c r="BC2068" s="139"/>
      <c r="BD2068" s="139"/>
      <c r="BE2068" s="139"/>
      <c r="BF2068" s="139"/>
      <c r="BG2068" s="139"/>
      <c r="BH2068" s="139"/>
    </row>
    <row r="2069" spans="2:60" s="11" customFormat="1" ht="20.100000000000001" customHeight="1">
      <c r="B2069" s="1360"/>
      <c r="C2069" s="6276"/>
      <c r="D2069" s="9598" t="s">
        <v>631</v>
      </c>
      <c r="E2069" s="9600"/>
      <c r="F2069" s="285" t="s">
        <v>1476</v>
      </c>
      <c r="G2069" s="358"/>
      <c r="H2069" s="6276"/>
      <c r="I2069" s="9582" t="s">
        <v>147</v>
      </c>
      <c r="J2069" s="9583"/>
      <c r="K2069" s="285" t="s">
        <v>559</v>
      </c>
      <c r="L2069" s="5594"/>
      <c r="M2069" s="5658"/>
      <c r="N2069" s="5601"/>
      <c r="O2069" s="5666"/>
      <c r="P2069" s="5625"/>
      <c r="Q2069" s="5601"/>
      <c r="R2069" s="498"/>
      <c r="S2069" s="367"/>
      <c r="T2069" s="162"/>
      <c r="U2069" s="547"/>
      <c r="V2069" s="547"/>
      <c r="W2069" s="162"/>
      <c r="X2069" s="277"/>
      <c r="Y2069" s="277"/>
      <c r="Z2069" s="982"/>
      <c r="AA2069" s="6301"/>
      <c r="AB2069" s="139"/>
      <c r="AC2069" s="139"/>
      <c r="AD2069" s="139"/>
      <c r="AE2069" s="139"/>
      <c r="AF2069" s="139"/>
      <c r="AG2069" s="139"/>
      <c r="AH2069" s="139"/>
      <c r="AI2069" s="139"/>
      <c r="AJ2069" s="139"/>
      <c r="AK2069" s="139"/>
      <c r="AL2069" s="139"/>
      <c r="AM2069" s="139"/>
      <c r="AN2069" s="139"/>
      <c r="AO2069" s="139"/>
      <c r="AP2069" s="139"/>
      <c r="AQ2069" s="139"/>
      <c r="AR2069" s="139"/>
      <c r="AS2069" s="139"/>
      <c r="AT2069" s="139"/>
      <c r="AU2069" s="139"/>
      <c r="AV2069" s="139"/>
      <c r="AW2069" s="139"/>
      <c r="AX2069" s="139"/>
      <c r="AY2069" s="139"/>
      <c r="AZ2069" s="139"/>
      <c r="BA2069" s="139"/>
      <c r="BB2069" s="139"/>
      <c r="BC2069" s="139"/>
      <c r="BD2069" s="139"/>
      <c r="BE2069" s="139"/>
      <c r="BF2069" s="139"/>
      <c r="BG2069" s="139"/>
      <c r="BH2069" s="139"/>
    </row>
    <row r="2070" spans="2:60" s="11" customFormat="1" ht="20.100000000000001" customHeight="1">
      <c r="B2070" s="1360"/>
      <c r="C2070" s="6275"/>
      <c r="D2070" s="9598" t="s">
        <v>633</v>
      </c>
      <c r="E2070" s="9600"/>
      <c r="F2070" s="285" t="s">
        <v>1476</v>
      </c>
      <c r="G2070" s="358"/>
      <c r="H2070" s="6275"/>
      <c r="I2070" s="9582" t="s">
        <v>150</v>
      </c>
      <c r="J2070" s="9583"/>
      <c r="K2070" s="285" t="s">
        <v>559</v>
      </c>
      <c r="L2070" s="5594"/>
      <c r="M2070" s="5658"/>
      <c r="N2070" s="5601"/>
      <c r="O2070" s="5666"/>
      <c r="P2070" s="5625"/>
      <c r="Q2070" s="5601"/>
      <c r="R2070" s="498"/>
      <c r="S2070" s="367"/>
      <c r="T2070" s="162"/>
      <c r="U2070" s="547"/>
      <c r="V2070" s="547"/>
      <c r="W2070" s="162"/>
      <c r="X2070" s="277"/>
      <c r="Y2070" s="277"/>
      <c r="Z2070" s="982"/>
      <c r="AA2070" s="6301"/>
      <c r="AB2070" s="139"/>
      <c r="AC2070" s="139"/>
      <c r="AD2070" s="139"/>
      <c r="AE2070" s="139"/>
      <c r="AF2070" s="139"/>
      <c r="AG2070" s="139"/>
      <c r="AH2070" s="139"/>
      <c r="AI2070" s="139"/>
      <c r="AJ2070" s="139"/>
      <c r="AK2070" s="139"/>
      <c r="AL2070" s="139"/>
      <c r="AM2070" s="139"/>
      <c r="AN2070" s="139"/>
      <c r="AO2070" s="139"/>
      <c r="AP2070" s="139"/>
      <c r="AQ2070" s="139"/>
      <c r="AR2070" s="139"/>
      <c r="AS2070" s="139"/>
      <c r="AT2070" s="139"/>
      <c r="AU2070" s="139"/>
      <c r="AV2070" s="139"/>
      <c r="AW2070" s="139"/>
      <c r="AX2070" s="139"/>
      <c r="AY2070" s="139"/>
      <c r="AZ2070" s="139"/>
      <c r="BA2070" s="139"/>
      <c r="BB2070" s="139"/>
      <c r="BC2070" s="139"/>
      <c r="BD2070" s="139"/>
      <c r="BE2070" s="139"/>
      <c r="BF2070" s="139"/>
      <c r="BG2070" s="139"/>
      <c r="BH2070" s="139"/>
    </row>
    <row r="2071" spans="2:60" s="11" customFormat="1" ht="20.100000000000001" customHeight="1">
      <c r="B2071" s="1360"/>
      <c r="C2071" s="6275"/>
      <c r="D2071" s="5762" t="s">
        <v>1656</v>
      </c>
      <c r="E2071" s="5763"/>
      <c r="F2071" s="5766" t="s">
        <v>1476</v>
      </c>
      <c r="G2071" s="6281"/>
      <c r="H2071" s="6275"/>
      <c r="I2071" s="5770" t="s">
        <v>1657</v>
      </c>
      <c r="J2071" s="5770"/>
      <c r="K2071" s="5766" t="s">
        <v>559</v>
      </c>
      <c r="L2071" s="5653" t="str">
        <f>IF(COUNTBLANK(L2072:L2077)&gt;0,"미취합법인有",SUM(L2072:L2077))</f>
        <v>미취합법인有</v>
      </c>
      <c r="M2071" s="5657"/>
      <c r="N2071" s="5654" t="str">
        <f>IF(COUNTBLANK(N2072:N2077)&gt;0,"미취합법인有",SUM(N2072:N2077))</f>
        <v>미취합법인有</v>
      </c>
      <c r="O2071" s="5663"/>
      <c r="P2071" s="5781" t="str">
        <f>IF(COUNTBLANK(P2072:P2077)&gt;0,"미취합법인有",SUM(P2072:P2077))</f>
        <v>미취합법인有</v>
      </c>
      <c r="Q2071" s="396"/>
      <c r="R2071" s="498" t="s">
        <v>1658</v>
      </c>
      <c r="S2071" s="367" t="s">
        <v>1659</v>
      </c>
      <c r="T2071" s="162" t="s">
        <v>1649</v>
      </c>
      <c r="U2071" s="547"/>
      <c r="V2071" s="547"/>
      <c r="W2071" s="162"/>
      <c r="X2071" s="277" t="s">
        <v>1660</v>
      </c>
      <c r="Y2071" s="265"/>
      <c r="Z2071" s="982"/>
      <c r="AA2071" s="6301"/>
      <c r="AB2071" s="139"/>
      <c r="AC2071" s="139"/>
      <c r="AD2071" s="139"/>
      <c r="AE2071" s="139"/>
      <c r="AF2071" s="139"/>
      <c r="AG2071" s="139"/>
      <c r="AH2071" s="139"/>
      <c r="AI2071" s="139"/>
      <c r="AJ2071" s="139"/>
      <c r="AK2071" s="139"/>
      <c r="AL2071" s="139"/>
      <c r="AM2071" s="139"/>
      <c r="AN2071" s="139"/>
      <c r="AO2071" s="139"/>
      <c r="AP2071" s="139"/>
      <c r="AQ2071" s="139"/>
      <c r="AR2071" s="139"/>
      <c r="AS2071" s="139"/>
      <c r="AT2071" s="139"/>
      <c r="AU2071" s="139"/>
      <c r="AV2071" s="139"/>
      <c r="AW2071" s="139"/>
      <c r="AX2071" s="139"/>
      <c r="AY2071" s="139"/>
      <c r="AZ2071" s="139"/>
      <c r="BA2071" s="139"/>
      <c r="BB2071" s="139"/>
      <c r="BC2071" s="139"/>
      <c r="BD2071" s="139"/>
      <c r="BE2071" s="139"/>
      <c r="BF2071" s="139"/>
      <c r="BG2071" s="139"/>
      <c r="BH2071" s="139"/>
    </row>
    <row r="2072" spans="2:60" s="11" customFormat="1" ht="20.100000000000001" customHeight="1">
      <c r="B2072" s="1360"/>
      <c r="C2072" s="6276"/>
      <c r="D2072" s="9598" t="s">
        <v>134</v>
      </c>
      <c r="E2072" s="9600"/>
      <c r="F2072" s="285" t="s">
        <v>1476</v>
      </c>
      <c r="G2072" s="358"/>
      <c r="H2072" s="6276"/>
      <c r="I2072" s="9579" t="s">
        <v>135</v>
      </c>
      <c r="J2072" s="9581"/>
      <c r="K2072" s="285" t="s">
        <v>559</v>
      </c>
      <c r="L2072" s="5594">
        <v>0</v>
      </c>
      <c r="M2072" s="5658"/>
      <c r="N2072" s="5601">
        <v>0</v>
      </c>
      <c r="O2072" s="5666"/>
      <c r="P2072" s="5625">
        <v>0</v>
      </c>
      <c r="Q2072" s="5601"/>
      <c r="R2072" s="498"/>
      <c r="S2072" s="367"/>
      <c r="T2072" s="162"/>
      <c r="U2072" s="547"/>
      <c r="V2072" s="547"/>
      <c r="W2072" s="162"/>
      <c r="X2072" s="277"/>
      <c r="Y2072" s="265"/>
      <c r="Z2072" s="982"/>
      <c r="AA2072" s="6301"/>
      <c r="AB2072" s="139"/>
      <c r="AC2072" s="139"/>
      <c r="AD2072" s="139"/>
      <c r="AE2072" s="139"/>
      <c r="AF2072" s="139"/>
      <c r="AG2072" s="139"/>
      <c r="AH2072" s="139"/>
      <c r="AI2072" s="139"/>
      <c r="AJ2072" s="139"/>
      <c r="AK2072" s="139"/>
      <c r="AL2072" s="139"/>
      <c r="AM2072" s="139"/>
      <c r="AN2072" s="139"/>
      <c r="AO2072" s="139"/>
      <c r="AP2072" s="139"/>
      <c r="AQ2072" s="139"/>
      <c r="AR2072" s="139"/>
      <c r="AS2072" s="139"/>
      <c r="AT2072" s="139"/>
      <c r="AU2072" s="139"/>
      <c r="AV2072" s="139"/>
      <c r="AW2072" s="139"/>
      <c r="AX2072" s="139"/>
      <c r="AY2072" s="139"/>
      <c r="AZ2072" s="139"/>
      <c r="BA2072" s="139"/>
      <c r="BB2072" s="139"/>
      <c r="BC2072" s="139"/>
      <c r="BD2072" s="139"/>
      <c r="BE2072" s="139"/>
      <c r="BF2072" s="139"/>
      <c r="BG2072" s="139"/>
      <c r="BH2072" s="139"/>
    </row>
    <row r="2073" spans="2:60" s="11" customFormat="1" ht="20.100000000000001" customHeight="1">
      <c r="B2073" s="1360"/>
      <c r="C2073" s="6275"/>
      <c r="D2073" s="9598" t="s">
        <v>137</v>
      </c>
      <c r="E2073" s="9600"/>
      <c r="F2073" s="285" t="s">
        <v>1476</v>
      </c>
      <c r="G2073" s="358"/>
      <c r="H2073" s="6275"/>
      <c r="I2073" s="9579" t="s">
        <v>138</v>
      </c>
      <c r="J2073" s="9581"/>
      <c r="K2073" s="285" t="s">
        <v>559</v>
      </c>
      <c r="L2073" s="5594">
        <v>0</v>
      </c>
      <c r="M2073" s="5658"/>
      <c r="N2073" s="5601">
        <v>0</v>
      </c>
      <c r="O2073" s="5666"/>
      <c r="P2073" s="5625">
        <v>0</v>
      </c>
      <c r="Q2073" s="5601"/>
      <c r="R2073" s="498"/>
      <c r="S2073" s="367"/>
      <c r="T2073" s="162"/>
      <c r="U2073" s="547"/>
      <c r="V2073" s="547"/>
      <c r="W2073" s="162"/>
      <c r="X2073" s="277"/>
      <c r="Y2073" s="265"/>
      <c r="Z2073" s="982"/>
      <c r="AA2073" s="6301"/>
      <c r="AB2073" s="139"/>
      <c r="AC2073" s="139"/>
      <c r="AD2073" s="139"/>
      <c r="AE2073" s="139"/>
      <c r="AF2073" s="139"/>
      <c r="AG2073" s="139"/>
      <c r="AH2073" s="139"/>
      <c r="AI2073" s="139"/>
      <c r="AJ2073" s="139"/>
      <c r="AK2073" s="139"/>
      <c r="AL2073" s="139"/>
      <c r="AM2073" s="139"/>
      <c r="AN2073" s="139"/>
      <c r="AO2073" s="139"/>
      <c r="AP2073" s="139"/>
      <c r="AQ2073" s="139"/>
      <c r="AR2073" s="139"/>
      <c r="AS2073" s="139"/>
      <c r="AT2073" s="139"/>
      <c r="AU2073" s="139"/>
      <c r="AV2073" s="139"/>
      <c r="AW2073" s="139"/>
      <c r="AX2073" s="139"/>
      <c r="AY2073" s="139"/>
      <c r="AZ2073" s="139"/>
      <c r="BA2073" s="139"/>
      <c r="BB2073" s="139"/>
      <c r="BC2073" s="139"/>
      <c r="BD2073" s="139"/>
      <c r="BE2073" s="139"/>
      <c r="BF2073" s="139"/>
      <c r="BG2073" s="139"/>
      <c r="BH2073" s="139"/>
    </row>
    <row r="2074" spans="2:60" s="11" customFormat="1" ht="20.100000000000001" customHeight="1">
      <c r="B2074" s="1360"/>
      <c r="C2074" s="6276"/>
      <c r="D2074" s="9598" t="s">
        <v>140</v>
      </c>
      <c r="E2074" s="9600"/>
      <c r="F2074" s="285" t="s">
        <v>1476</v>
      </c>
      <c r="G2074" s="358"/>
      <c r="H2074" s="6276"/>
      <c r="I2074" s="9582" t="s">
        <v>141</v>
      </c>
      <c r="J2074" s="9583"/>
      <c r="K2074" s="285" t="s">
        <v>559</v>
      </c>
      <c r="L2074" s="5594">
        <v>0</v>
      </c>
      <c r="M2074" s="5658"/>
      <c r="N2074" s="5601">
        <v>0</v>
      </c>
      <c r="O2074" s="5666"/>
      <c r="P2074" s="5625">
        <v>0</v>
      </c>
      <c r="Q2074" s="5601"/>
      <c r="R2074" s="498"/>
      <c r="S2074" s="367"/>
      <c r="T2074" s="162"/>
      <c r="U2074" s="547"/>
      <c r="V2074" s="547"/>
      <c r="W2074" s="162"/>
      <c r="X2074" s="277"/>
      <c r="Y2074" s="265"/>
      <c r="Z2074" s="982"/>
      <c r="AA2074" s="6301"/>
      <c r="AB2074" s="139"/>
      <c r="AC2074" s="139"/>
      <c r="AD2074" s="139"/>
      <c r="AE2074" s="139"/>
      <c r="AF2074" s="139"/>
      <c r="AG2074" s="139"/>
      <c r="AH2074" s="139"/>
      <c r="AI2074" s="139"/>
      <c r="AJ2074" s="139"/>
      <c r="AK2074" s="139"/>
      <c r="AL2074" s="139"/>
      <c r="AM2074" s="139"/>
      <c r="AN2074" s="139"/>
      <c r="AO2074" s="139"/>
      <c r="AP2074" s="139"/>
      <c r="AQ2074" s="139"/>
      <c r="AR2074" s="139"/>
      <c r="AS2074" s="139"/>
      <c r="AT2074" s="139"/>
      <c r="AU2074" s="139"/>
      <c r="AV2074" s="139"/>
      <c r="AW2074" s="139"/>
      <c r="AX2074" s="139"/>
      <c r="AY2074" s="139"/>
      <c r="AZ2074" s="139"/>
      <c r="BA2074" s="139"/>
      <c r="BB2074" s="139"/>
      <c r="BC2074" s="139"/>
      <c r="BD2074" s="139"/>
      <c r="BE2074" s="139"/>
      <c r="BF2074" s="139"/>
      <c r="BG2074" s="139"/>
      <c r="BH2074" s="139"/>
    </row>
    <row r="2075" spans="2:60" s="11" customFormat="1" ht="20.100000000000001" customHeight="1">
      <c r="B2075" s="1360"/>
      <c r="C2075" s="6275"/>
      <c r="D2075" s="9598" t="s">
        <v>143</v>
      </c>
      <c r="E2075" s="9600"/>
      <c r="F2075" s="285" t="s">
        <v>1476</v>
      </c>
      <c r="G2075" s="358"/>
      <c r="H2075" s="6275"/>
      <c r="I2075" s="9582" t="s">
        <v>144</v>
      </c>
      <c r="J2075" s="9583"/>
      <c r="K2075" s="285" t="s">
        <v>559</v>
      </c>
      <c r="L2075" s="5594"/>
      <c r="M2075" s="5658"/>
      <c r="N2075" s="5601"/>
      <c r="O2075" s="5666"/>
      <c r="P2075" s="5625"/>
      <c r="Q2075" s="5601"/>
      <c r="R2075" s="498"/>
      <c r="S2075" s="367"/>
      <c r="T2075" s="162"/>
      <c r="U2075" s="547"/>
      <c r="V2075" s="547"/>
      <c r="W2075" s="162"/>
      <c r="X2075" s="277"/>
      <c r="Y2075" s="265"/>
      <c r="Z2075" s="982"/>
      <c r="AA2075" s="6301"/>
      <c r="AB2075" s="139"/>
      <c r="AC2075" s="139"/>
      <c r="AD2075" s="139"/>
      <c r="AE2075" s="139"/>
      <c r="AF2075" s="139"/>
      <c r="AG2075" s="139"/>
      <c r="AH2075" s="139"/>
      <c r="AI2075" s="139"/>
      <c r="AJ2075" s="139"/>
      <c r="AK2075" s="139"/>
      <c r="AL2075" s="139"/>
      <c r="AM2075" s="139"/>
      <c r="AN2075" s="139"/>
      <c r="AO2075" s="139"/>
      <c r="AP2075" s="139"/>
      <c r="AQ2075" s="139"/>
      <c r="AR2075" s="139"/>
      <c r="AS2075" s="139"/>
      <c r="AT2075" s="139"/>
      <c r="AU2075" s="139"/>
      <c r="AV2075" s="139"/>
      <c r="AW2075" s="139"/>
      <c r="AX2075" s="139"/>
      <c r="AY2075" s="139"/>
      <c r="AZ2075" s="139"/>
      <c r="BA2075" s="139"/>
      <c r="BB2075" s="139"/>
      <c r="BC2075" s="139"/>
      <c r="BD2075" s="139"/>
      <c r="BE2075" s="139"/>
      <c r="BF2075" s="139"/>
      <c r="BG2075" s="139"/>
      <c r="BH2075" s="139"/>
    </row>
    <row r="2076" spans="2:60" s="11" customFormat="1" ht="20.100000000000001" customHeight="1">
      <c r="B2076" s="1360"/>
      <c r="C2076" s="6276"/>
      <c r="D2076" s="9598" t="s">
        <v>631</v>
      </c>
      <c r="E2076" s="9600"/>
      <c r="F2076" s="285" t="s">
        <v>1476</v>
      </c>
      <c r="G2076" s="358"/>
      <c r="H2076" s="6276"/>
      <c r="I2076" s="9582" t="s">
        <v>147</v>
      </c>
      <c r="J2076" s="9583"/>
      <c r="K2076" s="285" t="s">
        <v>559</v>
      </c>
      <c r="L2076" s="5594"/>
      <c r="M2076" s="5658"/>
      <c r="N2076" s="5601"/>
      <c r="O2076" s="5666"/>
      <c r="P2076" s="5625"/>
      <c r="Q2076" s="5601"/>
      <c r="R2076" s="498"/>
      <c r="S2076" s="367"/>
      <c r="T2076" s="162"/>
      <c r="U2076" s="547"/>
      <c r="V2076" s="547"/>
      <c r="W2076" s="162"/>
      <c r="X2076" s="277"/>
      <c r="Y2076" s="265"/>
      <c r="Z2076" s="982"/>
      <c r="AA2076" s="6301"/>
      <c r="AB2076" s="139"/>
      <c r="AC2076" s="139"/>
      <c r="AD2076" s="139"/>
      <c r="AE2076" s="139"/>
      <c r="AF2076" s="139"/>
      <c r="AG2076" s="139"/>
      <c r="AH2076" s="139"/>
      <c r="AI2076" s="139"/>
      <c r="AJ2076" s="139"/>
      <c r="AK2076" s="139"/>
      <c r="AL2076" s="139"/>
      <c r="AM2076" s="139"/>
      <c r="AN2076" s="139"/>
      <c r="AO2076" s="139"/>
      <c r="AP2076" s="139"/>
      <c r="AQ2076" s="139"/>
      <c r="AR2076" s="139"/>
      <c r="AS2076" s="139"/>
      <c r="AT2076" s="139"/>
      <c r="AU2076" s="139"/>
      <c r="AV2076" s="139"/>
      <c r="AW2076" s="139"/>
      <c r="AX2076" s="139"/>
      <c r="AY2076" s="139"/>
      <c r="AZ2076" s="139"/>
      <c r="BA2076" s="139"/>
      <c r="BB2076" s="139"/>
      <c r="BC2076" s="139"/>
      <c r="BD2076" s="139"/>
      <c r="BE2076" s="139"/>
      <c r="BF2076" s="139"/>
      <c r="BG2076" s="139"/>
      <c r="BH2076" s="139"/>
    </row>
    <row r="2077" spans="2:60" s="11" customFormat="1" ht="20.100000000000001" customHeight="1">
      <c r="B2077" s="1360"/>
      <c r="C2077" s="6275"/>
      <c r="D2077" s="9598" t="s">
        <v>633</v>
      </c>
      <c r="E2077" s="9600"/>
      <c r="F2077" s="285" t="s">
        <v>1476</v>
      </c>
      <c r="G2077" s="358"/>
      <c r="H2077" s="6275"/>
      <c r="I2077" s="9582" t="s">
        <v>150</v>
      </c>
      <c r="J2077" s="9583"/>
      <c r="K2077" s="285" t="s">
        <v>559</v>
      </c>
      <c r="L2077" s="5594"/>
      <c r="M2077" s="5658"/>
      <c r="N2077" s="5601"/>
      <c r="O2077" s="5666"/>
      <c r="P2077" s="5625"/>
      <c r="Q2077" s="5601"/>
      <c r="R2077" s="498"/>
      <c r="S2077" s="367"/>
      <c r="T2077" s="162"/>
      <c r="U2077" s="547"/>
      <c r="V2077" s="547"/>
      <c r="W2077" s="162"/>
      <c r="X2077" s="277"/>
      <c r="Y2077" s="265"/>
      <c r="Z2077" s="982"/>
      <c r="AA2077" s="6301"/>
      <c r="AB2077" s="139"/>
      <c r="AC2077" s="139"/>
      <c r="AD2077" s="139"/>
      <c r="AE2077" s="139"/>
      <c r="AF2077" s="139"/>
      <c r="AG2077" s="139"/>
      <c r="AH2077" s="139"/>
      <c r="AI2077" s="139"/>
      <c r="AJ2077" s="139"/>
      <c r="AK2077" s="139"/>
      <c r="AL2077" s="139"/>
      <c r="AM2077" s="139"/>
      <c r="AN2077" s="139"/>
      <c r="AO2077" s="139"/>
      <c r="AP2077" s="139"/>
      <c r="AQ2077" s="139"/>
      <c r="AR2077" s="139"/>
      <c r="AS2077" s="139"/>
      <c r="AT2077" s="139"/>
      <c r="AU2077" s="139"/>
      <c r="AV2077" s="139"/>
      <c r="AW2077" s="139"/>
      <c r="AX2077" s="139"/>
      <c r="AY2077" s="139"/>
      <c r="AZ2077" s="139"/>
      <c r="BA2077" s="139"/>
      <c r="BB2077" s="139"/>
      <c r="BC2077" s="139"/>
      <c r="BD2077" s="139"/>
      <c r="BE2077" s="139"/>
      <c r="BF2077" s="139"/>
      <c r="BG2077" s="139"/>
      <c r="BH2077" s="139"/>
    </row>
    <row r="2078" spans="2:60" s="11" customFormat="1" ht="20.100000000000001" customHeight="1">
      <c r="B2078" s="1360"/>
      <c r="C2078" s="6275"/>
      <c r="D2078" s="5762" t="s">
        <v>1661</v>
      </c>
      <c r="E2078" s="5763"/>
      <c r="F2078" s="5766" t="s">
        <v>1476</v>
      </c>
      <c r="G2078" s="6281"/>
      <c r="H2078" s="6275"/>
      <c r="I2078" s="5770" t="s">
        <v>1662</v>
      </c>
      <c r="J2078" s="5770"/>
      <c r="K2078" s="5766" t="s">
        <v>559</v>
      </c>
      <c r="L2078" s="5653" t="str">
        <f>IF(COUNTBLANK(L2079:L2084)&gt;0,"미취합법인有",SUM(L2079:L2084))</f>
        <v>미취합법인有</v>
      </c>
      <c r="M2078" s="5657"/>
      <c r="N2078" s="5654" t="str">
        <f>IF(COUNTBLANK(N2079:N2084)&gt;0,"미취합법인有",SUM(N2079:N2084))</f>
        <v>미취합법인有</v>
      </c>
      <c r="O2078" s="5663"/>
      <c r="P2078" s="5781" t="str">
        <f>IF(COUNTBLANK(P2079:P2084)&gt;0,"미취합법인有",SUM(P2079:P2084))</f>
        <v>미취합법인有</v>
      </c>
      <c r="Q2078" s="396"/>
      <c r="R2078" s="498" t="s">
        <v>1663</v>
      </c>
      <c r="S2078" s="367" t="s">
        <v>1664</v>
      </c>
      <c r="T2078" s="162" t="s">
        <v>1649</v>
      </c>
      <c r="U2078" s="547"/>
      <c r="V2078" s="547"/>
      <c r="W2078" s="162"/>
      <c r="X2078" s="277" t="s">
        <v>1665</v>
      </c>
      <c r="Y2078" s="346" t="s">
        <v>1666</v>
      </c>
      <c r="Z2078" s="982" t="s">
        <v>1667</v>
      </c>
      <c r="AA2078" s="6301"/>
      <c r="AB2078" s="139"/>
      <c r="AC2078" s="139"/>
      <c r="AD2078" s="139"/>
      <c r="AE2078" s="139"/>
      <c r="AF2078" s="139"/>
      <c r="AG2078" s="139"/>
      <c r="AH2078" s="139"/>
      <c r="AI2078" s="139"/>
      <c r="AJ2078" s="139"/>
      <c r="AK2078" s="139"/>
      <c r="AL2078" s="139"/>
      <c r="AM2078" s="139"/>
      <c r="AN2078" s="139"/>
      <c r="AO2078" s="139"/>
      <c r="AP2078" s="139"/>
      <c r="AQ2078" s="139"/>
      <c r="AR2078" s="139"/>
      <c r="AS2078" s="139"/>
      <c r="AT2078" s="139"/>
      <c r="AU2078" s="139"/>
      <c r="AV2078" s="139"/>
      <c r="AW2078" s="139"/>
      <c r="AX2078" s="139"/>
      <c r="AY2078" s="139"/>
      <c r="AZ2078" s="139"/>
      <c r="BA2078" s="139"/>
      <c r="BB2078" s="139"/>
      <c r="BC2078" s="139"/>
      <c r="BD2078" s="139"/>
      <c r="BE2078" s="139"/>
      <c r="BF2078" s="139"/>
      <c r="BG2078" s="139"/>
      <c r="BH2078" s="139"/>
    </row>
    <row r="2079" spans="2:60" s="11" customFormat="1" ht="20.100000000000001" customHeight="1">
      <c r="B2079" s="1360"/>
      <c r="C2079" s="6276"/>
      <c r="D2079" s="9598" t="s">
        <v>134</v>
      </c>
      <c r="E2079" s="9600"/>
      <c r="F2079" s="285" t="s">
        <v>1476</v>
      </c>
      <c r="G2079" s="358"/>
      <c r="H2079" s="6276"/>
      <c r="I2079" s="9579" t="s">
        <v>135</v>
      </c>
      <c r="J2079" s="9581"/>
      <c r="K2079" s="285" t="s">
        <v>559</v>
      </c>
      <c r="L2079" s="5594">
        <v>0</v>
      </c>
      <c r="M2079" s="5658"/>
      <c r="N2079" s="5601">
        <v>0</v>
      </c>
      <c r="O2079" s="5666"/>
      <c r="P2079" s="5625">
        <v>0</v>
      </c>
      <c r="Q2079" s="5601"/>
      <c r="R2079" s="498"/>
      <c r="S2079" s="367"/>
      <c r="T2079" s="162"/>
      <c r="U2079" s="547"/>
      <c r="V2079" s="547"/>
      <c r="W2079" s="162"/>
      <c r="X2079" s="277"/>
      <c r="Y2079" s="346"/>
      <c r="Z2079" s="982"/>
      <c r="AA2079" s="6301"/>
      <c r="AB2079" s="139"/>
      <c r="AC2079" s="139"/>
      <c r="AD2079" s="139"/>
      <c r="AE2079" s="139"/>
      <c r="AF2079" s="139"/>
      <c r="AG2079" s="139"/>
      <c r="AH2079" s="139"/>
      <c r="AI2079" s="139"/>
      <c r="AJ2079" s="139"/>
      <c r="AK2079" s="139"/>
      <c r="AL2079" s="139"/>
      <c r="AM2079" s="139"/>
      <c r="AN2079" s="139"/>
      <c r="AO2079" s="139"/>
      <c r="AP2079" s="139"/>
      <c r="AQ2079" s="139"/>
      <c r="AR2079" s="139"/>
      <c r="AS2079" s="139"/>
      <c r="AT2079" s="139"/>
      <c r="AU2079" s="139"/>
      <c r="AV2079" s="139"/>
      <c r="AW2079" s="139"/>
      <c r="AX2079" s="139"/>
      <c r="AY2079" s="139"/>
      <c r="AZ2079" s="139"/>
      <c r="BA2079" s="139"/>
      <c r="BB2079" s="139"/>
      <c r="BC2079" s="139"/>
      <c r="BD2079" s="139"/>
      <c r="BE2079" s="139"/>
      <c r="BF2079" s="139"/>
      <c r="BG2079" s="139"/>
      <c r="BH2079" s="139"/>
    </row>
    <row r="2080" spans="2:60" s="11" customFormat="1" ht="20.100000000000001" customHeight="1">
      <c r="B2080" s="1360"/>
      <c r="C2080" s="6275"/>
      <c r="D2080" s="9598" t="s">
        <v>137</v>
      </c>
      <c r="E2080" s="9600"/>
      <c r="F2080" s="285" t="s">
        <v>1476</v>
      </c>
      <c r="G2080" s="358"/>
      <c r="H2080" s="6275"/>
      <c r="I2080" s="9579" t="s">
        <v>138</v>
      </c>
      <c r="J2080" s="9581"/>
      <c r="K2080" s="285" t="s">
        <v>559</v>
      </c>
      <c r="L2080" s="5594">
        <v>0</v>
      </c>
      <c r="M2080" s="5658"/>
      <c r="N2080" s="5601">
        <v>0</v>
      </c>
      <c r="O2080" s="5666"/>
      <c r="P2080" s="5625">
        <v>0</v>
      </c>
      <c r="Q2080" s="5601"/>
      <c r="R2080" s="498"/>
      <c r="S2080" s="367"/>
      <c r="T2080" s="162"/>
      <c r="U2080" s="547"/>
      <c r="V2080" s="547"/>
      <c r="W2080" s="162"/>
      <c r="X2080" s="277"/>
      <c r="Y2080" s="346"/>
      <c r="Z2080" s="982"/>
      <c r="AA2080" s="6301"/>
      <c r="AB2080" s="139"/>
      <c r="AC2080" s="139"/>
      <c r="AD2080" s="139"/>
      <c r="AE2080" s="139"/>
      <c r="AF2080" s="139"/>
      <c r="AG2080" s="139"/>
      <c r="AH2080" s="139"/>
      <c r="AI2080" s="139"/>
      <c r="AJ2080" s="139"/>
      <c r="AK2080" s="139"/>
      <c r="AL2080" s="139"/>
      <c r="AM2080" s="139"/>
      <c r="AN2080" s="139"/>
      <c r="AO2080" s="139"/>
      <c r="AP2080" s="139"/>
      <c r="AQ2080" s="139"/>
      <c r="AR2080" s="139"/>
      <c r="AS2080" s="139"/>
      <c r="AT2080" s="139"/>
      <c r="AU2080" s="139"/>
      <c r="AV2080" s="139"/>
      <c r="AW2080" s="139"/>
      <c r="AX2080" s="139"/>
      <c r="AY2080" s="139"/>
      <c r="AZ2080" s="139"/>
      <c r="BA2080" s="139"/>
      <c r="BB2080" s="139"/>
      <c r="BC2080" s="139"/>
      <c r="BD2080" s="139"/>
      <c r="BE2080" s="139"/>
      <c r="BF2080" s="139"/>
      <c r="BG2080" s="139"/>
      <c r="BH2080" s="139"/>
    </row>
    <row r="2081" spans="2:60" s="11" customFormat="1" ht="20.100000000000001" customHeight="1">
      <c r="B2081" s="1360"/>
      <c r="C2081" s="6276"/>
      <c r="D2081" s="9598" t="s">
        <v>140</v>
      </c>
      <c r="E2081" s="9600"/>
      <c r="F2081" s="285" t="s">
        <v>1476</v>
      </c>
      <c r="G2081" s="358"/>
      <c r="H2081" s="6276"/>
      <c r="I2081" s="9582" t="s">
        <v>141</v>
      </c>
      <c r="J2081" s="9583"/>
      <c r="K2081" s="285" t="s">
        <v>559</v>
      </c>
      <c r="L2081" s="5594">
        <v>0</v>
      </c>
      <c r="M2081" s="5658"/>
      <c r="N2081" s="5601">
        <v>0</v>
      </c>
      <c r="O2081" s="5666"/>
      <c r="P2081" s="5625">
        <v>0</v>
      </c>
      <c r="Q2081" s="5601"/>
      <c r="R2081" s="498"/>
      <c r="S2081" s="367"/>
      <c r="T2081" s="162"/>
      <c r="U2081" s="547"/>
      <c r="V2081" s="547"/>
      <c r="W2081" s="162"/>
      <c r="X2081" s="277"/>
      <c r="Y2081" s="346"/>
      <c r="Z2081" s="982"/>
      <c r="AA2081" s="6301"/>
      <c r="AB2081" s="139"/>
      <c r="AC2081" s="139"/>
      <c r="AD2081" s="139"/>
      <c r="AE2081" s="139"/>
      <c r="AF2081" s="139"/>
      <c r="AG2081" s="139"/>
      <c r="AH2081" s="139"/>
      <c r="AI2081" s="139"/>
      <c r="AJ2081" s="139"/>
      <c r="AK2081" s="139"/>
      <c r="AL2081" s="139"/>
      <c r="AM2081" s="139"/>
      <c r="AN2081" s="139"/>
      <c r="AO2081" s="139"/>
      <c r="AP2081" s="139"/>
      <c r="AQ2081" s="139"/>
      <c r="AR2081" s="139"/>
      <c r="AS2081" s="139"/>
      <c r="AT2081" s="139"/>
      <c r="AU2081" s="139"/>
      <c r="AV2081" s="139"/>
      <c r="AW2081" s="139"/>
      <c r="AX2081" s="139"/>
      <c r="AY2081" s="139"/>
      <c r="AZ2081" s="139"/>
      <c r="BA2081" s="139"/>
      <c r="BB2081" s="139"/>
      <c r="BC2081" s="139"/>
      <c r="BD2081" s="139"/>
      <c r="BE2081" s="139"/>
      <c r="BF2081" s="139"/>
      <c r="BG2081" s="139"/>
      <c r="BH2081" s="139"/>
    </row>
    <row r="2082" spans="2:60" s="11" customFormat="1" ht="20.100000000000001" customHeight="1">
      <c r="B2082" s="1360"/>
      <c r="C2082" s="6275"/>
      <c r="D2082" s="9598" t="s">
        <v>143</v>
      </c>
      <c r="E2082" s="9600"/>
      <c r="F2082" s="285" t="s">
        <v>1476</v>
      </c>
      <c r="G2082" s="358"/>
      <c r="H2082" s="6275"/>
      <c r="I2082" s="9582" t="s">
        <v>144</v>
      </c>
      <c r="J2082" s="9583"/>
      <c r="K2082" s="285" t="s">
        <v>559</v>
      </c>
      <c r="L2082" s="5594"/>
      <c r="M2082" s="5658"/>
      <c r="N2082" s="5601"/>
      <c r="O2082" s="5666"/>
      <c r="P2082" s="5625"/>
      <c r="Q2082" s="5601"/>
      <c r="R2082" s="498"/>
      <c r="S2082" s="367"/>
      <c r="T2082" s="162"/>
      <c r="U2082" s="547"/>
      <c r="V2082" s="547"/>
      <c r="W2082" s="162"/>
      <c r="X2082" s="277"/>
      <c r="Y2082" s="346"/>
      <c r="Z2082" s="982"/>
      <c r="AA2082" s="6301"/>
      <c r="AB2082" s="139"/>
      <c r="AC2082" s="139"/>
      <c r="AD2082" s="139"/>
      <c r="AE2082" s="139"/>
      <c r="AF2082" s="139"/>
      <c r="AG2082" s="139"/>
      <c r="AH2082" s="139"/>
      <c r="AI2082" s="139"/>
      <c r="AJ2082" s="139"/>
      <c r="AK2082" s="139"/>
      <c r="AL2082" s="139"/>
      <c r="AM2082" s="139"/>
      <c r="AN2082" s="139"/>
      <c r="AO2082" s="139"/>
      <c r="AP2082" s="139"/>
      <c r="AQ2082" s="139"/>
      <c r="AR2082" s="139"/>
      <c r="AS2082" s="139"/>
      <c r="AT2082" s="139"/>
      <c r="AU2082" s="139"/>
      <c r="AV2082" s="139"/>
      <c r="AW2082" s="139"/>
      <c r="AX2082" s="139"/>
      <c r="AY2082" s="139"/>
      <c r="AZ2082" s="139"/>
      <c r="BA2082" s="139"/>
      <c r="BB2082" s="139"/>
      <c r="BC2082" s="139"/>
      <c r="BD2082" s="139"/>
      <c r="BE2082" s="139"/>
      <c r="BF2082" s="139"/>
      <c r="BG2082" s="139"/>
      <c r="BH2082" s="139"/>
    </row>
    <row r="2083" spans="2:60" s="11" customFormat="1" ht="20.100000000000001" customHeight="1">
      <c r="B2083" s="1360"/>
      <c r="C2083" s="6276"/>
      <c r="D2083" s="9598" t="s">
        <v>631</v>
      </c>
      <c r="E2083" s="9600"/>
      <c r="F2083" s="285" t="s">
        <v>1476</v>
      </c>
      <c r="G2083" s="358"/>
      <c r="H2083" s="6276"/>
      <c r="I2083" s="9582" t="s">
        <v>147</v>
      </c>
      <c r="J2083" s="9583"/>
      <c r="K2083" s="285" t="s">
        <v>559</v>
      </c>
      <c r="L2083" s="5594"/>
      <c r="M2083" s="5658"/>
      <c r="N2083" s="5601"/>
      <c r="O2083" s="5666"/>
      <c r="P2083" s="5625"/>
      <c r="Q2083" s="5601"/>
      <c r="R2083" s="498"/>
      <c r="S2083" s="367"/>
      <c r="T2083" s="162"/>
      <c r="U2083" s="547"/>
      <c r="V2083" s="547"/>
      <c r="W2083" s="162"/>
      <c r="X2083" s="277"/>
      <c r="Y2083" s="346"/>
      <c r="Z2083" s="982"/>
      <c r="AA2083" s="6301"/>
      <c r="AB2083" s="139"/>
      <c r="AC2083" s="139"/>
      <c r="AD2083" s="139"/>
      <c r="AE2083" s="139"/>
      <c r="AF2083" s="139"/>
      <c r="AG2083" s="139"/>
      <c r="AH2083" s="139"/>
      <c r="AI2083" s="139"/>
      <c r="AJ2083" s="139"/>
      <c r="AK2083" s="139"/>
      <c r="AL2083" s="139"/>
      <c r="AM2083" s="139"/>
      <c r="AN2083" s="139"/>
      <c r="AO2083" s="139"/>
      <c r="AP2083" s="139"/>
      <c r="AQ2083" s="139"/>
      <c r="AR2083" s="139"/>
      <c r="AS2083" s="139"/>
      <c r="AT2083" s="139"/>
      <c r="AU2083" s="139"/>
      <c r="AV2083" s="139"/>
      <c r="AW2083" s="139"/>
      <c r="AX2083" s="139"/>
      <c r="AY2083" s="139"/>
      <c r="AZ2083" s="139"/>
      <c r="BA2083" s="139"/>
      <c r="BB2083" s="139"/>
      <c r="BC2083" s="139"/>
      <c r="BD2083" s="139"/>
      <c r="BE2083" s="139"/>
      <c r="BF2083" s="139"/>
      <c r="BG2083" s="139"/>
      <c r="BH2083" s="139"/>
    </row>
    <row r="2084" spans="2:60" s="11" customFormat="1" ht="20.100000000000001" customHeight="1">
      <c r="B2084" s="1360"/>
      <c r="C2084" s="6275"/>
      <c r="D2084" s="9598" t="s">
        <v>633</v>
      </c>
      <c r="E2084" s="9600"/>
      <c r="F2084" s="285" t="s">
        <v>1476</v>
      </c>
      <c r="G2084" s="358"/>
      <c r="H2084" s="6275"/>
      <c r="I2084" s="9582" t="s">
        <v>150</v>
      </c>
      <c r="J2084" s="9583"/>
      <c r="K2084" s="285" t="s">
        <v>559</v>
      </c>
      <c r="L2084" s="5594"/>
      <c r="M2084" s="5658"/>
      <c r="N2084" s="5601"/>
      <c r="O2084" s="5666"/>
      <c r="P2084" s="5625"/>
      <c r="Q2084" s="5601"/>
      <c r="R2084" s="498"/>
      <c r="S2084" s="367"/>
      <c r="T2084" s="162"/>
      <c r="U2084" s="547"/>
      <c r="V2084" s="547"/>
      <c r="W2084" s="162"/>
      <c r="X2084" s="277"/>
      <c r="Y2084" s="346"/>
      <c r="Z2084" s="982"/>
      <c r="AA2084" s="6301"/>
      <c r="AB2084" s="139"/>
      <c r="AC2084" s="139"/>
      <c r="AD2084" s="139"/>
      <c r="AE2084" s="139"/>
      <c r="AF2084" s="139"/>
      <c r="AG2084" s="139"/>
      <c r="AH2084" s="139"/>
      <c r="AI2084" s="139"/>
      <c r="AJ2084" s="139"/>
      <c r="AK2084" s="139"/>
      <c r="AL2084" s="139"/>
      <c r="AM2084" s="139"/>
      <c r="AN2084" s="139"/>
      <c r="AO2084" s="139"/>
      <c r="AP2084" s="139"/>
      <c r="AQ2084" s="139"/>
      <c r="AR2084" s="139"/>
      <c r="AS2084" s="139"/>
      <c r="AT2084" s="139"/>
      <c r="AU2084" s="139"/>
      <c r="AV2084" s="139"/>
      <c r="AW2084" s="139"/>
      <c r="AX2084" s="139"/>
      <c r="AY2084" s="139"/>
      <c r="AZ2084" s="139"/>
      <c r="BA2084" s="139"/>
      <c r="BB2084" s="139"/>
      <c r="BC2084" s="139"/>
      <c r="BD2084" s="139"/>
      <c r="BE2084" s="139"/>
      <c r="BF2084" s="139"/>
      <c r="BG2084" s="139"/>
      <c r="BH2084" s="139"/>
    </row>
    <row r="2085" spans="2:60" s="11" customFormat="1" ht="20.100000000000001" customHeight="1">
      <c r="B2085" s="1360"/>
      <c r="C2085" s="6275"/>
      <c r="D2085" s="5762" t="s">
        <v>1668</v>
      </c>
      <c r="E2085" s="5763"/>
      <c r="F2085" s="5766" t="s">
        <v>1476</v>
      </c>
      <c r="G2085" s="6281"/>
      <c r="H2085" s="6275"/>
      <c r="I2085" s="5770" t="s">
        <v>1669</v>
      </c>
      <c r="J2085" s="5770"/>
      <c r="K2085" s="5766" t="s">
        <v>559</v>
      </c>
      <c r="L2085" s="5653" t="str">
        <f>IF(COUNTBLANK(L2086:L2091)&gt;0,"미취합법인有",SUM(L2086:L2091))</f>
        <v>미취합법인有</v>
      </c>
      <c r="M2085" s="5657"/>
      <c r="N2085" s="5654" t="str">
        <f>IF(COUNTBLANK(N2086:N2091)&gt;0,"미취합법인有",SUM(N2086:N2091))</f>
        <v>미취합법인有</v>
      </c>
      <c r="O2085" s="5663"/>
      <c r="P2085" s="5781" t="str">
        <f>IF(COUNTBLANK(P2086:P2091)&gt;0,"미취합법인有",SUM(P2086:P2091))</f>
        <v>미취합법인有</v>
      </c>
      <c r="Q2085" s="396"/>
      <c r="R2085" s="498" t="s">
        <v>1670</v>
      </c>
      <c r="S2085" s="367" t="s">
        <v>1671</v>
      </c>
      <c r="T2085" s="162" t="s">
        <v>1649</v>
      </c>
      <c r="U2085" s="547"/>
      <c r="V2085" s="547"/>
      <c r="W2085" s="162"/>
      <c r="X2085" s="277"/>
      <c r="Y2085" s="265" t="s">
        <v>1672</v>
      </c>
      <c r="Z2085" s="982"/>
      <c r="AA2085" s="6301"/>
      <c r="AB2085" s="139"/>
      <c r="AC2085" s="139"/>
      <c r="AD2085" s="139"/>
      <c r="AE2085" s="139"/>
      <c r="AF2085" s="139"/>
      <c r="AG2085" s="139"/>
      <c r="AH2085" s="139"/>
      <c r="AI2085" s="139"/>
      <c r="AJ2085" s="139"/>
      <c r="AK2085" s="139"/>
      <c r="AL2085" s="139"/>
      <c r="AM2085" s="139"/>
      <c r="AN2085" s="139"/>
      <c r="AO2085" s="139"/>
      <c r="AP2085" s="139"/>
      <c r="AQ2085" s="139"/>
      <c r="AR2085" s="139"/>
      <c r="AS2085" s="139"/>
      <c r="AT2085" s="139"/>
      <c r="AU2085" s="139"/>
      <c r="AV2085" s="139"/>
      <c r="AW2085" s="139"/>
      <c r="AX2085" s="139"/>
      <c r="AY2085" s="139"/>
      <c r="AZ2085" s="139"/>
      <c r="BA2085" s="139"/>
      <c r="BB2085" s="139"/>
      <c r="BC2085" s="139"/>
      <c r="BD2085" s="139"/>
      <c r="BE2085" s="139"/>
      <c r="BF2085" s="139"/>
      <c r="BG2085" s="139"/>
      <c r="BH2085" s="139"/>
    </row>
    <row r="2086" spans="2:60" s="11" customFormat="1" ht="18.75" customHeight="1">
      <c r="B2086" s="1360"/>
      <c r="C2086" s="6276"/>
      <c r="D2086" s="9598" t="s">
        <v>134</v>
      </c>
      <c r="E2086" s="9600"/>
      <c r="F2086" s="285" t="s">
        <v>1476</v>
      </c>
      <c r="G2086" s="358"/>
      <c r="H2086" s="6276"/>
      <c r="I2086" s="9579" t="s">
        <v>135</v>
      </c>
      <c r="J2086" s="9581"/>
      <c r="K2086" s="285" t="s">
        <v>559</v>
      </c>
      <c r="L2086" s="5594">
        <v>0</v>
      </c>
      <c r="M2086" s="5658"/>
      <c r="N2086" s="5601">
        <v>0</v>
      </c>
      <c r="O2086" s="5666"/>
      <c r="P2086" s="5625">
        <v>0</v>
      </c>
      <c r="Q2086" s="5601"/>
      <c r="R2086" s="498"/>
      <c r="S2086" s="367"/>
      <c r="T2086" s="162"/>
      <c r="U2086" s="547"/>
      <c r="V2086" s="547"/>
      <c r="W2086" s="162"/>
      <c r="X2086" s="277"/>
      <c r="Y2086" s="265"/>
      <c r="Z2086" s="982"/>
      <c r="AA2086" s="6301"/>
      <c r="AB2086" s="139"/>
      <c r="AC2086" s="139"/>
      <c r="AD2086" s="139"/>
      <c r="AE2086" s="139"/>
      <c r="AF2086" s="139"/>
      <c r="AG2086" s="139"/>
      <c r="AH2086" s="139"/>
      <c r="AI2086" s="139"/>
      <c r="AJ2086" s="139"/>
      <c r="AK2086" s="139"/>
      <c r="AL2086" s="139"/>
      <c r="AM2086" s="139"/>
      <c r="AN2086" s="139"/>
      <c r="AO2086" s="139"/>
      <c r="AP2086" s="139"/>
      <c r="AQ2086" s="139"/>
      <c r="AR2086" s="139"/>
      <c r="AS2086" s="139"/>
      <c r="AT2086" s="139"/>
      <c r="AU2086" s="139"/>
      <c r="AV2086" s="139"/>
      <c r="AW2086" s="139"/>
      <c r="AX2086" s="139"/>
      <c r="AY2086" s="139"/>
      <c r="AZ2086" s="139"/>
      <c r="BA2086" s="139"/>
      <c r="BB2086" s="139"/>
      <c r="BC2086" s="139"/>
      <c r="BD2086" s="139"/>
      <c r="BE2086" s="139"/>
      <c r="BF2086" s="139"/>
      <c r="BG2086" s="139"/>
      <c r="BH2086" s="139"/>
    </row>
    <row r="2087" spans="2:60" s="11" customFormat="1" ht="20.100000000000001" customHeight="1">
      <c r="B2087" s="1360"/>
      <c r="C2087" s="6275"/>
      <c r="D2087" s="9598" t="s">
        <v>137</v>
      </c>
      <c r="E2087" s="9600"/>
      <c r="F2087" s="285" t="s">
        <v>1476</v>
      </c>
      <c r="G2087" s="358"/>
      <c r="H2087" s="6275"/>
      <c r="I2087" s="9579" t="s">
        <v>138</v>
      </c>
      <c r="J2087" s="9581"/>
      <c r="K2087" s="285" t="s">
        <v>559</v>
      </c>
      <c r="L2087" s="5594"/>
      <c r="M2087" s="5658"/>
      <c r="N2087" s="5601"/>
      <c r="O2087" s="5666"/>
      <c r="P2087" s="5625"/>
      <c r="Q2087" s="5601"/>
      <c r="R2087" s="498"/>
      <c r="S2087" s="367"/>
      <c r="T2087" s="162"/>
      <c r="U2087" s="547"/>
      <c r="V2087" s="547"/>
      <c r="W2087" s="162"/>
      <c r="X2087" s="277"/>
      <c r="Y2087" s="265"/>
      <c r="Z2087" s="982"/>
      <c r="AA2087" s="6301"/>
      <c r="AB2087" s="139"/>
      <c r="AC2087" s="139"/>
      <c r="AD2087" s="139"/>
      <c r="AE2087" s="139"/>
      <c r="AF2087" s="139"/>
      <c r="AG2087" s="139"/>
      <c r="AH2087" s="139"/>
      <c r="AI2087" s="139"/>
      <c r="AJ2087" s="139"/>
      <c r="AK2087" s="139"/>
      <c r="AL2087" s="139"/>
      <c r="AM2087" s="139"/>
      <c r="AN2087" s="139"/>
      <c r="AO2087" s="139"/>
      <c r="AP2087" s="139"/>
      <c r="AQ2087" s="139"/>
      <c r="AR2087" s="139"/>
      <c r="AS2087" s="139"/>
      <c r="AT2087" s="139"/>
      <c r="AU2087" s="139"/>
      <c r="AV2087" s="139"/>
      <c r="AW2087" s="139"/>
      <c r="AX2087" s="139"/>
      <c r="AY2087" s="139"/>
      <c r="AZ2087" s="139"/>
      <c r="BA2087" s="139"/>
      <c r="BB2087" s="139"/>
      <c r="BC2087" s="139"/>
      <c r="BD2087" s="139"/>
      <c r="BE2087" s="139"/>
      <c r="BF2087" s="139"/>
      <c r="BG2087" s="139"/>
      <c r="BH2087" s="139"/>
    </row>
    <row r="2088" spans="2:60" s="11" customFormat="1" ht="20.100000000000001" customHeight="1">
      <c r="B2088" s="1360"/>
      <c r="C2088" s="6276"/>
      <c r="D2088" s="9598" t="s">
        <v>140</v>
      </c>
      <c r="E2088" s="9600"/>
      <c r="F2088" s="285" t="s">
        <v>1476</v>
      </c>
      <c r="G2088" s="358"/>
      <c r="H2088" s="6276"/>
      <c r="I2088" s="9582" t="s">
        <v>141</v>
      </c>
      <c r="J2088" s="9583"/>
      <c r="K2088" s="285" t="s">
        <v>559</v>
      </c>
      <c r="L2088" s="5594">
        <v>0</v>
      </c>
      <c r="M2088" s="5658"/>
      <c r="N2088" s="5601">
        <v>0</v>
      </c>
      <c r="O2088" s="5666"/>
      <c r="P2088" s="5625">
        <v>0</v>
      </c>
      <c r="Q2088" s="5601"/>
      <c r="R2088" s="498"/>
      <c r="S2088" s="367"/>
      <c r="T2088" s="162"/>
      <c r="U2088" s="547"/>
      <c r="V2088" s="547"/>
      <c r="W2088" s="162"/>
      <c r="X2088" s="277"/>
      <c r="Y2088" s="265"/>
      <c r="Z2088" s="982"/>
      <c r="AA2088" s="6301"/>
      <c r="AB2088" s="139"/>
      <c r="AC2088" s="139"/>
      <c r="AD2088" s="139"/>
      <c r="AE2088" s="139"/>
      <c r="AF2088" s="139"/>
      <c r="AG2088" s="139"/>
      <c r="AH2088" s="139"/>
      <c r="AI2088" s="139"/>
      <c r="AJ2088" s="139"/>
      <c r="AK2088" s="139"/>
      <c r="AL2088" s="139"/>
      <c r="AM2088" s="139"/>
      <c r="AN2088" s="139"/>
      <c r="AO2088" s="139"/>
      <c r="AP2088" s="139"/>
      <c r="AQ2088" s="139"/>
      <c r="AR2088" s="139"/>
      <c r="AS2088" s="139"/>
      <c r="AT2088" s="139"/>
      <c r="AU2088" s="139"/>
      <c r="AV2088" s="139"/>
      <c r="AW2088" s="139"/>
      <c r="AX2088" s="139"/>
      <c r="AY2088" s="139"/>
      <c r="AZ2088" s="139"/>
      <c r="BA2088" s="139"/>
      <c r="BB2088" s="139"/>
      <c r="BC2088" s="139"/>
      <c r="BD2088" s="139"/>
      <c r="BE2088" s="139"/>
      <c r="BF2088" s="139"/>
      <c r="BG2088" s="139"/>
      <c r="BH2088" s="139"/>
    </row>
    <row r="2089" spans="2:60" s="11" customFormat="1" ht="20.100000000000001" customHeight="1">
      <c r="B2089" s="1360"/>
      <c r="C2089" s="6275"/>
      <c r="D2089" s="9598" t="s">
        <v>143</v>
      </c>
      <c r="E2089" s="9600"/>
      <c r="F2089" s="285" t="s">
        <v>1476</v>
      </c>
      <c r="G2089" s="358"/>
      <c r="H2089" s="6275"/>
      <c r="I2089" s="9582" t="s">
        <v>144</v>
      </c>
      <c r="J2089" s="9583"/>
      <c r="K2089" s="285" t="s">
        <v>559</v>
      </c>
      <c r="L2089" s="5594"/>
      <c r="M2089" s="5658"/>
      <c r="N2089" s="5601"/>
      <c r="O2089" s="5666"/>
      <c r="P2089" s="5625"/>
      <c r="Q2089" s="5601"/>
      <c r="R2089" s="498"/>
      <c r="S2089" s="367"/>
      <c r="T2089" s="162"/>
      <c r="U2089" s="547"/>
      <c r="V2089" s="547"/>
      <c r="W2089" s="162"/>
      <c r="X2089" s="277"/>
      <c r="Y2089" s="265"/>
      <c r="Z2089" s="982"/>
      <c r="AA2089" s="6301"/>
      <c r="AB2089" s="139"/>
      <c r="AC2089" s="139"/>
      <c r="AD2089" s="139"/>
      <c r="AE2089" s="139"/>
      <c r="AF2089" s="139"/>
      <c r="AG2089" s="139"/>
      <c r="AH2089" s="139"/>
      <c r="AI2089" s="139"/>
      <c r="AJ2089" s="139"/>
      <c r="AK2089" s="139"/>
      <c r="AL2089" s="139"/>
      <c r="AM2089" s="139"/>
      <c r="AN2089" s="139"/>
      <c r="AO2089" s="139"/>
      <c r="AP2089" s="139"/>
      <c r="AQ2089" s="139"/>
      <c r="AR2089" s="139"/>
      <c r="AS2089" s="139"/>
      <c r="AT2089" s="139"/>
      <c r="AU2089" s="139"/>
      <c r="AV2089" s="139"/>
      <c r="AW2089" s="139"/>
      <c r="AX2089" s="139"/>
      <c r="AY2089" s="139"/>
      <c r="AZ2089" s="139"/>
      <c r="BA2089" s="139"/>
      <c r="BB2089" s="139"/>
      <c r="BC2089" s="139"/>
      <c r="BD2089" s="139"/>
      <c r="BE2089" s="139"/>
      <c r="BF2089" s="139"/>
      <c r="BG2089" s="139"/>
      <c r="BH2089" s="139"/>
    </row>
    <row r="2090" spans="2:60" s="11" customFormat="1" ht="20.100000000000001" customHeight="1">
      <c r="B2090" s="1360"/>
      <c r="C2090" s="6276"/>
      <c r="D2090" s="9598" t="s">
        <v>631</v>
      </c>
      <c r="E2090" s="9600"/>
      <c r="F2090" s="285" t="s">
        <v>1476</v>
      </c>
      <c r="G2090" s="358"/>
      <c r="H2090" s="6276"/>
      <c r="I2090" s="9582" t="s">
        <v>147</v>
      </c>
      <c r="J2090" s="9583"/>
      <c r="K2090" s="285" t="s">
        <v>559</v>
      </c>
      <c r="L2090" s="5594"/>
      <c r="M2090" s="5658"/>
      <c r="N2090" s="5601"/>
      <c r="O2090" s="5666"/>
      <c r="P2090" s="5625"/>
      <c r="Q2090" s="5601"/>
      <c r="R2090" s="498"/>
      <c r="S2090" s="367"/>
      <c r="T2090" s="162"/>
      <c r="U2090" s="547"/>
      <c r="V2090" s="547"/>
      <c r="W2090" s="162"/>
      <c r="X2090" s="277"/>
      <c r="Y2090" s="265"/>
      <c r="Z2090" s="982"/>
      <c r="AA2090" s="6301"/>
      <c r="AB2090" s="139"/>
      <c r="AC2090" s="139"/>
      <c r="AD2090" s="139"/>
      <c r="AE2090" s="139"/>
      <c r="AF2090" s="139"/>
      <c r="AG2090" s="139"/>
      <c r="AH2090" s="139"/>
      <c r="AI2090" s="139"/>
      <c r="AJ2090" s="139"/>
      <c r="AK2090" s="139"/>
      <c r="AL2090" s="139"/>
      <c r="AM2090" s="139"/>
      <c r="AN2090" s="139"/>
      <c r="AO2090" s="139"/>
      <c r="AP2090" s="139"/>
      <c r="AQ2090" s="139"/>
      <c r="AR2090" s="139"/>
      <c r="AS2090" s="139"/>
      <c r="AT2090" s="139"/>
      <c r="AU2090" s="139"/>
      <c r="AV2090" s="139"/>
      <c r="AW2090" s="139"/>
      <c r="AX2090" s="139"/>
      <c r="AY2090" s="139"/>
      <c r="AZ2090" s="139"/>
      <c r="BA2090" s="139"/>
      <c r="BB2090" s="139"/>
      <c r="BC2090" s="139"/>
      <c r="BD2090" s="139"/>
      <c r="BE2090" s="139"/>
      <c r="BF2090" s="139"/>
      <c r="BG2090" s="139"/>
      <c r="BH2090" s="139"/>
    </row>
    <row r="2091" spans="2:60" s="11" customFormat="1" ht="20.100000000000001" customHeight="1">
      <c r="B2091" s="1360"/>
      <c r="C2091" s="6275"/>
      <c r="D2091" s="9598" t="s">
        <v>633</v>
      </c>
      <c r="E2091" s="9600"/>
      <c r="F2091" s="285" t="s">
        <v>1476</v>
      </c>
      <c r="G2091" s="358"/>
      <c r="H2091" s="6275"/>
      <c r="I2091" s="9582" t="s">
        <v>150</v>
      </c>
      <c r="J2091" s="9583"/>
      <c r="K2091" s="285" t="s">
        <v>559</v>
      </c>
      <c r="L2091" s="5594"/>
      <c r="M2091" s="5658"/>
      <c r="N2091" s="5601"/>
      <c r="O2091" s="5666"/>
      <c r="P2091" s="5625"/>
      <c r="Q2091" s="5601"/>
      <c r="R2091" s="498"/>
      <c r="S2091" s="367"/>
      <c r="T2091" s="162"/>
      <c r="U2091" s="547"/>
      <c r="V2091" s="547"/>
      <c r="W2091" s="162"/>
      <c r="X2091" s="277"/>
      <c r="Y2091" s="265"/>
      <c r="Z2091" s="982"/>
      <c r="AA2091" s="6301"/>
      <c r="AB2091" s="139"/>
      <c r="AC2091" s="139"/>
      <c r="AD2091" s="139"/>
      <c r="AE2091" s="139"/>
      <c r="AF2091" s="139"/>
      <c r="AG2091" s="139"/>
      <c r="AH2091" s="139"/>
      <c r="AI2091" s="139"/>
      <c r="AJ2091" s="139"/>
      <c r="AK2091" s="139"/>
      <c r="AL2091" s="139"/>
      <c r="AM2091" s="139"/>
      <c r="AN2091" s="139"/>
      <c r="AO2091" s="139"/>
      <c r="AP2091" s="139"/>
      <c r="AQ2091" s="139"/>
      <c r="AR2091" s="139"/>
      <c r="AS2091" s="139"/>
      <c r="AT2091" s="139"/>
      <c r="AU2091" s="139"/>
      <c r="AV2091" s="139"/>
      <c r="AW2091" s="139"/>
      <c r="AX2091" s="139"/>
      <c r="AY2091" s="139"/>
      <c r="AZ2091" s="139"/>
      <c r="BA2091" s="139"/>
      <c r="BB2091" s="139"/>
      <c r="BC2091" s="139"/>
      <c r="BD2091" s="139"/>
      <c r="BE2091" s="139"/>
      <c r="BF2091" s="139"/>
      <c r="BG2091" s="139"/>
      <c r="BH2091" s="139"/>
    </row>
    <row r="2092" spans="2:60" s="11" customFormat="1" ht="20.100000000000001" customHeight="1">
      <c r="B2092" s="1360"/>
      <c r="C2092" s="6275"/>
      <c r="D2092" s="5762" t="s">
        <v>1673</v>
      </c>
      <c r="E2092" s="5763"/>
      <c r="F2092" s="5766" t="s">
        <v>1476</v>
      </c>
      <c r="G2092" s="6281"/>
      <c r="H2092" s="6275"/>
      <c r="I2092" s="5770" t="s">
        <v>1674</v>
      </c>
      <c r="J2092" s="5770"/>
      <c r="K2092" s="5766" t="s">
        <v>559</v>
      </c>
      <c r="L2092" s="5653" t="str">
        <f>IF(COUNTBLANK(L2093:L2098)&gt;0,"미취합법인有",SUM(L2093:L2098))</f>
        <v>미취합법인有</v>
      </c>
      <c r="M2092" s="5657"/>
      <c r="N2092" s="5654" t="str">
        <f>IF(COUNTBLANK(N2093:N2098)&gt;0,"미취합법인有",SUM(N2093:N2098))</f>
        <v>미취합법인有</v>
      </c>
      <c r="O2092" s="5663"/>
      <c r="P2092" s="5781" t="str">
        <f>IF(COUNTBLANK(P2093:P2098)&gt;0,"미취합법인有",SUM(P2093:P2098))</f>
        <v>미취합법인有</v>
      </c>
      <c r="Q2092" s="396"/>
      <c r="R2092" s="498" t="s">
        <v>1663</v>
      </c>
      <c r="S2092" s="367" t="s">
        <v>1675</v>
      </c>
      <c r="T2092" s="508" t="s">
        <v>1676</v>
      </c>
      <c r="U2092" s="547"/>
      <c r="V2092" s="547"/>
      <c r="W2092" s="162"/>
      <c r="X2092" s="277" t="s">
        <v>1677</v>
      </c>
      <c r="Y2092" s="265" t="s">
        <v>1678</v>
      </c>
      <c r="Z2092" s="982"/>
      <c r="AA2092" s="6301"/>
      <c r="AB2092" s="139"/>
      <c r="AC2092" s="139"/>
      <c r="AD2092" s="139"/>
      <c r="AE2092" s="139"/>
      <c r="AF2092" s="139"/>
      <c r="AG2092" s="139"/>
      <c r="AH2092" s="139"/>
      <c r="AI2092" s="139"/>
      <c r="AJ2092" s="139"/>
      <c r="AK2092" s="139"/>
      <c r="AL2092" s="139"/>
      <c r="AM2092" s="139"/>
      <c r="AN2092" s="139"/>
      <c r="AO2092" s="139"/>
      <c r="AP2092" s="139"/>
      <c r="AQ2092" s="139"/>
      <c r="AR2092" s="139"/>
      <c r="AS2092" s="139"/>
      <c r="AT2092" s="139"/>
      <c r="AU2092" s="139"/>
      <c r="AV2092" s="139"/>
      <c r="AW2092" s="139"/>
      <c r="AX2092" s="139"/>
      <c r="AY2092" s="139"/>
      <c r="AZ2092" s="139"/>
      <c r="BA2092" s="139"/>
      <c r="BB2092" s="139"/>
      <c r="BC2092" s="139"/>
      <c r="BD2092" s="139"/>
      <c r="BE2092" s="139"/>
      <c r="BF2092" s="139"/>
      <c r="BG2092" s="139"/>
      <c r="BH2092" s="139"/>
    </row>
    <row r="2093" spans="2:60" s="11" customFormat="1" ht="20.100000000000001" customHeight="1">
      <c r="B2093" s="1360"/>
      <c r="C2093" s="6276"/>
      <c r="D2093" s="9598" t="s">
        <v>134</v>
      </c>
      <c r="E2093" s="9600"/>
      <c r="F2093" s="285" t="s">
        <v>1476</v>
      </c>
      <c r="G2093" s="358"/>
      <c r="H2093" s="6276"/>
      <c r="I2093" s="9579" t="s">
        <v>135</v>
      </c>
      <c r="J2093" s="9581"/>
      <c r="K2093" s="285" t="s">
        <v>559</v>
      </c>
      <c r="L2093" s="5594">
        <v>0</v>
      </c>
      <c r="M2093" s="5658"/>
      <c r="N2093" s="5601">
        <v>0</v>
      </c>
      <c r="O2093" s="5666"/>
      <c r="P2093" s="5625">
        <v>0</v>
      </c>
      <c r="Q2093" s="5601"/>
      <c r="R2093" s="498"/>
      <c r="S2093" s="367"/>
      <c r="T2093" s="508"/>
      <c r="U2093" s="547"/>
      <c r="V2093" s="547"/>
      <c r="W2093" s="162"/>
      <c r="X2093" s="277"/>
      <c r="Y2093" s="265"/>
      <c r="Z2093" s="982"/>
      <c r="AA2093" s="6301"/>
      <c r="AB2093" s="139"/>
      <c r="AC2093" s="139"/>
      <c r="AD2093" s="139"/>
      <c r="AE2093" s="139"/>
      <c r="AF2093" s="139"/>
      <c r="AG2093" s="139"/>
      <c r="AH2093" s="139"/>
      <c r="AI2093" s="139"/>
      <c r="AJ2093" s="139"/>
      <c r="AK2093" s="139"/>
      <c r="AL2093" s="139"/>
      <c r="AM2093" s="139"/>
      <c r="AN2093" s="139"/>
      <c r="AO2093" s="139"/>
      <c r="AP2093" s="139"/>
      <c r="AQ2093" s="139"/>
      <c r="AR2093" s="139"/>
      <c r="AS2093" s="139"/>
      <c r="AT2093" s="139"/>
      <c r="AU2093" s="139"/>
      <c r="AV2093" s="139"/>
      <c r="AW2093" s="139"/>
      <c r="AX2093" s="139"/>
      <c r="AY2093" s="139"/>
      <c r="AZ2093" s="139"/>
      <c r="BA2093" s="139"/>
      <c r="BB2093" s="139"/>
      <c r="BC2093" s="139"/>
      <c r="BD2093" s="139"/>
      <c r="BE2093" s="139"/>
      <c r="BF2093" s="139"/>
      <c r="BG2093" s="139"/>
      <c r="BH2093" s="139"/>
    </row>
    <row r="2094" spans="2:60" s="11" customFormat="1" ht="20.100000000000001" customHeight="1">
      <c r="B2094" s="1360"/>
      <c r="C2094" s="6275"/>
      <c r="D2094" s="9598" t="s">
        <v>137</v>
      </c>
      <c r="E2094" s="9600"/>
      <c r="F2094" s="285" t="s">
        <v>1476</v>
      </c>
      <c r="G2094" s="358"/>
      <c r="H2094" s="6275"/>
      <c r="I2094" s="9579" t="s">
        <v>138</v>
      </c>
      <c r="J2094" s="9581"/>
      <c r="K2094" s="285" t="s">
        <v>559</v>
      </c>
      <c r="L2094" s="5594">
        <v>0</v>
      </c>
      <c r="M2094" s="5658"/>
      <c r="N2094" s="5601">
        <v>0</v>
      </c>
      <c r="O2094" s="5666"/>
      <c r="P2094" s="5625">
        <v>0</v>
      </c>
      <c r="Q2094" s="5601"/>
      <c r="R2094" s="498"/>
      <c r="S2094" s="367"/>
      <c r="T2094" s="508"/>
      <c r="U2094" s="547"/>
      <c r="V2094" s="547"/>
      <c r="W2094" s="162"/>
      <c r="X2094" s="277"/>
      <c r="Y2094" s="265"/>
      <c r="Z2094" s="982"/>
      <c r="AA2094" s="6301"/>
      <c r="AB2094" s="139"/>
      <c r="AC2094" s="139"/>
      <c r="AD2094" s="139"/>
      <c r="AE2094" s="139"/>
      <c r="AF2094" s="139"/>
      <c r="AG2094" s="139"/>
      <c r="AH2094" s="139"/>
      <c r="AI2094" s="139"/>
      <c r="AJ2094" s="139"/>
      <c r="AK2094" s="139"/>
      <c r="AL2094" s="139"/>
      <c r="AM2094" s="139"/>
      <c r="AN2094" s="139"/>
      <c r="AO2094" s="139"/>
      <c r="AP2094" s="139"/>
      <c r="AQ2094" s="139"/>
      <c r="AR2094" s="139"/>
      <c r="AS2094" s="139"/>
      <c r="AT2094" s="139"/>
      <c r="AU2094" s="139"/>
      <c r="AV2094" s="139"/>
      <c r="AW2094" s="139"/>
      <c r="AX2094" s="139"/>
      <c r="AY2094" s="139"/>
      <c r="AZ2094" s="139"/>
      <c r="BA2094" s="139"/>
      <c r="BB2094" s="139"/>
      <c r="BC2094" s="139"/>
      <c r="BD2094" s="139"/>
      <c r="BE2094" s="139"/>
      <c r="BF2094" s="139"/>
      <c r="BG2094" s="139"/>
      <c r="BH2094" s="139"/>
    </row>
    <row r="2095" spans="2:60" s="11" customFormat="1" ht="20.100000000000001" customHeight="1">
      <c r="B2095" s="1360"/>
      <c r="C2095" s="6276"/>
      <c r="D2095" s="9598" t="s">
        <v>140</v>
      </c>
      <c r="E2095" s="9600"/>
      <c r="F2095" s="285" t="s">
        <v>1476</v>
      </c>
      <c r="G2095" s="358"/>
      <c r="H2095" s="6276"/>
      <c r="I2095" s="9582" t="s">
        <v>141</v>
      </c>
      <c r="J2095" s="9583"/>
      <c r="K2095" s="285" t="s">
        <v>559</v>
      </c>
      <c r="L2095" s="5594">
        <v>0</v>
      </c>
      <c r="M2095" s="5658"/>
      <c r="N2095" s="5601">
        <v>0</v>
      </c>
      <c r="O2095" s="5666"/>
      <c r="P2095" s="5625">
        <v>0</v>
      </c>
      <c r="Q2095" s="5601"/>
      <c r="R2095" s="498"/>
      <c r="S2095" s="367"/>
      <c r="T2095" s="508"/>
      <c r="U2095" s="547"/>
      <c r="V2095" s="547"/>
      <c r="W2095" s="162"/>
      <c r="X2095" s="277"/>
      <c r="Y2095" s="265"/>
      <c r="Z2095" s="982"/>
      <c r="AA2095" s="6301"/>
      <c r="AB2095" s="139"/>
      <c r="AC2095" s="139"/>
      <c r="AD2095" s="139"/>
      <c r="AE2095" s="139"/>
      <c r="AF2095" s="139"/>
      <c r="AG2095" s="139"/>
      <c r="AH2095" s="139"/>
      <c r="AI2095" s="139"/>
      <c r="AJ2095" s="139"/>
      <c r="AK2095" s="139"/>
      <c r="AL2095" s="139"/>
      <c r="AM2095" s="139"/>
      <c r="AN2095" s="139"/>
      <c r="AO2095" s="139"/>
      <c r="AP2095" s="139"/>
      <c r="AQ2095" s="139"/>
      <c r="AR2095" s="139"/>
      <c r="AS2095" s="139"/>
      <c r="AT2095" s="139"/>
      <c r="AU2095" s="139"/>
      <c r="AV2095" s="139"/>
      <c r="AW2095" s="139"/>
      <c r="AX2095" s="139"/>
      <c r="AY2095" s="139"/>
      <c r="AZ2095" s="139"/>
      <c r="BA2095" s="139"/>
      <c r="BB2095" s="139"/>
      <c r="BC2095" s="139"/>
      <c r="BD2095" s="139"/>
      <c r="BE2095" s="139"/>
      <c r="BF2095" s="139"/>
      <c r="BG2095" s="139"/>
      <c r="BH2095" s="139"/>
    </row>
    <row r="2096" spans="2:60" s="11" customFormat="1" ht="20.100000000000001" customHeight="1">
      <c r="B2096" s="1360"/>
      <c r="C2096" s="6275"/>
      <c r="D2096" s="9598" t="s">
        <v>143</v>
      </c>
      <c r="E2096" s="9600"/>
      <c r="F2096" s="285" t="s">
        <v>1476</v>
      </c>
      <c r="G2096" s="358"/>
      <c r="H2096" s="6275"/>
      <c r="I2096" s="9582" t="s">
        <v>144</v>
      </c>
      <c r="J2096" s="9583"/>
      <c r="K2096" s="285" t="s">
        <v>559</v>
      </c>
      <c r="L2096" s="5594"/>
      <c r="M2096" s="5658"/>
      <c r="N2096" s="5601"/>
      <c r="O2096" s="5666"/>
      <c r="P2096" s="5625"/>
      <c r="Q2096" s="5601"/>
      <c r="R2096" s="498"/>
      <c r="S2096" s="367"/>
      <c r="T2096" s="508"/>
      <c r="U2096" s="547"/>
      <c r="V2096" s="547"/>
      <c r="W2096" s="162"/>
      <c r="X2096" s="277"/>
      <c r="Y2096" s="265"/>
      <c r="Z2096" s="982"/>
      <c r="AA2096" s="6301"/>
      <c r="AB2096" s="139"/>
      <c r="AC2096" s="139"/>
      <c r="AD2096" s="139"/>
      <c r="AE2096" s="139"/>
      <c r="AF2096" s="139"/>
      <c r="AG2096" s="139"/>
      <c r="AH2096" s="139"/>
      <c r="AI2096" s="139"/>
      <c r="AJ2096" s="139"/>
      <c r="AK2096" s="139"/>
      <c r="AL2096" s="139"/>
      <c r="AM2096" s="139"/>
      <c r="AN2096" s="139"/>
      <c r="AO2096" s="139"/>
      <c r="AP2096" s="139"/>
      <c r="AQ2096" s="139"/>
      <c r="AR2096" s="139"/>
      <c r="AS2096" s="139"/>
      <c r="AT2096" s="139"/>
      <c r="AU2096" s="139"/>
      <c r="AV2096" s="139"/>
      <c r="AW2096" s="139"/>
      <c r="AX2096" s="139"/>
      <c r="AY2096" s="139"/>
      <c r="AZ2096" s="139"/>
      <c r="BA2096" s="139"/>
      <c r="BB2096" s="139"/>
      <c r="BC2096" s="139"/>
      <c r="BD2096" s="139"/>
      <c r="BE2096" s="139"/>
      <c r="BF2096" s="139"/>
      <c r="BG2096" s="139"/>
      <c r="BH2096" s="139"/>
    </row>
    <row r="2097" spans="2:60" s="11" customFormat="1" ht="20.100000000000001" customHeight="1">
      <c r="B2097" s="1360"/>
      <c r="C2097" s="6276"/>
      <c r="D2097" s="9598" t="s">
        <v>631</v>
      </c>
      <c r="E2097" s="9600"/>
      <c r="F2097" s="285" t="s">
        <v>1476</v>
      </c>
      <c r="G2097" s="358"/>
      <c r="H2097" s="6276"/>
      <c r="I2097" s="9582" t="s">
        <v>147</v>
      </c>
      <c r="J2097" s="9583"/>
      <c r="K2097" s="285" t="s">
        <v>559</v>
      </c>
      <c r="L2097" s="5594"/>
      <c r="M2097" s="5658"/>
      <c r="N2097" s="5601"/>
      <c r="O2097" s="5666"/>
      <c r="P2097" s="5625"/>
      <c r="Q2097" s="5601"/>
      <c r="R2097" s="498"/>
      <c r="S2097" s="367"/>
      <c r="T2097" s="508"/>
      <c r="U2097" s="547"/>
      <c r="V2097" s="547"/>
      <c r="W2097" s="162"/>
      <c r="X2097" s="277"/>
      <c r="Y2097" s="265"/>
      <c r="Z2097" s="982"/>
      <c r="AA2097" s="6301"/>
      <c r="AB2097" s="139"/>
      <c r="AC2097" s="139"/>
      <c r="AD2097" s="139"/>
      <c r="AE2097" s="139"/>
      <c r="AF2097" s="139"/>
      <c r="AG2097" s="139"/>
      <c r="AH2097" s="139"/>
      <c r="AI2097" s="139"/>
      <c r="AJ2097" s="139"/>
      <c r="AK2097" s="139"/>
      <c r="AL2097" s="139"/>
      <c r="AM2097" s="139"/>
      <c r="AN2097" s="139"/>
      <c r="AO2097" s="139"/>
      <c r="AP2097" s="139"/>
      <c r="AQ2097" s="139"/>
      <c r="AR2097" s="139"/>
      <c r="AS2097" s="139"/>
      <c r="AT2097" s="139"/>
      <c r="AU2097" s="139"/>
      <c r="AV2097" s="139"/>
      <c r="AW2097" s="139"/>
      <c r="AX2097" s="139"/>
      <c r="AY2097" s="139"/>
      <c r="AZ2097" s="139"/>
      <c r="BA2097" s="139"/>
      <c r="BB2097" s="139"/>
      <c r="BC2097" s="139"/>
      <c r="BD2097" s="139"/>
      <c r="BE2097" s="139"/>
      <c r="BF2097" s="139"/>
      <c r="BG2097" s="139"/>
      <c r="BH2097" s="139"/>
    </row>
    <row r="2098" spans="2:60" s="11" customFormat="1" ht="20.100000000000001" customHeight="1">
      <c r="B2098" s="1360"/>
      <c r="C2098" s="6275"/>
      <c r="D2098" s="9598" t="s">
        <v>633</v>
      </c>
      <c r="E2098" s="9600"/>
      <c r="F2098" s="285" t="s">
        <v>1476</v>
      </c>
      <c r="G2098" s="358"/>
      <c r="H2098" s="6275"/>
      <c r="I2098" s="9582" t="s">
        <v>150</v>
      </c>
      <c r="J2098" s="9583"/>
      <c r="K2098" s="285" t="s">
        <v>559</v>
      </c>
      <c r="L2098" s="5594"/>
      <c r="M2098" s="5658"/>
      <c r="N2098" s="5601"/>
      <c r="O2098" s="5666"/>
      <c r="P2098" s="5625"/>
      <c r="Q2098" s="5601"/>
      <c r="R2098" s="498"/>
      <c r="S2098" s="367"/>
      <c r="T2098" s="508"/>
      <c r="U2098" s="547"/>
      <c r="V2098" s="547"/>
      <c r="W2098" s="162"/>
      <c r="X2098" s="277"/>
      <c r="Y2098" s="265"/>
      <c r="Z2098" s="982"/>
      <c r="AA2098" s="6301"/>
      <c r="AB2098" s="139"/>
      <c r="AC2098" s="139"/>
      <c r="AD2098" s="139"/>
      <c r="AE2098" s="139"/>
      <c r="AF2098" s="139"/>
      <c r="AG2098" s="139"/>
      <c r="AH2098" s="139"/>
      <c r="AI2098" s="139"/>
      <c r="AJ2098" s="139"/>
      <c r="AK2098" s="139"/>
      <c r="AL2098" s="139"/>
      <c r="AM2098" s="139"/>
      <c r="AN2098" s="139"/>
      <c r="AO2098" s="139"/>
      <c r="AP2098" s="139"/>
      <c r="AQ2098" s="139"/>
      <c r="AR2098" s="139"/>
      <c r="AS2098" s="139"/>
      <c r="AT2098" s="139"/>
      <c r="AU2098" s="139"/>
      <c r="AV2098" s="139"/>
      <c r="AW2098" s="139"/>
      <c r="AX2098" s="139"/>
      <c r="AY2098" s="139"/>
      <c r="AZ2098" s="139"/>
      <c r="BA2098" s="139"/>
      <c r="BB2098" s="139"/>
      <c r="BC2098" s="139"/>
      <c r="BD2098" s="139"/>
      <c r="BE2098" s="139"/>
      <c r="BF2098" s="139"/>
      <c r="BG2098" s="139"/>
      <c r="BH2098" s="139"/>
    </row>
    <row r="2099" spans="2:60" s="11" customFormat="1" ht="20.100000000000001" customHeight="1">
      <c r="B2099" s="1360"/>
      <c r="C2099" s="6275"/>
      <c r="D2099" s="5762" t="s">
        <v>1679</v>
      </c>
      <c r="E2099" s="5763"/>
      <c r="F2099" s="5766" t="s">
        <v>233</v>
      </c>
      <c r="G2099" s="6281"/>
      <c r="H2099" s="6275"/>
      <c r="I2099" s="5770" t="s">
        <v>1353</v>
      </c>
      <c r="J2099" s="5770"/>
      <c r="K2099" s="5766" t="s">
        <v>295</v>
      </c>
      <c r="L2099" s="5653" t="str">
        <f>IF(COUNTBLANK(L2100:L2105)&gt;0,"미취합법인有",SUM(L2100:L2105))</f>
        <v>미취합법인有</v>
      </c>
      <c r="M2099" s="5657"/>
      <c r="N2099" s="5654" t="str">
        <f>IF(COUNTBLANK(N2100:N2105)&gt;0,"미취합법인有",SUM(N2100:N2105))</f>
        <v>미취합법인有</v>
      </c>
      <c r="O2099" s="5663"/>
      <c r="P2099" s="5781" t="str">
        <f>IF(COUNTBLANK(P2100:P2105)&gt;0,"미취합법인有",SUM(P2100:P2105))</f>
        <v>미취합법인有</v>
      </c>
      <c r="Q2099" s="396"/>
      <c r="R2099" s="498" t="s">
        <v>1680</v>
      </c>
      <c r="S2099" s="367" t="s">
        <v>1681</v>
      </c>
      <c r="T2099" s="162" t="s">
        <v>1649</v>
      </c>
      <c r="U2099" s="547"/>
      <c r="V2099" s="547"/>
      <c r="W2099" s="162"/>
      <c r="X2099" s="277" t="s">
        <v>1677</v>
      </c>
      <c r="Y2099" s="265"/>
      <c r="Z2099" s="982"/>
      <c r="AA2099" s="6301"/>
      <c r="AB2099" s="139"/>
      <c r="AC2099" s="139"/>
      <c r="AD2099" s="139"/>
      <c r="AE2099" s="139"/>
      <c r="AF2099" s="139"/>
      <c r="AG2099" s="139"/>
      <c r="AH2099" s="139"/>
      <c r="AI2099" s="139"/>
      <c r="AJ2099" s="139"/>
      <c r="AK2099" s="139"/>
      <c r="AL2099" s="139"/>
      <c r="AM2099" s="139"/>
      <c r="AN2099" s="139"/>
      <c r="AO2099" s="139"/>
      <c r="AP2099" s="139"/>
      <c r="AQ2099" s="139"/>
      <c r="AR2099" s="139"/>
      <c r="AS2099" s="139"/>
      <c r="AT2099" s="139"/>
      <c r="AU2099" s="139"/>
      <c r="AV2099" s="139"/>
      <c r="AW2099" s="139"/>
      <c r="AX2099" s="139"/>
      <c r="AY2099" s="139"/>
      <c r="AZ2099" s="139"/>
      <c r="BA2099" s="139"/>
      <c r="BB2099" s="139"/>
      <c r="BC2099" s="139"/>
      <c r="BD2099" s="139"/>
      <c r="BE2099" s="139"/>
      <c r="BF2099" s="139"/>
      <c r="BG2099" s="139"/>
      <c r="BH2099" s="139"/>
    </row>
    <row r="2100" spans="2:60" s="11" customFormat="1" ht="20.100000000000001" customHeight="1">
      <c r="B2100" s="1360"/>
      <c r="C2100" s="6276"/>
      <c r="D2100" s="9598" t="s">
        <v>134</v>
      </c>
      <c r="E2100" s="9600"/>
      <c r="F2100" s="285" t="s">
        <v>1682</v>
      </c>
      <c r="G2100" s="358"/>
      <c r="H2100" s="6276"/>
      <c r="I2100" s="9579" t="s">
        <v>135</v>
      </c>
      <c r="J2100" s="9581"/>
      <c r="K2100" s="285" t="s">
        <v>295</v>
      </c>
      <c r="L2100" s="5594">
        <v>0</v>
      </c>
      <c r="M2100" s="5658"/>
      <c r="N2100" s="5601">
        <v>0</v>
      </c>
      <c r="O2100" s="5666"/>
      <c r="P2100" s="5625">
        <v>0</v>
      </c>
      <c r="Q2100" s="5601"/>
      <c r="R2100" s="498"/>
      <c r="S2100" s="367"/>
      <c r="T2100" s="162"/>
      <c r="U2100" s="547"/>
      <c r="V2100" s="547"/>
      <c r="W2100" s="162"/>
      <c r="X2100" s="277"/>
      <c r="Y2100" s="265"/>
      <c r="Z2100" s="982"/>
      <c r="AA2100" s="6301"/>
      <c r="AB2100" s="139"/>
      <c r="AC2100" s="139"/>
      <c r="AD2100" s="139"/>
      <c r="AE2100" s="139"/>
      <c r="AF2100" s="139"/>
      <c r="AG2100" s="139"/>
      <c r="AH2100" s="139"/>
      <c r="AI2100" s="139"/>
      <c r="AJ2100" s="139"/>
      <c r="AK2100" s="139"/>
      <c r="AL2100" s="139"/>
      <c r="AM2100" s="139"/>
      <c r="AN2100" s="139"/>
      <c r="AO2100" s="139"/>
      <c r="AP2100" s="139"/>
      <c r="AQ2100" s="139"/>
      <c r="AR2100" s="139"/>
      <c r="AS2100" s="139"/>
      <c r="AT2100" s="139"/>
      <c r="AU2100" s="139"/>
      <c r="AV2100" s="139"/>
      <c r="AW2100" s="139"/>
      <c r="AX2100" s="139"/>
      <c r="AY2100" s="139"/>
      <c r="AZ2100" s="139"/>
      <c r="BA2100" s="139"/>
      <c r="BB2100" s="139"/>
      <c r="BC2100" s="139"/>
      <c r="BD2100" s="139"/>
      <c r="BE2100" s="139"/>
      <c r="BF2100" s="139"/>
      <c r="BG2100" s="139"/>
      <c r="BH2100" s="139"/>
    </row>
    <row r="2101" spans="2:60" s="11" customFormat="1" ht="20.100000000000001" customHeight="1">
      <c r="B2101" s="1360"/>
      <c r="C2101" s="6275"/>
      <c r="D2101" s="9598" t="s">
        <v>137</v>
      </c>
      <c r="E2101" s="9600"/>
      <c r="F2101" s="285" t="s">
        <v>1682</v>
      </c>
      <c r="G2101" s="358"/>
      <c r="H2101" s="6275"/>
      <c r="I2101" s="9579" t="s">
        <v>138</v>
      </c>
      <c r="J2101" s="9581"/>
      <c r="K2101" s="285" t="s">
        <v>295</v>
      </c>
      <c r="L2101" s="5594">
        <v>0</v>
      </c>
      <c r="M2101" s="5658"/>
      <c r="N2101" s="5601">
        <v>0</v>
      </c>
      <c r="O2101" s="5666"/>
      <c r="P2101" s="5625">
        <v>0</v>
      </c>
      <c r="Q2101" s="5601"/>
      <c r="R2101" s="498"/>
      <c r="S2101" s="367"/>
      <c r="T2101" s="162"/>
      <c r="U2101" s="547"/>
      <c r="V2101" s="547"/>
      <c r="W2101" s="162"/>
      <c r="X2101" s="277"/>
      <c r="Y2101" s="265"/>
      <c r="Z2101" s="982"/>
      <c r="AA2101" s="6301"/>
      <c r="AB2101" s="139"/>
      <c r="AC2101" s="139"/>
      <c r="AD2101" s="139"/>
      <c r="AE2101" s="139"/>
      <c r="AF2101" s="139"/>
      <c r="AG2101" s="139"/>
      <c r="AH2101" s="139"/>
      <c r="AI2101" s="139"/>
      <c r="AJ2101" s="139"/>
      <c r="AK2101" s="139"/>
      <c r="AL2101" s="139"/>
      <c r="AM2101" s="139"/>
      <c r="AN2101" s="139"/>
      <c r="AO2101" s="139"/>
      <c r="AP2101" s="139"/>
      <c r="AQ2101" s="139"/>
      <c r="AR2101" s="139"/>
      <c r="AS2101" s="139"/>
      <c r="AT2101" s="139"/>
      <c r="AU2101" s="139"/>
      <c r="AV2101" s="139"/>
      <c r="AW2101" s="139"/>
      <c r="AX2101" s="139"/>
      <c r="AY2101" s="139"/>
      <c r="AZ2101" s="139"/>
      <c r="BA2101" s="139"/>
      <c r="BB2101" s="139"/>
      <c r="BC2101" s="139"/>
      <c r="BD2101" s="139"/>
      <c r="BE2101" s="139"/>
      <c r="BF2101" s="139"/>
      <c r="BG2101" s="139"/>
      <c r="BH2101" s="139"/>
    </row>
    <row r="2102" spans="2:60" s="11" customFormat="1" ht="20.100000000000001" customHeight="1">
      <c r="B2102" s="1360"/>
      <c r="C2102" s="6276"/>
      <c r="D2102" s="9598" t="s">
        <v>140</v>
      </c>
      <c r="E2102" s="9600"/>
      <c r="F2102" s="285" t="s">
        <v>1682</v>
      </c>
      <c r="G2102" s="358"/>
      <c r="H2102" s="6276"/>
      <c r="I2102" s="9582" t="s">
        <v>141</v>
      </c>
      <c r="J2102" s="9583"/>
      <c r="K2102" s="285" t="s">
        <v>295</v>
      </c>
      <c r="L2102" s="5594">
        <v>0</v>
      </c>
      <c r="M2102" s="5658"/>
      <c r="N2102" s="5601">
        <v>0</v>
      </c>
      <c r="O2102" s="5666"/>
      <c r="P2102" s="5625">
        <v>0</v>
      </c>
      <c r="Q2102" s="5601"/>
      <c r="R2102" s="498"/>
      <c r="S2102" s="367"/>
      <c r="T2102" s="162"/>
      <c r="U2102" s="547"/>
      <c r="V2102" s="547"/>
      <c r="W2102" s="162"/>
      <c r="X2102" s="277"/>
      <c r="Y2102" s="265"/>
      <c r="Z2102" s="982"/>
      <c r="AA2102" s="6301"/>
      <c r="AB2102" s="139"/>
      <c r="AC2102" s="139"/>
      <c r="AD2102" s="139"/>
      <c r="AE2102" s="139"/>
      <c r="AF2102" s="139"/>
      <c r="AG2102" s="139"/>
      <c r="AH2102" s="139"/>
      <c r="AI2102" s="139"/>
      <c r="AJ2102" s="139"/>
      <c r="AK2102" s="139"/>
      <c r="AL2102" s="139"/>
      <c r="AM2102" s="139"/>
      <c r="AN2102" s="139"/>
      <c r="AO2102" s="139"/>
      <c r="AP2102" s="139"/>
      <c r="AQ2102" s="139"/>
      <c r="AR2102" s="139"/>
      <c r="AS2102" s="139"/>
      <c r="AT2102" s="139"/>
      <c r="AU2102" s="139"/>
      <c r="AV2102" s="139"/>
      <c r="AW2102" s="139"/>
      <c r="AX2102" s="139"/>
      <c r="AY2102" s="139"/>
      <c r="AZ2102" s="139"/>
      <c r="BA2102" s="139"/>
      <c r="BB2102" s="139"/>
      <c r="BC2102" s="139"/>
      <c r="BD2102" s="139"/>
      <c r="BE2102" s="139"/>
      <c r="BF2102" s="139"/>
      <c r="BG2102" s="139"/>
      <c r="BH2102" s="139"/>
    </row>
    <row r="2103" spans="2:60" s="11" customFormat="1" ht="20.100000000000001" customHeight="1">
      <c r="B2103" s="1360"/>
      <c r="C2103" s="6275"/>
      <c r="D2103" s="9598" t="s">
        <v>143</v>
      </c>
      <c r="E2103" s="9600"/>
      <c r="F2103" s="285" t="s">
        <v>1682</v>
      </c>
      <c r="G2103" s="358"/>
      <c r="H2103" s="6275"/>
      <c r="I2103" s="9582" t="s">
        <v>144</v>
      </c>
      <c r="J2103" s="9583"/>
      <c r="K2103" s="285" t="s">
        <v>295</v>
      </c>
      <c r="L2103" s="5594"/>
      <c r="M2103" s="5658"/>
      <c r="N2103" s="5601"/>
      <c r="O2103" s="5666"/>
      <c r="P2103" s="5625"/>
      <c r="Q2103" s="5601"/>
      <c r="R2103" s="498"/>
      <c r="S2103" s="367"/>
      <c r="T2103" s="162"/>
      <c r="U2103" s="547"/>
      <c r="V2103" s="547"/>
      <c r="W2103" s="162"/>
      <c r="X2103" s="277"/>
      <c r="Y2103" s="265"/>
      <c r="Z2103" s="982"/>
      <c r="AA2103" s="6301"/>
      <c r="AB2103" s="139"/>
      <c r="AC2103" s="139"/>
      <c r="AD2103" s="139"/>
      <c r="AE2103" s="139"/>
      <c r="AF2103" s="139"/>
      <c r="AG2103" s="139"/>
      <c r="AH2103" s="139"/>
      <c r="AI2103" s="139"/>
      <c r="AJ2103" s="139"/>
      <c r="AK2103" s="139"/>
      <c r="AL2103" s="139"/>
      <c r="AM2103" s="139"/>
      <c r="AN2103" s="139"/>
      <c r="AO2103" s="139"/>
      <c r="AP2103" s="139"/>
      <c r="AQ2103" s="139"/>
      <c r="AR2103" s="139"/>
      <c r="AS2103" s="139"/>
      <c r="AT2103" s="139"/>
      <c r="AU2103" s="139"/>
      <c r="AV2103" s="139"/>
      <c r="AW2103" s="139"/>
      <c r="AX2103" s="139"/>
      <c r="AY2103" s="139"/>
      <c r="AZ2103" s="139"/>
      <c r="BA2103" s="139"/>
      <c r="BB2103" s="139"/>
      <c r="BC2103" s="139"/>
      <c r="BD2103" s="139"/>
      <c r="BE2103" s="139"/>
      <c r="BF2103" s="139"/>
      <c r="BG2103" s="139"/>
      <c r="BH2103" s="139"/>
    </row>
    <row r="2104" spans="2:60" s="11" customFormat="1" ht="20.100000000000001" customHeight="1">
      <c r="B2104" s="1360"/>
      <c r="C2104" s="6276"/>
      <c r="D2104" s="9598" t="s">
        <v>631</v>
      </c>
      <c r="E2104" s="9600"/>
      <c r="F2104" s="285" t="s">
        <v>1682</v>
      </c>
      <c r="G2104" s="735"/>
      <c r="H2104" s="6276"/>
      <c r="I2104" s="9582" t="s">
        <v>147</v>
      </c>
      <c r="J2104" s="9583"/>
      <c r="K2104" s="285" t="s">
        <v>295</v>
      </c>
      <c r="L2104" s="5594"/>
      <c r="M2104" s="5658"/>
      <c r="N2104" s="5601"/>
      <c r="O2104" s="5666"/>
      <c r="P2104" s="5625"/>
      <c r="Q2104" s="5601"/>
      <c r="R2104" s="498"/>
      <c r="S2104" s="367"/>
      <c r="T2104" s="162"/>
      <c r="U2104" s="547"/>
      <c r="V2104" s="547"/>
      <c r="W2104" s="162"/>
      <c r="X2104" s="277"/>
      <c r="Y2104" s="265"/>
      <c r="Z2104" s="982"/>
      <c r="AA2104" s="6301"/>
      <c r="AB2104" s="139"/>
      <c r="AC2104" s="139"/>
      <c r="AD2104" s="139"/>
      <c r="AE2104" s="139"/>
      <c r="AF2104" s="139"/>
      <c r="AG2104" s="139"/>
      <c r="AH2104" s="139"/>
      <c r="AI2104" s="139"/>
      <c r="AJ2104" s="139"/>
      <c r="AK2104" s="139"/>
      <c r="AL2104" s="139"/>
      <c r="AM2104" s="139"/>
      <c r="AN2104" s="139"/>
      <c r="AO2104" s="139"/>
      <c r="AP2104" s="139"/>
      <c r="AQ2104" s="139"/>
      <c r="AR2104" s="139"/>
      <c r="AS2104" s="139"/>
      <c r="AT2104" s="139"/>
      <c r="AU2104" s="139"/>
      <c r="AV2104" s="139"/>
      <c r="AW2104" s="139"/>
      <c r="AX2104" s="139"/>
      <c r="AY2104" s="139"/>
      <c r="AZ2104" s="139"/>
      <c r="BA2104" s="139"/>
      <c r="BB2104" s="139"/>
      <c r="BC2104" s="139"/>
      <c r="BD2104" s="139"/>
      <c r="BE2104" s="139"/>
      <c r="BF2104" s="139"/>
      <c r="BG2104" s="139"/>
      <c r="BH2104" s="139"/>
    </row>
    <row r="2105" spans="2:60" s="11" customFormat="1" ht="20.100000000000001" customHeight="1">
      <c r="B2105" s="1360"/>
      <c r="C2105" s="6275"/>
      <c r="D2105" s="9598" t="s">
        <v>633</v>
      </c>
      <c r="E2105" s="9600"/>
      <c r="F2105" s="285" t="s">
        <v>1682</v>
      </c>
      <c r="G2105" s="735"/>
      <c r="H2105" s="6275"/>
      <c r="I2105" s="9582" t="s">
        <v>150</v>
      </c>
      <c r="J2105" s="9583"/>
      <c r="K2105" s="285" t="s">
        <v>295</v>
      </c>
      <c r="L2105" s="5594"/>
      <c r="M2105" s="5658"/>
      <c r="N2105" s="5601"/>
      <c r="O2105" s="5666"/>
      <c r="P2105" s="5625"/>
      <c r="Q2105" s="5601"/>
      <c r="R2105" s="498"/>
      <c r="S2105" s="367"/>
      <c r="T2105" s="162"/>
      <c r="U2105" s="547"/>
      <c r="V2105" s="547"/>
      <c r="W2105" s="162"/>
      <c r="X2105" s="277"/>
      <c r="Y2105" s="265"/>
      <c r="Z2105" s="982"/>
      <c r="AA2105" s="6301"/>
      <c r="AB2105" s="139"/>
      <c r="AC2105" s="139"/>
      <c r="AD2105" s="139"/>
      <c r="AE2105" s="139"/>
      <c r="AF2105" s="139"/>
      <c r="AG2105" s="139"/>
      <c r="AH2105" s="139"/>
      <c r="AI2105" s="139"/>
      <c r="AJ2105" s="139"/>
      <c r="AK2105" s="139"/>
      <c r="AL2105" s="139"/>
      <c r="AM2105" s="139"/>
      <c r="AN2105" s="139"/>
      <c r="AO2105" s="139"/>
      <c r="AP2105" s="139"/>
      <c r="AQ2105" s="139"/>
      <c r="AR2105" s="139"/>
      <c r="AS2105" s="139"/>
      <c r="AT2105" s="139"/>
      <c r="AU2105" s="139"/>
      <c r="AV2105" s="139"/>
      <c r="AW2105" s="139"/>
      <c r="AX2105" s="139"/>
      <c r="AY2105" s="139"/>
      <c r="AZ2105" s="139"/>
      <c r="BA2105" s="139"/>
      <c r="BB2105" s="139"/>
      <c r="BC2105" s="139"/>
      <c r="BD2105" s="139"/>
      <c r="BE2105" s="139"/>
      <c r="BF2105" s="139"/>
      <c r="BG2105" s="139"/>
      <c r="BH2105" s="139"/>
    </row>
    <row r="2106" spans="2:60" s="11" customFormat="1" ht="20.100000000000001" customHeight="1">
      <c r="B2106" s="1360"/>
      <c r="C2106" s="6275"/>
      <c r="D2106" s="5762" t="s">
        <v>1683</v>
      </c>
      <c r="E2106" s="5763"/>
      <c r="F2106" s="5766" t="s">
        <v>156</v>
      </c>
      <c r="G2106" s="6281"/>
      <c r="H2106" s="6275"/>
      <c r="I2106" s="5770" t="s">
        <v>1684</v>
      </c>
      <c r="J2106" s="5770"/>
      <c r="K2106" s="5766" t="s">
        <v>156</v>
      </c>
      <c r="L2106" s="5968" t="str">
        <f>IF(COUNTBLANK(L2107:L2112)&gt;0,"미취합법인有",AVERAGE(L2107:L2112))</f>
        <v>미취합법인有</v>
      </c>
      <c r="M2106" s="5657"/>
      <c r="N2106" s="5654" t="str">
        <f>IF(COUNTBLANK(N2107:N2112)&gt;0,"미취합법인有",AVERAGE(N2107:N2112))</f>
        <v>미취합법인有</v>
      </c>
      <c r="O2106" s="5663"/>
      <c r="P2106" s="5781" t="str">
        <f>IF(COUNTBLANK(P2107:P2112)&gt;0,"미취합법인有",AVERAGE(P2107:P2112))</f>
        <v>미취합법인有</v>
      </c>
      <c r="Q2106" s="785"/>
      <c r="R2106" s="498" t="s">
        <v>1685</v>
      </c>
      <c r="S2106" s="367" t="s">
        <v>1686</v>
      </c>
      <c r="T2106" s="162" t="s">
        <v>206</v>
      </c>
      <c r="U2106" s="547"/>
      <c r="V2106" s="547"/>
      <c r="W2106" s="162"/>
      <c r="X2106" s="277"/>
      <c r="Y2106" s="265" t="s">
        <v>1687</v>
      </c>
      <c r="Z2106" s="982"/>
      <c r="AA2106" s="6301"/>
      <c r="AB2106" s="139"/>
      <c r="AC2106" s="139"/>
      <c r="AD2106" s="139"/>
      <c r="AE2106" s="139"/>
      <c r="AF2106" s="139"/>
      <c r="AG2106" s="139"/>
      <c r="AH2106" s="139"/>
      <c r="AI2106" s="139"/>
      <c r="AJ2106" s="139"/>
      <c r="AK2106" s="139"/>
      <c r="AL2106" s="139"/>
      <c r="AM2106" s="139"/>
      <c r="AN2106" s="139"/>
      <c r="AO2106" s="139"/>
      <c r="AP2106" s="139"/>
      <c r="AQ2106" s="139"/>
      <c r="AR2106" s="139"/>
      <c r="AS2106" s="139"/>
      <c r="AT2106" s="139"/>
      <c r="AU2106" s="139"/>
      <c r="AV2106" s="139"/>
      <c r="AW2106" s="139"/>
      <c r="AX2106" s="139"/>
      <c r="AY2106" s="139"/>
      <c r="AZ2106" s="139"/>
      <c r="BA2106" s="139"/>
      <c r="BB2106" s="139"/>
      <c r="BC2106" s="139"/>
      <c r="BD2106" s="139"/>
      <c r="BE2106" s="139"/>
      <c r="BF2106" s="139"/>
      <c r="BG2106" s="139"/>
      <c r="BH2106" s="139"/>
    </row>
    <row r="2107" spans="2:60" s="11" customFormat="1" ht="20.100000000000001" customHeight="1">
      <c r="B2107" s="1360"/>
      <c r="C2107" s="6276"/>
      <c r="D2107" s="9598" t="s">
        <v>134</v>
      </c>
      <c r="E2107" s="9600"/>
      <c r="F2107" s="285" t="s">
        <v>154</v>
      </c>
      <c r="G2107" s="735"/>
      <c r="H2107" s="6276"/>
      <c r="I2107" s="9579" t="s">
        <v>135</v>
      </c>
      <c r="J2107" s="9581"/>
      <c r="K2107" s="285" t="s">
        <v>154</v>
      </c>
      <c r="L2107" s="5594"/>
      <c r="M2107" s="5658"/>
      <c r="N2107" s="5601"/>
      <c r="O2107" s="5666"/>
      <c r="P2107" s="5625"/>
      <c r="Q2107" s="5601"/>
      <c r="R2107" s="498"/>
      <c r="S2107" s="367"/>
      <c r="T2107" s="162"/>
      <c r="U2107" s="547"/>
      <c r="V2107" s="547"/>
      <c r="W2107" s="162"/>
      <c r="X2107" s="277"/>
      <c r="Y2107" s="265"/>
      <c r="Z2107" s="982"/>
      <c r="AA2107" s="6301"/>
      <c r="AB2107" s="139"/>
      <c r="AC2107" s="139"/>
      <c r="AD2107" s="139"/>
      <c r="AE2107" s="139"/>
      <c r="AF2107" s="139"/>
      <c r="AG2107" s="139"/>
      <c r="AH2107" s="139"/>
      <c r="AI2107" s="139"/>
      <c r="AJ2107" s="139"/>
      <c r="AK2107" s="139"/>
      <c r="AL2107" s="139"/>
      <c r="AM2107" s="139"/>
      <c r="AN2107" s="139"/>
      <c r="AO2107" s="139"/>
      <c r="AP2107" s="139"/>
      <c r="AQ2107" s="139"/>
      <c r="AR2107" s="139"/>
      <c r="AS2107" s="139"/>
      <c r="AT2107" s="139"/>
      <c r="AU2107" s="139"/>
      <c r="AV2107" s="139"/>
      <c r="AW2107" s="139"/>
      <c r="AX2107" s="139"/>
      <c r="AY2107" s="139"/>
      <c r="AZ2107" s="139"/>
      <c r="BA2107" s="139"/>
      <c r="BB2107" s="139"/>
      <c r="BC2107" s="139"/>
      <c r="BD2107" s="139"/>
      <c r="BE2107" s="139"/>
      <c r="BF2107" s="139"/>
      <c r="BG2107" s="139"/>
      <c r="BH2107" s="139"/>
    </row>
    <row r="2108" spans="2:60" s="11" customFormat="1" ht="20.100000000000001" customHeight="1">
      <c r="B2108" s="1360"/>
      <c r="C2108" s="6275"/>
      <c r="D2108" s="9598" t="s">
        <v>137</v>
      </c>
      <c r="E2108" s="9600"/>
      <c r="F2108" s="285" t="s">
        <v>154</v>
      </c>
      <c r="G2108" s="735"/>
      <c r="H2108" s="6275"/>
      <c r="I2108" s="9579" t="s">
        <v>138</v>
      </c>
      <c r="J2108" s="9581"/>
      <c r="K2108" s="285" t="s">
        <v>154</v>
      </c>
      <c r="L2108" s="5594"/>
      <c r="M2108" s="5658"/>
      <c r="N2108" s="5601"/>
      <c r="O2108" s="5666"/>
      <c r="P2108" s="5625"/>
      <c r="Q2108" s="5601"/>
      <c r="R2108" s="498"/>
      <c r="S2108" s="367"/>
      <c r="T2108" s="162"/>
      <c r="U2108" s="547"/>
      <c r="V2108" s="547"/>
      <c r="W2108" s="162"/>
      <c r="X2108" s="277"/>
      <c r="Y2108" s="265"/>
      <c r="Z2108" s="982"/>
      <c r="AA2108" s="6301"/>
      <c r="AB2108" s="139"/>
      <c r="AC2108" s="139"/>
      <c r="AD2108" s="139"/>
      <c r="AE2108" s="139"/>
      <c r="AF2108" s="139"/>
      <c r="AG2108" s="139"/>
      <c r="AH2108" s="139"/>
      <c r="AI2108" s="139"/>
      <c r="AJ2108" s="139"/>
      <c r="AK2108" s="139"/>
      <c r="AL2108" s="139"/>
      <c r="AM2108" s="139"/>
      <c r="AN2108" s="139"/>
      <c r="AO2108" s="139"/>
      <c r="AP2108" s="139"/>
      <c r="AQ2108" s="139"/>
      <c r="AR2108" s="139"/>
      <c r="AS2108" s="139"/>
      <c r="AT2108" s="139"/>
      <c r="AU2108" s="139"/>
      <c r="AV2108" s="139"/>
      <c r="AW2108" s="139"/>
      <c r="AX2108" s="139"/>
      <c r="AY2108" s="139"/>
      <c r="AZ2108" s="139"/>
      <c r="BA2108" s="139"/>
      <c r="BB2108" s="139"/>
      <c r="BC2108" s="139"/>
      <c r="BD2108" s="139"/>
      <c r="BE2108" s="139"/>
      <c r="BF2108" s="139"/>
      <c r="BG2108" s="139"/>
      <c r="BH2108" s="139"/>
    </row>
    <row r="2109" spans="2:60" s="11" customFormat="1" ht="20.100000000000001" customHeight="1">
      <c r="B2109" s="1360"/>
      <c r="C2109" s="6276"/>
      <c r="D2109" s="9598" t="s">
        <v>140</v>
      </c>
      <c r="E2109" s="9600"/>
      <c r="F2109" s="285" t="s">
        <v>154</v>
      </c>
      <c r="G2109" s="735"/>
      <c r="H2109" s="6276"/>
      <c r="I2109" s="9582" t="s">
        <v>141</v>
      </c>
      <c r="J2109" s="9583"/>
      <c r="K2109" s="285" t="s">
        <v>154</v>
      </c>
      <c r="L2109" s="5839">
        <v>100</v>
      </c>
      <c r="M2109" s="5658"/>
      <c r="N2109" s="5987">
        <v>100</v>
      </c>
      <c r="O2109" s="5666"/>
      <c r="P2109" s="6095">
        <v>100</v>
      </c>
      <c r="Q2109" s="5601"/>
      <c r="R2109" s="498"/>
      <c r="S2109" s="367"/>
      <c r="T2109" s="162"/>
      <c r="U2109" s="547"/>
      <c r="V2109" s="547"/>
      <c r="W2109" s="162"/>
      <c r="X2109" s="277"/>
      <c r="Y2109" s="265"/>
      <c r="Z2109" s="982"/>
      <c r="AA2109" s="6301"/>
      <c r="AB2109" s="139"/>
      <c r="AC2109" s="139"/>
      <c r="AD2109" s="139"/>
      <c r="AE2109" s="139"/>
      <c r="AF2109" s="139"/>
      <c r="AG2109" s="139"/>
      <c r="AH2109" s="139"/>
      <c r="AI2109" s="139"/>
      <c r="AJ2109" s="139"/>
      <c r="AK2109" s="139"/>
      <c r="AL2109" s="139"/>
      <c r="AM2109" s="139"/>
      <c r="AN2109" s="139"/>
      <c r="AO2109" s="139"/>
      <c r="AP2109" s="139"/>
      <c r="AQ2109" s="139"/>
      <c r="AR2109" s="139"/>
      <c r="AS2109" s="139"/>
      <c r="AT2109" s="139"/>
      <c r="AU2109" s="139"/>
      <c r="AV2109" s="139"/>
      <c r="AW2109" s="139"/>
      <c r="AX2109" s="139"/>
      <c r="AY2109" s="139"/>
      <c r="AZ2109" s="139"/>
      <c r="BA2109" s="139"/>
      <c r="BB2109" s="139"/>
      <c r="BC2109" s="139"/>
      <c r="BD2109" s="139"/>
      <c r="BE2109" s="139"/>
      <c r="BF2109" s="139"/>
      <c r="BG2109" s="139"/>
      <c r="BH2109" s="139"/>
    </row>
    <row r="2110" spans="2:60" s="11" customFormat="1" ht="20.100000000000001" customHeight="1">
      <c r="B2110" s="1360"/>
      <c r="C2110" s="6275"/>
      <c r="D2110" s="9598" t="s">
        <v>143</v>
      </c>
      <c r="E2110" s="9600"/>
      <c r="F2110" s="285" t="s">
        <v>154</v>
      </c>
      <c r="G2110" s="735"/>
      <c r="H2110" s="6275"/>
      <c r="I2110" s="9582" t="s">
        <v>144</v>
      </c>
      <c r="J2110" s="9583"/>
      <c r="K2110" s="285" t="s">
        <v>154</v>
      </c>
      <c r="L2110" s="5594"/>
      <c r="M2110" s="5658"/>
      <c r="N2110" s="5601"/>
      <c r="O2110" s="5666"/>
      <c r="P2110" s="5625"/>
      <c r="Q2110" s="5601"/>
      <c r="R2110" s="498"/>
      <c r="S2110" s="367"/>
      <c r="T2110" s="162"/>
      <c r="U2110" s="547"/>
      <c r="V2110" s="547"/>
      <c r="W2110" s="162"/>
      <c r="X2110" s="277"/>
      <c r="Y2110" s="265"/>
      <c r="Z2110" s="982"/>
      <c r="AA2110" s="6301"/>
      <c r="AB2110" s="139"/>
      <c r="AC2110" s="139"/>
      <c r="AD2110" s="139"/>
      <c r="AE2110" s="139"/>
      <c r="AF2110" s="139"/>
      <c r="AG2110" s="139"/>
      <c r="AH2110" s="139"/>
      <c r="AI2110" s="139"/>
      <c r="AJ2110" s="139"/>
      <c r="AK2110" s="139"/>
      <c r="AL2110" s="139"/>
      <c r="AM2110" s="139"/>
      <c r="AN2110" s="139"/>
      <c r="AO2110" s="139"/>
      <c r="AP2110" s="139"/>
      <c r="AQ2110" s="139"/>
      <c r="AR2110" s="139"/>
      <c r="AS2110" s="139"/>
      <c r="AT2110" s="139"/>
      <c r="AU2110" s="139"/>
      <c r="AV2110" s="139"/>
      <c r="AW2110" s="139"/>
      <c r="AX2110" s="139"/>
      <c r="AY2110" s="139"/>
      <c r="AZ2110" s="139"/>
      <c r="BA2110" s="139"/>
      <c r="BB2110" s="139"/>
      <c r="BC2110" s="139"/>
      <c r="BD2110" s="139"/>
      <c r="BE2110" s="139"/>
      <c r="BF2110" s="139"/>
      <c r="BG2110" s="139"/>
      <c r="BH2110" s="139"/>
    </row>
    <row r="2111" spans="2:60" s="11" customFormat="1" ht="20.100000000000001" customHeight="1">
      <c r="B2111" s="1360"/>
      <c r="C2111" s="6276"/>
      <c r="D2111" s="9598" t="s">
        <v>631</v>
      </c>
      <c r="E2111" s="9600"/>
      <c r="F2111" s="285" t="s">
        <v>154</v>
      </c>
      <c r="G2111" s="735"/>
      <c r="H2111" s="6276"/>
      <c r="I2111" s="9582" t="s">
        <v>147</v>
      </c>
      <c r="J2111" s="9583"/>
      <c r="K2111" s="285" t="s">
        <v>154</v>
      </c>
      <c r="L2111" s="5594"/>
      <c r="M2111" s="5658"/>
      <c r="N2111" s="5601"/>
      <c r="O2111" s="5666"/>
      <c r="P2111" s="5625"/>
      <c r="Q2111" s="5601"/>
      <c r="R2111" s="498"/>
      <c r="S2111" s="367"/>
      <c r="T2111" s="162"/>
      <c r="U2111" s="547"/>
      <c r="V2111" s="547"/>
      <c r="W2111" s="162"/>
      <c r="X2111" s="277"/>
      <c r="Y2111" s="265"/>
      <c r="Z2111" s="982"/>
      <c r="AA2111" s="6301"/>
      <c r="AB2111" s="139"/>
      <c r="AC2111" s="139"/>
      <c r="AD2111" s="139"/>
      <c r="AE2111" s="139"/>
      <c r="AF2111" s="139"/>
      <c r="AG2111" s="139"/>
      <c r="AH2111" s="139"/>
      <c r="AI2111" s="139"/>
      <c r="AJ2111" s="139"/>
      <c r="AK2111" s="139"/>
      <c r="AL2111" s="139"/>
      <c r="AM2111" s="139"/>
      <c r="AN2111" s="139"/>
      <c r="AO2111" s="139"/>
      <c r="AP2111" s="139"/>
      <c r="AQ2111" s="139"/>
      <c r="AR2111" s="139"/>
      <c r="AS2111" s="139"/>
      <c r="AT2111" s="139"/>
      <c r="AU2111" s="139"/>
      <c r="AV2111" s="139"/>
      <c r="AW2111" s="139"/>
      <c r="AX2111" s="139"/>
      <c r="AY2111" s="139"/>
      <c r="AZ2111" s="139"/>
      <c r="BA2111" s="139"/>
      <c r="BB2111" s="139"/>
      <c r="BC2111" s="139"/>
      <c r="BD2111" s="139"/>
      <c r="BE2111" s="139"/>
      <c r="BF2111" s="139"/>
      <c r="BG2111" s="139"/>
      <c r="BH2111" s="139"/>
    </row>
    <row r="2112" spans="2:60" s="11" customFormat="1" ht="20.100000000000001" customHeight="1">
      <c r="B2112" s="1360"/>
      <c r="C2112" s="6275"/>
      <c r="D2112" s="9598" t="s">
        <v>633</v>
      </c>
      <c r="E2112" s="9600"/>
      <c r="F2112" s="285" t="s">
        <v>154</v>
      </c>
      <c r="G2112" s="735"/>
      <c r="H2112" s="6275"/>
      <c r="I2112" s="9582" t="s">
        <v>150</v>
      </c>
      <c r="J2112" s="9583"/>
      <c r="K2112" s="285" t="s">
        <v>154</v>
      </c>
      <c r="L2112" s="5594"/>
      <c r="M2112" s="5658"/>
      <c r="N2112" s="5601"/>
      <c r="O2112" s="5666"/>
      <c r="P2112" s="5625"/>
      <c r="Q2112" s="5601"/>
      <c r="R2112" s="498"/>
      <c r="S2112" s="367"/>
      <c r="T2112" s="162"/>
      <c r="U2112" s="547"/>
      <c r="V2112" s="547"/>
      <c r="W2112" s="162"/>
      <c r="X2112" s="277"/>
      <c r="Y2112" s="265"/>
      <c r="Z2112" s="982"/>
      <c r="AA2112" s="6301"/>
      <c r="AB2112" s="139"/>
      <c r="AC2112" s="139"/>
      <c r="AD2112" s="139"/>
      <c r="AE2112" s="139"/>
      <c r="AF2112" s="139"/>
      <c r="AG2112" s="139"/>
      <c r="AH2112" s="139"/>
      <c r="AI2112" s="139"/>
      <c r="AJ2112" s="139"/>
      <c r="AK2112" s="139"/>
      <c r="AL2112" s="139"/>
      <c r="AM2112" s="139"/>
      <c r="AN2112" s="139"/>
      <c r="AO2112" s="139"/>
      <c r="AP2112" s="139"/>
      <c r="AQ2112" s="139"/>
      <c r="AR2112" s="139"/>
      <c r="AS2112" s="139"/>
      <c r="AT2112" s="139"/>
      <c r="AU2112" s="139"/>
      <c r="AV2112" s="139"/>
      <c r="AW2112" s="139"/>
      <c r="AX2112" s="139"/>
      <c r="AY2112" s="139"/>
      <c r="AZ2112" s="139"/>
      <c r="BA2112" s="139"/>
      <c r="BB2112" s="139"/>
      <c r="BC2112" s="139"/>
      <c r="BD2112" s="139"/>
      <c r="BE2112" s="139"/>
      <c r="BF2112" s="139"/>
      <c r="BG2112" s="139"/>
      <c r="BH2112" s="139"/>
    </row>
    <row r="2113" spans="1:27" ht="20.100000000000001" customHeight="1">
      <c r="A2113" s="11"/>
      <c r="B2113" s="1360"/>
      <c r="C2113" s="6275"/>
      <c r="D2113" s="5762" t="s">
        <v>1688</v>
      </c>
      <c r="E2113" s="5763"/>
      <c r="F2113" s="5766" t="s">
        <v>557</v>
      </c>
      <c r="G2113" s="6281"/>
      <c r="H2113" s="6275"/>
      <c r="I2113" s="5770" t="s">
        <v>1689</v>
      </c>
      <c r="J2113" s="5770"/>
      <c r="K2113" s="5766" t="s">
        <v>559</v>
      </c>
      <c r="L2113" s="5653" t="str">
        <f>IF(COUNTBLANK(L2114:L2119)&gt;0,"미취합법인有",SUM(L2114:L2119))</f>
        <v>미취합법인有</v>
      </c>
      <c r="M2113" s="5657"/>
      <c r="N2113" s="5654" t="str">
        <f>IF(COUNTBLANK(N2114:N2119)&gt;0,"미취합법인有",SUM(N2114:N2119))</f>
        <v>미취합법인有</v>
      </c>
      <c r="O2113" s="5663"/>
      <c r="P2113" s="5781" t="str">
        <f>IF(COUNTBLANK(P2114:P2119)&gt;0,"미취합법인有",SUM(P2114:P2119))</f>
        <v>미취합법인有</v>
      </c>
      <c r="Q2113" s="396"/>
      <c r="R2113" s="498" t="s">
        <v>1690</v>
      </c>
      <c r="S2113" s="367" t="s">
        <v>1691</v>
      </c>
      <c r="T2113" s="162" t="s">
        <v>1649</v>
      </c>
      <c r="U2113" s="547"/>
      <c r="V2113" s="547"/>
      <c r="W2113" s="162"/>
      <c r="X2113" s="265"/>
      <c r="Y2113" s="265" t="s">
        <v>1692</v>
      </c>
      <c r="Z2113" s="982"/>
    </row>
    <row r="2114" spans="1:27" ht="20.100000000000001" customHeight="1">
      <c r="A2114" s="11"/>
      <c r="B2114" s="1360"/>
      <c r="C2114" s="6276"/>
      <c r="D2114" s="9598" t="s">
        <v>134</v>
      </c>
      <c r="E2114" s="9600"/>
      <c r="F2114" s="285" t="s">
        <v>1476</v>
      </c>
      <c r="G2114" s="735"/>
      <c r="H2114" s="6276"/>
      <c r="I2114" s="9579" t="s">
        <v>135</v>
      </c>
      <c r="J2114" s="9581"/>
      <c r="K2114" s="285" t="s">
        <v>559</v>
      </c>
      <c r="L2114" s="5594">
        <v>0</v>
      </c>
      <c r="M2114" s="5658"/>
      <c r="N2114" s="5601">
        <v>0</v>
      </c>
      <c r="O2114" s="5666"/>
      <c r="P2114" s="5625">
        <v>0</v>
      </c>
      <c r="Q2114" s="5601"/>
      <c r="R2114" s="498"/>
      <c r="S2114" s="367"/>
      <c r="T2114" s="162"/>
      <c r="U2114" s="547"/>
      <c r="V2114" s="547"/>
      <c r="W2114" s="162"/>
      <c r="X2114" s="265"/>
      <c r="Y2114" s="265"/>
      <c r="Z2114" s="982"/>
    </row>
    <row r="2115" spans="1:27" ht="20.100000000000001" customHeight="1">
      <c r="A2115" s="11"/>
      <c r="B2115" s="1360"/>
      <c r="C2115" s="6275"/>
      <c r="D2115" s="9598" t="s">
        <v>137</v>
      </c>
      <c r="E2115" s="9600"/>
      <c r="F2115" s="285" t="s">
        <v>1476</v>
      </c>
      <c r="G2115" s="735"/>
      <c r="H2115" s="6275"/>
      <c r="I2115" s="9579" t="s">
        <v>138</v>
      </c>
      <c r="J2115" s="9581"/>
      <c r="K2115" s="285" t="s">
        <v>559</v>
      </c>
      <c r="L2115" s="5594"/>
      <c r="M2115" s="5658"/>
      <c r="N2115" s="5601"/>
      <c r="O2115" s="5666"/>
      <c r="P2115" s="5625"/>
      <c r="Q2115" s="5601"/>
      <c r="R2115" s="498"/>
      <c r="S2115" s="367"/>
      <c r="T2115" s="162"/>
      <c r="U2115" s="547"/>
      <c r="V2115" s="547"/>
      <c r="W2115" s="162"/>
      <c r="X2115" s="265"/>
      <c r="Y2115" s="265"/>
      <c r="Z2115" s="982"/>
    </row>
    <row r="2116" spans="1:27" ht="20.100000000000001" customHeight="1">
      <c r="A2116" s="11"/>
      <c r="B2116" s="1360"/>
      <c r="C2116" s="6276"/>
      <c r="D2116" s="9598" t="s">
        <v>140</v>
      </c>
      <c r="E2116" s="9600"/>
      <c r="F2116" s="285" t="s">
        <v>1476</v>
      </c>
      <c r="G2116" s="735"/>
      <c r="H2116" s="6276"/>
      <c r="I2116" s="9582" t="s">
        <v>141</v>
      </c>
      <c r="J2116" s="9583"/>
      <c r="K2116" s="285" t="s">
        <v>559</v>
      </c>
      <c r="L2116" s="5594">
        <v>0</v>
      </c>
      <c r="M2116" s="5658"/>
      <c r="N2116" s="5601">
        <v>0</v>
      </c>
      <c r="O2116" s="5666"/>
      <c r="P2116" s="5625">
        <v>0</v>
      </c>
      <c r="Q2116" s="5601"/>
      <c r="R2116" s="498"/>
      <c r="S2116" s="367"/>
      <c r="T2116" s="162"/>
      <c r="U2116" s="547"/>
      <c r="V2116" s="547"/>
      <c r="W2116" s="162"/>
      <c r="X2116" s="265"/>
      <c r="Y2116" s="265"/>
      <c r="Z2116" s="982"/>
    </row>
    <row r="2117" spans="1:27" ht="20.100000000000001" customHeight="1">
      <c r="A2117" s="11"/>
      <c r="B2117" s="1360"/>
      <c r="C2117" s="6275"/>
      <c r="D2117" s="9598" t="s">
        <v>143</v>
      </c>
      <c r="E2117" s="9600"/>
      <c r="F2117" s="285" t="s">
        <v>1476</v>
      </c>
      <c r="G2117" s="735"/>
      <c r="H2117" s="6275"/>
      <c r="I2117" s="9582" t="s">
        <v>144</v>
      </c>
      <c r="J2117" s="9583"/>
      <c r="K2117" s="285" t="s">
        <v>559</v>
      </c>
      <c r="L2117" s="5594"/>
      <c r="M2117" s="5658"/>
      <c r="N2117" s="5601"/>
      <c r="O2117" s="5666"/>
      <c r="P2117" s="5625"/>
      <c r="Q2117" s="5601"/>
      <c r="R2117" s="2468"/>
      <c r="S2117" s="276"/>
      <c r="T2117" s="162"/>
      <c r="U2117" s="547"/>
      <c r="V2117" s="547"/>
      <c r="W2117" s="162"/>
      <c r="X2117" s="265"/>
      <c r="Y2117" s="265"/>
      <c r="Z2117" s="982"/>
    </row>
    <row r="2118" spans="1:27" ht="20.100000000000001" customHeight="1">
      <c r="A2118" s="11"/>
      <c r="B2118" s="1360"/>
      <c r="C2118" s="6276"/>
      <c r="D2118" s="9598" t="s">
        <v>631</v>
      </c>
      <c r="E2118" s="9600"/>
      <c r="F2118" s="285" t="s">
        <v>1476</v>
      </c>
      <c r="G2118" s="735"/>
      <c r="H2118" s="6276"/>
      <c r="I2118" s="9582" t="s">
        <v>147</v>
      </c>
      <c r="J2118" s="9583"/>
      <c r="K2118" s="285" t="s">
        <v>559</v>
      </c>
      <c r="L2118" s="5594"/>
      <c r="M2118" s="5658"/>
      <c r="N2118" s="5601"/>
      <c r="O2118" s="5666"/>
      <c r="P2118" s="5625"/>
      <c r="Q2118" s="5601"/>
      <c r="R2118" s="2468"/>
      <c r="S2118" s="276"/>
      <c r="T2118" s="162"/>
      <c r="U2118" s="547"/>
      <c r="V2118" s="547"/>
      <c r="W2118" s="162"/>
      <c r="X2118" s="265"/>
      <c r="Y2118" s="265"/>
      <c r="Z2118" s="982"/>
    </row>
    <row r="2119" spans="1:27" ht="20.100000000000001" customHeight="1">
      <c r="A2119" s="11"/>
      <c r="B2119" s="1360"/>
      <c r="C2119" s="6277"/>
      <c r="D2119" s="9598" t="s">
        <v>633</v>
      </c>
      <c r="E2119" s="9600"/>
      <c r="F2119" s="285" t="s">
        <v>1476</v>
      </c>
      <c r="G2119" s="735"/>
      <c r="H2119" s="6277"/>
      <c r="I2119" s="9582" t="s">
        <v>150</v>
      </c>
      <c r="J2119" s="9583"/>
      <c r="K2119" s="285" t="s">
        <v>559</v>
      </c>
      <c r="L2119" s="5594"/>
      <c r="M2119" s="5658"/>
      <c r="N2119" s="5601"/>
      <c r="O2119" s="5666"/>
      <c r="P2119" s="5625"/>
      <c r="Q2119" s="5601"/>
      <c r="R2119" s="2468"/>
      <c r="S2119" s="276"/>
      <c r="T2119" s="162"/>
      <c r="U2119" s="547"/>
      <c r="V2119" s="547"/>
      <c r="W2119" s="162"/>
      <c r="X2119" s="265"/>
      <c r="Y2119" s="265"/>
      <c r="Z2119" s="982"/>
    </row>
    <row r="2120" spans="1:27" ht="20.100000000000001" customHeight="1">
      <c r="A2120" s="11"/>
      <c r="B2120" s="1360"/>
      <c r="C2120" s="1373"/>
      <c r="D2120" s="5762" t="s">
        <v>1693</v>
      </c>
      <c r="E2120" s="5763"/>
      <c r="F2120" s="5766" t="s">
        <v>1476</v>
      </c>
      <c r="G2120" s="6281"/>
      <c r="H2120" s="6277"/>
      <c r="I2120" s="5770" t="s">
        <v>1694</v>
      </c>
      <c r="J2120" s="5770"/>
      <c r="K2120" s="5766" t="s">
        <v>559</v>
      </c>
      <c r="L2120" s="5653" t="str">
        <f>IF(COUNTBLANK(L2121:L2126)&gt;0,"미취합법인有",SUM(L2121:L2126))</f>
        <v>미취합법인有</v>
      </c>
      <c r="M2120" s="5657"/>
      <c r="N2120" s="5654" t="str">
        <f>IF(COUNTBLANK(N2121:N2126)&gt;0,"미취합법인有",SUM(N2121:N2126))</f>
        <v>미취합법인有</v>
      </c>
      <c r="O2120" s="5663"/>
      <c r="P2120" s="5781" t="str">
        <f>IF(COUNTBLANK(P2121:P2126)&gt;0,"미취합법인有",SUM(P2121:P2126))</f>
        <v>미취합법인有</v>
      </c>
      <c r="Q2120" s="396"/>
      <c r="R2120" s="2468" t="s">
        <v>1695</v>
      </c>
      <c r="S2120" s="276" t="s">
        <v>1696</v>
      </c>
      <c r="T2120" s="162" t="s">
        <v>1649</v>
      </c>
      <c r="U2120" s="547"/>
      <c r="V2120" s="547"/>
      <c r="W2120" s="162"/>
      <c r="X2120" s="265"/>
      <c r="Y2120" s="265" t="s">
        <v>1697</v>
      </c>
      <c r="Z2120" s="982"/>
    </row>
    <row r="2121" spans="1:27" ht="19.5" customHeight="1">
      <c r="A2121" s="11"/>
      <c r="B2121" s="1360"/>
      <c r="C2121" s="1373"/>
      <c r="D2121" s="9598" t="s">
        <v>134</v>
      </c>
      <c r="E2121" s="9600"/>
      <c r="F2121" s="5623" t="s">
        <v>1476</v>
      </c>
      <c r="G2121" s="735"/>
      <c r="H2121" s="6277"/>
      <c r="I2121" s="9579" t="s">
        <v>135</v>
      </c>
      <c r="J2121" s="9581"/>
      <c r="K2121" s="285" t="s">
        <v>559</v>
      </c>
      <c r="L2121" s="5594">
        <v>0</v>
      </c>
      <c r="M2121" s="5658"/>
      <c r="N2121" s="5601">
        <v>0</v>
      </c>
      <c r="O2121" s="5666"/>
      <c r="P2121" s="5625">
        <v>0</v>
      </c>
      <c r="Q2121" s="5601"/>
      <c r="R2121" s="2468"/>
      <c r="S2121" s="276"/>
      <c r="T2121" s="162"/>
      <c r="U2121" s="547"/>
      <c r="V2121" s="547"/>
      <c r="W2121" s="162"/>
      <c r="X2121" s="265"/>
      <c r="Y2121" s="265"/>
      <c r="Z2121" s="982"/>
    </row>
    <row r="2122" spans="1:27" ht="20.100000000000001" customHeight="1">
      <c r="A2122" s="11"/>
      <c r="B2122" s="1360"/>
      <c r="C2122" s="1373"/>
      <c r="D2122" s="9598" t="s">
        <v>137</v>
      </c>
      <c r="E2122" s="9600"/>
      <c r="F2122" s="5623" t="s">
        <v>1476</v>
      </c>
      <c r="G2122" s="735"/>
      <c r="H2122" s="6277"/>
      <c r="I2122" s="9579" t="s">
        <v>138</v>
      </c>
      <c r="J2122" s="9581"/>
      <c r="K2122" s="285" t="s">
        <v>559</v>
      </c>
      <c r="L2122" s="5594"/>
      <c r="M2122" s="5658"/>
      <c r="N2122" s="5601"/>
      <c r="O2122" s="5666"/>
      <c r="P2122" s="5625"/>
      <c r="Q2122" s="5601"/>
      <c r="R2122" s="2468"/>
      <c r="S2122" s="276"/>
      <c r="T2122" s="162"/>
      <c r="U2122" s="547"/>
      <c r="V2122" s="547"/>
      <c r="W2122" s="162"/>
      <c r="X2122" s="265"/>
      <c r="Y2122" s="265"/>
      <c r="Z2122" s="982"/>
    </row>
    <row r="2123" spans="1:27" ht="20.100000000000001" customHeight="1">
      <c r="A2123" s="11"/>
      <c r="B2123" s="1360"/>
      <c r="C2123" s="1373"/>
      <c r="D2123" s="9598" t="s">
        <v>140</v>
      </c>
      <c r="E2123" s="9600"/>
      <c r="F2123" s="5623" t="s">
        <v>1476</v>
      </c>
      <c r="G2123" s="735"/>
      <c r="H2123" s="6277"/>
      <c r="I2123" s="9582" t="s">
        <v>141</v>
      </c>
      <c r="J2123" s="9583"/>
      <c r="K2123" s="285" t="s">
        <v>559</v>
      </c>
      <c r="L2123" s="5594">
        <v>0</v>
      </c>
      <c r="M2123" s="5658"/>
      <c r="N2123" s="5601">
        <v>0</v>
      </c>
      <c r="O2123" s="5666"/>
      <c r="P2123" s="5625">
        <v>0</v>
      </c>
      <c r="Q2123" s="5601"/>
      <c r="R2123" s="2468"/>
      <c r="S2123" s="276"/>
      <c r="T2123" s="162"/>
      <c r="U2123" s="547"/>
      <c r="V2123" s="547"/>
      <c r="W2123" s="162"/>
      <c r="X2123" s="265"/>
      <c r="Y2123" s="265"/>
      <c r="Z2123" s="982"/>
    </row>
    <row r="2124" spans="1:27" ht="20.100000000000001" customHeight="1">
      <c r="A2124" s="11"/>
      <c r="B2124" s="1360"/>
      <c r="C2124" s="1373"/>
      <c r="D2124" s="9598" t="s">
        <v>143</v>
      </c>
      <c r="E2124" s="9600"/>
      <c r="F2124" s="5623" t="s">
        <v>1476</v>
      </c>
      <c r="G2124" s="735"/>
      <c r="H2124" s="6277"/>
      <c r="I2124" s="9582" t="s">
        <v>144</v>
      </c>
      <c r="J2124" s="9583"/>
      <c r="K2124" s="285" t="s">
        <v>559</v>
      </c>
      <c r="L2124" s="5594"/>
      <c r="M2124" s="5658"/>
      <c r="N2124" s="5601"/>
      <c r="O2124" s="5666"/>
      <c r="P2124" s="5625"/>
      <c r="Q2124" s="5601"/>
      <c r="R2124" s="2468"/>
      <c r="S2124" s="276"/>
      <c r="T2124" s="162"/>
      <c r="U2124" s="547"/>
      <c r="V2124" s="547"/>
      <c r="W2124" s="162"/>
      <c r="X2124" s="265"/>
      <c r="Y2124" s="265"/>
      <c r="Z2124" s="982"/>
    </row>
    <row r="2125" spans="1:27" ht="20.100000000000001" customHeight="1">
      <c r="A2125" s="11"/>
      <c r="B2125" s="1360"/>
      <c r="C2125" s="1373"/>
      <c r="D2125" s="9598" t="s">
        <v>631</v>
      </c>
      <c r="E2125" s="9600"/>
      <c r="F2125" s="5623" t="s">
        <v>1476</v>
      </c>
      <c r="G2125" s="358"/>
      <c r="H2125" s="6277"/>
      <c r="I2125" s="9582" t="s">
        <v>147</v>
      </c>
      <c r="J2125" s="9583"/>
      <c r="K2125" s="285" t="s">
        <v>559</v>
      </c>
      <c r="L2125" s="5594"/>
      <c r="M2125" s="5658"/>
      <c r="N2125" s="5601"/>
      <c r="O2125" s="5666"/>
      <c r="P2125" s="5625"/>
      <c r="Q2125" s="5601"/>
      <c r="R2125" s="2468"/>
      <c r="S2125" s="276"/>
      <c r="T2125" s="162"/>
      <c r="U2125" s="547"/>
      <c r="V2125" s="547"/>
      <c r="W2125" s="162"/>
      <c r="X2125" s="265"/>
      <c r="Y2125" s="265"/>
      <c r="Z2125" s="982"/>
    </row>
    <row r="2126" spans="1:27" ht="20.100000000000001" customHeight="1">
      <c r="A2126" s="11"/>
      <c r="B2126" s="1360"/>
      <c r="C2126" s="1373"/>
      <c r="D2126" s="9598" t="s">
        <v>633</v>
      </c>
      <c r="E2126" s="9600"/>
      <c r="F2126" s="5623" t="s">
        <v>1476</v>
      </c>
      <c r="G2126" s="358"/>
      <c r="H2126" s="6277"/>
      <c r="I2126" s="9582" t="s">
        <v>150</v>
      </c>
      <c r="J2126" s="9583"/>
      <c r="K2126" s="285" t="s">
        <v>559</v>
      </c>
      <c r="L2126" s="5594"/>
      <c r="M2126" s="5658"/>
      <c r="N2126" s="5601"/>
      <c r="O2126" s="5666"/>
      <c r="P2126" s="5625"/>
      <c r="Q2126" s="5601"/>
      <c r="R2126" s="2468"/>
      <c r="S2126" s="276"/>
      <c r="T2126" s="162"/>
      <c r="U2126" s="547"/>
      <c r="V2126" s="547"/>
      <c r="W2126" s="162"/>
      <c r="X2126" s="265"/>
      <c r="Y2126" s="265"/>
      <c r="Z2126" s="982"/>
    </row>
    <row r="2127" spans="1:27" s="139" customFormat="1" ht="19.149999999999999" customHeight="1">
      <c r="A2127" s="11"/>
      <c r="B2127" s="1360"/>
      <c r="C2127" s="9745" t="s">
        <v>1698</v>
      </c>
      <c r="D2127" s="9746"/>
      <c r="E2127" s="9746"/>
      <c r="F2127" s="1560"/>
      <c r="G2127" s="739"/>
      <c r="H2127" s="9742" t="s">
        <v>1699</v>
      </c>
      <c r="I2127" s="9743"/>
      <c r="J2127" s="9744"/>
      <c r="K2127" s="2371"/>
      <c r="L2127" s="5635"/>
      <c r="M2127" s="5660"/>
      <c r="N2127" s="5636"/>
      <c r="O2127" s="5637"/>
      <c r="P2127" s="5637"/>
      <c r="Q2127" s="5637"/>
      <c r="R2127" s="276"/>
      <c r="S2127" s="276"/>
      <c r="T2127" s="162" t="s">
        <v>1415</v>
      </c>
      <c r="U2127" s="547"/>
      <c r="V2127" s="547"/>
      <c r="W2127" s="162"/>
      <c r="X2127" s="265"/>
      <c r="Y2127" s="265"/>
      <c r="Z2127" s="982"/>
      <c r="AA2127" s="6301"/>
    </row>
    <row r="2128" spans="1:27" ht="20.100000000000001" customHeight="1">
      <c r="A2128" s="11"/>
      <c r="B2128" s="1360"/>
      <c r="C2128" s="6258"/>
      <c r="D2128" s="5762" t="s">
        <v>1700</v>
      </c>
      <c r="E2128" s="5763"/>
      <c r="F2128" s="5766" t="s">
        <v>1476</v>
      </c>
      <c r="G2128" s="6281"/>
      <c r="H2128" s="6275"/>
      <c r="I2128" s="5770" t="s">
        <v>1701</v>
      </c>
      <c r="J2128" s="5770"/>
      <c r="K2128" s="5766" t="s">
        <v>559</v>
      </c>
      <c r="L2128" s="5653" t="str">
        <f>IF(COUNTBLANK(L2129:L2134)&gt;0,"미취합법인有",SUM(L2129:L2134))</f>
        <v>미취합법인有</v>
      </c>
      <c r="M2128" s="5657"/>
      <c r="N2128" s="5654" t="str">
        <f>IF(COUNTBLANK(N2129:N2134)&gt;0,"미취합법인有",SUM(N2129:N2134))</f>
        <v>미취합법인有</v>
      </c>
      <c r="O2128" s="5663"/>
      <c r="P2128" s="5781" t="str">
        <f>IF(COUNTBLANK(P2129:P2134)&gt;0,"미취합법인有",SUM(P2129:P2134))</f>
        <v>미취합법인有</v>
      </c>
      <c r="Q2128" s="396"/>
      <c r="R2128" s="2468" t="s">
        <v>1702</v>
      </c>
      <c r="S2128" s="276" t="s">
        <v>1703</v>
      </c>
      <c r="T2128" s="162" t="s">
        <v>1415</v>
      </c>
      <c r="U2128" s="547"/>
      <c r="V2128" s="547"/>
      <c r="W2128" s="162"/>
      <c r="X2128" s="265" t="s">
        <v>1704</v>
      </c>
      <c r="Y2128" s="265"/>
      <c r="Z2128" s="982"/>
    </row>
    <row r="2129" spans="2:60" s="11" customFormat="1" ht="20.100000000000001" customHeight="1">
      <c r="B2129" s="1360"/>
      <c r="C2129" s="6274"/>
      <c r="D2129" s="9598" t="s">
        <v>134</v>
      </c>
      <c r="E2129" s="9600"/>
      <c r="F2129" s="285" t="s">
        <v>1476</v>
      </c>
      <c r="G2129" s="358"/>
      <c r="H2129" s="6276"/>
      <c r="I2129" s="9579" t="s">
        <v>135</v>
      </c>
      <c r="J2129" s="9581"/>
      <c r="K2129" s="285" t="s">
        <v>559</v>
      </c>
      <c r="L2129" s="5594">
        <v>17</v>
      </c>
      <c r="M2129" s="5658"/>
      <c r="N2129" s="5601">
        <v>20</v>
      </c>
      <c r="O2129" s="5666"/>
      <c r="P2129" s="5601">
        <v>21</v>
      </c>
      <c r="Q2129" s="5601"/>
      <c r="R2129" s="2468"/>
      <c r="S2129" s="276"/>
      <c r="T2129" s="162"/>
      <c r="U2129" s="547"/>
      <c r="V2129" s="547"/>
      <c r="W2129" s="162"/>
      <c r="X2129" s="265"/>
      <c r="Y2129" s="265"/>
      <c r="Z2129" s="982"/>
      <c r="AA2129" s="6301"/>
      <c r="AB2129" s="139"/>
      <c r="AC2129" s="139"/>
      <c r="AD2129" s="139"/>
      <c r="AE2129" s="139"/>
      <c r="AF2129" s="139"/>
      <c r="AG2129" s="139"/>
      <c r="AH2129" s="139"/>
      <c r="AI2129" s="139"/>
      <c r="AJ2129" s="139"/>
      <c r="AK2129" s="139"/>
      <c r="AL2129" s="139"/>
      <c r="AM2129" s="139"/>
      <c r="AN2129" s="139"/>
      <c r="AO2129" s="139"/>
      <c r="AP2129" s="139"/>
      <c r="AQ2129" s="139"/>
      <c r="AR2129" s="139"/>
      <c r="AS2129" s="139"/>
      <c r="AT2129" s="139"/>
      <c r="AU2129" s="139"/>
      <c r="AV2129" s="139"/>
      <c r="AW2129" s="139"/>
      <c r="AX2129" s="139"/>
      <c r="AY2129" s="139"/>
      <c r="AZ2129" s="139"/>
      <c r="BA2129" s="139"/>
      <c r="BB2129" s="139"/>
      <c r="BC2129" s="139"/>
      <c r="BD2129" s="139"/>
      <c r="BE2129" s="139"/>
      <c r="BF2129" s="139"/>
      <c r="BG2129" s="139"/>
      <c r="BH2129" s="139"/>
    </row>
    <row r="2130" spans="2:60" s="11" customFormat="1" ht="20.100000000000001" customHeight="1">
      <c r="B2130" s="1360"/>
      <c r="C2130" s="6258"/>
      <c r="D2130" s="9598" t="s">
        <v>137</v>
      </c>
      <c r="E2130" s="9600"/>
      <c r="F2130" s="285" t="s">
        <v>1476</v>
      </c>
      <c r="G2130" s="358"/>
      <c r="H2130" s="6275"/>
      <c r="I2130" s="9579" t="s">
        <v>138</v>
      </c>
      <c r="J2130" s="9581"/>
      <c r="K2130" s="285" t="s">
        <v>559</v>
      </c>
      <c r="L2130" s="5594">
        <v>0</v>
      </c>
      <c r="M2130" s="5658"/>
      <c r="N2130" s="5601">
        <v>0</v>
      </c>
      <c r="O2130" s="5666"/>
      <c r="P2130" s="5625">
        <v>0</v>
      </c>
      <c r="Q2130" s="5601"/>
      <c r="R2130" s="2468"/>
      <c r="S2130" s="276"/>
      <c r="T2130" s="162"/>
      <c r="U2130" s="547"/>
      <c r="V2130" s="547"/>
      <c r="W2130" s="162"/>
      <c r="X2130" s="265"/>
      <c r="Y2130" s="265"/>
      <c r="Z2130" s="982"/>
      <c r="AA2130" s="6301"/>
      <c r="AB2130" s="139"/>
      <c r="AC2130" s="139"/>
      <c r="AD2130" s="139"/>
      <c r="AE2130" s="139"/>
      <c r="AF2130" s="139"/>
      <c r="AG2130" s="139"/>
      <c r="AH2130" s="139"/>
      <c r="AI2130" s="139"/>
      <c r="AJ2130" s="139"/>
      <c r="AK2130" s="139"/>
      <c r="AL2130" s="139"/>
      <c r="AM2130" s="139"/>
      <c r="AN2130" s="139"/>
      <c r="AO2130" s="139"/>
      <c r="AP2130" s="139"/>
      <c r="AQ2130" s="139"/>
      <c r="AR2130" s="139"/>
      <c r="AS2130" s="139"/>
      <c r="AT2130" s="139"/>
      <c r="AU2130" s="139"/>
      <c r="AV2130" s="139"/>
      <c r="AW2130" s="139"/>
      <c r="AX2130" s="139"/>
      <c r="AY2130" s="139"/>
      <c r="AZ2130" s="139"/>
      <c r="BA2130" s="139"/>
      <c r="BB2130" s="139"/>
      <c r="BC2130" s="139"/>
      <c r="BD2130" s="139"/>
      <c r="BE2130" s="139"/>
      <c r="BF2130" s="139"/>
      <c r="BG2130" s="139"/>
      <c r="BH2130" s="139"/>
    </row>
    <row r="2131" spans="2:60" s="11" customFormat="1" ht="20.100000000000001" customHeight="1">
      <c r="B2131" s="1360"/>
      <c r="C2131" s="6274"/>
      <c r="D2131" s="9598" t="s">
        <v>140</v>
      </c>
      <c r="E2131" s="9600"/>
      <c r="F2131" s="285" t="s">
        <v>1476</v>
      </c>
      <c r="G2131" s="358"/>
      <c r="H2131" s="6276"/>
      <c r="I2131" s="9582" t="s">
        <v>141</v>
      </c>
      <c r="J2131" s="9583"/>
      <c r="K2131" s="285" t="s">
        <v>559</v>
      </c>
      <c r="L2131" s="5594"/>
      <c r="M2131" s="5658" t="s">
        <v>1705</v>
      </c>
      <c r="N2131" s="5601"/>
      <c r="O2131" s="5666" t="s">
        <v>1705</v>
      </c>
      <c r="P2131" s="5625"/>
      <c r="Q2131" s="5601" t="s">
        <v>1705</v>
      </c>
      <c r="R2131" s="498"/>
      <c r="S2131" s="367"/>
      <c r="T2131" s="162"/>
      <c r="U2131" s="547"/>
      <c r="V2131" s="547"/>
      <c r="W2131" s="162"/>
      <c r="X2131" s="265"/>
      <c r="Y2131" s="265"/>
      <c r="Z2131" s="982"/>
      <c r="AA2131" s="6301"/>
      <c r="AB2131" s="139"/>
      <c r="AC2131" s="139"/>
      <c r="AD2131" s="139"/>
      <c r="AE2131" s="139"/>
      <c r="AF2131" s="139"/>
      <c r="AG2131" s="139"/>
      <c r="AH2131" s="139"/>
      <c r="AI2131" s="139"/>
      <c r="AJ2131" s="139"/>
      <c r="AK2131" s="139"/>
      <c r="AL2131" s="139"/>
      <c r="AM2131" s="139"/>
      <c r="AN2131" s="139"/>
      <c r="AO2131" s="139"/>
      <c r="AP2131" s="139"/>
      <c r="AQ2131" s="139"/>
      <c r="AR2131" s="139"/>
      <c r="AS2131" s="139"/>
      <c r="AT2131" s="139"/>
      <c r="AU2131" s="139"/>
      <c r="AV2131" s="139"/>
      <c r="AW2131" s="139"/>
      <c r="AX2131" s="139"/>
      <c r="AY2131" s="139"/>
      <c r="AZ2131" s="139"/>
      <c r="BA2131" s="139"/>
      <c r="BB2131" s="139"/>
      <c r="BC2131" s="139"/>
      <c r="BD2131" s="139"/>
      <c r="BE2131" s="139"/>
      <c r="BF2131" s="139"/>
      <c r="BG2131" s="139"/>
      <c r="BH2131" s="139"/>
    </row>
    <row r="2132" spans="2:60" s="11" customFormat="1" ht="20.100000000000001" customHeight="1">
      <c r="B2132" s="1360"/>
      <c r="C2132" s="6258"/>
      <c r="D2132" s="9598" t="s">
        <v>143</v>
      </c>
      <c r="E2132" s="9600"/>
      <c r="F2132" s="285" t="s">
        <v>1476</v>
      </c>
      <c r="G2132" s="358"/>
      <c r="H2132" s="6275"/>
      <c r="I2132" s="9582" t="s">
        <v>144</v>
      </c>
      <c r="J2132" s="9583"/>
      <c r="K2132" s="285" t="s">
        <v>559</v>
      </c>
      <c r="L2132" s="5594"/>
      <c r="M2132" s="5658"/>
      <c r="N2132" s="5601"/>
      <c r="O2132" s="5666"/>
      <c r="P2132" s="5625"/>
      <c r="Q2132" s="5601"/>
      <c r="R2132" s="498"/>
      <c r="S2132" s="367"/>
      <c r="T2132" s="162"/>
      <c r="U2132" s="547"/>
      <c r="V2132" s="547"/>
      <c r="W2132" s="162"/>
      <c r="X2132" s="265"/>
      <c r="Y2132" s="265"/>
      <c r="Z2132" s="982"/>
      <c r="AA2132" s="6301"/>
      <c r="AB2132" s="139"/>
      <c r="AC2132" s="139"/>
      <c r="AD2132" s="139"/>
      <c r="AE2132" s="139"/>
      <c r="AF2132" s="139"/>
      <c r="AG2132" s="139"/>
      <c r="AH2132" s="139"/>
      <c r="AI2132" s="139"/>
      <c r="AJ2132" s="139"/>
      <c r="AK2132" s="139"/>
      <c r="AL2132" s="139"/>
      <c r="AM2132" s="139"/>
      <c r="AN2132" s="139"/>
      <c r="AO2132" s="139"/>
      <c r="AP2132" s="139"/>
      <c r="AQ2132" s="139"/>
      <c r="AR2132" s="139"/>
      <c r="AS2132" s="139"/>
      <c r="AT2132" s="139"/>
      <c r="AU2132" s="139"/>
      <c r="AV2132" s="139"/>
      <c r="AW2132" s="139"/>
      <c r="AX2132" s="139"/>
      <c r="AY2132" s="139"/>
      <c r="AZ2132" s="139"/>
      <c r="BA2132" s="139"/>
      <c r="BB2132" s="139"/>
      <c r="BC2132" s="139"/>
      <c r="BD2132" s="139"/>
      <c r="BE2132" s="139"/>
      <c r="BF2132" s="139"/>
      <c r="BG2132" s="139"/>
      <c r="BH2132" s="139"/>
    </row>
    <row r="2133" spans="2:60" s="11" customFormat="1" ht="20.100000000000001" customHeight="1">
      <c r="B2133" s="1360"/>
      <c r="C2133" s="6274"/>
      <c r="D2133" s="9598" t="s">
        <v>631</v>
      </c>
      <c r="E2133" s="9600"/>
      <c r="F2133" s="285" t="s">
        <v>1476</v>
      </c>
      <c r="G2133" s="735"/>
      <c r="H2133" s="6276"/>
      <c r="I2133" s="9582" t="s">
        <v>147</v>
      </c>
      <c r="J2133" s="9583"/>
      <c r="K2133" s="285" t="s">
        <v>559</v>
      </c>
      <c r="L2133" s="5594"/>
      <c r="M2133" s="5658"/>
      <c r="N2133" s="5601"/>
      <c r="O2133" s="5666"/>
      <c r="P2133" s="5625"/>
      <c r="Q2133" s="5601"/>
      <c r="R2133" s="498"/>
      <c r="S2133" s="367"/>
      <c r="T2133" s="162"/>
      <c r="U2133" s="547"/>
      <c r="V2133" s="547"/>
      <c r="W2133" s="162"/>
      <c r="X2133" s="265"/>
      <c r="Y2133" s="265"/>
      <c r="Z2133" s="982"/>
      <c r="AA2133" s="6301"/>
      <c r="AB2133" s="139"/>
      <c r="AC2133" s="139"/>
      <c r="AD2133" s="139"/>
      <c r="AE2133" s="139"/>
      <c r="AF2133" s="139"/>
      <c r="AG2133" s="139"/>
      <c r="AH2133" s="139"/>
      <c r="AI2133" s="139"/>
      <c r="AJ2133" s="139"/>
      <c r="AK2133" s="139"/>
      <c r="AL2133" s="139"/>
      <c r="AM2133" s="139"/>
      <c r="AN2133" s="139"/>
      <c r="AO2133" s="139"/>
      <c r="AP2133" s="139"/>
      <c r="AQ2133" s="139"/>
      <c r="AR2133" s="139"/>
      <c r="AS2133" s="139"/>
      <c r="AT2133" s="139"/>
      <c r="AU2133" s="139"/>
      <c r="AV2133" s="139"/>
      <c r="AW2133" s="139"/>
      <c r="AX2133" s="139"/>
      <c r="AY2133" s="139"/>
      <c r="AZ2133" s="139"/>
      <c r="BA2133" s="139"/>
      <c r="BB2133" s="139"/>
      <c r="BC2133" s="139"/>
      <c r="BD2133" s="139"/>
      <c r="BE2133" s="139"/>
      <c r="BF2133" s="139"/>
      <c r="BG2133" s="139"/>
      <c r="BH2133" s="139"/>
    </row>
    <row r="2134" spans="2:60" s="11" customFormat="1" ht="20.100000000000001" customHeight="1">
      <c r="B2134" s="1360"/>
      <c r="C2134" s="6258"/>
      <c r="D2134" s="9598" t="s">
        <v>633</v>
      </c>
      <c r="E2134" s="9600"/>
      <c r="F2134" s="285" t="s">
        <v>1476</v>
      </c>
      <c r="G2134" s="735"/>
      <c r="H2134" s="6275"/>
      <c r="I2134" s="9582" t="s">
        <v>150</v>
      </c>
      <c r="J2134" s="9583"/>
      <c r="K2134" s="285" t="s">
        <v>559</v>
      </c>
      <c r="L2134" s="5594"/>
      <c r="M2134" s="5658"/>
      <c r="N2134" s="5601"/>
      <c r="O2134" s="5666"/>
      <c r="P2134" s="5625"/>
      <c r="Q2134" s="5601"/>
      <c r="R2134" s="498"/>
      <c r="S2134" s="367"/>
      <c r="T2134" s="162"/>
      <c r="U2134" s="547"/>
      <c r="V2134" s="547"/>
      <c r="W2134" s="162"/>
      <c r="X2134" s="265"/>
      <c r="Y2134" s="265"/>
      <c r="Z2134" s="982"/>
      <c r="AA2134" s="6301"/>
      <c r="AB2134" s="139"/>
      <c r="AC2134" s="139"/>
      <c r="AD2134" s="139"/>
      <c r="AE2134" s="139"/>
      <c r="AF2134" s="139"/>
      <c r="AG2134" s="139"/>
      <c r="AH2134" s="139"/>
      <c r="AI2134" s="139"/>
      <c r="AJ2134" s="139"/>
      <c r="AK2134" s="139"/>
      <c r="AL2134" s="139"/>
      <c r="AM2134" s="139"/>
      <c r="AN2134" s="139"/>
      <c r="AO2134" s="139"/>
      <c r="AP2134" s="139"/>
      <c r="AQ2134" s="139"/>
      <c r="AR2134" s="139"/>
      <c r="AS2134" s="139"/>
      <c r="AT2134" s="139"/>
      <c r="AU2134" s="139"/>
      <c r="AV2134" s="139"/>
      <c r="AW2134" s="139"/>
      <c r="AX2134" s="139"/>
      <c r="AY2134" s="139"/>
      <c r="AZ2134" s="139"/>
      <c r="BA2134" s="139"/>
      <c r="BB2134" s="139"/>
      <c r="BC2134" s="139"/>
      <c r="BD2134" s="139"/>
      <c r="BE2134" s="139"/>
      <c r="BF2134" s="139"/>
      <c r="BG2134" s="139"/>
      <c r="BH2134" s="139"/>
    </row>
    <row r="2135" spans="2:60" s="11" customFormat="1" ht="20.100000000000001" customHeight="1">
      <c r="B2135" s="1360"/>
      <c r="C2135" s="6274"/>
      <c r="D2135" s="5762" t="s">
        <v>1706</v>
      </c>
      <c r="E2135" s="5763"/>
      <c r="F2135" s="5766" t="s">
        <v>1476</v>
      </c>
      <c r="G2135" s="6281"/>
      <c r="H2135" s="6276"/>
      <c r="I2135" s="5770" t="s">
        <v>1707</v>
      </c>
      <c r="J2135" s="5770"/>
      <c r="K2135" s="5766" t="s">
        <v>559</v>
      </c>
      <c r="L2135" s="5653" t="str">
        <f>IF(COUNTBLANK(L2136:L2141)&gt;0,"미취합법인有",SUM(L2136:L2141))</f>
        <v>미취합법인有</v>
      </c>
      <c r="M2135" s="5657"/>
      <c r="N2135" s="5654" t="str">
        <f>IF(COUNTBLANK(N2136:N2141)&gt;0,"미취합법인有",SUM(N2136:N2141))</f>
        <v>미취합법인有</v>
      </c>
      <c r="O2135" s="5663"/>
      <c r="P2135" s="5781" t="str">
        <f>IF(COUNTBLANK(P2136:P2141)&gt;0,"미취합법인有",SUM(P2136:P2141))</f>
        <v>미취합법인有</v>
      </c>
      <c r="Q2135" s="396"/>
      <c r="R2135" s="498" t="s">
        <v>1708</v>
      </c>
      <c r="S2135" s="367" t="s">
        <v>1709</v>
      </c>
      <c r="T2135" s="162" t="s">
        <v>1415</v>
      </c>
      <c r="U2135" s="547"/>
      <c r="V2135" s="547"/>
      <c r="W2135" s="162"/>
      <c r="X2135" s="265" t="s">
        <v>1710</v>
      </c>
      <c r="Y2135" s="265" t="s">
        <v>1711</v>
      </c>
      <c r="Z2135" s="982"/>
      <c r="AA2135" s="6301"/>
      <c r="AB2135" s="139"/>
      <c r="AC2135" s="139"/>
      <c r="AD2135" s="139"/>
      <c r="AE2135" s="139"/>
      <c r="AF2135" s="139"/>
      <c r="AG2135" s="139"/>
      <c r="AH2135" s="139"/>
      <c r="AI2135" s="139"/>
      <c r="AJ2135" s="139"/>
      <c r="AK2135" s="139"/>
      <c r="AL2135" s="139"/>
      <c r="AM2135" s="139"/>
      <c r="AN2135" s="139"/>
      <c r="AO2135" s="139"/>
      <c r="AP2135" s="139"/>
      <c r="AQ2135" s="139"/>
      <c r="AR2135" s="139"/>
      <c r="AS2135" s="139"/>
      <c r="AT2135" s="139"/>
      <c r="AU2135" s="139"/>
      <c r="AV2135" s="139"/>
      <c r="AW2135" s="139"/>
      <c r="AX2135" s="139"/>
      <c r="AY2135" s="139"/>
      <c r="AZ2135" s="139"/>
      <c r="BA2135" s="139"/>
      <c r="BB2135" s="139"/>
      <c r="BC2135" s="139"/>
      <c r="BD2135" s="139"/>
      <c r="BE2135" s="139"/>
      <c r="BF2135" s="139"/>
      <c r="BG2135" s="139"/>
      <c r="BH2135" s="139"/>
    </row>
    <row r="2136" spans="2:60" s="11" customFormat="1" ht="20.100000000000001" customHeight="1">
      <c r="B2136" s="1360"/>
      <c r="C2136" s="1384"/>
      <c r="D2136" s="9598" t="s">
        <v>134</v>
      </c>
      <c r="E2136" s="9600"/>
      <c r="F2136" s="285" t="s">
        <v>1476</v>
      </c>
      <c r="G2136" s="735"/>
      <c r="H2136" s="6277"/>
      <c r="I2136" s="9579" t="s">
        <v>135</v>
      </c>
      <c r="J2136" s="9581"/>
      <c r="K2136" s="285" t="s">
        <v>559</v>
      </c>
      <c r="L2136" s="5594">
        <v>13</v>
      </c>
      <c r="M2136" s="5658"/>
      <c r="N2136" s="5601">
        <v>13</v>
      </c>
      <c r="O2136" s="5666"/>
      <c r="P2136" s="5601">
        <v>10</v>
      </c>
      <c r="Q2136" s="5601"/>
      <c r="R2136" s="498"/>
      <c r="S2136" s="367"/>
      <c r="T2136" s="162"/>
      <c r="U2136" s="547"/>
      <c r="V2136" s="547"/>
      <c r="W2136" s="162"/>
      <c r="X2136" s="265"/>
      <c r="Y2136" s="265"/>
      <c r="Z2136" s="982"/>
      <c r="AA2136" s="6301"/>
      <c r="AB2136" s="139"/>
      <c r="AC2136" s="139"/>
      <c r="AD2136" s="139"/>
      <c r="AE2136" s="139"/>
      <c r="AF2136" s="139"/>
      <c r="AG2136" s="139"/>
      <c r="AH2136" s="139"/>
      <c r="AI2136" s="139"/>
      <c r="AJ2136" s="139"/>
      <c r="AK2136" s="139"/>
      <c r="AL2136" s="139"/>
      <c r="AM2136" s="139"/>
      <c r="AN2136" s="139"/>
      <c r="AO2136" s="139"/>
      <c r="AP2136" s="139"/>
      <c r="AQ2136" s="139"/>
      <c r="AR2136" s="139"/>
      <c r="AS2136" s="139"/>
      <c r="AT2136" s="139"/>
      <c r="AU2136" s="139"/>
      <c r="AV2136" s="139"/>
      <c r="AW2136" s="139"/>
      <c r="AX2136" s="139"/>
      <c r="AY2136" s="139"/>
      <c r="AZ2136" s="139"/>
      <c r="BA2136" s="139"/>
      <c r="BB2136" s="139"/>
      <c r="BC2136" s="139"/>
      <c r="BD2136" s="139"/>
      <c r="BE2136" s="139"/>
      <c r="BF2136" s="139"/>
      <c r="BG2136" s="139"/>
      <c r="BH2136" s="139"/>
    </row>
    <row r="2137" spans="2:60" s="11" customFormat="1" ht="20.100000000000001" customHeight="1">
      <c r="B2137" s="1360"/>
      <c r="C2137" s="1384"/>
      <c r="D2137" s="9598" t="s">
        <v>137</v>
      </c>
      <c r="E2137" s="9600"/>
      <c r="F2137" s="285" t="s">
        <v>1476</v>
      </c>
      <c r="G2137" s="735"/>
      <c r="H2137" s="6277"/>
      <c r="I2137" s="9579" t="s">
        <v>138</v>
      </c>
      <c r="J2137" s="9581"/>
      <c r="K2137" s="285" t="s">
        <v>559</v>
      </c>
      <c r="L2137" s="5594">
        <v>0</v>
      </c>
      <c r="M2137" s="5658"/>
      <c r="N2137" s="5601">
        <v>0</v>
      </c>
      <c r="O2137" s="5666"/>
      <c r="P2137" s="5625">
        <v>0</v>
      </c>
      <c r="Q2137" s="5601"/>
      <c r="R2137" s="498"/>
      <c r="S2137" s="367"/>
      <c r="T2137" s="162"/>
      <c r="U2137" s="547"/>
      <c r="V2137" s="547"/>
      <c r="W2137" s="162"/>
      <c r="X2137" s="265"/>
      <c r="Y2137" s="265"/>
      <c r="Z2137" s="982"/>
      <c r="AA2137" s="6301"/>
      <c r="AB2137" s="139"/>
      <c r="AC2137" s="139"/>
      <c r="AD2137" s="139"/>
      <c r="AE2137" s="139"/>
      <c r="AF2137" s="139"/>
      <c r="AG2137" s="139"/>
      <c r="AH2137" s="139"/>
      <c r="AI2137" s="139"/>
      <c r="AJ2137" s="139"/>
      <c r="AK2137" s="139"/>
      <c r="AL2137" s="139"/>
      <c r="AM2137" s="139"/>
      <c r="AN2137" s="139"/>
      <c r="AO2137" s="139"/>
      <c r="AP2137" s="139"/>
      <c r="AQ2137" s="139"/>
      <c r="AR2137" s="139"/>
      <c r="AS2137" s="139"/>
      <c r="AT2137" s="139"/>
      <c r="AU2137" s="139"/>
      <c r="AV2137" s="139"/>
      <c r="AW2137" s="139"/>
      <c r="AX2137" s="139"/>
      <c r="AY2137" s="139"/>
      <c r="AZ2137" s="139"/>
      <c r="BA2137" s="139"/>
      <c r="BB2137" s="139"/>
      <c r="BC2137" s="139"/>
      <c r="BD2137" s="139"/>
      <c r="BE2137" s="139"/>
      <c r="BF2137" s="139"/>
      <c r="BG2137" s="139"/>
      <c r="BH2137" s="139"/>
    </row>
    <row r="2138" spans="2:60" s="11" customFormat="1" ht="20.100000000000001" customHeight="1">
      <c r="B2138" s="1360"/>
      <c r="C2138" s="1384"/>
      <c r="D2138" s="9598" t="s">
        <v>140</v>
      </c>
      <c r="E2138" s="9600"/>
      <c r="F2138" s="285" t="s">
        <v>1476</v>
      </c>
      <c r="G2138" s="735"/>
      <c r="H2138" s="6277"/>
      <c r="I2138" s="9582" t="s">
        <v>141</v>
      </c>
      <c r="J2138" s="9583"/>
      <c r="K2138" s="285" t="s">
        <v>559</v>
      </c>
      <c r="L2138" s="5594"/>
      <c r="M2138" s="5658"/>
      <c r="N2138" s="5601"/>
      <c r="O2138" s="5666"/>
      <c r="P2138" s="5625"/>
      <c r="Q2138" s="5601"/>
      <c r="R2138" s="498"/>
      <c r="S2138" s="367"/>
      <c r="T2138" s="162"/>
      <c r="U2138" s="547"/>
      <c r="V2138" s="547"/>
      <c r="W2138" s="162"/>
      <c r="X2138" s="265"/>
      <c r="Y2138" s="265"/>
      <c r="Z2138" s="982"/>
      <c r="AA2138" s="6301"/>
      <c r="AB2138" s="139"/>
      <c r="AC2138" s="139"/>
      <c r="AD2138" s="139"/>
      <c r="AE2138" s="139"/>
      <c r="AF2138" s="139"/>
      <c r="AG2138" s="139"/>
      <c r="AH2138" s="139"/>
      <c r="AI2138" s="139"/>
      <c r="AJ2138" s="139"/>
      <c r="AK2138" s="139"/>
      <c r="AL2138" s="139"/>
      <c r="AM2138" s="139"/>
      <c r="AN2138" s="139"/>
      <c r="AO2138" s="139"/>
      <c r="AP2138" s="139"/>
      <c r="AQ2138" s="139"/>
      <c r="AR2138" s="139"/>
      <c r="AS2138" s="139"/>
      <c r="AT2138" s="139"/>
      <c r="AU2138" s="139"/>
      <c r="AV2138" s="139"/>
      <c r="AW2138" s="139"/>
      <c r="AX2138" s="139"/>
      <c r="AY2138" s="139"/>
      <c r="AZ2138" s="139"/>
      <c r="BA2138" s="139"/>
      <c r="BB2138" s="139"/>
      <c r="BC2138" s="139"/>
      <c r="BD2138" s="139"/>
      <c r="BE2138" s="139"/>
      <c r="BF2138" s="139"/>
      <c r="BG2138" s="139"/>
      <c r="BH2138" s="139"/>
    </row>
    <row r="2139" spans="2:60" s="11" customFormat="1" ht="20.100000000000001" customHeight="1">
      <c r="B2139" s="1360"/>
      <c r="C2139" s="1384"/>
      <c r="D2139" s="9598" t="s">
        <v>143</v>
      </c>
      <c r="E2139" s="9600"/>
      <c r="F2139" s="285" t="s">
        <v>1476</v>
      </c>
      <c r="G2139" s="735"/>
      <c r="H2139" s="6277"/>
      <c r="I2139" s="9582" t="s">
        <v>144</v>
      </c>
      <c r="J2139" s="9583"/>
      <c r="K2139" s="285" t="s">
        <v>559</v>
      </c>
      <c r="L2139" s="5594"/>
      <c r="M2139" s="5658"/>
      <c r="N2139" s="5601"/>
      <c r="O2139" s="5666"/>
      <c r="P2139" s="5625"/>
      <c r="Q2139" s="5601"/>
      <c r="R2139" s="498"/>
      <c r="S2139" s="367"/>
      <c r="T2139" s="162"/>
      <c r="U2139" s="547"/>
      <c r="V2139" s="547"/>
      <c r="W2139" s="162"/>
      <c r="X2139" s="265"/>
      <c r="Y2139" s="265"/>
      <c r="Z2139" s="982"/>
      <c r="AA2139" s="6301"/>
      <c r="AB2139" s="139"/>
      <c r="AC2139" s="139"/>
      <c r="AD2139" s="139"/>
      <c r="AE2139" s="139"/>
      <c r="AF2139" s="139"/>
      <c r="AG2139" s="139"/>
      <c r="AH2139" s="139"/>
      <c r="AI2139" s="139"/>
      <c r="AJ2139" s="139"/>
      <c r="AK2139" s="139"/>
      <c r="AL2139" s="139"/>
      <c r="AM2139" s="139"/>
      <c r="AN2139" s="139"/>
      <c r="AO2139" s="139"/>
      <c r="AP2139" s="139"/>
      <c r="AQ2139" s="139"/>
      <c r="AR2139" s="139"/>
      <c r="AS2139" s="139"/>
      <c r="AT2139" s="139"/>
      <c r="AU2139" s="139"/>
      <c r="AV2139" s="139"/>
      <c r="AW2139" s="139"/>
      <c r="AX2139" s="139"/>
      <c r="AY2139" s="139"/>
      <c r="AZ2139" s="139"/>
      <c r="BA2139" s="139"/>
      <c r="BB2139" s="139"/>
      <c r="BC2139" s="139"/>
      <c r="BD2139" s="139"/>
      <c r="BE2139" s="139"/>
      <c r="BF2139" s="139"/>
      <c r="BG2139" s="139"/>
      <c r="BH2139" s="139"/>
    </row>
    <row r="2140" spans="2:60" s="11" customFormat="1" ht="20.100000000000001" customHeight="1">
      <c r="B2140" s="1360"/>
      <c r="C2140" s="1384"/>
      <c r="D2140" s="9598" t="s">
        <v>631</v>
      </c>
      <c r="E2140" s="9600"/>
      <c r="F2140" s="285" t="s">
        <v>1476</v>
      </c>
      <c r="G2140" s="735"/>
      <c r="H2140" s="6277"/>
      <c r="I2140" s="9582" t="s">
        <v>147</v>
      </c>
      <c r="J2140" s="9583"/>
      <c r="K2140" s="285" t="s">
        <v>559</v>
      </c>
      <c r="L2140" s="5594"/>
      <c r="M2140" s="5658"/>
      <c r="N2140" s="5601"/>
      <c r="O2140" s="5666"/>
      <c r="P2140" s="5625"/>
      <c r="Q2140" s="5601"/>
      <c r="R2140" s="498"/>
      <c r="S2140" s="367"/>
      <c r="T2140" s="162"/>
      <c r="U2140" s="547"/>
      <c r="V2140" s="547"/>
      <c r="W2140" s="162"/>
      <c r="X2140" s="265"/>
      <c r="Y2140" s="265"/>
      <c r="Z2140" s="982"/>
      <c r="AA2140" s="6301"/>
      <c r="AB2140" s="139"/>
      <c r="AC2140" s="139"/>
      <c r="AD2140" s="139"/>
      <c r="AE2140" s="139"/>
      <c r="AF2140" s="139"/>
      <c r="AG2140" s="139"/>
      <c r="AH2140" s="139"/>
      <c r="AI2140" s="139"/>
      <c r="AJ2140" s="139"/>
      <c r="AK2140" s="139"/>
      <c r="AL2140" s="139"/>
      <c r="AM2140" s="139"/>
      <c r="AN2140" s="139"/>
      <c r="AO2140" s="139"/>
      <c r="AP2140" s="139"/>
      <c r="AQ2140" s="139"/>
      <c r="AR2140" s="139"/>
      <c r="AS2140" s="139"/>
      <c r="AT2140" s="139"/>
      <c r="AU2140" s="139"/>
      <c r="AV2140" s="139"/>
      <c r="AW2140" s="139"/>
      <c r="AX2140" s="139"/>
      <c r="AY2140" s="139"/>
      <c r="AZ2140" s="139"/>
      <c r="BA2140" s="139"/>
      <c r="BB2140" s="139"/>
      <c r="BC2140" s="139"/>
      <c r="BD2140" s="139"/>
      <c r="BE2140" s="139"/>
      <c r="BF2140" s="139"/>
      <c r="BG2140" s="139"/>
      <c r="BH2140" s="139"/>
    </row>
    <row r="2141" spans="2:60" s="11" customFormat="1" ht="20.100000000000001" customHeight="1">
      <c r="B2141" s="1360"/>
      <c r="C2141" s="1384"/>
      <c r="D2141" s="9598" t="s">
        <v>633</v>
      </c>
      <c r="E2141" s="9600"/>
      <c r="F2141" s="285" t="s">
        <v>1476</v>
      </c>
      <c r="G2141" s="735"/>
      <c r="H2141" s="6277"/>
      <c r="I2141" s="9582" t="s">
        <v>150</v>
      </c>
      <c r="J2141" s="9583"/>
      <c r="K2141" s="285" t="s">
        <v>559</v>
      </c>
      <c r="L2141" s="5594"/>
      <c r="M2141" s="5658"/>
      <c r="N2141" s="5601"/>
      <c r="O2141" s="5666"/>
      <c r="P2141" s="5625"/>
      <c r="Q2141" s="5601"/>
      <c r="R2141" s="498"/>
      <c r="S2141" s="367"/>
      <c r="T2141" s="162"/>
      <c r="U2141" s="547"/>
      <c r="V2141" s="547"/>
      <c r="W2141" s="162"/>
      <c r="X2141" s="265"/>
      <c r="Y2141" s="265"/>
      <c r="Z2141" s="982"/>
      <c r="AA2141" s="6301"/>
      <c r="AB2141" s="139"/>
      <c r="AC2141" s="139"/>
      <c r="AD2141" s="139"/>
      <c r="AE2141" s="139"/>
      <c r="AF2141" s="139"/>
      <c r="AG2141" s="139"/>
      <c r="AH2141" s="139"/>
      <c r="AI2141" s="139"/>
      <c r="AJ2141" s="139"/>
      <c r="AK2141" s="139"/>
      <c r="AL2141" s="139"/>
      <c r="AM2141" s="139"/>
      <c r="AN2141" s="139"/>
      <c r="AO2141" s="139"/>
      <c r="AP2141" s="139"/>
      <c r="AQ2141" s="139"/>
      <c r="AR2141" s="139"/>
      <c r="AS2141" s="139"/>
      <c r="AT2141" s="139"/>
      <c r="AU2141" s="139"/>
      <c r="AV2141" s="139"/>
      <c r="AW2141" s="139"/>
      <c r="AX2141" s="139"/>
      <c r="AY2141" s="139"/>
      <c r="AZ2141" s="139"/>
      <c r="BA2141" s="139"/>
      <c r="BB2141" s="139"/>
      <c r="BC2141" s="139"/>
      <c r="BD2141" s="139"/>
      <c r="BE2141" s="139"/>
      <c r="BF2141" s="139"/>
      <c r="BG2141" s="139"/>
      <c r="BH2141" s="139"/>
    </row>
    <row r="2142" spans="2:60" s="11" customFormat="1" ht="20.100000000000001" customHeight="1">
      <c r="B2142" s="1360"/>
      <c r="C2142" s="5762" t="s">
        <v>1712</v>
      </c>
      <c r="D2142" s="5762"/>
      <c r="E2142" s="5763"/>
      <c r="F2142" s="5766" t="s">
        <v>1476</v>
      </c>
      <c r="G2142" s="6281"/>
      <c r="H2142" s="5769" t="s">
        <v>1713</v>
      </c>
      <c r="I2142" s="5770"/>
      <c r="J2142" s="5770"/>
      <c r="K2142" s="5766" t="s">
        <v>559</v>
      </c>
      <c r="L2142" s="5653" t="str">
        <f>IF(COUNTBLANK(L2143:L2148)&gt;0,"미취합법인有",SUM(L2143:L2148))</f>
        <v>미취합법인有</v>
      </c>
      <c r="M2142" s="5657"/>
      <c r="N2142" s="5654" t="str">
        <f>IF(COUNTBLANK(N2143:N2148)&gt;0,"미취합법인有",SUM(N2143:N2148))</f>
        <v>미취합법인有</v>
      </c>
      <c r="O2142" s="5663"/>
      <c r="P2142" s="5781" t="str">
        <f>IF(COUNTBLANK(P2143:P2148)&gt;0,"미취합법인有",SUM(P2143:P2148))</f>
        <v>미취합법인有</v>
      </c>
      <c r="Q2142" s="396"/>
      <c r="R2142" s="2468" t="s">
        <v>1714</v>
      </c>
      <c r="S2142" s="276" t="s">
        <v>1715</v>
      </c>
      <c r="T2142" s="162" t="s">
        <v>1415</v>
      </c>
      <c r="U2142" s="547"/>
      <c r="V2142" s="547"/>
      <c r="W2142" s="162"/>
      <c r="X2142" s="265"/>
      <c r="Y2142" s="265" t="s">
        <v>1711</v>
      </c>
      <c r="Z2142" s="982"/>
      <c r="AA2142" s="6301"/>
      <c r="AB2142" s="139"/>
      <c r="AC2142" s="139"/>
      <c r="AD2142" s="139"/>
      <c r="AE2142" s="139"/>
      <c r="AF2142" s="139"/>
      <c r="AG2142" s="139"/>
      <c r="AH2142" s="139"/>
      <c r="AI2142" s="139"/>
      <c r="AJ2142" s="139"/>
      <c r="AK2142" s="139"/>
      <c r="AL2142" s="139"/>
      <c r="AM2142" s="139"/>
      <c r="AN2142" s="139"/>
      <c r="AO2142" s="139"/>
      <c r="AP2142" s="139"/>
      <c r="AQ2142" s="139"/>
      <c r="AR2142" s="139"/>
      <c r="AS2142" s="139"/>
      <c r="AT2142" s="139"/>
      <c r="AU2142" s="139"/>
      <c r="AV2142" s="139"/>
      <c r="AW2142" s="139"/>
      <c r="AX2142" s="139"/>
      <c r="AY2142" s="139"/>
      <c r="AZ2142" s="139"/>
      <c r="BA2142" s="139"/>
      <c r="BB2142" s="139"/>
      <c r="BC2142" s="139"/>
      <c r="BD2142" s="139"/>
      <c r="BE2142" s="139"/>
      <c r="BF2142" s="139"/>
      <c r="BG2142" s="139"/>
      <c r="BH2142" s="139"/>
    </row>
    <row r="2143" spans="2:60" s="11" customFormat="1" ht="20.100000000000001" customHeight="1">
      <c r="B2143" s="1360"/>
      <c r="C2143" s="359" t="s">
        <v>1716</v>
      </c>
      <c r="D2143" s="497"/>
      <c r="E2143" s="360"/>
      <c r="F2143" s="285" t="s">
        <v>1476</v>
      </c>
      <c r="G2143" s="735"/>
      <c r="H2143" s="6133" t="s">
        <v>135</v>
      </c>
      <c r="I2143" s="6135"/>
      <c r="J2143" s="6134"/>
      <c r="K2143" s="105" t="s">
        <v>559</v>
      </c>
      <c r="L2143" s="5594"/>
      <c r="M2143" s="5658"/>
      <c r="N2143" s="5601"/>
      <c r="O2143" s="5666"/>
      <c r="P2143" s="5625"/>
      <c r="Q2143" s="5601"/>
      <c r="R2143" s="2468"/>
      <c r="S2143" s="276"/>
      <c r="T2143" s="162"/>
      <c r="U2143" s="547"/>
      <c r="V2143" s="547"/>
      <c r="W2143" s="162"/>
      <c r="X2143" s="265"/>
      <c r="Y2143" s="265"/>
      <c r="Z2143" s="982"/>
      <c r="AA2143" s="6301"/>
      <c r="AB2143" s="139"/>
      <c r="AC2143" s="139"/>
      <c r="AD2143" s="139"/>
      <c r="AE2143" s="139"/>
      <c r="AF2143" s="139"/>
      <c r="AG2143" s="139"/>
      <c r="AH2143" s="139"/>
      <c r="AI2143" s="139"/>
      <c r="AJ2143" s="139"/>
      <c r="AK2143" s="139"/>
      <c r="AL2143" s="139"/>
      <c r="AM2143" s="139"/>
      <c r="AN2143" s="139"/>
      <c r="AO2143" s="139"/>
      <c r="AP2143" s="139"/>
      <c r="AQ2143" s="139"/>
      <c r="AR2143" s="139"/>
      <c r="AS2143" s="139"/>
      <c r="AT2143" s="139"/>
      <c r="AU2143" s="139"/>
      <c r="AV2143" s="139"/>
      <c r="AW2143" s="139"/>
      <c r="AX2143" s="139"/>
      <c r="AY2143" s="139"/>
      <c r="AZ2143" s="139"/>
      <c r="BA2143" s="139"/>
      <c r="BB2143" s="139"/>
      <c r="BC2143" s="139"/>
      <c r="BD2143" s="139"/>
      <c r="BE2143" s="139"/>
      <c r="BF2143" s="139"/>
      <c r="BG2143" s="139"/>
      <c r="BH2143" s="139"/>
    </row>
    <row r="2144" spans="2:60" s="11" customFormat="1" ht="20.100000000000001" customHeight="1">
      <c r="B2144" s="1360"/>
      <c r="C2144" s="359" t="s">
        <v>1717</v>
      </c>
      <c r="D2144" s="497"/>
      <c r="E2144" s="360"/>
      <c r="F2144" s="285" t="s">
        <v>1476</v>
      </c>
      <c r="G2144" s="735"/>
      <c r="H2144" s="6133" t="s">
        <v>138</v>
      </c>
      <c r="I2144" s="6135"/>
      <c r="J2144" s="6134"/>
      <c r="K2144" s="105" t="s">
        <v>559</v>
      </c>
      <c r="L2144" s="5594"/>
      <c r="M2144" s="5658"/>
      <c r="N2144" s="5601"/>
      <c r="O2144" s="5666"/>
      <c r="P2144" s="5625"/>
      <c r="Q2144" s="5601"/>
      <c r="R2144" s="2468"/>
      <c r="S2144" s="276"/>
      <c r="T2144" s="162"/>
      <c r="U2144" s="547"/>
      <c r="V2144" s="547"/>
      <c r="W2144" s="162"/>
      <c r="X2144" s="265"/>
      <c r="Y2144" s="265"/>
      <c r="Z2144" s="982"/>
      <c r="AA2144" s="6301"/>
      <c r="AB2144" s="139"/>
      <c r="AC2144" s="139"/>
      <c r="AD2144" s="139"/>
      <c r="AE2144" s="139"/>
      <c r="AF2144" s="139"/>
      <c r="AG2144" s="139"/>
      <c r="AH2144" s="139"/>
      <c r="AI2144" s="139"/>
      <c r="AJ2144" s="139"/>
      <c r="AK2144" s="139"/>
      <c r="AL2144" s="139"/>
      <c r="AM2144" s="139"/>
      <c r="AN2144" s="139"/>
      <c r="AO2144" s="139"/>
      <c r="AP2144" s="139"/>
      <c r="AQ2144" s="139"/>
      <c r="AR2144" s="139"/>
      <c r="AS2144" s="139"/>
      <c r="AT2144" s="139"/>
      <c r="AU2144" s="139"/>
      <c r="AV2144" s="139"/>
      <c r="AW2144" s="139"/>
      <c r="AX2144" s="139"/>
      <c r="AY2144" s="139"/>
      <c r="AZ2144" s="139"/>
      <c r="BA2144" s="139"/>
      <c r="BB2144" s="139"/>
      <c r="BC2144" s="139"/>
      <c r="BD2144" s="139"/>
      <c r="BE2144" s="139"/>
      <c r="BF2144" s="139"/>
      <c r="BG2144" s="139"/>
      <c r="BH2144" s="139"/>
    </row>
    <row r="2145" spans="2:60" s="11" customFormat="1" ht="20.100000000000001" customHeight="1">
      <c r="B2145" s="1360"/>
      <c r="C2145" s="359" t="s">
        <v>1718</v>
      </c>
      <c r="D2145" s="497"/>
      <c r="E2145" s="360"/>
      <c r="F2145" s="285" t="s">
        <v>1476</v>
      </c>
      <c r="G2145" s="735"/>
      <c r="H2145" s="267" t="s">
        <v>141</v>
      </c>
      <c r="I2145" s="6280"/>
      <c r="J2145" s="268"/>
      <c r="K2145" s="105" t="s">
        <v>559</v>
      </c>
      <c r="L2145" s="5594"/>
      <c r="M2145" s="5658"/>
      <c r="N2145" s="5601"/>
      <c r="O2145" s="5666"/>
      <c r="P2145" s="5625"/>
      <c r="Q2145" s="5601"/>
      <c r="R2145" s="2468"/>
      <c r="S2145" s="276"/>
      <c r="T2145" s="162"/>
      <c r="U2145" s="547"/>
      <c r="V2145" s="547"/>
      <c r="W2145" s="162"/>
      <c r="X2145" s="265"/>
      <c r="Y2145" s="265"/>
      <c r="Z2145" s="982"/>
      <c r="AA2145" s="6301"/>
      <c r="AB2145" s="139"/>
      <c r="AC2145" s="139"/>
      <c r="AD2145" s="139"/>
      <c r="AE2145" s="139"/>
      <c r="AF2145" s="139"/>
      <c r="AG2145" s="139"/>
      <c r="AH2145" s="139"/>
      <c r="AI2145" s="139"/>
      <c r="AJ2145" s="139"/>
      <c r="AK2145" s="139"/>
      <c r="AL2145" s="139"/>
      <c r="AM2145" s="139"/>
      <c r="AN2145" s="139"/>
      <c r="AO2145" s="139"/>
      <c r="AP2145" s="139"/>
      <c r="AQ2145" s="139"/>
      <c r="AR2145" s="139"/>
      <c r="AS2145" s="139"/>
      <c r="AT2145" s="139"/>
      <c r="AU2145" s="139"/>
      <c r="AV2145" s="139"/>
      <c r="AW2145" s="139"/>
      <c r="AX2145" s="139"/>
      <c r="AY2145" s="139"/>
      <c r="AZ2145" s="139"/>
      <c r="BA2145" s="139"/>
      <c r="BB2145" s="139"/>
      <c r="BC2145" s="139"/>
      <c r="BD2145" s="139"/>
      <c r="BE2145" s="139"/>
      <c r="BF2145" s="139"/>
      <c r="BG2145" s="139"/>
      <c r="BH2145" s="139"/>
    </row>
    <row r="2146" spans="2:60" s="11" customFormat="1" ht="20.100000000000001" customHeight="1">
      <c r="B2146" s="1360"/>
      <c r="C2146" s="359" t="s">
        <v>1719</v>
      </c>
      <c r="D2146" s="497"/>
      <c r="E2146" s="360"/>
      <c r="F2146" s="285" t="s">
        <v>1476</v>
      </c>
      <c r="G2146" s="735"/>
      <c r="H2146" s="267" t="s">
        <v>144</v>
      </c>
      <c r="I2146" s="6280"/>
      <c r="J2146" s="268"/>
      <c r="K2146" s="105" t="s">
        <v>559</v>
      </c>
      <c r="L2146" s="5594"/>
      <c r="M2146" s="5658"/>
      <c r="N2146" s="5601"/>
      <c r="O2146" s="5666"/>
      <c r="P2146" s="5625"/>
      <c r="Q2146" s="5601"/>
      <c r="R2146" s="2468"/>
      <c r="S2146" s="276"/>
      <c r="T2146" s="162"/>
      <c r="U2146" s="547"/>
      <c r="V2146" s="547"/>
      <c r="W2146" s="162"/>
      <c r="X2146" s="265"/>
      <c r="Y2146" s="265"/>
      <c r="Z2146" s="982"/>
      <c r="AA2146" s="6301"/>
      <c r="AB2146" s="139"/>
      <c r="AC2146" s="139"/>
      <c r="AD2146" s="139"/>
      <c r="AE2146" s="139"/>
      <c r="AF2146" s="139"/>
      <c r="AG2146" s="139"/>
      <c r="AH2146" s="139"/>
      <c r="AI2146" s="139"/>
      <c r="AJ2146" s="139"/>
      <c r="AK2146" s="139"/>
      <c r="AL2146" s="139"/>
      <c r="AM2146" s="139"/>
      <c r="AN2146" s="139"/>
      <c r="AO2146" s="139"/>
      <c r="AP2146" s="139"/>
      <c r="AQ2146" s="139"/>
      <c r="AR2146" s="139"/>
      <c r="AS2146" s="139"/>
      <c r="AT2146" s="139"/>
      <c r="AU2146" s="139"/>
      <c r="AV2146" s="139"/>
      <c r="AW2146" s="139"/>
      <c r="AX2146" s="139"/>
      <c r="AY2146" s="139"/>
      <c r="AZ2146" s="139"/>
      <c r="BA2146" s="139"/>
      <c r="BB2146" s="139"/>
      <c r="BC2146" s="139"/>
      <c r="BD2146" s="139"/>
      <c r="BE2146" s="139"/>
      <c r="BF2146" s="139"/>
      <c r="BG2146" s="139"/>
      <c r="BH2146" s="139"/>
    </row>
    <row r="2147" spans="2:60" s="11" customFormat="1" ht="20.100000000000001" customHeight="1">
      <c r="B2147" s="1360"/>
      <c r="C2147" s="359" t="s">
        <v>1720</v>
      </c>
      <c r="D2147" s="497"/>
      <c r="E2147" s="360"/>
      <c r="F2147" s="285" t="s">
        <v>1476</v>
      </c>
      <c r="G2147" s="735"/>
      <c r="H2147" s="267" t="s">
        <v>147</v>
      </c>
      <c r="I2147" s="6280"/>
      <c r="J2147" s="268"/>
      <c r="K2147" s="105" t="s">
        <v>559</v>
      </c>
      <c r="L2147" s="5594"/>
      <c r="M2147" s="5658"/>
      <c r="N2147" s="5601"/>
      <c r="O2147" s="5666"/>
      <c r="P2147" s="5625"/>
      <c r="Q2147" s="5601"/>
      <c r="R2147" s="2468"/>
      <c r="S2147" s="276"/>
      <c r="T2147" s="162"/>
      <c r="U2147" s="547"/>
      <c r="V2147" s="547"/>
      <c r="W2147" s="162"/>
      <c r="X2147" s="265"/>
      <c r="Y2147" s="265"/>
      <c r="Z2147" s="982"/>
      <c r="AA2147" s="6301"/>
      <c r="AB2147" s="139"/>
      <c r="AC2147" s="139"/>
      <c r="AD2147" s="139"/>
      <c r="AE2147" s="139"/>
      <c r="AF2147" s="139"/>
      <c r="AG2147" s="139"/>
      <c r="AH2147" s="139"/>
      <c r="AI2147" s="139"/>
      <c r="AJ2147" s="139"/>
      <c r="AK2147" s="139"/>
      <c r="AL2147" s="139"/>
      <c r="AM2147" s="139"/>
      <c r="AN2147" s="139"/>
      <c r="AO2147" s="139"/>
      <c r="AP2147" s="139"/>
      <c r="AQ2147" s="139"/>
      <c r="AR2147" s="139"/>
      <c r="AS2147" s="139"/>
      <c r="AT2147" s="139"/>
      <c r="AU2147" s="139"/>
      <c r="AV2147" s="139"/>
      <c r="AW2147" s="139"/>
      <c r="AX2147" s="139"/>
      <c r="AY2147" s="139"/>
      <c r="AZ2147" s="139"/>
      <c r="BA2147" s="139"/>
      <c r="BB2147" s="139"/>
      <c r="BC2147" s="139"/>
      <c r="BD2147" s="139"/>
      <c r="BE2147" s="139"/>
      <c r="BF2147" s="139"/>
      <c r="BG2147" s="139"/>
      <c r="BH2147" s="139"/>
    </row>
    <row r="2148" spans="2:60" s="11" customFormat="1" ht="20.100000000000001" customHeight="1">
      <c r="B2148" s="1360"/>
      <c r="C2148" s="359" t="s">
        <v>1721</v>
      </c>
      <c r="D2148" s="497"/>
      <c r="E2148" s="360"/>
      <c r="F2148" s="285" t="s">
        <v>1476</v>
      </c>
      <c r="G2148" s="735"/>
      <c r="H2148" s="267" t="s">
        <v>150</v>
      </c>
      <c r="I2148" s="6280"/>
      <c r="J2148" s="268"/>
      <c r="K2148" s="105" t="s">
        <v>559</v>
      </c>
      <c r="L2148" s="5594"/>
      <c r="M2148" s="5658"/>
      <c r="N2148" s="5601"/>
      <c r="O2148" s="5666"/>
      <c r="P2148" s="5625"/>
      <c r="Q2148" s="5601"/>
      <c r="R2148" s="2468"/>
      <c r="S2148" s="276"/>
      <c r="T2148" s="162"/>
      <c r="U2148" s="547"/>
      <c r="V2148" s="547"/>
      <c r="W2148" s="162"/>
      <c r="X2148" s="265"/>
      <c r="Y2148" s="265"/>
      <c r="Z2148" s="982"/>
      <c r="AA2148" s="6301"/>
      <c r="AB2148" s="139"/>
      <c r="AC2148" s="139"/>
      <c r="AD2148" s="139"/>
      <c r="AE2148" s="139"/>
      <c r="AF2148" s="139"/>
      <c r="AG2148" s="139"/>
      <c r="AH2148" s="139"/>
      <c r="AI2148" s="139"/>
      <c r="AJ2148" s="139"/>
      <c r="AK2148" s="139"/>
      <c r="AL2148" s="139"/>
      <c r="AM2148" s="139"/>
      <c r="AN2148" s="139"/>
      <c r="AO2148" s="139"/>
      <c r="AP2148" s="139"/>
      <c r="AQ2148" s="139"/>
      <c r="AR2148" s="139"/>
      <c r="AS2148" s="139"/>
      <c r="AT2148" s="139"/>
      <c r="AU2148" s="139"/>
      <c r="AV2148" s="139"/>
      <c r="AW2148" s="139"/>
      <c r="AX2148" s="139"/>
      <c r="AY2148" s="139"/>
      <c r="AZ2148" s="139"/>
      <c r="BA2148" s="139"/>
      <c r="BB2148" s="139"/>
      <c r="BC2148" s="139"/>
      <c r="BD2148" s="139"/>
      <c r="BE2148" s="139"/>
      <c r="BF2148" s="139"/>
      <c r="BG2148" s="139"/>
      <c r="BH2148" s="139"/>
    </row>
    <row r="2149" spans="2:60" s="11" customFormat="1" ht="20.100000000000001" customHeight="1">
      <c r="B2149" s="1360"/>
      <c r="C2149" s="5762" t="s">
        <v>1722</v>
      </c>
      <c r="D2149" s="5762"/>
      <c r="E2149" s="5763"/>
      <c r="F2149" s="5766" t="s">
        <v>557</v>
      </c>
      <c r="G2149" s="6281"/>
      <c r="H2149" s="5769" t="s">
        <v>1723</v>
      </c>
      <c r="I2149" s="5770"/>
      <c r="J2149" s="5770"/>
      <c r="K2149" s="5766" t="s">
        <v>559</v>
      </c>
      <c r="L2149" s="5653" t="str">
        <f>IF(COUNTBLANK(L2150:L2155)&gt;0,"미취합법인有",SUM(L2150:L2155))</f>
        <v>미취합법인有</v>
      </c>
      <c r="M2149" s="5657"/>
      <c r="N2149" s="5654" t="str">
        <f>IF(COUNTBLANK(N2150:N2155)&gt;0,"미취합법인有",SUM(N2150:N2155))</f>
        <v>미취합법인有</v>
      </c>
      <c r="O2149" s="5663"/>
      <c r="P2149" s="5781" t="str">
        <f>IF(COUNTBLANK(P2150:P2155)&gt;0,"미취합법인有",SUM(P2150:P2155))</f>
        <v>미취합법인有</v>
      </c>
      <c r="Q2149" s="396"/>
      <c r="R2149" s="2468" t="s">
        <v>1724</v>
      </c>
      <c r="S2149" s="276" t="s">
        <v>1725</v>
      </c>
      <c r="T2149" s="162" t="s">
        <v>1726</v>
      </c>
      <c r="U2149" s="547"/>
      <c r="V2149" s="547"/>
      <c r="W2149" s="162"/>
      <c r="X2149" s="265"/>
      <c r="Y2149" s="265" t="s">
        <v>1678</v>
      </c>
      <c r="Z2149" s="982"/>
      <c r="AA2149" s="6301"/>
      <c r="AB2149" s="139"/>
      <c r="AC2149" s="139"/>
      <c r="AD2149" s="139"/>
      <c r="AE2149" s="139"/>
      <c r="AF2149" s="139"/>
      <c r="AG2149" s="139"/>
      <c r="AH2149" s="139"/>
      <c r="AI2149" s="139"/>
      <c r="AJ2149" s="139"/>
      <c r="AK2149" s="139"/>
      <c r="AL2149" s="139"/>
      <c r="AM2149" s="139"/>
      <c r="AN2149" s="139"/>
      <c r="AO2149" s="139"/>
      <c r="AP2149" s="139"/>
      <c r="AQ2149" s="139"/>
      <c r="AR2149" s="139"/>
      <c r="AS2149" s="139"/>
      <c r="AT2149" s="139"/>
      <c r="AU2149" s="139"/>
      <c r="AV2149" s="139"/>
      <c r="AW2149" s="139"/>
      <c r="AX2149" s="139"/>
      <c r="AY2149" s="139"/>
      <c r="AZ2149" s="139"/>
      <c r="BA2149" s="139"/>
      <c r="BB2149" s="139"/>
      <c r="BC2149" s="139"/>
      <c r="BD2149" s="139"/>
      <c r="BE2149" s="139"/>
      <c r="BF2149" s="139"/>
      <c r="BG2149" s="139"/>
      <c r="BH2149" s="139"/>
    </row>
    <row r="2150" spans="2:60" s="11" customFormat="1" ht="20.100000000000001" customHeight="1">
      <c r="B2150" s="1360"/>
      <c r="C2150" s="491" t="s">
        <v>1716</v>
      </c>
      <c r="D2150" s="497"/>
      <c r="E2150" s="497"/>
      <c r="F2150" s="285" t="s">
        <v>1476</v>
      </c>
      <c r="G2150" s="358"/>
      <c r="H2150" s="6133" t="s">
        <v>135</v>
      </c>
      <c r="I2150" s="6135"/>
      <c r="J2150" s="6134"/>
      <c r="K2150" s="105" t="s">
        <v>559</v>
      </c>
      <c r="L2150" s="5594">
        <v>0</v>
      </c>
      <c r="M2150" s="5658"/>
      <c r="N2150" s="5601">
        <v>0</v>
      </c>
      <c r="O2150" s="5666"/>
      <c r="P2150" s="5625">
        <v>0</v>
      </c>
      <c r="Q2150" s="5601"/>
      <c r="R2150" s="2468"/>
      <c r="S2150" s="276"/>
      <c r="T2150" s="162"/>
      <c r="U2150" s="547"/>
      <c r="V2150" s="547"/>
      <c r="W2150" s="162"/>
      <c r="X2150" s="265"/>
      <c r="Y2150" s="265"/>
      <c r="Z2150" s="982"/>
      <c r="AA2150" s="6301"/>
      <c r="AB2150" s="139"/>
      <c r="AC2150" s="139"/>
      <c r="AD2150" s="139"/>
      <c r="AE2150" s="139"/>
      <c r="AF2150" s="139"/>
      <c r="AG2150" s="139"/>
      <c r="AH2150" s="139"/>
      <c r="AI2150" s="139"/>
      <c r="AJ2150" s="139"/>
      <c r="AK2150" s="139"/>
      <c r="AL2150" s="139"/>
      <c r="AM2150" s="139"/>
      <c r="AN2150" s="139"/>
      <c r="AO2150" s="139"/>
      <c r="AP2150" s="139"/>
      <c r="AQ2150" s="139"/>
      <c r="AR2150" s="139"/>
      <c r="AS2150" s="139"/>
      <c r="AT2150" s="139"/>
      <c r="AU2150" s="139"/>
      <c r="AV2150" s="139"/>
      <c r="AW2150" s="139"/>
      <c r="AX2150" s="139"/>
      <c r="AY2150" s="139"/>
      <c r="AZ2150" s="139"/>
      <c r="BA2150" s="139"/>
      <c r="BB2150" s="139"/>
      <c r="BC2150" s="139"/>
      <c r="BD2150" s="139"/>
      <c r="BE2150" s="139"/>
      <c r="BF2150" s="139"/>
      <c r="BG2150" s="139"/>
      <c r="BH2150" s="139"/>
    </row>
    <row r="2151" spans="2:60" s="11" customFormat="1" ht="20.100000000000001" customHeight="1">
      <c r="B2151" s="1360"/>
      <c r="C2151" s="491" t="s">
        <v>1717</v>
      </c>
      <c r="D2151" s="497"/>
      <c r="E2151" s="497"/>
      <c r="F2151" s="285" t="s">
        <v>1476</v>
      </c>
      <c r="G2151" s="358"/>
      <c r="H2151" s="6133" t="s">
        <v>138</v>
      </c>
      <c r="I2151" s="6135"/>
      <c r="J2151" s="6134"/>
      <c r="K2151" s="105" t="s">
        <v>559</v>
      </c>
      <c r="L2151" s="5594"/>
      <c r="M2151" s="5658"/>
      <c r="N2151" s="5601"/>
      <c r="O2151" s="5666"/>
      <c r="P2151" s="5625"/>
      <c r="Q2151" s="5601"/>
      <c r="R2151" s="2468"/>
      <c r="S2151" s="276"/>
      <c r="T2151" s="162"/>
      <c r="U2151" s="547"/>
      <c r="V2151" s="547"/>
      <c r="W2151" s="162"/>
      <c r="X2151" s="265"/>
      <c r="Y2151" s="265"/>
      <c r="Z2151" s="982"/>
      <c r="AA2151" s="6301"/>
      <c r="AB2151" s="139"/>
      <c r="AC2151" s="139"/>
      <c r="AD2151" s="139"/>
      <c r="AE2151" s="139"/>
      <c r="AF2151" s="139"/>
      <c r="AG2151" s="139"/>
      <c r="AH2151" s="139"/>
      <c r="AI2151" s="139"/>
      <c r="AJ2151" s="139"/>
      <c r="AK2151" s="139"/>
      <c r="AL2151" s="139"/>
      <c r="AM2151" s="139"/>
      <c r="AN2151" s="139"/>
      <c r="AO2151" s="139"/>
      <c r="AP2151" s="139"/>
      <c r="AQ2151" s="139"/>
      <c r="AR2151" s="139"/>
      <c r="AS2151" s="139"/>
      <c r="AT2151" s="139"/>
      <c r="AU2151" s="139"/>
      <c r="AV2151" s="139"/>
      <c r="AW2151" s="139"/>
      <c r="AX2151" s="139"/>
      <c r="AY2151" s="139"/>
      <c r="AZ2151" s="139"/>
      <c r="BA2151" s="139"/>
      <c r="BB2151" s="139"/>
      <c r="BC2151" s="139"/>
      <c r="BD2151" s="139"/>
      <c r="BE2151" s="139"/>
      <c r="BF2151" s="139"/>
      <c r="BG2151" s="139"/>
      <c r="BH2151" s="139"/>
    </row>
    <row r="2152" spans="2:60" s="11" customFormat="1" ht="20.100000000000001" customHeight="1">
      <c r="B2152" s="1360"/>
      <c r="C2152" s="491" t="s">
        <v>1718</v>
      </c>
      <c r="D2152" s="497"/>
      <c r="E2152" s="497"/>
      <c r="F2152" s="285" t="s">
        <v>1476</v>
      </c>
      <c r="G2152" s="358"/>
      <c r="H2152" s="267" t="s">
        <v>141</v>
      </c>
      <c r="I2152" s="6280"/>
      <c r="J2152" s="268"/>
      <c r="K2152" s="105" t="s">
        <v>559</v>
      </c>
      <c r="L2152" s="5594">
        <v>0</v>
      </c>
      <c r="M2152" s="5658"/>
      <c r="N2152" s="5601">
        <v>0</v>
      </c>
      <c r="O2152" s="5666"/>
      <c r="P2152" s="5625">
        <v>0</v>
      </c>
      <c r="Q2152" s="5601"/>
      <c r="R2152" s="2468"/>
      <c r="S2152" s="276"/>
      <c r="T2152" s="162"/>
      <c r="U2152" s="547"/>
      <c r="V2152" s="547"/>
      <c r="W2152" s="162"/>
      <c r="X2152" s="265"/>
      <c r="Y2152" s="265"/>
      <c r="Z2152" s="982"/>
      <c r="AA2152" s="6301"/>
      <c r="AB2152" s="139"/>
      <c r="AC2152" s="139"/>
      <c r="AD2152" s="139"/>
      <c r="AE2152" s="139"/>
      <c r="AF2152" s="139"/>
      <c r="AG2152" s="139"/>
      <c r="AH2152" s="139"/>
      <c r="AI2152" s="139"/>
      <c r="AJ2152" s="139"/>
      <c r="AK2152" s="139"/>
      <c r="AL2152" s="139"/>
      <c r="AM2152" s="139"/>
      <c r="AN2152" s="139"/>
      <c r="AO2152" s="139"/>
      <c r="AP2152" s="139"/>
      <c r="AQ2152" s="139"/>
      <c r="AR2152" s="139"/>
      <c r="AS2152" s="139"/>
      <c r="AT2152" s="139"/>
      <c r="AU2152" s="139"/>
      <c r="AV2152" s="139"/>
      <c r="AW2152" s="139"/>
      <c r="AX2152" s="139"/>
      <c r="AY2152" s="139"/>
      <c r="AZ2152" s="139"/>
      <c r="BA2152" s="139"/>
      <c r="BB2152" s="139"/>
      <c r="BC2152" s="139"/>
      <c r="BD2152" s="139"/>
      <c r="BE2152" s="139"/>
      <c r="BF2152" s="139"/>
      <c r="BG2152" s="139"/>
      <c r="BH2152" s="139"/>
    </row>
    <row r="2153" spans="2:60" s="11" customFormat="1" ht="20.100000000000001" customHeight="1">
      <c r="B2153" s="1360"/>
      <c r="C2153" s="491" t="s">
        <v>1719</v>
      </c>
      <c r="D2153" s="497"/>
      <c r="E2153" s="497"/>
      <c r="F2153" s="285" t="s">
        <v>1476</v>
      </c>
      <c r="G2153" s="358"/>
      <c r="H2153" s="267" t="s">
        <v>144</v>
      </c>
      <c r="I2153" s="6280"/>
      <c r="J2153" s="268"/>
      <c r="K2153" s="105" t="s">
        <v>559</v>
      </c>
      <c r="L2153" s="5594"/>
      <c r="M2153" s="5658"/>
      <c r="N2153" s="5601"/>
      <c r="O2153" s="5666"/>
      <c r="P2153" s="5625"/>
      <c r="Q2153" s="5601"/>
      <c r="R2153" s="2468"/>
      <c r="S2153" s="276"/>
      <c r="T2153" s="162"/>
      <c r="U2153" s="547"/>
      <c r="V2153" s="547"/>
      <c r="W2153" s="162"/>
      <c r="X2153" s="265"/>
      <c r="Y2153" s="265"/>
      <c r="Z2153" s="982"/>
      <c r="AA2153" s="6301"/>
      <c r="AB2153" s="139"/>
      <c r="AC2153" s="139"/>
      <c r="AD2153" s="139"/>
      <c r="AE2153" s="139"/>
      <c r="AF2153" s="139"/>
      <c r="AG2153" s="139"/>
      <c r="AH2153" s="139"/>
      <c r="AI2153" s="139"/>
      <c r="AJ2153" s="139"/>
      <c r="AK2153" s="139"/>
      <c r="AL2153" s="139"/>
      <c r="AM2153" s="139"/>
      <c r="AN2153" s="139"/>
      <c r="AO2153" s="139"/>
      <c r="AP2153" s="139"/>
      <c r="AQ2153" s="139"/>
      <c r="AR2153" s="139"/>
      <c r="AS2153" s="139"/>
      <c r="AT2153" s="139"/>
      <c r="AU2153" s="139"/>
      <c r="AV2153" s="139"/>
      <c r="AW2153" s="139"/>
      <c r="AX2153" s="139"/>
      <c r="AY2153" s="139"/>
      <c r="AZ2153" s="139"/>
      <c r="BA2153" s="139"/>
      <c r="BB2153" s="139"/>
      <c r="BC2153" s="139"/>
      <c r="BD2153" s="139"/>
      <c r="BE2153" s="139"/>
      <c r="BF2153" s="139"/>
      <c r="BG2153" s="139"/>
      <c r="BH2153" s="139"/>
    </row>
    <row r="2154" spans="2:60" s="11" customFormat="1" ht="20.100000000000001" customHeight="1">
      <c r="B2154" s="1360"/>
      <c r="C2154" s="491" t="s">
        <v>1720</v>
      </c>
      <c r="D2154" s="497"/>
      <c r="E2154" s="497"/>
      <c r="F2154" s="285" t="s">
        <v>1476</v>
      </c>
      <c r="G2154" s="358"/>
      <c r="H2154" s="267" t="s">
        <v>147</v>
      </c>
      <c r="I2154" s="6280"/>
      <c r="J2154" s="268"/>
      <c r="K2154" s="105" t="s">
        <v>559</v>
      </c>
      <c r="L2154" s="5594"/>
      <c r="M2154" s="5658"/>
      <c r="N2154" s="5601"/>
      <c r="O2154" s="5666"/>
      <c r="P2154" s="5625"/>
      <c r="Q2154" s="5601"/>
      <c r="R2154" s="2468"/>
      <c r="S2154" s="276"/>
      <c r="T2154" s="162"/>
      <c r="U2154" s="547"/>
      <c r="V2154" s="547"/>
      <c r="W2154" s="162"/>
      <c r="X2154" s="265"/>
      <c r="Y2154" s="265"/>
      <c r="Z2154" s="982"/>
      <c r="AA2154" s="6301"/>
      <c r="AB2154" s="139"/>
      <c r="AC2154" s="139"/>
      <c r="AD2154" s="139"/>
      <c r="AE2154" s="139"/>
      <c r="AF2154" s="139"/>
      <c r="AG2154" s="139"/>
      <c r="AH2154" s="139"/>
      <c r="AI2154" s="139"/>
      <c r="AJ2154" s="139"/>
      <c r="AK2154" s="139"/>
      <c r="AL2154" s="139"/>
      <c r="AM2154" s="139"/>
      <c r="AN2154" s="139"/>
      <c r="AO2154" s="139"/>
      <c r="AP2154" s="139"/>
      <c r="AQ2154" s="139"/>
      <c r="AR2154" s="139"/>
      <c r="AS2154" s="139"/>
      <c r="AT2154" s="139"/>
      <c r="AU2154" s="139"/>
      <c r="AV2154" s="139"/>
      <c r="AW2154" s="139"/>
      <c r="AX2154" s="139"/>
      <c r="AY2154" s="139"/>
      <c r="AZ2154" s="139"/>
      <c r="BA2154" s="139"/>
      <c r="BB2154" s="139"/>
      <c r="BC2154" s="139"/>
      <c r="BD2154" s="139"/>
      <c r="BE2154" s="139"/>
      <c r="BF2154" s="139"/>
      <c r="BG2154" s="139"/>
      <c r="BH2154" s="139"/>
    </row>
    <row r="2155" spans="2:60" s="11" customFormat="1" ht="20.100000000000001" customHeight="1">
      <c r="B2155" s="1360"/>
      <c r="C2155" s="491" t="s">
        <v>1721</v>
      </c>
      <c r="D2155" s="497"/>
      <c r="E2155" s="497"/>
      <c r="F2155" s="285" t="s">
        <v>1476</v>
      </c>
      <c r="G2155" s="358"/>
      <c r="H2155" s="267" t="s">
        <v>150</v>
      </c>
      <c r="I2155" s="6280"/>
      <c r="J2155" s="268"/>
      <c r="K2155" s="105" t="s">
        <v>559</v>
      </c>
      <c r="L2155" s="5594"/>
      <c r="M2155" s="5658"/>
      <c r="N2155" s="5601"/>
      <c r="O2155" s="5666"/>
      <c r="P2155" s="5625"/>
      <c r="Q2155" s="5601"/>
      <c r="R2155" s="2468"/>
      <c r="S2155" s="276"/>
      <c r="T2155" s="162"/>
      <c r="U2155" s="547"/>
      <c r="V2155" s="547"/>
      <c r="W2155" s="162"/>
      <c r="X2155" s="265"/>
      <c r="Y2155" s="265"/>
      <c r="Z2155" s="982"/>
      <c r="AA2155" s="6301"/>
      <c r="AB2155" s="139"/>
      <c r="AC2155" s="139"/>
      <c r="AD2155" s="139"/>
      <c r="AE2155" s="139"/>
      <c r="AF2155" s="139"/>
      <c r="AG2155" s="139"/>
      <c r="AH2155" s="139"/>
      <c r="AI2155" s="139"/>
      <c r="AJ2155" s="139"/>
      <c r="AK2155" s="139"/>
      <c r="AL2155" s="139"/>
      <c r="AM2155" s="139"/>
      <c r="AN2155" s="139"/>
      <c r="AO2155" s="139"/>
      <c r="AP2155" s="139"/>
      <c r="AQ2155" s="139"/>
      <c r="AR2155" s="139"/>
      <c r="AS2155" s="139"/>
      <c r="AT2155" s="139"/>
      <c r="AU2155" s="139"/>
      <c r="AV2155" s="139"/>
      <c r="AW2155" s="139"/>
      <c r="AX2155" s="139"/>
      <c r="AY2155" s="139"/>
      <c r="AZ2155" s="139"/>
      <c r="BA2155" s="139"/>
      <c r="BB2155" s="139"/>
      <c r="BC2155" s="139"/>
      <c r="BD2155" s="139"/>
      <c r="BE2155" s="139"/>
      <c r="BF2155" s="139"/>
      <c r="BG2155" s="139"/>
      <c r="BH2155" s="139"/>
    </row>
    <row r="2156" spans="2:60" s="139" customFormat="1" ht="20.100000000000001" customHeight="1">
      <c r="B2156" s="1360"/>
      <c r="C2156" s="5762" t="s">
        <v>1727</v>
      </c>
      <c r="D2156" s="5762"/>
      <c r="E2156" s="5763"/>
      <c r="F2156" s="5766" t="s">
        <v>156</v>
      </c>
      <c r="G2156" s="6281"/>
      <c r="H2156" s="5769" t="s">
        <v>1728</v>
      </c>
      <c r="I2156" s="5770"/>
      <c r="J2156" s="5770"/>
      <c r="K2156" s="5766" t="s">
        <v>156</v>
      </c>
      <c r="L2156" s="5968" t="str">
        <f>IF(COUNTBLANK(L2157:L2162)&gt;0,"미취합법인有",AVERAGE(L2157:L2162))</f>
        <v>미취합법인有</v>
      </c>
      <c r="M2156" s="5657"/>
      <c r="N2156" s="5654" t="str">
        <f>IF(COUNTBLANK(N2157:N2162)&gt;0,"미취합법인有",AVERAGE(N2157:N2162))</f>
        <v>미취합법인有</v>
      </c>
      <c r="O2156" s="5663"/>
      <c r="P2156" s="5781" t="str">
        <f>IF(COUNTBLANK(P2157:P2162)&gt;0,"미취합법인有",AVERAGE(P2157:P2162))</f>
        <v>미취합법인有</v>
      </c>
      <c r="Q2156" s="785"/>
      <c r="R2156" s="2492" t="s">
        <v>1729</v>
      </c>
      <c r="S2156" s="1202" t="s">
        <v>1730</v>
      </c>
      <c r="T2156" s="508" t="s">
        <v>1731</v>
      </c>
      <c r="U2156" s="547"/>
      <c r="V2156" s="547"/>
      <c r="W2156" s="162"/>
      <c r="X2156" s="265" t="s">
        <v>1732</v>
      </c>
      <c r="Y2156" s="265"/>
      <c r="Z2156" s="982"/>
      <c r="AA2156" s="6301"/>
    </row>
    <row r="2157" spans="2:60" s="139" customFormat="1" ht="20.100000000000001" customHeight="1">
      <c r="B2157" s="1360"/>
      <c r="C2157" s="924" t="s">
        <v>1716</v>
      </c>
      <c r="D2157" s="1313"/>
      <c r="E2157" s="1313"/>
      <c r="F2157" s="285" t="s">
        <v>154</v>
      </c>
      <c r="G2157" s="1223"/>
      <c r="H2157" s="6133" t="s">
        <v>135</v>
      </c>
      <c r="I2157" s="6135"/>
      <c r="J2157" s="6134"/>
      <c r="K2157" s="105" t="s">
        <v>154</v>
      </c>
      <c r="L2157" s="5723">
        <f>L2164/L2171*100</f>
        <v>99.899193548387103</v>
      </c>
      <c r="M2157" s="6292"/>
      <c r="N2157" s="5993">
        <f>N2164/N2171*100</f>
        <v>100</v>
      </c>
      <c r="O2157" s="6293"/>
      <c r="P2157" s="6294">
        <f>P2164/P2171*100</f>
        <v>100</v>
      </c>
      <c r="Q2157" s="1212"/>
      <c r="R2157" s="2492"/>
      <c r="S2157" s="1202"/>
      <c r="T2157" s="508"/>
      <c r="U2157" s="547"/>
      <c r="V2157" s="547"/>
      <c r="W2157" s="162"/>
      <c r="X2157" s="265"/>
      <c r="Y2157" s="265"/>
      <c r="Z2157" s="982"/>
      <c r="AA2157" s="6301"/>
    </row>
    <row r="2158" spans="2:60" s="139" customFormat="1" ht="20.100000000000001" customHeight="1">
      <c r="B2158" s="1360"/>
      <c r="C2158" s="924" t="s">
        <v>1717</v>
      </c>
      <c r="D2158" s="1313"/>
      <c r="E2158" s="1313"/>
      <c r="F2158" s="285" t="s">
        <v>154</v>
      </c>
      <c r="G2158" s="1223"/>
      <c r="H2158" s="6133" t="s">
        <v>138</v>
      </c>
      <c r="I2158" s="6135"/>
      <c r="J2158" s="6134"/>
      <c r="K2158" s="105" t="s">
        <v>154</v>
      </c>
      <c r="L2158" s="5723">
        <f>L2165/L2172*100</f>
        <v>96.899224806201545</v>
      </c>
      <c r="M2158" s="5897"/>
      <c r="N2158" s="5993">
        <f>N2165/N2172*100</f>
        <v>99.375</v>
      </c>
      <c r="O2158" s="6295"/>
      <c r="P2158" s="6294">
        <f>P2165/P2172*100</f>
        <v>98.958333333333343</v>
      </c>
      <c r="Q2158" s="1212"/>
      <c r="R2158" s="2492"/>
      <c r="S2158" s="1202"/>
      <c r="T2158" s="508"/>
      <c r="U2158" s="547"/>
      <c r="V2158" s="547"/>
      <c r="W2158" s="162"/>
      <c r="X2158" s="265"/>
      <c r="Y2158" s="265"/>
      <c r="Z2158" s="982"/>
      <c r="AA2158" s="6301"/>
    </row>
    <row r="2159" spans="2:60" s="139" customFormat="1" ht="20.100000000000001" customHeight="1">
      <c r="B2159" s="1360"/>
      <c r="C2159" s="924" t="s">
        <v>1718</v>
      </c>
      <c r="D2159" s="1313"/>
      <c r="E2159" s="1313"/>
      <c r="F2159" s="285" t="s">
        <v>154</v>
      </c>
      <c r="G2159" s="1223"/>
      <c r="H2159" s="267" t="s">
        <v>141</v>
      </c>
      <c r="I2159" s="6280"/>
      <c r="J2159" s="268"/>
      <c r="K2159" s="105" t="s">
        <v>154</v>
      </c>
      <c r="L2159" s="5726" t="str">
        <f>China!AO455</f>
        <v>-</v>
      </c>
      <c r="M2159" s="5897"/>
      <c r="N2159" s="5885" t="str">
        <f>China!AQ455</f>
        <v>-</v>
      </c>
      <c r="O2159" s="6295"/>
      <c r="P2159" s="6294">
        <f>P2166/P2173*100</f>
        <v>100</v>
      </c>
      <c r="Q2159" s="1212"/>
      <c r="R2159" s="2492"/>
      <c r="S2159" s="1202"/>
      <c r="T2159" s="508"/>
      <c r="U2159" s="547"/>
      <c r="V2159" s="547"/>
      <c r="W2159" s="162"/>
      <c r="X2159" s="265"/>
      <c r="Y2159" s="265"/>
      <c r="Z2159" s="982"/>
      <c r="AA2159" s="6301"/>
    </row>
    <row r="2160" spans="2:60" s="139" customFormat="1" ht="20.100000000000001" customHeight="1">
      <c r="B2160" s="1360"/>
      <c r="C2160" s="924" t="s">
        <v>1719</v>
      </c>
      <c r="D2160" s="1313"/>
      <c r="E2160" s="1313"/>
      <c r="F2160" s="285" t="s">
        <v>154</v>
      </c>
      <c r="G2160" s="1223"/>
      <c r="H2160" s="267" t="s">
        <v>144</v>
      </c>
      <c r="I2160" s="6280"/>
      <c r="J2160" s="268"/>
      <c r="K2160" s="105" t="s">
        <v>154</v>
      </c>
      <c r="L2160" s="5726"/>
      <c r="M2160" s="5897"/>
      <c r="N2160" s="5885"/>
      <c r="O2160" s="6295"/>
      <c r="P2160" s="6295"/>
      <c r="Q2160" s="1212"/>
      <c r="R2160" s="2492"/>
      <c r="S2160" s="1202"/>
      <c r="T2160" s="508"/>
      <c r="U2160" s="547"/>
      <c r="V2160" s="547"/>
      <c r="W2160" s="162"/>
      <c r="X2160" s="265"/>
      <c r="Y2160" s="265"/>
      <c r="Z2160" s="982"/>
      <c r="AA2160" s="6301"/>
    </row>
    <row r="2161" spans="2:27" s="139" customFormat="1" ht="20.100000000000001" customHeight="1">
      <c r="B2161" s="1360"/>
      <c r="C2161" s="924" t="s">
        <v>1720</v>
      </c>
      <c r="D2161" s="1313"/>
      <c r="E2161" s="1313"/>
      <c r="F2161" s="285" t="s">
        <v>154</v>
      </c>
      <c r="G2161" s="1223"/>
      <c r="H2161" s="267" t="s">
        <v>147</v>
      </c>
      <c r="I2161" s="6280"/>
      <c r="J2161" s="268"/>
      <c r="K2161" s="105" t="s">
        <v>154</v>
      </c>
      <c r="L2161" s="5726"/>
      <c r="M2161" s="5897"/>
      <c r="N2161" s="5885"/>
      <c r="O2161" s="6295"/>
      <c r="P2161" s="6295"/>
      <c r="Q2161" s="1212"/>
      <c r="R2161" s="2492"/>
      <c r="S2161" s="1202"/>
      <c r="T2161" s="508"/>
      <c r="U2161" s="547"/>
      <c r="V2161" s="547"/>
      <c r="W2161" s="162"/>
      <c r="X2161" s="265"/>
      <c r="Y2161" s="265"/>
      <c r="Z2161" s="982"/>
      <c r="AA2161" s="6301"/>
    </row>
    <row r="2162" spans="2:27" s="139" customFormat="1" ht="20.100000000000001" customHeight="1">
      <c r="B2162" s="1360"/>
      <c r="C2162" s="924" t="s">
        <v>1721</v>
      </c>
      <c r="D2162" s="1313"/>
      <c r="E2162" s="1313"/>
      <c r="F2162" s="285" t="s">
        <v>154</v>
      </c>
      <c r="G2162" s="1223"/>
      <c r="H2162" s="267" t="s">
        <v>150</v>
      </c>
      <c r="I2162" s="6280"/>
      <c r="J2162" s="268"/>
      <c r="K2162" s="105" t="s">
        <v>154</v>
      </c>
      <c r="L2162" s="5726"/>
      <c r="M2162" s="5897"/>
      <c r="N2162" s="5885"/>
      <c r="O2162" s="6295"/>
      <c r="P2162" s="6295"/>
      <c r="Q2162" s="1212"/>
      <c r="R2162" s="2492"/>
      <c r="S2162" s="1202"/>
      <c r="T2162" s="508"/>
      <c r="U2162" s="547"/>
      <c r="V2162" s="547"/>
      <c r="W2162" s="162"/>
      <c r="X2162" s="265"/>
      <c r="Y2162" s="265"/>
      <c r="Z2162" s="982"/>
      <c r="AA2162" s="6301"/>
    </row>
    <row r="2163" spans="2:27" s="139" customFormat="1" ht="20.100000000000001" customHeight="1">
      <c r="B2163" s="1360"/>
      <c r="C2163" s="1352"/>
      <c r="D2163" s="5762" t="s">
        <v>1733</v>
      </c>
      <c r="E2163" s="5763"/>
      <c r="F2163" s="5766" t="s">
        <v>742</v>
      </c>
      <c r="G2163" s="6281"/>
      <c r="H2163" s="6281"/>
      <c r="I2163" s="5770" t="s">
        <v>1734</v>
      </c>
      <c r="J2163" s="5770"/>
      <c r="K2163" s="5766" t="s">
        <v>734</v>
      </c>
      <c r="L2163" s="5653" t="str">
        <f>IF(COUNTBLANK(L2164:L2169)&gt;0,"미취합법인有",SUM(L2164:L2169))</f>
        <v>미취합법인有</v>
      </c>
      <c r="M2163" s="5657"/>
      <c r="N2163" s="5654" t="str">
        <f>IF(COUNTBLANK(N2164:N2169)&gt;0,"미취합법인有",SUM(N2164:N2169))</f>
        <v>미취합법인有</v>
      </c>
      <c r="O2163" s="5663"/>
      <c r="P2163" s="5781" t="str">
        <f>IF(COUNTBLANK(P2164:P2169)&gt;0,"미취합법인有",SUM(P2164:P2169))</f>
        <v>미취합법인有</v>
      </c>
      <c r="Q2163" s="396"/>
      <c r="R2163" s="2492" t="s">
        <v>1735</v>
      </c>
      <c r="S2163" s="367" t="s">
        <v>1736</v>
      </c>
      <c r="T2163" s="508" t="s">
        <v>1731</v>
      </c>
      <c r="U2163" s="547"/>
      <c r="V2163" s="547"/>
      <c r="W2163" s="162"/>
      <c r="X2163" s="265" t="s">
        <v>1732</v>
      </c>
      <c r="Y2163" s="265" t="s">
        <v>527</v>
      </c>
      <c r="Z2163" s="982"/>
      <c r="AA2163" s="6301"/>
    </row>
    <row r="2164" spans="2:27" s="139" customFormat="1" ht="20.100000000000001" customHeight="1">
      <c r="B2164" s="1546"/>
      <c r="C2164" s="5753"/>
      <c r="D2164" s="5754" t="s">
        <v>1716</v>
      </c>
      <c r="E2164" s="5755"/>
      <c r="F2164" s="997" t="s">
        <v>732</v>
      </c>
      <c r="G2164" s="6282"/>
      <c r="H2164" s="6282"/>
      <c r="I2164" s="9579" t="s">
        <v>135</v>
      </c>
      <c r="J2164" s="9581"/>
      <c r="K2164" s="119" t="s">
        <v>734</v>
      </c>
      <c r="L2164" s="5756">
        <v>991</v>
      </c>
      <c r="M2164" s="5757"/>
      <c r="N2164" s="5758">
        <v>1023</v>
      </c>
      <c r="O2164" s="5667"/>
      <c r="P2164" s="5759">
        <v>1035</v>
      </c>
      <c r="Q2164" s="5758"/>
      <c r="R2164" s="5760"/>
      <c r="S2164" s="1164"/>
      <c r="T2164" s="5761"/>
      <c r="U2164" s="1101"/>
      <c r="V2164" s="1102"/>
      <c r="W2164" s="165"/>
      <c r="X2164" s="265"/>
      <c r="Y2164" s="265"/>
      <c r="Z2164" s="982"/>
      <c r="AA2164" s="6301"/>
    </row>
    <row r="2165" spans="2:27" s="139" customFormat="1" ht="20.100000000000001" customHeight="1">
      <c r="B2165" s="1546"/>
      <c r="C2165" s="5753"/>
      <c r="D2165" s="5754" t="s">
        <v>1717</v>
      </c>
      <c r="E2165" s="5755"/>
      <c r="F2165" s="997" t="s">
        <v>732</v>
      </c>
      <c r="G2165" s="6282"/>
      <c r="H2165" s="6282"/>
      <c r="I2165" s="9579" t="s">
        <v>138</v>
      </c>
      <c r="J2165" s="9581"/>
      <c r="K2165" s="119" t="s">
        <v>734</v>
      </c>
      <c r="L2165" s="5756">
        <v>125</v>
      </c>
      <c r="M2165" s="5757"/>
      <c r="N2165" s="5758">
        <v>159</v>
      </c>
      <c r="O2165" s="5667"/>
      <c r="P2165" s="5759">
        <v>190</v>
      </c>
      <c r="Q2165" s="5758"/>
      <c r="R2165" s="5760"/>
      <c r="S2165" s="1164"/>
      <c r="T2165" s="5761"/>
      <c r="U2165" s="1101"/>
      <c r="V2165" s="1102"/>
      <c r="W2165" s="165"/>
      <c r="X2165" s="265"/>
      <c r="Y2165" s="265"/>
      <c r="Z2165" s="982"/>
      <c r="AA2165" s="6301"/>
    </row>
    <row r="2166" spans="2:27" s="139" customFormat="1" ht="20.100000000000001" customHeight="1">
      <c r="B2166" s="1546"/>
      <c r="C2166" s="5753"/>
      <c r="D2166" s="5754" t="s">
        <v>1718</v>
      </c>
      <c r="E2166" s="5755"/>
      <c r="F2166" s="997" t="s">
        <v>732</v>
      </c>
      <c r="G2166" s="6282"/>
      <c r="H2166" s="6282"/>
      <c r="I2166" s="9582" t="s">
        <v>141</v>
      </c>
      <c r="J2166" s="9583"/>
      <c r="K2166" s="119" t="s">
        <v>734</v>
      </c>
      <c r="L2166" s="5756">
        <v>0</v>
      </c>
      <c r="M2166" s="5757"/>
      <c r="N2166" s="5758">
        <v>0</v>
      </c>
      <c r="O2166" s="5667"/>
      <c r="P2166" s="5759">
        <v>750</v>
      </c>
      <c r="Q2166" s="5758"/>
      <c r="R2166" s="5760"/>
      <c r="S2166" s="1164"/>
      <c r="T2166" s="5761"/>
      <c r="U2166" s="1101"/>
      <c r="V2166" s="1102"/>
      <c r="W2166" s="165"/>
      <c r="X2166" s="265"/>
      <c r="Y2166" s="265"/>
      <c r="Z2166" s="982"/>
      <c r="AA2166" s="6301"/>
    </row>
    <row r="2167" spans="2:27" s="139" customFormat="1" ht="20.100000000000001" customHeight="1">
      <c r="B2167" s="1546"/>
      <c r="C2167" s="5753"/>
      <c r="D2167" s="5754" t="s">
        <v>1719</v>
      </c>
      <c r="E2167" s="5755"/>
      <c r="F2167" s="997" t="s">
        <v>732</v>
      </c>
      <c r="G2167" s="6282"/>
      <c r="H2167" s="6282"/>
      <c r="I2167" s="9582" t="s">
        <v>144</v>
      </c>
      <c r="J2167" s="9583"/>
      <c r="K2167" s="119" t="s">
        <v>734</v>
      </c>
      <c r="L2167" s="5756"/>
      <c r="M2167" s="5757"/>
      <c r="N2167" s="5758"/>
      <c r="O2167" s="5667"/>
      <c r="P2167" s="5759"/>
      <c r="Q2167" s="5758"/>
      <c r="R2167" s="5760"/>
      <c r="S2167" s="1164"/>
      <c r="T2167" s="5761"/>
      <c r="U2167" s="1101"/>
      <c r="V2167" s="1102"/>
      <c r="W2167" s="165"/>
      <c r="X2167" s="265"/>
      <c r="Y2167" s="265"/>
      <c r="Z2167" s="982"/>
      <c r="AA2167" s="6301"/>
    </row>
    <row r="2168" spans="2:27" s="139" customFormat="1" ht="20.100000000000001" customHeight="1">
      <c r="B2168" s="1546"/>
      <c r="C2168" s="5753"/>
      <c r="D2168" s="5754" t="s">
        <v>1720</v>
      </c>
      <c r="E2168" s="5755"/>
      <c r="F2168" s="997" t="s">
        <v>732</v>
      </c>
      <c r="G2168" s="6282"/>
      <c r="H2168" s="6282"/>
      <c r="I2168" s="9582" t="s">
        <v>147</v>
      </c>
      <c r="J2168" s="9583"/>
      <c r="K2168" s="119" t="s">
        <v>734</v>
      </c>
      <c r="L2168" s="5756"/>
      <c r="M2168" s="5757"/>
      <c r="N2168" s="5885"/>
      <c r="O2168" s="5667"/>
      <c r="P2168" s="5885"/>
      <c r="Q2168" s="5758"/>
      <c r="R2168" s="5760"/>
      <c r="S2168" s="1164"/>
      <c r="T2168" s="5761"/>
      <c r="U2168" s="1101"/>
      <c r="V2168" s="1102"/>
      <c r="W2168" s="165"/>
      <c r="X2168" s="265"/>
      <c r="Y2168" s="265"/>
      <c r="Z2168" s="982"/>
      <c r="AA2168" s="6301"/>
    </row>
    <row r="2169" spans="2:27" s="139" customFormat="1" ht="20.100000000000001" customHeight="1">
      <c r="B2169" s="1546"/>
      <c r="C2169" s="5753"/>
      <c r="D2169" s="5754" t="s">
        <v>1721</v>
      </c>
      <c r="E2169" s="5755"/>
      <c r="F2169" s="997" t="s">
        <v>732</v>
      </c>
      <c r="G2169" s="6282"/>
      <c r="H2169" s="6282"/>
      <c r="I2169" s="9582" t="s">
        <v>150</v>
      </c>
      <c r="J2169" s="9583"/>
      <c r="K2169" s="119" t="s">
        <v>734</v>
      </c>
      <c r="L2169" s="5726"/>
      <c r="M2169" s="5897"/>
      <c r="N2169" s="5885"/>
      <c r="O2169" s="6324"/>
      <c r="P2169" s="5885"/>
      <c r="Q2169" s="5758"/>
      <c r="R2169" s="5760"/>
      <c r="S2169" s="1164"/>
      <c r="T2169" s="5761"/>
      <c r="U2169" s="1101"/>
      <c r="V2169" s="1102"/>
      <c r="W2169" s="165"/>
      <c r="X2169" s="265"/>
      <c r="Y2169" s="265"/>
      <c r="Z2169" s="982"/>
      <c r="AA2169" s="6301"/>
    </row>
    <row r="2170" spans="2:27" s="139" customFormat="1" ht="33">
      <c r="B2170" s="1546"/>
      <c r="C2170" s="5753"/>
      <c r="D2170" s="5762" t="s">
        <v>1737</v>
      </c>
      <c r="E2170" s="5763"/>
      <c r="F2170" s="5766" t="s">
        <v>742</v>
      </c>
      <c r="G2170" s="6283"/>
      <c r="H2170" s="6284"/>
      <c r="I2170" s="5609" t="s">
        <v>1738</v>
      </c>
      <c r="J2170" s="5609"/>
      <c r="K2170" s="5766" t="s">
        <v>734</v>
      </c>
      <c r="L2170" s="5653" t="str">
        <f>IF(COUNTBLANK(L2171:L2176)&gt;0,"미취합법인有",SUM(L2171:L2176))</f>
        <v>미취합법인有</v>
      </c>
      <c r="M2170" s="5657"/>
      <c r="N2170" s="5654" t="str">
        <f>IF(COUNTBLANK(N2171:N2176)&gt;0,"미취합법인有",SUM(N2171:N2176))</f>
        <v>미취합법인有</v>
      </c>
      <c r="O2170" s="5657"/>
      <c r="P2170" s="5654" t="str">
        <f>IF(COUNTBLANK(P2171:P2176)&gt;0,"미취합법인有",SUM(P2171:P2176))</f>
        <v>미취합법인有</v>
      </c>
      <c r="Q2170" s="396"/>
      <c r="R2170" s="1052" t="s">
        <v>1739</v>
      </c>
      <c r="S2170" s="1164" t="s">
        <v>1740</v>
      </c>
      <c r="T2170" s="5761" t="s">
        <v>1731</v>
      </c>
      <c r="U2170" s="1101"/>
      <c r="V2170" s="1102"/>
      <c r="W2170" s="165"/>
      <c r="X2170" s="265" t="s">
        <v>1732</v>
      </c>
      <c r="Y2170" s="265"/>
      <c r="Z2170" s="982"/>
      <c r="AA2170" s="6301"/>
    </row>
    <row r="2171" spans="2:27" s="139" customFormat="1" ht="22.9" customHeight="1">
      <c r="B2171" s="1546"/>
      <c r="C2171" s="5753"/>
      <c r="D2171" s="5754" t="s">
        <v>1716</v>
      </c>
      <c r="E2171" s="5755"/>
      <c r="F2171" s="997" t="s">
        <v>732</v>
      </c>
      <c r="G2171" s="6282"/>
      <c r="H2171" s="6282"/>
      <c r="I2171" s="9579" t="s">
        <v>135</v>
      </c>
      <c r="J2171" s="9581"/>
      <c r="K2171" s="5833" t="s">
        <v>734</v>
      </c>
      <c r="L2171" s="5756">
        <v>992</v>
      </c>
      <c r="M2171" s="5757"/>
      <c r="N2171" s="5758">
        <v>1023</v>
      </c>
      <c r="O2171" s="6325"/>
      <c r="P2171" s="6323">
        <v>1035</v>
      </c>
      <c r="Q2171" s="5601"/>
      <c r="R2171" s="276"/>
      <c r="S2171" s="367"/>
      <c r="T2171" s="508"/>
      <c r="U2171" s="547"/>
      <c r="V2171" s="547"/>
      <c r="W2171" s="165"/>
      <c r="X2171" s="265"/>
      <c r="Y2171" s="265"/>
      <c r="Z2171" s="982"/>
      <c r="AA2171" s="6301"/>
    </row>
    <row r="2172" spans="2:27" s="139" customFormat="1" ht="22.9" customHeight="1">
      <c r="B2172" s="1546"/>
      <c r="C2172" s="5753"/>
      <c r="D2172" s="5754" t="s">
        <v>1717</v>
      </c>
      <c r="E2172" s="5755"/>
      <c r="F2172" s="997" t="s">
        <v>732</v>
      </c>
      <c r="G2172" s="6127"/>
      <c r="H2172" s="6127"/>
      <c r="I2172" s="9579" t="s">
        <v>138</v>
      </c>
      <c r="J2172" s="9581"/>
      <c r="K2172" s="5833" t="s">
        <v>734</v>
      </c>
      <c r="L2172" s="5757">
        <v>129</v>
      </c>
      <c r="M2172" s="5757"/>
      <c r="N2172" s="5758">
        <v>160</v>
      </c>
      <c r="O2172" s="5667"/>
      <c r="P2172" s="5759">
        <v>192</v>
      </c>
      <c r="Q2172" s="5758"/>
      <c r="R2172" s="276"/>
      <c r="S2172" s="367"/>
      <c r="T2172" s="508"/>
      <c r="U2172" s="547"/>
      <c r="V2172" s="547"/>
      <c r="W2172" s="165"/>
      <c r="X2172" s="265"/>
      <c r="Y2172" s="265"/>
      <c r="Z2172" s="982"/>
      <c r="AA2172" s="6301"/>
    </row>
    <row r="2173" spans="2:27" s="139" customFormat="1" ht="22.9" customHeight="1">
      <c r="B2173" s="1546"/>
      <c r="C2173" s="5753"/>
      <c r="D2173" s="5754" t="s">
        <v>1718</v>
      </c>
      <c r="E2173" s="5755"/>
      <c r="F2173" s="997" t="s">
        <v>732</v>
      </c>
      <c r="G2173" s="6127"/>
      <c r="H2173" s="6127"/>
      <c r="I2173" s="9582" t="s">
        <v>141</v>
      </c>
      <c r="J2173" s="9583"/>
      <c r="K2173" s="5833" t="s">
        <v>734</v>
      </c>
      <c r="L2173" s="5757">
        <v>0</v>
      </c>
      <c r="M2173" s="5757"/>
      <c r="N2173" s="5758">
        <v>0</v>
      </c>
      <c r="O2173" s="5667"/>
      <c r="P2173" s="5759">
        <v>750</v>
      </c>
      <c r="Q2173" s="5758"/>
      <c r="R2173" s="276"/>
      <c r="S2173" s="367"/>
      <c r="T2173" s="508"/>
      <c r="U2173" s="547"/>
      <c r="V2173" s="547"/>
      <c r="W2173" s="165"/>
      <c r="X2173" s="265"/>
      <c r="Y2173" s="265"/>
      <c r="Z2173" s="982"/>
      <c r="AA2173" s="6301"/>
    </row>
    <row r="2174" spans="2:27" s="139" customFormat="1" ht="22.9" customHeight="1">
      <c r="B2174" s="1546"/>
      <c r="C2174" s="5753"/>
      <c r="D2174" s="5754" t="s">
        <v>1719</v>
      </c>
      <c r="E2174" s="5755"/>
      <c r="F2174" s="997" t="s">
        <v>732</v>
      </c>
      <c r="G2174" s="6127"/>
      <c r="H2174" s="6127"/>
      <c r="I2174" s="9582" t="s">
        <v>144</v>
      </c>
      <c r="J2174" s="9583"/>
      <c r="K2174" s="5833" t="s">
        <v>734</v>
      </c>
      <c r="L2174" s="5757"/>
      <c r="M2174" s="5757"/>
      <c r="N2174" s="5758"/>
      <c r="O2174" s="5667"/>
      <c r="P2174" s="5759"/>
      <c r="Q2174" s="5758"/>
      <c r="R2174" s="276"/>
      <c r="S2174" s="367"/>
      <c r="T2174" s="508"/>
      <c r="U2174" s="547"/>
      <c r="V2174" s="547"/>
      <c r="W2174" s="165"/>
      <c r="X2174" s="265"/>
      <c r="Y2174" s="265"/>
      <c r="Z2174" s="982"/>
      <c r="AA2174" s="6301"/>
    </row>
    <row r="2175" spans="2:27" s="139" customFormat="1" ht="22.9" customHeight="1">
      <c r="B2175" s="1546"/>
      <c r="C2175" s="5753"/>
      <c r="D2175" s="5754" t="s">
        <v>1720</v>
      </c>
      <c r="E2175" s="5755"/>
      <c r="F2175" s="997" t="s">
        <v>732</v>
      </c>
      <c r="G2175" s="6127"/>
      <c r="H2175" s="6127"/>
      <c r="I2175" s="9582" t="s">
        <v>147</v>
      </c>
      <c r="J2175" s="9583"/>
      <c r="K2175" s="5833" t="s">
        <v>734</v>
      </c>
      <c r="L2175" s="5757"/>
      <c r="M2175" s="5757"/>
      <c r="N2175" s="5758"/>
      <c r="O2175" s="5667"/>
      <c r="P2175" s="5759"/>
      <c r="Q2175" s="5758"/>
      <c r="R2175" s="276"/>
      <c r="S2175" s="367"/>
      <c r="T2175" s="508"/>
      <c r="U2175" s="547"/>
      <c r="V2175" s="547"/>
      <c r="W2175" s="165"/>
      <c r="X2175" s="265"/>
      <c r="Y2175" s="265"/>
      <c r="Z2175" s="982"/>
      <c r="AA2175" s="6301"/>
    </row>
    <row r="2176" spans="2:27" s="139" customFormat="1" ht="22.9" customHeight="1" thickBot="1">
      <c r="B2176" s="1361"/>
      <c r="C2176" s="1326"/>
      <c r="D2176" s="5764" t="s">
        <v>1721</v>
      </c>
      <c r="E2176" s="5765"/>
      <c r="F2176" s="706" t="s">
        <v>732</v>
      </c>
      <c r="G2176" s="6128"/>
      <c r="H2176" s="6128"/>
      <c r="I2176" s="9589" t="s">
        <v>150</v>
      </c>
      <c r="J2176" s="9590"/>
      <c r="K2176" s="5834" t="s">
        <v>734</v>
      </c>
      <c r="L2176" s="5662"/>
      <c r="M2176" s="5662"/>
      <c r="N2176" s="5613"/>
      <c r="O2176" s="5668"/>
      <c r="P2176" s="5652"/>
      <c r="Q2176" s="5613"/>
      <c r="R2176" s="595"/>
      <c r="S2176" s="1179"/>
      <c r="T2176" s="6129"/>
      <c r="U2176" s="597"/>
      <c r="V2176" s="597"/>
      <c r="W2176" s="1338"/>
      <c r="X2176" s="1339"/>
      <c r="Y2176" s="6322"/>
      <c r="Z2176" s="1341"/>
      <c r="AA2176" s="6301"/>
    </row>
    <row r="2177" spans="1:60">
      <c r="C2177" s="6404"/>
      <c r="D2177" s="6404"/>
      <c r="E2177" s="6404"/>
      <c r="G2177" s="6410"/>
      <c r="H2177" s="6410"/>
      <c r="I2177" s="6410"/>
      <c r="J2177" s="6410"/>
      <c r="L2177" s="6411"/>
      <c r="M2177" s="6411"/>
      <c r="N2177" s="6411"/>
      <c r="O2177" s="6411"/>
      <c r="P2177" s="6411"/>
      <c r="Q2177" s="6411"/>
    </row>
    <row r="2178" spans="1:60">
      <c r="L2178" s="6411"/>
      <c r="M2178" s="6411"/>
      <c r="N2178" s="6411"/>
      <c r="O2178" s="6411"/>
      <c r="P2178" s="6411"/>
      <c r="Q2178" s="6411"/>
    </row>
    <row r="2179" spans="1:60" s="24" customFormat="1">
      <c r="A2179" s="139"/>
      <c r="B2179" s="139"/>
      <c r="C2179" s="139"/>
      <c r="D2179" s="139"/>
      <c r="E2179" s="139"/>
      <c r="F2179" s="139"/>
      <c r="G2179" s="6412"/>
      <c r="H2179" s="6412"/>
      <c r="I2179" s="6412"/>
      <c r="J2179" s="6412"/>
      <c r="K2179" s="139"/>
      <c r="L2179" s="6411"/>
      <c r="M2179" s="6411"/>
      <c r="N2179" s="6411"/>
      <c r="O2179" s="6411"/>
      <c r="P2179" s="6411"/>
      <c r="Q2179" s="6411"/>
      <c r="R2179" s="1287"/>
      <c r="S2179" s="1287"/>
      <c r="T2179" s="139"/>
      <c r="U2179" s="139"/>
      <c r="V2179" s="139"/>
      <c r="W2179" s="139"/>
      <c r="X2179" s="10"/>
      <c r="Y2179" s="10"/>
      <c r="Z2179" s="10"/>
      <c r="AA2179" s="6301"/>
      <c r="AB2179" s="139"/>
      <c r="AC2179" s="1287"/>
      <c r="AD2179" s="1287"/>
      <c r="AE2179" s="1287"/>
      <c r="AF2179" s="1287"/>
      <c r="AG2179" s="1287"/>
      <c r="AH2179" s="1287"/>
      <c r="AI2179" s="1287"/>
      <c r="AJ2179" s="1287"/>
      <c r="AK2179" s="1287"/>
      <c r="AL2179" s="1287"/>
      <c r="AM2179" s="1287"/>
      <c r="AN2179" s="1287"/>
      <c r="AO2179" s="1287"/>
      <c r="AP2179" s="1287"/>
      <c r="AQ2179" s="1287"/>
      <c r="AR2179" s="1287"/>
      <c r="AS2179" s="1287"/>
      <c r="AT2179" s="1287"/>
      <c r="AU2179" s="1287"/>
      <c r="AV2179" s="1287"/>
      <c r="AW2179" s="1287"/>
      <c r="AX2179" s="1287"/>
      <c r="AY2179" s="1287"/>
      <c r="AZ2179" s="1287"/>
      <c r="BA2179" s="1287"/>
      <c r="BB2179" s="1287"/>
      <c r="BC2179" s="1287"/>
      <c r="BD2179" s="1287"/>
      <c r="BE2179" s="1287"/>
      <c r="BF2179" s="1287"/>
      <c r="BG2179" s="1287"/>
      <c r="BH2179" s="1287"/>
    </row>
    <row r="2180" spans="1:60" s="24" customFormat="1">
      <c r="A2180" s="139"/>
      <c r="B2180" s="139"/>
      <c r="C2180" s="139"/>
      <c r="D2180" s="139"/>
      <c r="E2180" s="139"/>
      <c r="F2180" s="139"/>
      <c r="G2180" s="6412"/>
      <c r="H2180" s="6412"/>
      <c r="I2180" s="6412"/>
      <c r="J2180" s="6412"/>
      <c r="K2180" s="139"/>
      <c r="L2180" s="6411"/>
      <c r="M2180" s="6411"/>
      <c r="N2180" s="6411"/>
      <c r="O2180" s="6411"/>
      <c r="P2180" s="6411"/>
      <c r="Q2180" s="6411"/>
      <c r="R2180" s="1287"/>
      <c r="S2180" s="1287"/>
      <c r="T2180" s="139"/>
      <c r="U2180" s="139"/>
      <c r="V2180" s="139"/>
      <c r="W2180" s="139"/>
      <c r="X2180" s="10"/>
      <c r="Y2180" s="10"/>
      <c r="Z2180" s="10"/>
      <c r="AA2180" s="6301"/>
      <c r="AB2180" s="139"/>
      <c r="AC2180" s="1287"/>
      <c r="AD2180" s="1287"/>
      <c r="AE2180" s="1287"/>
      <c r="AF2180" s="1287"/>
      <c r="AG2180" s="1287"/>
      <c r="AH2180" s="1287"/>
      <c r="AI2180" s="1287"/>
      <c r="AJ2180" s="1287"/>
      <c r="AK2180" s="1287"/>
      <c r="AL2180" s="1287"/>
      <c r="AM2180" s="1287"/>
      <c r="AN2180" s="1287"/>
      <c r="AO2180" s="1287"/>
      <c r="AP2180" s="1287"/>
      <c r="AQ2180" s="1287"/>
      <c r="AR2180" s="1287"/>
      <c r="AS2180" s="1287"/>
      <c r="AT2180" s="1287"/>
      <c r="AU2180" s="1287"/>
      <c r="AV2180" s="1287"/>
      <c r="AW2180" s="1287"/>
      <c r="AX2180" s="1287"/>
      <c r="AY2180" s="1287"/>
      <c r="AZ2180" s="1287"/>
      <c r="BA2180" s="1287"/>
      <c r="BB2180" s="1287"/>
      <c r="BC2180" s="1287"/>
      <c r="BD2180" s="1287"/>
      <c r="BE2180" s="1287"/>
      <c r="BF2180" s="1287"/>
      <c r="BG2180" s="1287"/>
      <c r="BH2180" s="1287"/>
    </row>
    <row r="2181" spans="1:60" s="24" customFormat="1">
      <c r="A2181" s="139"/>
      <c r="B2181" s="139"/>
      <c r="C2181" s="139"/>
      <c r="D2181" s="139"/>
      <c r="E2181" s="139"/>
      <c r="F2181" s="139"/>
      <c r="G2181" s="6412"/>
      <c r="H2181" s="6412"/>
      <c r="I2181" s="6412"/>
      <c r="J2181" s="6412"/>
      <c r="K2181" s="139"/>
      <c r="L2181" s="6411"/>
      <c r="M2181" s="6411"/>
      <c r="N2181" s="6411"/>
      <c r="O2181" s="6411"/>
      <c r="P2181" s="6411"/>
      <c r="Q2181" s="6411"/>
      <c r="R2181" s="1287"/>
      <c r="S2181" s="1287"/>
      <c r="T2181" s="139"/>
      <c r="U2181" s="139"/>
      <c r="V2181" s="139"/>
      <c r="W2181" s="139"/>
      <c r="X2181" s="10"/>
      <c r="Y2181" s="10"/>
      <c r="Z2181" s="10"/>
      <c r="AA2181" s="6301"/>
      <c r="AB2181" s="139"/>
      <c r="AC2181" s="1287"/>
      <c r="AD2181" s="1287"/>
      <c r="AE2181" s="1287"/>
      <c r="AF2181" s="1287"/>
      <c r="AG2181" s="1287"/>
      <c r="AH2181" s="1287"/>
      <c r="AI2181" s="1287"/>
      <c r="AJ2181" s="1287"/>
      <c r="AK2181" s="1287"/>
      <c r="AL2181" s="1287"/>
      <c r="AM2181" s="1287"/>
      <c r="AN2181" s="1287"/>
      <c r="AO2181" s="1287"/>
      <c r="AP2181" s="1287"/>
      <c r="AQ2181" s="1287"/>
      <c r="AR2181" s="1287"/>
      <c r="AS2181" s="1287"/>
      <c r="AT2181" s="1287"/>
      <c r="AU2181" s="1287"/>
      <c r="AV2181" s="1287"/>
      <c r="AW2181" s="1287"/>
      <c r="AX2181" s="1287"/>
      <c r="AY2181" s="1287"/>
      <c r="AZ2181" s="1287"/>
      <c r="BA2181" s="1287"/>
      <c r="BB2181" s="1287"/>
      <c r="BC2181" s="1287"/>
      <c r="BD2181" s="1287"/>
      <c r="BE2181" s="1287"/>
      <c r="BF2181" s="1287"/>
      <c r="BG2181" s="1287"/>
      <c r="BH2181" s="1287"/>
    </row>
    <row r="2188" spans="1:60">
      <c r="W2188" s="35"/>
    </row>
  </sheetData>
  <autoFilter ref="B13:AA2176" xr:uid="{84B1DD60-0C92-4670-BF3F-2EF620B35AC7}"/>
  <mergeCells count="3880">
    <mergeCell ref="I2171:J2171"/>
    <mergeCell ref="I2172:J2172"/>
    <mergeCell ref="I2173:J2173"/>
    <mergeCell ref="I2174:J2174"/>
    <mergeCell ref="I2175:J2175"/>
    <mergeCell ref="I2176:J2176"/>
    <mergeCell ref="C2019:E2019"/>
    <mergeCell ref="H2019:J2019"/>
    <mergeCell ref="H2016:K2016"/>
    <mergeCell ref="C2023:E2023"/>
    <mergeCell ref="C2026:E2026"/>
    <mergeCell ref="C2029:E2029"/>
    <mergeCell ref="C2033:E2033"/>
    <mergeCell ref="H2033:J2033"/>
    <mergeCell ref="H2029:J2029"/>
    <mergeCell ref="H2026:J2026"/>
    <mergeCell ref="H2023:J2023"/>
    <mergeCell ref="C2038:E2038"/>
    <mergeCell ref="H2038:J2038"/>
    <mergeCell ref="H2041:J2041"/>
    <mergeCell ref="H2044:J2044"/>
    <mergeCell ref="H2127:J2127"/>
    <mergeCell ref="C2127:E2127"/>
    <mergeCell ref="I2164:J2164"/>
    <mergeCell ref="I2165:J2165"/>
    <mergeCell ref="I2166:J2166"/>
    <mergeCell ref="I2167:J2167"/>
    <mergeCell ref="I2168:J2168"/>
    <mergeCell ref="I2169:J2169"/>
    <mergeCell ref="I2123:J2123"/>
    <mergeCell ref="I2124:J2124"/>
    <mergeCell ref="I2125:J2125"/>
    <mergeCell ref="I2126:J2126"/>
    <mergeCell ref="I2129:J2129"/>
    <mergeCell ref="I2130:J2130"/>
    <mergeCell ref="I2131:J2131"/>
    <mergeCell ref="I2132:J2132"/>
    <mergeCell ref="I2133:J2133"/>
    <mergeCell ref="I2134:J2134"/>
    <mergeCell ref="I2136:J2136"/>
    <mergeCell ref="I2137:J2137"/>
    <mergeCell ref="I2138:J2138"/>
    <mergeCell ref="I2139:J2139"/>
    <mergeCell ref="I2140:J2140"/>
    <mergeCell ref="I2141:J2141"/>
    <mergeCell ref="I2103:J2103"/>
    <mergeCell ref="I2104:J2104"/>
    <mergeCell ref="I2105:J2105"/>
    <mergeCell ref="I2107:J2107"/>
    <mergeCell ref="I2108:J2108"/>
    <mergeCell ref="I2109:J2109"/>
    <mergeCell ref="I2110:J2110"/>
    <mergeCell ref="I2111:J2111"/>
    <mergeCell ref="I2112:J2112"/>
    <mergeCell ref="I2114:J2114"/>
    <mergeCell ref="I2115:J2115"/>
    <mergeCell ref="I2116:J2116"/>
    <mergeCell ref="I2117:J2117"/>
    <mergeCell ref="I2118:J2118"/>
    <mergeCell ref="I2119:J2119"/>
    <mergeCell ref="I2121:J2121"/>
    <mergeCell ref="I2122:J2122"/>
    <mergeCell ref="I2083:J2083"/>
    <mergeCell ref="I2084:J2084"/>
    <mergeCell ref="I2086:J2086"/>
    <mergeCell ref="I2087:J2087"/>
    <mergeCell ref="I2088:J2088"/>
    <mergeCell ref="I2089:J2089"/>
    <mergeCell ref="I2090:J2090"/>
    <mergeCell ref="I2091:J2091"/>
    <mergeCell ref="I2093:J2093"/>
    <mergeCell ref="I2094:J2094"/>
    <mergeCell ref="I2095:J2095"/>
    <mergeCell ref="I2096:J2096"/>
    <mergeCell ref="I2097:J2097"/>
    <mergeCell ref="I2098:J2098"/>
    <mergeCell ref="I2100:J2100"/>
    <mergeCell ref="I2101:J2101"/>
    <mergeCell ref="I2102:J2102"/>
    <mergeCell ref="I2062:J2062"/>
    <mergeCell ref="I2065:J2065"/>
    <mergeCell ref="I2066:J2066"/>
    <mergeCell ref="I2067:J2067"/>
    <mergeCell ref="I2068:J2068"/>
    <mergeCell ref="I2069:J2069"/>
    <mergeCell ref="I2070:J2070"/>
    <mergeCell ref="I2072:J2072"/>
    <mergeCell ref="I2073:J2073"/>
    <mergeCell ref="I2074:J2074"/>
    <mergeCell ref="I2075:J2075"/>
    <mergeCell ref="I2076:J2076"/>
    <mergeCell ref="I2077:J2077"/>
    <mergeCell ref="I2079:J2079"/>
    <mergeCell ref="I2080:J2080"/>
    <mergeCell ref="I2081:J2081"/>
    <mergeCell ref="I2082:J2082"/>
    <mergeCell ref="I1706:J1706"/>
    <mergeCell ref="I1974:J1974"/>
    <mergeCell ref="H1981:J1981"/>
    <mergeCell ref="H1945:J1945"/>
    <mergeCell ref="H1952:J1952"/>
    <mergeCell ref="H1959:J1959"/>
    <mergeCell ref="I2050:J2050"/>
    <mergeCell ref="I2051:J2051"/>
    <mergeCell ref="I2052:J2052"/>
    <mergeCell ref="I2053:J2053"/>
    <mergeCell ref="I2054:J2054"/>
    <mergeCell ref="I2055:J2055"/>
    <mergeCell ref="I2057:J2057"/>
    <mergeCell ref="I2058:J2058"/>
    <mergeCell ref="I2059:J2059"/>
    <mergeCell ref="I2060:J2060"/>
    <mergeCell ref="I2061:J2061"/>
    <mergeCell ref="H1909:J1909"/>
    <mergeCell ref="I1902:J1902"/>
    <mergeCell ref="I1895:J1895"/>
    <mergeCell ref="H1888:J1888"/>
    <mergeCell ref="I1881:J1881"/>
    <mergeCell ref="I1874:J1874"/>
    <mergeCell ref="H1867:J1867"/>
    <mergeCell ref="I1860:J1860"/>
    <mergeCell ref="I1853:J1853"/>
    <mergeCell ref="H1846:J1846"/>
    <mergeCell ref="I1839:J1839"/>
    <mergeCell ref="I1832:J1832"/>
    <mergeCell ref="H1825:J1825"/>
    <mergeCell ref="H1818:J1818"/>
    <mergeCell ref="H1811:J1811"/>
    <mergeCell ref="H1804:J1804"/>
    <mergeCell ref="I1797:J1797"/>
    <mergeCell ref="H1606:J1606"/>
    <mergeCell ref="I1613:J1613"/>
    <mergeCell ref="I1620:J1620"/>
    <mergeCell ref="H1627:J1627"/>
    <mergeCell ref="I1634:J1634"/>
    <mergeCell ref="I1641:J1641"/>
    <mergeCell ref="H1648:J1648"/>
    <mergeCell ref="I1657:J1657"/>
    <mergeCell ref="I1664:J1664"/>
    <mergeCell ref="I1671:J1671"/>
    <mergeCell ref="D48:E48"/>
    <mergeCell ref="D49:E49"/>
    <mergeCell ref="D50:E50"/>
    <mergeCell ref="C51:E51"/>
    <mergeCell ref="C52:E52"/>
    <mergeCell ref="C53:E53"/>
    <mergeCell ref="C54:E54"/>
    <mergeCell ref="C55:E55"/>
    <mergeCell ref="C56:E56"/>
    <mergeCell ref="C57:E57"/>
    <mergeCell ref="C58:E58"/>
    <mergeCell ref="C81:F81"/>
    <mergeCell ref="H1569:J1569"/>
    <mergeCell ref="I1570:J1570"/>
    <mergeCell ref="I1577:J1577"/>
    <mergeCell ref="D112:E112"/>
    <mergeCell ref="I112:J112"/>
    <mergeCell ref="D113:E113"/>
    <mergeCell ref="I113:J113"/>
    <mergeCell ref="D114:E114"/>
    <mergeCell ref="D115:E115"/>
    <mergeCell ref="I115:J115"/>
    <mergeCell ref="D116:E116"/>
    <mergeCell ref="I116:J116"/>
    <mergeCell ref="D117:E117"/>
    <mergeCell ref="I117:J117"/>
    <mergeCell ref="I1585:J1585"/>
    <mergeCell ref="I1592:J1592"/>
    <mergeCell ref="C381:E381"/>
    <mergeCell ref="H381:J381"/>
    <mergeCell ref="C190:D190"/>
    <mergeCell ref="G190:J190"/>
    <mergeCell ref="C1018:E1018"/>
    <mergeCell ref="H1018:J1018"/>
    <mergeCell ref="D1459:E1459"/>
    <mergeCell ref="I1495:J1495"/>
    <mergeCell ref="H1502:J1502"/>
    <mergeCell ref="I1258:J1258"/>
    <mergeCell ref="I1266:J1266"/>
    <mergeCell ref="I1280:J1280"/>
    <mergeCell ref="I1287:J1287"/>
    <mergeCell ref="I1294:J1294"/>
    <mergeCell ref="I1273:J1273"/>
    <mergeCell ref="H1302:J1302"/>
    <mergeCell ref="H1309:J1309"/>
    <mergeCell ref="H1316:J1316"/>
    <mergeCell ref="H1323:J1323"/>
    <mergeCell ref="I1330:J1330"/>
    <mergeCell ref="I1337:J1337"/>
    <mergeCell ref="H1344:J1344"/>
    <mergeCell ref="I1351:J1351"/>
    <mergeCell ref="I1064:J1064"/>
    <mergeCell ref="D105:E105"/>
    <mergeCell ref="I105:J105"/>
    <mergeCell ref="D106:E106"/>
    <mergeCell ref="I106:J106"/>
    <mergeCell ref="D107:E107"/>
    <mergeCell ref="I107:J107"/>
    <mergeCell ref="D108:E108"/>
    <mergeCell ref="I108:J108"/>
    <mergeCell ref="D109:E109"/>
    <mergeCell ref="I109:J109"/>
    <mergeCell ref="D110:E110"/>
    <mergeCell ref="I110:J110"/>
    <mergeCell ref="I1533:J1533"/>
    <mergeCell ref="I1540:J1540"/>
    <mergeCell ref="I1547:J1547"/>
    <mergeCell ref="H1365:J1365"/>
    <mergeCell ref="H1372:J1372"/>
    <mergeCell ref="H1379:J1379"/>
    <mergeCell ref="H1387:J1387"/>
    <mergeCell ref="I1394:J1394"/>
    <mergeCell ref="I1401:J1401"/>
    <mergeCell ref="H1408:J1408"/>
    <mergeCell ref="I1415:J1415"/>
    <mergeCell ref="H1422:J1422"/>
    <mergeCell ref="I1429:J1429"/>
    <mergeCell ref="I1436:J1436"/>
    <mergeCell ref="I1445:J1445"/>
    <mergeCell ref="I1452:J1452"/>
    <mergeCell ref="I1481:J1481"/>
    <mergeCell ref="I1488:J1488"/>
    <mergeCell ref="I1244:J1244"/>
    <mergeCell ref="I1251:J1251"/>
    <mergeCell ref="I1215:J1215"/>
    <mergeCell ref="I1071:J1071"/>
    <mergeCell ref="I1078:J1078"/>
    <mergeCell ref="H1085:J1085"/>
    <mergeCell ref="I1093:J1093"/>
    <mergeCell ref="I1100:J1100"/>
    <mergeCell ref="I1107:J1107"/>
    <mergeCell ref="H1114:J1114"/>
    <mergeCell ref="H1121:J1121"/>
    <mergeCell ref="H1128:J1128"/>
    <mergeCell ref="R12:R13"/>
    <mergeCell ref="S12:S13"/>
    <mergeCell ref="T12:T13"/>
    <mergeCell ref="H1135:J1135"/>
    <mergeCell ref="U12:U13"/>
    <mergeCell ref="V12:V13"/>
    <mergeCell ref="H81:J81"/>
    <mergeCell ref="K190:L190"/>
    <mergeCell ref="M190:N190"/>
    <mergeCell ref="O190:P190"/>
    <mergeCell ref="H770:J770"/>
    <mergeCell ref="H777:J777"/>
    <mergeCell ref="H784:J784"/>
    <mergeCell ref="H791:J791"/>
    <mergeCell ref="H798:J798"/>
    <mergeCell ref="H805:J805"/>
    <mergeCell ref="I819:J819"/>
    <mergeCell ref="I826:J826"/>
    <mergeCell ref="I833:J833"/>
    <mergeCell ref="I840:J840"/>
    <mergeCell ref="H847:I847"/>
    <mergeCell ref="I114:J114"/>
    <mergeCell ref="C874:E874"/>
    <mergeCell ref="D876:E876"/>
    <mergeCell ref="D877:E877"/>
    <mergeCell ref="D857:E857"/>
    <mergeCell ref="D858:E858"/>
    <mergeCell ref="D859:E859"/>
    <mergeCell ref="C2016:F2016"/>
    <mergeCell ref="C2012:E2012"/>
    <mergeCell ref="H2012:J2012"/>
    <mergeCell ref="D968:E968"/>
    <mergeCell ref="D954:E954"/>
    <mergeCell ref="I954:J954"/>
    <mergeCell ref="I961:J961"/>
    <mergeCell ref="I968:J968"/>
    <mergeCell ref="I983:J983"/>
    <mergeCell ref="I990:J990"/>
    <mergeCell ref="I997:J997"/>
    <mergeCell ref="I1004:J1004"/>
    <mergeCell ref="I1011:J1011"/>
    <mergeCell ref="I1019:J1019"/>
    <mergeCell ref="I1026:J1026"/>
    <mergeCell ref="I1034:J1034"/>
    <mergeCell ref="I1041:J1041"/>
    <mergeCell ref="I1049:J1049"/>
    <mergeCell ref="I1056:J1056"/>
    <mergeCell ref="C1063:F1063"/>
    <mergeCell ref="H1063:K1063"/>
    <mergeCell ref="H1143:J1143"/>
    <mergeCell ref="I1150:J1150"/>
    <mergeCell ref="I1157:J1157"/>
    <mergeCell ref="I1165:J1165"/>
    <mergeCell ref="I1172:J1172"/>
    <mergeCell ref="H636:J636"/>
    <mergeCell ref="D650:E650"/>
    <mergeCell ref="D643:E643"/>
    <mergeCell ref="I643:J643"/>
    <mergeCell ref="I650:J650"/>
    <mergeCell ref="C657:E657"/>
    <mergeCell ref="H657:J657"/>
    <mergeCell ref="D671:E671"/>
    <mergeCell ref="D664:E664"/>
    <mergeCell ref="I664:J664"/>
    <mergeCell ref="I671:J671"/>
    <mergeCell ref="D867:E867"/>
    <mergeCell ref="C869:E869"/>
    <mergeCell ref="C870:E870"/>
    <mergeCell ref="C871:E871"/>
    <mergeCell ref="C872:E872"/>
    <mergeCell ref="C873:E873"/>
    <mergeCell ref="I861:J861"/>
    <mergeCell ref="D860:E860"/>
    <mergeCell ref="D862:E862"/>
    <mergeCell ref="D863:E863"/>
    <mergeCell ref="D864:E864"/>
    <mergeCell ref="D865:E865"/>
    <mergeCell ref="D866:E866"/>
    <mergeCell ref="D846:E846"/>
    <mergeCell ref="C848:E848"/>
    <mergeCell ref="C849:E849"/>
    <mergeCell ref="C850:E850"/>
    <mergeCell ref="C851:E851"/>
    <mergeCell ref="C852:E852"/>
    <mergeCell ref="C853:E853"/>
    <mergeCell ref="D855:E855"/>
    <mergeCell ref="H460:J460"/>
    <mergeCell ref="H467:J467"/>
    <mergeCell ref="H474:J474"/>
    <mergeCell ref="D488:E488"/>
    <mergeCell ref="D481:E481"/>
    <mergeCell ref="I481:J481"/>
    <mergeCell ref="I488:J488"/>
    <mergeCell ref="H495:J495"/>
    <mergeCell ref="D509:E509"/>
    <mergeCell ref="D502:E502"/>
    <mergeCell ref="I502:J502"/>
    <mergeCell ref="I509:J509"/>
    <mergeCell ref="H516:J516"/>
    <mergeCell ref="D537:E537"/>
    <mergeCell ref="D530:E530"/>
    <mergeCell ref="D523:E523"/>
    <mergeCell ref="I523:J523"/>
    <mergeCell ref="I530:J530"/>
    <mergeCell ref="I537:J537"/>
    <mergeCell ref="D528:E528"/>
    <mergeCell ref="D529:E529"/>
    <mergeCell ref="D531:E531"/>
    <mergeCell ref="D532:E532"/>
    <mergeCell ref="D512:E512"/>
    <mergeCell ref="D513:E513"/>
    <mergeCell ref="D514:E514"/>
    <mergeCell ref="D515:E515"/>
    <mergeCell ref="C517:E517"/>
    <mergeCell ref="C518:E518"/>
    <mergeCell ref="C519:E519"/>
    <mergeCell ref="C520:E520"/>
    <mergeCell ref="C521:E521"/>
    <mergeCell ref="H339:J339"/>
    <mergeCell ref="I346:J346"/>
    <mergeCell ref="I353:J353"/>
    <mergeCell ref="H360:J360"/>
    <mergeCell ref="I374:J374"/>
    <mergeCell ref="I367:J367"/>
    <mergeCell ref="D374:E374"/>
    <mergeCell ref="D367:E367"/>
    <mergeCell ref="I382:J382"/>
    <mergeCell ref="I389:J389"/>
    <mergeCell ref="I396:J396"/>
    <mergeCell ref="H404:J404"/>
    <mergeCell ref="I411:J411"/>
    <mergeCell ref="D398:E398"/>
    <mergeCell ref="D399:E399"/>
    <mergeCell ref="D400:E400"/>
    <mergeCell ref="D401:E401"/>
    <mergeCell ref="D402:E402"/>
    <mergeCell ref="D355:E355"/>
    <mergeCell ref="D356:E356"/>
    <mergeCell ref="D357:E357"/>
    <mergeCell ref="D358:E358"/>
    <mergeCell ref="D359:E359"/>
    <mergeCell ref="C340:E340"/>
    <mergeCell ref="C341:E341"/>
    <mergeCell ref="C342:E342"/>
    <mergeCell ref="C343:E343"/>
    <mergeCell ref="C344:E344"/>
    <mergeCell ref="C345:E345"/>
    <mergeCell ref="D347:E347"/>
    <mergeCell ref="D348:E348"/>
    <mergeCell ref="D349:E349"/>
    <mergeCell ref="I95:J95"/>
    <mergeCell ref="I97:J97"/>
    <mergeCell ref="I98:J98"/>
    <mergeCell ref="I99:J99"/>
    <mergeCell ref="I100:J100"/>
    <mergeCell ref="I101:J101"/>
    <mergeCell ref="I102:J102"/>
    <mergeCell ref="H121:J121"/>
    <mergeCell ref="H122:J122"/>
    <mergeCell ref="H123:J123"/>
    <mergeCell ref="H124:J124"/>
    <mergeCell ref="H125:J125"/>
    <mergeCell ref="H126:J126"/>
    <mergeCell ref="H120:J120"/>
    <mergeCell ref="I818:J818"/>
    <mergeCell ref="I812:J812"/>
    <mergeCell ref="H803:J803"/>
    <mergeCell ref="H804:J804"/>
    <mergeCell ref="H806:J806"/>
    <mergeCell ref="H807:J807"/>
    <mergeCell ref="H808:J808"/>
    <mergeCell ref="H809:J809"/>
    <mergeCell ref="H810:J810"/>
    <mergeCell ref="H811:J811"/>
    <mergeCell ref="I813:J813"/>
    <mergeCell ref="I814:J814"/>
    <mergeCell ref="I815:J815"/>
    <mergeCell ref="I816:J816"/>
    <mergeCell ref="I817:J817"/>
    <mergeCell ref="I158:J158"/>
    <mergeCell ref="I159:J159"/>
    <mergeCell ref="I176:J176"/>
    <mergeCell ref="I60:J60"/>
    <mergeCell ref="I61:J61"/>
    <mergeCell ref="I62:J62"/>
    <mergeCell ref="I63:J63"/>
    <mergeCell ref="I64:J64"/>
    <mergeCell ref="I65:J65"/>
    <mergeCell ref="I66:J66"/>
    <mergeCell ref="I70:J70"/>
    <mergeCell ref="I71:J71"/>
    <mergeCell ref="I72:J72"/>
    <mergeCell ref="I73:J73"/>
    <mergeCell ref="I68:J68"/>
    <mergeCell ref="I69:J69"/>
    <mergeCell ref="I67:J67"/>
    <mergeCell ref="I75:J75"/>
    <mergeCell ref="I76:J76"/>
    <mergeCell ref="I77:J77"/>
    <mergeCell ref="I78:J78"/>
    <mergeCell ref="I79:J79"/>
    <mergeCell ref="I80:J80"/>
    <mergeCell ref="I83:J83"/>
    <mergeCell ref="I84:J84"/>
    <mergeCell ref="I85:J85"/>
    <mergeCell ref="I86:J86"/>
    <mergeCell ref="I87:J87"/>
    <mergeCell ref="I88:J88"/>
    <mergeCell ref="I90:J90"/>
    <mergeCell ref="I91:J91"/>
    <mergeCell ref="I92:J92"/>
    <mergeCell ref="I93:J93"/>
    <mergeCell ref="H799:J799"/>
    <mergeCell ref="H800:J800"/>
    <mergeCell ref="H801:J801"/>
    <mergeCell ref="H802:J802"/>
    <mergeCell ref="I133:J133"/>
    <mergeCell ref="H142:J142"/>
    <mergeCell ref="H143:J143"/>
    <mergeCell ref="H144:J144"/>
    <mergeCell ref="H145:J145"/>
    <mergeCell ref="H146:J146"/>
    <mergeCell ref="H147:J147"/>
    <mergeCell ref="I149:J149"/>
    <mergeCell ref="I150:J150"/>
    <mergeCell ref="I151:J151"/>
    <mergeCell ref="I152:J152"/>
    <mergeCell ref="I153:J153"/>
    <mergeCell ref="I154:J154"/>
    <mergeCell ref="I157:J157"/>
    <mergeCell ref="I94:J94"/>
    <mergeCell ref="D104:E104"/>
    <mergeCell ref="D111:E111"/>
    <mergeCell ref="D102:E102"/>
    <mergeCell ref="D61:E61"/>
    <mergeCell ref="D62:E62"/>
    <mergeCell ref="D63:E63"/>
    <mergeCell ref="D64:E64"/>
    <mergeCell ref="D65:E65"/>
    <mergeCell ref="D66:E66"/>
    <mergeCell ref="D68:E68"/>
    <mergeCell ref="D69:E69"/>
    <mergeCell ref="D70:E70"/>
    <mergeCell ref="D71:E71"/>
    <mergeCell ref="D72:E72"/>
    <mergeCell ref="D73:E73"/>
    <mergeCell ref="D75:E75"/>
    <mergeCell ref="D76:E76"/>
    <mergeCell ref="D77:E77"/>
    <mergeCell ref="D78:E78"/>
    <mergeCell ref="D79:E79"/>
    <mergeCell ref="D80:E80"/>
    <mergeCell ref="D85:E85"/>
    <mergeCell ref="D86:E86"/>
    <mergeCell ref="D87:E87"/>
    <mergeCell ref="D88:E88"/>
    <mergeCell ref="D89:E89"/>
    <mergeCell ref="D96:E96"/>
    <mergeCell ref="D90:E90"/>
    <mergeCell ref="D91:E91"/>
    <mergeCell ref="D92:E92"/>
    <mergeCell ref="D93:E93"/>
    <mergeCell ref="D94:E94"/>
    <mergeCell ref="D95:E95"/>
    <mergeCell ref="D97:E97"/>
    <mergeCell ref="D98:E98"/>
    <mergeCell ref="D99:E99"/>
    <mergeCell ref="D100:E100"/>
    <mergeCell ref="D101:E101"/>
    <mergeCell ref="D2123:E2123"/>
    <mergeCell ref="D2124:E2124"/>
    <mergeCell ref="D2125:E2125"/>
    <mergeCell ref="D2126:E2126"/>
    <mergeCell ref="D2129:E2129"/>
    <mergeCell ref="D2130:E2130"/>
    <mergeCell ref="D2131:E2131"/>
    <mergeCell ref="D2132:E2132"/>
    <mergeCell ref="D2133:E2133"/>
    <mergeCell ref="D2134:E2134"/>
    <mergeCell ref="D2136:E2136"/>
    <mergeCell ref="D2094:E2094"/>
    <mergeCell ref="D2095:E2095"/>
    <mergeCell ref="D2096:E2096"/>
    <mergeCell ref="D2097:E2097"/>
    <mergeCell ref="D2098:E2098"/>
    <mergeCell ref="D2100:E2100"/>
    <mergeCell ref="D2101:E2101"/>
    <mergeCell ref="D2102:E2102"/>
    <mergeCell ref="D2062:E2062"/>
    <mergeCell ref="D2065:E2065"/>
    <mergeCell ref="D2066:E2066"/>
    <mergeCell ref="D2067:E2067"/>
    <mergeCell ref="D2068:E2068"/>
    <mergeCell ref="D2069:E2069"/>
    <mergeCell ref="D2070:E2070"/>
    <mergeCell ref="D2137:E2137"/>
    <mergeCell ref="D2138:E2138"/>
    <mergeCell ref="D2139:E2139"/>
    <mergeCell ref="D2140:E2140"/>
    <mergeCell ref="D2141:E2141"/>
    <mergeCell ref="D84:E84"/>
    <mergeCell ref="D2103:E2103"/>
    <mergeCell ref="D2104:E2104"/>
    <mergeCell ref="D2105:E2105"/>
    <mergeCell ref="D2107:E2107"/>
    <mergeCell ref="D2108:E2108"/>
    <mergeCell ref="D2109:E2109"/>
    <mergeCell ref="D2110:E2110"/>
    <mergeCell ref="D2111:E2111"/>
    <mergeCell ref="D2112:E2112"/>
    <mergeCell ref="D2114:E2114"/>
    <mergeCell ref="D2115:E2115"/>
    <mergeCell ref="D2116:E2116"/>
    <mergeCell ref="D2117:E2117"/>
    <mergeCell ref="D2118:E2118"/>
    <mergeCell ref="D2119:E2119"/>
    <mergeCell ref="D2121:E2121"/>
    <mergeCell ref="D2122:E2122"/>
    <mergeCell ref="D2083:E2083"/>
    <mergeCell ref="D2084:E2084"/>
    <mergeCell ref="D2086:E2086"/>
    <mergeCell ref="D2087:E2087"/>
    <mergeCell ref="D2088:E2088"/>
    <mergeCell ref="D2089:E2089"/>
    <mergeCell ref="D2090:E2090"/>
    <mergeCell ref="D2091:E2091"/>
    <mergeCell ref="D2093:E2093"/>
    <mergeCell ref="D2072:E2072"/>
    <mergeCell ref="D2073:E2073"/>
    <mergeCell ref="D2074:E2074"/>
    <mergeCell ref="D2075:E2075"/>
    <mergeCell ref="D2076:E2076"/>
    <mergeCell ref="D2077:E2077"/>
    <mergeCell ref="D2079:E2079"/>
    <mergeCell ref="D2080:E2080"/>
    <mergeCell ref="D2081:E2081"/>
    <mergeCell ref="D2082:E2082"/>
    <mergeCell ref="D2052:E2052"/>
    <mergeCell ref="D2053:E2053"/>
    <mergeCell ref="D2054:E2054"/>
    <mergeCell ref="D2055:E2055"/>
    <mergeCell ref="D2057:E2057"/>
    <mergeCell ref="D2058:E2058"/>
    <mergeCell ref="D2059:E2059"/>
    <mergeCell ref="D2060:E2060"/>
    <mergeCell ref="D2061:E2061"/>
    <mergeCell ref="D1842:E1842"/>
    <mergeCell ref="D1843:E1843"/>
    <mergeCell ref="D1844:E1844"/>
    <mergeCell ref="D1845:E1845"/>
    <mergeCell ref="C1985:E1985"/>
    <mergeCell ref="C1986:E1986"/>
    <mergeCell ref="C1987:E1987"/>
    <mergeCell ref="D1929:E1929"/>
    <mergeCell ref="D1968:E1968"/>
    <mergeCell ref="D1969:E1969"/>
    <mergeCell ref="D1970:E1970"/>
    <mergeCell ref="C1982:E1982"/>
    <mergeCell ref="C1983:E1983"/>
    <mergeCell ref="C1984:E1984"/>
    <mergeCell ref="C1949:E1949"/>
    <mergeCell ref="C1950:E1950"/>
    <mergeCell ref="C1951:E1951"/>
    <mergeCell ref="D1918:E1918"/>
    <mergeCell ref="D1919:E1919"/>
    <mergeCell ref="D1920:E1920"/>
    <mergeCell ref="D1921:E1921"/>
    <mergeCell ref="D1922:E1922"/>
    <mergeCell ref="D1924:E1924"/>
    <mergeCell ref="D1925:E1925"/>
    <mergeCell ref="D1926:E1926"/>
    <mergeCell ref="D1900:E1900"/>
    <mergeCell ref="D1901:E1901"/>
    <mergeCell ref="D1903:E1903"/>
    <mergeCell ref="D1883:E1883"/>
    <mergeCell ref="D1884:E1884"/>
    <mergeCell ref="D1885:E1885"/>
    <mergeCell ref="D1886:E1886"/>
    <mergeCell ref="D2050:E2050"/>
    <mergeCell ref="D2051:E2051"/>
    <mergeCell ref="D1976:E1976"/>
    <mergeCell ref="D1977:E1977"/>
    <mergeCell ref="D1978:E1978"/>
    <mergeCell ref="D1979:E1979"/>
    <mergeCell ref="D1980:E1980"/>
    <mergeCell ref="C1959:E1959"/>
    <mergeCell ref="C1955:E1955"/>
    <mergeCell ref="C1956:E1956"/>
    <mergeCell ref="C1953:E1953"/>
    <mergeCell ref="C1954:E1954"/>
    <mergeCell ref="C1957:E1957"/>
    <mergeCell ref="C1958:E1958"/>
    <mergeCell ref="D1906:E1906"/>
    <mergeCell ref="D1907:E1907"/>
    <mergeCell ref="D1908:E1908"/>
    <mergeCell ref="D1917:E1917"/>
    <mergeCell ref="C1910:E1910"/>
    <mergeCell ref="D1928:E1928"/>
    <mergeCell ref="C1960:E1960"/>
    <mergeCell ref="C1961:E1961"/>
    <mergeCell ref="C1962:E1962"/>
    <mergeCell ref="C1963:E1963"/>
    <mergeCell ref="C1964:E1964"/>
    <mergeCell ref="C1965:E1965"/>
    <mergeCell ref="D1971:E1971"/>
    <mergeCell ref="D1972:E1972"/>
    <mergeCell ref="D1973:E1973"/>
    <mergeCell ref="D1975:E1975"/>
    <mergeCell ref="C1931:E1931"/>
    <mergeCell ref="C1932:E1932"/>
    <mergeCell ref="C1933:E1933"/>
    <mergeCell ref="C1934:E1934"/>
    <mergeCell ref="C1935:E1935"/>
    <mergeCell ref="C1936:E1936"/>
    <mergeCell ref="C1938:E1938"/>
    <mergeCell ref="D1865:E1865"/>
    <mergeCell ref="D1866:E1866"/>
    <mergeCell ref="D1875:E1875"/>
    <mergeCell ref="D1876:E1876"/>
    <mergeCell ref="D1877:E1877"/>
    <mergeCell ref="D1878:E1878"/>
    <mergeCell ref="D1879:E1879"/>
    <mergeCell ref="D1880:E1880"/>
    <mergeCell ref="D1882:E1882"/>
    <mergeCell ref="C1868:E1868"/>
    <mergeCell ref="C1869:E1869"/>
    <mergeCell ref="C1870:E1870"/>
    <mergeCell ref="C1871:E1871"/>
    <mergeCell ref="C1872:E1872"/>
    <mergeCell ref="C1873:E1873"/>
    <mergeCell ref="C1939:E1939"/>
    <mergeCell ref="C1940:E1940"/>
    <mergeCell ref="C1941:E1941"/>
    <mergeCell ref="C1942:E1942"/>
    <mergeCell ref="C1943:E1943"/>
    <mergeCell ref="C1946:E1946"/>
    <mergeCell ref="C1947:E1947"/>
    <mergeCell ref="C1948:E1948"/>
    <mergeCell ref="C1937:E1937"/>
    <mergeCell ref="C1945:E1945"/>
    <mergeCell ref="C1952:E1952"/>
    <mergeCell ref="D1927:E1927"/>
    <mergeCell ref="C1930:E1930"/>
    <mergeCell ref="D1887:E1887"/>
    <mergeCell ref="D1896:E1896"/>
    <mergeCell ref="D1897:E1897"/>
    <mergeCell ref="D1898:E1898"/>
    <mergeCell ref="D1899:E1899"/>
    <mergeCell ref="C1889:E1889"/>
    <mergeCell ref="C1890:E1890"/>
    <mergeCell ref="C1891:E1891"/>
    <mergeCell ref="C1892:E1892"/>
    <mergeCell ref="C1893:E1893"/>
    <mergeCell ref="C1894:E1894"/>
    <mergeCell ref="C1909:E1909"/>
    <mergeCell ref="D1904:E1904"/>
    <mergeCell ref="D1905:E1905"/>
    <mergeCell ref="C1911:E1911"/>
    <mergeCell ref="C1912:E1912"/>
    <mergeCell ref="C1913:E1913"/>
    <mergeCell ref="C1914:E1914"/>
    <mergeCell ref="C1915:E1915"/>
    <mergeCell ref="D1855:E1855"/>
    <mergeCell ref="D1856:E1856"/>
    <mergeCell ref="D1857:E1857"/>
    <mergeCell ref="D1858:E1858"/>
    <mergeCell ref="D1859:E1859"/>
    <mergeCell ref="D1861:E1861"/>
    <mergeCell ref="D1862:E1862"/>
    <mergeCell ref="D1863:E1863"/>
    <mergeCell ref="D1864:E1864"/>
    <mergeCell ref="D1854:E1854"/>
    <mergeCell ref="C1851:E1851"/>
    <mergeCell ref="C1852:E1852"/>
    <mergeCell ref="D1777:E1777"/>
    <mergeCell ref="D1778:E1778"/>
    <mergeCell ref="D1779:E1779"/>
    <mergeCell ref="D1780:E1780"/>
    <mergeCell ref="D1781:E1781"/>
    <mergeCell ref="D1782:E1782"/>
    <mergeCell ref="D1791:E1791"/>
    <mergeCell ref="D1792:E1792"/>
    <mergeCell ref="D1793:E1793"/>
    <mergeCell ref="C1848:E1848"/>
    <mergeCell ref="C1849:E1849"/>
    <mergeCell ref="C1850:E1850"/>
    <mergeCell ref="C1808:E1808"/>
    <mergeCell ref="C1809:E1809"/>
    <mergeCell ref="C1810:E1810"/>
    <mergeCell ref="C1812:E1812"/>
    <mergeCell ref="C1813:E1813"/>
    <mergeCell ref="C1814:E1814"/>
    <mergeCell ref="C1815:E1815"/>
    <mergeCell ref="C1807:E1807"/>
    <mergeCell ref="C1819:E1819"/>
    <mergeCell ref="C1820:E1820"/>
    <mergeCell ref="C1821:E1821"/>
    <mergeCell ref="C1822:E1822"/>
    <mergeCell ref="C1823:E1823"/>
    <mergeCell ref="C1824:E1824"/>
    <mergeCell ref="C1826:E1826"/>
    <mergeCell ref="D1833:E1833"/>
    <mergeCell ref="D1834:E1834"/>
    <mergeCell ref="D1835:E1835"/>
    <mergeCell ref="D1836:E1836"/>
    <mergeCell ref="D1769:E1769"/>
    <mergeCell ref="D1776:E1776"/>
    <mergeCell ref="C1831:E1831"/>
    <mergeCell ref="C1847:E1847"/>
    <mergeCell ref="C1827:E1827"/>
    <mergeCell ref="C1828:E1828"/>
    <mergeCell ref="C1829:E1829"/>
    <mergeCell ref="C1830:E1830"/>
    <mergeCell ref="C1787:E1787"/>
    <mergeCell ref="C1788:E1788"/>
    <mergeCell ref="D1770:E1770"/>
    <mergeCell ref="D1771:E1771"/>
    <mergeCell ref="D1772:E1772"/>
    <mergeCell ref="D1773:E1773"/>
    <mergeCell ref="D1774:E1774"/>
    <mergeCell ref="D1775:E1775"/>
    <mergeCell ref="C1806:E1806"/>
    <mergeCell ref="D1837:E1837"/>
    <mergeCell ref="D1838:E1838"/>
    <mergeCell ref="D1840:E1840"/>
    <mergeCell ref="D1841:E1841"/>
    <mergeCell ref="D1754:E1754"/>
    <mergeCell ref="D1756:E1756"/>
    <mergeCell ref="D1757:E1757"/>
    <mergeCell ref="D1758:E1758"/>
    <mergeCell ref="C1789:E1789"/>
    <mergeCell ref="C1805:E1805"/>
    <mergeCell ref="C1763:E1763"/>
    <mergeCell ref="C1764:E1764"/>
    <mergeCell ref="C1765:E1765"/>
    <mergeCell ref="C1766:E1766"/>
    <mergeCell ref="C1767:E1767"/>
    <mergeCell ref="C1768:E1768"/>
    <mergeCell ref="C1784:E1784"/>
    <mergeCell ref="C1785:E1785"/>
    <mergeCell ref="C1786:E1786"/>
    <mergeCell ref="C1816:E1816"/>
    <mergeCell ref="C1817:E1817"/>
    <mergeCell ref="D1759:E1759"/>
    <mergeCell ref="D1760:E1760"/>
    <mergeCell ref="D1761:E1761"/>
    <mergeCell ref="D1731:E1731"/>
    <mergeCell ref="D1732:E1732"/>
    <mergeCell ref="D1733:E1733"/>
    <mergeCell ref="D1735:E1735"/>
    <mergeCell ref="D1736:E1736"/>
    <mergeCell ref="D1737:E1737"/>
    <mergeCell ref="D1738:E1738"/>
    <mergeCell ref="D1739:E1739"/>
    <mergeCell ref="D1740:E1740"/>
    <mergeCell ref="D1734:E1734"/>
    <mergeCell ref="D1748:E1748"/>
    <mergeCell ref="D1755:E1755"/>
    <mergeCell ref="D1714:E1714"/>
    <mergeCell ref="D1715:E1715"/>
    <mergeCell ref="D1716:E1716"/>
    <mergeCell ref="D1717:E1717"/>
    <mergeCell ref="D1718:E1718"/>
    <mergeCell ref="D1719:E1719"/>
    <mergeCell ref="D1728:E1728"/>
    <mergeCell ref="D1729:E1729"/>
    <mergeCell ref="D1730:E1730"/>
    <mergeCell ref="C1742:E1742"/>
    <mergeCell ref="C1743:E1743"/>
    <mergeCell ref="C1744:E1744"/>
    <mergeCell ref="C1745:E1745"/>
    <mergeCell ref="C1746:E1746"/>
    <mergeCell ref="C1747:E1747"/>
    <mergeCell ref="D1749:E1749"/>
    <mergeCell ref="D1750:E1750"/>
    <mergeCell ref="D1751:E1751"/>
    <mergeCell ref="D1752:E1752"/>
    <mergeCell ref="D1753:E1753"/>
    <mergeCell ref="D1710:E1710"/>
    <mergeCell ref="D1711:E1711"/>
    <mergeCell ref="D1712:E1712"/>
    <mergeCell ref="C1700:E1700"/>
    <mergeCell ref="C1701:E1701"/>
    <mergeCell ref="C1702:E1702"/>
    <mergeCell ref="C1703:E1703"/>
    <mergeCell ref="C1704:E1704"/>
    <mergeCell ref="C1705:E1705"/>
    <mergeCell ref="D1706:E1706"/>
    <mergeCell ref="D1713:E1713"/>
    <mergeCell ref="D1727:E1727"/>
    <mergeCell ref="C1721:E1721"/>
    <mergeCell ref="C1722:E1722"/>
    <mergeCell ref="C1723:E1723"/>
    <mergeCell ref="C1724:E1724"/>
    <mergeCell ref="C1725:E1725"/>
    <mergeCell ref="C1726:E1726"/>
    <mergeCell ref="D1677:E1677"/>
    <mergeCell ref="D1679:E1679"/>
    <mergeCell ref="D1680:E1680"/>
    <mergeCell ref="D1681:E1681"/>
    <mergeCell ref="D1682:E1682"/>
    <mergeCell ref="D1683:E1683"/>
    <mergeCell ref="D1663:E1663"/>
    <mergeCell ref="D1665:E1665"/>
    <mergeCell ref="D1666:E1666"/>
    <mergeCell ref="D1667:E1667"/>
    <mergeCell ref="D1668:E1668"/>
    <mergeCell ref="D1669:E1669"/>
    <mergeCell ref="D1670:E1670"/>
    <mergeCell ref="D1672:E1672"/>
    <mergeCell ref="D1673:E1673"/>
    <mergeCell ref="D1678:E1678"/>
    <mergeCell ref="D1709:E1709"/>
    <mergeCell ref="D1684:E1684"/>
    <mergeCell ref="C1686:E1686"/>
    <mergeCell ref="C1687:E1687"/>
    <mergeCell ref="C1688:E1688"/>
    <mergeCell ref="C1689:E1689"/>
    <mergeCell ref="C1690:E1690"/>
    <mergeCell ref="C1691:E1691"/>
    <mergeCell ref="C1693:E1693"/>
    <mergeCell ref="C1694:E1694"/>
    <mergeCell ref="C1695:E1695"/>
    <mergeCell ref="C1696:E1696"/>
    <mergeCell ref="C1697:E1697"/>
    <mergeCell ref="C1698:E1698"/>
    <mergeCell ref="D1707:E1707"/>
    <mergeCell ref="D1708:E1708"/>
    <mergeCell ref="D1658:E1658"/>
    <mergeCell ref="D1659:E1659"/>
    <mergeCell ref="D1660:E1660"/>
    <mergeCell ref="D1661:E1661"/>
    <mergeCell ref="D1662:E1662"/>
    <mergeCell ref="D1642:E1642"/>
    <mergeCell ref="D1643:E1643"/>
    <mergeCell ref="D1644:E1644"/>
    <mergeCell ref="D1645:E1645"/>
    <mergeCell ref="D1646:E1646"/>
    <mergeCell ref="D1647:E1647"/>
    <mergeCell ref="C1649:E1649"/>
    <mergeCell ref="C1650:E1650"/>
    <mergeCell ref="C1651:E1651"/>
    <mergeCell ref="D1674:E1674"/>
    <mergeCell ref="D1675:E1675"/>
    <mergeCell ref="D1676:E1676"/>
    <mergeCell ref="I1642:J1642"/>
    <mergeCell ref="I1643:J1643"/>
    <mergeCell ref="I1644:J1644"/>
    <mergeCell ref="I1645:J1645"/>
    <mergeCell ref="I1646:J1646"/>
    <mergeCell ref="I1647:J1647"/>
    <mergeCell ref="I1658:J1658"/>
    <mergeCell ref="I1659:J1659"/>
    <mergeCell ref="I1660:J1660"/>
    <mergeCell ref="I1661:J1661"/>
    <mergeCell ref="I1662:J1662"/>
    <mergeCell ref="H1652:J1652"/>
    <mergeCell ref="H1653:J1653"/>
    <mergeCell ref="H1654:J1654"/>
    <mergeCell ref="C1631:E1631"/>
    <mergeCell ref="C1632:E1632"/>
    <mergeCell ref="C1633:E1633"/>
    <mergeCell ref="D1635:E1635"/>
    <mergeCell ref="D1636:E1636"/>
    <mergeCell ref="D1637:E1637"/>
    <mergeCell ref="D1638:E1638"/>
    <mergeCell ref="D1639:E1639"/>
    <mergeCell ref="D1640:E1640"/>
    <mergeCell ref="I1635:J1635"/>
    <mergeCell ref="I1636:J1636"/>
    <mergeCell ref="I1637:J1637"/>
    <mergeCell ref="I1638:J1638"/>
    <mergeCell ref="I1639:J1639"/>
    <mergeCell ref="I1640:J1640"/>
    <mergeCell ref="C1652:E1652"/>
    <mergeCell ref="C1653:E1653"/>
    <mergeCell ref="C1654:E1654"/>
    <mergeCell ref="D1622:E1622"/>
    <mergeCell ref="D1623:E1623"/>
    <mergeCell ref="D1624:E1624"/>
    <mergeCell ref="D1625:E1625"/>
    <mergeCell ref="D1626:E1626"/>
    <mergeCell ref="C1628:E1628"/>
    <mergeCell ref="C1629:E1629"/>
    <mergeCell ref="C1630:E1630"/>
    <mergeCell ref="C1610:E1610"/>
    <mergeCell ref="C1611:E1611"/>
    <mergeCell ref="C1612:E1612"/>
    <mergeCell ref="D1614:E1614"/>
    <mergeCell ref="D1615:E1615"/>
    <mergeCell ref="D1616:E1616"/>
    <mergeCell ref="D1617:E1617"/>
    <mergeCell ref="D1618:E1618"/>
    <mergeCell ref="D1619:E1619"/>
    <mergeCell ref="D1613:E1613"/>
    <mergeCell ref="D1620:E1620"/>
    <mergeCell ref="D1582:E1582"/>
    <mergeCell ref="D1583:E1583"/>
    <mergeCell ref="D1586:E1586"/>
    <mergeCell ref="D1587:E1587"/>
    <mergeCell ref="D1588:E1588"/>
    <mergeCell ref="D1589:E1589"/>
    <mergeCell ref="D1590:E1590"/>
    <mergeCell ref="D1591:E1591"/>
    <mergeCell ref="D1593:E1593"/>
    <mergeCell ref="D1602:E1602"/>
    <mergeCell ref="D1603:E1603"/>
    <mergeCell ref="D1604:E1604"/>
    <mergeCell ref="D1605:E1605"/>
    <mergeCell ref="C1607:E1607"/>
    <mergeCell ref="C1608:E1608"/>
    <mergeCell ref="C1609:E1609"/>
    <mergeCell ref="D1585:E1585"/>
    <mergeCell ref="D1592:E1592"/>
    <mergeCell ref="D1599:E1599"/>
    <mergeCell ref="D1572:E1572"/>
    <mergeCell ref="D1573:E1573"/>
    <mergeCell ref="D1574:E1574"/>
    <mergeCell ref="D1575:E1575"/>
    <mergeCell ref="D1576:E1576"/>
    <mergeCell ref="D1578:E1578"/>
    <mergeCell ref="D1579:E1579"/>
    <mergeCell ref="D1580:E1580"/>
    <mergeCell ref="D1581:E1581"/>
    <mergeCell ref="D1560:E1560"/>
    <mergeCell ref="D1561:E1561"/>
    <mergeCell ref="D1563:E1563"/>
    <mergeCell ref="D1564:E1564"/>
    <mergeCell ref="D1565:E1565"/>
    <mergeCell ref="D1566:E1566"/>
    <mergeCell ref="D1567:E1567"/>
    <mergeCell ref="D1568:E1568"/>
    <mergeCell ref="D1571:E1571"/>
    <mergeCell ref="D1562:E1562"/>
    <mergeCell ref="D1570:E1570"/>
    <mergeCell ref="D1577:E1577"/>
    <mergeCell ref="D1500:E1500"/>
    <mergeCell ref="D1501:E1501"/>
    <mergeCell ref="D1534:E1534"/>
    <mergeCell ref="D1535:E1535"/>
    <mergeCell ref="D1533:E1533"/>
    <mergeCell ref="D1540:E1540"/>
    <mergeCell ref="D1547:E1547"/>
    <mergeCell ref="D1555:E1555"/>
    <mergeCell ref="D1536:E1536"/>
    <mergeCell ref="D1537:E1537"/>
    <mergeCell ref="D1538:E1538"/>
    <mergeCell ref="D1539:E1539"/>
    <mergeCell ref="D1541:E1541"/>
    <mergeCell ref="D1542:E1542"/>
    <mergeCell ref="D1543:E1543"/>
    <mergeCell ref="D1544:E1544"/>
    <mergeCell ref="D1545:E1545"/>
    <mergeCell ref="D1550:E1550"/>
    <mergeCell ref="I1494:J1494"/>
    <mergeCell ref="I1496:J1496"/>
    <mergeCell ref="D1490:E1490"/>
    <mergeCell ref="D1491:E1491"/>
    <mergeCell ref="D1492:E1492"/>
    <mergeCell ref="D1493:E1493"/>
    <mergeCell ref="D1451:E1451"/>
    <mergeCell ref="D1453:E1453"/>
    <mergeCell ref="D1454:E1454"/>
    <mergeCell ref="D1455:E1455"/>
    <mergeCell ref="D1456:E1456"/>
    <mergeCell ref="D1457:E1457"/>
    <mergeCell ref="D1458:E1458"/>
    <mergeCell ref="D1482:E1482"/>
    <mergeCell ref="D1483:E1483"/>
    <mergeCell ref="D1549:E1549"/>
    <mergeCell ref="D1546:E1546"/>
    <mergeCell ref="D1548:E1548"/>
    <mergeCell ref="I1498:J1498"/>
    <mergeCell ref="I1499:J1499"/>
    <mergeCell ref="I1500:J1500"/>
    <mergeCell ref="I1501:J1501"/>
    <mergeCell ref="I1534:J1534"/>
    <mergeCell ref="I1535:J1535"/>
    <mergeCell ref="I1536:J1536"/>
    <mergeCell ref="I1537:J1537"/>
    <mergeCell ref="I1538:J1538"/>
    <mergeCell ref="I1539:J1539"/>
    <mergeCell ref="I1541:J1541"/>
    <mergeCell ref="I1542:J1542"/>
    <mergeCell ref="I1543:J1543"/>
    <mergeCell ref="D1495:E1495"/>
    <mergeCell ref="I1482:J1482"/>
    <mergeCell ref="I1483:J1483"/>
    <mergeCell ref="I1484:J1484"/>
    <mergeCell ref="I1485:J1485"/>
    <mergeCell ref="I1486:J1486"/>
    <mergeCell ref="I1487:J1487"/>
    <mergeCell ref="I1489:J1489"/>
    <mergeCell ref="I1490:J1490"/>
    <mergeCell ref="I1491:J1491"/>
    <mergeCell ref="I1492:J1492"/>
    <mergeCell ref="I1493:J1493"/>
    <mergeCell ref="D1448:E1448"/>
    <mergeCell ref="D1449:E1449"/>
    <mergeCell ref="D1450:E1450"/>
    <mergeCell ref="C1428:E1428"/>
    <mergeCell ref="D1430:E1430"/>
    <mergeCell ref="D1431:E1431"/>
    <mergeCell ref="D1432:E1432"/>
    <mergeCell ref="D1433:E1433"/>
    <mergeCell ref="D1434:E1434"/>
    <mergeCell ref="D1435:E1435"/>
    <mergeCell ref="D1437:E1437"/>
    <mergeCell ref="D1438:E1438"/>
    <mergeCell ref="D1484:E1484"/>
    <mergeCell ref="D1485:E1485"/>
    <mergeCell ref="D1486:E1486"/>
    <mergeCell ref="D1487:E1487"/>
    <mergeCell ref="D1489:E1489"/>
    <mergeCell ref="I1441:J1441"/>
    <mergeCell ref="I1442:J1442"/>
    <mergeCell ref="I1446:J1446"/>
    <mergeCell ref="I1447:J1447"/>
    <mergeCell ref="I1448:J1448"/>
    <mergeCell ref="I1449:J1449"/>
    <mergeCell ref="I1450:J1450"/>
    <mergeCell ref="I1451:J1451"/>
    <mergeCell ref="I1453:J1453"/>
    <mergeCell ref="I1454:J1454"/>
    <mergeCell ref="I1455:J1455"/>
    <mergeCell ref="I1456:J1456"/>
    <mergeCell ref="I1457:J1457"/>
    <mergeCell ref="I1458:J1458"/>
    <mergeCell ref="C1426:E1426"/>
    <mergeCell ref="C1427:E1427"/>
    <mergeCell ref="D1407:E1407"/>
    <mergeCell ref="C1409:E1409"/>
    <mergeCell ref="C1410:E1410"/>
    <mergeCell ref="C1411:E1411"/>
    <mergeCell ref="C1412:E1412"/>
    <mergeCell ref="C1413:E1413"/>
    <mergeCell ref="C1414:E1414"/>
    <mergeCell ref="D1416:E1416"/>
    <mergeCell ref="D1417:E1417"/>
    <mergeCell ref="D1439:E1439"/>
    <mergeCell ref="D1440:E1440"/>
    <mergeCell ref="D1441:E1441"/>
    <mergeCell ref="D1442:E1442"/>
    <mergeCell ref="D1446:E1446"/>
    <mergeCell ref="D1447:E1447"/>
    <mergeCell ref="I1418:J1418"/>
    <mergeCell ref="I1419:J1419"/>
    <mergeCell ref="I1420:J1420"/>
    <mergeCell ref="I1431:J1431"/>
    <mergeCell ref="I1432:J1432"/>
    <mergeCell ref="I1434:J1434"/>
    <mergeCell ref="I1435:J1435"/>
    <mergeCell ref="I1437:J1437"/>
    <mergeCell ref="I1438:J1438"/>
    <mergeCell ref="I1439:J1439"/>
    <mergeCell ref="I1440:J1440"/>
    <mergeCell ref="D1406:E1406"/>
    <mergeCell ref="C1385:E1385"/>
    <mergeCell ref="C1388:E1388"/>
    <mergeCell ref="C1389:E1389"/>
    <mergeCell ref="C1390:E1390"/>
    <mergeCell ref="C1391:E1391"/>
    <mergeCell ref="C1392:E1392"/>
    <mergeCell ref="C1393:E1393"/>
    <mergeCell ref="D1395:E1395"/>
    <mergeCell ref="D1396:E1396"/>
    <mergeCell ref="D1418:E1418"/>
    <mergeCell ref="D1419:E1419"/>
    <mergeCell ref="D1420:E1420"/>
    <mergeCell ref="D1421:E1421"/>
    <mergeCell ref="C1423:E1423"/>
    <mergeCell ref="C1424:E1424"/>
    <mergeCell ref="C1425:E1425"/>
    <mergeCell ref="D1394:E1394"/>
    <mergeCell ref="I1406:J1406"/>
    <mergeCell ref="I1407:J1407"/>
    <mergeCell ref="I1416:J1416"/>
    <mergeCell ref="I1417:J1417"/>
    <mergeCell ref="D1357:E1357"/>
    <mergeCell ref="C1366:E1366"/>
    <mergeCell ref="C1367:E1367"/>
    <mergeCell ref="C1347:E1347"/>
    <mergeCell ref="C1348:E1348"/>
    <mergeCell ref="C1349:E1349"/>
    <mergeCell ref="C1350:E1350"/>
    <mergeCell ref="D1352:E1352"/>
    <mergeCell ref="D1353:E1353"/>
    <mergeCell ref="D1354:E1354"/>
    <mergeCell ref="D1355:E1355"/>
    <mergeCell ref="D1356:E1356"/>
    <mergeCell ref="D1336:E1336"/>
    <mergeCell ref="D1338:E1338"/>
    <mergeCell ref="D1339:E1339"/>
    <mergeCell ref="D1340:E1340"/>
    <mergeCell ref="D1341:E1341"/>
    <mergeCell ref="D1342:E1342"/>
    <mergeCell ref="D1343:E1343"/>
    <mergeCell ref="C1345:E1345"/>
    <mergeCell ref="C1346:E1346"/>
    <mergeCell ref="C1365:E1365"/>
    <mergeCell ref="D1358:E1358"/>
    <mergeCell ref="D1359:E1359"/>
    <mergeCell ref="D1360:E1360"/>
    <mergeCell ref="D1361:E1361"/>
    <mergeCell ref="D1362:E1362"/>
    <mergeCell ref="D1363:E1363"/>
    <mergeCell ref="D1364:E1364"/>
    <mergeCell ref="D1337:E1337"/>
    <mergeCell ref="D1351:E1351"/>
    <mergeCell ref="C1344:E1344"/>
    <mergeCell ref="C1328:E1328"/>
    <mergeCell ref="C1329:E1329"/>
    <mergeCell ref="D1331:E1331"/>
    <mergeCell ref="D1332:E1332"/>
    <mergeCell ref="D1333:E1333"/>
    <mergeCell ref="D1334:E1334"/>
    <mergeCell ref="D1335:E1335"/>
    <mergeCell ref="D1297:E1297"/>
    <mergeCell ref="D1298:E1298"/>
    <mergeCell ref="D1299:E1299"/>
    <mergeCell ref="D1300:E1300"/>
    <mergeCell ref="C1303:E1303"/>
    <mergeCell ref="C1304:E1304"/>
    <mergeCell ref="C1305:E1305"/>
    <mergeCell ref="C1306:E1306"/>
    <mergeCell ref="C1307:E1307"/>
    <mergeCell ref="C1315:E1315"/>
    <mergeCell ref="C1317:E1317"/>
    <mergeCell ref="C1318:E1318"/>
    <mergeCell ref="C1319:E1319"/>
    <mergeCell ref="C1320:E1320"/>
    <mergeCell ref="C1321:E1321"/>
    <mergeCell ref="C1322:E1322"/>
    <mergeCell ref="C1324:E1324"/>
    <mergeCell ref="C1325:E1325"/>
    <mergeCell ref="D1330:E1330"/>
    <mergeCell ref="D1293:E1293"/>
    <mergeCell ref="D1295:E1295"/>
    <mergeCell ref="D1296:E1296"/>
    <mergeCell ref="D1276:E1276"/>
    <mergeCell ref="D1277:E1277"/>
    <mergeCell ref="D1278:E1278"/>
    <mergeCell ref="D1279:E1279"/>
    <mergeCell ref="D1281:E1281"/>
    <mergeCell ref="D1282:E1282"/>
    <mergeCell ref="D1283:E1283"/>
    <mergeCell ref="D1284:E1284"/>
    <mergeCell ref="D1285:E1285"/>
    <mergeCell ref="D1280:E1280"/>
    <mergeCell ref="D1287:E1287"/>
    <mergeCell ref="D1294:E1294"/>
    <mergeCell ref="C1326:E1326"/>
    <mergeCell ref="C1327:E1327"/>
    <mergeCell ref="C1302:E1302"/>
    <mergeCell ref="C1309:E1309"/>
    <mergeCell ref="C1316:E1316"/>
    <mergeCell ref="C1323:E1323"/>
    <mergeCell ref="C1308:E1308"/>
    <mergeCell ref="C1310:E1310"/>
    <mergeCell ref="C1311:E1311"/>
    <mergeCell ref="C1312:E1312"/>
    <mergeCell ref="C1313:E1313"/>
    <mergeCell ref="C1314:E1314"/>
    <mergeCell ref="D1288:E1288"/>
    <mergeCell ref="D1289:E1289"/>
    <mergeCell ref="D1290:E1290"/>
    <mergeCell ref="D1291:E1291"/>
    <mergeCell ref="D1292:E1292"/>
    <mergeCell ref="D1245:E1245"/>
    <mergeCell ref="D1246:E1246"/>
    <mergeCell ref="D1237:E1237"/>
    <mergeCell ref="D1244:E1244"/>
    <mergeCell ref="D1251:E1251"/>
    <mergeCell ref="D1258:E1258"/>
    <mergeCell ref="D1266:E1266"/>
    <mergeCell ref="D1273:E1273"/>
    <mergeCell ref="D1247:E1247"/>
    <mergeCell ref="D1248:E1248"/>
    <mergeCell ref="D1249:E1249"/>
    <mergeCell ref="D1250:E1250"/>
    <mergeCell ref="D1252:E1252"/>
    <mergeCell ref="D1253:E1253"/>
    <mergeCell ref="D1254:E1254"/>
    <mergeCell ref="D1255:E1255"/>
    <mergeCell ref="D1286:E1286"/>
    <mergeCell ref="C1265:Q1265"/>
    <mergeCell ref="D1269:E1269"/>
    <mergeCell ref="D1270:E1270"/>
    <mergeCell ref="D1271:E1271"/>
    <mergeCell ref="D1272:E1272"/>
    <mergeCell ref="D1274:E1274"/>
    <mergeCell ref="D1275:E1275"/>
    <mergeCell ref="I1239:J1239"/>
    <mergeCell ref="I1240:J1240"/>
    <mergeCell ref="I1241:J1241"/>
    <mergeCell ref="I1242:J1242"/>
    <mergeCell ref="I1243:J1243"/>
    <mergeCell ref="I1245:J1245"/>
    <mergeCell ref="I1246:J1246"/>
    <mergeCell ref="I1247:J1247"/>
    <mergeCell ref="D1231:E1231"/>
    <mergeCell ref="D1232:E1232"/>
    <mergeCell ref="D1233:E1233"/>
    <mergeCell ref="D1234:E1234"/>
    <mergeCell ref="D1235:E1235"/>
    <mergeCell ref="C1214:E1214"/>
    <mergeCell ref="D1216:E1216"/>
    <mergeCell ref="D1217:E1217"/>
    <mergeCell ref="D1218:E1218"/>
    <mergeCell ref="D1219:E1219"/>
    <mergeCell ref="D1220:E1220"/>
    <mergeCell ref="D1221:E1221"/>
    <mergeCell ref="D1223:E1223"/>
    <mergeCell ref="D1224:E1224"/>
    <mergeCell ref="D1264:E1264"/>
    <mergeCell ref="D1267:E1267"/>
    <mergeCell ref="D1268:E1268"/>
    <mergeCell ref="D1256:E1256"/>
    <mergeCell ref="D1257:E1257"/>
    <mergeCell ref="D1259:E1259"/>
    <mergeCell ref="D1260:E1260"/>
    <mergeCell ref="D1261:E1261"/>
    <mergeCell ref="D1262:E1262"/>
    <mergeCell ref="D1263:E1263"/>
    <mergeCell ref="D1215:E1215"/>
    <mergeCell ref="D1236:E1236"/>
    <mergeCell ref="D1238:E1238"/>
    <mergeCell ref="D1239:E1239"/>
    <mergeCell ref="D1240:E1240"/>
    <mergeCell ref="D1241:E1241"/>
    <mergeCell ref="D1242:E1242"/>
    <mergeCell ref="D1243:E1243"/>
    <mergeCell ref="C1981:E1981"/>
    <mergeCell ref="D1156:E1156"/>
    <mergeCell ref="C1144:E1144"/>
    <mergeCell ref="C1145:E1145"/>
    <mergeCell ref="C1146:E1146"/>
    <mergeCell ref="C1147:E1147"/>
    <mergeCell ref="C1148:E1148"/>
    <mergeCell ref="C1149:E1149"/>
    <mergeCell ref="D1166:E1166"/>
    <mergeCell ref="D1167:E1167"/>
    <mergeCell ref="D1168:E1168"/>
    <mergeCell ref="D1169:E1169"/>
    <mergeCell ref="D1170:E1170"/>
    <mergeCell ref="D1171:E1171"/>
    <mergeCell ref="D1173:E1173"/>
    <mergeCell ref="D1174:E1174"/>
    <mergeCell ref="D1175:E1175"/>
    <mergeCell ref="D1176:E1176"/>
    <mergeCell ref="C1966:Q1966"/>
    <mergeCell ref="D1881:E1881"/>
    <mergeCell ref="D1895:E1895"/>
    <mergeCell ref="C1867:E1867"/>
    <mergeCell ref="C1888:E1888"/>
    <mergeCell ref="D1794:E1794"/>
    <mergeCell ref="D1795:E1795"/>
    <mergeCell ref="D1796:E1796"/>
    <mergeCell ref="D1798:E1798"/>
    <mergeCell ref="D1799:E1799"/>
    <mergeCell ref="D1800:E1800"/>
    <mergeCell ref="D1801:E1801"/>
    <mergeCell ref="D1802:E1802"/>
    <mergeCell ref="D1803:E1803"/>
    <mergeCell ref="C1990:Q1990"/>
    <mergeCell ref="C1994:Q1994"/>
    <mergeCell ref="C1387:E1387"/>
    <mergeCell ref="C1408:E1408"/>
    <mergeCell ref="C1422:E1422"/>
    <mergeCell ref="C1606:E1606"/>
    <mergeCell ref="C1627:E1627"/>
    <mergeCell ref="C1648:E1648"/>
    <mergeCell ref="C1685:E1685"/>
    <mergeCell ref="C1692:E1692"/>
    <mergeCell ref="C1699:E1699"/>
    <mergeCell ref="C1720:E1720"/>
    <mergeCell ref="C1741:E1741"/>
    <mergeCell ref="C1762:E1762"/>
    <mergeCell ref="C1783:E1783"/>
    <mergeCell ref="C1804:E1804"/>
    <mergeCell ref="C1811:E1811"/>
    <mergeCell ref="C1818:E1818"/>
    <mergeCell ref="C1825:E1825"/>
    <mergeCell ref="C1846:E1846"/>
    <mergeCell ref="D1902:E1902"/>
    <mergeCell ref="D1916:E1916"/>
    <mergeCell ref="D1923:E1923"/>
    <mergeCell ref="D1967:E1967"/>
    <mergeCell ref="D1974:E1974"/>
    <mergeCell ref="D1790:E1790"/>
    <mergeCell ref="D1797:E1797"/>
    <mergeCell ref="D1832:E1832"/>
    <mergeCell ref="D1839:E1839"/>
    <mergeCell ref="D1853:E1853"/>
    <mergeCell ref="D1860:E1860"/>
    <mergeCell ref="D1874:E1874"/>
    <mergeCell ref="D1634:E1634"/>
    <mergeCell ref="D1641:E1641"/>
    <mergeCell ref="D1657:E1657"/>
    <mergeCell ref="D1664:E1664"/>
    <mergeCell ref="D1671:E1671"/>
    <mergeCell ref="D1594:E1594"/>
    <mergeCell ref="D1595:E1595"/>
    <mergeCell ref="D1596:E1596"/>
    <mergeCell ref="D1597:E1597"/>
    <mergeCell ref="D1598:E1598"/>
    <mergeCell ref="D1600:E1600"/>
    <mergeCell ref="D1601:E1601"/>
    <mergeCell ref="D1621:E1621"/>
    <mergeCell ref="C1372:E1372"/>
    <mergeCell ref="C1379:E1379"/>
    <mergeCell ref="D1436:E1436"/>
    <mergeCell ref="D1445:E1445"/>
    <mergeCell ref="D1452:E1452"/>
    <mergeCell ref="D1481:E1481"/>
    <mergeCell ref="D1488:E1488"/>
    <mergeCell ref="D1551:E1551"/>
    <mergeCell ref="D1552:E1552"/>
    <mergeCell ref="D1553:E1553"/>
    <mergeCell ref="D1556:E1556"/>
    <mergeCell ref="D1557:E1557"/>
    <mergeCell ref="D1558:E1558"/>
    <mergeCell ref="D1559:E1559"/>
    <mergeCell ref="D1494:E1494"/>
    <mergeCell ref="D1496:E1496"/>
    <mergeCell ref="D1497:E1497"/>
    <mergeCell ref="D1498:E1498"/>
    <mergeCell ref="D1499:E1499"/>
    <mergeCell ref="C1368:E1368"/>
    <mergeCell ref="C1369:E1369"/>
    <mergeCell ref="C1370:E1370"/>
    <mergeCell ref="C1371:E1371"/>
    <mergeCell ref="C1373:E1373"/>
    <mergeCell ref="C1374:E1374"/>
    <mergeCell ref="C1375:E1375"/>
    <mergeCell ref="C1376:E1376"/>
    <mergeCell ref="C1377:E1377"/>
    <mergeCell ref="C1378:E1378"/>
    <mergeCell ref="C1380:E1380"/>
    <mergeCell ref="C1381:E1381"/>
    <mergeCell ref="C1382:E1382"/>
    <mergeCell ref="C1383:E1383"/>
    <mergeCell ref="C1384:E1384"/>
    <mergeCell ref="D1415:E1415"/>
    <mergeCell ref="D1429:E1429"/>
    <mergeCell ref="D1397:E1397"/>
    <mergeCell ref="D1398:E1398"/>
    <mergeCell ref="D1399:E1399"/>
    <mergeCell ref="D1400:E1400"/>
    <mergeCell ref="D1402:E1402"/>
    <mergeCell ref="D1403:E1403"/>
    <mergeCell ref="D1404:E1404"/>
    <mergeCell ref="D1405:E1405"/>
    <mergeCell ref="D1230:E1230"/>
    <mergeCell ref="D1177:E1177"/>
    <mergeCell ref="D1178:E1178"/>
    <mergeCell ref="D1182:E1182"/>
    <mergeCell ref="D1183:E1183"/>
    <mergeCell ref="D1184:E1184"/>
    <mergeCell ref="D1185:E1185"/>
    <mergeCell ref="D1186:E1186"/>
    <mergeCell ref="D1188:E1188"/>
    <mergeCell ref="D1189:E1189"/>
    <mergeCell ref="D1190:E1190"/>
    <mergeCell ref="D1191:E1191"/>
    <mergeCell ref="D1192:E1192"/>
    <mergeCell ref="D1193:E1193"/>
    <mergeCell ref="D1195:E1195"/>
    <mergeCell ref="D1196:E1196"/>
    <mergeCell ref="D1226:E1226"/>
    <mergeCell ref="D1227:E1227"/>
    <mergeCell ref="D1228:E1228"/>
    <mergeCell ref="D1222:E1222"/>
    <mergeCell ref="C1229:Q1229"/>
    <mergeCell ref="D1225:E1225"/>
    <mergeCell ref="C1207:E1207"/>
    <mergeCell ref="C1209:E1209"/>
    <mergeCell ref="C1210:E1210"/>
    <mergeCell ref="C1211:E1211"/>
    <mergeCell ref="C1212:E1212"/>
    <mergeCell ref="C1213:E1213"/>
    <mergeCell ref="I1181:J1181"/>
    <mergeCell ref="I1182:J1182"/>
    <mergeCell ref="I1183:J1183"/>
    <mergeCell ref="D1180:E1180"/>
    <mergeCell ref="C1125:E1125"/>
    <mergeCell ref="C1126:E1126"/>
    <mergeCell ref="C1127:E1127"/>
    <mergeCell ref="C1129:E1129"/>
    <mergeCell ref="C1130:E1130"/>
    <mergeCell ref="C1131:E1131"/>
    <mergeCell ref="C1132:E1132"/>
    <mergeCell ref="C1133:E1133"/>
    <mergeCell ref="C1136:E1136"/>
    <mergeCell ref="C1137:E1137"/>
    <mergeCell ref="C1138:E1138"/>
    <mergeCell ref="C1139:E1139"/>
    <mergeCell ref="C1140:E1140"/>
    <mergeCell ref="C1141:E1141"/>
    <mergeCell ref="C1143:E1143"/>
    <mergeCell ref="D1150:E1150"/>
    <mergeCell ref="C1134:E1134"/>
    <mergeCell ref="C1135:E1135"/>
    <mergeCell ref="D1157:E1157"/>
    <mergeCell ref="D1165:E1165"/>
    <mergeCell ref="D1172:E1172"/>
    <mergeCell ref="D1181:E1181"/>
    <mergeCell ref="C1201:E1201"/>
    <mergeCell ref="C1208:E1208"/>
    <mergeCell ref="D1158:E1158"/>
    <mergeCell ref="D1159:E1159"/>
    <mergeCell ref="D1160:E1160"/>
    <mergeCell ref="C1089:E1089"/>
    <mergeCell ref="C1090:E1090"/>
    <mergeCell ref="C1091:E1091"/>
    <mergeCell ref="D1094:E1094"/>
    <mergeCell ref="D1095:E1095"/>
    <mergeCell ref="D1096:E1096"/>
    <mergeCell ref="D1097:E1097"/>
    <mergeCell ref="D1098:E1098"/>
    <mergeCell ref="D1197:E1197"/>
    <mergeCell ref="D1198:E1198"/>
    <mergeCell ref="D1199:E1199"/>
    <mergeCell ref="D1200:E1200"/>
    <mergeCell ref="C1202:E1202"/>
    <mergeCell ref="C1203:E1203"/>
    <mergeCell ref="C1204:E1204"/>
    <mergeCell ref="C1205:E1205"/>
    <mergeCell ref="C1206:E1206"/>
    <mergeCell ref="D1161:E1161"/>
    <mergeCell ref="D1162:E1162"/>
    <mergeCell ref="D1163:E1163"/>
    <mergeCell ref="C1164:Q1164"/>
    <mergeCell ref="C1115:E1115"/>
    <mergeCell ref="C1116:E1116"/>
    <mergeCell ref="C1117:E1117"/>
    <mergeCell ref="C1118:E1118"/>
    <mergeCell ref="C1119:E1119"/>
    <mergeCell ref="C1120:E1120"/>
    <mergeCell ref="C1122:E1122"/>
    <mergeCell ref="C1123:E1123"/>
    <mergeCell ref="C1124:E1124"/>
    <mergeCell ref="D1077:E1077"/>
    <mergeCell ref="D1079:E1079"/>
    <mergeCell ref="D1080:E1080"/>
    <mergeCell ref="D1081:E1081"/>
    <mergeCell ref="D1082:E1082"/>
    <mergeCell ref="D1083:E1083"/>
    <mergeCell ref="D1084:E1084"/>
    <mergeCell ref="C1086:E1086"/>
    <mergeCell ref="C1087:E1087"/>
    <mergeCell ref="D1110:E1110"/>
    <mergeCell ref="D1111:E1111"/>
    <mergeCell ref="D1112:E1112"/>
    <mergeCell ref="D1113:E1113"/>
    <mergeCell ref="D1099:E1099"/>
    <mergeCell ref="D1101:E1101"/>
    <mergeCell ref="D1102:E1102"/>
    <mergeCell ref="D1103:E1103"/>
    <mergeCell ref="D1104:E1104"/>
    <mergeCell ref="D1105:E1105"/>
    <mergeCell ref="D1106:E1106"/>
    <mergeCell ref="D1108:E1108"/>
    <mergeCell ref="D1109:E1109"/>
    <mergeCell ref="C1088:E1088"/>
    <mergeCell ref="D1067:E1067"/>
    <mergeCell ref="D1068:E1068"/>
    <mergeCell ref="D1069:E1069"/>
    <mergeCell ref="D1070:E1070"/>
    <mergeCell ref="D1072:E1072"/>
    <mergeCell ref="D1073:E1073"/>
    <mergeCell ref="D1074:E1074"/>
    <mergeCell ref="D1075:E1075"/>
    <mergeCell ref="D1076:E1076"/>
    <mergeCell ref="D1055:E1055"/>
    <mergeCell ref="D1057:E1057"/>
    <mergeCell ref="D1058:E1058"/>
    <mergeCell ref="D1059:E1059"/>
    <mergeCell ref="D1060:E1060"/>
    <mergeCell ref="D1061:E1061"/>
    <mergeCell ref="D1062:E1062"/>
    <mergeCell ref="D1065:E1065"/>
    <mergeCell ref="D1066:E1066"/>
    <mergeCell ref="D1044:E1044"/>
    <mergeCell ref="D1045:E1045"/>
    <mergeCell ref="D1046:E1046"/>
    <mergeCell ref="D1047:E1047"/>
    <mergeCell ref="D1050:E1050"/>
    <mergeCell ref="D1051:E1051"/>
    <mergeCell ref="D1052:E1052"/>
    <mergeCell ref="D1053:E1053"/>
    <mergeCell ref="D1054:E1054"/>
    <mergeCell ref="D1032:E1032"/>
    <mergeCell ref="D1035:E1035"/>
    <mergeCell ref="D1036:E1036"/>
    <mergeCell ref="D1037:E1037"/>
    <mergeCell ref="D1038:E1038"/>
    <mergeCell ref="D1039:E1039"/>
    <mergeCell ref="D1040:E1040"/>
    <mergeCell ref="D1042:E1042"/>
    <mergeCell ref="D1043:E1043"/>
    <mergeCell ref="D1022:E1022"/>
    <mergeCell ref="D1023:E1023"/>
    <mergeCell ref="D1024:E1024"/>
    <mergeCell ref="D1025:E1025"/>
    <mergeCell ref="D1027:E1027"/>
    <mergeCell ref="D1028:E1028"/>
    <mergeCell ref="D1029:E1029"/>
    <mergeCell ref="D1030:E1030"/>
    <mergeCell ref="D1031:E1031"/>
    <mergeCell ref="D1026:E1026"/>
    <mergeCell ref="D1034:E1034"/>
    <mergeCell ref="D1041:E1041"/>
    <mergeCell ref="D1010:E1010"/>
    <mergeCell ref="D1012:E1012"/>
    <mergeCell ref="D1013:E1013"/>
    <mergeCell ref="D1014:E1014"/>
    <mergeCell ref="D1015:E1015"/>
    <mergeCell ref="D1016:E1016"/>
    <mergeCell ref="D1017:E1017"/>
    <mergeCell ref="D1020:E1020"/>
    <mergeCell ref="D1021:E1021"/>
    <mergeCell ref="D1000:E1000"/>
    <mergeCell ref="D1001:E1001"/>
    <mergeCell ref="D1002:E1002"/>
    <mergeCell ref="D1003:E1003"/>
    <mergeCell ref="D1005:E1005"/>
    <mergeCell ref="D1006:E1006"/>
    <mergeCell ref="D1007:E1007"/>
    <mergeCell ref="D1008:E1008"/>
    <mergeCell ref="D1009:E1009"/>
    <mergeCell ref="D1019:E1019"/>
    <mergeCell ref="D989:E989"/>
    <mergeCell ref="D991:E991"/>
    <mergeCell ref="D992:E992"/>
    <mergeCell ref="D993:E993"/>
    <mergeCell ref="D994:E994"/>
    <mergeCell ref="D995:E995"/>
    <mergeCell ref="D996:E996"/>
    <mergeCell ref="D998:E998"/>
    <mergeCell ref="D999:E999"/>
    <mergeCell ref="D960:E960"/>
    <mergeCell ref="D962:E962"/>
    <mergeCell ref="D963:E963"/>
    <mergeCell ref="D964:E964"/>
    <mergeCell ref="D965:E965"/>
    <mergeCell ref="D966:E966"/>
    <mergeCell ref="D967:E967"/>
    <mergeCell ref="D969:E969"/>
    <mergeCell ref="D970:E970"/>
    <mergeCell ref="D961:E961"/>
    <mergeCell ref="D983:E983"/>
    <mergeCell ref="D990:E990"/>
    <mergeCell ref="D997:E997"/>
    <mergeCell ref="D971:E971"/>
    <mergeCell ref="D972:E972"/>
    <mergeCell ref="D973:E973"/>
    <mergeCell ref="D974:E974"/>
    <mergeCell ref="D984:E984"/>
    <mergeCell ref="D985:E985"/>
    <mergeCell ref="D986:E986"/>
    <mergeCell ref="D987:E987"/>
    <mergeCell ref="D988:E988"/>
    <mergeCell ref="C975:E975"/>
    <mergeCell ref="C976:E976"/>
    <mergeCell ref="C977:E977"/>
    <mergeCell ref="C978:E978"/>
    <mergeCell ref="C979:E979"/>
    <mergeCell ref="C980:E980"/>
    <mergeCell ref="C981:E981"/>
    <mergeCell ref="C982:Q982"/>
    <mergeCell ref="I964:J964"/>
    <mergeCell ref="I965:J965"/>
    <mergeCell ref="C950:E950"/>
    <mergeCell ref="C951:E951"/>
    <mergeCell ref="C952:E952"/>
    <mergeCell ref="C953:E953"/>
    <mergeCell ref="D955:E955"/>
    <mergeCell ref="D956:E956"/>
    <mergeCell ref="D957:E957"/>
    <mergeCell ref="D958:E958"/>
    <mergeCell ref="D959:E959"/>
    <mergeCell ref="D941:E941"/>
    <mergeCell ref="D942:E942"/>
    <mergeCell ref="D943:E943"/>
    <mergeCell ref="D944:E944"/>
    <mergeCell ref="D755:E755"/>
    <mergeCell ref="D762:E762"/>
    <mergeCell ref="D748:E748"/>
    <mergeCell ref="C948:E948"/>
    <mergeCell ref="C949:E949"/>
    <mergeCell ref="D930:E930"/>
    <mergeCell ref="D932:E932"/>
    <mergeCell ref="D933:E933"/>
    <mergeCell ref="D934:E934"/>
    <mergeCell ref="D935:E935"/>
    <mergeCell ref="D936:E936"/>
    <mergeCell ref="D937:E937"/>
    <mergeCell ref="D939:E939"/>
    <mergeCell ref="D940:E940"/>
    <mergeCell ref="D920:E920"/>
    <mergeCell ref="D921:E921"/>
    <mergeCell ref="D922:E922"/>
    <mergeCell ref="D923:E923"/>
    <mergeCell ref="D925:E925"/>
    <mergeCell ref="D926:E926"/>
    <mergeCell ref="D927:E927"/>
    <mergeCell ref="D928:E928"/>
    <mergeCell ref="D929:E929"/>
    <mergeCell ref="D909:E909"/>
    <mergeCell ref="C911:E911"/>
    <mergeCell ref="C912:E912"/>
    <mergeCell ref="C913:E913"/>
    <mergeCell ref="C914:E914"/>
    <mergeCell ref="C915:E915"/>
    <mergeCell ref="C916:E916"/>
    <mergeCell ref="D918:E918"/>
    <mergeCell ref="D919:E919"/>
    <mergeCell ref="D899:E899"/>
    <mergeCell ref="D900:E900"/>
    <mergeCell ref="D901:E901"/>
    <mergeCell ref="D902:E902"/>
    <mergeCell ref="D904:E904"/>
    <mergeCell ref="D905:E905"/>
    <mergeCell ref="D906:E906"/>
    <mergeCell ref="D907:E907"/>
    <mergeCell ref="D908:E908"/>
    <mergeCell ref="D888:E888"/>
    <mergeCell ref="D890:E890"/>
    <mergeCell ref="D891:E891"/>
    <mergeCell ref="D892:E892"/>
    <mergeCell ref="D893:E893"/>
    <mergeCell ref="D894:E894"/>
    <mergeCell ref="D895:E895"/>
    <mergeCell ref="D897:E897"/>
    <mergeCell ref="D898:E898"/>
    <mergeCell ref="D878:E878"/>
    <mergeCell ref="D879:E879"/>
    <mergeCell ref="D880:E880"/>
    <mergeCell ref="D881:E881"/>
    <mergeCell ref="D883:E883"/>
    <mergeCell ref="D884:E884"/>
    <mergeCell ref="D885:E885"/>
    <mergeCell ref="D886:E886"/>
    <mergeCell ref="D887:E887"/>
    <mergeCell ref="D856:E856"/>
    <mergeCell ref="D836:E836"/>
    <mergeCell ref="D837:E837"/>
    <mergeCell ref="D838:E838"/>
    <mergeCell ref="D839:E839"/>
    <mergeCell ref="D841:E841"/>
    <mergeCell ref="D842:E842"/>
    <mergeCell ref="D843:E843"/>
    <mergeCell ref="D844:E844"/>
    <mergeCell ref="D845:E845"/>
    <mergeCell ref="D825:E825"/>
    <mergeCell ref="D827:E827"/>
    <mergeCell ref="D828:E828"/>
    <mergeCell ref="D829:E829"/>
    <mergeCell ref="D830:E830"/>
    <mergeCell ref="D831:E831"/>
    <mergeCell ref="D832:E832"/>
    <mergeCell ref="D834:E834"/>
    <mergeCell ref="D835:E835"/>
    <mergeCell ref="C801:E801"/>
    <mergeCell ref="C802:E802"/>
    <mergeCell ref="C803:E803"/>
    <mergeCell ref="C804:E804"/>
    <mergeCell ref="C806:E806"/>
    <mergeCell ref="C807:E807"/>
    <mergeCell ref="C808:E808"/>
    <mergeCell ref="C809:E809"/>
    <mergeCell ref="C810:E810"/>
    <mergeCell ref="D822:E822"/>
    <mergeCell ref="D823:E823"/>
    <mergeCell ref="D824:E824"/>
    <mergeCell ref="C790:E790"/>
    <mergeCell ref="C792:E792"/>
    <mergeCell ref="C793:E793"/>
    <mergeCell ref="C794:E794"/>
    <mergeCell ref="C795:E795"/>
    <mergeCell ref="C796:E796"/>
    <mergeCell ref="C797:E797"/>
    <mergeCell ref="C799:E799"/>
    <mergeCell ref="C800:E800"/>
    <mergeCell ref="C780:E780"/>
    <mergeCell ref="C781:E781"/>
    <mergeCell ref="C782:E782"/>
    <mergeCell ref="C783:E783"/>
    <mergeCell ref="C785:E785"/>
    <mergeCell ref="C786:E786"/>
    <mergeCell ref="C787:E787"/>
    <mergeCell ref="C788:E788"/>
    <mergeCell ref="C789:E789"/>
    <mergeCell ref="C784:E784"/>
    <mergeCell ref="C791:E791"/>
    <mergeCell ref="C798:E798"/>
    <mergeCell ref="D768:E768"/>
    <mergeCell ref="C771:E771"/>
    <mergeCell ref="C772:E772"/>
    <mergeCell ref="C773:E773"/>
    <mergeCell ref="C774:E774"/>
    <mergeCell ref="C775:E775"/>
    <mergeCell ref="C776:E776"/>
    <mergeCell ref="C778:E778"/>
    <mergeCell ref="C779:E779"/>
    <mergeCell ref="D758:E758"/>
    <mergeCell ref="D759:E759"/>
    <mergeCell ref="D760:E760"/>
    <mergeCell ref="D761:E761"/>
    <mergeCell ref="D763:E763"/>
    <mergeCell ref="D764:E764"/>
    <mergeCell ref="D765:E765"/>
    <mergeCell ref="D766:E766"/>
    <mergeCell ref="D767:E767"/>
    <mergeCell ref="C770:E770"/>
    <mergeCell ref="C777:E777"/>
    <mergeCell ref="D747:E747"/>
    <mergeCell ref="D749:E749"/>
    <mergeCell ref="D750:E750"/>
    <mergeCell ref="D751:E751"/>
    <mergeCell ref="D752:E752"/>
    <mergeCell ref="D753:E753"/>
    <mergeCell ref="D754:E754"/>
    <mergeCell ref="D756:E756"/>
    <mergeCell ref="D757:E757"/>
    <mergeCell ref="D737:E737"/>
    <mergeCell ref="D738:E738"/>
    <mergeCell ref="D739:E739"/>
    <mergeCell ref="D740:E740"/>
    <mergeCell ref="D742:E742"/>
    <mergeCell ref="D743:E743"/>
    <mergeCell ref="D744:E744"/>
    <mergeCell ref="D745:E745"/>
    <mergeCell ref="D746:E746"/>
    <mergeCell ref="D741:E741"/>
    <mergeCell ref="D726:E726"/>
    <mergeCell ref="D728:E728"/>
    <mergeCell ref="D729:E729"/>
    <mergeCell ref="D730:E730"/>
    <mergeCell ref="D731:E731"/>
    <mergeCell ref="D732:E732"/>
    <mergeCell ref="D733:E733"/>
    <mergeCell ref="D735:E735"/>
    <mergeCell ref="D736:E736"/>
    <mergeCell ref="D716:E716"/>
    <mergeCell ref="D717:E717"/>
    <mergeCell ref="D718:E718"/>
    <mergeCell ref="D719:E719"/>
    <mergeCell ref="D721:E721"/>
    <mergeCell ref="D722:E722"/>
    <mergeCell ref="D723:E723"/>
    <mergeCell ref="D724:E724"/>
    <mergeCell ref="D725:E725"/>
    <mergeCell ref="D734:E734"/>
    <mergeCell ref="D727:E727"/>
    <mergeCell ref="D720:E720"/>
    <mergeCell ref="C705:E705"/>
    <mergeCell ref="C707:E707"/>
    <mergeCell ref="C708:E708"/>
    <mergeCell ref="C709:E709"/>
    <mergeCell ref="C710:E710"/>
    <mergeCell ref="C711:E711"/>
    <mergeCell ref="C712:E712"/>
    <mergeCell ref="D714:E714"/>
    <mergeCell ref="D715:E715"/>
    <mergeCell ref="D695:E695"/>
    <mergeCell ref="D696:E696"/>
    <mergeCell ref="D697:E697"/>
    <mergeCell ref="D698:E698"/>
    <mergeCell ref="C700:E700"/>
    <mergeCell ref="C701:E701"/>
    <mergeCell ref="C702:E702"/>
    <mergeCell ref="C703:E703"/>
    <mergeCell ref="C704:E704"/>
    <mergeCell ref="D713:E713"/>
    <mergeCell ref="C706:E706"/>
    <mergeCell ref="C699:E699"/>
    <mergeCell ref="C684:E684"/>
    <mergeCell ref="D686:E686"/>
    <mergeCell ref="D687:E687"/>
    <mergeCell ref="D688:E688"/>
    <mergeCell ref="D689:E689"/>
    <mergeCell ref="D690:E690"/>
    <mergeCell ref="D691:E691"/>
    <mergeCell ref="D693:E693"/>
    <mergeCell ref="D694:E694"/>
    <mergeCell ref="D674:E674"/>
    <mergeCell ref="D675:E675"/>
    <mergeCell ref="D676:E676"/>
    <mergeCell ref="D677:E677"/>
    <mergeCell ref="C679:E679"/>
    <mergeCell ref="C680:E680"/>
    <mergeCell ref="C681:E681"/>
    <mergeCell ref="C682:E682"/>
    <mergeCell ref="C683:E683"/>
    <mergeCell ref="C678:E678"/>
    <mergeCell ref="D692:E692"/>
    <mergeCell ref="D685:E685"/>
    <mergeCell ref="C663:E663"/>
    <mergeCell ref="D665:E665"/>
    <mergeCell ref="D666:E666"/>
    <mergeCell ref="D667:E667"/>
    <mergeCell ref="D668:E668"/>
    <mergeCell ref="D669:E669"/>
    <mergeCell ref="D670:E670"/>
    <mergeCell ref="D672:E672"/>
    <mergeCell ref="D673:E673"/>
    <mergeCell ref="D653:E653"/>
    <mergeCell ref="D654:E654"/>
    <mergeCell ref="D655:E655"/>
    <mergeCell ref="D656:E656"/>
    <mergeCell ref="C658:E658"/>
    <mergeCell ref="C659:E659"/>
    <mergeCell ref="C660:E660"/>
    <mergeCell ref="C661:E661"/>
    <mergeCell ref="C662:E662"/>
    <mergeCell ref="C642:E642"/>
    <mergeCell ref="D644:E644"/>
    <mergeCell ref="D645:E645"/>
    <mergeCell ref="D646:E646"/>
    <mergeCell ref="D647:E647"/>
    <mergeCell ref="D648:E648"/>
    <mergeCell ref="D649:E649"/>
    <mergeCell ref="D651:E651"/>
    <mergeCell ref="D652:E652"/>
    <mergeCell ref="D634:E634"/>
    <mergeCell ref="D635:E635"/>
    <mergeCell ref="D622:E622"/>
    <mergeCell ref="D629:E629"/>
    <mergeCell ref="C637:E637"/>
    <mergeCell ref="C638:E638"/>
    <mergeCell ref="C639:E639"/>
    <mergeCell ref="C640:E640"/>
    <mergeCell ref="C641:E641"/>
    <mergeCell ref="D624:E624"/>
    <mergeCell ref="D625:E625"/>
    <mergeCell ref="D626:E626"/>
    <mergeCell ref="D627:E627"/>
    <mergeCell ref="D628:E628"/>
    <mergeCell ref="D630:E630"/>
    <mergeCell ref="D631:E631"/>
    <mergeCell ref="D632:E632"/>
    <mergeCell ref="D633:E633"/>
    <mergeCell ref="C636:E636"/>
    <mergeCell ref="D599:E599"/>
    <mergeCell ref="D600:E600"/>
    <mergeCell ref="C616:E616"/>
    <mergeCell ref="C617:E617"/>
    <mergeCell ref="C618:E618"/>
    <mergeCell ref="C619:E619"/>
    <mergeCell ref="C620:E620"/>
    <mergeCell ref="C621:E621"/>
    <mergeCell ref="D623:E623"/>
    <mergeCell ref="D575:E575"/>
    <mergeCell ref="D576:E576"/>
    <mergeCell ref="D577:E577"/>
    <mergeCell ref="D578:E578"/>
    <mergeCell ref="D579:E579"/>
    <mergeCell ref="D595:E595"/>
    <mergeCell ref="D596:E596"/>
    <mergeCell ref="D597:E597"/>
    <mergeCell ref="D598:E598"/>
    <mergeCell ref="D594:E594"/>
    <mergeCell ref="C615:E615"/>
    <mergeCell ref="D564:E564"/>
    <mergeCell ref="C567:E567"/>
    <mergeCell ref="C568:E568"/>
    <mergeCell ref="C569:E569"/>
    <mergeCell ref="C570:E570"/>
    <mergeCell ref="C571:E571"/>
    <mergeCell ref="C572:E572"/>
    <mergeCell ref="D573:E573"/>
    <mergeCell ref="D574:E574"/>
    <mergeCell ref="D554:E554"/>
    <mergeCell ref="D555:E555"/>
    <mergeCell ref="D556:E556"/>
    <mergeCell ref="D557:E557"/>
    <mergeCell ref="D559:E559"/>
    <mergeCell ref="D560:E560"/>
    <mergeCell ref="D561:E561"/>
    <mergeCell ref="D562:E562"/>
    <mergeCell ref="D563:E563"/>
    <mergeCell ref="C566:E566"/>
    <mergeCell ref="D558:E558"/>
    <mergeCell ref="D547:E547"/>
    <mergeCell ref="D548:E548"/>
    <mergeCell ref="D549:E549"/>
    <mergeCell ref="D550:E550"/>
    <mergeCell ref="D552:E552"/>
    <mergeCell ref="D553:E553"/>
    <mergeCell ref="D533:E533"/>
    <mergeCell ref="D534:E534"/>
    <mergeCell ref="D535:E535"/>
    <mergeCell ref="D536:E536"/>
    <mergeCell ref="D538:E538"/>
    <mergeCell ref="D539:E539"/>
    <mergeCell ref="D540:E540"/>
    <mergeCell ref="D541:E541"/>
    <mergeCell ref="D542:E542"/>
    <mergeCell ref="D544:E544"/>
    <mergeCell ref="D551:E551"/>
    <mergeCell ref="C516:E516"/>
    <mergeCell ref="D543:E543"/>
    <mergeCell ref="D545:E545"/>
    <mergeCell ref="D546:E546"/>
    <mergeCell ref="D510:E510"/>
    <mergeCell ref="D511:E511"/>
    <mergeCell ref="D491:E491"/>
    <mergeCell ref="D492:E492"/>
    <mergeCell ref="D493:E493"/>
    <mergeCell ref="D494:E494"/>
    <mergeCell ref="C496:E496"/>
    <mergeCell ref="C497:E497"/>
    <mergeCell ref="C498:E498"/>
    <mergeCell ref="C499:E499"/>
    <mergeCell ref="C500:E500"/>
    <mergeCell ref="C495:E495"/>
    <mergeCell ref="C522:E522"/>
    <mergeCell ref="D524:E524"/>
    <mergeCell ref="D525:E525"/>
    <mergeCell ref="D526:E526"/>
    <mergeCell ref="D527:E527"/>
    <mergeCell ref="C466:E466"/>
    <mergeCell ref="C468:E468"/>
    <mergeCell ref="C469:E469"/>
    <mergeCell ref="C470:E470"/>
    <mergeCell ref="C471:E471"/>
    <mergeCell ref="C472:E472"/>
    <mergeCell ref="C473:E473"/>
    <mergeCell ref="C475:E475"/>
    <mergeCell ref="C476:E476"/>
    <mergeCell ref="D456:E456"/>
    <mergeCell ref="D457:E457"/>
    <mergeCell ref="D458:E458"/>
    <mergeCell ref="D459:E459"/>
    <mergeCell ref="C461:E461"/>
    <mergeCell ref="C462:E462"/>
    <mergeCell ref="C463:E463"/>
    <mergeCell ref="C464:E464"/>
    <mergeCell ref="C465:E465"/>
    <mergeCell ref="C460:E460"/>
    <mergeCell ref="C467:E467"/>
    <mergeCell ref="C474:E474"/>
    <mergeCell ref="C445:E445"/>
    <mergeCell ref="D447:E447"/>
    <mergeCell ref="D448:E448"/>
    <mergeCell ref="D449:E449"/>
    <mergeCell ref="D450:E450"/>
    <mergeCell ref="D451:E451"/>
    <mergeCell ref="D452:E452"/>
    <mergeCell ref="D454:E454"/>
    <mergeCell ref="D455:E455"/>
    <mergeCell ref="D435:E435"/>
    <mergeCell ref="D436:E436"/>
    <mergeCell ref="D437:E437"/>
    <mergeCell ref="D438:E438"/>
    <mergeCell ref="C440:E440"/>
    <mergeCell ref="C441:E441"/>
    <mergeCell ref="C442:E442"/>
    <mergeCell ref="C443:E443"/>
    <mergeCell ref="C444:E444"/>
    <mergeCell ref="C439:E439"/>
    <mergeCell ref="D446:E446"/>
    <mergeCell ref="D453:E453"/>
    <mergeCell ref="D426:E426"/>
    <mergeCell ref="D427:E427"/>
    <mergeCell ref="D428:E428"/>
    <mergeCell ref="D429:E429"/>
    <mergeCell ref="D430:E430"/>
    <mergeCell ref="D431:E431"/>
    <mergeCell ref="D433:E433"/>
    <mergeCell ref="D434:E434"/>
    <mergeCell ref="D414:E414"/>
    <mergeCell ref="D415:E415"/>
    <mergeCell ref="D416:E416"/>
    <mergeCell ref="D417:E417"/>
    <mergeCell ref="D419:E419"/>
    <mergeCell ref="D420:E420"/>
    <mergeCell ref="D421:E421"/>
    <mergeCell ref="D422:E422"/>
    <mergeCell ref="D423:E423"/>
    <mergeCell ref="D353:E353"/>
    <mergeCell ref="D375:E375"/>
    <mergeCell ref="D376:E376"/>
    <mergeCell ref="C335:E335"/>
    <mergeCell ref="C336:E336"/>
    <mergeCell ref="C337:E337"/>
    <mergeCell ref="C338:E338"/>
    <mergeCell ref="D319:E319"/>
    <mergeCell ref="D320:E320"/>
    <mergeCell ref="D321:E321"/>
    <mergeCell ref="D322:E322"/>
    <mergeCell ref="D323:E323"/>
    <mergeCell ref="D324:E324"/>
    <mergeCell ref="C326:E326"/>
    <mergeCell ref="C327:E327"/>
    <mergeCell ref="C328:E328"/>
    <mergeCell ref="D350:E350"/>
    <mergeCell ref="D351:E351"/>
    <mergeCell ref="D352:E352"/>
    <mergeCell ref="D354:E354"/>
    <mergeCell ref="C339:E339"/>
    <mergeCell ref="D346:E346"/>
    <mergeCell ref="D316:E316"/>
    <mergeCell ref="D317:E317"/>
    <mergeCell ref="D298:E298"/>
    <mergeCell ref="D299:E299"/>
    <mergeCell ref="D300:E300"/>
    <mergeCell ref="D301:E301"/>
    <mergeCell ref="D302:E302"/>
    <mergeCell ref="D303:E303"/>
    <mergeCell ref="C305:E305"/>
    <mergeCell ref="C306:E306"/>
    <mergeCell ref="C307:E307"/>
    <mergeCell ref="D311:E311"/>
    <mergeCell ref="C329:E329"/>
    <mergeCell ref="C330:E330"/>
    <mergeCell ref="C331:E331"/>
    <mergeCell ref="C333:E333"/>
    <mergeCell ref="C334:E334"/>
    <mergeCell ref="D318:E318"/>
    <mergeCell ref="C325:E325"/>
    <mergeCell ref="C332:E332"/>
    <mergeCell ref="D296:E296"/>
    <mergeCell ref="C277:E277"/>
    <mergeCell ref="C278:E278"/>
    <mergeCell ref="C279:E279"/>
    <mergeCell ref="C280:E280"/>
    <mergeCell ref="C281:E281"/>
    <mergeCell ref="C282:E282"/>
    <mergeCell ref="D284:E284"/>
    <mergeCell ref="D285:E285"/>
    <mergeCell ref="D286:E286"/>
    <mergeCell ref="C308:E308"/>
    <mergeCell ref="C309:E309"/>
    <mergeCell ref="C310:E310"/>
    <mergeCell ref="D312:E312"/>
    <mergeCell ref="D313:E313"/>
    <mergeCell ref="D314:E314"/>
    <mergeCell ref="D315:E315"/>
    <mergeCell ref="D297:E297"/>
    <mergeCell ref="C304:E304"/>
    <mergeCell ref="D242:E242"/>
    <mergeCell ref="D243:E243"/>
    <mergeCell ref="D244:E244"/>
    <mergeCell ref="D245:E245"/>
    <mergeCell ref="D246:E246"/>
    <mergeCell ref="D247:E247"/>
    <mergeCell ref="D249:E249"/>
    <mergeCell ref="D250:E250"/>
    <mergeCell ref="D251:E251"/>
    <mergeCell ref="D287:E287"/>
    <mergeCell ref="D288:E288"/>
    <mergeCell ref="D289:E289"/>
    <mergeCell ref="D291:E291"/>
    <mergeCell ref="D292:E292"/>
    <mergeCell ref="D293:E293"/>
    <mergeCell ref="D294:E294"/>
    <mergeCell ref="D295:E295"/>
    <mergeCell ref="D248:E248"/>
    <mergeCell ref="D262:E262"/>
    <mergeCell ref="D269:E269"/>
    <mergeCell ref="D290:E290"/>
    <mergeCell ref="D252:E252"/>
    <mergeCell ref="D253:E253"/>
    <mergeCell ref="D254:E254"/>
    <mergeCell ref="C256:E256"/>
    <mergeCell ref="C257:E257"/>
    <mergeCell ref="C258:E258"/>
    <mergeCell ref="C259:E259"/>
    <mergeCell ref="C260:E260"/>
    <mergeCell ref="C261:E261"/>
    <mergeCell ref="D263:E263"/>
    <mergeCell ref="D264:E264"/>
    <mergeCell ref="X12:Z12"/>
    <mergeCell ref="D60:E60"/>
    <mergeCell ref="D67:E67"/>
    <mergeCell ref="B12:F12"/>
    <mergeCell ref="G12:J12"/>
    <mergeCell ref="L12:P12"/>
    <mergeCell ref="C125:E125"/>
    <mergeCell ref="C126:E126"/>
    <mergeCell ref="D127:E127"/>
    <mergeCell ref="D128:E128"/>
    <mergeCell ref="D129:E129"/>
    <mergeCell ref="D130:E130"/>
    <mergeCell ref="D74:E74"/>
    <mergeCell ref="C120:E120"/>
    <mergeCell ref="C121:E121"/>
    <mergeCell ref="C122:E122"/>
    <mergeCell ref="C123:E123"/>
    <mergeCell ref="C124:E124"/>
    <mergeCell ref="D82:E82"/>
    <mergeCell ref="C30:E30"/>
    <mergeCell ref="C32:E32"/>
    <mergeCell ref="C33:E33"/>
    <mergeCell ref="C59:Q59"/>
    <mergeCell ref="B47:Z47"/>
    <mergeCell ref="C26:E26"/>
    <mergeCell ref="D83:E83"/>
    <mergeCell ref="I96:J96"/>
    <mergeCell ref="I127:J127"/>
    <mergeCell ref="H39:J39"/>
    <mergeCell ref="H40:J40"/>
    <mergeCell ref="H35:J35"/>
    <mergeCell ref="H36:J36"/>
    <mergeCell ref="D137:E137"/>
    <mergeCell ref="D138:E138"/>
    <mergeCell ref="D139:E139"/>
    <mergeCell ref="D140:E140"/>
    <mergeCell ref="C141:E141"/>
    <mergeCell ref="C142:E142"/>
    <mergeCell ref="D131:E131"/>
    <mergeCell ref="D132:E132"/>
    <mergeCell ref="D133:E133"/>
    <mergeCell ref="D134:E134"/>
    <mergeCell ref="D135:E135"/>
    <mergeCell ref="D136:E136"/>
    <mergeCell ref="D152:E152"/>
    <mergeCell ref="D153:E153"/>
    <mergeCell ref="D154:E154"/>
    <mergeCell ref="D155:E155"/>
    <mergeCell ref="D156:E156"/>
    <mergeCell ref="C143:E143"/>
    <mergeCell ref="C144:E144"/>
    <mergeCell ref="C145:E145"/>
    <mergeCell ref="C146:E146"/>
    <mergeCell ref="C147:E147"/>
    <mergeCell ref="D148:E148"/>
    <mergeCell ref="D149:E149"/>
    <mergeCell ref="D150:E150"/>
    <mergeCell ref="D151:E151"/>
    <mergeCell ref="D161:E161"/>
    <mergeCell ref="C162:E162"/>
    <mergeCell ref="C169:E169"/>
    <mergeCell ref="C163:E163"/>
    <mergeCell ref="C164:E164"/>
    <mergeCell ref="C165:E165"/>
    <mergeCell ref="C166:E166"/>
    <mergeCell ref="H213:J213"/>
    <mergeCell ref="D220:E220"/>
    <mergeCell ref="D227:E227"/>
    <mergeCell ref="C234:E234"/>
    <mergeCell ref="D241:E241"/>
    <mergeCell ref="C215:E215"/>
    <mergeCell ref="C216:E216"/>
    <mergeCell ref="C217:E217"/>
    <mergeCell ref="C218:E218"/>
    <mergeCell ref="D228:E228"/>
    <mergeCell ref="D229:E229"/>
    <mergeCell ref="D230:E230"/>
    <mergeCell ref="D231:E231"/>
    <mergeCell ref="D232:E232"/>
    <mergeCell ref="D233:E233"/>
    <mergeCell ref="C235:E235"/>
    <mergeCell ref="C236:E236"/>
    <mergeCell ref="C237:E237"/>
    <mergeCell ref="C238:E238"/>
    <mergeCell ref="C239:E239"/>
    <mergeCell ref="C240:E240"/>
    <mergeCell ref="D226:E226"/>
    <mergeCell ref="C219:E219"/>
    <mergeCell ref="D221:E221"/>
    <mergeCell ref="I183:J183"/>
    <mergeCell ref="D265:E265"/>
    <mergeCell ref="D266:E266"/>
    <mergeCell ref="D267:E267"/>
    <mergeCell ref="D268:E268"/>
    <mergeCell ref="D270:E270"/>
    <mergeCell ref="D271:E271"/>
    <mergeCell ref="D272:E272"/>
    <mergeCell ref="D273:E273"/>
    <mergeCell ref="D274:E274"/>
    <mergeCell ref="D275:E275"/>
    <mergeCell ref="C360:E360"/>
    <mergeCell ref="C404:E404"/>
    <mergeCell ref="D411:E411"/>
    <mergeCell ref="D418:E418"/>
    <mergeCell ref="D425:E425"/>
    <mergeCell ref="D432:E432"/>
    <mergeCell ref="C361:E361"/>
    <mergeCell ref="C362:E362"/>
    <mergeCell ref="C363:E363"/>
    <mergeCell ref="C364:E364"/>
    <mergeCell ref="C365:E365"/>
    <mergeCell ref="C366:E366"/>
    <mergeCell ref="D368:E368"/>
    <mergeCell ref="D369:E369"/>
    <mergeCell ref="D370:E370"/>
    <mergeCell ref="D371:E371"/>
    <mergeCell ref="D372:E372"/>
    <mergeCell ref="D373:E373"/>
    <mergeCell ref="D377:E377"/>
    <mergeCell ref="D378:E378"/>
    <mergeCell ref="D379:E379"/>
    <mergeCell ref="D380:E380"/>
    <mergeCell ref="D382:E382"/>
    <mergeCell ref="D389:E389"/>
    <mergeCell ref="D396:E396"/>
    <mergeCell ref="D383:E383"/>
    <mergeCell ref="D384:E384"/>
    <mergeCell ref="D385:E385"/>
    <mergeCell ref="D386:E386"/>
    <mergeCell ref="D387:E387"/>
    <mergeCell ref="D388:E388"/>
    <mergeCell ref="C477:E477"/>
    <mergeCell ref="C478:E478"/>
    <mergeCell ref="C479:E479"/>
    <mergeCell ref="C480:E480"/>
    <mergeCell ref="D482:E482"/>
    <mergeCell ref="D483:E483"/>
    <mergeCell ref="D484:E484"/>
    <mergeCell ref="D390:E390"/>
    <mergeCell ref="D391:E391"/>
    <mergeCell ref="D392:E392"/>
    <mergeCell ref="C405:E405"/>
    <mergeCell ref="C406:E406"/>
    <mergeCell ref="C407:E407"/>
    <mergeCell ref="C408:E408"/>
    <mergeCell ref="C409:E409"/>
    <mergeCell ref="C410:E410"/>
    <mergeCell ref="D412:E412"/>
    <mergeCell ref="D413:E413"/>
    <mergeCell ref="D393:E393"/>
    <mergeCell ref="D394:E394"/>
    <mergeCell ref="D395:E395"/>
    <mergeCell ref="D397:E397"/>
    <mergeCell ref="D424:E424"/>
    <mergeCell ref="D485:E485"/>
    <mergeCell ref="D486:E486"/>
    <mergeCell ref="D487:E487"/>
    <mergeCell ref="D489:E489"/>
    <mergeCell ref="D490:E490"/>
    <mergeCell ref="C847:E847"/>
    <mergeCell ref="D854:E854"/>
    <mergeCell ref="D861:E861"/>
    <mergeCell ref="C868:E868"/>
    <mergeCell ref="C947:E947"/>
    <mergeCell ref="C805:E805"/>
    <mergeCell ref="D812:E812"/>
    <mergeCell ref="D819:E819"/>
    <mergeCell ref="D826:E826"/>
    <mergeCell ref="D833:E833"/>
    <mergeCell ref="D840:E840"/>
    <mergeCell ref="C811:E811"/>
    <mergeCell ref="D813:E813"/>
    <mergeCell ref="D814:E814"/>
    <mergeCell ref="D815:E815"/>
    <mergeCell ref="D816:E816"/>
    <mergeCell ref="D817:E817"/>
    <mergeCell ref="D818:E818"/>
    <mergeCell ref="D820:E820"/>
    <mergeCell ref="D821:E821"/>
    <mergeCell ref="C501:E501"/>
    <mergeCell ref="D503:E503"/>
    <mergeCell ref="D504:E504"/>
    <mergeCell ref="D505:E505"/>
    <mergeCell ref="D506:E506"/>
    <mergeCell ref="D507:E507"/>
    <mergeCell ref="D508:E508"/>
    <mergeCell ref="D1151:E1151"/>
    <mergeCell ref="D1152:E1152"/>
    <mergeCell ref="D1153:E1153"/>
    <mergeCell ref="D1154:E1154"/>
    <mergeCell ref="D1155:E1155"/>
    <mergeCell ref="D1187:E1187"/>
    <mergeCell ref="D1194:E1194"/>
    <mergeCell ref="C167:E167"/>
    <mergeCell ref="C168:E168"/>
    <mergeCell ref="C170:E170"/>
    <mergeCell ref="C171:E171"/>
    <mergeCell ref="C172:E172"/>
    <mergeCell ref="C173:E173"/>
    <mergeCell ref="D1401:E1401"/>
    <mergeCell ref="D1093:E1093"/>
    <mergeCell ref="D1100:E1100"/>
    <mergeCell ref="D1107:E1107"/>
    <mergeCell ref="C1114:E1114"/>
    <mergeCell ref="C1121:E1121"/>
    <mergeCell ref="C1128:E1128"/>
    <mergeCell ref="D1049:E1049"/>
    <mergeCell ref="D1056:E1056"/>
    <mergeCell ref="D1064:E1064"/>
    <mergeCell ref="D1071:E1071"/>
    <mergeCell ref="D1078:E1078"/>
    <mergeCell ref="C1085:E1085"/>
    <mergeCell ref="D1004:E1004"/>
    <mergeCell ref="D1011:E1011"/>
    <mergeCell ref="D222:E222"/>
    <mergeCell ref="D223:E223"/>
    <mergeCell ref="D224:E224"/>
    <mergeCell ref="D225:E225"/>
    <mergeCell ref="D207:E207"/>
    <mergeCell ref="D208:E208"/>
    <mergeCell ref="D209:E209"/>
    <mergeCell ref="D210:E210"/>
    <mergeCell ref="D211:E211"/>
    <mergeCell ref="C214:E214"/>
    <mergeCell ref="C213:E213"/>
    <mergeCell ref="D186:E186"/>
    <mergeCell ref="D187:E187"/>
    <mergeCell ref="D188:E188"/>
    <mergeCell ref="D189:E189"/>
    <mergeCell ref="D192:E192"/>
    <mergeCell ref="D191:E191"/>
    <mergeCell ref="D200:E200"/>
    <mergeCell ref="D201:E201"/>
    <mergeCell ref="D202:E202"/>
    <mergeCell ref="D203:E203"/>
    <mergeCell ref="D204:E204"/>
    <mergeCell ref="D206:E206"/>
    <mergeCell ref="D193:E193"/>
    <mergeCell ref="D194:E194"/>
    <mergeCell ref="D195:E195"/>
    <mergeCell ref="D196:E196"/>
    <mergeCell ref="D197:E197"/>
    <mergeCell ref="D199:E199"/>
    <mergeCell ref="D198:E198"/>
    <mergeCell ref="D205:E205"/>
    <mergeCell ref="C174:E174"/>
    <mergeCell ref="C175:E175"/>
    <mergeCell ref="D177:E177"/>
    <mergeCell ref="D178:E178"/>
    <mergeCell ref="D179:E179"/>
    <mergeCell ref="D180:E180"/>
    <mergeCell ref="D176:E176"/>
    <mergeCell ref="D183:E183"/>
    <mergeCell ref="D181:E181"/>
    <mergeCell ref="D182:E182"/>
    <mergeCell ref="D184:E184"/>
    <mergeCell ref="D185:E185"/>
    <mergeCell ref="D157:E157"/>
    <mergeCell ref="D158:E158"/>
    <mergeCell ref="D159:E159"/>
    <mergeCell ref="I82:J82"/>
    <mergeCell ref="I135:J135"/>
    <mergeCell ref="I136:J136"/>
    <mergeCell ref="I137:J137"/>
    <mergeCell ref="I138:J138"/>
    <mergeCell ref="I139:J139"/>
    <mergeCell ref="I140:J140"/>
    <mergeCell ref="I89:J89"/>
    <mergeCell ref="I111:J111"/>
    <mergeCell ref="I104:J104"/>
    <mergeCell ref="I128:J128"/>
    <mergeCell ref="I129:J129"/>
    <mergeCell ref="I130:J130"/>
    <mergeCell ref="I131:J131"/>
    <mergeCell ref="I132:J132"/>
    <mergeCell ref="D160:E160"/>
    <mergeCell ref="I160:J160"/>
    <mergeCell ref="I161:J161"/>
    <mergeCell ref="H163:J163"/>
    <mergeCell ref="H164:J164"/>
    <mergeCell ref="H165:J165"/>
    <mergeCell ref="H166:J166"/>
    <mergeCell ref="H167:J167"/>
    <mergeCell ref="H168:J168"/>
    <mergeCell ref="H170:J170"/>
    <mergeCell ref="H171:J171"/>
    <mergeCell ref="H172:J172"/>
    <mergeCell ref="H173:J173"/>
    <mergeCell ref="H174:J174"/>
    <mergeCell ref="H175:J175"/>
    <mergeCell ref="I177:J177"/>
    <mergeCell ref="I178:J178"/>
    <mergeCell ref="I179:J179"/>
    <mergeCell ref="I180:J180"/>
    <mergeCell ref="I181:J181"/>
    <mergeCell ref="I182:J182"/>
    <mergeCell ref="I184:J184"/>
    <mergeCell ref="I185:J185"/>
    <mergeCell ref="I186:J186"/>
    <mergeCell ref="I187:J187"/>
    <mergeCell ref="I188:J188"/>
    <mergeCell ref="I189:J189"/>
    <mergeCell ref="I192:J192"/>
    <mergeCell ref="I193:J193"/>
    <mergeCell ref="I194:J194"/>
    <mergeCell ref="I195:J195"/>
    <mergeCell ref="I196:J196"/>
    <mergeCell ref="I197:J197"/>
    <mergeCell ref="I199:J199"/>
    <mergeCell ref="I200:J200"/>
    <mergeCell ref="I191:J191"/>
    <mergeCell ref="I198:J198"/>
    <mergeCell ref="I233:J233"/>
    <mergeCell ref="I242:J242"/>
    <mergeCell ref="I243:J243"/>
    <mergeCell ref="I244:J244"/>
    <mergeCell ref="I245:J245"/>
    <mergeCell ref="I246:J246"/>
    <mergeCell ref="I247:J247"/>
    <mergeCell ref="I249:J249"/>
    <mergeCell ref="I250:J250"/>
    <mergeCell ref="I251:J251"/>
    <mergeCell ref="I252:J252"/>
    <mergeCell ref="I201:J201"/>
    <mergeCell ref="I202:J202"/>
    <mergeCell ref="I203:J203"/>
    <mergeCell ref="I204:J204"/>
    <mergeCell ref="I206:J206"/>
    <mergeCell ref="I207:J207"/>
    <mergeCell ref="I208:J208"/>
    <mergeCell ref="I209:J209"/>
    <mergeCell ref="I210:J210"/>
    <mergeCell ref="I211:J211"/>
    <mergeCell ref="I221:J221"/>
    <mergeCell ref="I222:J222"/>
    <mergeCell ref="I223:J223"/>
    <mergeCell ref="I224:J224"/>
    <mergeCell ref="I225:J225"/>
    <mergeCell ref="I226:J226"/>
    <mergeCell ref="I220:J220"/>
    <mergeCell ref="I227:J227"/>
    <mergeCell ref="H234:J234"/>
    <mergeCell ref="I253:J253"/>
    <mergeCell ref="I254:J254"/>
    <mergeCell ref="I263:J263"/>
    <mergeCell ref="I264:J264"/>
    <mergeCell ref="I265:J265"/>
    <mergeCell ref="I266:J266"/>
    <mergeCell ref="I267:J267"/>
    <mergeCell ref="I268:J268"/>
    <mergeCell ref="I270:J270"/>
    <mergeCell ref="I271:J271"/>
    <mergeCell ref="I272:J272"/>
    <mergeCell ref="I273:J273"/>
    <mergeCell ref="I274:J274"/>
    <mergeCell ref="I275:J275"/>
    <mergeCell ref="I284:J284"/>
    <mergeCell ref="I285:J285"/>
    <mergeCell ref="I286:J286"/>
    <mergeCell ref="I262:J262"/>
    <mergeCell ref="I269:J269"/>
    <mergeCell ref="H256:J256"/>
    <mergeCell ref="H257:J257"/>
    <mergeCell ref="H258:J258"/>
    <mergeCell ref="H259:J259"/>
    <mergeCell ref="H260:J260"/>
    <mergeCell ref="H261:J261"/>
    <mergeCell ref="H277:J277"/>
    <mergeCell ref="H278:J278"/>
    <mergeCell ref="H279:J279"/>
    <mergeCell ref="H280:J280"/>
    <mergeCell ref="H281:J281"/>
    <mergeCell ref="H282:J282"/>
    <mergeCell ref="I287:J287"/>
    <mergeCell ref="I288:J288"/>
    <mergeCell ref="I289:J289"/>
    <mergeCell ref="I291:J291"/>
    <mergeCell ref="I292:J292"/>
    <mergeCell ref="I293:J293"/>
    <mergeCell ref="I294:J294"/>
    <mergeCell ref="I295:J295"/>
    <mergeCell ref="I296:J296"/>
    <mergeCell ref="I298:J298"/>
    <mergeCell ref="I299:J299"/>
    <mergeCell ref="I300:J300"/>
    <mergeCell ref="I301:J301"/>
    <mergeCell ref="I302:J302"/>
    <mergeCell ref="I303:J303"/>
    <mergeCell ref="I312:J312"/>
    <mergeCell ref="I313:J313"/>
    <mergeCell ref="H305:J305"/>
    <mergeCell ref="H306:J306"/>
    <mergeCell ref="H361:J361"/>
    <mergeCell ref="H362:J362"/>
    <mergeCell ref="H363:J363"/>
    <mergeCell ref="H364:J364"/>
    <mergeCell ref="H365:J365"/>
    <mergeCell ref="H366:J366"/>
    <mergeCell ref="I314:J314"/>
    <mergeCell ref="I315:J315"/>
    <mergeCell ref="I316:J316"/>
    <mergeCell ref="I317:J317"/>
    <mergeCell ref="I319:J319"/>
    <mergeCell ref="I320:J320"/>
    <mergeCell ref="I321:J321"/>
    <mergeCell ref="I322:J322"/>
    <mergeCell ref="I323:J323"/>
    <mergeCell ref="I324:J324"/>
    <mergeCell ref="I347:J347"/>
    <mergeCell ref="I348:J348"/>
    <mergeCell ref="I349:J349"/>
    <mergeCell ref="I350:J350"/>
    <mergeCell ref="I351:J351"/>
    <mergeCell ref="I352:J352"/>
    <mergeCell ref="I354:J354"/>
    <mergeCell ref="H337:J337"/>
    <mergeCell ref="H338:J338"/>
    <mergeCell ref="H340:J340"/>
    <mergeCell ref="H341:J341"/>
    <mergeCell ref="H342:J342"/>
    <mergeCell ref="H343:J343"/>
    <mergeCell ref="H344:J344"/>
    <mergeCell ref="H345:J345"/>
    <mergeCell ref="H332:J332"/>
    <mergeCell ref="I380:J380"/>
    <mergeCell ref="I390:J390"/>
    <mergeCell ref="I391:J391"/>
    <mergeCell ref="I392:J392"/>
    <mergeCell ref="I393:J393"/>
    <mergeCell ref="I394:J394"/>
    <mergeCell ref="I395:J395"/>
    <mergeCell ref="I383:J383"/>
    <mergeCell ref="I384:J384"/>
    <mergeCell ref="I385:J385"/>
    <mergeCell ref="I386:J386"/>
    <mergeCell ref="I387:J387"/>
    <mergeCell ref="I388:J388"/>
    <mergeCell ref="I397:J397"/>
    <mergeCell ref="I398:J398"/>
    <mergeCell ref="I399:J399"/>
    <mergeCell ref="I355:J355"/>
    <mergeCell ref="I356:J356"/>
    <mergeCell ref="I357:J357"/>
    <mergeCell ref="I358:J358"/>
    <mergeCell ref="I359:J359"/>
    <mergeCell ref="I368:J368"/>
    <mergeCell ref="I369:J369"/>
    <mergeCell ref="I370:J370"/>
    <mergeCell ref="I371:J371"/>
    <mergeCell ref="I372:J372"/>
    <mergeCell ref="I373:J373"/>
    <mergeCell ref="I375:J375"/>
    <mergeCell ref="I376:J376"/>
    <mergeCell ref="I377:J377"/>
    <mergeCell ref="I378:J378"/>
    <mergeCell ref="I379:J379"/>
    <mergeCell ref="I400:J400"/>
    <mergeCell ref="I401:J401"/>
    <mergeCell ref="I402:J402"/>
    <mergeCell ref="I412:J412"/>
    <mergeCell ref="I413:J413"/>
    <mergeCell ref="I414:J414"/>
    <mergeCell ref="I415:J415"/>
    <mergeCell ref="I416:J416"/>
    <mergeCell ref="I417:J417"/>
    <mergeCell ref="I419:J419"/>
    <mergeCell ref="I420:J420"/>
    <mergeCell ref="I421:J421"/>
    <mergeCell ref="I422:J422"/>
    <mergeCell ref="I423:J423"/>
    <mergeCell ref="I424:J424"/>
    <mergeCell ref="I426:J426"/>
    <mergeCell ref="I427:J427"/>
    <mergeCell ref="H405:J405"/>
    <mergeCell ref="H406:J406"/>
    <mergeCell ref="H407:J407"/>
    <mergeCell ref="H408:J408"/>
    <mergeCell ref="H409:J409"/>
    <mergeCell ref="H410:J410"/>
    <mergeCell ref="I418:J418"/>
    <mergeCell ref="I425:J425"/>
    <mergeCell ref="I428:J428"/>
    <mergeCell ref="I429:J429"/>
    <mergeCell ref="I430:J430"/>
    <mergeCell ref="I431:J431"/>
    <mergeCell ref="I433:J433"/>
    <mergeCell ref="I434:J434"/>
    <mergeCell ref="I435:J435"/>
    <mergeCell ref="I436:J436"/>
    <mergeCell ref="I437:J437"/>
    <mergeCell ref="I438:J438"/>
    <mergeCell ref="I447:J447"/>
    <mergeCell ref="I448:J448"/>
    <mergeCell ref="I449:J449"/>
    <mergeCell ref="I450:J450"/>
    <mergeCell ref="I451:J451"/>
    <mergeCell ref="I452:J452"/>
    <mergeCell ref="I454:J454"/>
    <mergeCell ref="H440:J440"/>
    <mergeCell ref="H441:J441"/>
    <mergeCell ref="H442:J442"/>
    <mergeCell ref="H443:J443"/>
    <mergeCell ref="H444:J444"/>
    <mergeCell ref="H445:J445"/>
    <mergeCell ref="I432:J432"/>
    <mergeCell ref="H439:J439"/>
    <mergeCell ref="I446:J446"/>
    <mergeCell ref="I453:J453"/>
    <mergeCell ref="I455:J455"/>
    <mergeCell ref="I456:J456"/>
    <mergeCell ref="I457:J457"/>
    <mergeCell ref="I458:J458"/>
    <mergeCell ref="I459:J459"/>
    <mergeCell ref="I482:J482"/>
    <mergeCell ref="I483:J483"/>
    <mergeCell ref="I484:J484"/>
    <mergeCell ref="I485:J485"/>
    <mergeCell ref="I486:J486"/>
    <mergeCell ref="I487:J487"/>
    <mergeCell ref="I489:J489"/>
    <mergeCell ref="I490:J490"/>
    <mergeCell ref="I491:J491"/>
    <mergeCell ref="I492:J492"/>
    <mergeCell ref="I493:J493"/>
    <mergeCell ref="I494:J494"/>
    <mergeCell ref="H461:J461"/>
    <mergeCell ref="H462:J462"/>
    <mergeCell ref="H463:J463"/>
    <mergeCell ref="H464:J464"/>
    <mergeCell ref="H465:J465"/>
    <mergeCell ref="H466:J466"/>
    <mergeCell ref="H468:J468"/>
    <mergeCell ref="H469:J469"/>
    <mergeCell ref="H470:J470"/>
    <mergeCell ref="H471:J471"/>
    <mergeCell ref="H472:J472"/>
    <mergeCell ref="H473:J473"/>
    <mergeCell ref="H475:J475"/>
    <mergeCell ref="H476:J476"/>
    <mergeCell ref="H477:J477"/>
    <mergeCell ref="I503:J503"/>
    <mergeCell ref="I504:J504"/>
    <mergeCell ref="I505:J505"/>
    <mergeCell ref="I506:J506"/>
    <mergeCell ref="I507:J507"/>
    <mergeCell ref="I508:J508"/>
    <mergeCell ref="I510:J510"/>
    <mergeCell ref="I511:J511"/>
    <mergeCell ref="I512:J512"/>
    <mergeCell ref="I513:J513"/>
    <mergeCell ref="I514:J514"/>
    <mergeCell ref="I515:J515"/>
    <mergeCell ref="I524:J524"/>
    <mergeCell ref="I525:J525"/>
    <mergeCell ref="I526:J526"/>
    <mergeCell ref="I527:J527"/>
    <mergeCell ref="I528:J528"/>
    <mergeCell ref="H517:J517"/>
    <mergeCell ref="H518:J518"/>
    <mergeCell ref="H519:J519"/>
    <mergeCell ref="H520:J520"/>
    <mergeCell ref="H521:J521"/>
    <mergeCell ref="H522:J522"/>
    <mergeCell ref="I529:J529"/>
    <mergeCell ref="I531:J531"/>
    <mergeCell ref="I532:J532"/>
    <mergeCell ref="I533:J533"/>
    <mergeCell ref="I534:J534"/>
    <mergeCell ref="I535:J535"/>
    <mergeCell ref="I536:J536"/>
    <mergeCell ref="I538:J538"/>
    <mergeCell ref="I539:J539"/>
    <mergeCell ref="I540:J540"/>
    <mergeCell ref="I541:J541"/>
    <mergeCell ref="I542:J542"/>
    <mergeCell ref="I543:J543"/>
    <mergeCell ref="I545:J545"/>
    <mergeCell ref="I546:J546"/>
    <mergeCell ref="I547:J547"/>
    <mergeCell ref="I548:J548"/>
    <mergeCell ref="I544:J544"/>
    <mergeCell ref="I549:J549"/>
    <mergeCell ref="I550:J550"/>
    <mergeCell ref="I552:J552"/>
    <mergeCell ref="I553:J553"/>
    <mergeCell ref="I554:J554"/>
    <mergeCell ref="I555:J555"/>
    <mergeCell ref="I556:J556"/>
    <mergeCell ref="I557:J557"/>
    <mergeCell ref="I559:J559"/>
    <mergeCell ref="I560:J560"/>
    <mergeCell ref="I561:J561"/>
    <mergeCell ref="I562:J562"/>
    <mergeCell ref="I563:J563"/>
    <mergeCell ref="I564:J564"/>
    <mergeCell ref="I574:J574"/>
    <mergeCell ref="I575:J575"/>
    <mergeCell ref="I576:J576"/>
    <mergeCell ref="H569:J569"/>
    <mergeCell ref="H570:J570"/>
    <mergeCell ref="H571:J571"/>
    <mergeCell ref="H572:J572"/>
    <mergeCell ref="I551:J551"/>
    <mergeCell ref="I558:J558"/>
    <mergeCell ref="H566:J566"/>
    <mergeCell ref="I573:J573"/>
    <mergeCell ref="H567:J567"/>
    <mergeCell ref="H568:J568"/>
    <mergeCell ref="I645:J645"/>
    <mergeCell ref="I646:J646"/>
    <mergeCell ref="I647:J647"/>
    <mergeCell ref="I648:J648"/>
    <mergeCell ref="I649:J649"/>
    <mergeCell ref="I651:J651"/>
    <mergeCell ref="I652:J652"/>
    <mergeCell ref="I653:J653"/>
    <mergeCell ref="I654:J654"/>
    <mergeCell ref="I655:J655"/>
    <mergeCell ref="I656:J656"/>
    <mergeCell ref="I577:J577"/>
    <mergeCell ref="I578:J578"/>
    <mergeCell ref="I579:J579"/>
    <mergeCell ref="I595:J595"/>
    <mergeCell ref="I596:J596"/>
    <mergeCell ref="I597:J597"/>
    <mergeCell ref="I598:J598"/>
    <mergeCell ref="I599:J599"/>
    <mergeCell ref="I600:J600"/>
    <mergeCell ref="I623:J623"/>
    <mergeCell ref="I624:J624"/>
    <mergeCell ref="I625:J625"/>
    <mergeCell ref="I626:J626"/>
    <mergeCell ref="I627:J627"/>
    <mergeCell ref="I628:J628"/>
    <mergeCell ref="I630:J630"/>
    <mergeCell ref="I631:J631"/>
    <mergeCell ref="I594:J594"/>
    <mergeCell ref="H615:J615"/>
    <mergeCell ref="I622:J622"/>
    <mergeCell ref="I629:J629"/>
    <mergeCell ref="I665:J665"/>
    <mergeCell ref="I666:J666"/>
    <mergeCell ref="I667:J667"/>
    <mergeCell ref="I668:J668"/>
    <mergeCell ref="I669:J669"/>
    <mergeCell ref="I670:J670"/>
    <mergeCell ref="I672:J672"/>
    <mergeCell ref="I673:J673"/>
    <mergeCell ref="I674:J674"/>
    <mergeCell ref="I675:J675"/>
    <mergeCell ref="I676:J676"/>
    <mergeCell ref="I677:J677"/>
    <mergeCell ref="I686:J686"/>
    <mergeCell ref="I687:J687"/>
    <mergeCell ref="I688:J688"/>
    <mergeCell ref="I689:J689"/>
    <mergeCell ref="I690:J690"/>
    <mergeCell ref="H678:J678"/>
    <mergeCell ref="I685:J685"/>
    <mergeCell ref="I691:J691"/>
    <mergeCell ref="I693:J693"/>
    <mergeCell ref="I694:J694"/>
    <mergeCell ref="I695:J695"/>
    <mergeCell ref="I696:J696"/>
    <mergeCell ref="I697:J697"/>
    <mergeCell ref="I698:J698"/>
    <mergeCell ref="I714:J714"/>
    <mergeCell ref="I715:J715"/>
    <mergeCell ref="I716:J716"/>
    <mergeCell ref="I717:J717"/>
    <mergeCell ref="I718:J718"/>
    <mergeCell ref="I719:J719"/>
    <mergeCell ref="I721:J721"/>
    <mergeCell ref="I722:J722"/>
    <mergeCell ref="I723:J723"/>
    <mergeCell ref="I724:J724"/>
    <mergeCell ref="H709:J709"/>
    <mergeCell ref="H710:J710"/>
    <mergeCell ref="H711:J711"/>
    <mergeCell ref="H712:J712"/>
    <mergeCell ref="I692:J692"/>
    <mergeCell ref="H699:J699"/>
    <mergeCell ref="H706:J706"/>
    <mergeCell ref="I713:J713"/>
    <mergeCell ref="I720:J720"/>
    <mergeCell ref="H702:J702"/>
    <mergeCell ref="H703:J703"/>
    <mergeCell ref="H704:J704"/>
    <mergeCell ref="H705:J705"/>
    <mergeCell ref="H707:J707"/>
    <mergeCell ref="H708:J708"/>
    <mergeCell ref="I725:J725"/>
    <mergeCell ref="I726:J726"/>
    <mergeCell ref="I728:J728"/>
    <mergeCell ref="I729:J729"/>
    <mergeCell ref="I730:J730"/>
    <mergeCell ref="I731:J731"/>
    <mergeCell ref="I732:J732"/>
    <mergeCell ref="I733:J733"/>
    <mergeCell ref="I735:J735"/>
    <mergeCell ref="I736:J736"/>
    <mergeCell ref="I737:J737"/>
    <mergeCell ref="I738:J738"/>
    <mergeCell ref="I739:J739"/>
    <mergeCell ref="I740:J740"/>
    <mergeCell ref="I742:J742"/>
    <mergeCell ref="I743:J743"/>
    <mergeCell ref="I744:J744"/>
    <mergeCell ref="I727:J727"/>
    <mergeCell ref="I734:J734"/>
    <mergeCell ref="I741:J741"/>
    <mergeCell ref="I745:J745"/>
    <mergeCell ref="I746:J746"/>
    <mergeCell ref="I747:J747"/>
    <mergeCell ref="I749:J749"/>
    <mergeCell ref="I750:J750"/>
    <mergeCell ref="I751:J751"/>
    <mergeCell ref="I752:J752"/>
    <mergeCell ref="I753:J753"/>
    <mergeCell ref="I754:J754"/>
    <mergeCell ref="I756:J756"/>
    <mergeCell ref="I757:J757"/>
    <mergeCell ref="I758:J758"/>
    <mergeCell ref="I759:J759"/>
    <mergeCell ref="I760:J760"/>
    <mergeCell ref="I761:J761"/>
    <mergeCell ref="I763:J763"/>
    <mergeCell ref="I764:J764"/>
    <mergeCell ref="I748:J748"/>
    <mergeCell ref="I755:J755"/>
    <mergeCell ref="I762:J762"/>
    <mergeCell ref="I765:J765"/>
    <mergeCell ref="I766:J766"/>
    <mergeCell ref="I767:J767"/>
    <mergeCell ref="I768:J768"/>
    <mergeCell ref="I820:J820"/>
    <mergeCell ref="I821:J821"/>
    <mergeCell ref="I822:J822"/>
    <mergeCell ref="I823:J823"/>
    <mergeCell ref="I824:J824"/>
    <mergeCell ref="I825:J825"/>
    <mergeCell ref="I827:J827"/>
    <mergeCell ref="I828:J828"/>
    <mergeCell ref="I829:J829"/>
    <mergeCell ref="I830:J830"/>
    <mergeCell ref="I831:J831"/>
    <mergeCell ref="I832:J832"/>
    <mergeCell ref="I834:J834"/>
    <mergeCell ref="H771:J771"/>
    <mergeCell ref="H772:J772"/>
    <mergeCell ref="H773:J773"/>
    <mergeCell ref="H774:J774"/>
    <mergeCell ref="H775:J775"/>
    <mergeCell ref="H776:J776"/>
    <mergeCell ref="H778:J778"/>
    <mergeCell ref="H779:J779"/>
    <mergeCell ref="H780:J780"/>
    <mergeCell ref="H781:J781"/>
    <mergeCell ref="H782:J782"/>
    <mergeCell ref="H783:J783"/>
    <mergeCell ref="H785:J785"/>
    <mergeCell ref="H786:J786"/>
    <mergeCell ref="H787:J787"/>
    <mergeCell ref="I835:J835"/>
    <mergeCell ref="I836:J836"/>
    <mergeCell ref="I837:J837"/>
    <mergeCell ref="I838:J838"/>
    <mergeCell ref="I839:J839"/>
    <mergeCell ref="I841:J841"/>
    <mergeCell ref="I842:J842"/>
    <mergeCell ref="I843:J843"/>
    <mergeCell ref="I844:J844"/>
    <mergeCell ref="I845:J845"/>
    <mergeCell ref="I846:J846"/>
    <mergeCell ref="I855:J855"/>
    <mergeCell ref="I856:J856"/>
    <mergeCell ref="I857:J857"/>
    <mergeCell ref="I858:J858"/>
    <mergeCell ref="I859:J859"/>
    <mergeCell ref="I860:J860"/>
    <mergeCell ref="I854:J854"/>
    <mergeCell ref="I862:J862"/>
    <mergeCell ref="I863:J863"/>
    <mergeCell ref="I864:J864"/>
    <mergeCell ref="I865:J865"/>
    <mergeCell ref="I866:J866"/>
    <mergeCell ref="I867:J867"/>
    <mergeCell ref="I876:J876"/>
    <mergeCell ref="I877:J877"/>
    <mergeCell ref="I878:J878"/>
    <mergeCell ref="I879:J879"/>
    <mergeCell ref="I880:J880"/>
    <mergeCell ref="I881:J881"/>
    <mergeCell ref="I883:J883"/>
    <mergeCell ref="I884:J884"/>
    <mergeCell ref="I885:J885"/>
    <mergeCell ref="I886:J886"/>
    <mergeCell ref="I887:J887"/>
    <mergeCell ref="H870:J870"/>
    <mergeCell ref="H871:J871"/>
    <mergeCell ref="H872:J872"/>
    <mergeCell ref="H873:J873"/>
    <mergeCell ref="H874:J874"/>
    <mergeCell ref="H868:J868"/>
    <mergeCell ref="I875:J875"/>
    <mergeCell ref="I882:J882"/>
    <mergeCell ref="I888:J888"/>
    <mergeCell ref="I890:J890"/>
    <mergeCell ref="I891:J891"/>
    <mergeCell ref="I892:J892"/>
    <mergeCell ref="I893:J893"/>
    <mergeCell ref="I894:J894"/>
    <mergeCell ref="I895:J895"/>
    <mergeCell ref="I897:J897"/>
    <mergeCell ref="I898:J898"/>
    <mergeCell ref="I899:J899"/>
    <mergeCell ref="I900:J900"/>
    <mergeCell ref="I901:J901"/>
    <mergeCell ref="I902:J902"/>
    <mergeCell ref="I904:J904"/>
    <mergeCell ref="I905:J905"/>
    <mergeCell ref="I906:J906"/>
    <mergeCell ref="I907:J907"/>
    <mergeCell ref="I889:J889"/>
    <mergeCell ref="I896:J896"/>
    <mergeCell ref="I903:J903"/>
    <mergeCell ref="I908:J908"/>
    <mergeCell ref="I909:J909"/>
    <mergeCell ref="I918:J918"/>
    <mergeCell ref="I919:J919"/>
    <mergeCell ref="I920:J920"/>
    <mergeCell ref="I921:J921"/>
    <mergeCell ref="I922:J922"/>
    <mergeCell ref="I923:J923"/>
    <mergeCell ref="I925:J925"/>
    <mergeCell ref="I926:J926"/>
    <mergeCell ref="I927:J927"/>
    <mergeCell ref="I928:J928"/>
    <mergeCell ref="I929:J929"/>
    <mergeCell ref="I930:J930"/>
    <mergeCell ref="I932:J932"/>
    <mergeCell ref="I933:J933"/>
    <mergeCell ref="I934:J934"/>
    <mergeCell ref="H911:J911"/>
    <mergeCell ref="H912:J912"/>
    <mergeCell ref="H913:J913"/>
    <mergeCell ref="H914:J914"/>
    <mergeCell ref="H915:J915"/>
    <mergeCell ref="H916:J916"/>
    <mergeCell ref="H910:J910"/>
    <mergeCell ref="I917:J917"/>
    <mergeCell ref="I924:J924"/>
    <mergeCell ref="I931:J931"/>
    <mergeCell ref="I935:J935"/>
    <mergeCell ref="I936:J936"/>
    <mergeCell ref="I937:J937"/>
    <mergeCell ref="I939:J939"/>
    <mergeCell ref="I940:J940"/>
    <mergeCell ref="I941:J941"/>
    <mergeCell ref="I942:J942"/>
    <mergeCell ref="I943:J943"/>
    <mergeCell ref="I944:J944"/>
    <mergeCell ref="I955:J955"/>
    <mergeCell ref="I956:J956"/>
    <mergeCell ref="I957:J957"/>
    <mergeCell ref="I958:J958"/>
    <mergeCell ref="I959:J959"/>
    <mergeCell ref="I960:J960"/>
    <mergeCell ref="I962:J962"/>
    <mergeCell ref="I963:J963"/>
    <mergeCell ref="H948:J948"/>
    <mergeCell ref="H949:J949"/>
    <mergeCell ref="H950:J950"/>
    <mergeCell ref="H951:J951"/>
    <mergeCell ref="H952:J952"/>
    <mergeCell ref="H953:J953"/>
    <mergeCell ref="I938:J938"/>
    <mergeCell ref="H947:J947"/>
    <mergeCell ref="I966:J966"/>
    <mergeCell ref="I967:J967"/>
    <mergeCell ref="I969:J969"/>
    <mergeCell ref="I970:J970"/>
    <mergeCell ref="I971:J971"/>
    <mergeCell ref="I972:J972"/>
    <mergeCell ref="I973:J973"/>
    <mergeCell ref="I974:J974"/>
    <mergeCell ref="I984:J984"/>
    <mergeCell ref="I985:J985"/>
    <mergeCell ref="I986:J986"/>
    <mergeCell ref="I987:J987"/>
    <mergeCell ref="I988:J988"/>
    <mergeCell ref="I989:J989"/>
    <mergeCell ref="I991:J991"/>
    <mergeCell ref="I992:J992"/>
    <mergeCell ref="I993:J993"/>
    <mergeCell ref="H976:J976"/>
    <mergeCell ref="H977:J977"/>
    <mergeCell ref="H978:J978"/>
    <mergeCell ref="H979:J979"/>
    <mergeCell ref="H980:J980"/>
    <mergeCell ref="H981:J981"/>
    <mergeCell ref="H975:J975"/>
    <mergeCell ref="I994:J994"/>
    <mergeCell ref="I995:J995"/>
    <mergeCell ref="I996:J996"/>
    <mergeCell ref="I998:J998"/>
    <mergeCell ref="I999:J999"/>
    <mergeCell ref="I1000:J1000"/>
    <mergeCell ref="I1001:J1001"/>
    <mergeCell ref="I1002:J1002"/>
    <mergeCell ref="I1003:J1003"/>
    <mergeCell ref="I1005:J1005"/>
    <mergeCell ref="I1006:J1006"/>
    <mergeCell ref="I1007:J1007"/>
    <mergeCell ref="I1008:J1008"/>
    <mergeCell ref="I1009:J1009"/>
    <mergeCell ref="I1010:J1010"/>
    <mergeCell ref="I1012:J1012"/>
    <mergeCell ref="I1013:J1013"/>
    <mergeCell ref="I1055:J1055"/>
    <mergeCell ref="I1014:J1014"/>
    <mergeCell ref="I1015:J1015"/>
    <mergeCell ref="I1016:J1016"/>
    <mergeCell ref="I1017:J1017"/>
    <mergeCell ref="I1020:J1020"/>
    <mergeCell ref="I1021:J1021"/>
    <mergeCell ref="I1022:J1022"/>
    <mergeCell ref="I1023:J1023"/>
    <mergeCell ref="I1024:J1024"/>
    <mergeCell ref="I1025:J1025"/>
    <mergeCell ref="I1027:J1027"/>
    <mergeCell ref="I1028:J1028"/>
    <mergeCell ref="I1029:J1029"/>
    <mergeCell ref="I1030:J1030"/>
    <mergeCell ref="I1031:J1031"/>
    <mergeCell ref="I1032:J1032"/>
    <mergeCell ref="I1035:J1035"/>
    <mergeCell ref="I1057:J1057"/>
    <mergeCell ref="I1058:J1058"/>
    <mergeCell ref="I1059:J1059"/>
    <mergeCell ref="I1060:J1060"/>
    <mergeCell ref="I1061:J1061"/>
    <mergeCell ref="I1062:J1062"/>
    <mergeCell ref="I1065:J1065"/>
    <mergeCell ref="I1066:J1066"/>
    <mergeCell ref="I1067:J1067"/>
    <mergeCell ref="I1068:J1068"/>
    <mergeCell ref="I1069:J1069"/>
    <mergeCell ref="I1070:J1070"/>
    <mergeCell ref="I1072:J1072"/>
    <mergeCell ref="I1073:J1073"/>
    <mergeCell ref="I1074:J1074"/>
    <mergeCell ref="I1075:J1075"/>
    <mergeCell ref="I1036:J1036"/>
    <mergeCell ref="I1037:J1037"/>
    <mergeCell ref="I1038:J1038"/>
    <mergeCell ref="I1039:J1039"/>
    <mergeCell ref="I1040:J1040"/>
    <mergeCell ref="I1042:J1042"/>
    <mergeCell ref="I1043:J1043"/>
    <mergeCell ref="I1044:J1044"/>
    <mergeCell ref="I1045:J1045"/>
    <mergeCell ref="I1046:J1046"/>
    <mergeCell ref="I1047:J1047"/>
    <mergeCell ref="I1050:J1050"/>
    <mergeCell ref="I1051:J1051"/>
    <mergeCell ref="I1052:J1052"/>
    <mergeCell ref="I1053:J1053"/>
    <mergeCell ref="I1054:J1054"/>
    <mergeCell ref="I1076:J1076"/>
    <mergeCell ref="I1077:J1077"/>
    <mergeCell ref="I1079:J1079"/>
    <mergeCell ref="I1080:J1080"/>
    <mergeCell ref="I1081:J1081"/>
    <mergeCell ref="I1082:J1082"/>
    <mergeCell ref="I1083:J1083"/>
    <mergeCell ref="I1084:J1084"/>
    <mergeCell ref="H141:J141"/>
    <mergeCell ref="I1094:J1094"/>
    <mergeCell ref="I1095:J1095"/>
    <mergeCell ref="I1096:J1096"/>
    <mergeCell ref="I1097:J1097"/>
    <mergeCell ref="I1098:J1098"/>
    <mergeCell ref="I1099:J1099"/>
    <mergeCell ref="I1101:J1101"/>
    <mergeCell ref="I1102:J1102"/>
    <mergeCell ref="H307:J307"/>
    <mergeCell ref="H308:J308"/>
    <mergeCell ref="H309:J309"/>
    <mergeCell ref="H310:J310"/>
    <mergeCell ref="H326:J326"/>
    <mergeCell ref="H327:J327"/>
    <mergeCell ref="H328:J328"/>
    <mergeCell ref="H329:J329"/>
    <mergeCell ref="H330:J330"/>
    <mergeCell ref="H331:J331"/>
    <mergeCell ref="H255:J255"/>
    <mergeCell ref="H333:J333"/>
    <mergeCell ref="H334:J334"/>
    <mergeCell ref="H335:J335"/>
    <mergeCell ref="H336:J336"/>
    <mergeCell ref="I1151:J1151"/>
    <mergeCell ref="I1152:J1152"/>
    <mergeCell ref="I1153:J1153"/>
    <mergeCell ref="I1154:J1154"/>
    <mergeCell ref="I1155:J1155"/>
    <mergeCell ref="I1156:J1156"/>
    <mergeCell ref="I1158:J1158"/>
    <mergeCell ref="H1127:J1127"/>
    <mergeCell ref="H1129:J1129"/>
    <mergeCell ref="H1130:J1130"/>
    <mergeCell ref="H1131:J1131"/>
    <mergeCell ref="H1132:J1132"/>
    <mergeCell ref="H1133:J1133"/>
    <mergeCell ref="H1134:J1134"/>
    <mergeCell ref="H1136:J1136"/>
    <mergeCell ref="H1137:J1137"/>
    <mergeCell ref="H1138:J1138"/>
    <mergeCell ref="H1139:J1139"/>
    <mergeCell ref="H1140:J1140"/>
    <mergeCell ref="H1141:J1141"/>
    <mergeCell ref="H1144:J1144"/>
    <mergeCell ref="H1145:J1145"/>
    <mergeCell ref="H1146:J1146"/>
    <mergeCell ref="H1147:J1147"/>
    <mergeCell ref="H1148:J1148"/>
    <mergeCell ref="H1149:J1149"/>
    <mergeCell ref="H1214:J1214"/>
    <mergeCell ref="I1235:J1235"/>
    <mergeCell ref="I1236:J1236"/>
    <mergeCell ref="I1238:J1238"/>
    <mergeCell ref="I1184:J1184"/>
    <mergeCell ref="I1185:J1185"/>
    <mergeCell ref="I1186:J1186"/>
    <mergeCell ref="I1188:J1188"/>
    <mergeCell ref="I1189:J1189"/>
    <mergeCell ref="I1190:J1190"/>
    <mergeCell ref="I1191:J1191"/>
    <mergeCell ref="I1192:J1192"/>
    <mergeCell ref="I1193:J1193"/>
    <mergeCell ref="I1195:J1195"/>
    <mergeCell ref="I1196:J1196"/>
    <mergeCell ref="I1197:J1197"/>
    <mergeCell ref="I1198:J1198"/>
    <mergeCell ref="I1199:J1199"/>
    <mergeCell ref="I1200:J1200"/>
    <mergeCell ref="I1216:J1216"/>
    <mergeCell ref="I1217:J1217"/>
    <mergeCell ref="I1222:J1222"/>
    <mergeCell ref="I1230:J1230"/>
    <mergeCell ref="I1237:J1237"/>
    <mergeCell ref="H1202:J1202"/>
    <mergeCell ref="H1203:J1203"/>
    <mergeCell ref="H1204:J1204"/>
    <mergeCell ref="H1205:J1205"/>
    <mergeCell ref="H1206:J1206"/>
    <mergeCell ref="H1207:J1207"/>
    <mergeCell ref="H1209:J1209"/>
    <mergeCell ref="H1210:J1210"/>
    <mergeCell ref="I1159:J1159"/>
    <mergeCell ref="I1160:J1160"/>
    <mergeCell ref="I1161:J1161"/>
    <mergeCell ref="I1162:J1162"/>
    <mergeCell ref="I1163:J1163"/>
    <mergeCell ref="I1166:J1166"/>
    <mergeCell ref="I1167:J1167"/>
    <mergeCell ref="I1168:J1168"/>
    <mergeCell ref="I1169:J1169"/>
    <mergeCell ref="I1170:J1170"/>
    <mergeCell ref="I1171:J1171"/>
    <mergeCell ref="I1173:J1173"/>
    <mergeCell ref="I1174:J1174"/>
    <mergeCell ref="I1175:J1175"/>
    <mergeCell ref="I1176:J1176"/>
    <mergeCell ref="H1212:J1212"/>
    <mergeCell ref="H1213:J1213"/>
    <mergeCell ref="H1211:J1211"/>
    <mergeCell ref="I1177:J1177"/>
    <mergeCell ref="I1178:J1178"/>
    <mergeCell ref="I1180:J1180"/>
    <mergeCell ref="I1187:J1187"/>
    <mergeCell ref="I1194:J1194"/>
    <mergeCell ref="H1201:J1201"/>
    <mergeCell ref="H1208:J1208"/>
    <mergeCell ref="I1271:J1271"/>
    <mergeCell ref="I1272:J1272"/>
    <mergeCell ref="I1274:J1274"/>
    <mergeCell ref="I1275:J1275"/>
    <mergeCell ref="I1276:J1276"/>
    <mergeCell ref="I1277:J1277"/>
    <mergeCell ref="I1278:J1278"/>
    <mergeCell ref="I1279:J1279"/>
    <mergeCell ref="I1281:J1281"/>
    <mergeCell ref="I1282:J1282"/>
    <mergeCell ref="I1283:J1283"/>
    <mergeCell ref="I1284:J1284"/>
    <mergeCell ref="I1285:J1285"/>
    <mergeCell ref="H1303:J1303"/>
    <mergeCell ref="I1286:J1286"/>
    <mergeCell ref="I1218:J1218"/>
    <mergeCell ref="I1219:J1219"/>
    <mergeCell ref="I1220:J1220"/>
    <mergeCell ref="I1248:J1248"/>
    <mergeCell ref="I1249:J1249"/>
    <mergeCell ref="I1250:J1250"/>
    <mergeCell ref="I1221:J1221"/>
    <mergeCell ref="I1223:J1223"/>
    <mergeCell ref="I1224:J1224"/>
    <mergeCell ref="I1225:J1225"/>
    <mergeCell ref="I1226:J1226"/>
    <mergeCell ref="I1227:J1227"/>
    <mergeCell ref="I1228:J1228"/>
    <mergeCell ref="I1231:J1231"/>
    <mergeCell ref="I1232:J1232"/>
    <mergeCell ref="I1233:J1233"/>
    <mergeCell ref="I1234:J1234"/>
    <mergeCell ref="I1334:J1334"/>
    <mergeCell ref="I1335:J1335"/>
    <mergeCell ref="H1304:J1304"/>
    <mergeCell ref="H1305:J1305"/>
    <mergeCell ref="H1306:J1306"/>
    <mergeCell ref="H1307:J1307"/>
    <mergeCell ref="H1308:J1308"/>
    <mergeCell ref="H1310:J1310"/>
    <mergeCell ref="H1311:J1311"/>
    <mergeCell ref="H1312:J1312"/>
    <mergeCell ref="H1313:J1313"/>
    <mergeCell ref="H1314:J1314"/>
    <mergeCell ref="H1315:J1315"/>
    <mergeCell ref="H1317:J1317"/>
    <mergeCell ref="H1318:J1318"/>
    <mergeCell ref="H1319:J1319"/>
    <mergeCell ref="H1320:J1320"/>
    <mergeCell ref="H1326:J1326"/>
    <mergeCell ref="H1327:J1327"/>
    <mergeCell ref="H1328:J1328"/>
    <mergeCell ref="H1329:J1329"/>
    <mergeCell ref="I1331:J1331"/>
    <mergeCell ref="I1332:J1332"/>
    <mergeCell ref="I1333:J1333"/>
    <mergeCell ref="H1369:J1369"/>
    <mergeCell ref="H1370:J1370"/>
    <mergeCell ref="H1371:J1371"/>
    <mergeCell ref="H1373:J1373"/>
    <mergeCell ref="H1374:J1374"/>
    <mergeCell ref="H1375:J1375"/>
    <mergeCell ref="H1376:J1376"/>
    <mergeCell ref="H1377:J1377"/>
    <mergeCell ref="H1378:J1378"/>
    <mergeCell ref="H1380:J1380"/>
    <mergeCell ref="H1381:J1381"/>
    <mergeCell ref="H1382:J1382"/>
    <mergeCell ref="H1383:J1383"/>
    <mergeCell ref="H1384:J1384"/>
    <mergeCell ref="H1385:J1385"/>
    <mergeCell ref="I1497:J1497"/>
    <mergeCell ref="H1426:J1426"/>
    <mergeCell ref="H1427:J1427"/>
    <mergeCell ref="I1395:J1395"/>
    <mergeCell ref="I1396:J1396"/>
    <mergeCell ref="I1397:J1397"/>
    <mergeCell ref="I1398:J1398"/>
    <mergeCell ref="I1399:J1399"/>
    <mergeCell ref="I1400:J1400"/>
    <mergeCell ref="I1402:J1402"/>
    <mergeCell ref="I1403:J1403"/>
    <mergeCell ref="I1404:J1404"/>
    <mergeCell ref="I1405:J1405"/>
    <mergeCell ref="H1428:J1428"/>
    <mergeCell ref="I1421:J1421"/>
    <mergeCell ref="I1430:J1430"/>
    <mergeCell ref="I1433:J1433"/>
    <mergeCell ref="I1555:J1555"/>
    <mergeCell ref="I1562:J1562"/>
    <mergeCell ref="I1581:J1581"/>
    <mergeCell ref="I1582:J1582"/>
    <mergeCell ref="I1583:J1583"/>
    <mergeCell ref="I1586:J1586"/>
    <mergeCell ref="I1587:J1587"/>
    <mergeCell ref="I1588:J1588"/>
    <mergeCell ref="I1589:J1589"/>
    <mergeCell ref="I1590:J1590"/>
    <mergeCell ref="I1591:J1591"/>
    <mergeCell ref="I1593:J1593"/>
    <mergeCell ref="I1594:J1594"/>
    <mergeCell ref="I1595:J1595"/>
    <mergeCell ref="I1544:J1544"/>
    <mergeCell ref="I1545:J1545"/>
    <mergeCell ref="I1546:J1546"/>
    <mergeCell ref="I1548:J1548"/>
    <mergeCell ref="I1549:J1549"/>
    <mergeCell ref="I1550:J1550"/>
    <mergeCell ref="I1551:J1551"/>
    <mergeCell ref="I1552:J1552"/>
    <mergeCell ref="I1553:J1553"/>
    <mergeCell ref="I1556:J1556"/>
    <mergeCell ref="I1557:J1557"/>
    <mergeCell ref="I1558:J1558"/>
    <mergeCell ref="I1559:J1559"/>
    <mergeCell ref="I1560:J1560"/>
    <mergeCell ref="I1561:J1561"/>
    <mergeCell ref="I1563:J1563"/>
    <mergeCell ref="I1564:J1564"/>
    <mergeCell ref="I1576:J1576"/>
    <mergeCell ref="I1617:J1617"/>
    <mergeCell ref="I1618:J1618"/>
    <mergeCell ref="I1619:J1619"/>
    <mergeCell ref="I1621:J1621"/>
    <mergeCell ref="I1622:J1622"/>
    <mergeCell ref="I1623:J1623"/>
    <mergeCell ref="I1624:J1624"/>
    <mergeCell ref="I1625:J1625"/>
    <mergeCell ref="I1626:J1626"/>
    <mergeCell ref="H1607:J1607"/>
    <mergeCell ref="H1608:J1608"/>
    <mergeCell ref="H1609:J1609"/>
    <mergeCell ref="H1610:J1610"/>
    <mergeCell ref="H1611:J1611"/>
    <mergeCell ref="H1612:J1612"/>
    <mergeCell ref="I1565:J1565"/>
    <mergeCell ref="I1566:J1566"/>
    <mergeCell ref="I1567:J1567"/>
    <mergeCell ref="I1578:J1578"/>
    <mergeCell ref="I1579:J1579"/>
    <mergeCell ref="I1580:J1580"/>
    <mergeCell ref="I1602:J1602"/>
    <mergeCell ref="I1603:J1603"/>
    <mergeCell ref="I1604:J1604"/>
    <mergeCell ref="I1605:J1605"/>
    <mergeCell ref="I1614:J1614"/>
    <mergeCell ref="I1568:J1568"/>
    <mergeCell ref="I1571:J1571"/>
    <mergeCell ref="I1572:J1572"/>
    <mergeCell ref="I1573:J1573"/>
    <mergeCell ref="I1574:J1574"/>
    <mergeCell ref="I1575:J1575"/>
    <mergeCell ref="I1663:J1663"/>
    <mergeCell ref="I1665:J1665"/>
    <mergeCell ref="I1666:J1666"/>
    <mergeCell ref="I1667:J1667"/>
    <mergeCell ref="I1668:J1668"/>
    <mergeCell ref="I1669:J1669"/>
    <mergeCell ref="I1670:J1670"/>
    <mergeCell ref="I1672:J1672"/>
    <mergeCell ref="I1673:J1673"/>
    <mergeCell ref="I1674:J1674"/>
    <mergeCell ref="I1675:J1675"/>
    <mergeCell ref="I1676:J1676"/>
    <mergeCell ref="I1677:J1677"/>
    <mergeCell ref="I1679:J1679"/>
    <mergeCell ref="I1680:J1680"/>
    <mergeCell ref="I1681:J1681"/>
    <mergeCell ref="I1682:J1682"/>
    <mergeCell ref="I1678:J1678"/>
    <mergeCell ref="I1683:J1683"/>
    <mergeCell ref="I1684:J1684"/>
    <mergeCell ref="I1707:J1707"/>
    <mergeCell ref="I1708:J1708"/>
    <mergeCell ref="I1709:J1709"/>
    <mergeCell ref="I1710:J1710"/>
    <mergeCell ref="I1711:J1711"/>
    <mergeCell ref="I1712:J1712"/>
    <mergeCell ref="I1714:J1714"/>
    <mergeCell ref="I1715:J1715"/>
    <mergeCell ref="I1716:J1716"/>
    <mergeCell ref="I1717:J1717"/>
    <mergeCell ref="I1718:J1718"/>
    <mergeCell ref="I1719:J1719"/>
    <mergeCell ref="H1686:J1686"/>
    <mergeCell ref="H1687:J1687"/>
    <mergeCell ref="H1688:J1688"/>
    <mergeCell ref="H1689:J1689"/>
    <mergeCell ref="H1690:J1690"/>
    <mergeCell ref="H1691:J1691"/>
    <mergeCell ref="H1693:J1693"/>
    <mergeCell ref="H1694:J1694"/>
    <mergeCell ref="H1695:J1695"/>
    <mergeCell ref="H1696:J1696"/>
    <mergeCell ref="H1697:J1697"/>
    <mergeCell ref="H1698:J1698"/>
    <mergeCell ref="H1700:J1700"/>
    <mergeCell ref="H1701:J1701"/>
    <mergeCell ref="H1702:J1702"/>
    <mergeCell ref="H1685:J1685"/>
    <mergeCell ref="H1692:J1692"/>
    <mergeCell ref="H1699:J1699"/>
    <mergeCell ref="H1783:J1783"/>
    <mergeCell ref="I1776:J1776"/>
    <mergeCell ref="I1770:J1770"/>
    <mergeCell ref="H1765:J1765"/>
    <mergeCell ref="H1766:J1766"/>
    <mergeCell ref="H1767:J1767"/>
    <mergeCell ref="H1768:J1768"/>
    <mergeCell ref="I1728:J1728"/>
    <mergeCell ref="I1729:J1729"/>
    <mergeCell ref="I1730:J1730"/>
    <mergeCell ref="I1731:J1731"/>
    <mergeCell ref="I1732:J1732"/>
    <mergeCell ref="I1733:J1733"/>
    <mergeCell ref="I1735:J1735"/>
    <mergeCell ref="I1736:J1736"/>
    <mergeCell ref="I1737:J1737"/>
    <mergeCell ref="I1738:J1738"/>
    <mergeCell ref="I1739:J1739"/>
    <mergeCell ref="I1740:J1740"/>
    <mergeCell ref="I1769:J1769"/>
    <mergeCell ref="H1762:J1762"/>
    <mergeCell ref="I1755:J1755"/>
    <mergeCell ref="I1748:J1748"/>
    <mergeCell ref="H1741:J1741"/>
    <mergeCell ref="I1734:J1734"/>
    <mergeCell ref="H1813:J1813"/>
    <mergeCell ref="H1814:J1814"/>
    <mergeCell ref="H1815:J1815"/>
    <mergeCell ref="H1816:J1816"/>
    <mergeCell ref="H1817:J1817"/>
    <mergeCell ref="H1819:J1819"/>
    <mergeCell ref="H1820:J1820"/>
    <mergeCell ref="H1821:J1821"/>
    <mergeCell ref="I1771:J1771"/>
    <mergeCell ref="I1772:J1772"/>
    <mergeCell ref="I1773:J1773"/>
    <mergeCell ref="I1774:J1774"/>
    <mergeCell ref="I1775:J1775"/>
    <mergeCell ref="I1777:J1777"/>
    <mergeCell ref="I1778:J1778"/>
    <mergeCell ref="I1779:J1779"/>
    <mergeCell ref="I1780:J1780"/>
    <mergeCell ref="I1781:J1781"/>
    <mergeCell ref="I1782:J1782"/>
    <mergeCell ref="I1791:J1791"/>
    <mergeCell ref="I1792:J1792"/>
    <mergeCell ref="I1793:J1793"/>
    <mergeCell ref="I1794:J1794"/>
    <mergeCell ref="I1795:J1795"/>
    <mergeCell ref="I1796:J1796"/>
    <mergeCell ref="H1784:J1784"/>
    <mergeCell ref="H1785:J1785"/>
    <mergeCell ref="H1786:J1786"/>
    <mergeCell ref="H1787:J1787"/>
    <mergeCell ref="H1788:J1788"/>
    <mergeCell ref="H1789:J1789"/>
    <mergeCell ref="I1790:J1790"/>
    <mergeCell ref="I1875:J1875"/>
    <mergeCell ref="I1876:J1876"/>
    <mergeCell ref="I1877:J1877"/>
    <mergeCell ref="I1878:J1878"/>
    <mergeCell ref="H1870:J1870"/>
    <mergeCell ref="H1871:J1871"/>
    <mergeCell ref="H1872:J1872"/>
    <mergeCell ref="H1873:J1873"/>
    <mergeCell ref="I1798:J1798"/>
    <mergeCell ref="I1799:J1799"/>
    <mergeCell ref="I1800:J1800"/>
    <mergeCell ref="I1801:J1801"/>
    <mergeCell ref="I1802:J1802"/>
    <mergeCell ref="I1803:J1803"/>
    <mergeCell ref="I1833:J1833"/>
    <mergeCell ref="I1834:J1834"/>
    <mergeCell ref="I1835:J1835"/>
    <mergeCell ref="I1836:J1836"/>
    <mergeCell ref="I1837:J1837"/>
    <mergeCell ref="I1838:J1838"/>
    <mergeCell ref="I1840:J1840"/>
    <mergeCell ref="I1841:J1841"/>
    <mergeCell ref="I1842:J1842"/>
    <mergeCell ref="I1843:J1843"/>
    <mergeCell ref="I1844:J1844"/>
    <mergeCell ref="H1805:J1805"/>
    <mergeCell ref="H1806:J1806"/>
    <mergeCell ref="H1807:J1807"/>
    <mergeCell ref="H1808:J1808"/>
    <mergeCell ref="H1809:J1809"/>
    <mergeCell ref="H1810:J1810"/>
    <mergeCell ref="H1812:J1812"/>
    <mergeCell ref="I1929:J1929"/>
    <mergeCell ref="I1968:J1968"/>
    <mergeCell ref="I1969:J1969"/>
    <mergeCell ref="H1910:J1910"/>
    <mergeCell ref="H1911:J1911"/>
    <mergeCell ref="H1912:J1912"/>
    <mergeCell ref="H1913:J1913"/>
    <mergeCell ref="H1914:J1914"/>
    <mergeCell ref="H1915:J1915"/>
    <mergeCell ref="H1931:J1931"/>
    <mergeCell ref="H1932:J1932"/>
    <mergeCell ref="H1933:J1933"/>
    <mergeCell ref="H1934:J1934"/>
    <mergeCell ref="H1935:J1935"/>
    <mergeCell ref="H1936:J1936"/>
    <mergeCell ref="H1938:J1938"/>
    <mergeCell ref="H1939:J1939"/>
    <mergeCell ref="H1940:J1940"/>
    <mergeCell ref="H1937:J1937"/>
    <mergeCell ref="H1930:J1930"/>
    <mergeCell ref="I1923:J1923"/>
    <mergeCell ref="I1916:J1916"/>
    <mergeCell ref="H1962:J1962"/>
    <mergeCell ref="H1963:J1963"/>
    <mergeCell ref="H1964:J1964"/>
    <mergeCell ref="H1965:J1965"/>
    <mergeCell ref="I1924:J1924"/>
    <mergeCell ref="I1925:J1925"/>
    <mergeCell ref="I1926:J1926"/>
    <mergeCell ref="I1927:J1927"/>
    <mergeCell ref="I1928:J1928"/>
    <mergeCell ref="I1879:J1879"/>
    <mergeCell ref="I1880:J1880"/>
    <mergeCell ref="I1882:J1882"/>
    <mergeCell ref="I1883:J1883"/>
    <mergeCell ref="I1884:J1884"/>
    <mergeCell ref="I1885:J1885"/>
    <mergeCell ref="I1886:J1886"/>
    <mergeCell ref="I1887:J1887"/>
    <mergeCell ref="I1896:J1896"/>
    <mergeCell ref="I1897:J1897"/>
    <mergeCell ref="I1898:J1898"/>
    <mergeCell ref="I1899:J1899"/>
    <mergeCell ref="I1900:J1900"/>
    <mergeCell ref="I1901:J1901"/>
    <mergeCell ref="I1903:J1903"/>
    <mergeCell ref="I1904:J1904"/>
    <mergeCell ref="I1905:J1905"/>
    <mergeCell ref="H1889:J1889"/>
    <mergeCell ref="H1890:J1890"/>
    <mergeCell ref="H1891:J1891"/>
    <mergeCell ref="H1892:J1892"/>
    <mergeCell ref="H1893:J1893"/>
    <mergeCell ref="H1894:J1894"/>
    <mergeCell ref="I1980:J1980"/>
    <mergeCell ref="I155:J155"/>
    <mergeCell ref="H16:J16"/>
    <mergeCell ref="H17:J17"/>
    <mergeCell ref="H18:J18"/>
    <mergeCell ref="H19:J19"/>
    <mergeCell ref="H20:J20"/>
    <mergeCell ref="H21:J21"/>
    <mergeCell ref="H22:J22"/>
    <mergeCell ref="H23:J23"/>
    <mergeCell ref="H24:J24"/>
    <mergeCell ref="H26:J26"/>
    <mergeCell ref="H27:J27"/>
    <mergeCell ref="H28:J28"/>
    <mergeCell ref="H29:J29"/>
    <mergeCell ref="H30:J30"/>
    <mergeCell ref="H31:J31"/>
    <mergeCell ref="H32:J32"/>
    <mergeCell ref="H33:J33"/>
    <mergeCell ref="H34:J34"/>
    <mergeCell ref="H500:J500"/>
    <mergeCell ref="H501:J501"/>
    <mergeCell ref="H37:J37"/>
    <mergeCell ref="I1906:J1906"/>
    <mergeCell ref="I1907:J1907"/>
    <mergeCell ref="I1908:J1908"/>
    <mergeCell ref="I1917:J1917"/>
    <mergeCell ref="I1918:J1918"/>
    <mergeCell ref="I1919:J1919"/>
    <mergeCell ref="I1920:J1920"/>
    <mergeCell ref="I1921:J1921"/>
    <mergeCell ref="I1922:J1922"/>
    <mergeCell ref="H41:J41"/>
    <mergeCell ref="H42:J42"/>
    <mergeCell ref="H43:J43"/>
    <mergeCell ref="H44:J44"/>
    <mergeCell ref="H45:J45"/>
    <mergeCell ref="H46:J46"/>
    <mergeCell ref="H48:J48"/>
    <mergeCell ref="H49:J49"/>
    <mergeCell ref="I74:J74"/>
    <mergeCell ref="H162:J162"/>
    <mergeCell ref="H169:J169"/>
    <mergeCell ref="I241:J241"/>
    <mergeCell ref="I248:J248"/>
    <mergeCell ref="H214:J214"/>
    <mergeCell ref="H215:J215"/>
    <mergeCell ref="H216:J216"/>
    <mergeCell ref="H217:J217"/>
    <mergeCell ref="H218:J218"/>
    <mergeCell ref="H219:J219"/>
    <mergeCell ref="H235:J235"/>
    <mergeCell ref="H236:J236"/>
    <mergeCell ref="H237:J237"/>
    <mergeCell ref="H240:J240"/>
    <mergeCell ref="H238:J238"/>
    <mergeCell ref="H239:J239"/>
    <mergeCell ref="I148:J148"/>
    <mergeCell ref="I205:J205"/>
    <mergeCell ref="I228:J228"/>
    <mergeCell ref="I229:J229"/>
    <mergeCell ref="I230:J230"/>
    <mergeCell ref="I231:J231"/>
    <mergeCell ref="I232:J232"/>
    <mergeCell ref="C276:E276"/>
    <mergeCell ref="H616:J616"/>
    <mergeCell ref="H617:J617"/>
    <mergeCell ref="H618:J618"/>
    <mergeCell ref="H619:J619"/>
    <mergeCell ref="H620:J620"/>
    <mergeCell ref="H621:J621"/>
    <mergeCell ref="H637:J637"/>
    <mergeCell ref="H638:J638"/>
    <mergeCell ref="H639:J639"/>
    <mergeCell ref="H640:J640"/>
    <mergeCell ref="H641:J641"/>
    <mergeCell ref="H642:J642"/>
    <mergeCell ref="H276:J276"/>
    <mergeCell ref="H658:J658"/>
    <mergeCell ref="H659:J659"/>
    <mergeCell ref="H660:J660"/>
    <mergeCell ref="D283:E283"/>
    <mergeCell ref="I283:J283"/>
    <mergeCell ref="H478:J478"/>
    <mergeCell ref="H479:J479"/>
    <mergeCell ref="H480:J480"/>
    <mergeCell ref="H496:J496"/>
    <mergeCell ref="H497:J497"/>
    <mergeCell ref="H498:J498"/>
    <mergeCell ref="H499:J499"/>
    <mergeCell ref="H325:J325"/>
    <mergeCell ref="I632:J632"/>
    <mergeCell ref="I633:J633"/>
    <mergeCell ref="I634:J634"/>
    <mergeCell ref="I635:J635"/>
    <mergeCell ref="I644:J644"/>
    <mergeCell ref="H788:J788"/>
    <mergeCell ref="H789:J789"/>
    <mergeCell ref="H790:J790"/>
    <mergeCell ref="H792:J792"/>
    <mergeCell ref="H793:J793"/>
    <mergeCell ref="H794:J794"/>
    <mergeCell ref="H795:J795"/>
    <mergeCell ref="H796:J796"/>
    <mergeCell ref="H797:J797"/>
    <mergeCell ref="I290:J290"/>
    <mergeCell ref="H848:J848"/>
    <mergeCell ref="H849:J849"/>
    <mergeCell ref="H850:J850"/>
    <mergeCell ref="H851:J851"/>
    <mergeCell ref="H852:J852"/>
    <mergeCell ref="H853:J853"/>
    <mergeCell ref="H869:J869"/>
    <mergeCell ref="I297:J297"/>
    <mergeCell ref="H304:J304"/>
    <mergeCell ref="I311:J311"/>
    <mergeCell ref="I318:J318"/>
    <mergeCell ref="H661:J661"/>
    <mergeCell ref="H662:J662"/>
    <mergeCell ref="H663:J663"/>
    <mergeCell ref="H679:J679"/>
    <mergeCell ref="H680:J680"/>
    <mergeCell ref="H681:J681"/>
    <mergeCell ref="H682:J682"/>
    <mergeCell ref="H683:J683"/>
    <mergeCell ref="H684:J684"/>
    <mergeCell ref="H700:J700"/>
    <mergeCell ref="H701:J701"/>
    <mergeCell ref="H1086:J1086"/>
    <mergeCell ref="H1087:J1087"/>
    <mergeCell ref="H1088:J1088"/>
    <mergeCell ref="H1089:J1089"/>
    <mergeCell ref="H1090:J1090"/>
    <mergeCell ref="H1091:J1091"/>
    <mergeCell ref="H1115:J1115"/>
    <mergeCell ref="H1116:J1116"/>
    <mergeCell ref="H1117:J1117"/>
    <mergeCell ref="H1118:J1118"/>
    <mergeCell ref="H1119:J1119"/>
    <mergeCell ref="H1120:J1120"/>
    <mergeCell ref="H1122:J1122"/>
    <mergeCell ref="H1123:J1123"/>
    <mergeCell ref="H1124:J1124"/>
    <mergeCell ref="H1125:J1125"/>
    <mergeCell ref="H1126:J1126"/>
    <mergeCell ref="I1103:J1103"/>
    <mergeCell ref="I1104:J1104"/>
    <mergeCell ref="I1105:J1105"/>
    <mergeCell ref="I1106:J1106"/>
    <mergeCell ref="I1108:J1108"/>
    <mergeCell ref="I1109:J1109"/>
    <mergeCell ref="I1110:J1110"/>
    <mergeCell ref="I1111:J1111"/>
    <mergeCell ref="I1112:J1112"/>
    <mergeCell ref="I1113:J1113"/>
    <mergeCell ref="I1252:J1252"/>
    <mergeCell ref="I1253:J1253"/>
    <mergeCell ref="I1254:J1254"/>
    <mergeCell ref="I1255:J1255"/>
    <mergeCell ref="I1256:J1256"/>
    <mergeCell ref="I1257:J1257"/>
    <mergeCell ref="I1259:J1259"/>
    <mergeCell ref="I1260:J1260"/>
    <mergeCell ref="I1261:J1261"/>
    <mergeCell ref="I1262:J1262"/>
    <mergeCell ref="I1263:J1263"/>
    <mergeCell ref="I1264:J1264"/>
    <mergeCell ref="I1267:J1267"/>
    <mergeCell ref="H1321:J1321"/>
    <mergeCell ref="H1322:J1322"/>
    <mergeCell ref="H1324:J1324"/>
    <mergeCell ref="H1325:J1325"/>
    <mergeCell ref="I1288:J1288"/>
    <mergeCell ref="I1289:J1289"/>
    <mergeCell ref="I1290:J1290"/>
    <mergeCell ref="I1291:J1291"/>
    <mergeCell ref="I1292:J1292"/>
    <mergeCell ref="I1293:J1293"/>
    <mergeCell ref="I1295:J1295"/>
    <mergeCell ref="I1296:J1296"/>
    <mergeCell ref="I1297:J1297"/>
    <mergeCell ref="I1298:J1298"/>
    <mergeCell ref="I1299:J1299"/>
    <mergeCell ref="I1300:J1300"/>
    <mergeCell ref="I1268:J1268"/>
    <mergeCell ref="I1269:J1269"/>
    <mergeCell ref="I1270:J1270"/>
    <mergeCell ref="H1345:J1345"/>
    <mergeCell ref="H1346:J1346"/>
    <mergeCell ref="H1347:J1347"/>
    <mergeCell ref="H1348:J1348"/>
    <mergeCell ref="H1349:J1349"/>
    <mergeCell ref="H1350:J1350"/>
    <mergeCell ref="H1366:J1366"/>
    <mergeCell ref="H1367:J1367"/>
    <mergeCell ref="H1368:J1368"/>
    <mergeCell ref="I1362:J1362"/>
    <mergeCell ref="I1363:J1363"/>
    <mergeCell ref="I1364:J1364"/>
    <mergeCell ref="I1336:J1336"/>
    <mergeCell ref="I1338:J1338"/>
    <mergeCell ref="I1339:J1339"/>
    <mergeCell ref="I1340:J1340"/>
    <mergeCell ref="I1341:J1341"/>
    <mergeCell ref="I1342:J1342"/>
    <mergeCell ref="I1343:J1343"/>
    <mergeCell ref="I1353:J1353"/>
    <mergeCell ref="I1354:J1354"/>
    <mergeCell ref="I1355:J1355"/>
    <mergeCell ref="I1356:J1356"/>
    <mergeCell ref="I1357:J1357"/>
    <mergeCell ref="I1352:J1352"/>
    <mergeCell ref="I1359:J1359"/>
    <mergeCell ref="I1360:J1360"/>
    <mergeCell ref="I1361:J1361"/>
    <mergeCell ref="I1358:J1358"/>
    <mergeCell ref="H1628:J1628"/>
    <mergeCell ref="H1629:J1629"/>
    <mergeCell ref="H1630:J1630"/>
    <mergeCell ref="H1631:J1631"/>
    <mergeCell ref="H1632:J1632"/>
    <mergeCell ref="H1633:J1633"/>
    <mergeCell ref="H1649:J1649"/>
    <mergeCell ref="H1650:J1650"/>
    <mergeCell ref="H1651:J1651"/>
    <mergeCell ref="H1388:J1388"/>
    <mergeCell ref="H1389:J1389"/>
    <mergeCell ref="H1390:J1390"/>
    <mergeCell ref="H1391:J1391"/>
    <mergeCell ref="H1392:J1392"/>
    <mergeCell ref="H1393:J1393"/>
    <mergeCell ref="H1409:J1409"/>
    <mergeCell ref="H1410:J1410"/>
    <mergeCell ref="H1411:J1411"/>
    <mergeCell ref="H1412:J1412"/>
    <mergeCell ref="H1413:J1413"/>
    <mergeCell ref="H1414:J1414"/>
    <mergeCell ref="H1423:J1423"/>
    <mergeCell ref="H1424:J1424"/>
    <mergeCell ref="H1425:J1425"/>
    <mergeCell ref="I1596:J1596"/>
    <mergeCell ref="I1597:J1597"/>
    <mergeCell ref="I1598:J1598"/>
    <mergeCell ref="I1600:J1600"/>
    <mergeCell ref="I1601:J1601"/>
    <mergeCell ref="I1599:J1599"/>
    <mergeCell ref="I1615:J1615"/>
    <mergeCell ref="I1616:J1616"/>
    <mergeCell ref="H1703:J1703"/>
    <mergeCell ref="H1704:J1704"/>
    <mergeCell ref="H1705:J1705"/>
    <mergeCell ref="H1721:J1721"/>
    <mergeCell ref="H1722:J1722"/>
    <mergeCell ref="H1723:J1723"/>
    <mergeCell ref="H1724:J1724"/>
    <mergeCell ref="H1725:J1725"/>
    <mergeCell ref="H1726:J1726"/>
    <mergeCell ref="H1742:J1742"/>
    <mergeCell ref="H1743:J1743"/>
    <mergeCell ref="H1744:J1744"/>
    <mergeCell ref="H1745:J1745"/>
    <mergeCell ref="H1746:J1746"/>
    <mergeCell ref="H1747:J1747"/>
    <mergeCell ref="H1763:J1763"/>
    <mergeCell ref="H1764:J1764"/>
    <mergeCell ref="I1749:J1749"/>
    <mergeCell ref="I1750:J1750"/>
    <mergeCell ref="I1751:J1751"/>
    <mergeCell ref="I1752:J1752"/>
    <mergeCell ref="I1753:J1753"/>
    <mergeCell ref="I1754:J1754"/>
    <mergeCell ref="I1756:J1756"/>
    <mergeCell ref="I1757:J1757"/>
    <mergeCell ref="I1758:J1758"/>
    <mergeCell ref="I1759:J1759"/>
    <mergeCell ref="I1760:J1760"/>
    <mergeCell ref="I1761:J1761"/>
    <mergeCell ref="I1727:J1727"/>
    <mergeCell ref="H1720:J1720"/>
    <mergeCell ref="I1713:J1713"/>
    <mergeCell ref="H1822:J1822"/>
    <mergeCell ref="H1823:J1823"/>
    <mergeCell ref="H1824:J1824"/>
    <mergeCell ref="H1826:J1826"/>
    <mergeCell ref="H1827:J1827"/>
    <mergeCell ref="H1828:J1828"/>
    <mergeCell ref="H1829:J1829"/>
    <mergeCell ref="H1830:J1830"/>
    <mergeCell ref="H1831:J1831"/>
    <mergeCell ref="H1847:J1847"/>
    <mergeCell ref="H1848:J1848"/>
    <mergeCell ref="H1849:J1849"/>
    <mergeCell ref="H1850:J1850"/>
    <mergeCell ref="H1851:J1851"/>
    <mergeCell ref="H1852:J1852"/>
    <mergeCell ref="H1868:J1868"/>
    <mergeCell ref="H1869:J1869"/>
    <mergeCell ref="I1845:J1845"/>
    <mergeCell ref="I1854:J1854"/>
    <mergeCell ref="I1855:J1855"/>
    <mergeCell ref="I1856:J1856"/>
    <mergeCell ref="I1857:J1857"/>
    <mergeCell ref="I1858:J1858"/>
    <mergeCell ref="I1859:J1859"/>
    <mergeCell ref="I1861:J1861"/>
    <mergeCell ref="I1862:J1862"/>
    <mergeCell ref="I1863:J1863"/>
    <mergeCell ref="I1864:J1864"/>
    <mergeCell ref="I1865:J1865"/>
    <mergeCell ref="I1866:J1866"/>
    <mergeCell ref="H1982:J1982"/>
    <mergeCell ref="H1983:J1983"/>
    <mergeCell ref="H1984:J1984"/>
    <mergeCell ref="H1985:J1985"/>
    <mergeCell ref="H1986:J1986"/>
    <mergeCell ref="H1987:J1987"/>
    <mergeCell ref="H1941:J1941"/>
    <mergeCell ref="H1942:J1942"/>
    <mergeCell ref="H1943:J1943"/>
    <mergeCell ref="H1946:J1946"/>
    <mergeCell ref="H1947:J1947"/>
    <mergeCell ref="H1948:J1948"/>
    <mergeCell ref="H1949:J1949"/>
    <mergeCell ref="H1950:J1950"/>
    <mergeCell ref="H1951:J1951"/>
    <mergeCell ref="H1953:J1953"/>
    <mergeCell ref="H1954:J1954"/>
    <mergeCell ref="H1955:J1955"/>
    <mergeCell ref="H1956:J1956"/>
    <mergeCell ref="H1957:J1957"/>
    <mergeCell ref="H1958:J1958"/>
    <mergeCell ref="H1960:J1960"/>
    <mergeCell ref="H1961:J1961"/>
    <mergeCell ref="I1970:J1970"/>
    <mergeCell ref="I1971:J1971"/>
    <mergeCell ref="I1972:J1972"/>
    <mergeCell ref="I1973:J1973"/>
    <mergeCell ref="I1975:J1975"/>
    <mergeCell ref="I1976:J1976"/>
    <mergeCell ref="I1977:J1977"/>
    <mergeCell ref="I1978:J1978"/>
    <mergeCell ref="I1979:J1979"/>
  </mergeCells>
  <phoneticPr fontId="3" type="noConversion"/>
  <conditionalFormatting sqref="L60">
    <cfRule type="cellIs" dxfId="254" priority="64" operator="equal">
      <formula>"미취합법인有"</formula>
    </cfRule>
  </conditionalFormatting>
  <conditionalFormatting sqref="L67 N67 P67">
    <cfRule type="cellIs" dxfId="253" priority="93" operator="equal">
      <formula>"미취합법인有"</formula>
    </cfRule>
  </conditionalFormatting>
  <conditionalFormatting sqref="L74 N74 P74">
    <cfRule type="cellIs" dxfId="252" priority="92" operator="equal">
      <formula>"미취합법인有"</formula>
    </cfRule>
  </conditionalFormatting>
  <conditionalFormatting sqref="L82">
    <cfRule type="cellIs" dxfId="251" priority="5" operator="equal">
      <formula>"미취합법인有"</formula>
    </cfRule>
  </conditionalFormatting>
  <conditionalFormatting sqref="L89">
    <cfRule type="cellIs" dxfId="250" priority="3" operator="equal">
      <formula>"미취합법인有"</formula>
    </cfRule>
  </conditionalFormatting>
  <conditionalFormatting sqref="L96">
    <cfRule type="cellIs" dxfId="249" priority="1" operator="equal">
      <formula>"미취합법인有"</formula>
    </cfRule>
  </conditionalFormatting>
  <conditionalFormatting sqref="L104 N104 P104">
    <cfRule type="cellIs" dxfId="248" priority="14" operator="equal">
      <formula>"미취합법인有"</formula>
    </cfRule>
  </conditionalFormatting>
  <conditionalFormatting sqref="L111 N111 P111">
    <cfRule type="cellIs" dxfId="247" priority="12" operator="equal">
      <formula>"미취합법인有"</formula>
    </cfRule>
  </conditionalFormatting>
  <conditionalFormatting sqref="L120 N120 P120">
    <cfRule type="cellIs" dxfId="246" priority="79" operator="equal">
      <formula>"미취합법인有"</formula>
    </cfRule>
  </conditionalFormatting>
  <conditionalFormatting sqref="L127 N127 P127">
    <cfRule type="cellIs" dxfId="245" priority="78" operator="equal">
      <formula>"미취합법인有"</formula>
    </cfRule>
  </conditionalFormatting>
  <conditionalFormatting sqref="L134 N134 P134 L141 N141 P141 L148 N148 P148 L155 N155 P155 L162 N162 P162">
    <cfRule type="cellIs" dxfId="244" priority="77" operator="equal">
      <formula>"미취합법인有"</formula>
    </cfRule>
  </conditionalFormatting>
  <conditionalFormatting sqref="L169 N169 P169 L176 N176 P176 L183 N183 P183 L191 N191 P191 L198 N198 P198 L205 N205 P205 L213 N213 P213 L220 N220 P220 L227 N227 P227 L234 N234 P234 L241 N241 P241 L248 N248 P248 L255 N255 P255 L262 N262 P262 L269 N269 P269 L276 N276 P276 L283 N283 P283 L290 N290 P290 L297 N297 P297 L304 N304 P304">
    <cfRule type="cellIs" dxfId="243" priority="76" operator="equal">
      <formula>"미취합법인有"</formula>
    </cfRule>
  </conditionalFormatting>
  <conditionalFormatting sqref="L311 N311 P311">
    <cfRule type="cellIs" dxfId="242" priority="83" operator="equal">
      <formula>"미취합법인有"</formula>
    </cfRule>
  </conditionalFormatting>
  <conditionalFormatting sqref="L318 N318 P318">
    <cfRule type="cellIs" dxfId="241" priority="82" operator="equal">
      <formula>"미취합법인有"</formula>
    </cfRule>
  </conditionalFormatting>
  <conditionalFormatting sqref="L325 N325 P325">
    <cfRule type="cellIs" dxfId="240" priority="81" operator="equal">
      <formula>"미취합법인有"</formula>
    </cfRule>
  </conditionalFormatting>
  <conditionalFormatting sqref="L332 N332 P332">
    <cfRule type="cellIs" dxfId="239" priority="80" operator="equal">
      <formula>"미취합법인有"</formula>
    </cfRule>
  </conditionalFormatting>
  <conditionalFormatting sqref="L339 N339 P339 L346 N346 P346 L353 N353 P353 L360 N360 P360 L367 N367 P367 L374 N374 P374 L382 N382 P382 L389 N389 P389 L396 N396 P396">
    <cfRule type="cellIs" dxfId="238" priority="75" operator="equal">
      <formula>"미취합법인有"</formula>
    </cfRule>
  </conditionalFormatting>
  <conditionalFormatting sqref="L404 N404 P404">
    <cfRule type="cellIs" dxfId="237" priority="7" operator="equal">
      <formula>"미취합법인有"</formula>
    </cfRule>
  </conditionalFormatting>
  <conditionalFormatting sqref="L411 N411 P411">
    <cfRule type="cellIs" dxfId="236" priority="8" operator="equal">
      <formula>"미취합법인有"</formula>
    </cfRule>
  </conditionalFormatting>
  <conditionalFormatting sqref="L418 N418 P418 L425 N425 P425 L432 N432 P432 L439 N439 P439 L446 N446 P446 L453 N453 P453 L460 N460 P460 L467 N467 P467 L474 N474 P474 L481 N481 P481 L488 N488 P488 L495 N495 P495 L502 N502 P502 L509 N509 P509 L516 N516 P516 L523 N523 P523 L530 N530 P530 L537 N537 P537 L544 N544 P544 L551 N551 P551 L558 N558 P558">
    <cfRule type="cellIs" dxfId="235" priority="72" operator="equal">
      <formula>"미취합법인有"</formula>
    </cfRule>
  </conditionalFormatting>
  <conditionalFormatting sqref="L566 N566 P566 L573 N573 P573 L580 N580 P580 L587 N587 P587 L594 N594 P594 L601 N601 P601 L608 N608 P608 L615 N615 P615 L622 N622 P622 L629 N629 P629 L636 N636 P636 L643 N643 P643 L650 N650 P650 L657 N657 P657 L664 N664 P664 L671 N671 P671 L678 N678 P678 L685 N685 P685 L692 N692 P692 L699 N699 P699 L706 N706 P706">
    <cfRule type="cellIs" dxfId="234" priority="71" operator="equal">
      <formula>"미취합법인有"</formula>
    </cfRule>
  </conditionalFormatting>
  <conditionalFormatting sqref="L713 N713 P713 L720 N720 P720 L727 N727 P727 L734 N734 P734 L741 N741 P741 L748 N748 P748 L755 N755 P755 L762 N762 P762 L770 N770 P770 L777 N777 P777 L784 N784 P784 L791 N791 P791 L798 N798 P798 L805 N805 P805 L812 N812 P812 L819 N819 P819 L826 N826 P826 L833 N833 P833 L840 N840 P840 L847 N847 P847 L854 N854 P854 L861 N861 P861 L868 N868 P868 L875 N875 P875 L882 N882 P882 L889 N889 P889 L896 N896 P896 L903 N903 P903 L910 N910 P910 L917 N917 P917 L924 N924 P924">
    <cfRule type="cellIs" dxfId="233" priority="70" operator="equal">
      <formula>"미취합법인有"</formula>
    </cfRule>
  </conditionalFormatting>
  <conditionalFormatting sqref="L931 N931 P931 L938 N938 P938 L947 N947 P947 L954 N954 P954 L961 N961 P961 L968 N968 P968 L975 N975 P975 L983 N983 P983 L990 N990 P990 L997 N997 P997 L1004 N1004 P1004 L1011 N1011 P1011 N1019 P1019 L1026 N1026 P1026 L1034 N1034 P1034">
    <cfRule type="cellIs" dxfId="232" priority="69" operator="equal">
      <formula>"미취합법인有"</formula>
    </cfRule>
  </conditionalFormatting>
  <conditionalFormatting sqref="L1041 N1041 P1041">
    <cfRule type="cellIs" dxfId="231" priority="63" operator="equal">
      <formula>"미취합법인有"</formula>
    </cfRule>
  </conditionalFormatting>
  <conditionalFormatting sqref="L1049 N1049 P1049">
    <cfRule type="cellIs" dxfId="230" priority="62" operator="equal">
      <formula>"미취합법인有"</formula>
    </cfRule>
  </conditionalFormatting>
  <conditionalFormatting sqref="L1056 N1056 P1056">
    <cfRule type="cellIs" dxfId="229" priority="61" operator="equal">
      <formula>"미취합법인有"</formula>
    </cfRule>
  </conditionalFormatting>
  <conditionalFormatting sqref="L1064 N1064 P1064 L1071 N1071 P1071 L1078 N1078 P1078 L1085 N1085 P1085 L1093 N1093 P1093 L1100 N1100 P1100 L1107 N1107 P1107 L1114 N1114 P1114 L1143 N1143 P1143 L1150 N1150 P1150 L1157 N1157 P1157 L1165 N1165 P1165 L1172 N1172 P1172 L1180 N1180 P1180 L1187 N1187 P1187 L1194 N1194 P1194 L1201 N1201 P1201 L1208 N1208 P1208 L1215 N1215 P1215 L1222 N1222 P1222 L1302 N1302 P1302 L1309 N1309 P1309 L1316 N1316 P1316 L1330 N1330 P1330 L1337 N1337 P1337 L1351 N1351 P1351 L1358 N1358 P1358">
    <cfRule type="cellIs" dxfId="228" priority="68" operator="equal">
      <formula>"미취합법인有"</formula>
    </cfRule>
  </conditionalFormatting>
  <conditionalFormatting sqref="L1121 N1121 P1121">
    <cfRule type="cellIs" dxfId="227" priority="60" operator="equal">
      <formula>"미취합법인有"</formula>
    </cfRule>
  </conditionalFormatting>
  <conditionalFormatting sqref="L1128 N1128 P1128">
    <cfRule type="cellIs" dxfId="226" priority="59" operator="equal">
      <formula>"미취합법인有"</formula>
    </cfRule>
  </conditionalFormatting>
  <conditionalFormatting sqref="L1135 N1135 P1135">
    <cfRule type="cellIs" dxfId="225" priority="58" operator="equal">
      <formula>"미취합법인有"</formula>
    </cfRule>
  </conditionalFormatting>
  <conditionalFormatting sqref="L1230 N1230 P1230">
    <cfRule type="cellIs" dxfId="224" priority="57" operator="equal">
      <formula>"미취합법인有"</formula>
    </cfRule>
  </conditionalFormatting>
  <conditionalFormatting sqref="L1237 N1237 P1237">
    <cfRule type="cellIs" dxfId="223" priority="56" operator="equal">
      <formula>"미취합법인有"</formula>
    </cfRule>
  </conditionalFormatting>
  <conditionalFormatting sqref="L1244 N1244 P1244">
    <cfRule type="cellIs" dxfId="222" priority="55" operator="equal">
      <formula>"미취합법인有"</formula>
    </cfRule>
  </conditionalFormatting>
  <conditionalFormatting sqref="L1251 N1251 P1251">
    <cfRule type="cellIs" dxfId="221" priority="54" operator="equal">
      <formula>"미취합법인有"</formula>
    </cfRule>
  </conditionalFormatting>
  <conditionalFormatting sqref="L1258 N1258 P1258">
    <cfRule type="cellIs" dxfId="220" priority="53" operator="equal">
      <formula>"미취합법인有"</formula>
    </cfRule>
  </conditionalFormatting>
  <conditionalFormatting sqref="L1266 N1266 P1266">
    <cfRule type="cellIs" dxfId="219" priority="52" operator="equal">
      <formula>"미취합법인有"</formula>
    </cfRule>
  </conditionalFormatting>
  <conditionalFormatting sqref="L1273 N1273 P1273">
    <cfRule type="cellIs" dxfId="218" priority="51" operator="equal">
      <formula>"미취합법인有"</formula>
    </cfRule>
  </conditionalFormatting>
  <conditionalFormatting sqref="L1280 N1280 P1280">
    <cfRule type="cellIs" dxfId="217" priority="50" operator="equal">
      <formula>"미취합법인有"</formula>
    </cfRule>
  </conditionalFormatting>
  <conditionalFormatting sqref="L1287 N1287 P1287">
    <cfRule type="cellIs" dxfId="216" priority="49" operator="equal">
      <formula>"미취합법인有"</formula>
    </cfRule>
  </conditionalFormatting>
  <conditionalFormatting sqref="L1294 N1294 P1294">
    <cfRule type="cellIs" dxfId="215" priority="48" operator="equal">
      <formula>"미취합법인有"</formula>
    </cfRule>
  </conditionalFormatting>
  <conditionalFormatting sqref="L1323 N1323 P1323">
    <cfRule type="cellIs" dxfId="214" priority="47" operator="equal">
      <formula>"미취합법인有"</formula>
    </cfRule>
  </conditionalFormatting>
  <conditionalFormatting sqref="L1344 N1344 P1344">
    <cfRule type="cellIs" dxfId="213" priority="46" operator="equal">
      <formula>"미취합법인有"</formula>
    </cfRule>
  </conditionalFormatting>
  <conditionalFormatting sqref="L1365 N1365 P1365">
    <cfRule type="cellIs" dxfId="212" priority="45" operator="equal">
      <formula>"미취합법인有"</formula>
    </cfRule>
  </conditionalFormatting>
  <conditionalFormatting sqref="L1372 N1372 P1372 L1379 N1379 P1379 L1387 N1387 P1387 L1394 N1394 P1394 L1401 N1401 P1401 L1408 N1408 P1408 L1415 N1415 P1415 L1422 N1422 P1422 L1429 N1429 P1429 L1436 N1436 P1436 L1504 N1504 P1504 L1511 N1511 P1511 L1519 N1519 P1519 L1526 N1526 P1526">
    <cfRule type="cellIs" dxfId="211" priority="67" operator="equal">
      <formula>"미취합법인有"</formula>
    </cfRule>
  </conditionalFormatting>
  <conditionalFormatting sqref="L1445 N1445 P1445">
    <cfRule type="cellIs" dxfId="210" priority="44" operator="equal">
      <formula>"미취합법인有"</formula>
    </cfRule>
  </conditionalFormatting>
  <conditionalFormatting sqref="L1452 N1452 P1452">
    <cfRule type="cellIs" dxfId="209" priority="43" operator="equal">
      <formula>"미취합법인有"</formula>
    </cfRule>
  </conditionalFormatting>
  <conditionalFormatting sqref="L1460 N1460 P1460">
    <cfRule type="cellIs" dxfId="208" priority="42" operator="equal">
      <formula>"미취합법인有"</formula>
    </cfRule>
  </conditionalFormatting>
  <conditionalFormatting sqref="L1467 N1467 P1467">
    <cfRule type="cellIs" dxfId="207" priority="41" operator="equal">
      <formula>"미취합법인有"</formula>
    </cfRule>
  </conditionalFormatting>
  <conditionalFormatting sqref="L1474 N1474 P1474">
    <cfRule type="cellIs" dxfId="206" priority="40" operator="equal">
      <formula>"미취합법인有"</formula>
    </cfRule>
  </conditionalFormatting>
  <conditionalFormatting sqref="L1481 N1481 P1481">
    <cfRule type="cellIs" dxfId="205" priority="39" operator="equal">
      <formula>"미취합법인有"</formula>
    </cfRule>
  </conditionalFormatting>
  <conditionalFormatting sqref="L1488 N1488 P1488">
    <cfRule type="cellIs" dxfId="204" priority="38" operator="equal">
      <formula>"미취합법인有"</formula>
    </cfRule>
  </conditionalFormatting>
  <conditionalFormatting sqref="L1495 N1495 P1495">
    <cfRule type="cellIs" dxfId="203" priority="37" operator="equal">
      <formula>"미취합법인有"</formula>
    </cfRule>
  </conditionalFormatting>
  <conditionalFormatting sqref="L1533 N1533 P1533">
    <cfRule type="cellIs" dxfId="202" priority="36" operator="equal">
      <formula>"미취합법인有"</formula>
    </cfRule>
  </conditionalFormatting>
  <conditionalFormatting sqref="L1540 N1540 P1540">
    <cfRule type="cellIs" dxfId="201" priority="35" operator="equal">
      <formula>"미취합법인有"</formula>
    </cfRule>
  </conditionalFormatting>
  <conditionalFormatting sqref="L1547 N1547 P1547">
    <cfRule type="cellIs" dxfId="200" priority="34" operator="equal">
      <formula>"미취합법인有"</formula>
    </cfRule>
  </conditionalFormatting>
  <conditionalFormatting sqref="L1555 N1555 P1555 L1562 N1562 P1562 L1570 N1570 P1570 L1577 N1577 P1577 L1613 P1613 L1620 N1620 P1620 L1634 N1634 P1634 L1641 N1641 P1641">
    <cfRule type="cellIs" dxfId="199" priority="66" operator="equal">
      <formula>"미취합법인有"</formula>
    </cfRule>
  </conditionalFormatting>
  <conditionalFormatting sqref="L1585 N1585 P1585">
    <cfRule type="cellIs" dxfId="198" priority="33" operator="equal">
      <formula>"미취합법인有"</formula>
    </cfRule>
  </conditionalFormatting>
  <conditionalFormatting sqref="L1592 N1592 P1592">
    <cfRule type="cellIs" dxfId="197" priority="32" operator="equal">
      <formula>"미취합법인有"</formula>
    </cfRule>
  </conditionalFormatting>
  <conditionalFormatting sqref="L1599 N1599 P1599">
    <cfRule type="cellIs" dxfId="196" priority="31" operator="equal">
      <formula>"미취합법인有"</formula>
    </cfRule>
  </conditionalFormatting>
  <conditionalFormatting sqref="L1606 N1606 P1606">
    <cfRule type="cellIs" dxfId="195" priority="30" operator="equal">
      <formula>"미취합법인有"</formula>
    </cfRule>
  </conditionalFormatting>
  <conditionalFormatting sqref="L1627 N1627 P1627">
    <cfRule type="cellIs" dxfId="194" priority="29" operator="equal">
      <formula>"미취합법인有"</formula>
    </cfRule>
  </conditionalFormatting>
  <conditionalFormatting sqref="L1648 N1648 P1648">
    <cfRule type="cellIs" dxfId="193" priority="28" operator="equal">
      <formula>"미취합법인有"</formula>
    </cfRule>
  </conditionalFormatting>
  <conditionalFormatting sqref="L1657 N1657 P1657">
    <cfRule type="cellIs" dxfId="192" priority="27" operator="equal">
      <formula>"미취합법인有"</formula>
    </cfRule>
  </conditionalFormatting>
  <conditionalFormatting sqref="L1664 N1664 P1664">
    <cfRule type="cellIs" dxfId="191" priority="26" operator="equal">
      <formula>"미취합법인有"</formula>
    </cfRule>
  </conditionalFormatting>
  <conditionalFormatting sqref="L1671 N1671 P1671">
    <cfRule type="cellIs" dxfId="190" priority="25" operator="equal">
      <formula>"미취합법인有"</formula>
    </cfRule>
  </conditionalFormatting>
  <conditionalFormatting sqref="L1678 N1678 P1678">
    <cfRule type="cellIs" dxfId="189" priority="24" operator="equal">
      <formula>"미취합법인有"</formula>
    </cfRule>
  </conditionalFormatting>
  <conditionalFormatting sqref="L1685 N1685 P1685 L1692 N1692 P1692 L1699 N1699 P1699 L1720 N1720 P1720 L1727 N1727 P1727 L1734 N1734 P1734 L1741 N1741 P1741 L1748 N1748 P1748 L1755 N1755 P1755 L1762 N1762 P1762 L1769 N1769 P1769 L1776 N1776 P1776 L1783 N1783 P1783 L1790 N1790 P1790 L1797 N1797 P1797 L1804 N1804 P1804 L1811 N1811 P1811 L1818 N1818 P1818 L1832 N1832 P1832 L1839 N1839 P1839 L1853 N1853 P1853 L1860 N1860 P1860 L1874 N1874 P1874 L1881 N1881 P1881 L1895 N1895 P1895 L1902 N1902 P1902 L1916 N1916 P1916 L1923 N1923 P1923 L1930 N1930 P1930 L1945 N1945 P1945 L1952 N1952 P1952 L1959 N1959 P1959 L1967 N1967 P1967 L1974 N1974 P1974">
    <cfRule type="cellIs" dxfId="188" priority="65" operator="equal">
      <formula>"미취합법인有"</formula>
    </cfRule>
  </conditionalFormatting>
  <conditionalFormatting sqref="L1706 N1706 P1706">
    <cfRule type="cellIs" dxfId="187" priority="23" operator="equal">
      <formula>"미취합법인有"</formula>
    </cfRule>
  </conditionalFormatting>
  <conditionalFormatting sqref="L1713 N1713 P1713">
    <cfRule type="cellIs" dxfId="186" priority="22" operator="equal">
      <formula>"미취합법인有"</formula>
    </cfRule>
  </conditionalFormatting>
  <conditionalFormatting sqref="L1825 N1825 P1825">
    <cfRule type="cellIs" dxfId="185" priority="21" operator="equal">
      <formula>"미취합법인有"</formula>
    </cfRule>
  </conditionalFormatting>
  <conditionalFormatting sqref="L1846 N1846 P1846">
    <cfRule type="cellIs" dxfId="184" priority="20" operator="equal">
      <formula>"미취합법인有"</formula>
    </cfRule>
  </conditionalFormatting>
  <conditionalFormatting sqref="L1867 N1867 P1867">
    <cfRule type="cellIs" dxfId="183" priority="19" operator="equal">
      <formula>"미취합법인有"</formula>
    </cfRule>
  </conditionalFormatting>
  <conditionalFormatting sqref="L1888 N1888 P1888">
    <cfRule type="cellIs" dxfId="182" priority="18" operator="equal">
      <formula>"미취합법인有"</formula>
    </cfRule>
  </conditionalFormatting>
  <conditionalFormatting sqref="L1909 N1909 P1909 L1937 N1937 P1937 L1981 N1981 P1981">
    <cfRule type="cellIs" dxfId="181" priority="17" operator="equal">
      <formula>"미취합법인有"</formula>
    </cfRule>
  </conditionalFormatting>
  <conditionalFormatting sqref="L2049 N2049 P2049">
    <cfRule type="cellIs" dxfId="180" priority="184" operator="equal">
      <formula>"미취합법인有"</formula>
    </cfRule>
  </conditionalFormatting>
  <conditionalFormatting sqref="L2056 N2056 P2056">
    <cfRule type="cellIs" dxfId="179" priority="183" operator="equal">
      <formula>"미취합법인有"</formula>
    </cfRule>
  </conditionalFormatting>
  <conditionalFormatting sqref="L2064 N2064 P2064">
    <cfRule type="cellIs" dxfId="178" priority="182" operator="equal">
      <formula>"미취합법인有"</formula>
    </cfRule>
  </conditionalFormatting>
  <conditionalFormatting sqref="L2071 N2071 P2071">
    <cfRule type="cellIs" dxfId="177" priority="181" operator="equal">
      <formula>"미취합법인有"</formula>
    </cfRule>
  </conditionalFormatting>
  <conditionalFormatting sqref="L2078 N2078 P2078">
    <cfRule type="cellIs" dxfId="176" priority="180" operator="equal">
      <formula>"미취합법인有"</formula>
    </cfRule>
  </conditionalFormatting>
  <conditionalFormatting sqref="L2085 N2085 P2085">
    <cfRule type="cellIs" dxfId="175" priority="179" operator="equal">
      <formula>"미취합법인有"</formula>
    </cfRule>
  </conditionalFormatting>
  <conditionalFormatting sqref="L2092 N2092 P2092">
    <cfRule type="cellIs" dxfId="174" priority="178" operator="equal">
      <formula>"미취합법인有"</formula>
    </cfRule>
  </conditionalFormatting>
  <conditionalFormatting sqref="L2099 N2099 P2099">
    <cfRule type="cellIs" dxfId="173" priority="177" operator="equal">
      <formula>"미취합법인有"</formula>
    </cfRule>
  </conditionalFormatting>
  <conditionalFormatting sqref="L2106 N2106 P2106">
    <cfRule type="cellIs" dxfId="172" priority="16" operator="equal">
      <formula>"미취합법인有"</formula>
    </cfRule>
  </conditionalFormatting>
  <conditionalFormatting sqref="L2113 N2113 P2113">
    <cfRule type="cellIs" dxfId="171" priority="176" operator="equal">
      <formula>"미취합법인有"</formula>
    </cfRule>
  </conditionalFormatting>
  <conditionalFormatting sqref="L2120 N2120 P2120">
    <cfRule type="cellIs" dxfId="170" priority="175" operator="equal">
      <formula>"미취합법인有"</formula>
    </cfRule>
  </conditionalFormatting>
  <conditionalFormatting sqref="L2128 N2128 P2128">
    <cfRule type="cellIs" dxfId="169" priority="174" operator="equal">
      <formula>"미취합법인有"</formula>
    </cfRule>
  </conditionalFormatting>
  <conditionalFormatting sqref="L2135 N2135 P2135">
    <cfRule type="cellIs" dxfId="168" priority="173" operator="equal">
      <formula>"미취합법인有"</formula>
    </cfRule>
  </conditionalFormatting>
  <conditionalFormatting sqref="L2142 N2142 P2142">
    <cfRule type="cellIs" dxfId="167" priority="172" operator="equal">
      <formula>"미취합법인有"</formula>
    </cfRule>
  </conditionalFormatting>
  <conditionalFormatting sqref="L2149 N2149 P2149">
    <cfRule type="cellIs" dxfId="166" priority="171" operator="equal">
      <formula>"미취합법인有"</formula>
    </cfRule>
  </conditionalFormatting>
  <conditionalFormatting sqref="L2156 N2156 P2156">
    <cfRule type="cellIs" dxfId="165" priority="15" operator="equal">
      <formula>"미취합법인有"</formula>
    </cfRule>
  </conditionalFormatting>
  <conditionalFormatting sqref="L2163 N2163 P2163">
    <cfRule type="cellIs" dxfId="164" priority="170" operator="equal">
      <formula>"미취합법인有"</formula>
    </cfRule>
  </conditionalFormatting>
  <conditionalFormatting sqref="L2170">
    <cfRule type="cellIs" dxfId="163" priority="11" operator="equal">
      <formula>"미취합법인有"</formula>
    </cfRule>
  </conditionalFormatting>
  <conditionalFormatting sqref="N60 P60">
    <cfRule type="cellIs" dxfId="162" priority="94" operator="equal">
      <formula>"미취합법인有"</formula>
    </cfRule>
  </conditionalFormatting>
  <conditionalFormatting sqref="N82 P82">
    <cfRule type="cellIs" dxfId="161" priority="6" operator="equal">
      <formula>"미취합법인有"</formula>
    </cfRule>
  </conditionalFormatting>
  <conditionalFormatting sqref="N89 P89">
    <cfRule type="cellIs" dxfId="160" priority="4" operator="equal">
      <formula>"미취합법인有"</formula>
    </cfRule>
  </conditionalFormatting>
  <conditionalFormatting sqref="N96 P96">
    <cfRule type="cellIs" dxfId="159" priority="2" operator="equal">
      <formula>"미취합법인有"</formula>
    </cfRule>
  </conditionalFormatting>
  <conditionalFormatting sqref="N2170">
    <cfRule type="cellIs" dxfId="158" priority="10" operator="equal">
      <formula>"미취합법인有"</formula>
    </cfRule>
  </conditionalFormatting>
  <conditionalFormatting sqref="P2170">
    <cfRule type="cellIs" dxfId="157" priority="9" operator="equal">
      <formula>"미취합법인有"</formula>
    </cfRule>
  </conditionalFormatting>
  <pageMargins left="0.25" right="0.25" top="0.75" bottom="0.75" header="0" footer="0"/>
  <pageSetup paperSize="8" scale="19" fitToHeight="0"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F3538-D72A-4D5B-93F9-3C8EC0250E60}">
  <dimension ref="A2:G40"/>
  <sheetViews>
    <sheetView workbookViewId="0"/>
  </sheetViews>
  <sheetFormatPr defaultRowHeight="16.5"/>
  <sheetData>
    <row r="2" spans="1:3">
      <c r="A2" s="9747" t="s">
        <v>147</v>
      </c>
      <c r="B2" s="9747"/>
      <c r="C2" s="9747"/>
    </row>
    <row r="15" spans="1:3">
      <c r="A15" s="9747" t="s">
        <v>141</v>
      </c>
      <c r="B15" s="9747"/>
      <c r="C15" s="9747"/>
    </row>
    <row r="27" spans="1:3">
      <c r="A27" s="9747" t="s">
        <v>1741</v>
      </c>
      <c r="B27" s="9747"/>
      <c r="C27" s="9747"/>
    </row>
    <row r="39" spans="1:7">
      <c r="A39" s="9747" t="s">
        <v>144</v>
      </c>
      <c r="B39" s="9747"/>
      <c r="C39" s="9747"/>
    </row>
    <row r="40" spans="1:7">
      <c r="A40" s="9748" t="s">
        <v>1742</v>
      </c>
      <c r="B40" s="9748"/>
      <c r="C40" s="9748"/>
      <c r="D40" s="9748"/>
      <c r="E40" s="9748"/>
      <c r="F40" s="9748"/>
      <c r="G40" s="9748"/>
    </row>
  </sheetData>
  <mergeCells count="5">
    <mergeCell ref="A2:C2"/>
    <mergeCell ref="A15:C15"/>
    <mergeCell ref="A27:C27"/>
    <mergeCell ref="A39:C39"/>
    <mergeCell ref="A40:G40"/>
  </mergeCells>
  <phoneticPr fontId="3"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E6D8C-4649-4AF6-891A-D2392FA34CE3}">
  <sheetPr>
    <tabColor rgb="FFCA1211"/>
    <pageSetUpPr fitToPage="1"/>
  </sheetPr>
  <dimension ref="A1:BE462"/>
  <sheetViews>
    <sheetView workbookViewId="0"/>
  </sheetViews>
  <sheetFormatPr defaultColWidth="13" defaultRowHeight="16.5" outlineLevelCol="1"/>
  <cols>
    <col min="1" max="1" width="3.5" style="11" customWidth="1"/>
    <col min="2" max="2" width="11.625" style="11" customWidth="1"/>
    <col min="3" max="3" width="36" style="11" customWidth="1"/>
    <col min="4" max="4" width="12.75" style="11" customWidth="1"/>
    <col min="5" max="5" width="23.625" style="11" customWidth="1"/>
    <col min="6" max="6" width="16.5" style="11" customWidth="1"/>
    <col min="7" max="7" width="6.125" style="22" hidden="1" customWidth="1"/>
    <col min="8" max="8" width="24.75" style="22" hidden="1" customWidth="1"/>
    <col min="9" max="9" width="25.5" style="22" hidden="1" customWidth="1"/>
    <col min="10" max="10" width="20.875" style="22" hidden="1" customWidth="1"/>
    <col min="11" max="11" width="16.5" style="11" hidden="1" customWidth="1"/>
    <col min="12" max="17" width="15.625" style="37" hidden="1" customWidth="1" outlineLevel="1"/>
    <col min="18" max="18" width="15.625" style="1516" customWidth="1" collapsed="1"/>
    <col min="19" max="19" width="15.625" style="1460" customWidth="1"/>
    <col min="20" max="20" width="15.625" style="1516" customWidth="1"/>
    <col min="21" max="21" width="15.625" style="1460" customWidth="1"/>
    <col min="22" max="22" width="15.625" style="1516" customWidth="1"/>
    <col min="23" max="23" width="15.625" style="37" customWidth="1"/>
    <col min="24" max="27" width="15.625" style="11" customWidth="1"/>
    <col min="28" max="28" width="15.625" style="11" hidden="1" customWidth="1"/>
    <col min="29" max="29" width="15.625" style="11" customWidth="1"/>
    <col min="30" max="30" width="15.625" style="11" hidden="1" customWidth="1"/>
    <col min="31" max="32" width="15.625" style="11" customWidth="1"/>
    <col min="33" max="33" width="15.625" style="11" hidden="1" customWidth="1"/>
    <col min="34" max="34" width="15.625" style="11" customWidth="1"/>
    <col min="35" max="35" width="15.625" style="11" hidden="1" customWidth="1"/>
    <col min="36" max="37" width="15.625" style="11" customWidth="1"/>
    <col min="38" max="38" width="15.625" style="11" hidden="1" customWidth="1"/>
    <col min="39" max="39" width="15.625" style="11" customWidth="1"/>
    <col min="40" max="40" width="15.625" style="11" hidden="1" customWidth="1"/>
    <col min="41" max="42" width="15.625" style="11" customWidth="1"/>
    <col min="43" max="43" width="15.625" style="11" hidden="1" customWidth="1"/>
    <col min="44" max="44" width="15.625" style="11" customWidth="1"/>
    <col min="45" max="45" width="15.625" style="11" hidden="1" customWidth="1"/>
    <col min="46" max="46" width="15.625" style="11" customWidth="1"/>
    <col min="47" max="47" width="50.625" style="24" customWidth="1"/>
    <col min="48" max="48" width="50.625" style="24" hidden="1" customWidth="1"/>
    <col min="49" max="49" width="20.625" style="11" customWidth="1"/>
    <col min="50" max="50" width="17.125" style="11" customWidth="1"/>
    <col min="51" max="51" width="20" style="11" customWidth="1"/>
    <col min="52" max="52" width="20.625" style="11" customWidth="1"/>
    <col min="53" max="53" width="12.25" style="11" customWidth="1"/>
    <col min="54" max="54" width="11.75" style="11" customWidth="1"/>
    <col min="55" max="55" width="13.875" style="11" customWidth="1"/>
    <col min="56" max="56" width="35.125" style="10" customWidth="1"/>
    <col min="57" max="57" width="32.125" style="11" customWidth="1"/>
    <col min="58" max="58" width="13" style="11" customWidth="1"/>
    <col min="59" max="16384" width="13" style="11"/>
  </cols>
  <sheetData>
    <row r="1" spans="1:57" ht="10.9" customHeight="1">
      <c r="A1" s="1"/>
      <c r="B1" s="2"/>
      <c r="C1" s="2"/>
      <c r="D1" s="2"/>
      <c r="E1" s="2"/>
      <c r="F1" s="3"/>
      <c r="G1" s="4"/>
      <c r="H1" s="5"/>
      <c r="I1" s="5"/>
      <c r="J1" s="5"/>
      <c r="K1" s="3"/>
      <c r="L1" s="6"/>
      <c r="M1" s="6"/>
      <c r="N1" s="6"/>
      <c r="O1" s="6"/>
      <c r="P1" s="6"/>
      <c r="Q1" s="6"/>
      <c r="R1" s="1478"/>
      <c r="S1" s="1404"/>
      <c r="T1" s="1478"/>
      <c r="U1" s="1404"/>
      <c r="V1" s="1478"/>
      <c r="W1" s="6"/>
      <c r="X1" s="7"/>
      <c r="Y1" s="7"/>
      <c r="Z1" s="7"/>
      <c r="AA1" s="7"/>
      <c r="AB1" s="7"/>
      <c r="AC1" s="7"/>
      <c r="AD1" s="7"/>
      <c r="AE1" s="7"/>
      <c r="AF1" s="7"/>
      <c r="AG1" s="7"/>
      <c r="AH1" s="7"/>
      <c r="AI1" s="7"/>
      <c r="AJ1" s="7"/>
      <c r="AK1" s="7"/>
      <c r="AL1" s="7"/>
      <c r="AM1" s="7"/>
      <c r="AN1" s="7"/>
      <c r="AO1" s="7"/>
      <c r="AP1" s="7"/>
      <c r="AQ1" s="7"/>
      <c r="AR1" s="7"/>
      <c r="AS1" s="7"/>
      <c r="AT1" s="7"/>
      <c r="AU1" s="8"/>
      <c r="AV1" s="8"/>
      <c r="AW1" s="7"/>
      <c r="AX1" s="7"/>
      <c r="AY1" s="3"/>
      <c r="AZ1" s="7"/>
      <c r="BA1" s="9"/>
      <c r="BB1" s="9"/>
      <c r="BC1" s="9"/>
    </row>
    <row r="2" spans="1:57" s="19" customFormat="1" ht="33.75">
      <c r="A2" s="12"/>
      <c r="B2" s="13" t="s">
        <v>626</v>
      </c>
      <c r="C2" s="14"/>
      <c r="D2" s="2"/>
      <c r="E2" s="2"/>
      <c r="F2" s="3"/>
      <c r="G2" s="4"/>
      <c r="H2" s="15"/>
      <c r="I2" s="5"/>
      <c r="J2" s="3"/>
      <c r="K2" s="3"/>
      <c r="L2" s="6"/>
      <c r="M2" s="6"/>
      <c r="N2" s="6"/>
      <c r="O2" s="6"/>
      <c r="P2" s="6"/>
      <c r="Q2" s="6"/>
      <c r="R2" s="1478"/>
      <c r="S2" s="1404"/>
      <c r="T2" s="1478"/>
      <c r="U2" s="1404"/>
      <c r="V2" s="1478"/>
      <c r="W2" s="6"/>
      <c r="X2" s="16"/>
      <c r="Y2" s="16"/>
      <c r="Z2" s="16"/>
      <c r="AA2" s="16"/>
      <c r="AB2" s="16"/>
      <c r="AC2" s="16"/>
      <c r="AD2" s="16"/>
      <c r="AE2" s="16"/>
      <c r="AF2" s="16"/>
      <c r="AG2" s="16"/>
      <c r="AH2" s="16"/>
      <c r="AI2" s="16"/>
      <c r="AJ2" s="16"/>
      <c r="AK2" s="16"/>
      <c r="AL2" s="16"/>
      <c r="AM2" s="16"/>
      <c r="AN2" s="16"/>
      <c r="AO2" s="16"/>
      <c r="AP2" s="16"/>
      <c r="AQ2" s="16"/>
      <c r="AR2" s="16"/>
      <c r="AS2" s="16"/>
      <c r="AT2" s="16"/>
      <c r="AU2" s="8"/>
      <c r="AV2" s="8"/>
      <c r="AW2" s="16"/>
      <c r="AX2" s="16"/>
      <c r="AY2" s="15"/>
      <c r="AZ2" s="16"/>
      <c r="BA2" s="17"/>
      <c r="BB2" s="17"/>
      <c r="BC2" s="17"/>
      <c r="BD2" s="18"/>
    </row>
    <row r="3" spans="1:57" ht="11.45" customHeight="1">
      <c r="B3" s="20"/>
      <c r="C3" s="20"/>
      <c r="D3" s="20"/>
      <c r="E3" s="20"/>
      <c r="F3" s="3"/>
      <c r="G3" s="4"/>
      <c r="H3" s="5"/>
      <c r="I3" s="5"/>
      <c r="J3" s="5"/>
      <c r="K3" s="3"/>
      <c r="L3" s="6"/>
      <c r="M3" s="6"/>
      <c r="N3" s="6"/>
      <c r="O3" s="6"/>
      <c r="P3" s="6"/>
      <c r="Q3" s="6"/>
      <c r="R3" s="1478"/>
      <c r="S3" s="1404"/>
      <c r="T3" s="1478"/>
      <c r="U3" s="1404"/>
      <c r="V3" s="1478"/>
      <c r="W3" s="6"/>
      <c r="X3" s="7"/>
      <c r="Y3" s="7"/>
      <c r="Z3" s="7"/>
      <c r="AA3" s="7"/>
      <c r="AB3" s="7"/>
      <c r="AC3" s="7"/>
      <c r="AD3" s="7"/>
      <c r="AE3" s="7"/>
      <c r="AF3" s="7"/>
      <c r="AG3" s="7"/>
      <c r="AH3" s="7"/>
      <c r="AI3" s="7"/>
      <c r="AJ3" s="7"/>
      <c r="AK3" s="7"/>
      <c r="AL3" s="7"/>
      <c r="AM3" s="7"/>
      <c r="AN3" s="7"/>
      <c r="AO3" s="7"/>
      <c r="AP3" s="7"/>
      <c r="AQ3" s="7"/>
      <c r="AR3" s="7"/>
      <c r="AS3" s="7"/>
      <c r="AT3" s="7"/>
      <c r="AU3" s="8"/>
      <c r="AV3" s="8"/>
      <c r="AW3" s="7"/>
      <c r="AX3" s="7"/>
      <c r="AY3" s="3"/>
      <c r="AZ3" s="7"/>
      <c r="BA3" s="20"/>
      <c r="BB3" s="20"/>
      <c r="BC3" s="20"/>
      <c r="BD3" s="18"/>
    </row>
    <row r="4" spans="1:57" ht="10.15" customHeight="1">
      <c r="F4" s="21"/>
      <c r="K4" s="21"/>
      <c r="L4" s="23"/>
      <c r="M4" s="23"/>
      <c r="N4" s="23"/>
      <c r="O4" s="23"/>
      <c r="P4" s="23"/>
      <c r="Q4" s="23"/>
      <c r="R4" s="1479"/>
      <c r="S4" s="1405"/>
      <c r="T4" s="1479"/>
      <c r="U4" s="1405"/>
      <c r="V4" s="1479"/>
      <c r="W4" s="23"/>
      <c r="BD4" s="18"/>
    </row>
    <row r="5" spans="1:57" ht="20.65" customHeight="1">
      <c r="B5" s="1700" t="s">
        <v>111</v>
      </c>
      <c r="C5" s="25"/>
      <c r="D5" s="25"/>
      <c r="E5" s="25"/>
      <c r="F5" s="26"/>
      <c r="G5" s="26"/>
      <c r="I5" s="27"/>
      <c r="J5" s="27"/>
      <c r="K5" s="28"/>
      <c r="L5" s="29"/>
      <c r="M5" s="29"/>
      <c r="N5" s="29"/>
      <c r="O5" s="29"/>
      <c r="P5" s="29"/>
      <c r="Q5" s="29"/>
      <c r="R5" s="1480"/>
      <c r="S5" s="1406"/>
      <c r="T5" s="1480"/>
      <c r="U5" s="1406"/>
      <c r="V5" s="1480"/>
      <c r="W5" s="29"/>
      <c r="X5" s="32"/>
      <c r="Y5" s="32"/>
      <c r="Z5" s="32"/>
      <c r="AA5" s="32"/>
      <c r="AB5" s="32"/>
      <c r="AC5" s="32"/>
      <c r="AD5" s="32"/>
      <c r="AE5" s="32"/>
      <c r="AF5" s="32"/>
      <c r="AG5" s="32"/>
      <c r="AH5" s="32"/>
      <c r="AI5" s="32"/>
      <c r="AJ5" s="32"/>
      <c r="AK5" s="32"/>
      <c r="AL5" s="32"/>
      <c r="AM5" s="32"/>
      <c r="AN5" s="32"/>
      <c r="AO5" s="32"/>
      <c r="AP5" s="32"/>
      <c r="AQ5" s="32"/>
      <c r="AR5" s="32"/>
      <c r="AS5" s="32"/>
      <c r="AT5" s="32"/>
      <c r="AU5" s="33"/>
      <c r="AV5" s="33"/>
      <c r="AW5" s="32"/>
      <c r="AX5" s="32"/>
      <c r="AY5" s="32"/>
      <c r="AZ5" s="32"/>
      <c r="BA5" s="32"/>
      <c r="BB5" s="32"/>
      <c r="BC5" s="32"/>
      <c r="BD5" s="18"/>
      <c r="BE5" s="24"/>
    </row>
    <row r="6" spans="1:57" ht="20.65" customHeight="1">
      <c r="B6" s="1701" t="s">
        <v>112</v>
      </c>
      <c r="E6" s="27"/>
      <c r="F6" s="34"/>
      <c r="G6" s="34"/>
      <c r="H6" s="27"/>
      <c r="I6" s="27"/>
      <c r="J6" s="27"/>
      <c r="K6" s="28"/>
      <c r="L6" s="29"/>
      <c r="M6" s="29"/>
      <c r="N6" s="35"/>
      <c r="O6" s="29"/>
      <c r="P6" s="29"/>
      <c r="Q6" s="29"/>
      <c r="R6" s="1480"/>
      <c r="S6" s="1406"/>
      <c r="T6" s="1480"/>
      <c r="U6" s="1406"/>
      <c r="V6" s="1480"/>
      <c r="W6" s="29"/>
      <c r="X6" s="32"/>
      <c r="Y6" s="32"/>
      <c r="Z6" s="32"/>
      <c r="AA6" s="32"/>
      <c r="AB6" s="32"/>
      <c r="AC6" s="32"/>
      <c r="AD6" s="32"/>
      <c r="AE6" s="32"/>
      <c r="AF6" s="32"/>
      <c r="AG6" s="32"/>
      <c r="AH6" s="32"/>
      <c r="AI6" s="32"/>
      <c r="AJ6" s="32"/>
      <c r="AK6" s="32"/>
      <c r="AL6" s="32"/>
      <c r="AM6" s="32"/>
      <c r="AN6" s="32"/>
      <c r="AO6" s="32"/>
      <c r="AP6" s="32"/>
      <c r="AQ6" s="32"/>
      <c r="AR6" s="32"/>
      <c r="AS6" s="32"/>
      <c r="AT6" s="32"/>
      <c r="AU6" s="33"/>
      <c r="AV6" s="33"/>
      <c r="AW6" s="32"/>
      <c r="AX6" s="32"/>
      <c r="AY6" s="32"/>
      <c r="AZ6" s="32"/>
      <c r="BA6" s="32"/>
      <c r="BB6" s="32"/>
      <c r="BC6" s="32"/>
      <c r="BD6" s="18"/>
      <c r="BE6" s="24"/>
    </row>
    <row r="7" spans="1:57" ht="20.65" customHeight="1">
      <c r="B7" s="1701" t="s">
        <v>113</v>
      </c>
      <c r="E7" s="27"/>
      <c r="F7" s="34"/>
      <c r="G7" s="34"/>
      <c r="H7" s="27"/>
      <c r="I7" s="27"/>
      <c r="J7" s="27"/>
      <c r="K7" s="36"/>
      <c r="L7" s="29"/>
      <c r="M7" s="35"/>
      <c r="N7" s="31"/>
      <c r="O7" s="30"/>
      <c r="P7" s="29"/>
      <c r="Q7" s="29"/>
      <c r="R7" s="1480"/>
      <c r="S7" s="1406"/>
      <c r="T7" s="1480"/>
      <c r="U7" s="1406"/>
      <c r="V7" s="1480"/>
      <c r="W7" s="29"/>
      <c r="X7" s="32"/>
      <c r="Y7" s="32"/>
      <c r="Z7" s="32"/>
      <c r="AA7" s="32"/>
      <c r="AB7" s="32"/>
      <c r="AC7" s="32"/>
      <c r="AD7" s="32"/>
      <c r="AE7" s="32"/>
      <c r="AF7" s="32"/>
      <c r="AG7" s="32"/>
      <c r="AH7" s="32"/>
      <c r="AI7" s="32"/>
      <c r="AJ7" s="32"/>
      <c r="AK7" s="32"/>
      <c r="AL7" s="32"/>
      <c r="AM7" s="32"/>
      <c r="AN7" s="32"/>
      <c r="AO7" s="32"/>
      <c r="AP7" s="32"/>
      <c r="AQ7" s="32"/>
      <c r="AR7" s="32"/>
      <c r="AS7" s="32"/>
      <c r="AT7" s="32"/>
      <c r="AU7" s="33"/>
      <c r="AV7" s="33"/>
      <c r="AW7" s="32"/>
      <c r="AX7" s="32"/>
      <c r="AY7" s="32"/>
      <c r="AZ7" s="32"/>
      <c r="BA7" s="32"/>
      <c r="BB7" s="32"/>
      <c r="BC7" s="32"/>
      <c r="BD7" s="18"/>
      <c r="BE7" s="24"/>
    </row>
    <row r="8" spans="1:57" ht="20.65" customHeight="1">
      <c r="B8" s="1701" t="s">
        <v>114</v>
      </c>
      <c r="E8" s="27"/>
      <c r="F8" s="34"/>
      <c r="G8" s="34"/>
      <c r="H8" s="29"/>
      <c r="I8" s="35"/>
      <c r="J8" s="31"/>
      <c r="K8" s="30"/>
      <c r="P8" s="29"/>
      <c r="Q8" s="29"/>
      <c r="R8" s="1480"/>
      <c r="S8" s="1406"/>
      <c r="T8" s="1480"/>
      <c r="U8" s="1406"/>
      <c r="V8" s="1480"/>
      <c r="W8" s="29"/>
      <c r="X8" s="32"/>
      <c r="Y8" s="32"/>
      <c r="Z8" s="32"/>
      <c r="AA8" s="32"/>
      <c r="AB8" s="32"/>
      <c r="AC8" s="32"/>
      <c r="AD8" s="32"/>
      <c r="AE8" s="32"/>
      <c r="AF8" s="32"/>
      <c r="AG8" s="32"/>
      <c r="AH8" s="32"/>
      <c r="AI8" s="32"/>
      <c r="AJ8" s="32"/>
      <c r="AK8" s="32"/>
      <c r="AL8" s="32"/>
      <c r="AM8" s="32"/>
      <c r="AN8" s="32"/>
      <c r="AO8" s="32"/>
      <c r="AP8" s="32"/>
      <c r="AQ8" s="32"/>
      <c r="AR8" s="32"/>
      <c r="AS8" s="32"/>
      <c r="AT8" s="32"/>
      <c r="AU8" s="33"/>
      <c r="AV8" s="33"/>
      <c r="AW8" s="32"/>
      <c r="AX8" s="32"/>
      <c r="AY8" s="32"/>
      <c r="AZ8" s="32"/>
      <c r="BA8" s="32"/>
      <c r="BB8" s="32"/>
      <c r="BC8" s="32"/>
      <c r="BD8" s="18"/>
      <c r="BE8" s="24"/>
    </row>
    <row r="9" spans="1:57" ht="20.65" customHeight="1">
      <c r="B9" s="1701" t="s">
        <v>115</v>
      </c>
      <c r="E9" s="27"/>
      <c r="F9" s="34"/>
      <c r="G9" s="34"/>
      <c r="H9" s="38"/>
      <c r="I9" s="35" t="s">
        <v>116</v>
      </c>
      <c r="J9" s="31"/>
      <c r="K9" s="30"/>
      <c r="P9" s="29"/>
      <c r="Q9" s="29"/>
      <c r="R9" s="1481"/>
      <c r="S9" s="1407" t="s">
        <v>116</v>
      </c>
      <c r="T9" s="1480"/>
      <c r="U9" s="1406"/>
      <c r="V9" s="1480"/>
      <c r="W9" s="29"/>
      <c r="X9" s="32"/>
      <c r="Y9" s="32"/>
      <c r="Z9" s="32"/>
      <c r="AA9" s="32"/>
      <c r="AB9" s="32"/>
      <c r="AC9" s="32"/>
      <c r="AD9" s="32"/>
      <c r="AE9" s="32"/>
      <c r="AF9" s="32"/>
      <c r="AG9" s="32"/>
      <c r="AH9" s="32"/>
      <c r="AI9" s="32"/>
      <c r="AJ9" s="32"/>
      <c r="AK9" s="32"/>
      <c r="AL9" s="32"/>
      <c r="AM9" s="32"/>
      <c r="AN9" s="32"/>
      <c r="AO9" s="32"/>
      <c r="AP9" s="32"/>
      <c r="AQ9" s="32"/>
      <c r="AR9" s="32"/>
      <c r="AS9" s="32"/>
      <c r="AT9" s="32"/>
      <c r="AU9" s="33"/>
      <c r="AV9" s="33"/>
      <c r="AW9" s="32"/>
      <c r="AX9" s="32"/>
      <c r="AY9" s="32"/>
      <c r="AZ9" s="32"/>
      <c r="BA9" s="32"/>
      <c r="BB9" s="32"/>
      <c r="BC9" s="32"/>
      <c r="BD9" s="18"/>
      <c r="BE9" s="24"/>
    </row>
    <row r="10" spans="1:57" ht="20.65" customHeight="1">
      <c r="B10" s="1702" t="s">
        <v>117</v>
      </c>
      <c r="C10" s="39"/>
      <c r="D10" s="39"/>
      <c r="E10" s="40"/>
      <c r="F10" s="41"/>
      <c r="G10" s="41"/>
      <c r="H10" s="42"/>
      <c r="I10" s="35" t="s">
        <v>118</v>
      </c>
      <c r="J10" s="31"/>
      <c r="K10" s="30"/>
      <c r="P10" s="29"/>
      <c r="Q10" s="29"/>
      <c r="R10" s="1482"/>
      <c r="S10" s="1407" t="s">
        <v>118</v>
      </c>
      <c r="T10" s="1480"/>
      <c r="U10" s="1406"/>
      <c r="V10" s="1480"/>
      <c r="W10" s="29"/>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3"/>
      <c r="AV10" s="33"/>
      <c r="AW10" s="32"/>
      <c r="AX10" s="32"/>
      <c r="AY10" s="32"/>
      <c r="AZ10" s="32"/>
      <c r="BA10" s="32"/>
      <c r="BB10" s="32"/>
      <c r="BC10" s="32"/>
      <c r="BD10" s="18"/>
      <c r="BE10" s="24"/>
    </row>
    <row r="11" spans="1:57" ht="10.9" customHeight="1" thickBot="1">
      <c r="C11" s="43"/>
      <c r="D11" s="43"/>
      <c r="E11" s="43"/>
      <c r="F11" s="44"/>
      <c r="G11" s="45"/>
      <c r="H11" s="46"/>
      <c r="I11" s="46"/>
      <c r="J11" s="46"/>
      <c r="K11" s="44"/>
      <c r="L11" s="47"/>
      <c r="M11" s="47"/>
      <c r="N11" s="47"/>
      <c r="O11" s="47"/>
      <c r="P11" s="47"/>
      <c r="Q11" s="47"/>
      <c r="R11" s="1479"/>
      <c r="S11" s="1405"/>
      <c r="T11" s="1479"/>
      <c r="U11" s="1405"/>
      <c r="V11" s="1518"/>
      <c r="W11" s="47"/>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9"/>
      <c r="AV11" s="49"/>
      <c r="AW11" s="24"/>
      <c r="AX11" s="24"/>
      <c r="AY11" s="24"/>
      <c r="AZ11" s="24"/>
      <c r="BA11" s="43"/>
      <c r="BB11" s="43"/>
      <c r="BC11" s="43"/>
      <c r="BD11" s="18"/>
      <c r="BE11" s="24"/>
    </row>
    <row r="12" spans="1:57" ht="26.65" customHeight="1" thickTop="1">
      <c r="A12" s="50"/>
      <c r="B12" s="9668" t="s">
        <v>1</v>
      </c>
      <c r="C12" s="9750"/>
      <c r="D12" s="9750"/>
      <c r="E12" s="9750"/>
      <c r="F12" s="9751"/>
      <c r="G12" s="9669" t="s">
        <v>2</v>
      </c>
      <c r="H12" s="9750"/>
      <c r="I12" s="9750"/>
      <c r="J12" s="9751"/>
      <c r="K12" s="51"/>
      <c r="L12" s="9752" t="s">
        <v>1743</v>
      </c>
      <c r="M12" s="9753"/>
      <c r="N12" s="9753"/>
      <c r="O12" s="9753"/>
      <c r="P12" s="9753"/>
      <c r="Q12" s="9754"/>
      <c r="R12" s="9761" t="s">
        <v>134</v>
      </c>
      <c r="S12" s="9762"/>
      <c r="T12" s="9762"/>
      <c r="U12" s="9762"/>
      <c r="V12" s="9763"/>
      <c r="W12" s="9762"/>
      <c r="X12" s="9756" t="s">
        <v>137</v>
      </c>
      <c r="Y12" s="9757"/>
      <c r="Z12" s="9757"/>
      <c r="AA12" s="9756" t="s">
        <v>140</v>
      </c>
      <c r="AB12" s="9757"/>
      <c r="AC12" s="9757"/>
      <c r="AD12" s="9757"/>
      <c r="AE12" s="9758"/>
      <c r="AF12" s="9756" t="s">
        <v>143</v>
      </c>
      <c r="AG12" s="9757"/>
      <c r="AH12" s="9757"/>
      <c r="AI12" s="9757"/>
      <c r="AJ12" s="9758"/>
      <c r="AK12" s="9756" t="s">
        <v>631</v>
      </c>
      <c r="AL12" s="9757"/>
      <c r="AM12" s="9757"/>
      <c r="AN12" s="9757"/>
      <c r="AO12" s="9758"/>
      <c r="AP12" s="9756" t="s">
        <v>633</v>
      </c>
      <c r="AQ12" s="9757"/>
      <c r="AR12" s="9757"/>
      <c r="AS12" s="9757"/>
      <c r="AT12" s="9758"/>
      <c r="AU12" s="52"/>
      <c r="AV12" s="52"/>
      <c r="AW12" s="1694"/>
      <c r="AX12" s="1695"/>
      <c r="AY12" s="1696"/>
      <c r="AZ12" s="53"/>
      <c r="BA12" s="9667" t="s">
        <v>11</v>
      </c>
      <c r="BB12" s="9759"/>
      <c r="BC12" s="9760"/>
      <c r="BD12" s="18"/>
      <c r="BE12" s="54"/>
    </row>
    <row r="13" spans="1:57" ht="69.75" thickBot="1">
      <c r="A13" s="50"/>
      <c r="B13" s="1350" t="s">
        <v>1744</v>
      </c>
      <c r="C13" s="55" t="s">
        <v>12</v>
      </c>
      <c r="D13" s="55" t="s">
        <v>13</v>
      </c>
      <c r="E13" s="55" t="s">
        <v>14</v>
      </c>
      <c r="F13" s="55" t="s">
        <v>15</v>
      </c>
      <c r="G13" s="55" t="s">
        <v>16</v>
      </c>
      <c r="H13" s="55" t="s">
        <v>12</v>
      </c>
      <c r="I13" s="55" t="s">
        <v>13</v>
      </c>
      <c r="J13" s="55" t="s">
        <v>14</v>
      </c>
      <c r="K13" s="56" t="s">
        <v>17</v>
      </c>
      <c r="L13" s="57">
        <v>2021</v>
      </c>
      <c r="M13" s="58" t="s">
        <v>1745</v>
      </c>
      <c r="N13" s="57">
        <v>2022</v>
      </c>
      <c r="O13" s="58" t="s">
        <v>1745</v>
      </c>
      <c r="P13" s="57">
        <v>2023</v>
      </c>
      <c r="Q13" s="58" t="s">
        <v>1745</v>
      </c>
      <c r="R13" s="1544" t="s">
        <v>18</v>
      </c>
      <c r="S13" s="1408" t="s">
        <v>19</v>
      </c>
      <c r="T13" s="1544" t="s">
        <v>20</v>
      </c>
      <c r="U13" s="1408" t="s">
        <v>19</v>
      </c>
      <c r="V13" s="1544" t="s">
        <v>21</v>
      </c>
      <c r="W13" s="2051" t="s">
        <v>19</v>
      </c>
      <c r="X13" s="2165">
        <v>2021</v>
      </c>
      <c r="Y13" s="59">
        <v>2022</v>
      </c>
      <c r="Z13" s="2344">
        <v>2023</v>
      </c>
      <c r="AA13" s="2165">
        <v>2021</v>
      </c>
      <c r="AB13" s="58" t="s">
        <v>1746</v>
      </c>
      <c r="AC13" s="59">
        <v>2022</v>
      </c>
      <c r="AD13" s="58" t="s">
        <v>1746</v>
      </c>
      <c r="AE13" s="2166">
        <v>2023</v>
      </c>
      <c r="AF13" s="2165">
        <v>2021</v>
      </c>
      <c r="AG13" s="58" t="s">
        <v>1746</v>
      </c>
      <c r="AH13" s="59">
        <v>2022</v>
      </c>
      <c r="AI13" s="58" t="s">
        <v>1746</v>
      </c>
      <c r="AJ13" s="2166">
        <v>2023</v>
      </c>
      <c r="AK13" s="2165">
        <v>2021</v>
      </c>
      <c r="AL13" s="58" t="s">
        <v>1746</v>
      </c>
      <c r="AM13" s="59">
        <v>2022</v>
      </c>
      <c r="AN13" s="58" t="s">
        <v>1746</v>
      </c>
      <c r="AO13" s="2166">
        <v>2023</v>
      </c>
      <c r="AP13" s="2165">
        <v>2021</v>
      </c>
      <c r="AQ13" s="58" t="s">
        <v>1746</v>
      </c>
      <c r="AR13" s="59">
        <v>2022</v>
      </c>
      <c r="AS13" s="58" t="s">
        <v>1746</v>
      </c>
      <c r="AT13" s="2494">
        <v>2023</v>
      </c>
      <c r="AU13" s="60" t="s">
        <v>6</v>
      </c>
      <c r="AV13" s="60" t="s">
        <v>7</v>
      </c>
      <c r="AW13" s="1697" t="s">
        <v>8</v>
      </c>
      <c r="AX13" s="1698" t="s">
        <v>9</v>
      </c>
      <c r="AY13" s="1699" t="s">
        <v>10</v>
      </c>
      <c r="AZ13" s="61" t="s">
        <v>22</v>
      </c>
      <c r="BA13" s="62" t="s">
        <v>23</v>
      </c>
      <c r="BB13" s="63" t="s">
        <v>24</v>
      </c>
      <c r="BC13" s="64" t="s">
        <v>25</v>
      </c>
      <c r="BD13" s="18"/>
      <c r="BE13" s="54"/>
    </row>
    <row r="14" spans="1:57" ht="27" thickBot="1">
      <c r="A14" s="50"/>
      <c r="B14" s="65" t="s">
        <v>26</v>
      </c>
      <c r="C14" s="66"/>
      <c r="D14" s="66"/>
      <c r="E14" s="66"/>
      <c r="F14" s="67"/>
      <c r="G14" s="68" t="s">
        <v>27</v>
      </c>
      <c r="H14" s="69"/>
      <c r="I14" s="69"/>
      <c r="J14" s="69"/>
      <c r="K14" s="67"/>
      <c r="L14" s="70"/>
      <c r="M14" s="70"/>
      <c r="N14" s="70"/>
      <c r="O14" s="70"/>
      <c r="P14" s="70"/>
      <c r="Q14" s="70"/>
      <c r="R14" s="1483"/>
      <c r="S14" s="1409"/>
      <c r="T14" s="1483"/>
      <c r="U14" s="1409"/>
      <c r="V14" s="1483"/>
      <c r="W14" s="70"/>
      <c r="X14" s="2167"/>
      <c r="Y14" s="71"/>
      <c r="Z14" s="71"/>
      <c r="AA14" s="2167"/>
      <c r="AB14" s="71"/>
      <c r="AC14" s="71"/>
      <c r="AD14" s="71"/>
      <c r="AE14" s="2168"/>
      <c r="AF14" s="2167"/>
      <c r="AG14" s="71"/>
      <c r="AH14" s="71"/>
      <c r="AI14" s="71"/>
      <c r="AJ14" s="2168"/>
      <c r="AK14" s="2167"/>
      <c r="AL14" s="71"/>
      <c r="AM14" s="71"/>
      <c r="AN14" s="71"/>
      <c r="AO14" s="2168"/>
      <c r="AP14" s="2167"/>
      <c r="AQ14" s="71"/>
      <c r="AR14" s="71"/>
      <c r="AS14" s="71"/>
      <c r="AT14" s="2495"/>
      <c r="AU14" s="72"/>
      <c r="AV14" s="72"/>
      <c r="AW14" s="73"/>
      <c r="AX14" s="73"/>
      <c r="AY14" s="73"/>
      <c r="AZ14" s="73" t="s">
        <v>28</v>
      </c>
      <c r="BA14" s="74"/>
      <c r="BB14" s="74"/>
      <c r="BC14" s="75"/>
      <c r="BD14" s="18"/>
      <c r="BE14" s="54"/>
    </row>
    <row r="15" spans="1:57" ht="27" thickBot="1">
      <c r="B15" s="76" t="s">
        <v>29</v>
      </c>
      <c r="C15" s="77"/>
      <c r="D15" s="77"/>
      <c r="E15" s="77"/>
      <c r="F15" s="78"/>
      <c r="G15" s="79" t="s">
        <v>30</v>
      </c>
      <c r="H15" s="80"/>
      <c r="I15" s="80"/>
      <c r="J15" s="80"/>
      <c r="K15" s="78"/>
      <c r="L15" s="81"/>
      <c r="M15" s="81"/>
      <c r="N15" s="81"/>
      <c r="O15" s="81"/>
      <c r="P15" s="81"/>
      <c r="Q15" s="81"/>
      <c r="R15" s="1484"/>
      <c r="S15" s="1411"/>
      <c r="T15" s="1484"/>
      <c r="U15" s="1411"/>
      <c r="V15" s="1484"/>
      <c r="W15" s="81"/>
      <c r="X15" s="2169"/>
      <c r="Y15" s="82"/>
      <c r="Z15" s="82"/>
      <c r="AA15" s="2169"/>
      <c r="AB15" s="82"/>
      <c r="AC15" s="82"/>
      <c r="AD15" s="82"/>
      <c r="AE15" s="2170"/>
      <c r="AF15" s="2169"/>
      <c r="AG15" s="82"/>
      <c r="AH15" s="82"/>
      <c r="AI15" s="82"/>
      <c r="AJ15" s="2170"/>
      <c r="AK15" s="2169"/>
      <c r="AL15" s="82"/>
      <c r="AM15" s="82"/>
      <c r="AN15" s="82"/>
      <c r="AO15" s="2170"/>
      <c r="AP15" s="2169"/>
      <c r="AQ15" s="82"/>
      <c r="AR15" s="82"/>
      <c r="AS15" s="82"/>
      <c r="AT15" s="2170"/>
      <c r="AU15" s="77"/>
      <c r="AV15" s="77"/>
      <c r="AW15" s="82"/>
      <c r="AX15" s="82"/>
      <c r="AY15" s="82"/>
      <c r="AZ15" s="82"/>
      <c r="BA15" s="82"/>
      <c r="BB15" s="82"/>
      <c r="BC15" s="83"/>
      <c r="BD15" s="18"/>
    </row>
    <row r="16" spans="1:57" ht="20.100000000000001" customHeight="1">
      <c r="A16" s="50"/>
      <c r="B16" s="84" t="b">
        <f t="shared" ref="B16:B24" si="0">OR(ISBLANK(R16),ISBLANK(T16),ISBLANK(V16))</f>
        <v>0</v>
      </c>
      <c r="C16" s="85" t="s">
        <v>32</v>
      </c>
      <c r="D16" s="86"/>
      <c r="E16" s="86"/>
      <c r="F16" s="87" t="s">
        <v>33</v>
      </c>
      <c r="G16" s="88"/>
      <c r="H16" s="89" t="s">
        <v>34</v>
      </c>
      <c r="I16" s="89"/>
      <c r="J16" s="90"/>
      <c r="K16" s="91" t="s">
        <v>35</v>
      </c>
      <c r="L16" s="92">
        <v>620645.63070700003</v>
      </c>
      <c r="M16" s="92"/>
      <c r="N16" s="92">
        <v>682681.904094</v>
      </c>
      <c r="O16" s="93"/>
      <c r="P16" s="1461">
        <v>474595</v>
      </c>
      <c r="Q16" s="95"/>
      <c r="R16" s="1461">
        <v>620645</v>
      </c>
      <c r="S16" s="1538"/>
      <c r="T16" s="1461">
        <v>682682</v>
      </c>
      <c r="U16" s="1538"/>
      <c r="V16" s="1461">
        <v>474595</v>
      </c>
      <c r="W16" s="2052"/>
      <c r="X16" s="2171"/>
      <c r="Y16" s="97"/>
      <c r="Z16" s="2345"/>
      <c r="AA16" s="2341"/>
      <c r="AB16" s="97"/>
      <c r="AC16" s="97"/>
      <c r="AD16" s="97"/>
      <c r="AE16" s="2172"/>
      <c r="AF16" s="2341"/>
      <c r="AG16" s="97"/>
      <c r="AH16" s="97"/>
      <c r="AI16" s="97"/>
      <c r="AJ16" s="2172"/>
      <c r="AK16" s="2341"/>
      <c r="AL16" s="97"/>
      <c r="AM16" s="97"/>
      <c r="AN16" s="97"/>
      <c r="AO16" s="2172"/>
      <c r="AP16" s="2341"/>
      <c r="AQ16" s="97"/>
      <c r="AR16" s="97"/>
      <c r="AS16" s="97"/>
      <c r="AT16" s="2172"/>
      <c r="AU16" s="2465"/>
      <c r="AV16" s="98"/>
      <c r="AW16" s="99" t="s">
        <v>37</v>
      </c>
      <c r="AX16" s="100"/>
      <c r="AY16" s="100"/>
      <c r="AZ16" s="99"/>
      <c r="BA16" s="101"/>
      <c r="BB16" s="101"/>
      <c r="BC16" s="102"/>
      <c r="BD16" s="18"/>
      <c r="BE16" s="54"/>
    </row>
    <row r="17" spans="2:56" ht="20.100000000000001" customHeight="1">
      <c r="B17" s="84" t="b">
        <f t="shared" si="0"/>
        <v>0</v>
      </c>
      <c r="C17" s="103" t="s">
        <v>38</v>
      </c>
      <c r="D17" s="104"/>
      <c r="E17" s="104"/>
      <c r="F17" s="105" t="s">
        <v>33</v>
      </c>
      <c r="G17" s="106"/>
      <c r="H17" s="107" t="s">
        <v>39</v>
      </c>
      <c r="I17" s="107"/>
      <c r="J17" s="108"/>
      <c r="K17" s="109" t="s">
        <v>35</v>
      </c>
      <c r="L17" s="92">
        <v>3164846.7449019998</v>
      </c>
      <c r="M17" s="92"/>
      <c r="N17" s="92">
        <v>2918786.482394</v>
      </c>
      <c r="O17" s="93"/>
      <c r="P17" s="1461">
        <v>2719620</v>
      </c>
      <c r="Q17" s="95"/>
      <c r="R17" s="1461">
        <v>3164847</v>
      </c>
      <c r="S17" s="1538"/>
      <c r="T17" s="1461">
        <v>2918786</v>
      </c>
      <c r="U17" s="1538"/>
      <c r="V17" s="1461">
        <v>2719620</v>
      </c>
      <c r="W17" s="2052"/>
      <c r="X17" s="2171"/>
      <c r="Y17" s="97"/>
      <c r="Z17" s="2345"/>
      <c r="AA17" s="2341"/>
      <c r="AB17" s="97"/>
      <c r="AC17" s="97"/>
      <c r="AD17" s="97"/>
      <c r="AE17" s="2172"/>
      <c r="AF17" s="2341"/>
      <c r="AG17" s="97"/>
      <c r="AH17" s="97"/>
      <c r="AI17" s="97"/>
      <c r="AJ17" s="2172"/>
      <c r="AK17" s="2341"/>
      <c r="AL17" s="97"/>
      <c r="AM17" s="97"/>
      <c r="AN17" s="97"/>
      <c r="AO17" s="2172"/>
      <c r="AP17" s="2341"/>
      <c r="AQ17" s="97"/>
      <c r="AR17" s="97"/>
      <c r="AS17" s="97"/>
      <c r="AT17" s="2172"/>
      <c r="AU17" s="2465"/>
      <c r="AV17" s="98"/>
      <c r="AW17" s="99" t="s">
        <v>37</v>
      </c>
      <c r="AX17" s="100"/>
      <c r="AY17" s="100"/>
      <c r="AZ17" s="99"/>
      <c r="BA17" s="110"/>
      <c r="BB17" s="111"/>
      <c r="BC17" s="112"/>
      <c r="BD17" s="18"/>
    </row>
    <row r="18" spans="2:56" ht="20.100000000000001" customHeight="1">
      <c r="B18" s="113" t="b">
        <f t="shared" si="0"/>
        <v>0</v>
      </c>
      <c r="C18" s="103" t="s">
        <v>40</v>
      </c>
      <c r="D18" s="104"/>
      <c r="E18" s="104"/>
      <c r="F18" s="105" t="s">
        <v>33</v>
      </c>
      <c r="G18" s="106"/>
      <c r="H18" s="107" t="s">
        <v>41</v>
      </c>
      <c r="I18" s="107"/>
      <c r="J18" s="108"/>
      <c r="K18" s="109" t="s">
        <v>35</v>
      </c>
      <c r="L18" s="92">
        <v>3785492.3756090002</v>
      </c>
      <c r="M18" s="92"/>
      <c r="N18" s="92">
        <v>3601468.3864879999</v>
      </c>
      <c r="O18" s="93"/>
      <c r="P18" s="1461">
        <v>3194215</v>
      </c>
      <c r="Q18" s="95"/>
      <c r="R18" s="1461">
        <v>3785492</v>
      </c>
      <c r="S18" s="1538"/>
      <c r="T18" s="1461">
        <v>3601468</v>
      </c>
      <c r="U18" s="1538"/>
      <c r="V18" s="1461">
        <v>3194215</v>
      </c>
      <c r="W18" s="2052"/>
      <c r="X18" s="2171"/>
      <c r="Y18" s="97"/>
      <c r="Z18" s="2345"/>
      <c r="AA18" s="2341"/>
      <c r="AB18" s="97"/>
      <c r="AC18" s="97"/>
      <c r="AD18" s="97"/>
      <c r="AE18" s="2172"/>
      <c r="AF18" s="2341"/>
      <c r="AG18" s="97"/>
      <c r="AH18" s="97"/>
      <c r="AI18" s="97"/>
      <c r="AJ18" s="2172"/>
      <c r="AK18" s="2341"/>
      <c r="AL18" s="97"/>
      <c r="AM18" s="97"/>
      <c r="AN18" s="97"/>
      <c r="AO18" s="2172"/>
      <c r="AP18" s="2341"/>
      <c r="AQ18" s="97"/>
      <c r="AR18" s="97"/>
      <c r="AS18" s="97"/>
      <c r="AT18" s="2172"/>
      <c r="AU18" s="2465"/>
      <c r="AV18" s="98"/>
      <c r="AW18" s="99" t="s">
        <v>37</v>
      </c>
      <c r="AX18" s="100"/>
      <c r="AY18" s="100"/>
      <c r="AZ18" s="99"/>
      <c r="BA18" s="110"/>
      <c r="BB18" s="114" t="s">
        <v>42</v>
      </c>
      <c r="BC18" s="112"/>
      <c r="BD18" s="18"/>
    </row>
    <row r="19" spans="2:56" ht="20.100000000000001" customHeight="1">
      <c r="B19" s="84" t="b">
        <f t="shared" si="0"/>
        <v>0</v>
      </c>
      <c r="C19" s="103" t="s">
        <v>43</v>
      </c>
      <c r="D19" s="104"/>
      <c r="E19" s="104"/>
      <c r="F19" s="105" t="s">
        <v>33</v>
      </c>
      <c r="G19" s="106"/>
      <c r="H19" s="107" t="s">
        <v>44</v>
      </c>
      <c r="I19" s="107"/>
      <c r="J19" s="108"/>
      <c r="K19" s="109" t="s">
        <v>35</v>
      </c>
      <c r="L19" s="92">
        <v>975423.22236100002</v>
      </c>
      <c r="M19" s="92"/>
      <c r="N19" s="92">
        <v>1238638.1151690001</v>
      </c>
      <c r="O19" s="93"/>
      <c r="P19" s="1461">
        <v>1032489</v>
      </c>
      <c r="Q19" s="95"/>
      <c r="R19" s="1461">
        <v>975423</v>
      </c>
      <c r="S19" s="1538"/>
      <c r="T19" s="1461">
        <v>1238638</v>
      </c>
      <c r="U19" s="1538"/>
      <c r="V19" s="1461">
        <v>1032489</v>
      </c>
      <c r="W19" s="2052"/>
      <c r="X19" s="2171"/>
      <c r="Y19" s="97"/>
      <c r="Z19" s="2345"/>
      <c r="AA19" s="2341"/>
      <c r="AB19" s="97"/>
      <c r="AC19" s="97"/>
      <c r="AD19" s="97"/>
      <c r="AE19" s="2172"/>
      <c r="AF19" s="2341"/>
      <c r="AG19" s="97"/>
      <c r="AH19" s="97"/>
      <c r="AI19" s="97"/>
      <c r="AJ19" s="2172"/>
      <c r="AK19" s="2341"/>
      <c r="AL19" s="97"/>
      <c r="AM19" s="97"/>
      <c r="AN19" s="97"/>
      <c r="AO19" s="2172"/>
      <c r="AP19" s="2341"/>
      <c r="AQ19" s="97"/>
      <c r="AR19" s="97"/>
      <c r="AS19" s="97"/>
      <c r="AT19" s="2172"/>
      <c r="AU19" s="2465"/>
      <c r="AV19" s="98"/>
      <c r="AW19" s="99" t="s">
        <v>37</v>
      </c>
      <c r="AX19" s="100"/>
      <c r="AY19" s="100"/>
      <c r="AZ19" s="99"/>
      <c r="BA19" s="110"/>
      <c r="BB19" s="111"/>
      <c r="BC19" s="112"/>
      <c r="BD19" s="18"/>
    </row>
    <row r="20" spans="2:56" ht="20.100000000000001" customHeight="1">
      <c r="B20" s="84" t="b">
        <f t="shared" si="0"/>
        <v>0</v>
      </c>
      <c r="C20" s="103" t="s">
        <v>45</v>
      </c>
      <c r="D20" s="104"/>
      <c r="E20" s="104"/>
      <c r="F20" s="105" t="s">
        <v>33</v>
      </c>
      <c r="G20" s="106"/>
      <c r="H20" s="107" t="s">
        <v>46</v>
      </c>
      <c r="I20" s="107"/>
      <c r="J20" s="108"/>
      <c r="K20" s="109" t="s">
        <v>35</v>
      </c>
      <c r="L20" s="92">
        <v>2508783.7857059999</v>
      </c>
      <c r="M20" s="92"/>
      <c r="N20" s="92">
        <v>1969740.930624</v>
      </c>
      <c r="O20" s="93"/>
      <c r="P20" s="1461">
        <v>1900485</v>
      </c>
      <c r="Q20" s="95"/>
      <c r="R20" s="1461">
        <v>2508784</v>
      </c>
      <c r="S20" s="1538"/>
      <c r="T20" s="1461">
        <v>1969741</v>
      </c>
      <c r="U20" s="1538"/>
      <c r="V20" s="1461">
        <v>1900485</v>
      </c>
      <c r="W20" s="2052"/>
      <c r="X20" s="2171"/>
      <c r="Y20" s="97"/>
      <c r="Z20" s="2345"/>
      <c r="AA20" s="2341"/>
      <c r="AB20" s="97"/>
      <c r="AC20" s="97"/>
      <c r="AD20" s="97"/>
      <c r="AE20" s="2172"/>
      <c r="AF20" s="2341"/>
      <c r="AG20" s="97"/>
      <c r="AH20" s="97"/>
      <c r="AI20" s="97"/>
      <c r="AJ20" s="2172"/>
      <c r="AK20" s="2341"/>
      <c r="AL20" s="97"/>
      <c r="AM20" s="97"/>
      <c r="AN20" s="97"/>
      <c r="AO20" s="2172"/>
      <c r="AP20" s="2341"/>
      <c r="AQ20" s="97"/>
      <c r="AR20" s="97"/>
      <c r="AS20" s="97"/>
      <c r="AT20" s="2172"/>
      <c r="AU20" s="2465"/>
      <c r="AV20" s="98"/>
      <c r="AW20" s="99" t="s">
        <v>37</v>
      </c>
      <c r="AX20" s="100"/>
      <c r="AY20" s="100"/>
      <c r="AZ20" s="99"/>
      <c r="BA20" s="110"/>
      <c r="BB20" s="111"/>
      <c r="BC20" s="112"/>
      <c r="BD20" s="18"/>
    </row>
    <row r="21" spans="2:56" ht="20.100000000000001" customHeight="1">
      <c r="B21" s="113" t="b">
        <f t="shared" si="0"/>
        <v>0</v>
      </c>
      <c r="C21" s="103" t="s">
        <v>47</v>
      </c>
      <c r="D21" s="104"/>
      <c r="E21" s="104"/>
      <c r="F21" s="105" t="s">
        <v>33</v>
      </c>
      <c r="G21" s="106"/>
      <c r="H21" s="107" t="s">
        <v>48</v>
      </c>
      <c r="I21" s="107"/>
      <c r="J21" s="108"/>
      <c r="K21" s="109" t="s">
        <v>35</v>
      </c>
      <c r="L21" s="92">
        <v>3484207.0080670002</v>
      </c>
      <c r="M21" s="92"/>
      <c r="N21" s="92">
        <v>3208379.0457930001</v>
      </c>
      <c r="O21" s="93"/>
      <c r="P21" s="1461">
        <v>2932974</v>
      </c>
      <c r="Q21" s="95"/>
      <c r="R21" s="1461">
        <v>3484207</v>
      </c>
      <c r="S21" s="1538"/>
      <c r="T21" s="1461">
        <v>3208379</v>
      </c>
      <c r="U21" s="1538"/>
      <c r="V21" s="1461">
        <v>2932974</v>
      </c>
      <c r="W21" s="2052"/>
      <c r="X21" s="2171"/>
      <c r="Y21" s="97"/>
      <c r="Z21" s="2345"/>
      <c r="AA21" s="2341"/>
      <c r="AB21" s="97"/>
      <c r="AC21" s="97"/>
      <c r="AD21" s="97"/>
      <c r="AE21" s="2172"/>
      <c r="AF21" s="2341"/>
      <c r="AG21" s="97"/>
      <c r="AH21" s="97"/>
      <c r="AI21" s="97"/>
      <c r="AJ21" s="2172"/>
      <c r="AK21" s="2341"/>
      <c r="AL21" s="97"/>
      <c r="AM21" s="97"/>
      <c r="AN21" s="97"/>
      <c r="AO21" s="2172"/>
      <c r="AP21" s="2341"/>
      <c r="AQ21" s="97"/>
      <c r="AR21" s="97"/>
      <c r="AS21" s="97"/>
      <c r="AT21" s="2172"/>
      <c r="AU21" s="2465"/>
      <c r="AV21" s="98"/>
      <c r="AW21" s="99" t="s">
        <v>37</v>
      </c>
      <c r="AX21" s="100"/>
      <c r="AY21" s="100"/>
      <c r="AZ21" s="99"/>
      <c r="BA21" s="110"/>
      <c r="BB21" s="114" t="s">
        <v>42</v>
      </c>
      <c r="BC21" s="112"/>
      <c r="BD21" s="18"/>
    </row>
    <row r="22" spans="2:56" ht="20.100000000000001" customHeight="1">
      <c r="B22" s="84" t="b">
        <f t="shared" si="0"/>
        <v>0</v>
      </c>
      <c r="C22" s="103" t="s">
        <v>49</v>
      </c>
      <c r="D22" s="104"/>
      <c r="E22" s="104"/>
      <c r="F22" s="105" t="s">
        <v>33</v>
      </c>
      <c r="G22" s="106"/>
      <c r="H22" s="115" t="s">
        <v>50</v>
      </c>
      <c r="I22" s="107"/>
      <c r="J22" s="108"/>
      <c r="K22" s="109" t="s">
        <v>35</v>
      </c>
      <c r="L22" s="92">
        <v>225247.92629500001</v>
      </c>
      <c r="M22" s="92"/>
      <c r="N22" s="92">
        <v>376320.42445200001</v>
      </c>
      <c r="O22" s="93"/>
      <c r="P22" s="1461">
        <v>421276</v>
      </c>
      <c r="Q22" s="95"/>
      <c r="R22" s="1461">
        <v>225248</v>
      </c>
      <c r="S22" s="1538"/>
      <c r="T22" s="1461">
        <v>376320</v>
      </c>
      <c r="U22" s="1538"/>
      <c r="V22" s="1461">
        <v>421276</v>
      </c>
      <c r="W22" s="2052"/>
      <c r="X22" s="2171"/>
      <c r="Y22" s="97"/>
      <c r="Z22" s="2345"/>
      <c r="AA22" s="2341"/>
      <c r="AB22" s="97"/>
      <c r="AC22" s="97"/>
      <c r="AD22" s="97"/>
      <c r="AE22" s="2172"/>
      <c r="AF22" s="2341"/>
      <c r="AG22" s="97"/>
      <c r="AH22" s="97"/>
      <c r="AI22" s="97"/>
      <c r="AJ22" s="2172"/>
      <c r="AK22" s="2341"/>
      <c r="AL22" s="97"/>
      <c r="AM22" s="97"/>
      <c r="AN22" s="97"/>
      <c r="AO22" s="2172"/>
      <c r="AP22" s="2341"/>
      <c r="AQ22" s="97"/>
      <c r="AR22" s="97"/>
      <c r="AS22" s="97"/>
      <c r="AT22" s="2172"/>
      <c r="AU22" s="2465"/>
      <c r="AV22" s="98"/>
      <c r="AW22" s="99" t="s">
        <v>37</v>
      </c>
      <c r="AX22" s="100"/>
      <c r="AY22" s="100"/>
      <c r="AZ22" s="99"/>
      <c r="BA22" s="110"/>
      <c r="BB22" s="111"/>
      <c r="BC22" s="112"/>
      <c r="BD22" s="18"/>
    </row>
    <row r="23" spans="2:56" ht="20.100000000000001" customHeight="1">
      <c r="B23" s="113" t="b">
        <f t="shared" si="0"/>
        <v>0</v>
      </c>
      <c r="C23" s="103" t="s">
        <v>51</v>
      </c>
      <c r="D23" s="104"/>
      <c r="E23" s="104"/>
      <c r="F23" s="105" t="s">
        <v>33</v>
      </c>
      <c r="G23" s="106"/>
      <c r="H23" s="116" t="s">
        <v>52</v>
      </c>
      <c r="I23" s="107"/>
      <c r="J23" s="108"/>
      <c r="K23" s="109" t="s">
        <v>35</v>
      </c>
      <c r="L23" s="92">
        <v>301285.36754200002</v>
      </c>
      <c r="M23" s="92"/>
      <c r="N23" s="92">
        <v>393089.34069500002</v>
      </c>
      <c r="O23" s="93"/>
      <c r="P23" s="1461">
        <v>261241</v>
      </c>
      <c r="Q23" s="95"/>
      <c r="R23" s="1461">
        <v>301285</v>
      </c>
      <c r="S23" s="1538"/>
      <c r="T23" s="1461">
        <v>393089</v>
      </c>
      <c r="U23" s="1538"/>
      <c r="V23" s="1461">
        <v>261241</v>
      </c>
      <c r="W23" s="2052"/>
      <c r="X23" s="2171"/>
      <c r="Y23" s="97"/>
      <c r="Z23" s="2345"/>
      <c r="AA23" s="2341"/>
      <c r="AB23" s="97"/>
      <c r="AC23" s="97"/>
      <c r="AD23" s="97"/>
      <c r="AE23" s="2172"/>
      <c r="AF23" s="2341"/>
      <c r="AG23" s="97"/>
      <c r="AH23" s="97"/>
      <c r="AI23" s="97"/>
      <c r="AJ23" s="2172"/>
      <c r="AK23" s="2341"/>
      <c r="AL23" s="97"/>
      <c r="AM23" s="97"/>
      <c r="AN23" s="97"/>
      <c r="AO23" s="2172"/>
      <c r="AP23" s="2341"/>
      <c r="AQ23" s="97"/>
      <c r="AR23" s="97"/>
      <c r="AS23" s="97"/>
      <c r="AT23" s="2172"/>
      <c r="AU23" s="2465"/>
      <c r="AV23" s="98"/>
      <c r="AW23" s="99" t="s">
        <v>37</v>
      </c>
      <c r="AX23" s="100"/>
      <c r="AY23" s="100"/>
      <c r="AZ23" s="99"/>
      <c r="BA23" s="110"/>
      <c r="BB23" s="114" t="s">
        <v>42</v>
      </c>
      <c r="BC23" s="112"/>
      <c r="BD23" s="18"/>
    </row>
    <row r="24" spans="2:56" ht="20.100000000000001" customHeight="1" thickBot="1">
      <c r="B24" s="84" t="b">
        <f t="shared" si="0"/>
        <v>0</v>
      </c>
      <c r="C24" s="117" t="s">
        <v>53</v>
      </c>
      <c r="D24" s="118"/>
      <c r="E24" s="118"/>
      <c r="F24" s="119" t="s">
        <v>33</v>
      </c>
      <c r="G24" s="106"/>
      <c r="H24" s="120" t="s">
        <v>54</v>
      </c>
      <c r="I24" s="120"/>
      <c r="J24" s="121"/>
      <c r="K24" s="122" t="s">
        <v>35</v>
      </c>
      <c r="L24" s="92">
        <v>3785492.3756090002</v>
      </c>
      <c r="M24" s="92"/>
      <c r="N24" s="92">
        <v>3601468.3864879999</v>
      </c>
      <c r="O24" s="93"/>
      <c r="P24" s="1461">
        <v>3194215</v>
      </c>
      <c r="Q24" s="95"/>
      <c r="R24" s="1461">
        <v>3785492</v>
      </c>
      <c r="S24" s="1538"/>
      <c r="T24" s="1461">
        <v>3601468</v>
      </c>
      <c r="U24" s="1538"/>
      <c r="V24" s="1461">
        <v>3194215</v>
      </c>
      <c r="W24" s="2052"/>
      <c r="X24" s="2171"/>
      <c r="Y24" s="97"/>
      <c r="Z24" s="2345"/>
      <c r="AA24" s="2341"/>
      <c r="AB24" s="97"/>
      <c r="AC24" s="97"/>
      <c r="AD24" s="97"/>
      <c r="AE24" s="2172"/>
      <c r="AF24" s="2341"/>
      <c r="AG24" s="97"/>
      <c r="AH24" s="97"/>
      <c r="AI24" s="97"/>
      <c r="AJ24" s="2172"/>
      <c r="AK24" s="2341"/>
      <c r="AL24" s="97"/>
      <c r="AM24" s="97"/>
      <c r="AN24" s="97"/>
      <c r="AO24" s="2172"/>
      <c r="AP24" s="2341"/>
      <c r="AQ24" s="97"/>
      <c r="AR24" s="97"/>
      <c r="AS24" s="97"/>
      <c r="AT24" s="2172"/>
      <c r="AU24" s="2465"/>
      <c r="AV24" s="98"/>
      <c r="AW24" s="99" t="s">
        <v>37</v>
      </c>
      <c r="AX24" s="100"/>
      <c r="AY24" s="100"/>
      <c r="AZ24" s="99"/>
      <c r="BA24" s="110"/>
      <c r="BB24" s="111"/>
      <c r="BC24" s="112"/>
      <c r="BD24" s="18"/>
    </row>
    <row r="25" spans="2:56" ht="27" thickBot="1">
      <c r="B25" s="123" t="s">
        <v>55</v>
      </c>
      <c r="C25" s="124"/>
      <c r="D25" s="124"/>
      <c r="E25" s="124"/>
      <c r="F25" s="78"/>
      <c r="G25" s="125" t="s">
        <v>56</v>
      </c>
      <c r="H25" s="126"/>
      <c r="I25" s="126"/>
      <c r="J25" s="126"/>
      <c r="K25" s="78"/>
      <c r="L25" s="127"/>
      <c r="M25" s="127"/>
      <c r="N25" s="127"/>
      <c r="O25" s="127"/>
      <c r="P25" s="127"/>
      <c r="Q25" s="127"/>
      <c r="R25" s="1703"/>
      <c r="S25" s="1704"/>
      <c r="T25" s="1703"/>
      <c r="U25" s="1704"/>
      <c r="V25" s="1703"/>
      <c r="W25" s="127"/>
      <c r="X25" s="2173"/>
      <c r="Y25" s="128"/>
      <c r="Z25" s="128"/>
      <c r="AA25" s="2173"/>
      <c r="AB25" s="128"/>
      <c r="AC25" s="128"/>
      <c r="AD25" s="128"/>
      <c r="AE25" s="2174"/>
      <c r="AF25" s="2173"/>
      <c r="AG25" s="128"/>
      <c r="AH25" s="128"/>
      <c r="AI25" s="128"/>
      <c r="AJ25" s="2174"/>
      <c r="AK25" s="2173"/>
      <c r="AL25" s="128"/>
      <c r="AM25" s="128"/>
      <c r="AN25" s="128"/>
      <c r="AO25" s="2174"/>
      <c r="AP25" s="2173"/>
      <c r="AQ25" s="128"/>
      <c r="AR25" s="128"/>
      <c r="AS25" s="128"/>
      <c r="AT25" s="2174"/>
      <c r="AU25" s="80"/>
      <c r="AV25" s="80"/>
      <c r="AW25" s="129"/>
      <c r="AX25" s="129"/>
      <c r="AY25" s="129"/>
      <c r="AZ25" s="129"/>
      <c r="BA25" s="130"/>
      <c r="BB25" s="130"/>
      <c r="BC25" s="131"/>
      <c r="BD25" s="18"/>
    </row>
    <row r="26" spans="2:56" s="139" customFormat="1" ht="20.100000000000001" customHeight="1">
      <c r="B26" s="113" t="b">
        <f t="shared" ref="B26:B39" si="1">OR(ISBLANK(R26),ISBLANK(T26),ISBLANK(V26))</f>
        <v>0</v>
      </c>
      <c r="C26" s="85" t="s">
        <v>1747</v>
      </c>
      <c r="D26" s="86"/>
      <c r="E26" s="86"/>
      <c r="F26" s="132" t="s">
        <v>33</v>
      </c>
      <c r="G26" s="133"/>
      <c r="H26" s="134" t="s">
        <v>58</v>
      </c>
      <c r="I26" s="134"/>
      <c r="J26" s="135"/>
      <c r="K26" s="136" t="s">
        <v>35</v>
      </c>
      <c r="L26" s="92">
        <v>736315</v>
      </c>
      <c r="M26" s="95"/>
      <c r="N26" s="92">
        <v>1281306</v>
      </c>
      <c r="O26" s="93"/>
      <c r="P26" s="1461">
        <v>1545839</v>
      </c>
      <c r="Q26" s="95"/>
      <c r="R26" s="1461">
        <v>733257</v>
      </c>
      <c r="S26" s="1538"/>
      <c r="T26" s="1461">
        <v>1273192</v>
      </c>
      <c r="U26" s="1538"/>
      <c r="V26" s="1461">
        <v>1545839</v>
      </c>
      <c r="W26" s="2052"/>
      <c r="X26" s="2171"/>
      <c r="Y26" s="97"/>
      <c r="Z26" s="2345"/>
      <c r="AA26" s="2341"/>
      <c r="AB26" s="97"/>
      <c r="AC26" s="97"/>
      <c r="AD26" s="97"/>
      <c r="AE26" s="2172"/>
      <c r="AF26" s="2341"/>
      <c r="AG26" s="97"/>
      <c r="AH26" s="97"/>
      <c r="AI26" s="97"/>
      <c r="AJ26" s="2172"/>
      <c r="AK26" s="2341"/>
      <c r="AL26" s="97"/>
      <c r="AM26" s="97"/>
      <c r="AN26" s="97"/>
      <c r="AO26" s="2172"/>
      <c r="AP26" s="2341"/>
      <c r="AQ26" s="97"/>
      <c r="AR26" s="97"/>
      <c r="AS26" s="97"/>
      <c r="AT26" s="2172"/>
      <c r="AU26" s="2465"/>
      <c r="AV26" s="98"/>
      <c r="AW26" s="99" t="s">
        <v>37</v>
      </c>
      <c r="AX26" s="138"/>
      <c r="AY26" s="138"/>
      <c r="AZ26" s="99"/>
      <c r="BA26" s="110"/>
      <c r="BB26" s="114" t="s">
        <v>42</v>
      </c>
      <c r="BC26" s="112"/>
      <c r="BD26" s="10"/>
    </row>
    <row r="27" spans="2:56" ht="20.100000000000001" customHeight="1">
      <c r="B27" s="84" t="b">
        <f t="shared" si="1"/>
        <v>1</v>
      </c>
      <c r="C27" s="103" t="s">
        <v>1748</v>
      </c>
      <c r="D27" s="104"/>
      <c r="E27" s="104"/>
      <c r="F27" s="105" t="s">
        <v>33</v>
      </c>
      <c r="G27" s="142"/>
      <c r="H27" s="140" t="s">
        <v>60</v>
      </c>
      <c r="I27" s="140"/>
      <c r="J27" s="141"/>
      <c r="K27" s="109" t="s">
        <v>35</v>
      </c>
      <c r="L27" s="92">
        <v>546924</v>
      </c>
      <c r="M27" s="95"/>
      <c r="N27" s="92">
        <v>836913</v>
      </c>
      <c r="O27" s="93"/>
      <c r="P27" s="1461"/>
      <c r="Q27" s="95"/>
      <c r="R27" s="5458"/>
      <c r="S27" s="1538"/>
      <c r="T27" s="5458"/>
      <c r="U27" s="1538"/>
      <c r="V27" s="5458"/>
      <c r="W27" s="2052"/>
      <c r="X27" s="2171"/>
      <c r="Y27" s="97"/>
      <c r="Z27" s="2345"/>
      <c r="AA27" s="2341"/>
      <c r="AB27" s="97"/>
      <c r="AC27" s="97"/>
      <c r="AD27" s="97"/>
      <c r="AE27" s="2172"/>
      <c r="AF27" s="2341"/>
      <c r="AG27" s="97"/>
      <c r="AH27" s="97"/>
      <c r="AI27" s="97"/>
      <c r="AJ27" s="2172"/>
      <c r="AK27" s="2341"/>
      <c r="AL27" s="97"/>
      <c r="AM27" s="97"/>
      <c r="AN27" s="97"/>
      <c r="AO27" s="2172"/>
      <c r="AP27" s="2341"/>
      <c r="AQ27" s="97"/>
      <c r="AR27" s="97"/>
      <c r="AS27" s="97"/>
      <c r="AT27" s="2172"/>
      <c r="AU27" s="2465"/>
      <c r="AV27" s="98"/>
      <c r="AW27" s="99" t="s">
        <v>37</v>
      </c>
      <c r="AX27" s="138"/>
      <c r="AY27" s="138"/>
      <c r="AZ27" s="99"/>
      <c r="BA27" s="110"/>
      <c r="BB27" s="111"/>
      <c r="BC27" s="112"/>
      <c r="BD27" s="18"/>
    </row>
    <row r="28" spans="2:56" ht="20.100000000000001" customHeight="1">
      <c r="B28" s="84" t="b">
        <f t="shared" si="1"/>
        <v>1</v>
      </c>
      <c r="C28" s="103" t="s">
        <v>1749</v>
      </c>
      <c r="D28" s="104"/>
      <c r="E28" s="104"/>
      <c r="F28" s="105" t="s">
        <v>33</v>
      </c>
      <c r="G28" s="142"/>
      <c r="H28" s="140" t="s">
        <v>1750</v>
      </c>
      <c r="I28" s="140"/>
      <c r="J28" s="141"/>
      <c r="K28" s="109" t="s">
        <v>35</v>
      </c>
      <c r="L28" s="92">
        <v>189391</v>
      </c>
      <c r="M28" s="95"/>
      <c r="N28" s="92">
        <v>444392</v>
      </c>
      <c r="O28" s="93"/>
      <c r="P28" s="1461"/>
      <c r="Q28" s="95"/>
      <c r="R28" s="5458"/>
      <c r="S28" s="1538"/>
      <c r="T28" s="5458"/>
      <c r="U28" s="1538"/>
      <c r="V28" s="5458"/>
      <c r="W28" s="2052"/>
      <c r="X28" s="2171"/>
      <c r="Y28" s="97"/>
      <c r="Z28" s="2345"/>
      <c r="AA28" s="2341"/>
      <c r="AB28" s="97"/>
      <c r="AC28" s="97"/>
      <c r="AD28" s="97"/>
      <c r="AE28" s="2172"/>
      <c r="AF28" s="2341"/>
      <c r="AG28" s="97"/>
      <c r="AH28" s="97"/>
      <c r="AI28" s="97"/>
      <c r="AJ28" s="2172"/>
      <c r="AK28" s="2341"/>
      <c r="AL28" s="97"/>
      <c r="AM28" s="97"/>
      <c r="AN28" s="97"/>
      <c r="AO28" s="2172"/>
      <c r="AP28" s="2341"/>
      <c r="AQ28" s="97"/>
      <c r="AR28" s="97"/>
      <c r="AS28" s="97"/>
      <c r="AT28" s="2172"/>
      <c r="AU28" s="2465"/>
      <c r="AV28" s="98"/>
      <c r="AW28" s="99" t="s">
        <v>37</v>
      </c>
      <c r="AX28" s="138"/>
      <c r="AY28" s="138"/>
      <c r="AZ28" s="99"/>
      <c r="BA28" s="110"/>
      <c r="BB28" s="111"/>
      <c r="BC28" s="112"/>
      <c r="BD28" s="18"/>
    </row>
    <row r="29" spans="2:56" ht="20.100000000000001" customHeight="1">
      <c r="B29" s="113" t="b">
        <f t="shared" si="1"/>
        <v>1</v>
      </c>
      <c r="C29" s="103" t="s">
        <v>1751</v>
      </c>
      <c r="D29" s="104"/>
      <c r="E29" s="104"/>
      <c r="F29" s="105" t="s">
        <v>33</v>
      </c>
      <c r="G29" s="142"/>
      <c r="H29" s="140" t="s">
        <v>1752</v>
      </c>
      <c r="I29" s="140"/>
      <c r="J29" s="141"/>
      <c r="K29" s="109" t="s">
        <v>35</v>
      </c>
      <c r="L29" s="92">
        <v>430837</v>
      </c>
      <c r="M29" s="95"/>
      <c r="N29" s="92">
        <v>521158</v>
      </c>
      <c r="O29" s="93"/>
      <c r="P29" s="1461"/>
      <c r="Q29" s="95"/>
      <c r="R29" s="5458"/>
      <c r="S29" s="1538"/>
      <c r="T29" s="5458"/>
      <c r="U29" s="1538"/>
      <c r="V29" s="5458"/>
      <c r="W29" s="2052"/>
      <c r="X29" s="2171"/>
      <c r="Y29" s="97"/>
      <c r="Z29" s="2345"/>
      <c r="AA29" s="2341"/>
      <c r="AB29" s="97"/>
      <c r="AC29" s="97"/>
      <c r="AD29" s="97"/>
      <c r="AE29" s="2172"/>
      <c r="AF29" s="2341"/>
      <c r="AG29" s="97"/>
      <c r="AH29" s="97"/>
      <c r="AI29" s="97"/>
      <c r="AJ29" s="2172"/>
      <c r="AK29" s="2341"/>
      <c r="AL29" s="97"/>
      <c r="AM29" s="97"/>
      <c r="AN29" s="97"/>
      <c r="AO29" s="2172"/>
      <c r="AP29" s="2341"/>
      <c r="AQ29" s="97"/>
      <c r="AR29" s="97"/>
      <c r="AS29" s="97"/>
      <c r="AT29" s="2172"/>
      <c r="AU29" s="2465"/>
      <c r="AV29" s="98"/>
      <c r="AW29" s="99" t="s">
        <v>37</v>
      </c>
      <c r="AX29" s="138"/>
      <c r="AY29" s="138"/>
      <c r="AZ29" s="99"/>
      <c r="BA29" s="110"/>
      <c r="BB29" s="114" t="s">
        <v>42</v>
      </c>
      <c r="BC29" s="112"/>
      <c r="BD29" s="18"/>
    </row>
    <row r="30" spans="2:56" s="139" customFormat="1" ht="20.100000000000001" customHeight="1">
      <c r="B30" s="113" t="b">
        <f t="shared" si="1"/>
        <v>0</v>
      </c>
      <c r="C30" s="103" t="s">
        <v>61</v>
      </c>
      <c r="D30" s="104"/>
      <c r="E30" s="104"/>
      <c r="F30" s="105" t="s">
        <v>33</v>
      </c>
      <c r="G30" s="133"/>
      <c r="H30" s="140" t="s">
        <v>62</v>
      </c>
      <c r="I30" s="140"/>
      <c r="J30" s="141"/>
      <c r="K30" s="109" t="s">
        <v>35</v>
      </c>
      <c r="L30" s="92">
        <v>-241446</v>
      </c>
      <c r="M30" s="95"/>
      <c r="N30" s="92">
        <v>-76766</v>
      </c>
      <c r="O30" s="93"/>
      <c r="P30" s="1461">
        <v>49065</v>
      </c>
      <c r="Q30" s="95"/>
      <c r="R30" s="1461">
        <v>-235798</v>
      </c>
      <c r="S30" s="1538"/>
      <c r="T30" s="1461">
        <v>-70236</v>
      </c>
      <c r="U30" s="1538"/>
      <c r="V30" s="1461">
        <v>49065</v>
      </c>
      <c r="W30" s="2052"/>
      <c r="X30" s="2171"/>
      <c r="Y30" s="97"/>
      <c r="Z30" s="2345"/>
      <c r="AA30" s="2341"/>
      <c r="AB30" s="97"/>
      <c r="AC30" s="97"/>
      <c r="AD30" s="97"/>
      <c r="AE30" s="2172"/>
      <c r="AF30" s="2341"/>
      <c r="AG30" s="97"/>
      <c r="AH30" s="97"/>
      <c r="AI30" s="97"/>
      <c r="AJ30" s="2172"/>
      <c r="AK30" s="2341"/>
      <c r="AL30" s="97"/>
      <c r="AM30" s="97"/>
      <c r="AN30" s="97"/>
      <c r="AO30" s="2172"/>
      <c r="AP30" s="2341"/>
      <c r="AQ30" s="97"/>
      <c r="AR30" s="97"/>
      <c r="AS30" s="97"/>
      <c r="AT30" s="2172"/>
      <c r="AU30" s="2465"/>
      <c r="AV30" s="98"/>
      <c r="AW30" s="99" t="s">
        <v>37</v>
      </c>
      <c r="AX30" s="138"/>
      <c r="AY30" s="138"/>
      <c r="AZ30" s="99"/>
      <c r="BA30" s="110"/>
      <c r="BB30" s="114" t="s">
        <v>42</v>
      </c>
      <c r="BC30" s="112"/>
      <c r="BD30" s="10"/>
    </row>
    <row r="31" spans="2:56" ht="20.100000000000001" customHeight="1">
      <c r="B31" s="113" t="b">
        <f t="shared" si="1"/>
        <v>0</v>
      </c>
      <c r="C31" s="103" t="s">
        <v>63</v>
      </c>
      <c r="D31" s="104"/>
      <c r="E31" s="104"/>
      <c r="F31" s="105" t="s">
        <v>33</v>
      </c>
      <c r="G31" s="142"/>
      <c r="H31" s="140" t="s">
        <v>64</v>
      </c>
      <c r="I31" s="140"/>
      <c r="J31" s="141"/>
      <c r="K31" s="109" t="s">
        <v>35</v>
      </c>
      <c r="L31" s="92">
        <v>67643</v>
      </c>
      <c r="M31" s="95"/>
      <c r="N31" s="92">
        <v>99661</v>
      </c>
      <c r="O31" s="93"/>
      <c r="P31" s="1461">
        <v>54024</v>
      </c>
      <c r="Q31" s="95"/>
      <c r="R31" s="1461">
        <v>67643</v>
      </c>
      <c r="S31" s="1538"/>
      <c r="T31" s="1461">
        <v>99955</v>
      </c>
      <c r="U31" s="1538"/>
      <c r="V31" s="1461">
        <v>54024</v>
      </c>
      <c r="W31" s="2052"/>
      <c r="X31" s="2171"/>
      <c r="Y31" s="97"/>
      <c r="Z31" s="2345"/>
      <c r="AA31" s="2341"/>
      <c r="AB31" s="97"/>
      <c r="AC31" s="97"/>
      <c r="AD31" s="97"/>
      <c r="AE31" s="2172"/>
      <c r="AF31" s="2341"/>
      <c r="AG31" s="97"/>
      <c r="AH31" s="97"/>
      <c r="AI31" s="97"/>
      <c r="AJ31" s="2172"/>
      <c r="AK31" s="2341"/>
      <c r="AL31" s="97"/>
      <c r="AM31" s="97"/>
      <c r="AN31" s="97"/>
      <c r="AO31" s="2172"/>
      <c r="AP31" s="2341"/>
      <c r="AQ31" s="97"/>
      <c r="AR31" s="97"/>
      <c r="AS31" s="97"/>
      <c r="AT31" s="2172"/>
      <c r="AU31" s="2465"/>
      <c r="AV31" s="98"/>
      <c r="AW31" s="99" t="s">
        <v>37</v>
      </c>
      <c r="AX31" s="138"/>
      <c r="AY31" s="138"/>
      <c r="AZ31" s="99"/>
      <c r="BA31" s="110"/>
      <c r="BB31" s="111"/>
      <c r="BC31" s="112"/>
      <c r="BD31" s="18"/>
    </row>
    <row r="32" spans="2:56" ht="20.100000000000001" customHeight="1">
      <c r="B32" s="84" t="b">
        <f t="shared" si="1"/>
        <v>0</v>
      </c>
      <c r="C32" s="103" t="s">
        <v>65</v>
      </c>
      <c r="D32" s="104"/>
      <c r="E32" s="104"/>
      <c r="F32" s="105" t="s">
        <v>33</v>
      </c>
      <c r="G32" s="142"/>
      <c r="H32" s="140" t="s">
        <v>66</v>
      </c>
      <c r="I32" s="140"/>
      <c r="J32" s="141"/>
      <c r="K32" s="109" t="s">
        <v>35</v>
      </c>
      <c r="L32" s="92">
        <v>-193588</v>
      </c>
      <c r="M32" s="95"/>
      <c r="N32" s="92">
        <v>-232593</v>
      </c>
      <c r="O32" s="93"/>
      <c r="P32" s="1461">
        <v>-228193</v>
      </c>
      <c r="Q32" s="95"/>
      <c r="R32" s="1461">
        <v>-191348</v>
      </c>
      <c r="S32" s="1538"/>
      <c r="T32" s="1461">
        <v>-229457</v>
      </c>
      <c r="U32" s="1538"/>
      <c r="V32" s="1461">
        <v>-228193</v>
      </c>
      <c r="W32" s="2052"/>
      <c r="X32" s="2171"/>
      <c r="Y32" s="97"/>
      <c r="Z32" s="2345"/>
      <c r="AA32" s="2341"/>
      <c r="AB32" s="97"/>
      <c r="AC32" s="97"/>
      <c r="AD32" s="97"/>
      <c r="AE32" s="2172"/>
      <c r="AF32" s="2341"/>
      <c r="AG32" s="97"/>
      <c r="AH32" s="97"/>
      <c r="AI32" s="97"/>
      <c r="AJ32" s="2172"/>
      <c r="AK32" s="2341"/>
      <c r="AL32" s="97"/>
      <c r="AM32" s="97"/>
      <c r="AN32" s="97"/>
      <c r="AO32" s="2172"/>
      <c r="AP32" s="2341"/>
      <c r="AQ32" s="97"/>
      <c r="AR32" s="97"/>
      <c r="AS32" s="97"/>
      <c r="AT32" s="2172"/>
      <c r="AU32" s="2465"/>
      <c r="AV32" s="98"/>
      <c r="AW32" s="99" t="s">
        <v>37</v>
      </c>
      <c r="AX32" s="138"/>
      <c r="AY32" s="138"/>
      <c r="AZ32" s="99"/>
      <c r="BA32" s="110"/>
      <c r="BB32" s="110"/>
      <c r="BC32" s="112"/>
      <c r="BD32" s="18"/>
    </row>
    <row r="33" spans="2:56" ht="20.100000000000001" customHeight="1">
      <c r="B33" s="84" t="b">
        <f t="shared" si="1"/>
        <v>0</v>
      </c>
      <c r="C33" s="103" t="s">
        <v>67</v>
      </c>
      <c r="D33" s="104"/>
      <c r="E33" s="104"/>
      <c r="F33" s="105" t="s">
        <v>33</v>
      </c>
      <c r="G33" s="142"/>
      <c r="H33" s="140" t="s">
        <v>68</v>
      </c>
      <c r="I33" s="140"/>
      <c r="J33" s="141"/>
      <c r="K33" s="109" t="s">
        <v>35</v>
      </c>
      <c r="L33" s="92">
        <v>-3052</v>
      </c>
      <c r="M33" s="95"/>
      <c r="N33" s="92">
        <v>-16104</v>
      </c>
      <c r="O33" s="93"/>
      <c r="P33" s="1461">
        <f>65441-83008</f>
        <v>-17567</v>
      </c>
      <c r="Q33" s="95"/>
      <c r="R33" s="1461">
        <f>94458-91244</f>
        <v>3214</v>
      </c>
      <c r="S33" s="1538"/>
      <c r="T33" s="1461">
        <f>72178-46861</f>
        <v>25317</v>
      </c>
      <c r="U33" s="1538"/>
      <c r="V33" s="1461">
        <f>65441-83008</f>
        <v>-17567</v>
      </c>
      <c r="W33" s="2052"/>
      <c r="X33" s="2171"/>
      <c r="Y33" s="97"/>
      <c r="Z33" s="2345"/>
      <c r="AA33" s="2341"/>
      <c r="AB33" s="97"/>
      <c r="AC33" s="97"/>
      <c r="AD33" s="97"/>
      <c r="AE33" s="2172"/>
      <c r="AF33" s="2341"/>
      <c r="AG33" s="97"/>
      <c r="AH33" s="97"/>
      <c r="AI33" s="97"/>
      <c r="AJ33" s="2172"/>
      <c r="AK33" s="2341"/>
      <c r="AL33" s="97"/>
      <c r="AM33" s="97"/>
      <c r="AN33" s="97"/>
      <c r="AO33" s="2172"/>
      <c r="AP33" s="2341"/>
      <c r="AQ33" s="97"/>
      <c r="AR33" s="97"/>
      <c r="AS33" s="97"/>
      <c r="AT33" s="2172"/>
      <c r="AU33" s="2465"/>
      <c r="AV33" s="98"/>
      <c r="AW33" s="99" t="s">
        <v>37</v>
      </c>
      <c r="AX33" s="138"/>
      <c r="AY33" s="138"/>
      <c r="AZ33" s="99"/>
      <c r="BA33" s="110"/>
      <c r="BB33" s="111"/>
      <c r="BC33" s="112"/>
      <c r="BD33" s="18"/>
    </row>
    <row r="34" spans="2:56" ht="20.100000000000001" customHeight="1">
      <c r="B34" s="84" t="b">
        <f t="shared" si="1"/>
        <v>0</v>
      </c>
      <c r="C34" s="103" t="s">
        <v>69</v>
      </c>
      <c r="D34" s="104"/>
      <c r="E34" s="104"/>
      <c r="F34" s="105" t="s">
        <v>33</v>
      </c>
      <c r="G34" s="142"/>
      <c r="H34" s="143" t="s">
        <v>70</v>
      </c>
      <c r="I34" s="143"/>
      <c r="J34" s="144"/>
      <c r="K34" s="109" t="s">
        <v>35</v>
      </c>
      <c r="L34" s="92">
        <v>-2865</v>
      </c>
      <c r="M34" s="95"/>
      <c r="N34" s="92">
        <v>-11841</v>
      </c>
      <c r="O34" s="93"/>
      <c r="P34" s="1461">
        <f>899-2501+26771</f>
        <v>25169</v>
      </c>
      <c r="Q34" s="95"/>
      <c r="R34" s="1461">
        <f>403-3268</f>
        <v>-2865</v>
      </c>
      <c r="S34" s="1538"/>
      <c r="T34" s="1461">
        <f>-4133-7708</f>
        <v>-11841</v>
      </c>
      <c r="U34" s="1538"/>
      <c r="V34" s="1461">
        <f>899-2501+26771</f>
        <v>25169</v>
      </c>
      <c r="W34" s="2052"/>
      <c r="X34" s="2171"/>
      <c r="Y34" s="97"/>
      <c r="Z34" s="2345"/>
      <c r="AA34" s="2341"/>
      <c r="AB34" s="97"/>
      <c r="AC34" s="97"/>
      <c r="AD34" s="97"/>
      <c r="AE34" s="2172"/>
      <c r="AF34" s="2341"/>
      <c r="AG34" s="97"/>
      <c r="AH34" s="97"/>
      <c r="AI34" s="97"/>
      <c r="AJ34" s="2172"/>
      <c r="AK34" s="2341"/>
      <c r="AL34" s="97"/>
      <c r="AM34" s="97"/>
      <c r="AN34" s="97"/>
      <c r="AO34" s="2172"/>
      <c r="AP34" s="2341"/>
      <c r="AQ34" s="97"/>
      <c r="AR34" s="97"/>
      <c r="AS34" s="97"/>
      <c r="AT34" s="2172"/>
      <c r="AU34" s="2465"/>
      <c r="AV34" s="98"/>
      <c r="AW34" s="99" t="s">
        <v>37</v>
      </c>
      <c r="AX34" s="138"/>
      <c r="AY34" s="138"/>
      <c r="AZ34" s="99"/>
      <c r="BA34" s="110"/>
      <c r="BB34" s="110"/>
      <c r="BC34" s="112"/>
      <c r="BD34" s="18"/>
    </row>
    <row r="35" spans="2:56" ht="20.100000000000001" customHeight="1">
      <c r="B35" s="84" t="b">
        <f t="shared" si="1"/>
        <v>0</v>
      </c>
      <c r="C35" s="103" t="s">
        <v>71</v>
      </c>
      <c r="D35" s="104"/>
      <c r="E35" s="104"/>
      <c r="F35" s="132" t="s">
        <v>33</v>
      </c>
      <c r="G35" s="142"/>
      <c r="H35" s="143" t="s">
        <v>72</v>
      </c>
      <c r="I35" s="143"/>
      <c r="J35" s="144"/>
      <c r="K35" s="136" t="s">
        <v>35</v>
      </c>
      <c r="L35" s="92">
        <v>-373308</v>
      </c>
      <c r="M35" s="95"/>
      <c r="N35" s="92">
        <v>-237643</v>
      </c>
      <c r="O35" s="93"/>
      <c r="P35" s="1461">
        <v>-117502</v>
      </c>
      <c r="Q35" s="95"/>
      <c r="R35" s="1461">
        <v>-359154</v>
      </c>
      <c r="S35" s="1538"/>
      <c r="T35" s="1461">
        <v>-186262</v>
      </c>
      <c r="U35" s="1538"/>
      <c r="V35" s="1461">
        <v>-117502</v>
      </c>
      <c r="W35" s="2052"/>
      <c r="X35" s="2171"/>
      <c r="Y35" s="97"/>
      <c r="Z35" s="2345"/>
      <c r="AA35" s="2341"/>
      <c r="AB35" s="97"/>
      <c r="AC35" s="97"/>
      <c r="AD35" s="97"/>
      <c r="AE35" s="2172"/>
      <c r="AF35" s="2341"/>
      <c r="AG35" s="97"/>
      <c r="AH35" s="97"/>
      <c r="AI35" s="97"/>
      <c r="AJ35" s="2172"/>
      <c r="AK35" s="2341"/>
      <c r="AL35" s="97"/>
      <c r="AM35" s="97"/>
      <c r="AN35" s="97"/>
      <c r="AO35" s="2172"/>
      <c r="AP35" s="2341"/>
      <c r="AQ35" s="97"/>
      <c r="AR35" s="97"/>
      <c r="AS35" s="97"/>
      <c r="AT35" s="2172"/>
      <c r="AU35" s="2465"/>
      <c r="AV35" s="98"/>
      <c r="AW35" s="99" t="s">
        <v>37</v>
      </c>
      <c r="AX35" s="138"/>
      <c r="AY35" s="138"/>
      <c r="AZ35" s="99"/>
      <c r="BA35" s="110"/>
      <c r="BB35" s="110"/>
      <c r="BC35" s="112"/>
      <c r="BD35" s="18"/>
    </row>
    <row r="36" spans="2:56" ht="20.100000000000001" customHeight="1">
      <c r="B36" s="113" t="b">
        <f t="shared" si="1"/>
        <v>0</v>
      </c>
      <c r="C36" s="103" t="s">
        <v>73</v>
      </c>
      <c r="D36" s="104"/>
      <c r="E36" s="104"/>
      <c r="F36" s="105" t="s">
        <v>33</v>
      </c>
      <c r="G36" s="142"/>
      <c r="H36" s="143" t="s">
        <v>74</v>
      </c>
      <c r="I36" s="143"/>
      <c r="J36" s="144"/>
      <c r="K36" s="109" t="s">
        <v>35</v>
      </c>
      <c r="L36" s="92">
        <v>34520</v>
      </c>
      <c r="M36" s="95"/>
      <c r="N36" s="92">
        <v>23136</v>
      </c>
      <c r="O36" s="93"/>
      <c r="P36" s="1461">
        <v>2191</v>
      </c>
      <c r="Q36" s="95"/>
      <c r="R36" s="1461">
        <v>34521</v>
      </c>
      <c r="S36" s="1538"/>
      <c r="T36" s="1461">
        <v>23137</v>
      </c>
      <c r="U36" s="1538"/>
      <c r="V36" s="1461">
        <v>2191</v>
      </c>
      <c r="W36" s="2052"/>
      <c r="X36" s="2171"/>
      <c r="Y36" s="97"/>
      <c r="Z36" s="2345"/>
      <c r="AA36" s="2341"/>
      <c r="AB36" s="97"/>
      <c r="AC36" s="97"/>
      <c r="AD36" s="97"/>
      <c r="AE36" s="2172"/>
      <c r="AF36" s="2341"/>
      <c r="AG36" s="97"/>
      <c r="AH36" s="97"/>
      <c r="AI36" s="97"/>
      <c r="AJ36" s="2172"/>
      <c r="AK36" s="2341"/>
      <c r="AL36" s="97"/>
      <c r="AM36" s="97"/>
      <c r="AN36" s="97"/>
      <c r="AO36" s="2172"/>
      <c r="AP36" s="2341"/>
      <c r="AQ36" s="97"/>
      <c r="AR36" s="97"/>
      <c r="AS36" s="97"/>
      <c r="AT36" s="2172"/>
      <c r="AU36" s="2465"/>
      <c r="AV36" s="98"/>
      <c r="AW36" s="99" t="s">
        <v>37</v>
      </c>
      <c r="AX36" s="138"/>
      <c r="AY36" s="138"/>
      <c r="AZ36" s="99"/>
      <c r="BA36" s="110"/>
      <c r="BB36" s="114" t="s">
        <v>42</v>
      </c>
      <c r="BC36" s="112"/>
      <c r="BD36" s="18"/>
    </row>
    <row r="37" spans="2:56" s="139" customFormat="1" ht="20.100000000000001" customHeight="1">
      <c r="B37" s="113" t="b">
        <f t="shared" si="1"/>
        <v>0</v>
      </c>
      <c r="C37" s="103" t="s">
        <v>75</v>
      </c>
      <c r="D37" s="104"/>
      <c r="E37" s="104"/>
      <c r="F37" s="105" t="s">
        <v>33</v>
      </c>
      <c r="G37" s="133"/>
      <c r="H37" s="140" t="s">
        <v>76</v>
      </c>
      <c r="I37" s="140"/>
      <c r="J37" s="141"/>
      <c r="K37" s="109" t="s">
        <v>35</v>
      </c>
      <c r="L37" s="92">
        <v>-338788</v>
      </c>
      <c r="M37" s="95"/>
      <c r="N37" s="92">
        <v>-214508</v>
      </c>
      <c r="O37" s="93"/>
      <c r="P37" s="1461">
        <v>-123353</v>
      </c>
      <c r="Q37" s="95"/>
      <c r="R37" s="1461">
        <v>-338788</v>
      </c>
      <c r="S37" s="1538"/>
      <c r="T37" s="1461">
        <v>-214508</v>
      </c>
      <c r="U37" s="1538"/>
      <c r="V37" s="1461">
        <v>-123353</v>
      </c>
      <c r="W37" s="2052"/>
      <c r="X37" s="2171"/>
      <c r="Y37" s="97"/>
      <c r="Z37" s="2345"/>
      <c r="AA37" s="2341"/>
      <c r="AB37" s="97"/>
      <c r="AC37" s="97"/>
      <c r="AD37" s="97"/>
      <c r="AE37" s="2172"/>
      <c r="AF37" s="2341"/>
      <c r="AG37" s="97"/>
      <c r="AH37" s="97"/>
      <c r="AI37" s="97"/>
      <c r="AJ37" s="2172"/>
      <c r="AK37" s="2341"/>
      <c r="AL37" s="97"/>
      <c r="AM37" s="97"/>
      <c r="AN37" s="97"/>
      <c r="AO37" s="2172"/>
      <c r="AP37" s="2341"/>
      <c r="AQ37" s="97"/>
      <c r="AR37" s="97"/>
      <c r="AS37" s="97"/>
      <c r="AT37" s="2172"/>
      <c r="AU37" s="2465"/>
      <c r="AV37" s="98"/>
      <c r="AW37" s="99" t="s">
        <v>37</v>
      </c>
      <c r="AX37" s="138"/>
      <c r="AY37" s="138"/>
      <c r="AZ37" s="99"/>
      <c r="BA37" s="110"/>
      <c r="BB37" s="114" t="s">
        <v>42</v>
      </c>
      <c r="BC37" s="112"/>
      <c r="BD37" s="10"/>
    </row>
    <row r="38" spans="2:56" ht="20.100000000000001" customHeight="1">
      <c r="B38" s="84" t="b">
        <f t="shared" si="1"/>
        <v>0</v>
      </c>
      <c r="C38" s="103" t="s">
        <v>77</v>
      </c>
      <c r="D38" s="104"/>
      <c r="E38" s="104"/>
      <c r="F38" s="105" t="s">
        <v>33</v>
      </c>
      <c r="G38" s="142"/>
      <c r="H38" s="143" t="s">
        <v>78</v>
      </c>
      <c r="I38" s="143"/>
      <c r="J38" s="144"/>
      <c r="K38" s="109" t="s">
        <v>35</v>
      </c>
      <c r="L38" s="92">
        <v>35285</v>
      </c>
      <c r="M38" s="95"/>
      <c r="N38" s="92">
        <v>-22562</v>
      </c>
      <c r="O38" s="93"/>
      <c r="P38" s="1461">
        <v>29411</v>
      </c>
      <c r="Q38" s="95"/>
      <c r="R38" s="1461">
        <v>35285</v>
      </c>
      <c r="S38" s="1538"/>
      <c r="T38" s="1461">
        <v>-22561</v>
      </c>
      <c r="U38" s="1538"/>
      <c r="V38" s="1461">
        <v>29411</v>
      </c>
      <c r="W38" s="2052"/>
      <c r="X38" s="2171"/>
      <c r="Y38" s="97"/>
      <c r="Z38" s="2345"/>
      <c r="AA38" s="2341"/>
      <c r="AB38" s="97"/>
      <c r="AC38" s="97"/>
      <c r="AD38" s="97"/>
      <c r="AE38" s="2172"/>
      <c r="AF38" s="2341"/>
      <c r="AG38" s="97"/>
      <c r="AH38" s="97"/>
      <c r="AI38" s="97"/>
      <c r="AJ38" s="2172"/>
      <c r="AK38" s="2341"/>
      <c r="AL38" s="97"/>
      <c r="AM38" s="97"/>
      <c r="AN38" s="97"/>
      <c r="AO38" s="2172"/>
      <c r="AP38" s="2341"/>
      <c r="AQ38" s="97"/>
      <c r="AR38" s="97"/>
      <c r="AS38" s="97"/>
      <c r="AT38" s="2172"/>
      <c r="AU38" s="2465"/>
      <c r="AV38" s="98"/>
      <c r="AW38" s="99" t="s">
        <v>37</v>
      </c>
      <c r="AX38" s="138"/>
      <c r="AY38" s="138"/>
      <c r="AZ38" s="99"/>
      <c r="BA38" s="110"/>
      <c r="BB38" s="110"/>
      <c r="BC38" s="112"/>
      <c r="BD38" s="18"/>
    </row>
    <row r="39" spans="2:56" ht="20.100000000000001" customHeight="1" thickBot="1">
      <c r="B39" s="84" t="b">
        <f t="shared" si="1"/>
        <v>0</v>
      </c>
      <c r="C39" s="117" t="s">
        <v>79</v>
      </c>
      <c r="D39" s="118"/>
      <c r="E39" s="118"/>
      <c r="F39" s="105" t="s">
        <v>33</v>
      </c>
      <c r="G39" s="142"/>
      <c r="H39" s="145" t="s">
        <v>80</v>
      </c>
      <c r="I39" s="145"/>
      <c r="J39" s="146"/>
      <c r="K39" s="109" t="s">
        <v>35</v>
      </c>
      <c r="L39" s="92">
        <v>-303503</v>
      </c>
      <c r="M39" s="95"/>
      <c r="N39" s="92">
        <v>-237069</v>
      </c>
      <c r="O39" s="93"/>
      <c r="P39" s="1461">
        <v>-93942</v>
      </c>
      <c r="Q39" s="95"/>
      <c r="R39" s="1461">
        <v>-303503</v>
      </c>
      <c r="S39" s="1538"/>
      <c r="T39" s="1461">
        <v>-237069</v>
      </c>
      <c r="U39" s="1538"/>
      <c r="V39" s="1461">
        <v>-93942</v>
      </c>
      <c r="W39" s="2052"/>
      <c r="X39" s="2171"/>
      <c r="Y39" s="97"/>
      <c r="Z39" s="2345"/>
      <c r="AA39" s="2341"/>
      <c r="AB39" s="97"/>
      <c r="AC39" s="97"/>
      <c r="AD39" s="97"/>
      <c r="AE39" s="2172"/>
      <c r="AF39" s="2341"/>
      <c r="AG39" s="97"/>
      <c r="AH39" s="97"/>
      <c r="AI39" s="97"/>
      <c r="AJ39" s="2172"/>
      <c r="AK39" s="2341"/>
      <c r="AL39" s="97"/>
      <c r="AM39" s="97"/>
      <c r="AN39" s="97"/>
      <c r="AO39" s="2172"/>
      <c r="AP39" s="2341"/>
      <c r="AQ39" s="97"/>
      <c r="AR39" s="97"/>
      <c r="AS39" s="97"/>
      <c r="AT39" s="2172"/>
      <c r="AU39" s="2465"/>
      <c r="AV39" s="98"/>
      <c r="AW39" s="99" t="s">
        <v>37</v>
      </c>
      <c r="AX39" s="138"/>
      <c r="AY39" s="138"/>
      <c r="AZ39" s="99"/>
      <c r="BA39" s="110"/>
      <c r="BB39" s="110"/>
      <c r="BC39" s="112"/>
      <c r="BD39" s="18"/>
    </row>
    <row r="40" spans="2:56" ht="27" thickBot="1">
      <c r="B40" s="123" t="s">
        <v>81</v>
      </c>
      <c r="C40" s="124"/>
      <c r="D40" s="124"/>
      <c r="E40" s="124"/>
      <c r="F40" s="78"/>
      <c r="G40" s="125" t="s">
        <v>82</v>
      </c>
      <c r="H40" s="126"/>
      <c r="I40" s="126"/>
      <c r="J40" s="126"/>
      <c r="K40" s="78"/>
      <c r="L40" s="147"/>
      <c r="M40" s="147"/>
      <c r="N40" s="147"/>
      <c r="O40" s="147"/>
      <c r="P40" s="147"/>
      <c r="Q40" s="147"/>
      <c r="R40" s="1705"/>
      <c r="S40" s="1706"/>
      <c r="T40" s="1705"/>
      <c r="U40" s="1706"/>
      <c r="V40" s="1705"/>
      <c r="W40" s="147"/>
      <c r="X40" s="2175"/>
      <c r="Y40" s="148"/>
      <c r="Z40" s="148"/>
      <c r="AA40" s="2175"/>
      <c r="AB40" s="148"/>
      <c r="AC40" s="148"/>
      <c r="AD40" s="148"/>
      <c r="AE40" s="2176"/>
      <c r="AF40" s="2175"/>
      <c r="AG40" s="148"/>
      <c r="AH40" s="148"/>
      <c r="AI40" s="148"/>
      <c r="AJ40" s="2176"/>
      <c r="AK40" s="2175"/>
      <c r="AL40" s="148"/>
      <c r="AM40" s="148"/>
      <c r="AN40" s="148"/>
      <c r="AO40" s="2176"/>
      <c r="AP40" s="2175"/>
      <c r="AQ40" s="148"/>
      <c r="AR40" s="148"/>
      <c r="AS40" s="148"/>
      <c r="AT40" s="2176"/>
      <c r="AU40" s="80"/>
      <c r="AV40" s="80"/>
      <c r="AW40" s="129"/>
      <c r="AX40" s="129"/>
      <c r="AY40" s="129"/>
      <c r="AZ40" s="129"/>
      <c r="BA40" s="130"/>
      <c r="BB40" s="130"/>
      <c r="BC40" s="131"/>
      <c r="BD40" s="18"/>
    </row>
    <row r="41" spans="2:56" ht="20.100000000000001" customHeight="1">
      <c r="B41" s="1351" t="b">
        <f t="shared" ref="B41:B48" si="2">OR(ISBLANK(R41),ISBLANK(T41),ISBLANK(V41))</f>
        <v>0</v>
      </c>
      <c r="C41" s="85" t="s">
        <v>32</v>
      </c>
      <c r="D41" s="86"/>
      <c r="E41" s="86"/>
      <c r="F41" s="105" t="s">
        <v>33</v>
      </c>
      <c r="G41" s="142"/>
      <c r="H41" s="104" t="s">
        <v>83</v>
      </c>
      <c r="I41" s="104"/>
      <c r="J41" s="104"/>
      <c r="K41" s="109" t="s">
        <v>35</v>
      </c>
      <c r="L41" s="149"/>
      <c r="M41" s="149"/>
      <c r="N41" s="150"/>
      <c r="O41" s="150"/>
      <c r="P41" s="150"/>
      <c r="Q41" s="95"/>
      <c r="R41" s="1464">
        <v>447740</v>
      </c>
      <c r="S41" s="1526"/>
      <c r="T41" s="1464">
        <v>563407</v>
      </c>
      <c r="U41" s="1522"/>
      <c r="V41" s="1464">
        <v>403970</v>
      </c>
      <c r="W41" s="2053"/>
      <c r="X41" s="2171"/>
      <c r="Y41" s="96"/>
      <c r="Z41" s="2346"/>
      <c r="AA41" s="2171"/>
      <c r="AB41" s="96"/>
      <c r="AC41" s="96"/>
      <c r="AD41" s="96"/>
      <c r="AE41" s="2177"/>
      <c r="AF41" s="2171"/>
      <c r="AG41" s="96"/>
      <c r="AH41" s="96"/>
      <c r="AI41" s="96"/>
      <c r="AJ41" s="2177"/>
      <c r="AK41" s="2171"/>
      <c r="AL41" s="96"/>
      <c r="AM41" s="96"/>
      <c r="AN41" s="96"/>
      <c r="AO41" s="2177"/>
      <c r="AP41" s="2171"/>
      <c r="AQ41" s="96"/>
      <c r="AR41" s="96"/>
      <c r="AS41" s="96"/>
      <c r="AT41" s="2177"/>
      <c r="AU41" s="2465"/>
      <c r="AV41" s="98"/>
      <c r="AW41" s="99" t="s">
        <v>37</v>
      </c>
      <c r="AX41" s="138"/>
      <c r="AY41" s="138"/>
      <c r="AZ41" s="99"/>
      <c r="BA41" s="110"/>
      <c r="BB41" s="154"/>
      <c r="BC41" s="112"/>
      <c r="BD41" s="18"/>
    </row>
    <row r="42" spans="2:56" ht="20.100000000000001" customHeight="1">
      <c r="B42" s="1351" t="b">
        <f t="shared" si="2"/>
        <v>0</v>
      </c>
      <c r="C42" s="103" t="s">
        <v>38</v>
      </c>
      <c r="D42" s="104"/>
      <c r="E42" s="104"/>
      <c r="F42" s="105" t="s">
        <v>33</v>
      </c>
      <c r="G42" s="142"/>
      <c r="H42" s="104" t="s">
        <v>84</v>
      </c>
      <c r="I42" s="104"/>
      <c r="J42" s="104"/>
      <c r="K42" s="109" t="s">
        <v>35</v>
      </c>
      <c r="L42" s="150"/>
      <c r="M42" s="150"/>
      <c r="N42" s="150"/>
      <c r="O42" s="150"/>
      <c r="P42" s="150"/>
      <c r="Q42" s="95"/>
      <c r="R42" s="1464">
        <v>1571781</v>
      </c>
      <c r="S42" s="1526"/>
      <c r="T42" s="1464">
        <v>1429245</v>
      </c>
      <c r="U42" s="1522"/>
      <c r="V42" s="1464">
        <v>1557735</v>
      </c>
      <c r="W42" s="2053"/>
      <c r="X42" s="2171"/>
      <c r="Y42" s="96"/>
      <c r="Z42" s="2346"/>
      <c r="AA42" s="2171"/>
      <c r="AB42" s="96"/>
      <c r="AC42" s="96"/>
      <c r="AD42" s="96"/>
      <c r="AE42" s="2177"/>
      <c r="AF42" s="2171"/>
      <c r="AG42" s="96"/>
      <c r="AH42" s="96"/>
      <c r="AI42" s="96"/>
      <c r="AJ42" s="2177"/>
      <c r="AK42" s="2171"/>
      <c r="AL42" s="96"/>
      <c r="AM42" s="96"/>
      <c r="AN42" s="96"/>
      <c r="AO42" s="2177"/>
      <c r="AP42" s="2171"/>
      <c r="AQ42" s="96"/>
      <c r="AR42" s="96"/>
      <c r="AS42" s="96"/>
      <c r="AT42" s="2177"/>
      <c r="AU42" s="2465"/>
      <c r="AV42" s="98"/>
      <c r="AW42" s="99" t="s">
        <v>37</v>
      </c>
      <c r="AX42" s="138"/>
      <c r="AY42" s="138"/>
      <c r="AZ42" s="99"/>
      <c r="BA42" s="110"/>
      <c r="BB42" s="154"/>
      <c r="BC42" s="112"/>
      <c r="BD42" s="18"/>
    </row>
    <row r="43" spans="2:56" ht="20.100000000000001" customHeight="1">
      <c r="B43" s="1351" t="b">
        <f t="shared" si="2"/>
        <v>0</v>
      </c>
      <c r="C43" s="103" t="s">
        <v>40</v>
      </c>
      <c r="D43" s="104"/>
      <c r="E43" s="104"/>
      <c r="F43" s="105" t="s">
        <v>33</v>
      </c>
      <c r="G43" s="142"/>
      <c r="H43" s="104" t="s">
        <v>85</v>
      </c>
      <c r="I43" s="104"/>
      <c r="J43" s="104"/>
      <c r="K43" s="109" t="s">
        <v>35</v>
      </c>
      <c r="L43" s="150"/>
      <c r="M43" s="150"/>
      <c r="N43" s="150"/>
      <c r="O43" s="150"/>
      <c r="P43" s="150"/>
      <c r="Q43" s="95"/>
      <c r="R43" s="1464">
        <v>2019522</v>
      </c>
      <c r="S43" s="1526"/>
      <c r="T43" s="1464">
        <v>1992652</v>
      </c>
      <c r="U43" s="1522"/>
      <c r="V43" s="1464">
        <v>1961705</v>
      </c>
      <c r="W43" s="2053"/>
      <c r="X43" s="2171"/>
      <c r="Y43" s="96"/>
      <c r="Z43" s="2346"/>
      <c r="AA43" s="2171"/>
      <c r="AB43" s="96"/>
      <c r="AC43" s="96"/>
      <c r="AD43" s="96"/>
      <c r="AE43" s="2177"/>
      <c r="AF43" s="2171"/>
      <c r="AG43" s="96"/>
      <c r="AH43" s="96"/>
      <c r="AI43" s="96"/>
      <c r="AJ43" s="2177"/>
      <c r="AK43" s="2171"/>
      <c r="AL43" s="96"/>
      <c r="AM43" s="96"/>
      <c r="AN43" s="96"/>
      <c r="AO43" s="2177"/>
      <c r="AP43" s="2171"/>
      <c r="AQ43" s="96"/>
      <c r="AR43" s="96"/>
      <c r="AS43" s="96"/>
      <c r="AT43" s="2177"/>
      <c r="AU43" s="2465"/>
      <c r="AV43" s="98"/>
      <c r="AW43" s="99" t="s">
        <v>37</v>
      </c>
      <c r="AX43" s="138"/>
      <c r="AY43" s="138"/>
      <c r="AZ43" s="99"/>
      <c r="BA43" s="110"/>
      <c r="BB43" s="154" t="s">
        <v>42</v>
      </c>
      <c r="BC43" s="112"/>
      <c r="BD43" s="18"/>
    </row>
    <row r="44" spans="2:56" ht="20.100000000000001" customHeight="1">
      <c r="B44" s="1351" t="b">
        <f t="shared" si="2"/>
        <v>0</v>
      </c>
      <c r="C44" s="103" t="s">
        <v>43</v>
      </c>
      <c r="D44" s="104"/>
      <c r="E44" s="104"/>
      <c r="F44" s="105" t="s">
        <v>33</v>
      </c>
      <c r="G44" s="142"/>
      <c r="H44" s="104" t="s">
        <v>86</v>
      </c>
      <c r="I44" s="104"/>
      <c r="J44" s="104"/>
      <c r="K44" s="109" t="s">
        <v>35</v>
      </c>
      <c r="L44" s="149"/>
      <c r="M44" s="149"/>
      <c r="N44" s="150"/>
      <c r="O44" s="150"/>
      <c r="P44" s="150"/>
      <c r="Q44" s="95"/>
      <c r="R44" s="1464">
        <v>326149</v>
      </c>
      <c r="S44" s="1526"/>
      <c r="T44" s="1464">
        <v>618778</v>
      </c>
      <c r="U44" s="1522"/>
      <c r="V44" s="1464">
        <v>420289</v>
      </c>
      <c r="W44" s="2053"/>
      <c r="X44" s="2171"/>
      <c r="Y44" s="96"/>
      <c r="Z44" s="2346"/>
      <c r="AA44" s="2171"/>
      <c r="AB44" s="96"/>
      <c r="AC44" s="96"/>
      <c r="AD44" s="96"/>
      <c r="AE44" s="2177"/>
      <c r="AF44" s="2171"/>
      <c r="AG44" s="96"/>
      <c r="AH44" s="96"/>
      <c r="AI44" s="96"/>
      <c r="AJ44" s="2177"/>
      <c r="AK44" s="2171"/>
      <c r="AL44" s="96"/>
      <c r="AM44" s="96"/>
      <c r="AN44" s="96"/>
      <c r="AO44" s="2177"/>
      <c r="AP44" s="2171"/>
      <c r="AQ44" s="96"/>
      <c r="AR44" s="96"/>
      <c r="AS44" s="96"/>
      <c r="AT44" s="2177"/>
      <c r="AU44" s="2465"/>
      <c r="AV44" s="98"/>
      <c r="AW44" s="99" t="s">
        <v>37</v>
      </c>
      <c r="AX44" s="138"/>
      <c r="AY44" s="138"/>
      <c r="AZ44" s="99"/>
      <c r="BA44" s="110"/>
      <c r="BB44" s="154"/>
      <c r="BC44" s="112"/>
      <c r="BD44" s="18"/>
    </row>
    <row r="45" spans="2:56" ht="20.100000000000001" customHeight="1">
      <c r="B45" s="1351" t="b">
        <f t="shared" si="2"/>
        <v>0</v>
      </c>
      <c r="C45" s="103" t="s">
        <v>45</v>
      </c>
      <c r="D45" s="104"/>
      <c r="E45" s="104"/>
      <c r="F45" s="105" t="s">
        <v>33</v>
      </c>
      <c r="G45" s="142"/>
      <c r="H45" s="104" t="s">
        <v>87</v>
      </c>
      <c r="I45" s="104"/>
      <c r="J45" s="104"/>
      <c r="K45" s="109" t="s">
        <v>35</v>
      </c>
      <c r="L45" s="150"/>
      <c r="M45" s="150"/>
      <c r="N45" s="150"/>
      <c r="O45" s="150"/>
      <c r="P45" s="150"/>
      <c r="Q45" s="95"/>
      <c r="R45" s="1464">
        <v>1296392</v>
      </c>
      <c r="S45" s="1526"/>
      <c r="T45" s="1464">
        <v>804577</v>
      </c>
      <c r="U45" s="1522"/>
      <c r="V45" s="1464">
        <v>912958</v>
      </c>
      <c r="W45" s="2053"/>
      <c r="X45" s="2171"/>
      <c r="Y45" s="96"/>
      <c r="Z45" s="2346"/>
      <c r="AA45" s="2171"/>
      <c r="AB45" s="96"/>
      <c r="AC45" s="96"/>
      <c r="AD45" s="96"/>
      <c r="AE45" s="2177"/>
      <c r="AF45" s="2171"/>
      <c r="AG45" s="96"/>
      <c r="AH45" s="96"/>
      <c r="AI45" s="96"/>
      <c r="AJ45" s="2177"/>
      <c r="AK45" s="2171"/>
      <c r="AL45" s="96"/>
      <c r="AM45" s="96"/>
      <c r="AN45" s="96"/>
      <c r="AO45" s="2177"/>
      <c r="AP45" s="2171"/>
      <c r="AQ45" s="96"/>
      <c r="AR45" s="96"/>
      <c r="AS45" s="96"/>
      <c r="AT45" s="2177"/>
      <c r="AU45" s="2465"/>
      <c r="AV45" s="98"/>
      <c r="AW45" s="99" t="s">
        <v>37</v>
      </c>
      <c r="AX45" s="138"/>
      <c r="AY45" s="138"/>
      <c r="AZ45" s="99"/>
      <c r="BA45" s="110"/>
      <c r="BB45" s="154"/>
      <c r="BC45" s="112"/>
      <c r="BD45" s="18"/>
    </row>
    <row r="46" spans="2:56" ht="20.100000000000001" customHeight="1">
      <c r="B46" s="1351" t="b">
        <f t="shared" si="2"/>
        <v>0</v>
      </c>
      <c r="C46" s="103" t="s">
        <v>47</v>
      </c>
      <c r="D46" s="104"/>
      <c r="E46" s="104"/>
      <c r="F46" s="132" t="s">
        <v>33</v>
      </c>
      <c r="G46" s="106"/>
      <c r="H46" s="104" t="s">
        <v>88</v>
      </c>
      <c r="I46" s="104"/>
      <c r="J46" s="104"/>
      <c r="K46" s="136" t="s">
        <v>35</v>
      </c>
      <c r="L46" s="150"/>
      <c r="M46" s="150"/>
      <c r="N46" s="150"/>
      <c r="O46" s="150"/>
      <c r="P46" s="150"/>
      <c r="Q46" s="95"/>
      <c r="R46" s="1464">
        <v>1622540</v>
      </c>
      <c r="S46" s="1526"/>
      <c r="T46" s="1464">
        <v>1423355</v>
      </c>
      <c r="U46" s="1522"/>
      <c r="V46" s="1464">
        <v>1333247</v>
      </c>
      <c r="W46" s="2053"/>
      <c r="X46" s="2171"/>
      <c r="Y46" s="96"/>
      <c r="Z46" s="2346"/>
      <c r="AA46" s="2171"/>
      <c r="AB46" s="96"/>
      <c r="AC46" s="96"/>
      <c r="AD46" s="96"/>
      <c r="AE46" s="2177"/>
      <c r="AF46" s="2171"/>
      <c r="AG46" s="96"/>
      <c r="AH46" s="96"/>
      <c r="AI46" s="96"/>
      <c r="AJ46" s="2177"/>
      <c r="AK46" s="2171"/>
      <c r="AL46" s="96"/>
      <c r="AM46" s="96"/>
      <c r="AN46" s="96"/>
      <c r="AO46" s="2177"/>
      <c r="AP46" s="2171"/>
      <c r="AQ46" s="96"/>
      <c r="AR46" s="96"/>
      <c r="AS46" s="96"/>
      <c r="AT46" s="2177"/>
      <c r="AU46" s="2465"/>
      <c r="AV46" s="98"/>
      <c r="AW46" s="99" t="s">
        <v>37</v>
      </c>
      <c r="AX46" s="138"/>
      <c r="AY46" s="138"/>
      <c r="AZ46" s="99"/>
      <c r="BA46" s="110"/>
      <c r="BB46" s="154" t="s">
        <v>42</v>
      </c>
      <c r="BC46" s="112"/>
      <c r="BD46" s="18"/>
    </row>
    <row r="47" spans="2:56" ht="20.100000000000001" customHeight="1">
      <c r="B47" s="1351" t="b">
        <f t="shared" si="2"/>
        <v>0</v>
      </c>
      <c r="C47" s="103" t="s">
        <v>51</v>
      </c>
      <c r="D47" s="104"/>
      <c r="E47" s="104"/>
      <c r="F47" s="105" t="s">
        <v>33</v>
      </c>
      <c r="G47" s="106"/>
      <c r="H47" s="104" t="s">
        <v>89</v>
      </c>
      <c r="I47" s="104"/>
      <c r="J47" s="104"/>
      <c r="K47" s="109" t="s">
        <v>35</v>
      </c>
      <c r="L47" s="150"/>
      <c r="M47" s="150"/>
      <c r="N47" s="150"/>
      <c r="O47" s="150"/>
      <c r="P47" s="150"/>
      <c r="Q47" s="95"/>
      <c r="R47" s="1464">
        <v>396981</v>
      </c>
      <c r="S47" s="1526"/>
      <c r="T47" s="1464">
        <v>569297</v>
      </c>
      <c r="U47" s="1522"/>
      <c r="V47" s="1464">
        <v>628458</v>
      </c>
      <c r="W47" s="2053"/>
      <c r="X47" s="2171"/>
      <c r="Y47" s="96"/>
      <c r="Z47" s="2346"/>
      <c r="AA47" s="2171"/>
      <c r="AB47" s="96"/>
      <c r="AC47" s="96"/>
      <c r="AD47" s="96"/>
      <c r="AE47" s="2177"/>
      <c r="AF47" s="2171"/>
      <c r="AG47" s="96"/>
      <c r="AH47" s="96"/>
      <c r="AI47" s="96"/>
      <c r="AJ47" s="2177"/>
      <c r="AK47" s="2171"/>
      <c r="AL47" s="96"/>
      <c r="AM47" s="96"/>
      <c r="AN47" s="96"/>
      <c r="AO47" s="2177"/>
      <c r="AP47" s="2171"/>
      <c r="AQ47" s="96"/>
      <c r="AR47" s="96"/>
      <c r="AS47" s="96"/>
      <c r="AT47" s="2177"/>
      <c r="AU47" s="2465"/>
      <c r="AV47" s="98"/>
      <c r="AW47" s="99" t="s">
        <v>37</v>
      </c>
      <c r="AX47" s="138"/>
      <c r="AY47" s="138"/>
      <c r="AZ47" s="99"/>
      <c r="BA47" s="110"/>
      <c r="BB47" s="154" t="s">
        <v>42</v>
      </c>
      <c r="BC47" s="112"/>
      <c r="BD47" s="18"/>
    </row>
    <row r="48" spans="2:56" ht="20.100000000000001" customHeight="1" thickBot="1">
      <c r="B48" s="1351" t="b">
        <f t="shared" si="2"/>
        <v>0</v>
      </c>
      <c r="C48" s="117" t="s">
        <v>53</v>
      </c>
      <c r="D48" s="118"/>
      <c r="E48" s="118"/>
      <c r="F48" s="105" t="s">
        <v>33</v>
      </c>
      <c r="G48" s="106"/>
      <c r="H48" s="104" t="s">
        <v>90</v>
      </c>
      <c r="I48" s="104"/>
      <c r="J48" s="104"/>
      <c r="K48" s="109" t="s">
        <v>35</v>
      </c>
      <c r="L48" s="150"/>
      <c r="M48" s="150"/>
      <c r="N48" s="150"/>
      <c r="O48" s="150"/>
      <c r="P48" s="150"/>
      <c r="Q48" s="95"/>
      <c r="R48" s="1464">
        <v>2019522</v>
      </c>
      <c r="S48" s="1526"/>
      <c r="T48" s="1464">
        <v>1992652</v>
      </c>
      <c r="U48" s="1522"/>
      <c r="V48" s="1464">
        <v>1961705</v>
      </c>
      <c r="W48" s="2053"/>
      <c r="X48" s="2171"/>
      <c r="Y48" s="96"/>
      <c r="Z48" s="2346"/>
      <c r="AA48" s="2171"/>
      <c r="AB48" s="96"/>
      <c r="AC48" s="96"/>
      <c r="AD48" s="96"/>
      <c r="AE48" s="2177"/>
      <c r="AF48" s="2171"/>
      <c r="AG48" s="96"/>
      <c r="AH48" s="96"/>
      <c r="AI48" s="96"/>
      <c r="AJ48" s="2177"/>
      <c r="AK48" s="2171"/>
      <c r="AL48" s="96"/>
      <c r="AM48" s="96"/>
      <c r="AN48" s="96"/>
      <c r="AO48" s="2177"/>
      <c r="AP48" s="2171"/>
      <c r="AQ48" s="96"/>
      <c r="AR48" s="96"/>
      <c r="AS48" s="96"/>
      <c r="AT48" s="2177"/>
      <c r="AU48" s="2465"/>
      <c r="AV48" s="98"/>
      <c r="AW48" s="99" t="s">
        <v>37</v>
      </c>
      <c r="AX48" s="138"/>
      <c r="AY48" s="138"/>
      <c r="AZ48" s="99"/>
      <c r="BA48" s="110"/>
      <c r="BB48" s="154"/>
      <c r="BC48" s="112"/>
      <c r="BD48" s="18"/>
    </row>
    <row r="49" spans="2:56" ht="27" thickBot="1">
      <c r="B49" s="123" t="s">
        <v>91</v>
      </c>
      <c r="C49" s="124"/>
      <c r="D49" s="124"/>
      <c r="E49" s="124"/>
      <c r="F49" s="78"/>
      <c r="G49" s="155" t="s">
        <v>1753</v>
      </c>
      <c r="H49" s="126"/>
      <c r="I49" s="126"/>
      <c r="J49" s="126"/>
      <c r="K49" s="78"/>
      <c r="L49" s="77"/>
      <c r="M49" s="77"/>
      <c r="N49" s="77"/>
      <c r="O49" s="77"/>
      <c r="P49" s="77"/>
      <c r="Q49" s="77"/>
      <c r="R49" s="1707"/>
      <c r="S49" s="1708"/>
      <c r="T49" s="1707"/>
      <c r="U49" s="1708"/>
      <c r="V49" s="1707"/>
      <c r="W49" s="77"/>
      <c r="X49" s="2178"/>
      <c r="Y49" s="156"/>
      <c r="Z49" s="156"/>
      <c r="AA49" s="2173"/>
      <c r="AB49" s="128"/>
      <c r="AC49" s="128"/>
      <c r="AD49" s="128"/>
      <c r="AE49" s="2174"/>
      <c r="AF49" s="2173"/>
      <c r="AG49" s="128"/>
      <c r="AH49" s="128"/>
      <c r="AI49" s="128"/>
      <c r="AJ49" s="2174"/>
      <c r="AK49" s="2173"/>
      <c r="AL49" s="128"/>
      <c r="AM49" s="128"/>
      <c r="AN49" s="128"/>
      <c r="AO49" s="2174"/>
      <c r="AP49" s="2173"/>
      <c r="AQ49" s="128"/>
      <c r="AR49" s="128"/>
      <c r="AS49" s="128"/>
      <c r="AT49" s="2174"/>
      <c r="AU49" s="80"/>
      <c r="AV49" s="80"/>
      <c r="AW49" s="129"/>
      <c r="AX49" s="129"/>
      <c r="AY49" s="129"/>
      <c r="AZ49" s="129"/>
      <c r="BA49" s="130"/>
      <c r="BB49" s="130"/>
      <c r="BC49" s="131"/>
      <c r="BD49" s="18"/>
    </row>
    <row r="50" spans="2:56" ht="20.100000000000001" customHeight="1">
      <c r="B50" s="1351" t="b">
        <f t="shared" ref="B50:B62" si="3">OR(ISBLANK(R50),ISBLANK(T50),ISBLANK(V50))</f>
        <v>0</v>
      </c>
      <c r="C50" s="85" t="s">
        <v>1747</v>
      </c>
      <c r="D50" s="86"/>
      <c r="E50" s="86"/>
      <c r="F50" s="105" t="s">
        <v>33</v>
      </c>
      <c r="G50" s="106"/>
      <c r="H50" s="104" t="s">
        <v>93</v>
      </c>
      <c r="I50" s="104"/>
      <c r="J50" s="104"/>
      <c r="K50" s="109" t="s">
        <v>35</v>
      </c>
      <c r="L50" s="157"/>
      <c r="M50" s="157"/>
      <c r="N50" s="158"/>
      <c r="O50" s="158"/>
      <c r="P50" s="158"/>
      <c r="Q50" s="95"/>
      <c r="R50" s="1464">
        <v>328613</v>
      </c>
      <c r="S50" s="1526"/>
      <c r="T50" s="1464">
        <v>706613</v>
      </c>
      <c r="U50" s="1522"/>
      <c r="V50" s="1464">
        <v>773326</v>
      </c>
      <c r="W50" s="2053"/>
      <c r="X50" s="2171"/>
      <c r="Y50" s="96"/>
      <c r="Z50" s="2346"/>
      <c r="AA50" s="2171"/>
      <c r="AB50" s="96"/>
      <c r="AC50" s="96"/>
      <c r="AD50" s="96"/>
      <c r="AE50" s="2177"/>
      <c r="AF50" s="2171"/>
      <c r="AG50" s="96"/>
      <c r="AH50" s="96"/>
      <c r="AI50" s="96"/>
      <c r="AJ50" s="2177"/>
      <c r="AK50" s="2171"/>
      <c r="AL50" s="96"/>
      <c r="AM50" s="96"/>
      <c r="AN50" s="96"/>
      <c r="AO50" s="2177"/>
      <c r="AP50" s="2171"/>
      <c r="AQ50" s="96"/>
      <c r="AR50" s="96"/>
      <c r="AS50" s="96"/>
      <c r="AT50" s="2177"/>
      <c r="AU50" s="2465"/>
      <c r="AV50" s="98"/>
      <c r="AW50" s="99" t="s">
        <v>37</v>
      </c>
      <c r="AX50" s="138"/>
      <c r="AY50" s="138"/>
      <c r="AZ50" s="99"/>
      <c r="BA50" s="111"/>
      <c r="BB50" s="154" t="s">
        <v>42</v>
      </c>
      <c r="BC50" s="159"/>
      <c r="BD50" s="18"/>
    </row>
    <row r="51" spans="2:56" ht="20.100000000000001" customHeight="1">
      <c r="B51" s="1351" t="b">
        <f t="shared" si="3"/>
        <v>0</v>
      </c>
      <c r="C51" s="103" t="s">
        <v>1748</v>
      </c>
      <c r="D51" s="104"/>
      <c r="E51" s="104"/>
      <c r="F51" s="105" t="s">
        <v>33</v>
      </c>
      <c r="G51" s="106"/>
      <c r="H51" s="104" t="s">
        <v>95</v>
      </c>
      <c r="I51" s="104"/>
      <c r="J51" s="104"/>
      <c r="K51" s="109" t="s">
        <v>35</v>
      </c>
      <c r="L51" s="158"/>
      <c r="M51" s="158"/>
      <c r="N51" s="158"/>
      <c r="O51" s="158"/>
      <c r="P51" s="158"/>
      <c r="Q51" s="95"/>
      <c r="R51" s="1464">
        <v>249246</v>
      </c>
      <c r="S51" s="1526"/>
      <c r="T51" s="1464">
        <v>431234</v>
      </c>
      <c r="U51" s="1522"/>
      <c r="V51" s="1464">
        <v>448119</v>
      </c>
      <c r="W51" s="2053"/>
      <c r="X51" s="2171"/>
      <c r="Y51" s="96"/>
      <c r="Z51" s="2346"/>
      <c r="AA51" s="2171"/>
      <c r="AB51" s="96"/>
      <c r="AC51" s="96"/>
      <c r="AD51" s="96"/>
      <c r="AE51" s="2177"/>
      <c r="AF51" s="2171"/>
      <c r="AG51" s="96"/>
      <c r="AH51" s="96"/>
      <c r="AI51" s="96"/>
      <c r="AJ51" s="2177"/>
      <c r="AK51" s="2171"/>
      <c r="AL51" s="96"/>
      <c r="AM51" s="96"/>
      <c r="AN51" s="96"/>
      <c r="AO51" s="2177"/>
      <c r="AP51" s="2171"/>
      <c r="AQ51" s="96"/>
      <c r="AR51" s="96"/>
      <c r="AS51" s="96"/>
      <c r="AT51" s="2177"/>
      <c r="AU51" s="2465"/>
      <c r="AV51" s="98"/>
      <c r="AW51" s="99" t="s">
        <v>37</v>
      </c>
      <c r="AX51" s="138"/>
      <c r="AY51" s="138"/>
      <c r="AZ51" s="99"/>
      <c r="BA51" s="111"/>
      <c r="BB51" s="154"/>
      <c r="BC51" s="159"/>
      <c r="BD51" s="18"/>
    </row>
    <row r="52" spans="2:56" ht="20.100000000000001" customHeight="1">
      <c r="B52" s="1351" t="b">
        <f t="shared" si="3"/>
        <v>0</v>
      </c>
      <c r="C52" s="103" t="s">
        <v>1749</v>
      </c>
      <c r="D52" s="104"/>
      <c r="E52" s="104"/>
      <c r="F52" s="105" t="s">
        <v>33</v>
      </c>
      <c r="G52" s="106"/>
      <c r="H52" s="104" t="s">
        <v>1754</v>
      </c>
      <c r="I52" s="104"/>
      <c r="J52" s="104"/>
      <c r="K52" s="109" t="s">
        <v>35</v>
      </c>
      <c r="L52" s="158"/>
      <c r="M52" s="158"/>
      <c r="N52" s="158"/>
      <c r="O52" s="158"/>
      <c r="P52" s="158"/>
      <c r="Q52" s="95"/>
      <c r="R52" s="1464">
        <v>79366</v>
      </c>
      <c r="S52" s="1526"/>
      <c r="T52" s="1464">
        <v>275379</v>
      </c>
      <c r="U52" s="1522"/>
      <c r="V52" s="1464">
        <v>325207</v>
      </c>
      <c r="W52" s="2053"/>
      <c r="X52" s="2171"/>
      <c r="Y52" s="96"/>
      <c r="Z52" s="2346"/>
      <c r="AA52" s="2171"/>
      <c r="AB52" s="96"/>
      <c r="AC52" s="96"/>
      <c r="AD52" s="96"/>
      <c r="AE52" s="2177"/>
      <c r="AF52" s="2171"/>
      <c r="AG52" s="96"/>
      <c r="AH52" s="96"/>
      <c r="AI52" s="96"/>
      <c r="AJ52" s="2177"/>
      <c r="AK52" s="2171"/>
      <c r="AL52" s="96"/>
      <c r="AM52" s="96"/>
      <c r="AN52" s="96"/>
      <c r="AO52" s="2177"/>
      <c r="AP52" s="2171"/>
      <c r="AQ52" s="96"/>
      <c r="AR52" s="96"/>
      <c r="AS52" s="96"/>
      <c r="AT52" s="2177"/>
      <c r="AU52" s="2465"/>
      <c r="AV52" s="98"/>
      <c r="AW52" s="99" t="s">
        <v>37</v>
      </c>
      <c r="AX52" s="138"/>
      <c r="AY52" s="138"/>
      <c r="AZ52" s="99"/>
      <c r="BA52" s="111"/>
      <c r="BB52" s="154"/>
      <c r="BC52" s="159"/>
      <c r="BD52" s="18"/>
    </row>
    <row r="53" spans="2:56" ht="20.100000000000001" customHeight="1">
      <c r="B53" s="1351" t="b">
        <f t="shared" si="3"/>
        <v>0</v>
      </c>
      <c r="C53" s="103" t="s">
        <v>1751</v>
      </c>
      <c r="D53" s="104"/>
      <c r="E53" s="104"/>
      <c r="F53" s="105" t="s">
        <v>33</v>
      </c>
      <c r="G53" s="106"/>
      <c r="H53" s="104" t="s">
        <v>1755</v>
      </c>
      <c r="I53" s="104"/>
      <c r="J53" s="104"/>
      <c r="K53" s="109" t="s">
        <v>35</v>
      </c>
      <c r="L53" s="157"/>
      <c r="M53" s="157"/>
      <c r="N53" s="158"/>
      <c r="O53" s="158"/>
      <c r="P53" s="158"/>
      <c r="Q53" s="95"/>
      <c r="R53" s="1464">
        <v>242935</v>
      </c>
      <c r="S53" s="1526"/>
      <c r="T53" s="1464">
        <v>287746</v>
      </c>
      <c r="U53" s="1522"/>
      <c r="V53" s="1464">
        <v>316640</v>
      </c>
      <c r="W53" s="2053"/>
      <c r="X53" s="2171"/>
      <c r="Y53" s="96"/>
      <c r="Z53" s="2346"/>
      <c r="AA53" s="2171"/>
      <c r="AB53" s="96"/>
      <c r="AC53" s="96"/>
      <c r="AD53" s="96"/>
      <c r="AE53" s="2177"/>
      <c r="AF53" s="2171"/>
      <c r="AG53" s="96"/>
      <c r="AH53" s="96"/>
      <c r="AI53" s="96"/>
      <c r="AJ53" s="2177"/>
      <c r="AK53" s="2171"/>
      <c r="AL53" s="96"/>
      <c r="AM53" s="96"/>
      <c r="AN53" s="96"/>
      <c r="AO53" s="2177"/>
      <c r="AP53" s="2171"/>
      <c r="AQ53" s="96"/>
      <c r="AR53" s="96"/>
      <c r="AS53" s="96"/>
      <c r="AT53" s="2177"/>
      <c r="AU53" s="2465"/>
      <c r="AV53" s="98"/>
      <c r="AW53" s="99" t="s">
        <v>37</v>
      </c>
      <c r="AX53" s="138"/>
      <c r="AY53" s="138"/>
      <c r="AZ53" s="99"/>
      <c r="BA53" s="111"/>
      <c r="BB53" s="154" t="s">
        <v>42</v>
      </c>
      <c r="BC53" s="159"/>
      <c r="BD53" s="18"/>
    </row>
    <row r="54" spans="2:56" ht="20.100000000000001" customHeight="1">
      <c r="B54" s="1351" t="b">
        <f t="shared" si="3"/>
        <v>0</v>
      </c>
      <c r="C54" s="103" t="s">
        <v>96</v>
      </c>
      <c r="D54" s="104"/>
      <c r="E54" s="104"/>
      <c r="F54" s="105" t="s">
        <v>33</v>
      </c>
      <c r="G54" s="106"/>
      <c r="H54" s="104" t="s">
        <v>97</v>
      </c>
      <c r="I54" s="104"/>
      <c r="J54" s="104"/>
      <c r="K54" s="109" t="s">
        <v>35</v>
      </c>
      <c r="L54" s="158"/>
      <c r="M54" s="158"/>
      <c r="N54" s="158"/>
      <c r="O54" s="158"/>
      <c r="P54" s="158"/>
      <c r="Q54" s="95"/>
      <c r="R54" s="1464">
        <v>-163568</v>
      </c>
      <c r="S54" s="1526"/>
      <c r="T54" s="1464">
        <v>-12368</v>
      </c>
      <c r="U54" s="1522"/>
      <c r="V54" s="1464">
        <v>8567</v>
      </c>
      <c r="W54" s="2053"/>
      <c r="X54" s="2171"/>
      <c r="Y54" s="96"/>
      <c r="Z54" s="2346"/>
      <c r="AA54" s="2171"/>
      <c r="AB54" s="96"/>
      <c r="AC54" s="96"/>
      <c r="AD54" s="96"/>
      <c r="AE54" s="2177"/>
      <c r="AF54" s="2171"/>
      <c r="AG54" s="96"/>
      <c r="AH54" s="96"/>
      <c r="AI54" s="96"/>
      <c r="AJ54" s="2177"/>
      <c r="AK54" s="2171"/>
      <c r="AL54" s="96"/>
      <c r="AM54" s="96"/>
      <c r="AN54" s="96"/>
      <c r="AO54" s="2177"/>
      <c r="AP54" s="2171"/>
      <c r="AQ54" s="96"/>
      <c r="AR54" s="96"/>
      <c r="AS54" s="96"/>
      <c r="AT54" s="2177"/>
      <c r="AU54" s="2465"/>
      <c r="AV54" s="98"/>
      <c r="AW54" s="99" t="s">
        <v>37</v>
      </c>
      <c r="AX54" s="138"/>
      <c r="AY54" s="138"/>
      <c r="AZ54" s="99"/>
      <c r="BA54" s="111"/>
      <c r="BB54" s="154" t="s">
        <v>42</v>
      </c>
      <c r="BC54" s="159"/>
      <c r="BD54" s="18"/>
    </row>
    <row r="55" spans="2:56" ht="20.100000000000001" customHeight="1">
      <c r="B55" s="1351" t="b">
        <f t="shared" si="3"/>
        <v>0</v>
      </c>
      <c r="C55" s="103" t="s">
        <v>67</v>
      </c>
      <c r="D55" s="104"/>
      <c r="E55" s="104"/>
      <c r="F55" s="105" t="s">
        <v>33</v>
      </c>
      <c r="G55" s="106"/>
      <c r="H55" s="104" t="s">
        <v>98</v>
      </c>
      <c r="I55" s="104"/>
      <c r="J55" s="104"/>
      <c r="K55" s="109" t="s">
        <v>35</v>
      </c>
      <c r="L55" s="157"/>
      <c r="M55" s="157"/>
      <c r="N55" s="158"/>
      <c r="O55" s="158"/>
      <c r="P55" s="158"/>
      <c r="Q55" s="95"/>
      <c r="R55" s="1464">
        <v>-86679</v>
      </c>
      <c r="S55" s="1526"/>
      <c r="T55" s="1464">
        <v>-117859</v>
      </c>
      <c r="U55" s="1522"/>
      <c r="V55" s="1464">
        <v>-33543</v>
      </c>
      <c r="W55" s="2053"/>
      <c r="X55" s="2171"/>
      <c r="Y55" s="96"/>
      <c r="Z55" s="2346"/>
      <c r="AA55" s="2171"/>
      <c r="AB55" s="96"/>
      <c r="AC55" s="96"/>
      <c r="AD55" s="96"/>
      <c r="AE55" s="2177"/>
      <c r="AF55" s="2171"/>
      <c r="AG55" s="96"/>
      <c r="AH55" s="96"/>
      <c r="AI55" s="96"/>
      <c r="AJ55" s="2177"/>
      <c r="AK55" s="2171"/>
      <c r="AL55" s="96"/>
      <c r="AM55" s="96"/>
      <c r="AN55" s="96"/>
      <c r="AO55" s="2177"/>
      <c r="AP55" s="2171"/>
      <c r="AQ55" s="96"/>
      <c r="AR55" s="96"/>
      <c r="AS55" s="96"/>
      <c r="AT55" s="2177"/>
      <c r="AU55" s="2465"/>
      <c r="AV55" s="98"/>
      <c r="AW55" s="99" t="s">
        <v>37</v>
      </c>
      <c r="AX55" s="138"/>
      <c r="AY55" s="138"/>
      <c r="AZ55" s="99"/>
      <c r="BA55" s="111"/>
      <c r="BB55" s="154"/>
      <c r="BC55" s="159"/>
      <c r="BD55" s="18"/>
    </row>
    <row r="56" spans="2:56" ht="20.100000000000001" customHeight="1">
      <c r="B56" s="1351" t="b">
        <f t="shared" si="3"/>
        <v>0</v>
      </c>
      <c r="C56" s="103" t="s">
        <v>63</v>
      </c>
      <c r="D56" s="104"/>
      <c r="E56" s="104"/>
      <c r="F56" s="105" t="s">
        <v>33</v>
      </c>
      <c r="G56" s="106"/>
      <c r="H56" s="104" t="s">
        <v>99</v>
      </c>
      <c r="I56" s="104"/>
      <c r="J56" s="104"/>
      <c r="K56" s="109" t="s">
        <v>35</v>
      </c>
      <c r="L56" s="158"/>
      <c r="M56" s="158"/>
      <c r="N56" s="158"/>
      <c r="O56" s="158"/>
      <c r="P56" s="158"/>
      <c r="Q56" s="95"/>
      <c r="R56" s="1464">
        <v>48059</v>
      </c>
      <c r="S56" s="1526"/>
      <c r="T56" s="1464">
        <v>79083</v>
      </c>
      <c r="U56" s="1522"/>
      <c r="V56" s="1464">
        <v>45773</v>
      </c>
      <c r="W56" s="2053"/>
      <c r="X56" s="2171"/>
      <c r="Y56" s="96"/>
      <c r="Z56" s="2346"/>
      <c r="AA56" s="2171"/>
      <c r="AB56" s="96"/>
      <c r="AC56" s="96"/>
      <c r="AD56" s="96"/>
      <c r="AE56" s="2177"/>
      <c r="AF56" s="2171"/>
      <c r="AG56" s="96"/>
      <c r="AH56" s="96"/>
      <c r="AI56" s="96"/>
      <c r="AJ56" s="2177"/>
      <c r="AK56" s="2171"/>
      <c r="AL56" s="96"/>
      <c r="AM56" s="96"/>
      <c r="AN56" s="96"/>
      <c r="AO56" s="2177"/>
      <c r="AP56" s="2171"/>
      <c r="AQ56" s="96"/>
      <c r="AR56" s="96"/>
      <c r="AS56" s="96"/>
      <c r="AT56" s="2177"/>
      <c r="AU56" s="2465"/>
      <c r="AV56" s="98"/>
      <c r="AW56" s="99" t="s">
        <v>37</v>
      </c>
      <c r="AX56" s="138"/>
      <c r="AY56" s="138"/>
      <c r="AZ56" s="99"/>
      <c r="BA56" s="111"/>
      <c r="BB56" s="154"/>
      <c r="BC56" s="159"/>
      <c r="BD56" s="18"/>
    </row>
    <row r="57" spans="2:56" ht="20.100000000000001" customHeight="1">
      <c r="B57" s="1351" t="b">
        <f t="shared" si="3"/>
        <v>0</v>
      </c>
      <c r="C57" s="103" t="s">
        <v>65</v>
      </c>
      <c r="D57" s="104"/>
      <c r="E57" s="104"/>
      <c r="F57" s="105" t="s">
        <v>33</v>
      </c>
      <c r="G57" s="106"/>
      <c r="H57" s="104" t="s">
        <v>100</v>
      </c>
      <c r="I57" s="104"/>
      <c r="J57" s="104"/>
      <c r="K57" s="109" t="s">
        <v>35</v>
      </c>
      <c r="L57" s="158"/>
      <c r="M57" s="158"/>
      <c r="N57" s="158"/>
      <c r="O57" s="158"/>
      <c r="P57" s="158"/>
      <c r="Q57" s="95"/>
      <c r="R57" s="1464">
        <v>71382</v>
      </c>
      <c r="S57" s="1526"/>
      <c r="T57" s="1464">
        <v>84869</v>
      </c>
      <c r="U57" s="1522"/>
      <c r="V57" s="1464">
        <v>168744</v>
      </c>
      <c r="W57" s="2053"/>
      <c r="X57" s="2171"/>
      <c r="Y57" s="96"/>
      <c r="Z57" s="2346"/>
      <c r="AA57" s="2171"/>
      <c r="AB57" s="96"/>
      <c r="AC57" s="96"/>
      <c r="AD57" s="96"/>
      <c r="AE57" s="2177"/>
      <c r="AF57" s="2171"/>
      <c r="AG57" s="96"/>
      <c r="AH57" s="96"/>
      <c r="AI57" s="96"/>
      <c r="AJ57" s="2177"/>
      <c r="AK57" s="2171"/>
      <c r="AL57" s="96"/>
      <c r="AM57" s="96"/>
      <c r="AN57" s="96"/>
      <c r="AO57" s="2177"/>
      <c r="AP57" s="2171"/>
      <c r="AQ57" s="96"/>
      <c r="AR57" s="96"/>
      <c r="AS57" s="96"/>
      <c r="AT57" s="2177"/>
      <c r="AU57" s="2465"/>
      <c r="AV57" s="98"/>
      <c r="AW57" s="99" t="s">
        <v>37</v>
      </c>
      <c r="AX57" s="138"/>
      <c r="AY57" s="138"/>
      <c r="AZ57" s="99"/>
      <c r="BA57" s="111"/>
      <c r="BB57" s="154"/>
      <c r="BC57" s="159"/>
      <c r="BD57" s="18"/>
    </row>
    <row r="58" spans="2:56" ht="20.100000000000001" customHeight="1">
      <c r="B58" s="1351" t="b">
        <f t="shared" si="3"/>
        <v>0</v>
      </c>
      <c r="C58" s="103" t="s">
        <v>71</v>
      </c>
      <c r="D58" s="104"/>
      <c r="E58" s="104"/>
      <c r="F58" s="105" t="s">
        <v>33</v>
      </c>
      <c r="G58" s="106"/>
      <c r="H58" s="104" t="s">
        <v>101</v>
      </c>
      <c r="I58" s="104"/>
      <c r="J58" s="104"/>
      <c r="K58" s="109" t="s">
        <v>35</v>
      </c>
      <c r="L58" s="157"/>
      <c r="M58" s="157"/>
      <c r="N58" s="158"/>
      <c r="O58" s="158"/>
      <c r="P58" s="158"/>
      <c r="Q58" s="95"/>
      <c r="R58" s="1464">
        <v>-273570</v>
      </c>
      <c r="S58" s="1526"/>
      <c r="T58" s="1464">
        <v>-136013</v>
      </c>
      <c r="U58" s="1522"/>
      <c r="V58" s="1464">
        <v>-147947</v>
      </c>
      <c r="W58" s="2053"/>
      <c r="X58" s="2171"/>
      <c r="Y58" s="96"/>
      <c r="Z58" s="2346"/>
      <c r="AA58" s="2171"/>
      <c r="AB58" s="96"/>
      <c r="AC58" s="96"/>
      <c r="AD58" s="96"/>
      <c r="AE58" s="2177"/>
      <c r="AF58" s="2171"/>
      <c r="AG58" s="96"/>
      <c r="AH58" s="96"/>
      <c r="AI58" s="96"/>
      <c r="AJ58" s="2177"/>
      <c r="AK58" s="2171"/>
      <c r="AL58" s="96"/>
      <c r="AM58" s="96"/>
      <c r="AN58" s="96"/>
      <c r="AO58" s="2177"/>
      <c r="AP58" s="2171"/>
      <c r="AQ58" s="96"/>
      <c r="AR58" s="96"/>
      <c r="AS58" s="96"/>
      <c r="AT58" s="2177"/>
      <c r="AU58" s="2465"/>
      <c r="AV58" s="98"/>
      <c r="AW58" s="99" t="s">
        <v>37</v>
      </c>
      <c r="AX58" s="138"/>
      <c r="AY58" s="138"/>
      <c r="AZ58" s="99"/>
      <c r="BA58" s="111"/>
      <c r="BB58" s="154"/>
      <c r="BC58" s="159"/>
      <c r="BD58" s="18"/>
    </row>
    <row r="59" spans="2:56" ht="20.100000000000001" customHeight="1">
      <c r="B59" s="1351" t="b">
        <f t="shared" si="3"/>
        <v>0</v>
      </c>
      <c r="C59" s="160" t="s">
        <v>102</v>
      </c>
      <c r="D59" s="161"/>
      <c r="E59" s="161"/>
      <c r="F59" s="105" t="s">
        <v>33</v>
      </c>
      <c r="G59" s="106"/>
      <c r="H59" s="104" t="s">
        <v>103</v>
      </c>
      <c r="I59" s="104"/>
      <c r="J59" s="104"/>
      <c r="K59" s="162" t="s">
        <v>35</v>
      </c>
      <c r="L59" s="158"/>
      <c r="M59" s="158"/>
      <c r="N59" s="158"/>
      <c r="O59" s="158"/>
      <c r="P59" s="158"/>
      <c r="Q59" s="95"/>
      <c r="R59" s="1464">
        <v>-12516</v>
      </c>
      <c r="S59" s="1526"/>
      <c r="T59" s="1464">
        <v>-15207</v>
      </c>
      <c r="U59" s="1522"/>
      <c r="V59" s="1464">
        <v>1235</v>
      </c>
      <c r="W59" s="2053"/>
      <c r="X59" s="2171"/>
      <c r="Y59" s="96"/>
      <c r="Z59" s="2346"/>
      <c r="AA59" s="2171"/>
      <c r="AB59" s="96"/>
      <c r="AC59" s="96"/>
      <c r="AD59" s="96"/>
      <c r="AE59" s="2177"/>
      <c r="AF59" s="2171"/>
      <c r="AG59" s="96"/>
      <c r="AH59" s="96"/>
      <c r="AI59" s="96"/>
      <c r="AJ59" s="2177"/>
      <c r="AK59" s="2171"/>
      <c r="AL59" s="96"/>
      <c r="AM59" s="96"/>
      <c r="AN59" s="96"/>
      <c r="AO59" s="2177"/>
      <c r="AP59" s="2171"/>
      <c r="AQ59" s="96"/>
      <c r="AR59" s="96"/>
      <c r="AS59" s="96"/>
      <c r="AT59" s="2177"/>
      <c r="AU59" s="2465"/>
      <c r="AV59" s="163"/>
      <c r="AW59" s="99" t="s">
        <v>37</v>
      </c>
      <c r="AX59" s="138"/>
      <c r="AY59" s="138"/>
      <c r="AZ59" s="99"/>
      <c r="BA59" s="111"/>
      <c r="BB59" s="154" t="s">
        <v>42</v>
      </c>
      <c r="BC59" s="159"/>
      <c r="BD59" s="18"/>
    </row>
    <row r="60" spans="2:56" ht="20.100000000000001" customHeight="1">
      <c r="B60" s="1351" t="b">
        <f t="shared" si="3"/>
        <v>0</v>
      </c>
      <c r="C60" s="160" t="s">
        <v>104</v>
      </c>
      <c r="D60" s="161"/>
      <c r="E60" s="161"/>
      <c r="F60" s="105" t="s">
        <v>33</v>
      </c>
      <c r="G60" s="106"/>
      <c r="H60" s="104" t="s">
        <v>105</v>
      </c>
      <c r="I60" s="104"/>
      <c r="J60" s="104"/>
      <c r="K60" s="162" t="s">
        <v>35</v>
      </c>
      <c r="L60" s="158"/>
      <c r="M60" s="158"/>
      <c r="N60" s="158"/>
      <c r="O60" s="158"/>
      <c r="P60" s="158"/>
      <c r="Q60" s="95"/>
      <c r="R60" s="1464">
        <v>-261054</v>
      </c>
      <c r="S60" s="1526"/>
      <c r="T60" s="1464">
        <v>-120806</v>
      </c>
      <c r="U60" s="1522"/>
      <c r="V60" s="1464">
        <v>-149182</v>
      </c>
      <c r="W60" s="2053"/>
      <c r="X60" s="2171"/>
      <c r="Y60" s="96"/>
      <c r="Z60" s="2346"/>
      <c r="AA60" s="2171"/>
      <c r="AB60" s="96"/>
      <c r="AC60" s="96"/>
      <c r="AD60" s="96"/>
      <c r="AE60" s="2177"/>
      <c r="AF60" s="2171"/>
      <c r="AG60" s="96"/>
      <c r="AH60" s="96"/>
      <c r="AI60" s="96"/>
      <c r="AJ60" s="2177"/>
      <c r="AK60" s="2171"/>
      <c r="AL60" s="96"/>
      <c r="AM60" s="96"/>
      <c r="AN60" s="96"/>
      <c r="AO60" s="2177"/>
      <c r="AP60" s="2171"/>
      <c r="AQ60" s="96"/>
      <c r="AR60" s="96"/>
      <c r="AS60" s="96"/>
      <c r="AT60" s="2177"/>
      <c r="AU60" s="2465"/>
      <c r="AV60" s="163"/>
      <c r="AW60" s="99" t="s">
        <v>37</v>
      </c>
      <c r="AX60" s="138"/>
      <c r="AY60" s="138"/>
      <c r="AZ60" s="99"/>
      <c r="BA60" s="111"/>
      <c r="BB60" s="154" t="s">
        <v>42</v>
      </c>
      <c r="BC60" s="159"/>
      <c r="BD60" s="18"/>
    </row>
    <row r="61" spans="2:56" ht="20.100000000000001" customHeight="1">
      <c r="B61" s="1351" t="b">
        <f t="shared" si="3"/>
        <v>0</v>
      </c>
      <c r="C61" s="160" t="s">
        <v>77</v>
      </c>
      <c r="D61" s="161"/>
      <c r="E61" s="161"/>
      <c r="F61" s="105" t="s">
        <v>33</v>
      </c>
      <c r="G61" s="106"/>
      <c r="H61" s="104" t="s">
        <v>106</v>
      </c>
      <c r="I61" s="104"/>
      <c r="J61" s="104"/>
      <c r="K61" s="164" t="s">
        <v>35</v>
      </c>
      <c r="L61" s="158"/>
      <c r="M61" s="158"/>
      <c r="N61" s="158"/>
      <c r="O61" s="158"/>
      <c r="P61" s="158"/>
      <c r="Q61" s="95"/>
      <c r="R61" s="1464">
        <v>-1271</v>
      </c>
      <c r="S61" s="1526"/>
      <c r="T61" s="1464">
        <v>1690</v>
      </c>
      <c r="U61" s="1522"/>
      <c r="V61" s="1464">
        <v>-5006</v>
      </c>
      <c r="W61" s="2053"/>
      <c r="X61" s="2171"/>
      <c r="Y61" s="96"/>
      <c r="Z61" s="2346"/>
      <c r="AA61" s="2171"/>
      <c r="AB61" s="96"/>
      <c r="AC61" s="96"/>
      <c r="AD61" s="96"/>
      <c r="AE61" s="2177"/>
      <c r="AF61" s="2171"/>
      <c r="AG61" s="96"/>
      <c r="AH61" s="96"/>
      <c r="AI61" s="96"/>
      <c r="AJ61" s="2177"/>
      <c r="AK61" s="2171"/>
      <c r="AL61" s="96"/>
      <c r="AM61" s="96"/>
      <c r="AN61" s="96"/>
      <c r="AO61" s="2177"/>
      <c r="AP61" s="2171"/>
      <c r="AQ61" s="96"/>
      <c r="AR61" s="96"/>
      <c r="AS61" s="96"/>
      <c r="AT61" s="2177"/>
      <c r="AU61" s="2465"/>
      <c r="AV61" s="163"/>
      <c r="AW61" s="99" t="s">
        <v>37</v>
      </c>
      <c r="AX61" s="138"/>
      <c r="AY61" s="138"/>
      <c r="AZ61" s="99"/>
      <c r="BA61" s="111"/>
      <c r="BB61" s="154"/>
      <c r="BC61" s="159"/>
      <c r="BD61" s="18"/>
    </row>
    <row r="62" spans="2:56" ht="20.100000000000001" customHeight="1">
      <c r="B62" s="1351" t="b">
        <f t="shared" si="3"/>
        <v>0</v>
      </c>
      <c r="C62" s="160" t="s">
        <v>79</v>
      </c>
      <c r="D62" s="161"/>
      <c r="E62" s="161"/>
      <c r="F62" s="105" t="s">
        <v>33</v>
      </c>
      <c r="G62" s="106"/>
      <c r="H62" s="104" t="s">
        <v>107</v>
      </c>
      <c r="I62" s="104"/>
      <c r="J62" s="104"/>
      <c r="K62" s="165" t="s">
        <v>35</v>
      </c>
      <c r="L62" s="158"/>
      <c r="M62" s="158"/>
      <c r="N62" s="158"/>
      <c r="O62" s="158"/>
      <c r="P62" s="158"/>
      <c r="Q62" s="95"/>
      <c r="R62" s="1464">
        <v>-262325</v>
      </c>
      <c r="S62" s="1526"/>
      <c r="T62" s="1464">
        <v>-119117</v>
      </c>
      <c r="U62" s="1522"/>
      <c r="V62" s="1464">
        <v>-155918</v>
      </c>
      <c r="W62" s="2053"/>
      <c r="X62" s="2171"/>
      <c r="Y62" s="96"/>
      <c r="Z62" s="2346"/>
      <c r="AA62" s="2171"/>
      <c r="AB62" s="96"/>
      <c r="AC62" s="96"/>
      <c r="AD62" s="96"/>
      <c r="AE62" s="2177"/>
      <c r="AF62" s="2171"/>
      <c r="AG62" s="96"/>
      <c r="AH62" s="96"/>
      <c r="AI62" s="96"/>
      <c r="AJ62" s="2177"/>
      <c r="AK62" s="2171"/>
      <c r="AL62" s="96"/>
      <c r="AM62" s="96"/>
      <c r="AN62" s="96"/>
      <c r="AO62" s="2177"/>
      <c r="AP62" s="2171"/>
      <c r="AQ62" s="96"/>
      <c r="AR62" s="96"/>
      <c r="AS62" s="96"/>
      <c r="AT62" s="2177"/>
      <c r="AU62" s="2465"/>
      <c r="AV62" s="163"/>
      <c r="AW62" s="99" t="s">
        <v>37</v>
      </c>
      <c r="AX62" s="138"/>
      <c r="AY62" s="138"/>
      <c r="AZ62" s="99"/>
      <c r="BA62" s="111"/>
      <c r="BB62" s="154"/>
      <c r="BC62" s="159"/>
      <c r="BD62" s="18"/>
    </row>
    <row r="63" spans="2:56" ht="20.100000000000001" customHeight="1">
      <c r="B63" s="1353" t="str">
        <f>C63</f>
        <v>확정급여연금제도 의무 및 기타 은퇴지원제도</v>
      </c>
      <c r="C63" s="166" t="s">
        <v>124</v>
      </c>
      <c r="D63" s="167"/>
      <c r="E63" s="167"/>
      <c r="F63" s="1560"/>
      <c r="G63" s="168"/>
      <c r="H63" s="167" t="s">
        <v>1756</v>
      </c>
      <c r="I63" s="167"/>
      <c r="J63" s="167"/>
      <c r="K63" s="169"/>
      <c r="L63" s="170"/>
      <c r="M63" s="170"/>
      <c r="N63" s="171"/>
      <c r="O63" s="171"/>
      <c r="P63" s="171"/>
      <c r="Q63" s="171"/>
      <c r="R63" s="1561"/>
      <c r="S63" s="1562"/>
      <c r="T63" s="1563"/>
      <c r="U63" s="1562"/>
      <c r="V63" s="1563"/>
      <c r="W63" s="2054"/>
      <c r="X63" s="2180"/>
      <c r="Y63" s="173"/>
      <c r="Z63" s="2347"/>
      <c r="AA63" s="2377"/>
      <c r="AB63" s="172"/>
      <c r="AC63" s="174"/>
      <c r="AD63" s="172"/>
      <c r="AE63" s="2181"/>
      <c r="AF63" s="2377"/>
      <c r="AG63" s="172"/>
      <c r="AH63" s="173"/>
      <c r="AI63" s="172"/>
      <c r="AJ63" s="2181"/>
      <c r="AK63" s="2377"/>
      <c r="AL63" s="172"/>
      <c r="AM63" s="174"/>
      <c r="AN63" s="172"/>
      <c r="AO63" s="2181"/>
      <c r="AP63" s="2377"/>
      <c r="AQ63" s="172"/>
      <c r="AR63" s="173"/>
      <c r="AS63" s="172"/>
      <c r="AT63" s="2181"/>
      <c r="AU63" s="1564"/>
      <c r="AV63" s="163"/>
      <c r="AW63" s="99" t="s">
        <v>125</v>
      </c>
      <c r="AX63" s="138"/>
      <c r="AY63" s="138"/>
      <c r="AZ63" s="99"/>
      <c r="BA63" s="111"/>
      <c r="BB63" s="154"/>
      <c r="BC63" s="159"/>
      <c r="BD63" s="18"/>
    </row>
    <row r="64" spans="2:56" ht="20.100000000000001" customHeight="1">
      <c r="B64" s="1351" t="b">
        <f t="shared" ref="B64" si="4">OR(ISBLANK(R64),ISBLANK(T64),ISBLANK(V64))</f>
        <v>0</v>
      </c>
      <c r="C64" s="175"/>
      <c r="D64" s="9749" t="s">
        <v>126</v>
      </c>
      <c r="E64" s="9648"/>
      <c r="F64" s="105" t="s">
        <v>33</v>
      </c>
      <c r="G64" s="106"/>
      <c r="H64" s="176"/>
      <c r="I64" s="177" t="s">
        <v>127</v>
      </c>
      <c r="J64" s="178"/>
      <c r="K64" s="179" t="s">
        <v>128</v>
      </c>
      <c r="L64" s="157"/>
      <c r="M64" s="157"/>
      <c r="N64" s="158"/>
      <c r="O64" s="158"/>
      <c r="P64" s="158"/>
      <c r="Q64" s="95"/>
      <c r="R64" s="1461">
        <v>6363</v>
      </c>
      <c r="S64" s="1522" t="s">
        <v>1757</v>
      </c>
      <c r="T64" s="1461">
        <v>5944</v>
      </c>
      <c r="U64" s="1522" t="s">
        <v>1757</v>
      </c>
      <c r="V64" s="1461">
        <v>4427</v>
      </c>
      <c r="W64" s="2053" t="s">
        <v>629</v>
      </c>
      <c r="X64" s="2182"/>
      <c r="Y64" s="153"/>
      <c r="Z64" s="1241"/>
      <c r="AA64" s="2182"/>
      <c r="AB64" s="93"/>
      <c r="AC64" s="180"/>
      <c r="AD64" s="93"/>
      <c r="AE64" s="2183"/>
      <c r="AF64" s="2182"/>
      <c r="AG64" s="93"/>
      <c r="AH64" s="153"/>
      <c r="AI64" s="93"/>
      <c r="AJ64" s="2183"/>
      <c r="AK64" s="2182"/>
      <c r="AL64" s="93"/>
      <c r="AM64" s="180"/>
      <c r="AN64" s="93"/>
      <c r="AO64" s="2183"/>
      <c r="AP64" s="2182"/>
      <c r="AQ64" s="93"/>
      <c r="AR64" s="153"/>
      <c r="AS64" s="93"/>
      <c r="AT64" s="2183"/>
      <c r="AU64" s="2465" t="s">
        <v>130</v>
      </c>
      <c r="AV64" s="181" t="s">
        <v>131</v>
      </c>
      <c r="AW64" s="99" t="s">
        <v>125</v>
      </c>
      <c r="AX64" s="138"/>
      <c r="AY64" s="138"/>
      <c r="AZ64" s="99"/>
      <c r="BA64" s="111"/>
      <c r="BB64" s="154" t="s">
        <v>132</v>
      </c>
      <c r="BC64" s="159"/>
      <c r="BD64" s="18"/>
    </row>
    <row r="65" spans="1:57" ht="33">
      <c r="B65" s="1351" t="b">
        <f>OR(ISBLANK(R65),ISBLANK(T65),ISBLANK(V65))</f>
        <v>1</v>
      </c>
      <c r="C65" s="182"/>
      <c r="D65" s="9749" t="s">
        <v>152</v>
      </c>
      <c r="E65" s="9648"/>
      <c r="F65" s="105" t="s">
        <v>156</v>
      </c>
      <c r="G65" s="106"/>
      <c r="H65" s="183"/>
      <c r="I65" s="184" t="s">
        <v>153</v>
      </c>
      <c r="J65" s="140"/>
      <c r="K65" s="185" t="s">
        <v>1758</v>
      </c>
      <c r="L65" s="158"/>
      <c r="M65" s="158"/>
      <c r="N65" s="158"/>
      <c r="O65" s="158"/>
      <c r="P65" s="158"/>
      <c r="Q65" s="95"/>
      <c r="R65" s="1486"/>
      <c r="S65" s="1213"/>
      <c r="T65" s="1490" t="s">
        <v>1759</v>
      </c>
      <c r="U65" s="1213"/>
      <c r="V65" s="1490" t="s">
        <v>1759</v>
      </c>
      <c r="W65" s="2053"/>
      <c r="X65" s="2182"/>
      <c r="Y65" s="153"/>
      <c r="Z65" s="1241"/>
      <c r="AA65" s="2182"/>
      <c r="AB65" s="93"/>
      <c r="AC65" s="153"/>
      <c r="AD65" s="93"/>
      <c r="AE65" s="2183"/>
      <c r="AF65" s="2182"/>
      <c r="AG65" s="93"/>
      <c r="AH65" s="153"/>
      <c r="AI65" s="93"/>
      <c r="AJ65" s="2183"/>
      <c r="AK65" s="2182"/>
      <c r="AL65" s="93"/>
      <c r="AM65" s="153"/>
      <c r="AN65" s="93"/>
      <c r="AO65" s="2183"/>
      <c r="AP65" s="2182"/>
      <c r="AQ65" s="93"/>
      <c r="AR65" s="153"/>
      <c r="AS65" s="93"/>
      <c r="AT65" s="2183"/>
      <c r="AU65" s="2465" t="s">
        <v>130</v>
      </c>
      <c r="AV65" s="181" t="s">
        <v>131</v>
      </c>
      <c r="AW65" s="99" t="s">
        <v>125</v>
      </c>
      <c r="AX65" s="138"/>
      <c r="AY65" s="138"/>
      <c r="AZ65" s="99"/>
      <c r="BA65" s="186"/>
      <c r="BB65" s="154" t="s">
        <v>132</v>
      </c>
      <c r="BC65" s="187"/>
      <c r="BD65" s="18"/>
    </row>
    <row r="66" spans="1:57" ht="20.100000000000001" customHeight="1">
      <c r="B66" s="1351" t="b">
        <f t="shared" ref="B66" si="5">OR(ISBLANK(R66),ISBLANK(T66),ISBLANK(V66))</f>
        <v>1</v>
      </c>
      <c r="C66" s="188"/>
      <c r="D66" s="9749" t="s">
        <v>162</v>
      </c>
      <c r="E66" s="9648"/>
      <c r="F66" s="105" t="s">
        <v>1760</v>
      </c>
      <c r="G66" s="106"/>
      <c r="H66" s="189"/>
      <c r="I66" s="184" t="s">
        <v>163</v>
      </c>
      <c r="J66" s="140"/>
      <c r="K66" s="190" t="s">
        <v>1761</v>
      </c>
      <c r="L66" s="158"/>
      <c r="M66" s="158"/>
      <c r="N66" s="158"/>
      <c r="O66" s="158"/>
      <c r="P66" s="158"/>
      <c r="Q66" s="95"/>
      <c r="R66" s="1486"/>
      <c r="S66" s="1213"/>
      <c r="T66" s="1490" t="s">
        <v>1762</v>
      </c>
      <c r="U66" s="1213"/>
      <c r="V66" s="1490" t="s">
        <v>1762</v>
      </c>
      <c r="W66" s="2053"/>
      <c r="X66" s="2182"/>
      <c r="Y66" s="153"/>
      <c r="Z66" s="1241"/>
      <c r="AA66" s="2182"/>
      <c r="AB66" s="93"/>
      <c r="AC66" s="153"/>
      <c r="AD66" s="93"/>
      <c r="AE66" s="2183"/>
      <c r="AF66" s="2182"/>
      <c r="AG66" s="93"/>
      <c r="AH66" s="153"/>
      <c r="AI66" s="93"/>
      <c r="AJ66" s="2183"/>
      <c r="AK66" s="2182"/>
      <c r="AL66" s="93"/>
      <c r="AM66" s="153"/>
      <c r="AN66" s="93"/>
      <c r="AO66" s="2183"/>
      <c r="AP66" s="2182"/>
      <c r="AQ66" s="93"/>
      <c r="AR66" s="153"/>
      <c r="AS66" s="93"/>
      <c r="AT66" s="2183"/>
      <c r="AU66" s="2465" t="s">
        <v>165</v>
      </c>
      <c r="AV66" s="181" t="s">
        <v>131</v>
      </c>
      <c r="AW66" s="99" t="s">
        <v>125</v>
      </c>
      <c r="AX66" s="138"/>
      <c r="AY66" s="138"/>
      <c r="AZ66" s="99"/>
      <c r="BA66" s="186"/>
      <c r="BB66" s="154" t="s">
        <v>132</v>
      </c>
      <c r="BC66" s="187"/>
      <c r="BD66" s="18"/>
    </row>
    <row r="67" spans="1:57" ht="20.100000000000001" customHeight="1">
      <c r="B67" s="1353" t="str">
        <f>C67</f>
        <v>정부의 재정적 지원</v>
      </c>
      <c r="C67" s="166" t="s">
        <v>171</v>
      </c>
      <c r="D67" s="167"/>
      <c r="E67" s="167"/>
      <c r="F67" s="1560"/>
      <c r="G67" s="168"/>
      <c r="H67" s="167" t="s">
        <v>1763</v>
      </c>
      <c r="I67" s="167"/>
      <c r="J67" s="167"/>
      <c r="K67" s="169" t="s">
        <v>168</v>
      </c>
      <c r="L67" s="191"/>
      <c r="M67" s="191"/>
      <c r="N67" s="191"/>
      <c r="O67" s="191"/>
      <c r="P67" s="191"/>
      <c r="Q67" s="171"/>
      <c r="R67" s="1565"/>
      <c r="S67" s="1566"/>
      <c r="T67" s="1567"/>
      <c r="U67" s="1566"/>
      <c r="V67" s="1567"/>
      <c r="W67" s="2054"/>
      <c r="X67" s="2184"/>
      <c r="Y67" s="192"/>
      <c r="Z67" s="2348"/>
      <c r="AA67" s="2377"/>
      <c r="AB67" s="172"/>
      <c r="AC67" s="173"/>
      <c r="AD67" s="172"/>
      <c r="AE67" s="2181"/>
      <c r="AF67" s="2377"/>
      <c r="AG67" s="172"/>
      <c r="AH67" s="173"/>
      <c r="AI67" s="172"/>
      <c r="AJ67" s="2181"/>
      <c r="AK67" s="2377"/>
      <c r="AL67" s="172"/>
      <c r="AM67" s="173"/>
      <c r="AN67" s="172"/>
      <c r="AO67" s="2181"/>
      <c r="AP67" s="2377"/>
      <c r="AQ67" s="172"/>
      <c r="AR67" s="173"/>
      <c r="AS67" s="172"/>
      <c r="AT67" s="2181"/>
      <c r="AU67" s="1564"/>
      <c r="AV67" s="163"/>
      <c r="AW67" s="99" t="s">
        <v>125</v>
      </c>
      <c r="AX67" s="138"/>
      <c r="AY67" s="138"/>
      <c r="AZ67" s="99"/>
      <c r="BA67" s="186"/>
      <c r="BB67" s="154" t="s">
        <v>173</v>
      </c>
      <c r="BC67" s="187"/>
      <c r="BD67" s="18"/>
    </row>
    <row r="68" spans="1:57" ht="20.100000000000001" customHeight="1">
      <c r="B68" s="1351" t="b">
        <f t="shared" ref="B68:B70" si="6">OR(ISBLANK(R68),ISBLANK(T68),ISBLANK(V68))</f>
        <v>1</v>
      </c>
      <c r="C68" s="193"/>
      <c r="D68" s="194" t="s">
        <v>174</v>
      </c>
      <c r="E68" s="195"/>
      <c r="F68" s="105" t="s">
        <v>33</v>
      </c>
      <c r="G68" s="106"/>
      <c r="H68" s="11"/>
      <c r="I68" s="184" t="s">
        <v>176</v>
      </c>
      <c r="J68" s="140"/>
      <c r="K68" s="190" t="s">
        <v>35</v>
      </c>
      <c r="L68" s="157"/>
      <c r="M68" s="157"/>
      <c r="N68" s="158"/>
      <c r="O68" s="158"/>
      <c r="P68" s="158"/>
      <c r="Q68" s="95"/>
      <c r="R68" s="1486"/>
      <c r="S68" s="1213"/>
      <c r="T68" s="1486"/>
      <c r="U68" s="1213"/>
      <c r="V68" s="1486" t="s">
        <v>643</v>
      </c>
      <c r="W68" s="2053"/>
      <c r="X68" s="2186">
        <f>'4DPLEX'!R66</f>
        <v>29536.54</v>
      </c>
      <c r="Y68" s="100">
        <f>'4DPLEX'!T66</f>
        <v>315793.24</v>
      </c>
      <c r="Z68" s="2349">
        <f>'4DPLEX'!V66</f>
        <v>283243.78000000003</v>
      </c>
      <c r="AA68" s="2182"/>
      <c r="AB68" s="93"/>
      <c r="AC68" s="153"/>
      <c r="AD68" s="93"/>
      <c r="AE68" s="2183"/>
      <c r="AF68" s="2182"/>
      <c r="AG68" s="93"/>
      <c r="AH68" s="153"/>
      <c r="AI68" s="93"/>
      <c r="AJ68" s="2183"/>
      <c r="AK68" s="2182"/>
      <c r="AL68" s="93"/>
      <c r="AM68" s="153"/>
      <c r="AN68" s="93"/>
      <c r="AO68" s="2183"/>
      <c r="AP68" s="2182"/>
      <c r="AQ68" s="93"/>
      <c r="AR68" s="153"/>
      <c r="AS68" s="93"/>
      <c r="AT68" s="2183"/>
      <c r="AU68" s="2465"/>
      <c r="AV68" s="163"/>
      <c r="AW68" s="99" t="s">
        <v>125</v>
      </c>
      <c r="AX68" s="138"/>
      <c r="AY68" s="138"/>
      <c r="AZ68" s="99"/>
      <c r="BA68" s="186"/>
      <c r="BB68" s="154" t="s">
        <v>173</v>
      </c>
      <c r="BC68" s="187"/>
      <c r="BD68" s="18"/>
    </row>
    <row r="69" spans="1:57" ht="20.100000000000001" customHeight="1">
      <c r="B69" s="1351" t="b">
        <f t="shared" si="6"/>
        <v>1</v>
      </c>
      <c r="C69" s="182"/>
      <c r="D69" s="196" t="s">
        <v>180</v>
      </c>
      <c r="E69" s="196"/>
      <c r="F69" s="105" t="s">
        <v>33</v>
      </c>
      <c r="G69" s="106"/>
      <c r="H69" s="183"/>
      <c r="I69" s="184" t="s">
        <v>181</v>
      </c>
      <c r="J69" s="140"/>
      <c r="K69" s="190" t="s">
        <v>35</v>
      </c>
      <c r="L69" s="158"/>
      <c r="M69" s="158"/>
      <c r="N69" s="158"/>
      <c r="O69" s="158"/>
      <c r="P69" s="158"/>
      <c r="Q69" s="95"/>
      <c r="R69" s="1486"/>
      <c r="S69" s="1213"/>
      <c r="T69" s="1486"/>
      <c r="U69" s="1213"/>
      <c r="V69" s="1486" t="s">
        <v>643</v>
      </c>
      <c r="W69" s="2053"/>
      <c r="X69" s="2186"/>
      <c r="Y69" s="100"/>
      <c r="Z69" s="2349"/>
      <c r="AA69" s="2182"/>
      <c r="AB69" s="93"/>
      <c r="AC69" s="153"/>
      <c r="AD69" s="93"/>
      <c r="AE69" s="2183"/>
      <c r="AF69" s="2182"/>
      <c r="AG69" s="93"/>
      <c r="AH69" s="153"/>
      <c r="AI69" s="93"/>
      <c r="AJ69" s="2183"/>
      <c r="AK69" s="2182"/>
      <c r="AL69" s="93"/>
      <c r="AM69" s="153"/>
      <c r="AN69" s="93"/>
      <c r="AO69" s="2183"/>
      <c r="AP69" s="2182"/>
      <c r="AQ69" s="93"/>
      <c r="AR69" s="153"/>
      <c r="AS69" s="93"/>
      <c r="AT69" s="2183"/>
      <c r="AU69" s="2465"/>
      <c r="AV69" s="163"/>
      <c r="AW69" s="99" t="s">
        <v>125</v>
      </c>
      <c r="AX69" s="138"/>
      <c r="AY69" s="138"/>
      <c r="AZ69" s="99"/>
      <c r="BA69" s="186"/>
      <c r="BB69" s="154" t="s">
        <v>173</v>
      </c>
      <c r="BC69" s="187"/>
      <c r="BD69" s="18"/>
    </row>
    <row r="70" spans="1:57" ht="20.100000000000001" customHeight="1">
      <c r="B70" s="1351" t="b">
        <f t="shared" si="6"/>
        <v>1</v>
      </c>
      <c r="C70" s="188"/>
      <c r="D70" s="196" t="s">
        <v>183</v>
      </c>
      <c r="E70" s="197"/>
      <c r="F70" s="105" t="s">
        <v>33</v>
      </c>
      <c r="G70" s="106"/>
      <c r="H70" s="189"/>
      <c r="I70" s="198" t="s">
        <v>184</v>
      </c>
      <c r="J70" s="178"/>
      <c r="K70" s="190" t="s">
        <v>35</v>
      </c>
      <c r="L70" s="158"/>
      <c r="M70" s="158"/>
      <c r="N70" s="158"/>
      <c r="O70" s="158"/>
      <c r="P70" s="158"/>
      <c r="Q70" s="95"/>
      <c r="R70" s="1486"/>
      <c r="S70" s="1213"/>
      <c r="T70" s="1486"/>
      <c r="U70" s="1213"/>
      <c r="V70" s="1486" t="s">
        <v>643</v>
      </c>
      <c r="W70" s="2053"/>
      <c r="X70" s="2186"/>
      <c r="Y70" s="100"/>
      <c r="Z70" s="2349"/>
      <c r="AA70" s="2182"/>
      <c r="AB70" s="93"/>
      <c r="AC70" s="153"/>
      <c r="AD70" s="93"/>
      <c r="AE70" s="2183"/>
      <c r="AF70" s="2182"/>
      <c r="AG70" s="93"/>
      <c r="AH70" s="153"/>
      <c r="AI70" s="93"/>
      <c r="AJ70" s="2183"/>
      <c r="AK70" s="2182"/>
      <c r="AL70" s="93"/>
      <c r="AM70" s="153"/>
      <c r="AN70" s="93"/>
      <c r="AO70" s="2183"/>
      <c r="AP70" s="2182"/>
      <c r="AQ70" s="93"/>
      <c r="AR70" s="153"/>
      <c r="AS70" s="93"/>
      <c r="AT70" s="2183"/>
      <c r="AU70" s="2465"/>
      <c r="AV70" s="98"/>
      <c r="AW70" s="99" t="s">
        <v>125</v>
      </c>
      <c r="AX70" s="138"/>
      <c r="AY70" s="138"/>
      <c r="AZ70" s="99"/>
      <c r="BA70" s="186"/>
      <c r="BB70" s="154" t="s">
        <v>173</v>
      </c>
      <c r="BC70" s="187"/>
      <c r="BD70" s="18"/>
    </row>
    <row r="71" spans="1:57" ht="20.100000000000001" customHeight="1">
      <c r="B71" s="1353"/>
      <c r="C71" s="166" t="s">
        <v>1764</v>
      </c>
      <c r="D71" s="167"/>
      <c r="E71" s="167"/>
      <c r="F71" s="1560"/>
      <c r="G71" s="168"/>
      <c r="H71" s="167" t="s">
        <v>1765</v>
      </c>
      <c r="I71" s="167"/>
      <c r="J71" s="167"/>
      <c r="K71" s="169" t="s">
        <v>168</v>
      </c>
      <c r="L71" s="191"/>
      <c r="M71" s="191"/>
      <c r="N71" s="191"/>
      <c r="O71" s="191"/>
      <c r="P71" s="191"/>
      <c r="Q71" s="171"/>
      <c r="R71" s="1565"/>
      <c r="S71" s="1566"/>
      <c r="T71" s="1567"/>
      <c r="U71" s="1566"/>
      <c r="V71" s="1567"/>
      <c r="W71" s="2054"/>
      <c r="X71" s="2184"/>
      <c r="Y71" s="192"/>
      <c r="Z71" s="2348"/>
      <c r="AA71" s="2377"/>
      <c r="AB71" s="172"/>
      <c r="AC71" s="173"/>
      <c r="AD71" s="172"/>
      <c r="AE71" s="2181"/>
      <c r="AF71" s="2377"/>
      <c r="AG71" s="172"/>
      <c r="AH71" s="173"/>
      <c r="AI71" s="172"/>
      <c r="AJ71" s="2181"/>
      <c r="AK71" s="2377"/>
      <c r="AL71" s="172"/>
      <c r="AM71" s="173"/>
      <c r="AN71" s="172"/>
      <c r="AO71" s="2181"/>
      <c r="AP71" s="2377"/>
      <c r="AQ71" s="172"/>
      <c r="AR71" s="173"/>
      <c r="AS71" s="172"/>
      <c r="AT71" s="2181"/>
      <c r="AU71" s="1564"/>
      <c r="AV71" s="98"/>
      <c r="AW71" s="99" t="s">
        <v>1766</v>
      </c>
      <c r="AX71" s="138"/>
      <c r="AY71" s="138"/>
      <c r="AZ71" s="99"/>
      <c r="BA71" s="186"/>
      <c r="BB71" s="154" t="s">
        <v>853</v>
      </c>
      <c r="BC71" s="187"/>
      <c r="BD71" s="18"/>
    </row>
    <row r="72" spans="1:57" ht="20.100000000000001" customHeight="1">
      <c r="B72" s="1351" t="b">
        <f t="shared" ref="B72:B75" si="7">OR(ISBLANK(R72),ISBLANK(T72),ISBLANK(V72))</f>
        <v>0</v>
      </c>
      <c r="C72" s="193"/>
      <c r="D72" s="199" t="s">
        <v>1767</v>
      </c>
      <c r="E72" s="200"/>
      <c r="F72" s="105" t="s">
        <v>742</v>
      </c>
      <c r="G72" s="106"/>
      <c r="H72" s="11"/>
      <c r="I72" s="201" t="s">
        <v>1768</v>
      </c>
      <c r="J72" s="202"/>
      <c r="K72" s="190" t="s">
        <v>734</v>
      </c>
      <c r="L72" s="158"/>
      <c r="M72" s="158"/>
      <c r="N72" s="158"/>
      <c r="O72" s="158"/>
      <c r="P72" s="158"/>
      <c r="Q72" s="95"/>
      <c r="R72" s="1461">
        <v>5</v>
      </c>
      <c r="S72" s="1522"/>
      <c r="T72" s="1461">
        <v>8</v>
      </c>
      <c r="U72" s="1522"/>
      <c r="V72" s="1461">
        <v>8</v>
      </c>
      <c r="W72" s="2053"/>
      <c r="X72" s="2186"/>
      <c r="Y72" s="100"/>
      <c r="Z72" s="2349"/>
      <c r="AA72" s="2182"/>
      <c r="AB72" s="93"/>
      <c r="AC72" s="153"/>
      <c r="AD72" s="93"/>
      <c r="AE72" s="2183"/>
      <c r="AF72" s="2182"/>
      <c r="AG72" s="93"/>
      <c r="AH72" s="153"/>
      <c r="AI72" s="93"/>
      <c r="AJ72" s="2183"/>
      <c r="AK72" s="2182"/>
      <c r="AL72" s="93"/>
      <c r="AM72" s="153"/>
      <c r="AN72" s="93"/>
      <c r="AO72" s="2183"/>
      <c r="AP72" s="2182"/>
      <c r="AQ72" s="93"/>
      <c r="AR72" s="153"/>
      <c r="AS72" s="93"/>
      <c r="AT72" s="2183"/>
      <c r="AU72" s="2465"/>
      <c r="AV72" s="98"/>
      <c r="AW72" s="99" t="s">
        <v>1766</v>
      </c>
      <c r="AX72" s="138"/>
      <c r="AY72" s="138"/>
      <c r="AZ72" s="99"/>
      <c r="BA72" s="186"/>
      <c r="BB72" s="154" t="s">
        <v>853</v>
      </c>
      <c r="BC72" s="187"/>
      <c r="BD72" s="18"/>
    </row>
    <row r="73" spans="1:57" ht="20.100000000000001" customHeight="1">
      <c r="B73" s="1351" t="b">
        <f t="shared" si="7"/>
        <v>0</v>
      </c>
      <c r="C73" s="203"/>
      <c r="D73" s="204" t="s">
        <v>1769</v>
      </c>
      <c r="E73" s="205"/>
      <c r="F73" s="105" t="s">
        <v>742</v>
      </c>
      <c r="G73" s="106"/>
      <c r="H73" s="206"/>
      <c r="I73" s="207" t="s">
        <v>1770</v>
      </c>
      <c r="J73" s="208"/>
      <c r="K73" s="190" t="s">
        <v>734</v>
      </c>
      <c r="L73" s="158"/>
      <c r="M73" s="158"/>
      <c r="N73" s="158"/>
      <c r="O73" s="158"/>
      <c r="P73" s="158"/>
      <c r="Q73" s="95"/>
      <c r="R73" s="1461">
        <v>5</v>
      </c>
      <c r="S73" s="1522"/>
      <c r="T73" s="1461">
        <v>8</v>
      </c>
      <c r="U73" s="1522"/>
      <c r="V73" s="1461">
        <v>8</v>
      </c>
      <c r="W73" s="2053"/>
      <c r="X73" s="2186"/>
      <c r="Y73" s="100"/>
      <c r="Z73" s="2349"/>
      <c r="AA73" s="2182"/>
      <c r="AB73" s="93"/>
      <c r="AC73" s="153"/>
      <c r="AD73" s="93"/>
      <c r="AE73" s="2183"/>
      <c r="AF73" s="2182"/>
      <c r="AG73" s="93"/>
      <c r="AH73" s="153"/>
      <c r="AI73" s="93"/>
      <c r="AJ73" s="2183"/>
      <c r="AK73" s="2182"/>
      <c r="AL73" s="93"/>
      <c r="AM73" s="153"/>
      <c r="AN73" s="93"/>
      <c r="AO73" s="2183"/>
      <c r="AP73" s="2182"/>
      <c r="AQ73" s="93"/>
      <c r="AR73" s="153"/>
      <c r="AS73" s="93"/>
      <c r="AT73" s="2183"/>
      <c r="AU73" s="2465"/>
      <c r="AV73" s="98"/>
      <c r="AW73" s="99" t="s">
        <v>1766</v>
      </c>
      <c r="AX73" s="138"/>
      <c r="AY73" s="138"/>
      <c r="AZ73" s="99"/>
      <c r="BA73" s="186"/>
      <c r="BB73" s="154" t="s">
        <v>853</v>
      </c>
      <c r="BC73" s="159"/>
      <c r="BD73" s="18"/>
    </row>
    <row r="74" spans="1:57" ht="20.100000000000001" customHeight="1">
      <c r="B74" s="1351" t="b">
        <f t="shared" si="7"/>
        <v>0</v>
      </c>
      <c r="C74" s="203"/>
      <c r="D74" s="204" t="s">
        <v>1771</v>
      </c>
      <c r="E74" s="205"/>
      <c r="F74" s="105" t="s">
        <v>156</v>
      </c>
      <c r="G74" s="106"/>
      <c r="H74" s="206"/>
      <c r="I74" s="210" t="s">
        <v>1772</v>
      </c>
      <c r="J74" s="211"/>
      <c r="K74" s="190" t="s">
        <v>156</v>
      </c>
      <c r="L74" s="158"/>
      <c r="M74" s="158"/>
      <c r="N74" s="158"/>
      <c r="O74" s="158"/>
      <c r="P74" s="158"/>
      <c r="Q74" s="95"/>
      <c r="R74" s="1486">
        <v>100</v>
      </c>
      <c r="S74" s="1213"/>
      <c r="T74" s="1486">
        <v>100</v>
      </c>
      <c r="U74" s="1213"/>
      <c r="V74" s="1486">
        <v>100</v>
      </c>
      <c r="W74" s="2053"/>
      <c r="X74" s="2186"/>
      <c r="Y74" s="100"/>
      <c r="Z74" s="2349"/>
      <c r="AA74" s="2182"/>
      <c r="AB74" s="93"/>
      <c r="AC74" s="153"/>
      <c r="AD74" s="93"/>
      <c r="AE74" s="2183"/>
      <c r="AF74" s="2182"/>
      <c r="AG74" s="93"/>
      <c r="AH74" s="153"/>
      <c r="AI74" s="93"/>
      <c r="AJ74" s="2183"/>
      <c r="AK74" s="2182"/>
      <c r="AL74" s="93"/>
      <c r="AM74" s="153"/>
      <c r="AN74" s="93"/>
      <c r="AO74" s="2183"/>
      <c r="AP74" s="2182"/>
      <c r="AQ74" s="93"/>
      <c r="AR74" s="153"/>
      <c r="AS74" s="93"/>
      <c r="AT74" s="2183"/>
      <c r="AU74" s="2465"/>
      <c r="AV74" s="98"/>
      <c r="AW74" s="99" t="s">
        <v>1766</v>
      </c>
      <c r="AX74" s="138"/>
      <c r="AY74" s="138"/>
      <c r="AZ74" s="99"/>
      <c r="BA74" s="186"/>
      <c r="BB74" s="154" t="s">
        <v>853</v>
      </c>
      <c r="BC74" s="187"/>
      <c r="BD74" s="18"/>
    </row>
    <row r="75" spans="1:57" ht="20.100000000000001" customHeight="1">
      <c r="B75" s="1351" t="b">
        <f t="shared" si="7"/>
        <v>0</v>
      </c>
      <c r="C75" s="213"/>
      <c r="D75" s="204" t="s">
        <v>863</v>
      </c>
      <c r="E75" s="205"/>
      <c r="F75" s="105" t="s">
        <v>156</v>
      </c>
      <c r="G75" s="106"/>
      <c r="H75" s="116"/>
      <c r="I75" s="214" t="s">
        <v>1773</v>
      </c>
      <c r="J75" s="211"/>
      <c r="K75" s="99" t="s">
        <v>156</v>
      </c>
      <c r="L75" s="158"/>
      <c r="M75" s="158"/>
      <c r="N75" s="158"/>
      <c r="O75" s="158"/>
      <c r="P75" s="158"/>
      <c r="Q75" s="95"/>
      <c r="R75" s="1486">
        <f>5/1135</f>
        <v>4.4052863436123352E-3</v>
      </c>
      <c r="S75" s="1213"/>
      <c r="T75" s="1486">
        <f>8/1097</f>
        <v>7.2926162260711028E-3</v>
      </c>
      <c r="U75" s="1213"/>
      <c r="V75" s="1486">
        <f>8/1096</f>
        <v>7.2992700729927005E-3</v>
      </c>
      <c r="W75" s="2053"/>
      <c r="X75" s="2186"/>
      <c r="Y75" s="100"/>
      <c r="Z75" s="2349"/>
      <c r="AA75" s="2182"/>
      <c r="AB75" s="93"/>
      <c r="AC75" s="153"/>
      <c r="AD75" s="93"/>
      <c r="AE75" s="2183"/>
      <c r="AF75" s="2182"/>
      <c r="AG75" s="93"/>
      <c r="AH75" s="153"/>
      <c r="AI75" s="93"/>
      <c r="AJ75" s="2183"/>
      <c r="AK75" s="2182"/>
      <c r="AL75" s="93"/>
      <c r="AM75" s="153"/>
      <c r="AN75" s="93"/>
      <c r="AO75" s="2183"/>
      <c r="AP75" s="2182"/>
      <c r="AQ75" s="93"/>
      <c r="AR75" s="153"/>
      <c r="AS75" s="93"/>
      <c r="AT75" s="2183"/>
      <c r="AU75" s="2465" t="s">
        <v>1774</v>
      </c>
      <c r="AV75" s="98" t="s">
        <v>1775</v>
      </c>
      <c r="AW75" s="99" t="s">
        <v>1766</v>
      </c>
      <c r="AX75" s="138"/>
      <c r="AY75" s="138"/>
      <c r="AZ75" s="99"/>
      <c r="BA75" s="111"/>
      <c r="BB75" s="154" t="s">
        <v>853</v>
      </c>
      <c r="BC75" s="187"/>
      <c r="BD75" s="18"/>
    </row>
    <row r="76" spans="1:57" ht="20.100000000000001" customHeight="1">
      <c r="B76" s="1353" t="str">
        <f>C76</f>
        <v>지역 공급업체에 사용하는 예산 비율</v>
      </c>
      <c r="C76" s="166" t="s">
        <v>187</v>
      </c>
      <c r="D76" s="167"/>
      <c r="E76" s="167"/>
      <c r="F76" s="1560"/>
      <c r="G76" s="168"/>
      <c r="H76" s="167" t="s">
        <v>1776</v>
      </c>
      <c r="I76" s="167"/>
      <c r="J76" s="167"/>
      <c r="K76" s="169" t="s">
        <v>168</v>
      </c>
      <c r="L76" s="191"/>
      <c r="M76" s="191"/>
      <c r="N76" s="191"/>
      <c r="O76" s="191"/>
      <c r="P76" s="191"/>
      <c r="Q76" s="171"/>
      <c r="R76" s="1565"/>
      <c r="S76" s="1566"/>
      <c r="T76" s="1567"/>
      <c r="U76" s="1566"/>
      <c r="V76" s="1567"/>
      <c r="W76" s="2054"/>
      <c r="X76" s="2184"/>
      <c r="Y76" s="192"/>
      <c r="Z76" s="2348"/>
      <c r="AA76" s="2378"/>
      <c r="AB76" s="216"/>
      <c r="AC76" s="215"/>
      <c r="AD76" s="216"/>
      <c r="AE76" s="2379"/>
      <c r="AF76" s="2378"/>
      <c r="AG76" s="216"/>
      <c r="AH76" s="215"/>
      <c r="AI76" s="216"/>
      <c r="AJ76" s="2379"/>
      <c r="AK76" s="2378"/>
      <c r="AL76" s="216"/>
      <c r="AM76" s="215"/>
      <c r="AN76" s="216"/>
      <c r="AO76" s="2379"/>
      <c r="AP76" s="2378"/>
      <c r="AQ76" s="216"/>
      <c r="AR76" s="215"/>
      <c r="AS76" s="216"/>
      <c r="AT76" s="2379"/>
      <c r="AU76" s="1564"/>
      <c r="AV76" s="217"/>
      <c r="AW76" s="219" t="s">
        <v>189</v>
      </c>
      <c r="AX76" s="218"/>
      <c r="AY76" s="218"/>
      <c r="AZ76" s="219"/>
      <c r="BA76" s="220"/>
      <c r="BB76" s="154" t="s">
        <v>190</v>
      </c>
      <c r="BC76" s="221"/>
      <c r="BD76" s="18"/>
    </row>
    <row r="77" spans="1:57" ht="20.100000000000001" customHeight="1">
      <c r="B77" s="1351" t="b">
        <f t="shared" ref="B77:B78" si="8">OR(ISBLANK(R77),ISBLANK(T77),ISBLANK(V77))</f>
        <v>0</v>
      </c>
      <c r="C77" s="193"/>
      <c r="D77" s="222" t="s">
        <v>191</v>
      </c>
      <c r="E77" s="223"/>
      <c r="F77" s="105" t="s">
        <v>156</v>
      </c>
      <c r="G77" s="106"/>
      <c r="H77" s="224"/>
      <c r="I77" s="225" t="s">
        <v>192</v>
      </c>
      <c r="J77" s="226"/>
      <c r="K77" s="219" t="s">
        <v>156</v>
      </c>
      <c r="L77" s="158"/>
      <c r="M77" s="158"/>
      <c r="N77" s="158"/>
      <c r="O77" s="158"/>
      <c r="P77" s="158"/>
      <c r="Q77" s="95"/>
      <c r="R77" s="1486">
        <v>32</v>
      </c>
      <c r="S77" s="1289"/>
      <c r="T77" s="1486">
        <f>(51%)*100</f>
        <v>51</v>
      </c>
      <c r="U77" s="1289"/>
      <c r="V77" s="5477">
        <v>47</v>
      </c>
      <c r="W77" s="2053"/>
      <c r="X77" s="2188"/>
      <c r="Y77" s="94"/>
      <c r="Z77" s="2350"/>
      <c r="AA77" s="2188"/>
      <c r="AB77" s="227"/>
      <c r="AC77" s="94"/>
      <c r="AD77" s="227"/>
      <c r="AE77" s="2380"/>
      <c r="AF77" s="2188"/>
      <c r="AG77" s="227"/>
      <c r="AH77" s="94"/>
      <c r="AI77" s="227"/>
      <c r="AJ77" s="2380"/>
      <c r="AK77" s="2188"/>
      <c r="AL77" s="227"/>
      <c r="AM77" s="94"/>
      <c r="AN77" s="227"/>
      <c r="AO77" s="2380"/>
      <c r="AP77" s="2188"/>
      <c r="AQ77" s="227"/>
      <c r="AR77" s="94"/>
      <c r="AS77" s="227"/>
      <c r="AT77" s="2380"/>
      <c r="AU77" s="2466"/>
      <c r="AV77" s="230"/>
      <c r="AW77" s="219" t="s">
        <v>189</v>
      </c>
      <c r="AX77" s="218"/>
      <c r="AY77" s="218"/>
      <c r="AZ77" s="219"/>
      <c r="BA77" s="231"/>
      <c r="BB77" s="154" t="s">
        <v>190</v>
      </c>
      <c r="BC77" s="221"/>
      <c r="BD77" s="18"/>
    </row>
    <row r="78" spans="1:57" ht="21.6" customHeight="1" thickBot="1">
      <c r="B78" s="1642" t="b">
        <f t="shared" si="8"/>
        <v>0</v>
      </c>
      <c r="C78" s="203"/>
      <c r="D78" s="1643" t="s">
        <v>194</v>
      </c>
      <c r="E78" s="1644"/>
      <c r="F78" s="1645" t="s">
        <v>156</v>
      </c>
      <c r="G78" s="232"/>
      <c r="H78" s="233"/>
      <c r="I78" s="234" t="s">
        <v>195</v>
      </c>
      <c r="J78" s="235"/>
      <c r="K78" s="236" t="s">
        <v>156</v>
      </c>
      <c r="L78" s="237"/>
      <c r="M78" s="237"/>
      <c r="N78" s="237"/>
      <c r="O78" s="237"/>
      <c r="P78" s="237"/>
      <c r="Q78" s="238"/>
      <c r="R78" s="1512">
        <v>100</v>
      </c>
      <c r="S78" s="1455"/>
      <c r="T78" s="1512">
        <v>100</v>
      </c>
      <c r="U78" s="1455"/>
      <c r="V78" s="5478">
        <v>100</v>
      </c>
      <c r="W78" s="2055"/>
      <c r="X78" s="2190"/>
      <c r="Y78" s="240"/>
      <c r="Z78" s="2351"/>
      <c r="AA78" s="2190"/>
      <c r="AB78" s="239"/>
      <c r="AC78" s="240"/>
      <c r="AD78" s="239"/>
      <c r="AE78" s="2381"/>
      <c r="AF78" s="2190"/>
      <c r="AG78" s="239"/>
      <c r="AH78" s="240"/>
      <c r="AI78" s="239"/>
      <c r="AJ78" s="2381"/>
      <c r="AK78" s="2190"/>
      <c r="AL78" s="239"/>
      <c r="AM78" s="240"/>
      <c r="AN78" s="239"/>
      <c r="AO78" s="2381"/>
      <c r="AP78" s="2190"/>
      <c r="AQ78" s="239"/>
      <c r="AR78" s="240"/>
      <c r="AS78" s="239"/>
      <c r="AT78" s="2381"/>
      <c r="AU78" s="2467"/>
      <c r="AV78" s="243"/>
      <c r="AW78" s="1647" t="s">
        <v>189</v>
      </c>
      <c r="AX78" s="1648"/>
      <c r="AY78" s="1648"/>
      <c r="AZ78" s="1647"/>
      <c r="BA78" s="1649"/>
      <c r="BB78" s="1650" t="s">
        <v>190</v>
      </c>
      <c r="BC78" s="1651"/>
      <c r="BD78" s="18"/>
    </row>
    <row r="79" spans="1:57" ht="27" thickBot="1">
      <c r="A79" s="50"/>
      <c r="B79" s="1652" t="s">
        <v>197</v>
      </c>
      <c r="C79" s="1653"/>
      <c r="D79" s="1653"/>
      <c r="E79" s="1653"/>
      <c r="F79" s="1654"/>
      <c r="G79" s="246" t="s">
        <v>198</v>
      </c>
      <c r="H79" s="247"/>
      <c r="I79" s="247"/>
      <c r="J79" s="247"/>
      <c r="K79" s="247"/>
      <c r="L79" s="247"/>
      <c r="M79" s="247"/>
      <c r="N79" s="247"/>
      <c r="O79" s="247"/>
      <c r="P79" s="247"/>
      <c r="Q79" s="247"/>
      <c r="R79" s="1655"/>
      <c r="S79" s="1656"/>
      <c r="T79" s="1655"/>
      <c r="U79" s="1656"/>
      <c r="V79" s="1655"/>
      <c r="W79" s="1657"/>
      <c r="X79" s="2192"/>
      <c r="Y79" s="247"/>
      <c r="Z79" s="247"/>
      <c r="AA79" s="2382"/>
      <c r="AB79" s="248"/>
      <c r="AC79" s="248"/>
      <c r="AD79" s="248"/>
      <c r="AE79" s="2383"/>
      <c r="AF79" s="2382"/>
      <c r="AG79" s="248"/>
      <c r="AH79" s="248"/>
      <c r="AI79" s="248"/>
      <c r="AJ79" s="2383"/>
      <c r="AK79" s="2382"/>
      <c r="AL79" s="248"/>
      <c r="AM79" s="248"/>
      <c r="AN79" s="248"/>
      <c r="AO79" s="2383"/>
      <c r="AP79" s="2382"/>
      <c r="AQ79" s="248"/>
      <c r="AR79" s="248"/>
      <c r="AS79" s="248"/>
      <c r="AT79" s="2383"/>
      <c r="AU79" s="1658"/>
      <c r="AV79" s="249"/>
      <c r="AW79" s="73"/>
      <c r="AX79" s="73"/>
      <c r="AY79" s="73"/>
      <c r="AZ79" s="73"/>
      <c r="BA79" s="1659"/>
      <c r="BB79" s="1659"/>
      <c r="BC79" s="1660"/>
      <c r="BD79" s="18"/>
      <c r="BE79" s="54"/>
    </row>
    <row r="80" spans="1:57" ht="27" thickBot="1">
      <c r="B80" s="123" t="s">
        <v>199</v>
      </c>
      <c r="C80" s="124"/>
      <c r="D80" s="124"/>
      <c r="E80" s="124"/>
      <c r="F80" s="78"/>
      <c r="G80" s="125" t="s">
        <v>200</v>
      </c>
      <c r="H80" s="126"/>
      <c r="I80" s="126"/>
      <c r="J80" s="126"/>
      <c r="K80" s="78"/>
      <c r="L80" s="77"/>
      <c r="M80" s="77"/>
      <c r="N80" s="77"/>
      <c r="O80" s="77"/>
      <c r="P80" s="77"/>
      <c r="Q80" s="77"/>
      <c r="R80" s="1484"/>
      <c r="S80" s="1410"/>
      <c r="T80" s="1484"/>
      <c r="U80" s="1410"/>
      <c r="V80" s="1484"/>
      <c r="W80" s="77"/>
      <c r="X80" s="2194"/>
      <c r="Y80" s="78"/>
      <c r="Z80" s="78"/>
      <c r="AA80" s="2175"/>
      <c r="AB80" s="148"/>
      <c r="AC80" s="148"/>
      <c r="AD80" s="148"/>
      <c r="AE80" s="2176"/>
      <c r="AF80" s="2175"/>
      <c r="AG80" s="148"/>
      <c r="AH80" s="148"/>
      <c r="AI80" s="148"/>
      <c r="AJ80" s="2176"/>
      <c r="AK80" s="2175"/>
      <c r="AL80" s="148"/>
      <c r="AM80" s="148"/>
      <c r="AN80" s="148"/>
      <c r="AO80" s="2176"/>
      <c r="AP80" s="2175"/>
      <c r="AQ80" s="148"/>
      <c r="AR80" s="148"/>
      <c r="AS80" s="148"/>
      <c r="AT80" s="2176"/>
      <c r="AU80" s="80"/>
      <c r="AV80" s="80"/>
      <c r="AW80" s="129"/>
      <c r="AX80" s="129"/>
      <c r="AY80" s="129"/>
      <c r="AZ80" s="129"/>
      <c r="BA80" s="130"/>
      <c r="BB80" s="130"/>
      <c r="BC80" s="131"/>
      <c r="BD80" s="18"/>
    </row>
    <row r="81" spans="2:56" ht="19.899999999999999" customHeight="1">
      <c r="B81" s="1359" t="b">
        <f t="shared" ref="B81:B90" si="9">OR(ISBLANK(R81),ISBLANK(T81),ISBLANK(V81))</f>
        <v>0</v>
      </c>
      <c r="C81" s="9764" t="s">
        <v>648</v>
      </c>
      <c r="D81" s="9764"/>
      <c r="E81" s="9764"/>
      <c r="F81" s="252" t="s">
        <v>212</v>
      </c>
      <c r="G81" s="253"/>
      <c r="H81" s="140" t="s">
        <v>202</v>
      </c>
      <c r="I81" s="254"/>
      <c r="J81" s="254"/>
      <c r="K81" s="255" t="s">
        <v>212</v>
      </c>
      <c r="L81" s="256">
        <f>L82+L83</f>
        <v>60746.31</v>
      </c>
      <c r="M81" s="257"/>
      <c r="N81" s="256">
        <f>N82+N83</f>
        <v>71392.570000000007</v>
      </c>
      <c r="O81" s="258"/>
      <c r="P81" s="256">
        <f>P82+P83</f>
        <v>0</v>
      </c>
      <c r="Q81" s="256"/>
      <c r="R81" s="1692">
        <v>60746.3</v>
      </c>
      <c r="S81" s="979"/>
      <c r="T81" s="5489">
        <v>71420</v>
      </c>
      <c r="U81" s="1412"/>
      <c r="V81" s="5480">
        <v>69731</v>
      </c>
      <c r="W81" s="2056"/>
      <c r="X81" s="2550"/>
      <c r="Y81" s="2551"/>
      <c r="Z81" s="2552"/>
      <c r="AA81" s="2550">
        <f>SUM(AA82:AA83)</f>
        <v>108986.20006197746</v>
      </c>
      <c r="AB81" s="2630">
        <f t="shared" ref="AB81:AE81" si="10">SUM(AB82:AB83)</f>
        <v>0</v>
      </c>
      <c r="AC81" s="2551">
        <f t="shared" si="10"/>
        <v>92402.921378387007</v>
      </c>
      <c r="AD81" s="2630">
        <f t="shared" si="10"/>
        <v>0</v>
      </c>
      <c r="AE81" s="2610">
        <f t="shared" si="10"/>
        <v>93808.071312774584</v>
      </c>
      <c r="AF81" s="5342"/>
      <c r="AG81" s="5350"/>
      <c r="AH81" s="5343"/>
      <c r="AI81" s="2630"/>
      <c r="AJ81" s="2610"/>
      <c r="AK81" s="2550"/>
      <c r="AL81" s="2630"/>
      <c r="AM81" s="2551"/>
      <c r="AN81" s="2630"/>
      <c r="AO81" s="2610"/>
      <c r="AP81" s="2550"/>
      <c r="AQ81" s="2630"/>
      <c r="AR81" s="2551"/>
      <c r="AS81" s="2630"/>
      <c r="AT81" s="2610"/>
      <c r="AU81" s="1021" t="s">
        <v>649</v>
      </c>
      <c r="AV81" s="263" t="s">
        <v>205</v>
      </c>
      <c r="AW81" s="99" t="s">
        <v>206</v>
      </c>
      <c r="AX81" s="138"/>
      <c r="AY81" s="138"/>
      <c r="AZ81" s="99"/>
      <c r="BA81" s="264" t="s">
        <v>207</v>
      </c>
      <c r="BB81" s="265"/>
      <c r="BC81" s="187"/>
      <c r="BD81" s="18"/>
    </row>
    <row r="82" spans="2:56" ht="19.899999999999999" customHeight="1">
      <c r="B82" s="1360" t="b">
        <f t="shared" si="9"/>
        <v>0</v>
      </c>
      <c r="C82" s="9765"/>
      <c r="D82" s="266" t="s">
        <v>210</v>
      </c>
      <c r="E82" s="266"/>
      <c r="F82" s="132" t="s">
        <v>212</v>
      </c>
      <c r="G82" s="253"/>
      <c r="H82" s="11"/>
      <c r="I82" s="267" t="s">
        <v>211</v>
      </c>
      <c r="J82" s="268"/>
      <c r="K82" s="136" t="s">
        <v>212</v>
      </c>
      <c r="L82" s="269">
        <v>7184.4009999999998</v>
      </c>
      <c r="M82" s="269"/>
      <c r="N82" s="269">
        <v>7712.27</v>
      </c>
      <c r="O82" s="270"/>
      <c r="P82" s="271"/>
      <c r="Q82" s="272"/>
      <c r="R82" s="1488">
        <v>7184.4</v>
      </c>
      <c r="S82" s="979"/>
      <c r="T82" s="5488">
        <v>7712.3</v>
      </c>
      <c r="U82" s="5487" t="s">
        <v>1777</v>
      </c>
      <c r="V82" s="5481">
        <v>7590.4170000000004</v>
      </c>
      <c r="W82" s="5541" t="s">
        <v>1778</v>
      </c>
      <c r="X82" s="2557"/>
      <c r="Y82" s="2558"/>
      <c r="Z82" s="2559"/>
      <c r="AA82" s="2557">
        <f>China!AO81</f>
        <v>61780.287091847931</v>
      </c>
      <c r="AB82" s="2561">
        <f>China!AP81</f>
        <v>0</v>
      </c>
      <c r="AC82" s="2558">
        <f>China!AQ81</f>
        <v>50879.003569474</v>
      </c>
      <c r="AD82" s="2561">
        <f>China!AR81</f>
        <v>0</v>
      </c>
      <c r="AE82" s="2556">
        <f>China!AS81</f>
        <v>50978.402199850505</v>
      </c>
      <c r="AF82" s="2553"/>
      <c r="AG82" s="2560"/>
      <c r="AH82" s="2554"/>
      <c r="AI82" s="2561"/>
      <c r="AJ82" s="2556"/>
      <c r="AK82" s="2557"/>
      <c r="AL82" s="2561"/>
      <c r="AM82" s="2558"/>
      <c r="AN82" s="2561"/>
      <c r="AO82" s="2556"/>
      <c r="AP82" s="2557"/>
      <c r="AQ82" s="2561"/>
      <c r="AR82" s="2558"/>
      <c r="AS82" s="2561"/>
      <c r="AT82" s="2556"/>
      <c r="AU82" s="2468" t="s">
        <v>213</v>
      </c>
      <c r="AV82" s="276" t="s">
        <v>214</v>
      </c>
      <c r="AW82" s="99" t="s">
        <v>206</v>
      </c>
      <c r="AX82" s="138"/>
      <c r="AY82" s="138"/>
      <c r="AZ82" s="99"/>
      <c r="BA82" s="264" t="s">
        <v>215</v>
      </c>
      <c r="BB82" s="277" t="s">
        <v>216</v>
      </c>
      <c r="BC82" s="187"/>
      <c r="BD82" s="18"/>
    </row>
    <row r="83" spans="2:56" ht="19.899999999999999" customHeight="1">
      <c r="B83" s="1360" t="b">
        <f t="shared" si="9"/>
        <v>0</v>
      </c>
      <c r="C83" s="9766"/>
      <c r="D83" s="266" t="s">
        <v>1779</v>
      </c>
      <c r="E83" s="266"/>
      <c r="F83" s="132" t="s">
        <v>203</v>
      </c>
      <c r="G83" s="253"/>
      <c r="H83" s="11"/>
      <c r="I83" s="267" t="s">
        <v>218</v>
      </c>
      <c r="J83" s="268"/>
      <c r="K83" s="136" t="s">
        <v>203</v>
      </c>
      <c r="L83" s="269">
        <v>53561.909</v>
      </c>
      <c r="M83" s="269"/>
      <c r="N83" s="269">
        <v>63680.3</v>
      </c>
      <c r="O83" s="270"/>
      <c r="P83" s="278"/>
      <c r="Q83" s="279"/>
      <c r="R83" s="1488">
        <v>53561.9</v>
      </c>
      <c r="S83" s="1418"/>
      <c r="T83" s="5488">
        <v>63708.92</v>
      </c>
      <c r="U83" s="5487" t="s">
        <v>1777</v>
      </c>
      <c r="V83" s="5481">
        <v>62207.722000000002</v>
      </c>
      <c r="W83" s="5541" t="s">
        <v>1778</v>
      </c>
      <c r="X83" s="2557"/>
      <c r="Y83" s="2558"/>
      <c r="Z83" s="2559"/>
      <c r="AA83" s="2557">
        <f>China!AO82</f>
        <v>47205.912970129539</v>
      </c>
      <c r="AB83" s="2561">
        <f>China!AP82</f>
        <v>0</v>
      </c>
      <c r="AC83" s="2558">
        <f>China!AQ82</f>
        <v>41523.917808913007</v>
      </c>
      <c r="AD83" s="2561">
        <f>China!AR82</f>
        <v>0</v>
      </c>
      <c r="AE83" s="2556">
        <f>China!AS82</f>
        <v>42829.669112924086</v>
      </c>
      <c r="AF83" s="2553"/>
      <c r="AG83" s="2560"/>
      <c r="AH83" s="2554"/>
      <c r="AI83" s="2561"/>
      <c r="AJ83" s="2556"/>
      <c r="AK83" s="2557"/>
      <c r="AL83" s="2561"/>
      <c r="AM83" s="2558"/>
      <c r="AN83" s="2561"/>
      <c r="AO83" s="2556"/>
      <c r="AP83" s="2557"/>
      <c r="AQ83" s="2561"/>
      <c r="AR83" s="2558"/>
      <c r="AS83" s="2561"/>
      <c r="AT83" s="2556"/>
      <c r="AU83" s="2468" t="s">
        <v>219</v>
      </c>
      <c r="AV83" s="276" t="s">
        <v>220</v>
      </c>
      <c r="AW83" s="99" t="s">
        <v>206</v>
      </c>
      <c r="AX83" s="138"/>
      <c r="AY83" s="138"/>
      <c r="AZ83" s="99"/>
      <c r="BA83" s="277" t="s">
        <v>221</v>
      </c>
      <c r="BB83" s="264" t="s">
        <v>222</v>
      </c>
      <c r="BC83" s="187"/>
      <c r="BD83" s="18"/>
    </row>
    <row r="84" spans="2:56" ht="20.100000000000001" customHeight="1">
      <c r="B84" s="1360" t="b">
        <f t="shared" si="9"/>
        <v>0</v>
      </c>
      <c r="C84" s="104" t="s">
        <v>223</v>
      </c>
      <c r="D84" s="104"/>
      <c r="E84" s="104"/>
      <c r="F84" s="280" t="s">
        <v>653</v>
      </c>
      <c r="G84" s="253"/>
      <c r="H84" s="143" t="s">
        <v>224</v>
      </c>
      <c r="I84" s="143"/>
      <c r="J84" s="144"/>
      <c r="K84" s="281" t="s">
        <v>225</v>
      </c>
      <c r="L84" s="282">
        <f>L85/L86</f>
        <v>18.485668552370111</v>
      </c>
      <c r="M84" s="283"/>
      <c r="N84" s="282">
        <f>N85/N86</f>
        <v>10.103675346730824</v>
      </c>
      <c r="O84" s="284"/>
      <c r="P84" s="282" t="str">
        <f>IFERROR(P85/P86,"-")</f>
        <v>-</v>
      </c>
      <c r="Q84" s="282"/>
      <c r="R84" s="1487">
        <f>R85/R86</f>
        <v>18.485668552370111</v>
      </c>
      <c r="S84" s="1431"/>
      <c r="T84" s="5474">
        <f>T85/T86</f>
        <v>10.107371361693033</v>
      </c>
      <c r="U84" s="1431"/>
      <c r="V84" s="5474">
        <f>IFERROR(V85/V86,"-")</f>
        <v>9.0170251614454955</v>
      </c>
      <c r="W84" s="5542"/>
      <c r="X84" s="2562"/>
      <c r="Y84" s="2564"/>
      <c r="Z84" s="282"/>
      <c r="AA84" s="5354">
        <f>AA85/AA86</f>
        <v>41.740381297781852</v>
      </c>
      <c r="AB84" s="5355">
        <v>41.740381297781852</v>
      </c>
      <c r="AC84" s="5356">
        <f t="shared" ref="AC84:AE84" si="11">AC85/AC86</f>
        <v>55.378520092735627</v>
      </c>
      <c r="AD84" s="5355" t="e">
        <f t="shared" si="11"/>
        <v>#DIV/0!</v>
      </c>
      <c r="AE84" s="5357">
        <f t="shared" si="11"/>
        <v>31.43343024150273</v>
      </c>
      <c r="AF84" s="2562"/>
      <c r="AG84" s="2561"/>
      <c r="AH84" s="2564"/>
      <c r="AI84" s="2561"/>
      <c r="AJ84" s="2566"/>
      <c r="AK84" s="2562"/>
      <c r="AL84" s="2561"/>
      <c r="AM84" s="2564"/>
      <c r="AN84" s="2561"/>
      <c r="AO84" s="2566"/>
      <c r="AP84" s="2562"/>
      <c r="AQ84" s="2561"/>
      <c r="AR84" s="2564"/>
      <c r="AS84" s="2561"/>
      <c r="AT84" s="2566"/>
      <c r="AU84" s="2468" t="s">
        <v>226</v>
      </c>
      <c r="AV84" s="276" t="s">
        <v>227</v>
      </c>
      <c r="AW84" s="99" t="s">
        <v>206</v>
      </c>
      <c r="AX84" s="138"/>
      <c r="AY84" s="138"/>
      <c r="AZ84" s="99"/>
      <c r="BA84" s="264" t="s">
        <v>228</v>
      </c>
      <c r="BB84" s="265"/>
      <c r="BC84" s="187"/>
      <c r="BD84" s="18"/>
    </row>
    <row r="85" spans="2:56" ht="20.100000000000001" customHeight="1">
      <c r="B85" s="1360" t="b">
        <f t="shared" si="9"/>
        <v>0</v>
      </c>
      <c r="C85" s="9767"/>
      <c r="D85" s="161" t="s">
        <v>230</v>
      </c>
      <c r="E85" s="161"/>
      <c r="F85" s="285" t="s">
        <v>212</v>
      </c>
      <c r="G85" s="286"/>
      <c r="H85" s="287"/>
      <c r="I85" s="288" t="s">
        <v>231</v>
      </c>
      <c r="J85" s="289"/>
      <c r="K85" s="109" t="s">
        <v>212</v>
      </c>
      <c r="L85" s="290">
        <v>60746.31</v>
      </c>
      <c r="M85" s="290"/>
      <c r="N85" s="290">
        <v>71392.570000000007</v>
      </c>
      <c r="O85" s="284"/>
      <c r="P85" s="291"/>
      <c r="Q85" s="292"/>
      <c r="R85" s="1488">
        <v>60746.31</v>
      </c>
      <c r="S85" s="935">
        <v>18.485668552370111</v>
      </c>
      <c r="T85" s="5488">
        <v>71420</v>
      </c>
      <c r="U85" s="5487" t="s">
        <v>1777</v>
      </c>
      <c r="V85" s="5477">
        <v>69731</v>
      </c>
      <c r="W85" s="5541" t="s">
        <v>1778</v>
      </c>
      <c r="X85" s="2550"/>
      <c r="Y85" s="2551"/>
      <c r="Z85" s="2552"/>
      <c r="AA85" s="2550">
        <f>AA81</f>
        <v>108986.20006197746</v>
      </c>
      <c r="AB85" s="2564">
        <f t="shared" ref="AB85:AE85" si="12">AB81</f>
        <v>0</v>
      </c>
      <c r="AC85" s="2551">
        <f t="shared" si="12"/>
        <v>92402.921378387007</v>
      </c>
      <c r="AD85" s="2564">
        <f t="shared" si="12"/>
        <v>0</v>
      </c>
      <c r="AE85" s="2610">
        <f t="shared" si="12"/>
        <v>93808.071312774584</v>
      </c>
      <c r="AF85" s="2550"/>
      <c r="AG85" s="2564"/>
      <c r="AH85" s="2551"/>
      <c r="AI85" s="2564"/>
      <c r="AJ85" s="2610"/>
      <c r="AK85" s="2550"/>
      <c r="AL85" s="2564"/>
      <c r="AM85" s="2551"/>
      <c r="AN85" s="2564"/>
      <c r="AO85" s="2610"/>
      <c r="AP85" s="2550"/>
      <c r="AQ85" s="2564"/>
      <c r="AR85" s="2551"/>
      <c r="AS85" s="2564"/>
      <c r="AT85" s="2610"/>
      <c r="AU85" s="2468"/>
      <c r="AV85" s="276"/>
      <c r="AW85" s="99" t="s">
        <v>206</v>
      </c>
      <c r="AX85" s="138"/>
      <c r="AY85" s="138"/>
      <c r="AZ85" s="99"/>
      <c r="BA85" s="264" t="s">
        <v>228</v>
      </c>
      <c r="BB85" s="265"/>
      <c r="BC85" s="187"/>
      <c r="BD85" s="18"/>
    </row>
    <row r="86" spans="2:56" ht="20.100000000000001" customHeight="1">
      <c r="B86" s="1360" t="b">
        <f t="shared" si="9"/>
        <v>0</v>
      </c>
      <c r="C86" s="9768"/>
      <c r="D86" s="104" t="s">
        <v>232</v>
      </c>
      <c r="E86" s="161"/>
      <c r="F86" s="295" t="s">
        <v>233</v>
      </c>
      <c r="G86" s="286"/>
      <c r="H86" s="296"/>
      <c r="I86" s="288" t="s">
        <v>234</v>
      </c>
      <c r="J86" s="289"/>
      <c r="K86" s="281" t="s">
        <v>235</v>
      </c>
      <c r="L86" s="290">
        <v>3286.13</v>
      </c>
      <c r="M86" s="290"/>
      <c r="N86" s="290">
        <v>7066</v>
      </c>
      <c r="O86" s="284"/>
      <c r="P86" s="291"/>
      <c r="Q86" s="292"/>
      <c r="R86" s="1488">
        <v>3286.13</v>
      </c>
      <c r="S86" s="935" t="s">
        <v>704</v>
      </c>
      <c r="T86" s="1488">
        <v>7066.13</v>
      </c>
      <c r="U86" s="1202" t="s">
        <v>704</v>
      </c>
      <c r="V86" s="1490">
        <v>7733.26</v>
      </c>
      <c r="W86" s="2059" t="s">
        <v>704</v>
      </c>
      <c r="X86" s="2557"/>
      <c r="Y86" s="2558"/>
      <c r="Z86" s="2559"/>
      <c r="AA86" s="2557">
        <f>China!AO85</f>
        <v>2611.0494603404391</v>
      </c>
      <c r="AB86" s="2561">
        <f>China!AP85</f>
        <v>0</v>
      </c>
      <c r="AC86" s="2558">
        <f>China!AQ85</f>
        <v>1668.5697130160061</v>
      </c>
      <c r="AD86" s="2561">
        <f>China!AR85</f>
        <v>0</v>
      </c>
      <c r="AE86" s="2556">
        <f>China!AS85</f>
        <v>2984.3408941387597</v>
      </c>
      <c r="AF86" s="2557"/>
      <c r="AG86" s="2561"/>
      <c r="AH86" s="2558"/>
      <c r="AI86" s="2561"/>
      <c r="AJ86" s="2556"/>
      <c r="AK86" s="2557"/>
      <c r="AL86" s="2561"/>
      <c r="AM86" s="2558"/>
      <c r="AN86" s="2561"/>
      <c r="AO86" s="2556"/>
      <c r="AP86" s="2557"/>
      <c r="AQ86" s="2561"/>
      <c r="AR86" s="2558"/>
      <c r="AS86" s="2561"/>
      <c r="AT86" s="2556"/>
      <c r="AU86" s="2468"/>
      <c r="AV86" s="276"/>
      <c r="AW86" s="99" t="s">
        <v>37</v>
      </c>
      <c r="AX86" s="138"/>
      <c r="AY86" s="138"/>
      <c r="AZ86" s="99"/>
      <c r="BA86" s="264" t="s">
        <v>228</v>
      </c>
      <c r="BB86" s="265"/>
      <c r="BC86" s="187"/>
      <c r="BD86" s="18"/>
    </row>
    <row r="87" spans="2:56" ht="19.899999999999999" customHeight="1">
      <c r="B87" s="1360" t="b">
        <f t="shared" si="9"/>
        <v>0</v>
      </c>
      <c r="C87" s="161" t="s">
        <v>237</v>
      </c>
      <c r="D87" s="161"/>
      <c r="E87" s="161"/>
      <c r="F87" s="285" t="s">
        <v>212</v>
      </c>
      <c r="G87" s="286"/>
      <c r="H87" s="140" t="s">
        <v>238</v>
      </c>
      <c r="I87" s="140"/>
      <c r="J87" s="141"/>
      <c r="K87" s="109" t="s">
        <v>212</v>
      </c>
      <c r="L87" s="228"/>
      <c r="M87" s="297"/>
      <c r="N87" s="228"/>
      <c r="O87" s="95"/>
      <c r="P87" s="228"/>
      <c r="Q87" s="297"/>
      <c r="R87" s="1490" t="s">
        <v>169</v>
      </c>
      <c r="S87" s="1346" t="s">
        <v>209</v>
      </c>
      <c r="T87" s="1490" t="s">
        <v>169</v>
      </c>
      <c r="U87" s="1346" t="s">
        <v>209</v>
      </c>
      <c r="V87" s="1490" t="s">
        <v>169</v>
      </c>
      <c r="W87" s="2060" t="s">
        <v>369</v>
      </c>
      <c r="X87" s="2557"/>
      <c r="Y87" s="2558"/>
      <c r="Z87" s="2559"/>
      <c r="AA87" s="2557"/>
      <c r="AB87" s="2561"/>
      <c r="AC87" s="2558"/>
      <c r="AD87" s="2561"/>
      <c r="AE87" s="2556"/>
      <c r="AF87" s="2557"/>
      <c r="AG87" s="2561"/>
      <c r="AH87" s="2558"/>
      <c r="AI87" s="2561"/>
      <c r="AJ87" s="2556"/>
      <c r="AK87" s="2557"/>
      <c r="AL87" s="2561"/>
      <c r="AM87" s="2558"/>
      <c r="AN87" s="2561"/>
      <c r="AO87" s="2556"/>
      <c r="AP87" s="2557"/>
      <c r="AQ87" s="2561"/>
      <c r="AR87" s="2558"/>
      <c r="AS87" s="2561"/>
      <c r="AT87" s="2556"/>
      <c r="AU87" s="2468" t="s">
        <v>239</v>
      </c>
      <c r="AV87" s="276" t="s">
        <v>240</v>
      </c>
      <c r="AW87" s="99" t="s">
        <v>206</v>
      </c>
      <c r="AX87" s="138"/>
      <c r="AY87" s="138"/>
      <c r="AZ87" s="299" t="s">
        <v>193</v>
      </c>
      <c r="BA87" s="264" t="s">
        <v>241</v>
      </c>
      <c r="BB87" s="264" t="s">
        <v>242</v>
      </c>
      <c r="BC87" s="187"/>
      <c r="BD87" s="18"/>
    </row>
    <row r="88" spans="2:56" ht="19.899999999999999" customHeight="1">
      <c r="B88" s="1360" t="b">
        <f t="shared" si="9"/>
        <v>1</v>
      </c>
      <c r="C88" s="161" t="s">
        <v>656</v>
      </c>
      <c r="D88" s="104"/>
      <c r="E88" s="104"/>
      <c r="F88" s="105" t="s">
        <v>212</v>
      </c>
      <c r="G88" s="286"/>
      <c r="H88" s="300" t="s">
        <v>657</v>
      </c>
      <c r="I88" s="140"/>
      <c r="J88" s="141"/>
      <c r="K88" s="109" t="s">
        <v>212</v>
      </c>
      <c r="L88" s="301"/>
      <c r="M88" s="301"/>
      <c r="N88" s="301"/>
      <c r="O88" s="301"/>
      <c r="P88" s="301"/>
      <c r="Q88" s="301"/>
      <c r="R88" s="1488"/>
      <c r="S88" s="1413"/>
      <c r="T88" s="1488"/>
      <c r="U88" s="283"/>
      <c r="V88" s="1488"/>
      <c r="W88" s="2061"/>
      <c r="X88" s="2557"/>
      <c r="Y88" s="2558"/>
      <c r="Z88" s="2559"/>
      <c r="AA88" s="2557"/>
      <c r="AB88" s="2561"/>
      <c r="AC88" s="2558"/>
      <c r="AD88" s="2561"/>
      <c r="AE88" s="2556"/>
      <c r="AF88" s="2553"/>
      <c r="AG88" s="2560"/>
      <c r="AH88" s="2554"/>
      <c r="AI88" s="2561"/>
      <c r="AJ88" s="2556"/>
      <c r="AK88" s="2557"/>
      <c r="AL88" s="2561"/>
      <c r="AM88" s="2558"/>
      <c r="AN88" s="2561"/>
      <c r="AO88" s="2556"/>
      <c r="AP88" s="2557"/>
      <c r="AQ88" s="2561"/>
      <c r="AR88" s="2558"/>
      <c r="AS88" s="2561"/>
      <c r="AT88" s="2556"/>
      <c r="AU88" s="498" t="s">
        <v>658</v>
      </c>
      <c r="AV88" s="305" t="s">
        <v>659</v>
      </c>
      <c r="AW88" s="99" t="s">
        <v>206</v>
      </c>
      <c r="AX88" s="138"/>
      <c r="AY88" s="138"/>
      <c r="AZ88" s="299" t="s">
        <v>1435</v>
      </c>
      <c r="BA88" s="264" t="s">
        <v>250</v>
      </c>
      <c r="BB88" s="264" t="s">
        <v>242</v>
      </c>
      <c r="BC88" s="187"/>
      <c r="BD88" s="18"/>
    </row>
    <row r="89" spans="2:56" ht="19.5" customHeight="1">
      <c r="B89" s="1360" t="b">
        <f t="shared" si="9"/>
        <v>1</v>
      </c>
      <c r="C89" s="1354"/>
      <c r="D89" s="306" t="s">
        <v>660</v>
      </c>
      <c r="E89" s="161"/>
      <c r="F89" s="285" t="s">
        <v>212</v>
      </c>
      <c r="G89" s="286"/>
      <c r="H89" s="307"/>
      <c r="I89" s="288" t="s">
        <v>248</v>
      </c>
      <c r="J89" s="289"/>
      <c r="K89" s="109" t="s">
        <v>212</v>
      </c>
      <c r="L89" s="92"/>
      <c r="M89" s="92" t="s">
        <v>1780</v>
      </c>
      <c r="N89" s="92"/>
      <c r="O89" s="95" t="s">
        <v>1780</v>
      </c>
      <c r="P89" s="228"/>
      <c r="Q89" s="297"/>
      <c r="R89" s="1488"/>
      <c r="S89" s="935" t="s">
        <v>1780</v>
      </c>
      <c r="T89" s="1490"/>
      <c r="U89" s="935" t="s">
        <v>1780</v>
      </c>
      <c r="V89" s="1490"/>
      <c r="W89" s="2060"/>
      <c r="X89" s="2557"/>
      <c r="Y89" s="2558"/>
      <c r="Z89" s="2559"/>
      <c r="AA89" s="2557"/>
      <c r="AB89" s="2561"/>
      <c r="AC89" s="2558"/>
      <c r="AD89" s="2561"/>
      <c r="AE89" s="2556"/>
      <c r="AF89" s="2557"/>
      <c r="AG89" s="2561"/>
      <c r="AH89" s="2558"/>
      <c r="AI89" s="2561"/>
      <c r="AJ89" s="2556"/>
      <c r="AK89" s="2557"/>
      <c r="AL89" s="2561"/>
      <c r="AM89" s="2558"/>
      <c r="AN89" s="2561"/>
      <c r="AO89" s="2556"/>
      <c r="AP89" s="2557"/>
      <c r="AQ89" s="2561"/>
      <c r="AR89" s="2558"/>
      <c r="AS89" s="2561"/>
      <c r="AT89" s="2556"/>
      <c r="AU89" s="498"/>
      <c r="AV89" s="305"/>
      <c r="AW89" s="309" t="s">
        <v>249</v>
      </c>
      <c r="AX89" s="138"/>
      <c r="AY89" s="138"/>
      <c r="AZ89" s="299" t="s">
        <v>193</v>
      </c>
      <c r="BA89" s="264" t="s">
        <v>250</v>
      </c>
      <c r="BB89" s="264" t="s">
        <v>242</v>
      </c>
      <c r="BC89" s="187"/>
      <c r="BD89" s="18"/>
    </row>
    <row r="90" spans="2:56" ht="20.100000000000001" customHeight="1">
      <c r="B90" s="1360" t="b">
        <f t="shared" si="9"/>
        <v>0</v>
      </c>
      <c r="C90" s="1355"/>
      <c r="D90" s="306" t="s">
        <v>230</v>
      </c>
      <c r="E90" s="161"/>
      <c r="F90" s="285" t="s">
        <v>212</v>
      </c>
      <c r="G90" s="286"/>
      <c r="H90" s="310"/>
      <c r="I90" s="288" t="s">
        <v>231</v>
      </c>
      <c r="J90" s="289"/>
      <c r="K90" s="109" t="s">
        <v>212</v>
      </c>
      <c r="L90" s="297">
        <f>L85</f>
        <v>60746.31</v>
      </c>
      <c r="M90" s="297" t="s">
        <v>1780</v>
      </c>
      <c r="N90" s="297">
        <f>N85</f>
        <v>71392.570000000007</v>
      </c>
      <c r="O90" s="95" t="s">
        <v>1780</v>
      </c>
      <c r="P90" s="228"/>
      <c r="Q90" s="297"/>
      <c r="R90" s="1488">
        <f>R85</f>
        <v>60746.31</v>
      </c>
      <c r="S90" s="935" t="s">
        <v>1780</v>
      </c>
      <c r="T90" s="5488">
        <f>T85</f>
        <v>71420</v>
      </c>
      <c r="U90" s="935" t="s">
        <v>1780</v>
      </c>
      <c r="V90" s="5477">
        <f>V85</f>
        <v>69731</v>
      </c>
      <c r="W90" s="2060"/>
      <c r="X90" s="2562"/>
      <c r="Y90" s="2564"/>
      <c r="Z90" s="2565"/>
      <c r="AA90" s="2562"/>
      <c r="AB90" s="2564"/>
      <c r="AC90" s="2564"/>
      <c r="AD90" s="2564"/>
      <c r="AE90" s="2566"/>
      <c r="AF90" s="2562"/>
      <c r="AG90" s="2564"/>
      <c r="AH90" s="2564"/>
      <c r="AI90" s="2564"/>
      <c r="AJ90" s="2566"/>
      <c r="AK90" s="2562"/>
      <c r="AL90" s="2564"/>
      <c r="AM90" s="2564"/>
      <c r="AN90" s="2564"/>
      <c r="AO90" s="2566"/>
      <c r="AP90" s="2562"/>
      <c r="AQ90" s="2564"/>
      <c r="AR90" s="2564"/>
      <c r="AS90" s="2564"/>
      <c r="AT90" s="2566"/>
      <c r="AU90" s="2469"/>
      <c r="AV90" s="305"/>
      <c r="AW90" s="99" t="s">
        <v>206</v>
      </c>
      <c r="AX90" s="138"/>
      <c r="AY90" s="138"/>
      <c r="AZ90" s="299" t="s">
        <v>193</v>
      </c>
      <c r="BA90" s="264" t="s">
        <v>250</v>
      </c>
      <c r="BB90" s="265"/>
      <c r="BC90" s="187"/>
      <c r="BD90" s="18"/>
    </row>
    <row r="91" spans="2:56" ht="20.100000000000001" customHeight="1">
      <c r="B91" s="1353" t="str">
        <f>C91</f>
        <v>온실가스 배출량 감축</v>
      </c>
      <c r="C91" s="736" t="s">
        <v>661</v>
      </c>
      <c r="D91" s="736"/>
      <c r="E91" s="736"/>
      <c r="F91" s="1568"/>
      <c r="G91" s="311"/>
      <c r="H91" s="312" t="s">
        <v>244</v>
      </c>
      <c r="I91" s="313"/>
      <c r="J91" s="314"/>
      <c r="K91" s="315" t="s">
        <v>168</v>
      </c>
      <c r="L91" s="316"/>
      <c r="M91" s="316"/>
      <c r="N91" s="316"/>
      <c r="O91" s="316"/>
      <c r="P91" s="316"/>
      <c r="Q91" s="316"/>
      <c r="R91" s="1565"/>
      <c r="S91" s="1569"/>
      <c r="T91" s="1567"/>
      <c r="U91" s="1569"/>
      <c r="V91" s="1567"/>
      <c r="W91" s="2062"/>
      <c r="X91" s="2568"/>
      <c r="Y91" s="2569"/>
      <c r="Z91" s="2570"/>
      <c r="AA91" s="2576"/>
      <c r="AB91" s="2574"/>
      <c r="AC91" s="2577"/>
      <c r="AD91" s="2574"/>
      <c r="AE91" s="2575"/>
      <c r="AF91" s="2571"/>
      <c r="AG91" s="2572"/>
      <c r="AH91" s="2573"/>
      <c r="AI91" s="2574"/>
      <c r="AJ91" s="2575"/>
      <c r="AK91" s="2576"/>
      <c r="AL91" s="2574"/>
      <c r="AM91" s="2577"/>
      <c r="AN91" s="2574"/>
      <c r="AO91" s="2575"/>
      <c r="AP91" s="2576"/>
      <c r="AQ91" s="2574"/>
      <c r="AR91" s="2577"/>
      <c r="AS91" s="2574"/>
      <c r="AT91" s="2575"/>
      <c r="AU91" s="1564"/>
      <c r="AV91" s="321"/>
      <c r="AW91" s="99" t="s">
        <v>206</v>
      </c>
      <c r="AX91" s="138"/>
      <c r="AY91" s="138"/>
      <c r="AZ91" s="99"/>
      <c r="BA91" s="264"/>
      <c r="BB91" s="265" t="s">
        <v>662</v>
      </c>
      <c r="BC91" s="187"/>
      <c r="BD91" s="18"/>
    </row>
    <row r="92" spans="2:56" ht="20.100000000000001" customHeight="1">
      <c r="B92" s="1360" t="b">
        <f t="shared" ref="B92:B94" si="13">OR(ISBLANK(R92),ISBLANK(T92),ISBLANK(V92))</f>
        <v>1</v>
      </c>
      <c r="C92" s="1356"/>
      <c r="D92" s="306" t="s">
        <v>663</v>
      </c>
      <c r="E92" s="306"/>
      <c r="F92" s="285" t="s">
        <v>212</v>
      </c>
      <c r="G92" s="286"/>
      <c r="H92" s="287"/>
      <c r="I92" s="184" t="s">
        <v>664</v>
      </c>
      <c r="J92" s="141"/>
      <c r="K92" s="109" t="s">
        <v>212</v>
      </c>
      <c r="L92" s="228"/>
      <c r="M92" s="297"/>
      <c r="N92" s="228"/>
      <c r="O92" s="95"/>
      <c r="P92" s="228"/>
      <c r="Q92" s="297"/>
      <c r="R92" s="1488"/>
      <c r="S92" s="935"/>
      <c r="T92" s="5488">
        <v>81175</v>
      </c>
      <c r="U92" s="935"/>
      <c r="V92" s="5477">
        <v>80191</v>
      </c>
      <c r="W92" s="2060"/>
      <c r="X92" s="2557"/>
      <c r="Y92" s="2558"/>
      <c r="Z92" s="2559"/>
      <c r="AA92" s="2557"/>
      <c r="AB92" s="2561"/>
      <c r="AC92" s="2558"/>
      <c r="AD92" s="2561"/>
      <c r="AE92" s="2556"/>
      <c r="AF92" s="2557"/>
      <c r="AG92" s="2561"/>
      <c r="AH92" s="2558"/>
      <c r="AI92" s="2561"/>
      <c r="AJ92" s="2556"/>
      <c r="AK92" s="2557"/>
      <c r="AL92" s="2561"/>
      <c r="AM92" s="2558"/>
      <c r="AN92" s="2561"/>
      <c r="AO92" s="2556"/>
      <c r="AP92" s="2557"/>
      <c r="AQ92" s="2561"/>
      <c r="AR92" s="2558"/>
      <c r="AS92" s="2561"/>
      <c r="AT92" s="2556"/>
      <c r="AU92" s="498"/>
      <c r="AV92" s="305"/>
      <c r="AW92" s="99" t="s">
        <v>206</v>
      </c>
      <c r="AX92" s="138"/>
      <c r="AY92" s="138"/>
      <c r="AZ92" s="99"/>
      <c r="BA92" s="277"/>
      <c r="BB92" s="265" t="s">
        <v>246</v>
      </c>
      <c r="BC92" s="187"/>
      <c r="BD92" s="18"/>
    </row>
    <row r="93" spans="2:56" ht="20.100000000000001" customHeight="1">
      <c r="B93" s="1360" t="b">
        <f t="shared" si="13"/>
        <v>1</v>
      </c>
      <c r="C93" s="1357"/>
      <c r="D93" s="306" t="s">
        <v>665</v>
      </c>
      <c r="E93" s="306"/>
      <c r="F93" s="285" t="s">
        <v>212</v>
      </c>
      <c r="G93" s="286"/>
      <c r="H93" s="322"/>
      <c r="I93" s="184" t="s">
        <v>666</v>
      </c>
      <c r="J93" s="141"/>
      <c r="K93" s="109" t="s">
        <v>212</v>
      </c>
      <c r="L93" s="228"/>
      <c r="M93" s="297"/>
      <c r="N93" s="228"/>
      <c r="O93" s="95"/>
      <c r="P93" s="228"/>
      <c r="Q93" s="297"/>
      <c r="R93" s="1488"/>
      <c r="S93" s="935"/>
      <c r="T93" s="5477">
        <v>71420</v>
      </c>
      <c r="U93" s="935"/>
      <c r="V93" s="5477">
        <v>69731</v>
      </c>
      <c r="W93" s="2060"/>
      <c r="X93" s="2550"/>
      <c r="Y93" s="2551"/>
      <c r="Z93" s="2552"/>
      <c r="AA93" s="2550"/>
      <c r="AB93" s="2564"/>
      <c r="AC93" s="2551"/>
      <c r="AD93" s="2564"/>
      <c r="AE93" s="2610"/>
      <c r="AF93" s="2550"/>
      <c r="AG93" s="2564"/>
      <c r="AH93" s="2551"/>
      <c r="AI93" s="2564"/>
      <c r="AJ93" s="2610"/>
      <c r="AK93" s="2550"/>
      <c r="AL93" s="2564"/>
      <c r="AM93" s="2551"/>
      <c r="AN93" s="2564"/>
      <c r="AO93" s="2610"/>
      <c r="AP93" s="2550"/>
      <c r="AQ93" s="2564"/>
      <c r="AR93" s="2551"/>
      <c r="AS93" s="2564"/>
      <c r="AT93" s="2610"/>
      <c r="AU93" s="498"/>
      <c r="AV93" s="305"/>
      <c r="AW93" s="99" t="s">
        <v>206</v>
      </c>
      <c r="AX93" s="138"/>
      <c r="AY93" s="138"/>
      <c r="AZ93" s="99"/>
      <c r="BA93" s="277"/>
      <c r="BB93" s="265" t="s">
        <v>246</v>
      </c>
      <c r="BC93" s="187"/>
      <c r="BD93" s="18"/>
    </row>
    <row r="94" spans="2:56" ht="20.100000000000001" customHeight="1" thickBot="1">
      <c r="B94" s="1361" t="b">
        <f t="shared" si="13"/>
        <v>1</v>
      </c>
      <c r="C94" s="1358"/>
      <c r="D94" s="323" t="s">
        <v>312</v>
      </c>
      <c r="E94" s="324"/>
      <c r="F94" s="285" t="s">
        <v>212</v>
      </c>
      <c r="G94" s="325"/>
      <c r="H94" s="326"/>
      <c r="I94" s="327" t="s">
        <v>244</v>
      </c>
      <c r="J94" s="287"/>
      <c r="K94" s="109" t="s">
        <v>212</v>
      </c>
      <c r="L94" s="228"/>
      <c r="M94" s="297"/>
      <c r="N94" s="228"/>
      <c r="O94" s="95"/>
      <c r="P94" s="228"/>
      <c r="Q94" s="297"/>
      <c r="R94" s="1488"/>
      <c r="S94" s="935"/>
      <c r="T94" s="5477">
        <v>9755</v>
      </c>
      <c r="U94" s="935"/>
      <c r="V94" s="5477">
        <v>10460</v>
      </c>
      <c r="W94" s="2060"/>
      <c r="X94" s="2557"/>
      <c r="Y94" s="2558"/>
      <c r="Z94" s="2559"/>
      <c r="AA94" s="2557"/>
      <c r="AB94" s="2561"/>
      <c r="AC94" s="2558"/>
      <c r="AD94" s="2561"/>
      <c r="AE94" s="2556"/>
      <c r="AF94" s="2557"/>
      <c r="AG94" s="2561"/>
      <c r="AH94" s="2558"/>
      <c r="AI94" s="2561"/>
      <c r="AJ94" s="2556"/>
      <c r="AK94" s="2557"/>
      <c r="AL94" s="2561"/>
      <c r="AM94" s="2558"/>
      <c r="AN94" s="2561"/>
      <c r="AO94" s="2556"/>
      <c r="AP94" s="2557"/>
      <c r="AQ94" s="2561"/>
      <c r="AR94" s="2558"/>
      <c r="AS94" s="2561"/>
      <c r="AT94" s="2556"/>
      <c r="AU94" s="498"/>
      <c r="AV94" s="305"/>
      <c r="AW94" s="99" t="s">
        <v>206</v>
      </c>
      <c r="AX94" s="138"/>
      <c r="AY94" s="138"/>
      <c r="AZ94" s="99"/>
      <c r="BA94" s="277"/>
      <c r="BB94" s="265" t="s">
        <v>246</v>
      </c>
      <c r="BC94" s="187"/>
      <c r="BD94" s="18"/>
    </row>
    <row r="95" spans="2:56" ht="27" thickBot="1">
      <c r="B95" s="123" t="s">
        <v>252</v>
      </c>
      <c r="C95" s="124"/>
      <c r="D95" s="124"/>
      <c r="E95" s="124"/>
      <c r="F95" s="78"/>
      <c r="G95" s="125" t="s">
        <v>253</v>
      </c>
      <c r="H95" s="126"/>
      <c r="I95" s="126"/>
      <c r="J95" s="126"/>
      <c r="K95" s="78"/>
      <c r="L95" s="77"/>
      <c r="M95" s="77"/>
      <c r="N95" s="77"/>
      <c r="O95" s="77"/>
      <c r="P95" s="77"/>
      <c r="Q95" s="77"/>
      <c r="R95" s="1484"/>
      <c r="S95" s="1410"/>
      <c r="T95" s="1484"/>
      <c r="U95" s="1410"/>
      <c r="V95" s="1484"/>
      <c r="W95" s="77"/>
      <c r="X95" s="2578"/>
      <c r="Y95" s="2579"/>
      <c r="Z95" s="2579"/>
      <c r="AA95" s="2580"/>
      <c r="AB95" s="2581"/>
      <c r="AC95" s="2581"/>
      <c r="AD95" s="2581"/>
      <c r="AE95" s="2582"/>
      <c r="AF95" s="2580"/>
      <c r="AG95" s="2581"/>
      <c r="AH95" s="2581"/>
      <c r="AI95" s="2581"/>
      <c r="AJ95" s="2582"/>
      <c r="AK95" s="2580"/>
      <c r="AL95" s="2581"/>
      <c r="AM95" s="2581"/>
      <c r="AN95" s="2581"/>
      <c r="AO95" s="2582"/>
      <c r="AP95" s="2580"/>
      <c r="AQ95" s="2581"/>
      <c r="AR95" s="2581"/>
      <c r="AS95" s="2581"/>
      <c r="AT95" s="2582"/>
      <c r="AU95" s="80"/>
      <c r="AV95" s="80"/>
      <c r="AW95" s="129"/>
      <c r="AX95" s="129"/>
      <c r="AY95" s="129"/>
      <c r="AZ95" s="129"/>
      <c r="BA95" s="328"/>
      <c r="BB95" s="328"/>
      <c r="BC95" s="329"/>
      <c r="BD95" s="18"/>
    </row>
    <row r="96" spans="2:56" ht="20.100000000000001" customHeight="1">
      <c r="B96" s="1359" t="b">
        <f t="shared" ref="B96:B119" si="14">OR(ISBLANK(R96),ISBLANK(T96),ISBLANK(V96))</f>
        <v>0</v>
      </c>
      <c r="C96" s="9755" t="s">
        <v>254</v>
      </c>
      <c r="D96" s="9755"/>
      <c r="E96" s="9755"/>
      <c r="F96" s="87" t="s">
        <v>255</v>
      </c>
      <c r="G96" s="330"/>
      <c r="H96" s="9755" t="s">
        <v>256</v>
      </c>
      <c r="I96" s="9755"/>
      <c r="J96" s="9755"/>
      <c r="K96" s="91" t="s">
        <v>255</v>
      </c>
      <c r="L96" s="331">
        <f>L97+L98</f>
        <v>1268.5</v>
      </c>
      <c r="M96" s="332"/>
      <c r="N96" s="331">
        <f t="shared" ref="N96:R96" si="15">N97+N98</f>
        <v>1491.8940000000002</v>
      </c>
      <c r="O96" s="333"/>
      <c r="P96" s="334">
        <f t="shared" si="15"/>
        <v>0</v>
      </c>
      <c r="Q96" s="334"/>
      <c r="R96" s="1489">
        <f t="shared" si="15"/>
        <v>1268.5</v>
      </c>
      <c r="S96" s="1686"/>
      <c r="T96" s="5490">
        <v>1429</v>
      </c>
      <c r="U96" s="5487" t="s">
        <v>1777</v>
      </c>
      <c r="V96" s="5490">
        <v>1394</v>
      </c>
      <c r="W96" s="442"/>
      <c r="X96" s="2583"/>
      <c r="Y96" s="2584"/>
      <c r="Z96" s="2585"/>
      <c r="AA96" s="5358">
        <f>SUM(AA97:AA98)</f>
        <v>293.25696436359488</v>
      </c>
      <c r="AB96" s="5359">
        <f t="shared" ref="AB96:AE96" si="16">SUM(AB97:AB98)</f>
        <v>0</v>
      </c>
      <c r="AC96" s="5359">
        <f t="shared" si="16"/>
        <v>257.91617295420275</v>
      </c>
      <c r="AD96" s="5359">
        <f t="shared" si="16"/>
        <v>0</v>
      </c>
      <c r="AE96" s="5360">
        <f t="shared" si="16"/>
        <v>266.00810795785208</v>
      </c>
      <c r="AF96" s="5358">
        <f>SUM(AF97:AF98)</f>
        <v>54.037363380335201</v>
      </c>
      <c r="AG96" s="5359">
        <f t="shared" ref="AG96:AJ96" si="17">SUM(AG97:AG98)</f>
        <v>0</v>
      </c>
      <c r="AH96" s="5359">
        <f t="shared" si="17"/>
        <v>117.93083850502801</v>
      </c>
      <c r="AI96" s="5359">
        <f t="shared" si="17"/>
        <v>0</v>
      </c>
      <c r="AJ96" s="5360">
        <f t="shared" si="17"/>
        <v>131.92724031512199</v>
      </c>
      <c r="AK96" s="2583"/>
      <c r="AL96" s="2584"/>
      <c r="AM96" s="2584"/>
      <c r="AN96" s="2584"/>
      <c r="AO96" s="2586"/>
      <c r="AP96" s="2629">
        <f>SUM(AP97:AP98)</f>
        <v>163.09</v>
      </c>
      <c r="AQ96" s="2630">
        <f t="shared" ref="AQ96:AS96" si="18">SUM(AQ97:AQ98)</f>
        <v>0</v>
      </c>
      <c r="AR96" s="5435">
        <f t="shared" si="18"/>
        <v>190.27</v>
      </c>
      <c r="AS96" s="2630">
        <f t="shared" si="18"/>
        <v>0</v>
      </c>
      <c r="AT96" s="5431">
        <f>SUM(AT97:AT98)</f>
        <v>149.5</v>
      </c>
      <c r="AU96" s="1021" t="s">
        <v>257</v>
      </c>
      <c r="AV96" s="263" t="s">
        <v>258</v>
      </c>
      <c r="AW96" s="99" t="s">
        <v>206</v>
      </c>
      <c r="AX96" s="138"/>
      <c r="AY96" s="138"/>
      <c r="AZ96" s="99"/>
      <c r="BA96" s="336" t="s">
        <v>259</v>
      </c>
      <c r="BB96" s="265" t="s">
        <v>260</v>
      </c>
      <c r="BC96" s="159" t="s">
        <v>261</v>
      </c>
      <c r="BD96" s="18"/>
    </row>
    <row r="97" spans="2:56" ht="20.100000000000001" customHeight="1">
      <c r="B97" s="1360" t="b">
        <f>OR(ISBLANK(R97),ISBLANK(T97),ISBLANK(V97))</f>
        <v>0</v>
      </c>
      <c r="C97" s="9765"/>
      <c r="D97" s="9749" t="s">
        <v>262</v>
      </c>
      <c r="E97" s="9648"/>
      <c r="F97" s="87" t="s">
        <v>255</v>
      </c>
      <c r="G97" s="337"/>
      <c r="H97" s="287"/>
      <c r="I97" s="184" t="s">
        <v>263</v>
      </c>
      <c r="J97" s="296"/>
      <c r="K97" s="91" t="s">
        <v>255</v>
      </c>
      <c r="L97" s="338">
        <v>1268.5</v>
      </c>
      <c r="M97" s="339"/>
      <c r="N97" s="338">
        <v>1491.8940000000002</v>
      </c>
      <c r="O97" s="338"/>
      <c r="P97" s="340"/>
      <c r="Q97" s="341"/>
      <c r="R97" s="1490">
        <v>1268.5</v>
      </c>
      <c r="S97" s="1680" t="s">
        <v>667</v>
      </c>
      <c r="T97" s="5477">
        <v>1429</v>
      </c>
      <c r="U97" s="1680" t="s">
        <v>668</v>
      </c>
      <c r="V97" s="5482">
        <v>1394</v>
      </c>
      <c r="W97" s="2063"/>
      <c r="X97" s="2588"/>
      <c r="Y97" s="2589"/>
      <c r="Z97" s="2590"/>
      <c r="AA97" s="5362">
        <f>AA102</f>
        <v>205.80008876798826</v>
      </c>
      <c r="AB97" s="5363">
        <f t="shared" ref="AB97:AE97" si="19">AB102</f>
        <v>0</v>
      </c>
      <c r="AC97" s="5364">
        <f t="shared" si="19"/>
        <v>176.61219894487496</v>
      </c>
      <c r="AD97" s="5363">
        <f t="shared" si="19"/>
        <v>0</v>
      </c>
      <c r="AE97" s="5361">
        <f t="shared" si="19"/>
        <v>177.63597829765689</v>
      </c>
      <c r="AF97" s="2591">
        <f>Vietnam!Q96</f>
        <v>54.037363380335201</v>
      </c>
      <c r="AG97" s="5396" t="str">
        <f>Vietnam!R96</f>
        <v>MKwh*TJ (0.0036)</v>
      </c>
      <c r="AH97" s="2593">
        <f>Vietnam!S96</f>
        <v>117.93083850502801</v>
      </c>
      <c r="AI97" s="5396">
        <f>Vietnam!T96</f>
        <v>0</v>
      </c>
      <c r="AJ97" s="2587">
        <f>Vietnam!U96</f>
        <v>131.92724031512199</v>
      </c>
      <c r="AK97" s="5362"/>
      <c r="AL97" s="5363"/>
      <c r="AM97" s="5364"/>
      <c r="AN97" s="5363"/>
      <c r="AO97" s="5361"/>
      <c r="AP97" s="5362">
        <f>AP102</f>
        <v>163.09</v>
      </c>
      <c r="AQ97" s="5363">
        <f t="shared" ref="AQ97:AT97" si="20">AQ102</f>
        <v>0</v>
      </c>
      <c r="AR97" s="5436">
        <f t="shared" si="20"/>
        <v>190.27</v>
      </c>
      <c r="AS97" s="5363">
        <f t="shared" si="20"/>
        <v>0</v>
      </c>
      <c r="AT97" s="5431">
        <f t="shared" si="20"/>
        <v>149.5</v>
      </c>
      <c r="AU97" s="1033" t="s">
        <v>264</v>
      </c>
      <c r="AV97" s="263" t="s">
        <v>265</v>
      </c>
      <c r="AW97" s="99" t="s">
        <v>206</v>
      </c>
      <c r="AX97" s="138"/>
      <c r="AY97" s="138"/>
      <c r="AZ97" s="99"/>
      <c r="BA97" s="336" t="s">
        <v>266</v>
      </c>
      <c r="BB97" s="154"/>
      <c r="BC97" s="159"/>
      <c r="BD97" s="18"/>
    </row>
    <row r="98" spans="2:56" ht="20.100000000000001" customHeight="1">
      <c r="B98" s="1360" t="b">
        <f>OR(ISBLANK(R98),ISBLANK(T98),ISBLANK(V98))</f>
        <v>0</v>
      </c>
      <c r="C98" s="9766"/>
      <c r="D98" s="9749" t="s">
        <v>273</v>
      </c>
      <c r="E98" s="9648"/>
      <c r="F98" s="87" t="s">
        <v>255</v>
      </c>
      <c r="G98" s="343"/>
      <c r="H98" s="296"/>
      <c r="I98" s="344" t="s">
        <v>274</v>
      </c>
      <c r="J98" s="296"/>
      <c r="K98" s="91" t="s">
        <v>255</v>
      </c>
      <c r="L98" s="338">
        <v>0</v>
      </c>
      <c r="M98" s="339"/>
      <c r="N98" s="338">
        <v>0</v>
      </c>
      <c r="O98" s="338"/>
      <c r="P98" s="340"/>
      <c r="Q98" s="341"/>
      <c r="R98" s="1490">
        <v>0</v>
      </c>
      <c r="S98" s="1680" t="s">
        <v>670</v>
      </c>
      <c r="T98" s="1490">
        <v>0</v>
      </c>
      <c r="U98" s="1680" t="s">
        <v>670</v>
      </c>
      <c r="V98" s="1519">
        <v>0</v>
      </c>
      <c r="X98" s="2588"/>
      <c r="Y98" s="2589"/>
      <c r="Z98" s="2590"/>
      <c r="AA98" s="5362">
        <f>AA105</f>
        <v>87.456875595606604</v>
      </c>
      <c r="AB98" s="5363">
        <f t="shared" ref="AB98:AE98" si="21">AB105</f>
        <v>0</v>
      </c>
      <c r="AC98" s="5364">
        <f t="shared" si="21"/>
        <v>81.303974009327803</v>
      </c>
      <c r="AD98" s="5363">
        <f t="shared" si="21"/>
        <v>0</v>
      </c>
      <c r="AE98" s="5361">
        <f t="shared" si="21"/>
        <v>88.372129660195171</v>
      </c>
      <c r="AF98" s="2591"/>
      <c r="AG98" s="5396"/>
      <c r="AH98" s="2593"/>
      <c r="AI98" s="5396"/>
      <c r="AJ98" s="2587"/>
      <c r="AK98" s="5362"/>
      <c r="AL98" s="5363"/>
      <c r="AM98" s="5364"/>
      <c r="AN98" s="5363"/>
      <c r="AO98" s="5361"/>
      <c r="AP98" s="5362">
        <f>AP105</f>
        <v>0</v>
      </c>
      <c r="AQ98" s="5363">
        <f>AQ105</f>
        <v>0</v>
      </c>
      <c r="AR98" s="5436">
        <f>AR105</f>
        <v>0</v>
      </c>
      <c r="AS98" s="5363">
        <f>AS105</f>
        <v>0</v>
      </c>
      <c r="AT98" s="5431">
        <f>AT105</f>
        <v>0</v>
      </c>
      <c r="AU98" s="1033" t="s">
        <v>275</v>
      </c>
      <c r="AV98" s="263" t="s">
        <v>276</v>
      </c>
      <c r="AW98" s="99" t="s">
        <v>206</v>
      </c>
      <c r="AX98" s="138"/>
      <c r="AY98" s="138"/>
      <c r="AZ98" s="99"/>
      <c r="BA98" s="336" t="s">
        <v>277</v>
      </c>
      <c r="BB98" s="154"/>
      <c r="BC98" s="159"/>
      <c r="BD98" s="18"/>
    </row>
    <row r="99" spans="2:56" ht="20.100000000000001" customHeight="1">
      <c r="B99" s="1360" t="b">
        <f t="shared" si="14"/>
        <v>1</v>
      </c>
      <c r="C99" s="9769" t="s">
        <v>296</v>
      </c>
      <c r="D99" s="9769"/>
      <c r="E99" s="9769"/>
      <c r="F99" s="280" t="s">
        <v>255</v>
      </c>
      <c r="G99" s="345"/>
      <c r="H99" s="143" t="s">
        <v>297</v>
      </c>
      <c r="I99" s="143"/>
      <c r="J99" s="108"/>
      <c r="K99" s="281" t="s">
        <v>255</v>
      </c>
      <c r="L99" s="228"/>
      <c r="M99" s="92" t="s">
        <v>1780</v>
      </c>
      <c r="N99" s="228"/>
      <c r="O99" s="92" t="s">
        <v>1780</v>
      </c>
      <c r="P99" s="228"/>
      <c r="Q99" s="297"/>
      <c r="R99" s="1490"/>
      <c r="S99" s="1431" t="s">
        <v>1780</v>
      </c>
      <c r="T99" s="1490"/>
      <c r="U99" s="1431" t="s">
        <v>1780</v>
      </c>
      <c r="V99" s="1490"/>
      <c r="W99" s="2060"/>
      <c r="X99" s="2557"/>
      <c r="Y99" s="2558"/>
      <c r="Z99" s="2559"/>
      <c r="AA99" s="2557"/>
      <c r="AB99" s="2561"/>
      <c r="AC99" s="2558"/>
      <c r="AD99" s="2561"/>
      <c r="AE99" s="2556"/>
      <c r="AF99" s="2557"/>
      <c r="AG99" s="2561"/>
      <c r="AH99" s="2558"/>
      <c r="AI99" s="2561"/>
      <c r="AJ99" s="2556"/>
      <c r="AK99" s="2557"/>
      <c r="AL99" s="2561"/>
      <c r="AM99" s="2558"/>
      <c r="AN99" s="2561"/>
      <c r="AO99" s="2556"/>
      <c r="AP99" s="2557"/>
      <c r="AQ99" s="2561"/>
      <c r="AR99" s="5366"/>
      <c r="AS99" s="2561"/>
      <c r="AT99" s="5367"/>
      <c r="AU99" s="2468" t="s">
        <v>298</v>
      </c>
      <c r="AV99" s="276" t="s">
        <v>299</v>
      </c>
      <c r="AW99" s="99" t="s">
        <v>206</v>
      </c>
      <c r="AX99" s="138"/>
      <c r="AY99" s="138"/>
      <c r="AZ99" s="99"/>
      <c r="BA99" s="346" t="s">
        <v>300</v>
      </c>
      <c r="BB99" s="265"/>
      <c r="BC99" s="187"/>
      <c r="BD99" s="18"/>
    </row>
    <row r="100" spans="2:56" ht="20.100000000000001" customHeight="1">
      <c r="B100" s="1360" t="b">
        <f t="shared" si="14"/>
        <v>1</v>
      </c>
      <c r="C100" s="9765"/>
      <c r="D100" s="9770" t="s">
        <v>303</v>
      </c>
      <c r="E100" s="9769"/>
      <c r="F100" s="280" t="s">
        <v>255</v>
      </c>
      <c r="G100" s="347"/>
      <c r="H100" s="348"/>
      <c r="I100" s="349" t="s">
        <v>304</v>
      </c>
      <c r="J100" s="108"/>
      <c r="K100" s="281" t="s">
        <v>255</v>
      </c>
      <c r="L100" s="23"/>
      <c r="M100" s="350" t="s">
        <v>1780</v>
      </c>
      <c r="N100" s="228"/>
      <c r="O100" s="350" t="s">
        <v>1780</v>
      </c>
      <c r="P100" s="351"/>
      <c r="Q100" s="352"/>
      <c r="R100" s="1491"/>
      <c r="S100" s="1687" t="s">
        <v>1780</v>
      </c>
      <c r="T100" s="1491"/>
      <c r="U100" s="1431" t="s">
        <v>1780</v>
      </c>
      <c r="V100" s="1490"/>
      <c r="W100" s="2064"/>
      <c r="X100" s="2557"/>
      <c r="Y100" s="2558"/>
      <c r="Z100" s="2559"/>
      <c r="AA100" s="2557"/>
      <c r="AB100" s="2561"/>
      <c r="AC100" s="2558"/>
      <c r="AD100" s="2561"/>
      <c r="AE100" s="2556"/>
      <c r="AF100" s="2557"/>
      <c r="AG100" s="2561"/>
      <c r="AH100" s="2558"/>
      <c r="AI100" s="2561"/>
      <c r="AJ100" s="2556"/>
      <c r="AK100" s="2557"/>
      <c r="AL100" s="2561"/>
      <c r="AM100" s="2558"/>
      <c r="AN100" s="2561"/>
      <c r="AO100" s="2556"/>
      <c r="AP100" s="2557"/>
      <c r="AQ100" s="2561"/>
      <c r="AR100" s="5366"/>
      <c r="AS100" s="2561"/>
      <c r="AT100" s="5367"/>
      <c r="AU100" s="2468"/>
      <c r="AV100" s="276"/>
      <c r="AW100" s="309" t="s">
        <v>249</v>
      </c>
      <c r="AX100" s="138"/>
      <c r="AY100" s="138"/>
      <c r="AZ100" s="309"/>
      <c r="BA100" s="346" t="s">
        <v>300</v>
      </c>
      <c r="BB100" s="265"/>
      <c r="BC100" s="187"/>
      <c r="BD100" s="18"/>
    </row>
    <row r="101" spans="2:56" ht="20.100000000000001" customHeight="1">
      <c r="B101" s="1360" t="b">
        <f t="shared" si="14"/>
        <v>0</v>
      </c>
      <c r="C101" s="9766"/>
      <c r="D101" s="9770" t="s">
        <v>1781</v>
      </c>
      <c r="E101" s="9769"/>
      <c r="F101" s="280" t="s">
        <v>255</v>
      </c>
      <c r="G101" s="106"/>
      <c r="H101" s="353"/>
      <c r="I101" s="349" t="s">
        <v>306</v>
      </c>
      <c r="J101" s="108"/>
      <c r="K101" s="280" t="s">
        <v>255</v>
      </c>
      <c r="L101" s="354">
        <f>L112+L113</f>
        <v>1096.472</v>
      </c>
      <c r="M101" s="355"/>
      <c r="N101" s="354">
        <f>N112+N113</f>
        <v>1304.46</v>
      </c>
      <c r="O101" s="298"/>
      <c r="P101" s="356">
        <f>P112+P113</f>
        <v>0</v>
      </c>
      <c r="Q101" s="356"/>
      <c r="R101" s="1492">
        <f>R112+R113</f>
        <v>1096.472</v>
      </c>
      <c r="S101" s="1688"/>
      <c r="T101" s="5474">
        <f>T112+T113</f>
        <v>1304.46</v>
      </c>
      <c r="U101" s="1681">
        <f>U112+U113</f>
        <v>0</v>
      </c>
      <c r="V101" s="5474">
        <f>V112+V113</f>
        <v>1274.117</v>
      </c>
      <c r="W101" s="2065"/>
      <c r="X101" s="2594"/>
      <c r="Y101" s="2595"/>
      <c r="Z101" s="2596"/>
      <c r="AA101" s="2594"/>
      <c r="AB101" s="2561"/>
      <c r="AC101" s="2595"/>
      <c r="AD101" s="2561"/>
      <c r="AE101" s="2597"/>
      <c r="AF101" s="2594"/>
      <c r="AG101" s="2561"/>
      <c r="AH101" s="2595"/>
      <c r="AI101" s="2561"/>
      <c r="AJ101" s="2597"/>
      <c r="AK101" s="2594"/>
      <c r="AL101" s="2561"/>
      <c r="AM101" s="2595"/>
      <c r="AN101" s="2561"/>
      <c r="AO101" s="2597"/>
      <c r="AP101" s="2594"/>
      <c r="AQ101" s="2561"/>
      <c r="AR101" s="5437"/>
      <c r="AS101" s="2561"/>
      <c r="AT101" s="5432"/>
      <c r="AU101" s="2468"/>
      <c r="AV101" s="276"/>
      <c r="AW101" s="99" t="s">
        <v>206</v>
      </c>
      <c r="AX101" s="138"/>
      <c r="AY101" s="138"/>
      <c r="AZ101" s="99"/>
      <c r="BA101" s="346" t="s">
        <v>300</v>
      </c>
      <c r="BB101" s="265"/>
      <c r="BC101" s="187"/>
      <c r="BD101" s="18"/>
    </row>
    <row r="102" spans="2:56" ht="20.100000000000001" customHeight="1">
      <c r="B102" s="1360" t="b">
        <f t="shared" si="14"/>
        <v>0</v>
      </c>
      <c r="C102" s="144" t="s">
        <v>671</v>
      </c>
      <c r="D102" s="357"/>
      <c r="E102" s="104"/>
      <c r="F102" s="132" t="s">
        <v>255</v>
      </c>
      <c r="G102" s="358"/>
      <c r="H102" s="359" t="s">
        <v>263</v>
      </c>
      <c r="I102" s="359"/>
      <c r="J102" s="360"/>
      <c r="K102" s="136" t="s">
        <v>255</v>
      </c>
      <c r="L102" s="361">
        <v>1268.5</v>
      </c>
      <c r="M102" s="362"/>
      <c r="N102" s="361">
        <v>1491.894</v>
      </c>
      <c r="O102" s="363"/>
      <c r="P102" s="364">
        <v>0</v>
      </c>
      <c r="Q102" s="364"/>
      <c r="R102" s="1493">
        <f>R103+R104</f>
        <v>1268.5</v>
      </c>
      <c r="S102" s="1689"/>
      <c r="T102" s="5483">
        <v>1429</v>
      </c>
      <c r="U102" s="283"/>
      <c r="V102" s="5483">
        <v>1394</v>
      </c>
      <c r="W102" s="2065"/>
      <c r="X102" s="2598"/>
      <c r="Y102" s="2599"/>
      <c r="Z102" s="2600"/>
      <c r="AA102" s="2601">
        <f>SUM(AA103:AA104)</f>
        <v>205.80008876798826</v>
      </c>
      <c r="AB102" s="2592">
        <f t="shared" ref="AB102:AE102" si="22">SUM(AB103:AB104)</f>
        <v>0</v>
      </c>
      <c r="AC102" s="2602">
        <f t="shared" si="22"/>
        <v>176.61219894487496</v>
      </c>
      <c r="AD102" s="2592">
        <f t="shared" si="22"/>
        <v>0</v>
      </c>
      <c r="AE102" s="2603">
        <f t="shared" si="22"/>
        <v>177.63597829765689</v>
      </c>
      <c r="AF102" s="2601"/>
      <c r="AG102" s="2592"/>
      <c r="AH102" s="2602"/>
      <c r="AI102" s="2592"/>
      <c r="AJ102" s="2603"/>
      <c r="AK102" s="2601"/>
      <c r="AL102" s="2592"/>
      <c r="AM102" s="2602"/>
      <c r="AN102" s="2592"/>
      <c r="AO102" s="2603"/>
      <c r="AP102" s="2601">
        <f>SUM(AP103:AP104)</f>
        <v>163.09</v>
      </c>
      <c r="AQ102" s="2592">
        <f t="shared" ref="AQ102:AT102" si="23">SUM(AQ103:AQ104)</f>
        <v>0</v>
      </c>
      <c r="AR102" s="5438">
        <f t="shared" si="23"/>
        <v>190.27</v>
      </c>
      <c r="AS102" s="2592">
        <f t="shared" si="23"/>
        <v>0</v>
      </c>
      <c r="AT102" s="5433">
        <f t="shared" si="23"/>
        <v>149.5</v>
      </c>
      <c r="AU102" s="498" t="s">
        <v>672</v>
      </c>
      <c r="AV102" s="263" t="s">
        <v>265</v>
      </c>
      <c r="AW102" s="99" t="s">
        <v>206</v>
      </c>
      <c r="AX102" s="138"/>
      <c r="AY102" s="138"/>
      <c r="AZ102" s="99"/>
      <c r="BA102" s="336" t="s">
        <v>269</v>
      </c>
      <c r="BB102" s="265"/>
      <c r="BC102" s="187"/>
      <c r="BD102" s="18"/>
    </row>
    <row r="103" spans="2:56" ht="20.100000000000001" customHeight="1">
      <c r="B103" s="1360" t="b">
        <f t="shared" si="14"/>
        <v>0</v>
      </c>
      <c r="C103" s="9771"/>
      <c r="D103" s="9598" t="s">
        <v>267</v>
      </c>
      <c r="E103" s="9599"/>
      <c r="F103" s="132" t="s">
        <v>255</v>
      </c>
      <c r="G103" s="106"/>
      <c r="H103" s="353"/>
      <c r="I103" s="349" t="s">
        <v>268</v>
      </c>
      <c r="J103" s="108"/>
      <c r="K103" s="136" t="s">
        <v>255</v>
      </c>
      <c r="L103" s="368">
        <v>172.10000000000002</v>
      </c>
      <c r="M103" s="369" t="s">
        <v>369</v>
      </c>
      <c r="N103" s="368">
        <v>187.43400000000003</v>
      </c>
      <c r="O103" s="370" t="s">
        <v>369</v>
      </c>
      <c r="P103" s="303"/>
      <c r="Q103" s="371"/>
      <c r="R103" s="1491">
        <v>172.10000000000002</v>
      </c>
      <c r="S103" s="1682" t="s">
        <v>673</v>
      </c>
      <c r="T103" s="5478">
        <v>187.43400000000003</v>
      </c>
      <c r="U103" s="1682" t="s">
        <v>674</v>
      </c>
      <c r="V103" s="5484">
        <v>183.94</v>
      </c>
      <c r="W103" s="2066"/>
      <c r="X103" s="2604"/>
      <c r="Y103" s="2605"/>
      <c r="Z103" s="2606"/>
      <c r="AA103" s="2557">
        <f>China!AO102</f>
        <v>0.75905267260283249</v>
      </c>
      <c r="AB103" s="2592">
        <f>China!AP102</f>
        <v>0</v>
      </c>
      <c r="AC103" s="2558">
        <f>China!AQ102</f>
        <v>0.6251159626591356</v>
      </c>
      <c r="AD103" s="2592">
        <f>China!AR102</f>
        <v>0</v>
      </c>
      <c r="AE103" s="2556">
        <f>China!AS102</f>
        <v>0.62633720651525715</v>
      </c>
      <c r="AF103" s="2557"/>
      <c r="AG103" s="2592"/>
      <c r="AH103" s="2558"/>
      <c r="AI103" s="2592"/>
      <c r="AJ103" s="2556"/>
      <c r="AK103" s="2557"/>
      <c r="AL103" s="2592"/>
      <c r="AM103" s="2558"/>
      <c r="AN103" s="2592"/>
      <c r="AO103" s="2556"/>
      <c r="AP103" s="2557">
        <f>Türkiye!AA102</f>
        <v>31.1</v>
      </c>
      <c r="AQ103" s="2592">
        <f>Türkiye!AB102</f>
        <v>0</v>
      </c>
      <c r="AR103" s="5366">
        <f>Türkiye!AC102</f>
        <v>48.5</v>
      </c>
      <c r="AS103" s="2592">
        <f>Türkiye!AD102</f>
        <v>0</v>
      </c>
      <c r="AT103" s="5367">
        <f>Türkiye!AE102</f>
        <v>26.9</v>
      </c>
      <c r="AU103" s="498"/>
      <c r="AV103" s="367"/>
      <c r="AW103" s="99" t="s">
        <v>206</v>
      </c>
      <c r="AX103" s="138"/>
      <c r="AY103" s="138"/>
      <c r="AZ103" s="99"/>
      <c r="BA103" s="186" t="s">
        <v>269</v>
      </c>
      <c r="BB103" s="265"/>
      <c r="BC103" s="187"/>
      <c r="BD103" s="18"/>
    </row>
    <row r="104" spans="2:56" ht="20.100000000000001" customHeight="1">
      <c r="B104" s="1360" t="b">
        <f t="shared" si="14"/>
        <v>0</v>
      </c>
      <c r="C104" s="9772"/>
      <c r="D104" s="9773" t="s">
        <v>270</v>
      </c>
      <c r="E104" s="9774"/>
      <c r="F104" s="295" t="s">
        <v>255</v>
      </c>
      <c r="G104" s="106"/>
      <c r="H104" s="353"/>
      <c r="I104" s="349" t="s">
        <v>271</v>
      </c>
      <c r="J104" s="108"/>
      <c r="K104" s="372" t="s">
        <v>255</v>
      </c>
      <c r="L104" s="368">
        <v>1096.4000000000001</v>
      </c>
      <c r="M104" s="369"/>
      <c r="N104" s="368">
        <v>1304.46</v>
      </c>
      <c r="O104" s="373"/>
      <c r="P104" s="303"/>
      <c r="Q104" s="371"/>
      <c r="R104" s="1491">
        <v>1096.4000000000001</v>
      </c>
      <c r="S104" s="1690"/>
      <c r="T104" s="5478">
        <v>1304.46</v>
      </c>
      <c r="U104" s="1682" t="s">
        <v>668</v>
      </c>
      <c r="V104" s="5484">
        <v>1274.117</v>
      </c>
      <c r="W104" s="2066"/>
      <c r="X104" s="2604"/>
      <c r="Y104" s="2605"/>
      <c r="Z104" s="2606"/>
      <c r="AA104" s="2557">
        <f>China!AO103</f>
        <v>205.04103609538544</v>
      </c>
      <c r="AB104" s="2592">
        <f>China!AP103</f>
        <v>0</v>
      </c>
      <c r="AC104" s="2558">
        <f>China!AQ103</f>
        <v>175.98708298221584</v>
      </c>
      <c r="AD104" s="2592">
        <f>China!AR103</f>
        <v>0</v>
      </c>
      <c r="AE104" s="2556">
        <f>China!AS103</f>
        <v>177.00964109114165</v>
      </c>
      <c r="AF104" s="2557"/>
      <c r="AG104" s="2592"/>
      <c r="AH104" s="2558"/>
      <c r="AI104" s="2592"/>
      <c r="AJ104" s="2556"/>
      <c r="AK104" s="2557"/>
      <c r="AL104" s="2592"/>
      <c r="AM104" s="2558"/>
      <c r="AN104" s="2592"/>
      <c r="AO104" s="2556"/>
      <c r="AP104" s="2557">
        <f>Türkiye!AA103</f>
        <v>131.99</v>
      </c>
      <c r="AQ104" s="2592">
        <f>Türkiye!AB103</f>
        <v>0</v>
      </c>
      <c r="AR104" s="5366">
        <f>Türkiye!AC103</f>
        <v>141.77000000000001</v>
      </c>
      <c r="AS104" s="2592">
        <f>Türkiye!AD103</f>
        <v>0</v>
      </c>
      <c r="AT104" s="5367">
        <f>Türkiye!AE103</f>
        <v>122.6</v>
      </c>
      <c r="AU104" s="498"/>
      <c r="AV104" s="367"/>
      <c r="AW104" s="99" t="s">
        <v>206</v>
      </c>
      <c r="AX104" s="138"/>
      <c r="AY104" s="138"/>
      <c r="AZ104" s="99"/>
      <c r="BA104" s="186" t="s">
        <v>269</v>
      </c>
      <c r="BB104" s="265"/>
      <c r="BC104" s="187"/>
      <c r="BD104" s="18"/>
    </row>
    <row r="105" spans="2:56" ht="20.100000000000001" customHeight="1">
      <c r="B105" s="1360" t="b">
        <f t="shared" si="14"/>
        <v>0</v>
      </c>
      <c r="C105" s="1362" t="s">
        <v>675</v>
      </c>
      <c r="D105" s="306"/>
      <c r="E105" s="161"/>
      <c r="F105" s="280" t="s">
        <v>255</v>
      </c>
      <c r="G105" s="345"/>
      <c r="H105" s="143" t="s">
        <v>274</v>
      </c>
      <c r="I105" s="143"/>
      <c r="J105" s="108"/>
      <c r="K105" s="281" t="s">
        <v>255</v>
      </c>
      <c r="L105" s="374">
        <f>L106+L107+L108</f>
        <v>0</v>
      </c>
      <c r="M105" s="375" t="s">
        <v>209</v>
      </c>
      <c r="N105" s="374">
        <f>N106+N107+N108</f>
        <v>0</v>
      </c>
      <c r="O105" s="376" t="s">
        <v>209</v>
      </c>
      <c r="P105" s="374">
        <f>P106+P107+P108</f>
        <v>0</v>
      </c>
      <c r="Q105" s="374"/>
      <c r="R105" s="1494">
        <f>R106+R107+R108</f>
        <v>0</v>
      </c>
      <c r="S105" s="1683" t="s">
        <v>209</v>
      </c>
      <c r="T105" s="1517">
        <f>T106+T107+T108</f>
        <v>0</v>
      </c>
      <c r="U105" s="1683" t="s">
        <v>209</v>
      </c>
      <c r="V105" s="1510">
        <f>V106+V107+V108</f>
        <v>0</v>
      </c>
      <c r="W105" s="2067" t="s">
        <v>209</v>
      </c>
      <c r="X105" s="2607"/>
      <c r="Y105" s="2608"/>
      <c r="Z105" s="2609"/>
      <c r="AA105" s="2550">
        <f>SUM(AA106:AA108)</f>
        <v>87.456875595606604</v>
      </c>
      <c r="AB105" s="2592"/>
      <c r="AC105" s="2551">
        <f t="shared" ref="AC105:AE105" si="24">SUM(AC106:AC108)</f>
        <v>81.303974009327803</v>
      </c>
      <c r="AD105" s="2592">
        <f t="shared" si="24"/>
        <v>0</v>
      </c>
      <c r="AE105" s="2610">
        <f t="shared" si="24"/>
        <v>88.372129660195171</v>
      </c>
      <c r="AF105" s="2550"/>
      <c r="AG105" s="2592"/>
      <c r="AH105" s="2551"/>
      <c r="AI105" s="2592"/>
      <c r="AJ105" s="2610"/>
      <c r="AK105" s="2550"/>
      <c r="AL105" s="2592"/>
      <c r="AM105" s="2551"/>
      <c r="AN105" s="2592"/>
      <c r="AO105" s="2610"/>
      <c r="AP105" s="2550">
        <v>0</v>
      </c>
      <c r="AQ105" s="2592">
        <v>0</v>
      </c>
      <c r="AR105" s="5439">
        <v>0</v>
      </c>
      <c r="AS105" s="2592">
        <v>0</v>
      </c>
      <c r="AT105" s="5434">
        <v>0</v>
      </c>
      <c r="AU105" s="2468" t="s">
        <v>676</v>
      </c>
      <c r="AV105" s="263" t="s">
        <v>276</v>
      </c>
      <c r="AW105" s="99" t="s">
        <v>206</v>
      </c>
      <c r="AX105" s="138"/>
      <c r="AY105" s="138"/>
      <c r="AZ105" s="99"/>
      <c r="BA105" s="336" t="s">
        <v>280</v>
      </c>
      <c r="BB105" s="265"/>
      <c r="BC105" s="187"/>
      <c r="BD105" s="18"/>
    </row>
    <row r="106" spans="2:56" ht="20.100000000000001" customHeight="1">
      <c r="B106" s="1360" t="b">
        <f t="shared" si="14"/>
        <v>1</v>
      </c>
      <c r="C106" s="9654"/>
      <c r="D106" s="306" t="s">
        <v>278</v>
      </c>
      <c r="E106" s="306"/>
      <c r="F106" s="280" t="s">
        <v>255</v>
      </c>
      <c r="G106" s="347"/>
      <c r="H106" s="348"/>
      <c r="I106" s="349" t="s">
        <v>279</v>
      </c>
      <c r="J106" s="108"/>
      <c r="K106" s="281" t="s">
        <v>255</v>
      </c>
      <c r="L106" s="379">
        <v>0</v>
      </c>
      <c r="M106" s="380" t="s">
        <v>209</v>
      </c>
      <c r="N106" s="379">
        <v>0</v>
      </c>
      <c r="O106" s="376" t="s">
        <v>209</v>
      </c>
      <c r="P106" s="274"/>
      <c r="Q106" s="381"/>
      <c r="R106" s="1491"/>
      <c r="S106" s="1683" t="s">
        <v>209</v>
      </c>
      <c r="T106" s="1491"/>
      <c r="U106" s="1683" t="s">
        <v>209</v>
      </c>
      <c r="V106" s="1486"/>
      <c r="W106" s="2068" t="s">
        <v>209</v>
      </c>
      <c r="X106" s="2611"/>
      <c r="Y106" s="2612"/>
      <c r="Z106" s="2613"/>
      <c r="AA106" s="2557">
        <f>China!AO105</f>
        <v>0</v>
      </c>
      <c r="AB106" s="2592" t="str">
        <f>China!AP105</f>
        <v>n/a</v>
      </c>
      <c r="AC106" s="2558">
        <f>China!AQ105</f>
        <v>0</v>
      </c>
      <c r="AD106" s="2592" t="str">
        <f>China!AR105</f>
        <v>n/a</v>
      </c>
      <c r="AE106" s="2556">
        <f>China!AS105</f>
        <v>0</v>
      </c>
      <c r="AF106" s="2557"/>
      <c r="AG106" s="2592"/>
      <c r="AH106" s="2558"/>
      <c r="AI106" s="2592"/>
      <c r="AJ106" s="2556"/>
      <c r="AK106" s="2557"/>
      <c r="AL106" s="2592"/>
      <c r="AM106" s="2558"/>
      <c r="AN106" s="2592"/>
      <c r="AO106" s="2556"/>
      <c r="AP106" s="2557">
        <v>0</v>
      </c>
      <c r="AQ106" s="2592">
        <v>0</v>
      </c>
      <c r="AR106" s="5366">
        <v>0</v>
      </c>
      <c r="AS106" s="2592">
        <v>0</v>
      </c>
      <c r="AT106" s="5367">
        <v>0</v>
      </c>
      <c r="AU106" s="2468"/>
      <c r="AV106" s="276"/>
      <c r="AW106" s="99" t="s">
        <v>206</v>
      </c>
      <c r="AX106" s="138"/>
      <c r="AY106" s="138"/>
      <c r="AZ106" s="99"/>
      <c r="BA106" s="336" t="s">
        <v>280</v>
      </c>
      <c r="BB106" s="265"/>
      <c r="BC106" s="187"/>
      <c r="BD106" s="18"/>
    </row>
    <row r="107" spans="2:56" ht="20.100000000000001" customHeight="1">
      <c r="B107" s="1360" t="b">
        <f t="shared" si="14"/>
        <v>1</v>
      </c>
      <c r="C107" s="9775"/>
      <c r="D107" s="9773" t="s">
        <v>281</v>
      </c>
      <c r="E107" s="9774"/>
      <c r="F107" s="280" t="s">
        <v>255</v>
      </c>
      <c r="G107" s="106"/>
      <c r="H107" s="353"/>
      <c r="I107" s="184" t="s">
        <v>282</v>
      </c>
      <c r="J107" s="141"/>
      <c r="K107" s="281" t="s">
        <v>255</v>
      </c>
      <c r="L107" s="379">
        <v>0</v>
      </c>
      <c r="M107" s="380" t="s">
        <v>209</v>
      </c>
      <c r="N107" s="379">
        <v>0</v>
      </c>
      <c r="O107" s="376" t="s">
        <v>209</v>
      </c>
      <c r="P107" s="274"/>
      <c r="Q107" s="381"/>
      <c r="R107" s="1491"/>
      <c r="S107" s="1403"/>
      <c r="T107" s="1491"/>
      <c r="U107" s="1684"/>
      <c r="V107" s="1486"/>
      <c r="W107" s="2068"/>
      <c r="X107" s="2611"/>
      <c r="Y107" s="2612"/>
      <c r="Z107" s="2613"/>
      <c r="AA107" s="2557">
        <f>China!AO106</f>
        <v>87.456875595606604</v>
      </c>
      <c r="AB107" s="2592">
        <f>China!AP106</f>
        <v>0</v>
      </c>
      <c r="AC107" s="2558">
        <f>China!AQ106</f>
        <v>81.303974009327803</v>
      </c>
      <c r="AD107" s="2592">
        <f>China!AR106</f>
        <v>0</v>
      </c>
      <c r="AE107" s="2556">
        <f>China!AS106</f>
        <v>88.372129660195171</v>
      </c>
      <c r="AF107" s="2557"/>
      <c r="AG107" s="2592"/>
      <c r="AH107" s="2558"/>
      <c r="AI107" s="2592"/>
      <c r="AJ107" s="2556"/>
      <c r="AK107" s="2557"/>
      <c r="AL107" s="2592"/>
      <c r="AM107" s="2558"/>
      <c r="AN107" s="2592"/>
      <c r="AO107" s="2556"/>
      <c r="AP107" s="2557">
        <v>0</v>
      </c>
      <c r="AQ107" s="2592">
        <v>0</v>
      </c>
      <c r="AR107" s="5366">
        <v>0</v>
      </c>
      <c r="AS107" s="2592">
        <v>0</v>
      </c>
      <c r="AT107" s="5367">
        <v>0</v>
      </c>
      <c r="AU107" s="2468"/>
      <c r="AV107" s="276"/>
      <c r="AW107" s="99" t="s">
        <v>206</v>
      </c>
      <c r="AX107" s="138"/>
      <c r="AY107" s="138"/>
      <c r="AZ107" s="99"/>
      <c r="BA107" s="336" t="s">
        <v>280</v>
      </c>
      <c r="BB107" s="265"/>
      <c r="BC107" s="187"/>
      <c r="BD107" s="18"/>
    </row>
    <row r="108" spans="2:56" ht="20.100000000000001" customHeight="1">
      <c r="B108" s="1360" t="b">
        <f t="shared" si="14"/>
        <v>1</v>
      </c>
      <c r="C108" s="9776"/>
      <c r="D108" s="9598" t="s">
        <v>283</v>
      </c>
      <c r="E108" s="9599"/>
      <c r="F108" s="280" t="s">
        <v>255</v>
      </c>
      <c r="G108" s="384"/>
      <c r="H108" s="385"/>
      <c r="I108" s="184" t="s">
        <v>284</v>
      </c>
      <c r="J108" s="141"/>
      <c r="K108" s="281" t="s">
        <v>255</v>
      </c>
      <c r="L108" s="379">
        <v>0</v>
      </c>
      <c r="M108" s="380" t="s">
        <v>209</v>
      </c>
      <c r="N108" s="379">
        <v>0</v>
      </c>
      <c r="O108" s="376" t="s">
        <v>209</v>
      </c>
      <c r="P108" s="274"/>
      <c r="Q108" s="381"/>
      <c r="R108" s="1491"/>
      <c r="S108" s="1683" t="s">
        <v>209</v>
      </c>
      <c r="T108" s="1491"/>
      <c r="U108" s="1683" t="s">
        <v>209</v>
      </c>
      <c r="V108" s="1486"/>
      <c r="W108" s="2068" t="s">
        <v>209</v>
      </c>
      <c r="X108" s="2611"/>
      <c r="Y108" s="2612"/>
      <c r="Z108" s="2613"/>
      <c r="AA108" s="2557">
        <f>China!AO107</f>
        <v>0</v>
      </c>
      <c r="AB108" s="2592" t="str">
        <f>China!AP107</f>
        <v>n/a</v>
      </c>
      <c r="AC108" s="2558">
        <f>China!AQ107</f>
        <v>0</v>
      </c>
      <c r="AD108" s="2592" t="str">
        <f>China!AR107</f>
        <v>n/a</v>
      </c>
      <c r="AE108" s="2556">
        <f>China!AS107</f>
        <v>0</v>
      </c>
      <c r="AF108" s="2557"/>
      <c r="AG108" s="2592"/>
      <c r="AH108" s="2558"/>
      <c r="AI108" s="2592"/>
      <c r="AJ108" s="2556"/>
      <c r="AK108" s="2557"/>
      <c r="AL108" s="2592"/>
      <c r="AM108" s="2558"/>
      <c r="AN108" s="2592"/>
      <c r="AO108" s="2556"/>
      <c r="AP108" s="2557">
        <v>0</v>
      </c>
      <c r="AQ108" s="2592">
        <v>0</v>
      </c>
      <c r="AR108" s="5366">
        <v>0</v>
      </c>
      <c r="AS108" s="2592">
        <v>0</v>
      </c>
      <c r="AT108" s="5367">
        <v>0</v>
      </c>
      <c r="AU108" s="2468"/>
      <c r="AV108" s="276"/>
      <c r="AW108" s="99" t="s">
        <v>206</v>
      </c>
      <c r="AX108" s="138"/>
      <c r="AY108" s="138"/>
      <c r="AZ108" s="99"/>
      <c r="BA108" s="336" t="s">
        <v>280</v>
      </c>
      <c r="BB108" s="265"/>
      <c r="BC108" s="187"/>
      <c r="BD108" s="18"/>
    </row>
    <row r="109" spans="2:56" ht="20.100000000000001" customHeight="1">
      <c r="B109" s="1360" t="b">
        <f t="shared" si="14"/>
        <v>0</v>
      </c>
      <c r="C109" s="9769" t="s">
        <v>285</v>
      </c>
      <c r="D109" s="9769"/>
      <c r="E109" s="9769"/>
      <c r="F109" s="105" t="s">
        <v>286</v>
      </c>
      <c r="G109" s="386"/>
      <c r="H109" s="140" t="s">
        <v>287</v>
      </c>
      <c r="I109" s="140"/>
      <c r="J109" s="141"/>
      <c r="K109" s="109" t="s">
        <v>288</v>
      </c>
      <c r="L109" s="387">
        <v>0.38601637792783605</v>
      </c>
      <c r="M109" s="388"/>
      <c r="N109" s="387">
        <v>0.21113310963709983</v>
      </c>
      <c r="O109" s="389"/>
      <c r="P109" s="390" t="s">
        <v>169</v>
      </c>
      <c r="Q109" s="390"/>
      <c r="R109" s="1495">
        <v>0.38601637792783605</v>
      </c>
      <c r="S109" s="1691"/>
      <c r="T109" s="5485">
        <v>0.21113310963709983</v>
      </c>
      <c r="U109" s="1685"/>
      <c r="V109" s="5485">
        <v>0.18</v>
      </c>
      <c r="W109" s="2069"/>
      <c r="X109" s="2614"/>
      <c r="Y109" s="2564"/>
      <c r="Z109" s="2565"/>
      <c r="AA109" s="5354">
        <f>AA110/AA111</f>
        <v>0.11231382967573462</v>
      </c>
      <c r="AB109" s="5365" t="e">
        <f t="shared" ref="AB109:AE109" si="25">AB110/AB111</f>
        <v>#DIV/0!</v>
      </c>
      <c r="AC109" s="5356">
        <f t="shared" si="25"/>
        <v>0.1545732077852528</v>
      </c>
      <c r="AD109" s="5365" t="e">
        <f t="shared" si="25"/>
        <v>#DIV/0!</v>
      </c>
      <c r="AE109" s="5357">
        <f t="shared" si="25"/>
        <v>8.9134625498143175E-2</v>
      </c>
      <c r="AF109" s="5354">
        <f>AF110/AF111</f>
        <v>0.13531714353132041</v>
      </c>
      <c r="AG109" s="5365" t="e">
        <f t="shared" ref="AG109:AJ109" si="26">AG110/AG111</f>
        <v>#DIV/0!</v>
      </c>
      <c r="AH109" s="5356">
        <f t="shared" si="26"/>
        <v>9.9097857307294118E-2</v>
      </c>
      <c r="AI109" s="5365" t="e">
        <f t="shared" si="26"/>
        <v>#DIV/0!</v>
      </c>
      <c r="AJ109" s="5357">
        <f t="shared" si="26"/>
        <v>9.9719824790536329E-2</v>
      </c>
      <c r="AK109" s="2562"/>
      <c r="AL109" s="2592"/>
      <c r="AM109" s="2564"/>
      <c r="AN109" s="2592"/>
      <c r="AO109" s="2566"/>
      <c r="AP109" s="2562"/>
      <c r="AQ109" s="2592"/>
      <c r="AR109" s="5352"/>
      <c r="AS109" s="2592"/>
      <c r="AT109" s="5353"/>
      <c r="AU109" s="2468" t="s">
        <v>289</v>
      </c>
      <c r="AV109" s="276" t="s">
        <v>290</v>
      </c>
      <c r="AW109" s="99" t="s">
        <v>206</v>
      </c>
      <c r="AX109" s="138"/>
      <c r="AY109" s="138"/>
      <c r="AZ109" s="99"/>
      <c r="BA109" s="346" t="s">
        <v>291</v>
      </c>
      <c r="BB109" s="346" t="s">
        <v>292</v>
      </c>
      <c r="BC109" s="187"/>
      <c r="BD109" s="18"/>
    </row>
    <row r="110" spans="2:56" ht="20.100000000000001" customHeight="1">
      <c r="B110" s="1360" t="b">
        <f t="shared" si="14"/>
        <v>0</v>
      </c>
      <c r="C110" s="9765"/>
      <c r="D110" s="9770" t="s">
        <v>254</v>
      </c>
      <c r="E110" s="9769"/>
      <c r="F110" s="280" t="s">
        <v>255</v>
      </c>
      <c r="G110" s="106"/>
      <c r="H110" s="353"/>
      <c r="I110" s="184" t="s">
        <v>293</v>
      </c>
      <c r="J110" s="177"/>
      <c r="K110" s="281" t="s">
        <v>255</v>
      </c>
      <c r="L110" s="392">
        <v>1268.5</v>
      </c>
      <c r="M110" s="389"/>
      <c r="N110" s="392">
        <v>1491.8940000000002</v>
      </c>
      <c r="O110" s="389"/>
      <c r="P110" s="303"/>
      <c r="Q110" s="371"/>
      <c r="R110" s="1496">
        <v>1268.5</v>
      </c>
      <c r="S110" s="1691" t="s">
        <v>667</v>
      </c>
      <c r="T110" s="5484">
        <v>1429</v>
      </c>
      <c r="U110" s="1415" t="s">
        <v>1782</v>
      </c>
      <c r="V110" s="5484">
        <v>1394</v>
      </c>
      <c r="W110" s="2066"/>
      <c r="X110" s="2604"/>
      <c r="Y110" s="2605"/>
      <c r="Z110" s="2606"/>
      <c r="AA110" s="2550">
        <f>AA96</f>
        <v>293.25696436359488</v>
      </c>
      <c r="AB110" s="5363">
        <f t="shared" ref="AB110:AJ110" si="27">AB96</f>
        <v>0</v>
      </c>
      <c r="AC110" s="2551">
        <f t="shared" si="27"/>
        <v>257.91617295420275</v>
      </c>
      <c r="AD110" s="2564">
        <f t="shared" si="27"/>
        <v>0</v>
      </c>
      <c r="AE110" s="2610">
        <f t="shared" si="27"/>
        <v>266.00810795785208</v>
      </c>
      <c r="AF110" s="2550">
        <f>AF96</f>
        <v>54.037363380335201</v>
      </c>
      <c r="AG110" s="5363">
        <f t="shared" si="27"/>
        <v>0</v>
      </c>
      <c r="AH110" s="2551">
        <f t="shared" si="27"/>
        <v>117.93083850502801</v>
      </c>
      <c r="AI110" s="2564">
        <f t="shared" si="27"/>
        <v>0</v>
      </c>
      <c r="AJ110" s="2610">
        <f t="shared" si="27"/>
        <v>131.92724031512199</v>
      </c>
      <c r="AK110" s="2550"/>
      <c r="AL110" s="5363"/>
      <c r="AM110" s="2551"/>
      <c r="AN110" s="5363"/>
      <c r="AO110" s="2610"/>
      <c r="AP110" s="2550"/>
      <c r="AQ110" s="5363"/>
      <c r="AR110" s="5439"/>
      <c r="AS110" s="5363"/>
      <c r="AT110" s="5434"/>
      <c r="AU110" s="2468"/>
      <c r="AV110" s="276"/>
      <c r="AW110" s="99" t="s">
        <v>206</v>
      </c>
      <c r="AX110" s="138"/>
      <c r="AY110" s="138"/>
      <c r="AZ110" s="99"/>
      <c r="BA110" s="346" t="s">
        <v>294</v>
      </c>
      <c r="BB110" s="346"/>
      <c r="BC110" s="187"/>
      <c r="BD110" s="18"/>
    </row>
    <row r="111" spans="2:56" ht="20.100000000000001" customHeight="1">
      <c r="B111" s="1360" t="b">
        <f t="shared" si="14"/>
        <v>0</v>
      </c>
      <c r="C111" s="9766"/>
      <c r="D111" s="9770" t="s">
        <v>232</v>
      </c>
      <c r="E111" s="9769"/>
      <c r="F111" s="105" t="s">
        <v>233</v>
      </c>
      <c r="G111" s="106"/>
      <c r="H111" s="353"/>
      <c r="I111" s="184" t="s">
        <v>234</v>
      </c>
      <c r="J111" s="177"/>
      <c r="K111" s="109" t="s">
        <v>295</v>
      </c>
      <c r="L111" s="301"/>
      <c r="M111" s="301"/>
      <c r="N111" s="301"/>
      <c r="O111" s="301"/>
      <c r="P111" s="301"/>
      <c r="Q111" s="301"/>
      <c r="R111" s="1495">
        <f>R86</f>
        <v>3286.13</v>
      </c>
      <c r="S111" s="1413"/>
      <c r="T111" s="1495">
        <f>T86</f>
        <v>7066.13</v>
      </c>
      <c r="U111" s="1413"/>
      <c r="V111" s="1495">
        <f>V86</f>
        <v>7733.26</v>
      </c>
      <c r="W111" s="2061"/>
      <c r="X111" s="2604"/>
      <c r="Y111" s="2605"/>
      <c r="Z111" s="2606"/>
      <c r="AA111" s="2550">
        <f>AA86</f>
        <v>2611.0494603404391</v>
      </c>
      <c r="AB111" s="2564">
        <f t="shared" ref="AB111:AE111" si="28">AB86</f>
        <v>0</v>
      </c>
      <c r="AC111" s="2551">
        <f t="shared" si="28"/>
        <v>1668.5697130160061</v>
      </c>
      <c r="AD111" s="2564">
        <f t="shared" si="28"/>
        <v>0</v>
      </c>
      <c r="AE111" s="2610">
        <f t="shared" si="28"/>
        <v>2984.3408941387597</v>
      </c>
      <c r="AF111" s="2557">
        <f>Vietnam!Q110</f>
        <v>399.33863492934103</v>
      </c>
      <c r="AG111" s="2567">
        <f>Vietnam!R110</f>
        <v>0</v>
      </c>
      <c r="AH111" s="2558">
        <f>Vietnam!S110</f>
        <v>1190.0442825855901</v>
      </c>
      <c r="AI111" s="2567">
        <f>Vietnam!T110</f>
        <v>0</v>
      </c>
      <c r="AJ111" s="2556">
        <f>Vietnam!U110</f>
        <v>1322.9790625107701</v>
      </c>
      <c r="AK111" s="2550"/>
      <c r="AL111" s="2564"/>
      <c r="AM111" s="2551"/>
      <c r="AN111" s="2564"/>
      <c r="AO111" s="2610"/>
      <c r="AP111" s="2557"/>
      <c r="AQ111" s="2567"/>
      <c r="AR111" s="5366"/>
      <c r="AS111" s="5396"/>
      <c r="AT111" s="5367"/>
      <c r="AU111" s="2468"/>
      <c r="AV111" s="276"/>
      <c r="AW111" s="99" t="s">
        <v>37</v>
      </c>
      <c r="AX111" s="138"/>
      <c r="AY111" s="138"/>
      <c r="AZ111" s="99"/>
      <c r="BA111" s="346" t="s">
        <v>291</v>
      </c>
      <c r="BB111" s="346"/>
      <c r="BC111" s="187"/>
      <c r="BD111" s="18"/>
    </row>
    <row r="112" spans="2:56" ht="20.100000000000001" customHeight="1">
      <c r="B112" s="1360" t="b">
        <f t="shared" si="14"/>
        <v>0</v>
      </c>
      <c r="C112" s="9769" t="s">
        <v>321</v>
      </c>
      <c r="D112" s="9769"/>
      <c r="E112" s="9769"/>
      <c r="F112" s="280" t="s">
        <v>255</v>
      </c>
      <c r="G112" s="386"/>
      <c r="H112" s="140" t="s">
        <v>322</v>
      </c>
      <c r="I112" s="140"/>
      <c r="J112" s="141"/>
      <c r="K112" s="281" t="s">
        <v>255</v>
      </c>
      <c r="L112" s="393">
        <v>1096.472</v>
      </c>
      <c r="M112" s="393"/>
      <c r="N112" s="393">
        <v>1304.46</v>
      </c>
      <c r="O112" s="393"/>
      <c r="P112" s="340"/>
      <c r="Q112" s="341"/>
      <c r="R112" s="1496">
        <v>1096.472</v>
      </c>
      <c r="S112" s="1417"/>
      <c r="T112" s="5484">
        <v>1304.46</v>
      </c>
      <c r="U112" s="1415"/>
      <c r="V112" s="5484">
        <v>1274.117</v>
      </c>
      <c r="W112" s="2063"/>
      <c r="X112" s="2557"/>
      <c r="Y112" s="2558"/>
      <c r="Z112" s="2559"/>
      <c r="AA112" s="2557">
        <f>China!AO111</f>
        <v>292.49791169099205</v>
      </c>
      <c r="AB112" s="2561">
        <f>China!AP111</f>
        <v>0</v>
      </c>
      <c r="AC112" s="2558">
        <f>China!AQ111</f>
        <v>257.29105699154366</v>
      </c>
      <c r="AD112" s="2561">
        <f>China!AR111</f>
        <v>0</v>
      </c>
      <c r="AE112" s="2556">
        <f>China!AS111</f>
        <v>265.38177075133683</v>
      </c>
      <c r="AF112" s="2557"/>
      <c r="AG112" s="2561"/>
      <c r="AH112" s="2558"/>
      <c r="AI112" s="2561"/>
      <c r="AJ112" s="2556"/>
      <c r="AK112" s="2557"/>
      <c r="AL112" s="2561"/>
      <c r="AM112" s="2558"/>
      <c r="AN112" s="2561"/>
      <c r="AO112" s="2556"/>
      <c r="AP112" s="2557">
        <f>Türkiye!AA111</f>
        <v>163.06</v>
      </c>
      <c r="AQ112" s="2561">
        <f>Türkiye!AB111</f>
        <v>0</v>
      </c>
      <c r="AR112" s="5366">
        <f>Türkiye!AC111</f>
        <v>190.41</v>
      </c>
      <c r="AS112" s="2561">
        <f>Türkiye!AD111</f>
        <v>0</v>
      </c>
      <c r="AT112" s="5367">
        <f>Türkiye!AE111</f>
        <v>148.49</v>
      </c>
      <c r="AU112" s="2468" t="s">
        <v>1783</v>
      </c>
      <c r="AV112" s="276" t="s">
        <v>1784</v>
      </c>
      <c r="AW112" s="99" t="s">
        <v>206</v>
      </c>
      <c r="AX112" s="138"/>
      <c r="AY112" s="138"/>
      <c r="AZ112" s="99"/>
      <c r="BA112" s="346" t="s">
        <v>323</v>
      </c>
      <c r="BB112" s="265"/>
      <c r="BC112" s="187"/>
      <c r="BD112" s="18"/>
    </row>
    <row r="113" spans="2:56" ht="20.100000000000001" customHeight="1">
      <c r="B113" s="1360" t="b">
        <f t="shared" si="14"/>
        <v>1</v>
      </c>
      <c r="C113" s="9648" t="s">
        <v>324</v>
      </c>
      <c r="D113" s="9648"/>
      <c r="E113" s="9648"/>
      <c r="F113" s="280" t="s">
        <v>156</v>
      </c>
      <c r="G113" s="386"/>
      <c r="H113" s="140" t="s">
        <v>325</v>
      </c>
      <c r="I113" s="140"/>
      <c r="J113" s="141"/>
      <c r="K113" s="281" t="s">
        <v>156</v>
      </c>
      <c r="L113" s="303"/>
      <c r="M113" s="363"/>
      <c r="N113" s="303"/>
      <c r="O113" s="368"/>
      <c r="P113" s="394"/>
      <c r="Q113" s="395"/>
      <c r="R113" s="1496"/>
      <c r="S113" s="1416"/>
      <c r="T113" s="1496"/>
      <c r="U113" s="1415"/>
      <c r="V113" s="1496"/>
      <c r="W113" s="2070"/>
      <c r="X113" s="2604"/>
      <c r="Y113" s="2605"/>
      <c r="Z113" s="2606"/>
      <c r="AA113" s="3712">
        <f>China!AO112</f>
        <v>1</v>
      </c>
      <c r="AB113" s="4930">
        <f>China!AP112</f>
        <v>0</v>
      </c>
      <c r="AC113" s="4841">
        <f>China!AQ112</f>
        <v>1</v>
      </c>
      <c r="AD113" s="4930">
        <f>China!AR112</f>
        <v>0</v>
      </c>
      <c r="AE113" s="5368">
        <f>China!AS112</f>
        <v>1</v>
      </c>
      <c r="AF113" s="2557"/>
      <c r="AG113" s="2561"/>
      <c r="AH113" s="2558"/>
      <c r="AI113" s="2561"/>
      <c r="AJ113" s="2556"/>
      <c r="AK113" s="2557"/>
      <c r="AL113" s="2561"/>
      <c r="AM113" s="2558"/>
      <c r="AN113" s="2561"/>
      <c r="AO113" s="2556"/>
      <c r="AP113" s="5372">
        <f>AP112/AP96</f>
        <v>0.99981605248635719</v>
      </c>
      <c r="AQ113" s="5373" t="e">
        <f t="shared" ref="AQ113:AT113" si="29">AQ112/AQ96</f>
        <v>#DIV/0!</v>
      </c>
      <c r="AR113" s="5374">
        <f t="shared" si="29"/>
        <v>1.0007357964997108</v>
      </c>
      <c r="AS113" s="5373" t="e">
        <f t="shared" si="29"/>
        <v>#DIV/0!</v>
      </c>
      <c r="AT113" s="5375">
        <f t="shared" si="29"/>
        <v>0.99324414715719067</v>
      </c>
      <c r="AU113" s="498" t="s">
        <v>326</v>
      </c>
      <c r="AV113" s="305" t="s">
        <v>327</v>
      </c>
      <c r="AW113" s="99" t="s">
        <v>206</v>
      </c>
      <c r="AX113" s="138"/>
      <c r="AY113" s="138"/>
      <c r="AZ113" s="99"/>
      <c r="BA113" s="346"/>
      <c r="BB113" s="265"/>
      <c r="BC113" s="187" t="s">
        <v>261</v>
      </c>
      <c r="BD113" s="18"/>
    </row>
    <row r="114" spans="2:56" ht="20.100000000000001" customHeight="1">
      <c r="B114" s="1360" t="b">
        <f t="shared" si="14"/>
        <v>0</v>
      </c>
      <c r="C114" s="9769" t="s">
        <v>328</v>
      </c>
      <c r="D114" s="9769"/>
      <c r="E114" s="9769"/>
      <c r="F114" s="280" t="s">
        <v>307</v>
      </c>
      <c r="G114" s="386"/>
      <c r="H114" s="140" t="s">
        <v>329</v>
      </c>
      <c r="I114" s="140"/>
      <c r="J114" s="141"/>
      <c r="K114" s="281" t="s">
        <v>307</v>
      </c>
      <c r="L114" s="396">
        <f>L115+L116</f>
        <v>0</v>
      </c>
      <c r="M114" s="397"/>
      <c r="N114" s="396">
        <f>N115+N116</f>
        <v>0</v>
      </c>
      <c r="O114" s="398"/>
      <c r="P114" s="396">
        <f t="shared" ref="P114:V114" si="30">P115+P116</f>
        <v>0</v>
      </c>
      <c r="Q114" s="396"/>
      <c r="R114" s="1497">
        <f t="shared" si="30"/>
        <v>0</v>
      </c>
      <c r="S114" s="1679"/>
      <c r="T114" s="1497">
        <f t="shared" si="30"/>
        <v>0</v>
      </c>
      <c r="U114" s="1679"/>
      <c r="V114" s="1497">
        <f t="shared" si="30"/>
        <v>0</v>
      </c>
      <c r="W114" s="2071"/>
      <c r="X114" s="2615"/>
      <c r="Y114" s="2616"/>
      <c r="Z114" s="2617"/>
      <c r="AA114" s="2618">
        <f>SUM(AA115:AA116)</f>
        <v>87.456875595606604</v>
      </c>
      <c r="AB114" s="2619"/>
      <c r="AC114" s="2620">
        <f t="shared" ref="AC114:AE114" si="31">SUM(AC115:AC116)</f>
        <v>81.303974009327803</v>
      </c>
      <c r="AD114" s="2619">
        <f t="shared" si="31"/>
        <v>0</v>
      </c>
      <c r="AE114" s="2621">
        <f t="shared" si="31"/>
        <v>88.372129660195171</v>
      </c>
      <c r="AF114" s="2618"/>
      <c r="AG114" s="2619"/>
      <c r="AH114" s="2620"/>
      <c r="AI114" s="2619"/>
      <c r="AJ114" s="2621"/>
      <c r="AK114" s="2618"/>
      <c r="AL114" s="2619"/>
      <c r="AM114" s="2620"/>
      <c r="AN114" s="2619"/>
      <c r="AO114" s="2621"/>
      <c r="AP114" s="2622"/>
      <c r="AQ114" s="2619"/>
      <c r="AR114" s="2623"/>
      <c r="AS114" s="2619"/>
      <c r="AT114" s="2621"/>
      <c r="AU114" s="2468" t="s">
        <v>330</v>
      </c>
      <c r="AV114" s="276" t="s">
        <v>331</v>
      </c>
      <c r="AW114" s="99" t="s">
        <v>206</v>
      </c>
      <c r="AX114" s="138"/>
      <c r="AY114" s="138"/>
      <c r="AZ114" s="99"/>
      <c r="BA114" s="346" t="s">
        <v>332</v>
      </c>
      <c r="BB114" s="265"/>
      <c r="BC114" s="187"/>
      <c r="BD114" s="18"/>
    </row>
    <row r="115" spans="2:56" ht="20.100000000000001" customHeight="1">
      <c r="B115" s="1360" t="b">
        <f t="shared" si="14"/>
        <v>1</v>
      </c>
      <c r="C115" s="9765"/>
      <c r="D115" s="9770" t="s">
        <v>333</v>
      </c>
      <c r="E115" s="9769"/>
      <c r="F115" s="280" t="s">
        <v>307</v>
      </c>
      <c r="G115" s="106"/>
      <c r="H115" s="353"/>
      <c r="I115" s="386" t="s">
        <v>334</v>
      </c>
      <c r="J115" s="141"/>
      <c r="K115" s="281" t="s">
        <v>307</v>
      </c>
      <c r="L115" s="274"/>
      <c r="M115" s="304" t="s">
        <v>209</v>
      </c>
      <c r="N115" s="274"/>
      <c r="O115" s="304" t="s">
        <v>209</v>
      </c>
      <c r="P115" s="402"/>
      <c r="Q115" s="403"/>
      <c r="R115" s="1486"/>
      <c r="S115" s="1418"/>
      <c r="T115" s="1486"/>
      <c r="U115" s="979"/>
      <c r="V115" s="1486"/>
      <c r="W115" s="2072"/>
      <c r="X115" s="2611"/>
      <c r="Y115" s="2612"/>
      <c r="Z115" s="2613"/>
      <c r="AA115" s="2557">
        <f>China!AO114</f>
        <v>87.456875595606604</v>
      </c>
      <c r="AB115" s="2561">
        <f>China!AP114</f>
        <v>0</v>
      </c>
      <c r="AC115" s="2558">
        <f>China!AQ114</f>
        <v>81.303974009327803</v>
      </c>
      <c r="AD115" s="2561">
        <f>China!AR114</f>
        <v>0</v>
      </c>
      <c r="AE115" s="2556">
        <f>China!AS114</f>
        <v>88.372129660195171</v>
      </c>
      <c r="AF115" s="2557"/>
      <c r="AG115" s="2561"/>
      <c r="AH115" s="2558"/>
      <c r="AI115" s="2561"/>
      <c r="AJ115" s="2556"/>
      <c r="AK115" s="2557"/>
      <c r="AL115" s="2561"/>
      <c r="AM115" s="2558"/>
      <c r="AN115" s="2561"/>
      <c r="AO115" s="2556"/>
      <c r="AP115" s="2557"/>
      <c r="AQ115" s="2561"/>
      <c r="AR115" s="2558"/>
      <c r="AS115" s="2561"/>
      <c r="AT115" s="2556"/>
      <c r="AU115" s="2468"/>
      <c r="AV115" s="276"/>
      <c r="AW115" s="99" t="s">
        <v>206</v>
      </c>
      <c r="AX115" s="138"/>
      <c r="AY115" s="138"/>
      <c r="AZ115" s="99"/>
      <c r="BA115" s="346" t="s">
        <v>332</v>
      </c>
      <c r="BB115" s="265"/>
      <c r="BC115" s="187"/>
      <c r="BD115" s="18"/>
    </row>
    <row r="116" spans="2:56" ht="20.100000000000001" customHeight="1">
      <c r="B116" s="1360" t="b">
        <f t="shared" si="14"/>
        <v>1</v>
      </c>
      <c r="C116" s="9766"/>
      <c r="D116" s="9770" t="s">
        <v>335</v>
      </c>
      <c r="E116" s="9769"/>
      <c r="F116" s="280" t="s">
        <v>307</v>
      </c>
      <c r="G116" s="106"/>
      <c r="H116" s="353"/>
      <c r="I116" s="386" t="s">
        <v>336</v>
      </c>
      <c r="J116" s="144"/>
      <c r="K116" s="281" t="s">
        <v>307</v>
      </c>
      <c r="L116" s="274"/>
      <c r="M116" s="304" t="s">
        <v>209</v>
      </c>
      <c r="N116" s="274"/>
      <c r="O116" s="304" t="s">
        <v>209</v>
      </c>
      <c r="P116" s="402"/>
      <c r="Q116" s="403"/>
      <c r="R116" s="1486"/>
      <c r="S116" s="940"/>
      <c r="T116" s="1486"/>
      <c r="U116" s="979"/>
      <c r="V116" s="1486"/>
      <c r="W116" s="2072"/>
      <c r="X116" s="2611"/>
      <c r="Y116" s="2612"/>
      <c r="Z116" s="2613"/>
      <c r="AA116" s="2557">
        <f>China!AO115</f>
        <v>0</v>
      </c>
      <c r="AB116" s="2561" t="str">
        <f>China!AP115</f>
        <v>n/a</v>
      </c>
      <c r="AC116" s="2558">
        <f>China!AQ115</f>
        <v>0</v>
      </c>
      <c r="AD116" s="2561" t="str">
        <f>China!AR115</f>
        <v>n/a</v>
      </c>
      <c r="AE116" s="2556">
        <f>China!AS115</f>
        <v>0</v>
      </c>
      <c r="AF116" s="2557"/>
      <c r="AG116" s="2561"/>
      <c r="AH116" s="2558"/>
      <c r="AI116" s="2561"/>
      <c r="AJ116" s="2556"/>
      <c r="AK116" s="2557"/>
      <c r="AL116" s="2561"/>
      <c r="AM116" s="2558"/>
      <c r="AN116" s="2561"/>
      <c r="AO116" s="2556"/>
      <c r="AP116" s="2557"/>
      <c r="AQ116" s="2561"/>
      <c r="AR116" s="2558"/>
      <c r="AS116" s="2561"/>
      <c r="AT116" s="2556"/>
      <c r="AU116" s="2468"/>
      <c r="AV116" s="276"/>
      <c r="AW116" s="99" t="s">
        <v>206</v>
      </c>
      <c r="AX116" s="138"/>
      <c r="AY116" s="138"/>
      <c r="AZ116" s="99"/>
      <c r="BA116" s="346" t="s">
        <v>332</v>
      </c>
      <c r="BB116" s="265"/>
      <c r="BC116" s="187"/>
      <c r="BD116" s="18"/>
    </row>
    <row r="117" spans="2:56" ht="20.100000000000001" customHeight="1">
      <c r="B117" s="1360" t="b">
        <f t="shared" si="14"/>
        <v>1</v>
      </c>
      <c r="C117" s="9648" t="s">
        <v>337</v>
      </c>
      <c r="D117" s="9648"/>
      <c r="E117" s="9648"/>
      <c r="F117" s="280" t="s">
        <v>156</v>
      </c>
      <c r="G117" s="386"/>
      <c r="H117" s="140" t="s">
        <v>338</v>
      </c>
      <c r="I117" s="140"/>
      <c r="J117" s="177"/>
      <c r="K117" s="281" t="s">
        <v>156</v>
      </c>
      <c r="L117" s="274"/>
      <c r="M117" s="269"/>
      <c r="N117" s="274"/>
      <c r="O117" s="269"/>
      <c r="P117" s="402"/>
      <c r="Q117" s="403"/>
      <c r="R117" s="1486"/>
      <c r="S117" s="940"/>
      <c r="T117" s="1486"/>
      <c r="U117" s="979"/>
      <c r="V117" s="1486"/>
      <c r="W117" s="2072"/>
      <c r="X117" s="2611"/>
      <c r="Y117" s="2612"/>
      <c r="Z117" s="2613"/>
      <c r="AA117" s="5372">
        <f>AA118/AA119</f>
        <v>0.29822608232134984</v>
      </c>
      <c r="AB117" s="5373" t="e">
        <f t="shared" ref="AB117:AE117" si="32">AB118/AB119</f>
        <v>#DIV/0!</v>
      </c>
      <c r="AC117" s="5374">
        <f t="shared" si="32"/>
        <v>0.315234105244593</v>
      </c>
      <c r="AD117" s="5373" t="e">
        <f t="shared" si="32"/>
        <v>#DIV/0!</v>
      </c>
      <c r="AE117" s="5375">
        <f t="shared" si="32"/>
        <v>0.3322159250657028</v>
      </c>
      <c r="AF117" s="2550"/>
      <c r="AG117" s="2564"/>
      <c r="AH117" s="2551"/>
      <c r="AI117" s="2564"/>
      <c r="AJ117" s="2610"/>
      <c r="AK117" s="2550"/>
      <c r="AL117" s="2564"/>
      <c r="AM117" s="2551"/>
      <c r="AN117" s="2564"/>
      <c r="AO117" s="2610"/>
      <c r="AP117" s="2550"/>
      <c r="AQ117" s="2564"/>
      <c r="AR117" s="2551"/>
      <c r="AS117" s="2564"/>
      <c r="AT117" s="2610"/>
      <c r="AU117" s="2468" t="s">
        <v>339</v>
      </c>
      <c r="AV117" s="276" t="s">
        <v>340</v>
      </c>
      <c r="AW117" s="99" t="s">
        <v>206</v>
      </c>
      <c r="AX117" s="138"/>
      <c r="AY117" s="138"/>
      <c r="AZ117" s="99"/>
      <c r="BA117" s="346"/>
      <c r="BB117" s="265"/>
      <c r="BC117" s="187" t="s">
        <v>261</v>
      </c>
      <c r="BD117" s="18"/>
    </row>
    <row r="118" spans="2:56" ht="20.100000000000001" customHeight="1">
      <c r="B118" s="1360" t="b">
        <f t="shared" si="14"/>
        <v>1</v>
      </c>
      <c r="C118" s="9767"/>
      <c r="D118" s="196" t="s">
        <v>677</v>
      </c>
      <c r="E118" s="196"/>
      <c r="F118" s="295" t="s">
        <v>307</v>
      </c>
      <c r="G118" s="106"/>
      <c r="H118" s="353"/>
      <c r="I118" s="184" t="s">
        <v>274</v>
      </c>
      <c r="J118" s="177"/>
      <c r="K118" s="281" t="s">
        <v>307</v>
      </c>
      <c r="L118" s="274"/>
      <c r="M118" s="269"/>
      <c r="N118" s="274"/>
      <c r="O118" s="269"/>
      <c r="P118" s="402"/>
      <c r="Q118" s="403"/>
      <c r="R118" s="1486"/>
      <c r="S118" s="940"/>
      <c r="T118" s="1486"/>
      <c r="U118" s="979"/>
      <c r="V118" s="1486"/>
      <c r="W118" s="2072"/>
      <c r="X118" s="2611"/>
      <c r="Y118" s="2612"/>
      <c r="Z118" s="2613"/>
      <c r="AA118" s="2550">
        <f>AA98</f>
        <v>87.456875595606604</v>
      </c>
      <c r="AB118" s="2564">
        <f t="shared" ref="AB118:AE118" si="33">AB98</f>
        <v>0</v>
      </c>
      <c r="AC118" s="2551">
        <f t="shared" si="33"/>
        <v>81.303974009327803</v>
      </c>
      <c r="AD118" s="2564">
        <f t="shared" si="33"/>
        <v>0</v>
      </c>
      <c r="AE118" s="2610">
        <f t="shared" si="33"/>
        <v>88.372129660195171</v>
      </c>
      <c r="AF118" s="2550"/>
      <c r="AG118" s="2564"/>
      <c r="AH118" s="2551"/>
      <c r="AI118" s="2564"/>
      <c r="AJ118" s="2610"/>
      <c r="AK118" s="2550"/>
      <c r="AL118" s="2564"/>
      <c r="AM118" s="2551"/>
      <c r="AN118" s="2564"/>
      <c r="AO118" s="2610"/>
      <c r="AP118" s="2550"/>
      <c r="AQ118" s="2564"/>
      <c r="AR118" s="2551"/>
      <c r="AS118" s="2564"/>
      <c r="AT118" s="2610"/>
      <c r="AU118" s="2468"/>
      <c r="AV118" s="276"/>
      <c r="AW118" s="99" t="s">
        <v>206</v>
      </c>
      <c r="AX118" s="138"/>
      <c r="AY118" s="138"/>
      <c r="AZ118" s="99"/>
      <c r="BA118" s="405" t="s">
        <v>277</v>
      </c>
      <c r="BB118" s="265"/>
      <c r="BC118" s="187"/>
      <c r="BD118" s="18"/>
    </row>
    <row r="119" spans="2:56" ht="20.100000000000001" customHeight="1">
      <c r="B119" s="1360" t="b">
        <f t="shared" si="14"/>
        <v>1</v>
      </c>
      <c r="C119" s="9768"/>
      <c r="D119" s="196" t="s">
        <v>254</v>
      </c>
      <c r="E119" s="196"/>
      <c r="F119" s="295" t="s">
        <v>307</v>
      </c>
      <c r="G119" s="106"/>
      <c r="H119" s="353"/>
      <c r="I119" s="288" t="s">
        <v>256</v>
      </c>
      <c r="J119" s="406"/>
      <c r="K119" s="281" t="s">
        <v>307</v>
      </c>
      <c r="L119" s="274"/>
      <c r="M119" s="269"/>
      <c r="N119" s="274"/>
      <c r="O119" s="269"/>
      <c r="P119" s="402"/>
      <c r="Q119" s="403"/>
      <c r="R119" s="1486"/>
      <c r="S119" s="940"/>
      <c r="T119" s="1486"/>
      <c r="U119" s="979"/>
      <c r="V119" s="1486"/>
      <c r="W119" s="2072"/>
      <c r="X119" s="2611"/>
      <c r="Y119" s="2612"/>
      <c r="Z119" s="2613"/>
      <c r="AA119" s="2550">
        <f>AA96</f>
        <v>293.25696436359488</v>
      </c>
      <c r="AB119" s="2564">
        <f t="shared" ref="AB119:AE119" si="34">AB96</f>
        <v>0</v>
      </c>
      <c r="AC119" s="2551">
        <f t="shared" si="34"/>
        <v>257.91617295420275</v>
      </c>
      <c r="AD119" s="2564">
        <f t="shared" si="34"/>
        <v>0</v>
      </c>
      <c r="AE119" s="2610">
        <f t="shared" si="34"/>
        <v>266.00810795785208</v>
      </c>
      <c r="AF119" s="2550"/>
      <c r="AG119" s="2564"/>
      <c r="AH119" s="2551"/>
      <c r="AI119" s="2564"/>
      <c r="AJ119" s="2610"/>
      <c r="AK119" s="2550"/>
      <c r="AL119" s="2564"/>
      <c r="AM119" s="2551"/>
      <c r="AN119" s="2564"/>
      <c r="AO119" s="2610"/>
      <c r="AP119" s="2550"/>
      <c r="AQ119" s="2564"/>
      <c r="AR119" s="2551"/>
      <c r="AS119" s="2564"/>
      <c r="AT119" s="2610"/>
      <c r="AU119" s="2468"/>
      <c r="AV119" s="276"/>
      <c r="AW119" s="99" t="s">
        <v>206</v>
      </c>
      <c r="AX119" s="138"/>
      <c r="AY119" s="138"/>
      <c r="AZ119" s="99"/>
      <c r="BA119" s="405" t="s">
        <v>259</v>
      </c>
      <c r="BB119" s="265"/>
      <c r="BC119" s="187"/>
      <c r="BD119" s="18"/>
    </row>
    <row r="120" spans="2:56" ht="20.100000000000001" customHeight="1">
      <c r="B120" s="1353" t="str">
        <f>C120</f>
        <v>에너지 소비감축</v>
      </c>
      <c r="C120" s="736" t="s">
        <v>1785</v>
      </c>
      <c r="D120" s="407"/>
      <c r="E120" s="407"/>
      <c r="F120" s="1568"/>
      <c r="G120" s="408"/>
      <c r="H120" s="312" t="s">
        <v>310</v>
      </c>
      <c r="I120" s="409"/>
      <c r="J120" s="410"/>
      <c r="K120" s="315" t="s">
        <v>168</v>
      </c>
      <c r="L120" s="319"/>
      <c r="M120" s="411"/>
      <c r="N120" s="319"/>
      <c r="O120" s="411"/>
      <c r="P120" s="412"/>
      <c r="Q120" s="412"/>
      <c r="R120" s="1561"/>
      <c r="S120" s="1570"/>
      <c r="T120" s="1563"/>
      <c r="U120" s="1571"/>
      <c r="V120" s="1563"/>
      <c r="W120" s="2073"/>
      <c r="X120" s="2624"/>
      <c r="Y120" s="2572"/>
      <c r="Z120" s="2625"/>
      <c r="AA120" s="2576"/>
      <c r="AB120" s="2574"/>
      <c r="AC120" s="2577"/>
      <c r="AD120" s="2574"/>
      <c r="AE120" s="2575"/>
      <c r="AF120" s="2576"/>
      <c r="AG120" s="2574"/>
      <c r="AH120" s="2577"/>
      <c r="AI120" s="2574"/>
      <c r="AJ120" s="2575"/>
      <c r="AK120" s="2576"/>
      <c r="AL120" s="2574"/>
      <c r="AM120" s="2577"/>
      <c r="AN120" s="2574"/>
      <c r="AO120" s="2575"/>
      <c r="AP120" s="2576"/>
      <c r="AQ120" s="2574"/>
      <c r="AR120" s="2577"/>
      <c r="AS120" s="2574"/>
      <c r="AT120" s="2575"/>
      <c r="AU120" s="1564"/>
      <c r="AV120" s="276"/>
      <c r="AW120" s="99" t="s">
        <v>206</v>
      </c>
      <c r="AX120" s="138"/>
      <c r="AY120" s="138"/>
      <c r="AZ120" s="99"/>
      <c r="BA120" s="346"/>
      <c r="BB120" s="265" t="s">
        <v>301</v>
      </c>
      <c r="BC120" s="187"/>
      <c r="BD120" s="18"/>
    </row>
    <row r="121" spans="2:56" ht="20.100000000000001" customHeight="1">
      <c r="B121" s="1360" t="b">
        <f t="shared" ref="B121:B122" si="35">OR(ISBLANK(R121),ISBLANK(T121),ISBLANK(V121))</f>
        <v>1</v>
      </c>
      <c r="C121" s="1356"/>
      <c r="D121" s="197" t="s">
        <v>314</v>
      </c>
      <c r="E121" s="195"/>
      <c r="F121" s="295" t="s">
        <v>307</v>
      </c>
      <c r="G121" s="337"/>
      <c r="H121" s="287"/>
      <c r="I121" s="198" t="s">
        <v>315</v>
      </c>
      <c r="J121" s="177"/>
      <c r="K121" s="281" t="s">
        <v>307</v>
      </c>
      <c r="L121" s="274"/>
      <c r="M121" s="269"/>
      <c r="N121" s="274"/>
      <c r="O121" s="269"/>
      <c r="P121" s="402"/>
      <c r="Q121" s="403"/>
      <c r="R121" s="1486"/>
      <c r="S121" s="940"/>
      <c r="T121" s="1486">
        <v>1676</v>
      </c>
      <c r="U121" s="979"/>
      <c r="V121" s="5503"/>
      <c r="W121" s="2072"/>
      <c r="X121" s="2611"/>
      <c r="Y121" s="2612"/>
      <c r="Z121" s="2613"/>
      <c r="AA121" s="2557"/>
      <c r="AB121" s="2561"/>
      <c r="AC121" s="2558"/>
      <c r="AD121" s="2561"/>
      <c r="AE121" s="2556"/>
      <c r="AF121" s="2557"/>
      <c r="AG121" s="2561"/>
      <c r="AH121" s="2558"/>
      <c r="AI121" s="2561"/>
      <c r="AJ121" s="2556"/>
      <c r="AK121" s="2557"/>
      <c r="AL121" s="2561"/>
      <c r="AM121" s="2558"/>
      <c r="AN121" s="2561"/>
      <c r="AO121" s="2556"/>
      <c r="AP121" s="2557">
        <f>Türkiye!AA120</f>
        <v>165.95</v>
      </c>
      <c r="AQ121" s="2561" t="str">
        <f>Türkiye!AB120</f>
        <v>The company budget for the relevant year has been set. (Amount converted from unit price to consumption amount.)</v>
      </c>
      <c r="AR121" s="2558">
        <f>Türkiye!AC120</f>
        <v>225.16</v>
      </c>
      <c r="AS121" s="2561" t="str">
        <f>Türkiye!AD120</f>
        <v>The company budget for the relevant year has been set. (Amount converted from unit price to consumption amount.)</v>
      </c>
      <c r="AT121" s="2556">
        <f>Türkiye!AE120</f>
        <v>194.36</v>
      </c>
      <c r="AU121" s="2470" t="s">
        <v>1786</v>
      </c>
      <c r="AV121" s="414" t="s">
        <v>1787</v>
      </c>
      <c r="AW121" s="99" t="s">
        <v>206</v>
      </c>
      <c r="AX121" s="138"/>
      <c r="AY121" s="138"/>
      <c r="AZ121" s="99"/>
      <c r="BA121" s="186"/>
      <c r="BB121" s="265" t="s">
        <v>301</v>
      </c>
      <c r="BC121" s="187"/>
      <c r="BD121" s="18"/>
    </row>
    <row r="122" spans="2:56" ht="20.100000000000001" customHeight="1">
      <c r="B122" s="1360" t="b">
        <f t="shared" si="35"/>
        <v>1</v>
      </c>
      <c r="C122" s="226"/>
      <c r="D122" s="205" t="s">
        <v>318</v>
      </c>
      <c r="E122" s="415"/>
      <c r="F122" s="280" t="s">
        <v>307</v>
      </c>
      <c r="G122" s="416"/>
      <c r="H122" s="417"/>
      <c r="I122" s="184" t="s">
        <v>319</v>
      </c>
      <c r="J122" s="177"/>
      <c r="K122" s="281" t="s">
        <v>307</v>
      </c>
      <c r="L122" s="274"/>
      <c r="M122" s="269"/>
      <c r="N122" s="274"/>
      <c r="O122" s="269"/>
      <c r="P122" s="402"/>
      <c r="Q122" s="403"/>
      <c r="R122" s="1486"/>
      <c r="S122" s="940"/>
      <c r="T122" s="1486">
        <v>1429</v>
      </c>
      <c r="U122" s="979"/>
      <c r="V122" s="5503"/>
      <c r="W122" s="2072"/>
      <c r="X122" s="2611"/>
      <c r="Y122" s="2612"/>
      <c r="Z122" s="2613"/>
      <c r="AA122" s="2557"/>
      <c r="AB122" s="2561"/>
      <c r="AC122" s="2558"/>
      <c r="AD122" s="2561"/>
      <c r="AE122" s="2556"/>
      <c r="AF122" s="2557"/>
      <c r="AG122" s="2561"/>
      <c r="AH122" s="2558"/>
      <c r="AI122" s="2561"/>
      <c r="AJ122" s="2556"/>
      <c r="AK122" s="2557"/>
      <c r="AL122" s="2561"/>
      <c r="AM122" s="2558"/>
      <c r="AN122" s="2561"/>
      <c r="AO122" s="2556"/>
      <c r="AP122" s="2557">
        <f>Türkiye!AA121</f>
        <v>163.06</v>
      </c>
      <c r="AQ122" s="2561">
        <f>Türkiye!AB121</f>
        <v>0</v>
      </c>
      <c r="AR122" s="2558">
        <f>Türkiye!AC121</f>
        <v>190.26</v>
      </c>
      <c r="AS122" s="2561">
        <f>Türkiye!AD121</f>
        <v>0</v>
      </c>
      <c r="AT122" s="2556">
        <f>Türkiye!AE121</f>
        <v>149.46</v>
      </c>
      <c r="AU122" s="2470" t="s">
        <v>1786</v>
      </c>
      <c r="AV122" s="414" t="s">
        <v>1787</v>
      </c>
      <c r="AW122" s="99" t="s">
        <v>206</v>
      </c>
      <c r="AX122" s="138"/>
      <c r="AY122" s="138"/>
      <c r="AZ122" s="99"/>
      <c r="BA122" s="186"/>
      <c r="BB122" s="265" t="s">
        <v>301</v>
      </c>
      <c r="BC122" s="187"/>
      <c r="BD122" s="18"/>
    </row>
    <row r="123" spans="2:56" ht="20.100000000000001" customHeight="1" thickBot="1">
      <c r="B123" s="1361" t="b">
        <f>OR(ISBLANK(R123),ISBLANK(T123),ISBLANK(V123))</f>
        <v>1</v>
      </c>
      <c r="C123" s="1366"/>
      <c r="D123" s="418" t="s">
        <v>312</v>
      </c>
      <c r="E123" s="415"/>
      <c r="F123" s="419" t="s">
        <v>307</v>
      </c>
      <c r="G123" s="420"/>
      <c r="H123" s="421"/>
      <c r="I123" s="327" t="s">
        <v>313</v>
      </c>
      <c r="J123" s="422"/>
      <c r="K123" s="423" t="s">
        <v>307</v>
      </c>
      <c r="L123" s="274"/>
      <c r="M123" s="424"/>
      <c r="N123" s="274"/>
      <c r="O123" s="424"/>
      <c r="P123" s="402"/>
      <c r="Q123" s="403"/>
      <c r="R123" s="1486"/>
      <c r="S123" s="940"/>
      <c r="T123" s="1486">
        <v>247</v>
      </c>
      <c r="U123" s="1419"/>
      <c r="V123" s="5503"/>
      <c r="W123" s="2072"/>
      <c r="X123" s="2611"/>
      <c r="Y123" s="2612"/>
      <c r="Z123" s="2613"/>
      <c r="AA123" s="2557"/>
      <c r="AB123" s="2626"/>
      <c r="AC123" s="2558"/>
      <c r="AD123" s="2626"/>
      <c r="AE123" s="2556"/>
      <c r="AF123" s="2557"/>
      <c r="AG123" s="2626"/>
      <c r="AH123" s="2558"/>
      <c r="AI123" s="2626"/>
      <c r="AJ123" s="2556"/>
      <c r="AK123" s="2557"/>
      <c r="AL123" s="2626"/>
      <c r="AM123" s="2558"/>
      <c r="AN123" s="2626"/>
      <c r="AO123" s="2556"/>
      <c r="AP123" s="2557">
        <f>Türkiye!AA122</f>
        <v>2.8899999999999864</v>
      </c>
      <c r="AQ123" s="2626">
        <f>Türkiye!AB122</f>
        <v>0</v>
      </c>
      <c r="AR123" s="2558">
        <f>Türkiye!AC122</f>
        <v>34.900000000000006</v>
      </c>
      <c r="AS123" s="2626">
        <f>Türkiye!AD122</f>
        <v>0</v>
      </c>
      <c r="AT123" s="2556">
        <f>Türkiye!AE122</f>
        <v>44.900000000000006</v>
      </c>
      <c r="AU123" s="2470" t="s">
        <v>1786</v>
      </c>
      <c r="AV123" s="414" t="s">
        <v>1787</v>
      </c>
      <c r="AW123" s="99" t="s">
        <v>206</v>
      </c>
      <c r="AX123" s="218"/>
      <c r="AY123" s="218"/>
      <c r="AZ123" s="219"/>
      <c r="BA123" s="231"/>
      <c r="BB123" s="427" t="s">
        <v>301</v>
      </c>
      <c r="BC123" s="221"/>
      <c r="BD123" s="18"/>
    </row>
    <row r="124" spans="2:56" ht="27" thickBot="1">
      <c r="B124" s="123" t="s">
        <v>341</v>
      </c>
      <c r="C124" s="124"/>
      <c r="D124" s="124"/>
      <c r="E124" s="124"/>
      <c r="F124" s="1637"/>
      <c r="G124" s="428" t="s">
        <v>342</v>
      </c>
      <c r="H124" s="429"/>
      <c r="I124" s="429"/>
      <c r="J124" s="429"/>
      <c r="K124" s="430"/>
      <c r="L124" s="431"/>
      <c r="M124" s="431"/>
      <c r="N124" s="431"/>
      <c r="O124" s="431"/>
      <c r="P124" s="431"/>
      <c r="Q124" s="431"/>
      <c r="R124" s="1638"/>
      <c r="S124" s="1639"/>
      <c r="T124" s="1638"/>
      <c r="U124" s="1639"/>
      <c r="V124" s="1638"/>
      <c r="W124" s="1640"/>
      <c r="X124" s="2627"/>
      <c r="Y124" s="2628"/>
      <c r="Z124" s="2628"/>
      <c r="AA124" s="2580"/>
      <c r="AB124" s="2581"/>
      <c r="AC124" s="2581"/>
      <c r="AD124" s="2581"/>
      <c r="AE124" s="2582"/>
      <c r="AF124" s="2580"/>
      <c r="AG124" s="2581"/>
      <c r="AH124" s="2581"/>
      <c r="AI124" s="2581"/>
      <c r="AJ124" s="2582"/>
      <c r="AK124" s="2580"/>
      <c r="AL124" s="2581"/>
      <c r="AM124" s="2581"/>
      <c r="AN124" s="2581"/>
      <c r="AO124" s="2582"/>
      <c r="AP124" s="2580"/>
      <c r="AQ124" s="2581"/>
      <c r="AR124" s="2581"/>
      <c r="AS124" s="2581"/>
      <c r="AT124" s="2582"/>
      <c r="AU124" s="433"/>
      <c r="AV124" s="433"/>
      <c r="AW124" s="1641"/>
      <c r="AX124" s="129"/>
      <c r="AY124" s="129"/>
      <c r="AZ124" s="129"/>
      <c r="BA124" s="328"/>
      <c r="BB124" s="328"/>
      <c r="BC124" s="329"/>
      <c r="BD124" s="18"/>
    </row>
    <row r="125" spans="2:56" ht="20.100000000000001" customHeight="1">
      <c r="B125" s="1359" t="b">
        <f t="shared" ref="B125:B129" si="36">OR(ISBLANK(R125),ISBLANK(T125),ISBLANK(V125))</f>
        <v>0</v>
      </c>
      <c r="C125" s="9777" t="s">
        <v>343</v>
      </c>
      <c r="D125" s="9777"/>
      <c r="E125" s="9777"/>
      <c r="F125" s="87" t="s">
        <v>344</v>
      </c>
      <c r="G125" s="434"/>
      <c r="H125" s="435" t="s">
        <v>345</v>
      </c>
      <c r="I125" s="435"/>
      <c r="J125" s="435"/>
      <c r="K125" s="436" t="s">
        <v>344</v>
      </c>
      <c r="L125" s="437">
        <v>0</v>
      </c>
      <c r="M125" s="438"/>
      <c r="N125" s="439">
        <v>0</v>
      </c>
      <c r="O125" s="438"/>
      <c r="P125" s="439">
        <v>0</v>
      </c>
      <c r="Q125" s="440"/>
      <c r="R125" s="1634">
        <v>27681</v>
      </c>
      <c r="S125" s="1678"/>
      <c r="T125" s="1635">
        <f t="shared" ref="T125" si="37">SUM(T126:T129)</f>
        <v>664460</v>
      </c>
      <c r="U125" s="1636"/>
      <c r="V125" s="1511">
        <f t="shared" ref="V125" si="38">SUM(V126:V129)</f>
        <v>0</v>
      </c>
      <c r="W125" s="2063"/>
      <c r="X125" s="2629"/>
      <c r="Y125" s="2630"/>
      <c r="Z125" s="2631"/>
      <c r="AA125" s="2629">
        <f>SUM(AA126:AA129)</f>
        <v>213417.32351071289</v>
      </c>
      <c r="AB125" s="2632"/>
      <c r="AC125" s="2630">
        <f t="shared" ref="AC125:AE125" si="39">SUM(AC126:AC129)</f>
        <v>157449.26107966571</v>
      </c>
      <c r="AD125" s="2632">
        <f t="shared" si="39"/>
        <v>0</v>
      </c>
      <c r="AE125" s="2633">
        <f t="shared" si="39"/>
        <v>200377.26086870869</v>
      </c>
      <c r="AF125" s="2629">
        <f>SUM(AF126:AF129)</f>
        <v>36047.093980099504</v>
      </c>
      <c r="AG125" s="2632"/>
      <c r="AH125" s="2630">
        <f t="shared" ref="AH125:AT125" si="40">SUM(AH126:AH129)</f>
        <v>64373.987004694834</v>
      </c>
      <c r="AI125" s="2632">
        <f t="shared" si="40"/>
        <v>0</v>
      </c>
      <c r="AJ125" s="2633">
        <f t="shared" si="40"/>
        <v>76494.656121343447</v>
      </c>
      <c r="AK125" s="2629">
        <f t="shared" si="40"/>
        <v>55648</v>
      </c>
      <c r="AL125" s="2632">
        <f t="shared" si="40"/>
        <v>0</v>
      </c>
      <c r="AM125" s="2630">
        <f t="shared" si="40"/>
        <v>120457</v>
      </c>
      <c r="AN125" s="2632">
        <f t="shared" si="40"/>
        <v>0</v>
      </c>
      <c r="AO125" s="2633">
        <f t="shared" si="40"/>
        <v>134574</v>
      </c>
      <c r="AP125" s="2629">
        <f t="shared" si="40"/>
        <v>40609</v>
      </c>
      <c r="AQ125" s="2632">
        <f t="shared" si="40"/>
        <v>0</v>
      </c>
      <c r="AR125" s="2630">
        <f t="shared" si="40"/>
        <v>65273</v>
      </c>
      <c r="AS125" s="2632">
        <f t="shared" si="40"/>
        <v>0</v>
      </c>
      <c r="AT125" s="2633">
        <f t="shared" si="40"/>
        <v>60089</v>
      </c>
      <c r="AU125" s="2471" t="s">
        <v>346</v>
      </c>
      <c r="AV125" s="444" t="s">
        <v>347</v>
      </c>
      <c r="AW125" s="808" t="s">
        <v>206</v>
      </c>
      <c r="AX125" s="138"/>
      <c r="AY125" s="138"/>
      <c r="AZ125" s="99"/>
      <c r="BA125" s="346" t="s">
        <v>348</v>
      </c>
      <c r="BB125" s="265" t="s">
        <v>349</v>
      </c>
      <c r="BC125" s="187" t="s">
        <v>350</v>
      </c>
      <c r="BD125" s="18"/>
    </row>
    <row r="126" spans="2:56" ht="20.100000000000001" customHeight="1">
      <c r="B126" s="1360" t="b">
        <f t="shared" si="36"/>
        <v>1</v>
      </c>
      <c r="C126" s="9778"/>
      <c r="D126" s="267" t="s">
        <v>679</v>
      </c>
      <c r="E126" s="445"/>
      <c r="F126" s="132" t="s">
        <v>344</v>
      </c>
      <c r="G126" s="337"/>
      <c r="H126" s="446"/>
      <c r="I126" s="267" t="s">
        <v>353</v>
      </c>
      <c r="J126" s="445"/>
      <c r="K126" s="91" t="s">
        <v>344</v>
      </c>
      <c r="L126" s="303"/>
      <c r="M126" s="447"/>
      <c r="N126" s="303"/>
      <c r="O126" s="388"/>
      <c r="P126" s="303"/>
      <c r="Q126" s="371"/>
      <c r="R126" s="1496">
        <v>27681</v>
      </c>
      <c r="S126" s="473"/>
      <c r="T126" s="1496">
        <v>664460</v>
      </c>
      <c r="U126" s="937"/>
      <c r="V126" s="1486"/>
      <c r="W126" s="2066"/>
      <c r="X126" s="2557"/>
      <c r="Y126" s="2558"/>
      <c r="Z126" s="2559"/>
      <c r="AA126" s="2557">
        <f>China!AO125</f>
        <v>213417.32351071289</v>
      </c>
      <c r="AB126" s="2561">
        <f>China!AP125</f>
        <v>0</v>
      </c>
      <c r="AC126" s="2558">
        <f>China!AQ125</f>
        <v>157449.26107966571</v>
      </c>
      <c r="AD126" s="2561">
        <f>China!AR125</f>
        <v>0</v>
      </c>
      <c r="AE126" s="2556">
        <f>China!AS125</f>
        <v>200377.26086870869</v>
      </c>
      <c r="AF126" s="2557">
        <f>Vietnam!Q125</f>
        <v>36047.093980099504</v>
      </c>
      <c r="AG126" s="2561">
        <f>Vietnam!R125</f>
        <v>0</v>
      </c>
      <c r="AH126" s="2558">
        <f>Vietnam!S125</f>
        <v>64373.987004694834</v>
      </c>
      <c r="AI126" s="2561">
        <f>Vietnam!T125</f>
        <v>0</v>
      </c>
      <c r="AJ126" s="2556">
        <f>Vietnam!U125</f>
        <v>76494.656121343447</v>
      </c>
      <c r="AK126" s="2557">
        <f>Indonesia!V125</f>
        <v>55648</v>
      </c>
      <c r="AL126" s="2561">
        <f>Indonesia!W125</f>
        <v>0</v>
      </c>
      <c r="AM126" s="2558">
        <f>Indonesia!X125</f>
        <v>120457</v>
      </c>
      <c r="AN126" s="2561">
        <f>Indonesia!Y125</f>
        <v>0</v>
      </c>
      <c r="AO126" s="2556">
        <f>Indonesia!Z125</f>
        <v>134574</v>
      </c>
      <c r="AP126" s="2557">
        <f>Türkiye!AA125</f>
        <v>40609</v>
      </c>
      <c r="AQ126" s="2561">
        <f>Türkiye!AB125</f>
        <v>0</v>
      </c>
      <c r="AR126" s="2558">
        <f>Türkiye!AC125</f>
        <v>65273</v>
      </c>
      <c r="AS126" s="2561">
        <f>Türkiye!AD125</f>
        <v>0</v>
      </c>
      <c r="AT126" s="2556">
        <f>Türkiye!AE125</f>
        <v>60089</v>
      </c>
      <c r="AU126" s="2471"/>
      <c r="AV126" s="444"/>
      <c r="AW126" s="1715" t="s">
        <v>206</v>
      </c>
      <c r="AX126" s="138"/>
      <c r="AY126" s="138"/>
      <c r="AZ126" s="99"/>
      <c r="BA126" s="346" t="s">
        <v>354</v>
      </c>
      <c r="BB126" s="265" t="s">
        <v>349</v>
      </c>
      <c r="BC126" s="187"/>
      <c r="BD126" s="18"/>
    </row>
    <row r="127" spans="2:56" ht="20.100000000000001" customHeight="1">
      <c r="B127" s="1360" t="b">
        <f t="shared" si="36"/>
        <v>1</v>
      </c>
      <c r="C127" s="9779"/>
      <c r="D127" s="267" t="s">
        <v>355</v>
      </c>
      <c r="E127" s="445"/>
      <c r="F127" s="132" t="s">
        <v>344</v>
      </c>
      <c r="G127" s="337"/>
      <c r="I127" s="267" t="s">
        <v>356</v>
      </c>
      <c r="J127" s="268"/>
      <c r="K127" s="136" t="s">
        <v>344</v>
      </c>
      <c r="L127" s="303"/>
      <c r="M127" s="447" t="s">
        <v>369</v>
      </c>
      <c r="N127" s="303"/>
      <c r="O127" s="388" t="s">
        <v>369</v>
      </c>
      <c r="P127" s="303"/>
      <c r="Q127" s="371"/>
      <c r="R127" s="1496"/>
      <c r="S127" s="1420" t="s">
        <v>369</v>
      </c>
      <c r="T127" s="1486"/>
      <c r="U127" s="937" t="s">
        <v>209</v>
      </c>
      <c r="V127" s="1486"/>
      <c r="W127" s="2066"/>
      <c r="X127" s="2557"/>
      <c r="Y127" s="2558"/>
      <c r="Z127" s="2559"/>
      <c r="AA127" s="2557">
        <f>China!AO126</f>
        <v>0</v>
      </c>
      <c r="AB127" s="2634" t="str">
        <f>China!AP126</f>
        <v>산출 불가</v>
      </c>
      <c r="AC127" s="2558">
        <f>China!AQ126</f>
        <v>0</v>
      </c>
      <c r="AD127" s="2634" t="str">
        <f>China!AR126</f>
        <v>산출 불가</v>
      </c>
      <c r="AE127" s="2556">
        <f>China!AS126</f>
        <v>0</v>
      </c>
      <c r="AF127" s="2557"/>
      <c r="AG127" s="2634"/>
      <c r="AH127" s="2558"/>
      <c r="AI127" s="2634"/>
      <c r="AJ127" s="2556"/>
      <c r="AK127" s="2557"/>
      <c r="AL127" s="2634"/>
      <c r="AM127" s="2558"/>
      <c r="AN127" s="2634"/>
      <c r="AO127" s="2556"/>
      <c r="AP127" s="2557"/>
      <c r="AQ127" s="2634"/>
      <c r="AR127" s="2558"/>
      <c r="AS127" s="2634"/>
      <c r="AT127" s="2556"/>
      <c r="AU127" s="2471"/>
      <c r="AV127" s="444"/>
      <c r="AW127" s="1715" t="s">
        <v>206</v>
      </c>
      <c r="AX127" s="138"/>
      <c r="AY127" s="138"/>
      <c r="AZ127" s="99"/>
      <c r="BA127" s="346" t="s">
        <v>354</v>
      </c>
      <c r="BB127" s="265"/>
      <c r="BC127" s="187"/>
      <c r="BD127" s="18"/>
    </row>
    <row r="128" spans="2:56" ht="20.100000000000001" customHeight="1">
      <c r="B128" s="1360" t="b">
        <f t="shared" si="36"/>
        <v>1</v>
      </c>
      <c r="C128" s="9779"/>
      <c r="D128" s="267" t="s">
        <v>357</v>
      </c>
      <c r="E128" s="445"/>
      <c r="F128" s="132" t="s">
        <v>344</v>
      </c>
      <c r="G128" s="337"/>
      <c r="I128" s="267" t="s">
        <v>358</v>
      </c>
      <c r="J128" s="268"/>
      <c r="K128" s="136" t="s">
        <v>344</v>
      </c>
      <c r="L128" s="303"/>
      <c r="M128" s="447" t="s">
        <v>369</v>
      </c>
      <c r="N128" s="303"/>
      <c r="O128" s="388" t="s">
        <v>369</v>
      </c>
      <c r="P128" s="303"/>
      <c r="Q128" s="371"/>
      <c r="R128" s="1496"/>
      <c r="S128" s="1420" t="s">
        <v>369</v>
      </c>
      <c r="T128" s="1486"/>
      <c r="U128" s="937" t="s">
        <v>209</v>
      </c>
      <c r="V128" s="1486"/>
      <c r="W128" s="2066"/>
      <c r="X128" s="2557"/>
      <c r="Y128" s="2558"/>
      <c r="Z128" s="2559"/>
      <c r="AA128" s="2557">
        <f>China!AO127</f>
        <v>0</v>
      </c>
      <c r="AB128" s="2634" t="str">
        <f>China!AP127</f>
        <v>산출 불가</v>
      </c>
      <c r="AC128" s="2558">
        <f>China!AQ127</f>
        <v>0</v>
      </c>
      <c r="AD128" s="2634" t="str">
        <f>China!AR127</f>
        <v>산출 불가</v>
      </c>
      <c r="AE128" s="2556">
        <f>China!AS127</f>
        <v>0</v>
      </c>
      <c r="AF128" s="2557"/>
      <c r="AG128" s="2634"/>
      <c r="AH128" s="2558"/>
      <c r="AI128" s="2634"/>
      <c r="AJ128" s="2556"/>
      <c r="AK128" s="2557"/>
      <c r="AL128" s="2634"/>
      <c r="AM128" s="2558"/>
      <c r="AN128" s="2634"/>
      <c r="AO128" s="2556"/>
      <c r="AP128" s="2557"/>
      <c r="AQ128" s="2634"/>
      <c r="AR128" s="2558"/>
      <c r="AS128" s="2634"/>
      <c r="AT128" s="2556"/>
      <c r="AU128" s="2471"/>
      <c r="AV128" s="444"/>
      <c r="AW128" s="1715" t="s">
        <v>206</v>
      </c>
      <c r="AX128" s="138"/>
      <c r="AY128" s="138"/>
      <c r="AZ128" s="99"/>
      <c r="BA128" s="346" t="s">
        <v>359</v>
      </c>
      <c r="BB128" s="265" t="s">
        <v>349</v>
      </c>
      <c r="BC128" s="187"/>
      <c r="BD128" s="18"/>
    </row>
    <row r="129" spans="2:56" ht="20.100000000000001" customHeight="1">
      <c r="B129" s="1360" t="b">
        <f t="shared" si="36"/>
        <v>1</v>
      </c>
      <c r="C129" s="9780"/>
      <c r="D129" s="267" t="s">
        <v>360</v>
      </c>
      <c r="E129" s="445"/>
      <c r="F129" s="132" t="s">
        <v>344</v>
      </c>
      <c r="G129" s="337"/>
      <c r="I129" s="267" t="s">
        <v>361</v>
      </c>
      <c r="J129" s="268"/>
      <c r="K129" s="136" t="s">
        <v>344</v>
      </c>
      <c r="L129" s="303"/>
      <c r="M129" s="447" t="s">
        <v>369</v>
      </c>
      <c r="N129" s="303"/>
      <c r="O129" s="388" t="s">
        <v>369</v>
      </c>
      <c r="P129" s="303"/>
      <c r="Q129" s="371"/>
      <c r="R129" s="1496"/>
      <c r="S129" s="1420" t="s">
        <v>369</v>
      </c>
      <c r="T129" s="1486"/>
      <c r="U129" s="937" t="s">
        <v>209</v>
      </c>
      <c r="V129" s="1486"/>
      <c r="W129" s="2066"/>
      <c r="X129" s="2557"/>
      <c r="Y129" s="2558"/>
      <c r="Z129" s="2559"/>
      <c r="AA129" s="2557">
        <f>China!AO128</f>
        <v>0</v>
      </c>
      <c r="AB129" s="2634" t="str">
        <f>China!AP128</f>
        <v>산출 불가</v>
      </c>
      <c r="AC129" s="2558">
        <f>China!AQ128</f>
        <v>0</v>
      </c>
      <c r="AD129" s="2634" t="str">
        <f>China!AR128</f>
        <v>산출 불가</v>
      </c>
      <c r="AE129" s="2556">
        <f>China!AS128</f>
        <v>0</v>
      </c>
      <c r="AF129" s="2557"/>
      <c r="AG129" s="2634"/>
      <c r="AH129" s="2558"/>
      <c r="AI129" s="2634"/>
      <c r="AJ129" s="2556"/>
      <c r="AK129" s="2557"/>
      <c r="AL129" s="2634"/>
      <c r="AM129" s="2558"/>
      <c r="AN129" s="2634"/>
      <c r="AO129" s="2556"/>
      <c r="AP129" s="2557"/>
      <c r="AQ129" s="2634"/>
      <c r="AR129" s="2558"/>
      <c r="AS129" s="2634"/>
      <c r="AT129" s="2556"/>
      <c r="AU129" s="2471"/>
      <c r="AV129" s="444"/>
      <c r="AW129" s="1715" t="s">
        <v>206</v>
      </c>
      <c r="AX129" s="138"/>
      <c r="AY129" s="138"/>
      <c r="AZ129" s="99"/>
      <c r="BA129" s="346" t="s">
        <v>359</v>
      </c>
      <c r="BB129" s="265" t="s">
        <v>349</v>
      </c>
      <c r="BC129" s="187"/>
      <c r="BD129" s="18"/>
    </row>
    <row r="130" spans="2:56" ht="20.100000000000001" customHeight="1">
      <c r="B130" s="1661" t="s">
        <v>370</v>
      </c>
      <c r="C130" s="9781" t="s">
        <v>370</v>
      </c>
      <c r="D130" s="9781"/>
      <c r="E130" s="9781"/>
      <c r="F130" s="450" t="s">
        <v>344</v>
      </c>
      <c r="G130" s="451"/>
      <c r="H130" s="452" t="s">
        <v>371</v>
      </c>
      <c r="I130" s="453"/>
      <c r="J130" s="454"/>
      <c r="K130" s="136" t="s">
        <v>344</v>
      </c>
      <c r="L130" s="356">
        <f>L131-L132</f>
        <v>0</v>
      </c>
      <c r="M130" s="455" t="s">
        <v>209</v>
      </c>
      <c r="N130" s="456">
        <f>N131-N132</f>
        <v>0</v>
      </c>
      <c r="O130" s="455" t="s">
        <v>209</v>
      </c>
      <c r="P130" s="456">
        <f>P131-P132</f>
        <v>0</v>
      </c>
      <c r="Q130" s="371"/>
      <c r="R130" s="1498">
        <f>R131-R132</f>
        <v>0</v>
      </c>
      <c r="S130" s="1677"/>
      <c r="T130" s="1498">
        <f>T131-T132</f>
        <v>0</v>
      </c>
      <c r="U130" s="1676"/>
      <c r="V130" s="1498">
        <f>V131-V132</f>
        <v>0</v>
      </c>
      <c r="W130" s="2066"/>
      <c r="X130" s="2562"/>
      <c r="Y130" s="2563"/>
      <c r="Z130" s="2635"/>
      <c r="AA130" s="2562"/>
      <c r="AB130" s="2561"/>
      <c r="AC130" s="2563"/>
      <c r="AD130" s="2561"/>
      <c r="AE130" s="2636"/>
      <c r="AF130" s="2562"/>
      <c r="AG130" s="2561"/>
      <c r="AH130" s="2563"/>
      <c r="AI130" s="2561"/>
      <c r="AJ130" s="2636"/>
      <c r="AK130" s="2562"/>
      <c r="AL130" s="2561"/>
      <c r="AM130" s="2563"/>
      <c r="AN130" s="2561"/>
      <c r="AO130" s="2636"/>
      <c r="AP130" s="2562"/>
      <c r="AQ130" s="2561"/>
      <c r="AR130" s="2563"/>
      <c r="AS130" s="2561"/>
      <c r="AT130" s="2636"/>
      <c r="AU130" s="2472" t="s">
        <v>372</v>
      </c>
      <c r="AV130" s="457" t="s">
        <v>373</v>
      </c>
      <c r="AW130" s="99" t="s">
        <v>189</v>
      </c>
      <c r="AX130" s="138"/>
      <c r="AY130" s="138"/>
      <c r="AZ130" s="299" t="s">
        <v>193</v>
      </c>
      <c r="BA130" s="265" t="s">
        <v>374</v>
      </c>
      <c r="BB130" s="265"/>
      <c r="BC130" s="187" t="s">
        <v>350</v>
      </c>
      <c r="BD130" s="18"/>
    </row>
    <row r="131" spans="2:56" ht="20.100000000000001" customHeight="1">
      <c r="B131" s="1360" t="b">
        <f t="shared" ref="B131:B194" si="41">OR(ISBLANK(R131),ISBLANK(T131),ISBLANK(V131))</f>
        <v>1</v>
      </c>
      <c r="C131" s="9767"/>
      <c r="D131" s="9773" t="s">
        <v>343</v>
      </c>
      <c r="E131" s="9774"/>
      <c r="F131" s="450" t="s">
        <v>344</v>
      </c>
      <c r="G131" s="451"/>
      <c r="H131" s="458"/>
      <c r="I131" s="459" t="s">
        <v>680</v>
      </c>
      <c r="J131" s="460"/>
      <c r="K131" s="136" t="s">
        <v>344</v>
      </c>
      <c r="L131" s="298">
        <v>27681</v>
      </c>
      <c r="M131" s="455" t="s">
        <v>209</v>
      </c>
      <c r="N131" s="298">
        <v>664460</v>
      </c>
      <c r="O131" s="455" t="s">
        <v>209</v>
      </c>
      <c r="P131" s="228"/>
      <c r="Q131" s="371"/>
      <c r="R131" s="1486">
        <v>27681</v>
      </c>
      <c r="S131" s="461" t="s">
        <v>681</v>
      </c>
      <c r="T131" s="1486">
        <v>664460</v>
      </c>
      <c r="U131" s="461" t="s">
        <v>682</v>
      </c>
      <c r="V131" s="1490"/>
      <c r="W131" s="2060"/>
      <c r="X131" s="2557"/>
      <c r="Y131" s="2558"/>
      <c r="Z131" s="2559"/>
      <c r="AA131" s="2557"/>
      <c r="AB131" s="2561"/>
      <c r="AC131" s="2558"/>
      <c r="AD131" s="2561"/>
      <c r="AE131" s="2556"/>
      <c r="AF131" s="2557"/>
      <c r="AG131" s="2561"/>
      <c r="AH131" s="2558"/>
      <c r="AI131" s="2561"/>
      <c r="AJ131" s="2556"/>
      <c r="AK131" s="2557"/>
      <c r="AL131" s="2561"/>
      <c r="AM131" s="2558"/>
      <c r="AN131" s="2561"/>
      <c r="AO131" s="2556"/>
      <c r="AP131" s="2557"/>
      <c r="AQ131" s="2561"/>
      <c r="AR131" s="2558"/>
      <c r="AS131" s="2561"/>
      <c r="AT131" s="2556"/>
      <c r="AU131" s="2472"/>
      <c r="AV131" s="457"/>
      <c r="AW131" s="99" t="s">
        <v>189</v>
      </c>
      <c r="AX131" s="138"/>
      <c r="AY131" s="138"/>
      <c r="AZ131" s="299" t="s">
        <v>193</v>
      </c>
      <c r="BA131" s="265" t="s">
        <v>374</v>
      </c>
      <c r="BB131" s="265"/>
      <c r="BC131" s="187"/>
      <c r="BD131" s="18"/>
    </row>
    <row r="132" spans="2:56" ht="20.100000000000001" customHeight="1">
      <c r="B132" s="1360" t="b">
        <f t="shared" si="41"/>
        <v>1</v>
      </c>
      <c r="C132" s="9768"/>
      <c r="D132" s="9773" t="s">
        <v>362</v>
      </c>
      <c r="E132" s="9774"/>
      <c r="F132" s="450" t="s">
        <v>344</v>
      </c>
      <c r="G132" s="451"/>
      <c r="H132" s="462"/>
      <c r="I132" s="459" t="s">
        <v>363</v>
      </c>
      <c r="J132" s="460"/>
      <c r="K132" s="136" t="s">
        <v>344</v>
      </c>
      <c r="L132" s="298">
        <v>27681</v>
      </c>
      <c r="M132" s="455" t="s">
        <v>209</v>
      </c>
      <c r="N132" s="298">
        <v>664460</v>
      </c>
      <c r="O132" s="455" t="s">
        <v>209</v>
      </c>
      <c r="P132" s="228"/>
      <c r="Q132" s="297"/>
      <c r="R132" s="1486">
        <v>27681</v>
      </c>
      <c r="S132" s="461" t="s">
        <v>681</v>
      </c>
      <c r="T132" s="1486">
        <v>664460</v>
      </c>
      <c r="U132" s="461" t="s">
        <v>682</v>
      </c>
      <c r="V132" s="1490"/>
      <c r="W132" s="2060"/>
      <c r="X132" s="2557"/>
      <c r="Y132" s="2558"/>
      <c r="Z132" s="2559"/>
      <c r="AA132" s="2557"/>
      <c r="AB132" s="2561"/>
      <c r="AC132" s="2558"/>
      <c r="AD132" s="2561"/>
      <c r="AE132" s="2556"/>
      <c r="AF132" s="2557"/>
      <c r="AG132" s="2561"/>
      <c r="AH132" s="2558"/>
      <c r="AI132" s="2561"/>
      <c r="AJ132" s="2556"/>
      <c r="AK132" s="2557"/>
      <c r="AL132" s="2561"/>
      <c r="AM132" s="2558"/>
      <c r="AN132" s="2561"/>
      <c r="AO132" s="2556"/>
      <c r="AP132" s="2557"/>
      <c r="AQ132" s="2561"/>
      <c r="AR132" s="2558"/>
      <c r="AS132" s="2561"/>
      <c r="AT132" s="2556"/>
      <c r="AU132" s="2472"/>
      <c r="AV132" s="457"/>
      <c r="AW132" s="99" t="s">
        <v>189</v>
      </c>
      <c r="AX132" s="138"/>
      <c r="AY132" s="138"/>
      <c r="AZ132" s="299" t="s">
        <v>193</v>
      </c>
      <c r="BA132" s="265" t="s">
        <v>374</v>
      </c>
      <c r="BB132" s="265"/>
      <c r="BC132" s="187"/>
      <c r="BD132" s="18"/>
    </row>
    <row r="133" spans="2:56" s="481" customFormat="1" ht="20.100000000000001" customHeight="1">
      <c r="B133" s="1360" t="b">
        <f t="shared" si="41"/>
        <v>1</v>
      </c>
      <c r="C133" s="9783" t="s">
        <v>362</v>
      </c>
      <c r="D133" s="9783"/>
      <c r="E133" s="9783"/>
      <c r="F133" s="132" t="s">
        <v>1788</v>
      </c>
      <c r="G133" s="337"/>
      <c r="H133" s="463" t="s">
        <v>363</v>
      </c>
      <c r="I133" s="464"/>
      <c r="J133" s="465"/>
      <c r="K133" s="466" t="s">
        <v>1788</v>
      </c>
      <c r="L133" s="467">
        <v>27681</v>
      </c>
      <c r="M133" s="468"/>
      <c r="N133" s="467">
        <v>664460</v>
      </c>
      <c r="O133" s="469"/>
      <c r="P133" s="470"/>
      <c r="Q133" s="471"/>
      <c r="R133" s="1486">
        <v>27681</v>
      </c>
      <c r="S133" s="472" t="s">
        <v>681</v>
      </c>
      <c r="T133" s="1486">
        <v>664460</v>
      </c>
      <c r="U133" s="473" t="s">
        <v>684</v>
      </c>
      <c r="V133" s="1496"/>
      <c r="W133" s="2074"/>
      <c r="X133" s="2557"/>
      <c r="Y133" s="2558"/>
      <c r="Z133" s="2559"/>
      <c r="AA133" s="2637"/>
      <c r="AB133" s="2638"/>
      <c r="AC133" s="2639"/>
      <c r="AD133" s="2638"/>
      <c r="AE133" s="2640"/>
      <c r="AF133" s="2637"/>
      <c r="AG133" s="2638"/>
      <c r="AH133" s="2639"/>
      <c r="AI133" s="2638"/>
      <c r="AJ133" s="2640"/>
      <c r="AK133" s="2637"/>
      <c r="AL133" s="2638"/>
      <c r="AM133" s="2639"/>
      <c r="AN133" s="2638"/>
      <c r="AO133" s="2640"/>
      <c r="AP133" s="2637"/>
      <c r="AQ133" s="2638"/>
      <c r="AR133" s="2639"/>
      <c r="AS133" s="2638"/>
      <c r="AT133" s="2640"/>
      <c r="AU133" s="1285" t="s">
        <v>364</v>
      </c>
      <c r="AV133" s="475" t="s">
        <v>365</v>
      </c>
      <c r="AW133" s="1716" t="s">
        <v>206</v>
      </c>
      <c r="AX133" s="477"/>
      <c r="AY133" s="477"/>
      <c r="AZ133" s="299" t="s">
        <v>193</v>
      </c>
      <c r="BA133" s="478" t="s">
        <v>366</v>
      </c>
      <c r="BB133" s="478"/>
      <c r="BC133" s="479"/>
      <c r="BD133" s="480"/>
    </row>
    <row r="134" spans="2:56" ht="20.100000000000001" customHeight="1">
      <c r="B134" s="1360" t="b">
        <f t="shared" si="41"/>
        <v>1</v>
      </c>
      <c r="C134" s="9774" t="s">
        <v>376</v>
      </c>
      <c r="D134" s="9774"/>
      <c r="E134" s="9774"/>
      <c r="F134" s="132" t="s">
        <v>344</v>
      </c>
      <c r="G134" s="337"/>
      <c r="H134" s="140" t="s">
        <v>377</v>
      </c>
      <c r="I134" s="482"/>
      <c r="J134" s="289"/>
      <c r="K134" s="164" t="s">
        <v>344</v>
      </c>
      <c r="L134" s="483"/>
      <c r="M134" s="483" t="s">
        <v>209</v>
      </c>
      <c r="N134" s="483"/>
      <c r="O134" s="483" t="s">
        <v>209</v>
      </c>
      <c r="P134" s="483"/>
      <c r="Q134" s="483"/>
      <c r="R134" s="1486"/>
      <c r="S134" s="1421" t="s">
        <v>209</v>
      </c>
      <c r="T134" s="1486"/>
      <c r="U134" s="1421" t="s">
        <v>209</v>
      </c>
      <c r="V134" s="1496"/>
      <c r="W134" s="5544" t="s">
        <v>209</v>
      </c>
      <c r="X134" s="2557"/>
      <c r="Y134" s="2558"/>
      <c r="Z134" s="2559"/>
      <c r="AA134" s="2557"/>
      <c r="AB134" s="2641"/>
      <c r="AC134" s="2558"/>
      <c r="AD134" s="2641"/>
      <c r="AE134" s="2556"/>
      <c r="AF134" s="2557"/>
      <c r="AG134" s="2641"/>
      <c r="AH134" s="2558"/>
      <c r="AI134" s="2641"/>
      <c r="AJ134" s="2556"/>
      <c r="AK134" s="2557"/>
      <c r="AL134" s="2641"/>
      <c r="AM134" s="2558"/>
      <c r="AN134" s="2642"/>
      <c r="AO134" s="2556"/>
      <c r="AP134" s="2557"/>
      <c r="AQ134" s="2643"/>
      <c r="AR134" s="2558"/>
      <c r="AS134" s="2643"/>
      <c r="AT134" s="2556"/>
      <c r="AU134" s="2473" t="s">
        <v>378</v>
      </c>
      <c r="AV134" s="487" t="s">
        <v>365</v>
      </c>
      <c r="AW134" s="99" t="s">
        <v>189</v>
      </c>
      <c r="AX134" s="138"/>
      <c r="AY134" s="138"/>
      <c r="AZ134" s="299" t="s">
        <v>193</v>
      </c>
      <c r="BA134" s="265" t="s">
        <v>379</v>
      </c>
      <c r="BB134" s="265"/>
      <c r="BC134" s="187"/>
      <c r="BD134" s="11"/>
    </row>
    <row r="135" spans="2:56" ht="20.100000000000001" customHeight="1">
      <c r="B135" s="1360" t="b">
        <f t="shared" si="41"/>
        <v>1</v>
      </c>
      <c r="C135" s="9774" t="s">
        <v>380</v>
      </c>
      <c r="D135" s="9774"/>
      <c r="E135" s="9774"/>
      <c r="F135" s="132" t="s">
        <v>156</v>
      </c>
      <c r="G135" s="337"/>
      <c r="H135" s="140" t="s">
        <v>381</v>
      </c>
      <c r="I135" s="482"/>
      <c r="J135" s="289"/>
      <c r="K135" s="164" t="s">
        <v>156</v>
      </c>
      <c r="L135" s="483"/>
      <c r="M135" s="483" t="s">
        <v>209</v>
      </c>
      <c r="N135" s="483"/>
      <c r="O135" s="483" t="s">
        <v>209</v>
      </c>
      <c r="P135" s="483"/>
      <c r="Q135" s="483"/>
      <c r="R135" s="1486"/>
      <c r="S135" s="1421" t="s">
        <v>209</v>
      </c>
      <c r="T135" s="1486"/>
      <c r="U135" s="1421" t="s">
        <v>209</v>
      </c>
      <c r="V135" s="1496"/>
      <c r="W135" s="5544" t="s">
        <v>209</v>
      </c>
      <c r="X135" s="2557"/>
      <c r="Y135" s="2558"/>
      <c r="Z135" s="2559"/>
      <c r="AA135" s="2644"/>
      <c r="AB135" s="2641"/>
      <c r="AC135" s="2645"/>
      <c r="AD135" s="2641"/>
      <c r="AE135" s="2646"/>
      <c r="AF135" s="2644"/>
      <c r="AG135" s="2641"/>
      <c r="AH135" s="2645"/>
      <c r="AI135" s="2641"/>
      <c r="AJ135" s="2646"/>
      <c r="AK135" s="2644"/>
      <c r="AL135" s="2641"/>
      <c r="AM135" s="2645"/>
      <c r="AN135" s="2642"/>
      <c r="AO135" s="2646"/>
      <c r="AP135" s="2644"/>
      <c r="AQ135" s="2643"/>
      <c r="AR135" s="2645"/>
      <c r="AS135" s="2643"/>
      <c r="AT135" s="2646"/>
      <c r="AU135" s="2474" t="s">
        <v>382</v>
      </c>
      <c r="AV135" s="489" t="s">
        <v>383</v>
      </c>
      <c r="AW135" s="99" t="s">
        <v>189</v>
      </c>
      <c r="AX135" s="138"/>
      <c r="AY135" s="138"/>
      <c r="AZ135" s="299" t="s">
        <v>193</v>
      </c>
      <c r="BA135" s="265" t="s">
        <v>384</v>
      </c>
      <c r="BB135" s="265"/>
      <c r="BC135" s="187" t="s">
        <v>350</v>
      </c>
      <c r="BD135" s="11"/>
    </row>
    <row r="136" spans="2:56" ht="20.100000000000001" customHeight="1">
      <c r="B136" s="1360" t="b">
        <f t="shared" si="41"/>
        <v>1</v>
      </c>
      <c r="C136" s="9767"/>
      <c r="D136" s="490" t="s">
        <v>385</v>
      </c>
      <c r="E136" s="491"/>
      <c r="F136" s="492" t="s">
        <v>344</v>
      </c>
      <c r="G136" s="337"/>
      <c r="I136" s="493" t="s">
        <v>386</v>
      </c>
      <c r="J136" s="360"/>
      <c r="K136" s="164" t="s">
        <v>344</v>
      </c>
      <c r="L136" s="483"/>
      <c r="M136" s="483" t="s">
        <v>209</v>
      </c>
      <c r="N136" s="483"/>
      <c r="O136" s="483" t="s">
        <v>209</v>
      </c>
      <c r="P136" s="483"/>
      <c r="Q136" s="483"/>
      <c r="R136" s="1486"/>
      <c r="S136" s="1421" t="s">
        <v>209</v>
      </c>
      <c r="T136" s="1486"/>
      <c r="U136" s="1421" t="s">
        <v>209</v>
      </c>
      <c r="V136" s="1496"/>
      <c r="W136" s="5544" t="s">
        <v>209</v>
      </c>
      <c r="X136" s="2557"/>
      <c r="Y136" s="2558"/>
      <c r="Z136" s="2559"/>
      <c r="AA136" s="2647"/>
      <c r="AB136" s="2641"/>
      <c r="AC136" s="2648"/>
      <c r="AD136" s="2641"/>
      <c r="AE136" s="2649"/>
      <c r="AF136" s="2647"/>
      <c r="AG136" s="2641"/>
      <c r="AH136" s="2648"/>
      <c r="AI136" s="2641"/>
      <c r="AJ136" s="2649"/>
      <c r="AK136" s="2647"/>
      <c r="AL136" s="2641"/>
      <c r="AM136" s="2648"/>
      <c r="AN136" s="2642"/>
      <c r="AO136" s="2649"/>
      <c r="AP136" s="2647"/>
      <c r="AQ136" s="2643"/>
      <c r="AR136" s="2648"/>
      <c r="AS136" s="2643"/>
      <c r="AT136" s="2649"/>
      <c r="AU136" s="782"/>
      <c r="AW136" s="99" t="s">
        <v>189</v>
      </c>
      <c r="AX136" s="138"/>
      <c r="AY136" s="138"/>
      <c r="AZ136" s="299" t="s">
        <v>193</v>
      </c>
      <c r="BA136" s="265" t="s">
        <v>384</v>
      </c>
      <c r="BB136" s="265"/>
      <c r="BC136" s="187"/>
      <c r="BD136" s="11"/>
    </row>
    <row r="137" spans="2:56" ht="20.100000000000001" customHeight="1">
      <c r="B137" s="1360" t="b">
        <f t="shared" si="41"/>
        <v>1</v>
      </c>
      <c r="C137" s="9768"/>
      <c r="D137" s="490" t="s">
        <v>343</v>
      </c>
      <c r="E137" s="491"/>
      <c r="F137" s="492" t="s">
        <v>344</v>
      </c>
      <c r="G137" s="337"/>
      <c r="I137" s="493" t="s">
        <v>685</v>
      </c>
      <c r="J137" s="360"/>
      <c r="K137" s="164" t="s">
        <v>344</v>
      </c>
      <c r="L137" s="483"/>
      <c r="M137" s="483" t="s">
        <v>209</v>
      </c>
      <c r="N137" s="483"/>
      <c r="O137" s="483" t="s">
        <v>209</v>
      </c>
      <c r="P137" s="483"/>
      <c r="Q137" s="483"/>
      <c r="R137" s="1486"/>
      <c r="S137" s="1421" t="s">
        <v>209</v>
      </c>
      <c r="T137" s="1486"/>
      <c r="U137" s="1421" t="s">
        <v>209</v>
      </c>
      <c r="V137" s="1496"/>
      <c r="W137" s="5544" t="s">
        <v>209</v>
      </c>
      <c r="X137" s="2557"/>
      <c r="Y137" s="2558"/>
      <c r="Z137" s="2559"/>
      <c r="AA137" s="2647"/>
      <c r="AB137" s="2641"/>
      <c r="AC137" s="2648"/>
      <c r="AD137" s="2641"/>
      <c r="AE137" s="2649"/>
      <c r="AF137" s="2647"/>
      <c r="AG137" s="2641"/>
      <c r="AH137" s="2648"/>
      <c r="AI137" s="2641"/>
      <c r="AJ137" s="2649"/>
      <c r="AK137" s="2647"/>
      <c r="AL137" s="2641"/>
      <c r="AM137" s="2648"/>
      <c r="AN137" s="2642"/>
      <c r="AO137" s="2649"/>
      <c r="AP137" s="2647"/>
      <c r="AQ137" s="2643"/>
      <c r="AR137" s="2648"/>
      <c r="AS137" s="2643"/>
      <c r="AT137" s="2649"/>
      <c r="AV137" s="162"/>
      <c r="AW137" s="99" t="s">
        <v>189</v>
      </c>
      <c r="AX137" s="138"/>
      <c r="AY137" s="138"/>
      <c r="AZ137" s="299" t="s">
        <v>193</v>
      </c>
      <c r="BA137" s="265" t="s">
        <v>384</v>
      </c>
      <c r="BB137" s="265"/>
      <c r="BC137" s="187"/>
      <c r="BD137" s="11"/>
    </row>
    <row r="138" spans="2:56" ht="20.100000000000001" customHeight="1">
      <c r="B138" s="1360" t="b">
        <f t="shared" si="41"/>
        <v>1</v>
      </c>
      <c r="C138" s="9774" t="s">
        <v>387</v>
      </c>
      <c r="D138" s="9774"/>
      <c r="E138" s="9774"/>
      <c r="F138" s="492" t="s">
        <v>156</v>
      </c>
      <c r="G138" s="337"/>
      <c r="H138" s="140" t="s">
        <v>388</v>
      </c>
      <c r="I138" s="482"/>
      <c r="J138" s="289"/>
      <c r="K138" s="164" t="s">
        <v>156</v>
      </c>
      <c r="L138" s="483"/>
      <c r="M138" s="483" t="s">
        <v>209</v>
      </c>
      <c r="N138" s="483"/>
      <c r="O138" s="483" t="s">
        <v>209</v>
      </c>
      <c r="P138" s="483"/>
      <c r="Q138" s="483"/>
      <c r="R138" s="1486"/>
      <c r="S138" s="1421" t="s">
        <v>209</v>
      </c>
      <c r="T138" s="1486"/>
      <c r="U138" s="1421" t="s">
        <v>209</v>
      </c>
      <c r="V138" s="1496"/>
      <c r="W138" s="5544" t="s">
        <v>209</v>
      </c>
      <c r="X138" s="2557"/>
      <c r="Y138" s="2558"/>
      <c r="Z138" s="2559"/>
      <c r="AA138" s="2637"/>
      <c r="AB138" s="2641"/>
      <c r="AC138" s="2639"/>
      <c r="AD138" s="2641"/>
      <c r="AE138" s="2640"/>
      <c r="AF138" s="2637"/>
      <c r="AG138" s="2641"/>
      <c r="AH138" s="2639"/>
      <c r="AI138" s="2641"/>
      <c r="AJ138" s="2640"/>
      <c r="AK138" s="2637"/>
      <c r="AL138" s="2641"/>
      <c r="AM138" s="2639"/>
      <c r="AN138" s="2642"/>
      <c r="AO138" s="2640"/>
      <c r="AP138" s="2637"/>
      <c r="AQ138" s="2643"/>
      <c r="AR138" s="2639"/>
      <c r="AS138" s="2643"/>
      <c r="AT138" s="2640"/>
      <c r="AU138" s="2474" t="s">
        <v>382</v>
      </c>
      <c r="AV138" s="489" t="s">
        <v>389</v>
      </c>
      <c r="AW138" s="99" t="s">
        <v>189</v>
      </c>
      <c r="AX138" s="138"/>
      <c r="AY138" s="138"/>
      <c r="AZ138" s="299" t="s">
        <v>193</v>
      </c>
      <c r="BA138" s="265" t="s">
        <v>390</v>
      </c>
      <c r="BB138" s="265"/>
      <c r="BC138" s="187"/>
      <c r="BD138" s="11"/>
    </row>
    <row r="139" spans="2:56" ht="20.100000000000001" customHeight="1">
      <c r="B139" s="1360" t="b">
        <f t="shared" si="41"/>
        <v>1</v>
      </c>
      <c r="C139" s="614"/>
      <c r="D139" s="490" t="s">
        <v>391</v>
      </c>
      <c r="E139" s="491"/>
      <c r="F139" s="492" t="s">
        <v>344</v>
      </c>
      <c r="G139" s="337"/>
      <c r="I139" s="495" t="s">
        <v>392</v>
      </c>
      <c r="J139" s="360"/>
      <c r="K139" s="164" t="s">
        <v>344</v>
      </c>
      <c r="L139" s="483"/>
      <c r="M139" s="483" t="s">
        <v>209</v>
      </c>
      <c r="N139" s="483"/>
      <c r="O139" s="483" t="s">
        <v>209</v>
      </c>
      <c r="P139" s="483"/>
      <c r="Q139" s="483"/>
      <c r="R139" s="1486"/>
      <c r="S139" s="1421" t="s">
        <v>209</v>
      </c>
      <c r="T139" s="1486"/>
      <c r="U139" s="1421" t="s">
        <v>209</v>
      </c>
      <c r="V139" s="1496"/>
      <c r="W139" s="5544" t="s">
        <v>209</v>
      </c>
      <c r="X139" s="2557"/>
      <c r="Y139" s="2558"/>
      <c r="Z139" s="2559"/>
      <c r="AA139" s="2557"/>
      <c r="AB139" s="2641"/>
      <c r="AC139" s="2558"/>
      <c r="AD139" s="2641"/>
      <c r="AE139" s="2556"/>
      <c r="AF139" s="2557"/>
      <c r="AG139" s="2641"/>
      <c r="AH139" s="2558"/>
      <c r="AI139" s="2641"/>
      <c r="AJ139" s="2556"/>
      <c r="AK139" s="2557"/>
      <c r="AL139" s="2641"/>
      <c r="AM139" s="2558"/>
      <c r="AN139" s="2642"/>
      <c r="AO139" s="2556"/>
      <c r="AP139" s="2557"/>
      <c r="AQ139" s="2643"/>
      <c r="AR139" s="2558"/>
      <c r="AS139" s="2643"/>
      <c r="AT139" s="2556"/>
      <c r="AU139" s="782"/>
      <c r="AV139" s="162"/>
      <c r="AW139" s="99" t="s">
        <v>189</v>
      </c>
      <c r="AX139" s="138"/>
      <c r="AY139" s="138"/>
      <c r="AZ139" s="299" t="s">
        <v>193</v>
      </c>
      <c r="BA139" s="265" t="s">
        <v>390</v>
      </c>
      <c r="BB139" s="265"/>
      <c r="BC139" s="187"/>
      <c r="BD139" s="11"/>
    </row>
    <row r="140" spans="2:56" ht="20.100000000000001" customHeight="1">
      <c r="B140" s="1360" t="b">
        <f t="shared" si="41"/>
        <v>1</v>
      </c>
      <c r="C140" s="161"/>
      <c r="D140" s="490" t="s">
        <v>370</v>
      </c>
      <c r="E140" s="491"/>
      <c r="F140" s="492" t="s">
        <v>344</v>
      </c>
      <c r="G140" s="337"/>
      <c r="I140" s="496" t="s">
        <v>686</v>
      </c>
      <c r="J140" s="360"/>
      <c r="K140" s="164" t="s">
        <v>344</v>
      </c>
      <c r="L140" s="483"/>
      <c r="M140" s="483" t="s">
        <v>209</v>
      </c>
      <c r="N140" s="483"/>
      <c r="O140" s="483" t="s">
        <v>209</v>
      </c>
      <c r="P140" s="483"/>
      <c r="Q140" s="483"/>
      <c r="R140" s="1486"/>
      <c r="S140" s="1421" t="s">
        <v>209</v>
      </c>
      <c r="T140" s="1486"/>
      <c r="U140" s="1421" t="s">
        <v>209</v>
      </c>
      <c r="V140" s="1496"/>
      <c r="W140" s="5544" t="s">
        <v>209</v>
      </c>
      <c r="X140" s="2557"/>
      <c r="Y140" s="2558"/>
      <c r="Z140" s="2559"/>
      <c r="AA140" s="2647"/>
      <c r="AB140" s="2641"/>
      <c r="AC140" s="2648"/>
      <c r="AD140" s="2641"/>
      <c r="AE140" s="2649"/>
      <c r="AF140" s="2647"/>
      <c r="AG140" s="2641"/>
      <c r="AH140" s="2648"/>
      <c r="AI140" s="2641"/>
      <c r="AJ140" s="2649"/>
      <c r="AK140" s="2647"/>
      <c r="AL140" s="2641"/>
      <c r="AM140" s="2648"/>
      <c r="AN140" s="2642"/>
      <c r="AO140" s="2649"/>
      <c r="AP140" s="2647"/>
      <c r="AQ140" s="2643"/>
      <c r="AR140" s="2648"/>
      <c r="AS140" s="2643"/>
      <c r="AT140" s="2649"/>
      <c r="AU140" s="782"/>
      <c r="AV140" s="367"/>
      <c r="AW140" s="99" t="s">
        <v>189</v>
      </c>
      <c r="AX140" s="138"/>
      <c r="AY140" s="138"/>
      <c r="AZ140" s="299" t="s">
        <v>1435</v>
      </c>
      <c r="BA140" s="265" t="s">
        <v>390</v>
      </c>
      <c r="BB140" s="265"/>
      <c r="BC140" s="187"/>
      <c r="BD140" s="11"/>
    </row>
    <row r="141" spans="2:56" ht="20.100000000000001" customHeight="1">
      <c r="B141" s="1360" t="b">
        <f t="shared" si="41"/>
        <v>1</v>
      </c>
      <c r="C141" s="9774" t="s">
        <v>393</v>
      </c>
      <c r="D141" s="9774"/>
      <c r="E141" s="9774"/>
      <c r="F141" s="492" t="s">
        <v>344</v>
      </c>
      <c r="G141" s="337"/>
      <c r="H141" s="359" t="s">
        <v>394</v>
      </c>
      <c r="I141" s="497"/>
      <c r="J141" s="498"/>
      <c r="K141" s="164" t="s">
        <v>344</v>
      </c>
      <c r="L141" s="499"/>
      <c r="M141" s="381" t="s">
        <v>209</v>
      </c>
      <c r="N141" s="499"/>
      <c r="O141" s="404" t="s">
        <v>209</v>
      </c>
      <c r="P141" s="500"/>
      <c r="Q141" s="501"/>
      <c r="R141" s="1486"/>
      <c r="S141" s="1422" t="s">
        <v>209</v>
      </c>
      <c r="T141" s="1486"/>
      <c r="U141" s="1403" t="s">
        <v>209</v>
      </c>
      <c r="V141" s="1512"/>
      <c r="W141" s="1323" t="s">
        <v>209</v>
      </c>
      <c r="X141" s="2557"/>
      <c r="Y141" s="2558"/>
      <c r="Z141" s="2559"/>
      <c r="AA141" s="2650"/>
      <c r="AB141" s="2651"/>
      <c r="AC141" s="2652"/>
      <c r="AD141" s="2651"/>
      <c r="AE141" s="2653"/>
      <c r="AF141" s="2650"/>
      <c r="AG141" s="2651"/>
      <c r="AH141" s="2652"/>
      <c r="AI141" s="2651"/>
      <c r="AJ141" s="2653"/>
      <c r="AK141" s="2650"/>
      <c r="AL141" s="2651"/>
      <c r="AM141" s="2652"/>
      <c r="AN141" s="2654"/>
      <c r="AO141" s="2653"/>
      <c r="AP141" s="2650"/>
      <c r="AQ141" s="2651"/>
      <c r="AR141" s="2652"/>
      <c r="AS141" s="2651"/>
      <c r="AT141" s="2653"/>
      <c r="AU141" s="498" t="s">
        <v>395</v>
      </c>
      <c r="AV141" s="367" t="s">
        <v>396</v>
      </c>
      <c r="AW141" s="99" t="s">
        <v>189</v>
      </c>
      <c r="AX141" s="138"/>
      <c r="AY141" s="138"/>
      <c r="AZ141" s="299" t="s">
        <v>193</v>
      </c>
      <c r="BA141" s="265" t="s">
        <v>397</v>
      </c>
      <c r="BB141" s="265"/>
      <c r="BC141" s="187"/>
      <c r="BD141" s="11"/>
    </row>
    <row r="142" spans="2:56" ht="20.100000000000001" customHeight="1">
      <c r="B142" s="1360" t="b">
        <f t="shared" si="41"/>
        <v>1</v>
      </c>
      <c r="C142" s="9767"/>
      <c r="D142" s="508" t="s">
        <v>687</v>
      </c>
      <c r="E142" s="508"/>
      <c r="F142" s="492" t="s">
        <v>344</v>
      </c>
      <c r="G142" s="337"/>
      <c r="H142" s="348"/>
      <c r="I142" s="493" t="s">
        <v>399</v>
      </c>
      <c r="J142" s="360"/>
      <c r="K142" s="164" t="s">
        <v>344</v>
      </c>
      <c r="L142" s="499"/>
      <c r="M142" s="381" t="s">
        <v>209</v>
      </c>
      <c r="N142" s="499"/>
      <c r="O142" s="404" t="s">
        <v>209</v>
      </c>
      <c r="P142" s="500"/>
      <c r="Q142" s="501"/>
      <c r="R142" s="1486"/>
      <c r="S142" s="1422" t="s">
        <v>209</v>
      </c>
      <c r="T142" s="1486"/>
      <c r="U142" s="1403" t="s">
        <v>209</v>
      </c>
      <c r="V142" s="1486"/>
      <c r="W142" s="1323" t="s">
        <v>209</v>
      </c>
      <c r="X142" s="2557"/>
      <c r="Y142" s="2558"/>
      <c r="Z142" s="2559"/>
      <c r="AA142" s="2553"/>
      <c r="AB142" s="2651"/>
      <c r="AC142" s="2554"/>
      <c r="AD142" s="2651"/>
      <c r="AE142" s="2655"/>
      <c r="AF142" s="2553"/>
      <c r="AG142" s="2651"/>
      <c r="AH142" s="2554"/>
      <c r="AI142" s="2651"/>
      <c r="AJ142" s="2655"/>
      <c r="AK142" s="2553"/>
      <c r="AL142" s="2651"/>
      <c r="AM142" s="2554"/>
      <c r="AN142" s="2654"/>
      <c r="AO142" s="2655"/>
      <c r="AP142" s="2553"/>
      <c r="AQ142" s="2651"/>
      <c r="AR142" s="2554"/>
      <c r="AS142" s="2651"/>
      <c r="AT142" s="2655"/>
      <c r="AU142" s="2475"/>
      <c r="AV142" s="162"/>
      <c r="AW142" s="99" t="s">
        <v>189</v>
      </c>
      <c r="AX142" s="138"/>
      <c r="AY142" s="138"/>
      <c r="AZ142" s="299" t="s">
        <v>193</v>
      </c>
      <c r="BA142" s="265" t="s">
        <v>397</v>
      </c>
      <c r="BB142" s="265"/>
      <c r="BC142" s="187"/>
      <c r="BD142" s="11"/>
    </row>
    <row r="143" spans="2:56" ht="20.100000000000001" customHeight="1">
      <c r="B143" s="1360" t="b">
        <f t="shared" si="41"/>
        <v>1</v>
      </c>
      <c r="C143" s="9784"/>
      <c r="D143" s="508" t="s">
        <v>400</v>
      </c>
      <c r="E143" s="508"/>
      <c r="F143" s="492" t="s">
        <v>344</v>
      </c>
      <c r="G143" s="337"/>
      <c r="H143" s="353"/>
      <c r="I143" s="493" t="s">
        <v>401</v>
      </c>
      <c r="J143" s="360"/>
      <c r="K143" s="164" t="s">
        <v>344</v>
      </c>
      <c r="L143" s="499"/>
      <c r="M143" s="381" t="s">
        <v>209</v>
      </c>
      <c r="N143" s="499"/>
      <c r="O143" s="404" t="s">
        <v>209</v>
      </c>
      <c r="P143" s="500"/>
      <c r="Q143" s="501"/>
      <c r="R143" s="1486"/>
      <c r="S143" s="1422" t="s">
        <v>209</v>
      </c>
      <c r="T143" s="1486"/>
      <c r="U143" s="1403" t="s">
        <v>209</v>
      </c>
      <c r="V143" s="1486"/>
      <c r="W143" s="1323" t="s">
        <v>209</v>
      </c>
      <c r="X143" s="2553"/>
      <c r="Y143" s="2558"/>
      <c r="Z143" s="2559"/>
      <c r="AA143" s="2553"/>
      <c r="AB143" s="2651"/>
      <c r="AC143" s="2554"/>
      <c r="AD143" s="2651"/>
      <c r="AE143" s="2655"/>
      <c r="AF143" s="2553"/>
      <c r="AG143" s="2651"/>
      <c r="AH143" s="2554"/>
      <c r="AI143" s="2651"/>
      <c r="AJ143" s="2655"/>
      <c r="AK143" s="2553"/>
      <c r="AL143" s="2651"/>
      <c r="AM143" s="2554"/>
      <c r="AN143" s="2654"/>
      <c r="AO143" s="2655"/>
      <c r="AP143" s="2553"/>
      <c r="AQ143" s="2651"/>
      <c r="AR143" s="2554"/>
      <c r="AS143" s="2651"/>
      <c r="AT143" s="2655"/>
      <c r="AU143" s="782"/>
      <c r="AV143" s="162"/>
      <c r="AW143" s="99" t="s">
        <v>189</v>
      </c>
      <c r="AX143" s="138"/>
      <c r="AY143" s="138"/>
      <c r="AZ143" s="299" t="s">
        <v>193</v>
      </c>
      <c r="BA143" s="265" t="s">
        <v>397</v>
      </c>
      <c r="BB143" s="265"/>
      <c r="BC143" s="187"/>
      <c r="BD143" s="11"/>
    </row>
    <row r="144" spans="2:56" ht="20.100000000000001" customHeight="1">
      <c r="B144" s="1360" t="b">
        <f t="shared" si="41"/>
        <v>1</v>
      </c>
      <c r="C144" s="9784"/>
      <c r="D144" s="508" t="s">
        <v>402</v>
      </c>
      <c r="E144" s="508"/>
      <c r="F144" s="492" t="s">
        <v>344</v>
      </c>
      <c r="G144" s="337"/>
      <c r="H144" s="353"/>
      <c r="I144" s="493" t="s">
        <v>403</v>
      </c>
      <c r="J144" s="360"/>
      <c r="K144" s="164" t="s">
        <v>344</v>
      </c>
      <c r="L144" s="499"/>
      <c r="M144" s="381" t="s">
        <v>209</v>
      </c>
      <c r="N144" s="499"/>
      <c r="O144" s="404" t="s">
        <v>209</v>
      </c>
      <c r="P144" s="500"/>
      <c r="Q144" s="501"/>
      <c r="R144" s="1486"/>
      <c r="S144" s="1422" t="s">
        <v>209</v>
      </c>
      <c r="T144" s="1486"/>
      <c r="U144" s="1403" t="s">
        <v>209</v>
      </c>
      <c r="V144" s="1520"/>
      <c r="W144" s="1323" t="s">
        <v>209</v>
      </c>
      <c r="X144" s="2656"/>
      <c r="Y144" s="2558"/>
      <c r="Z144" s="2559"/>
      <c r="AA144" s="2656"/>
      <c r="AB144" s="2651"/>
      <c r="AC144" s="2657"/>
      <c r="AD144" s="2651"/>
      <c r="AE144" s="2658"/>
      <c r="AF144" s="2656"/>
      <c r="AG144" s="2651"/>
      <c r="AH144" s="2657"/>
      <c r="AI144" s="2651"/>
      <c r="AJ144" s="2658"/>
      <c r="AK144" s="2656"/>
      <c r="AL144" s="2651"/>
      <c r="AM144" s="2657"/>
      <c r="AN144" s="2654"/>
      <c r="AO144" s="2658"/>
      <c r="AP144" s="2656"/>
      <c r="AQ144" s="2651"/>
      <c r="AR144" s="2657"/>
      <c r="AS144" s="2651"/>
      <c r="AT144" s="2658"/>
      <c r="AV144" s="162"/>
      <c r="AW144" s="99" t="s">
        <v>189</v>
      </c>
      <c r="AX144" s="138"/>
      <c r="AY144" s="138"/>
      <c r="AZ144" s="299" t="s">
        <v>193</v>
      </c>
      <c r="BA144" s="265" t="s">
        <v>397</v>
      </c>
      <c r="BB144" s="265"/>
      <c r="BC144" s="187"/>
      <c r="BD144" s="11"/>
    </row>
    <row r="145" spans="2:56" ht="20.100000000000001" customHeight="1">
      <c r="B145" s="1360" t="b">
        <f t="shared" si="41"/>
        <v>1</v>
      </c>
      <c r="C145" s="9784"/>
      <c r="D145" s="9786" t="s">
        <v>404</v>
      </c>
      <c r="E145" s="9787"/>
      <c r="F145" s="492" t="s">
        <v>344</v>
      </c>
      <c r="G145" s="337"/>
      <c r="H145" s="353"/>
      <c r="I145" s="493" t="s">
        <v>405</v>
      </c>
      <c r="J145" s="360"/>
      <c r="K145" s="164" t="s">
        <v>344</v>
      </c>
      <c r="L145" s="499"/>
      <c r="M145" s="381" t="s">
        <v>209</v>
      </c>
      <c r="N145" s="499"/>
      <c r="O145" s="404" t="s">
        <v>209</v>
      </c>
      <c r="P145" s="500"/>
      <c r="Q145" s="501"/>
      <c r="R145" s="1486"/>
      <c r="S145" s="1422" t="s">
        <v>209</v>
      </c>
      <c r="T145" s="1486"/>
      <c r="U145" s="1403" t="s">
        <v>209</v>
      </c>
      <c r="V145" s="1512"/>
      <c r="W145" s="1323" t="s">
        <v>209</v>
      </c>
      <c r="X145" s="2650"/>
      <c r="Y145" s="2652"/>
      <c r="Z145" s="2559"/>
      <c r="AA145" s="2650"/>
      <c r="AB145" s="2651"/>
      <c r="AC145" s="2652"/>
      <c r="AD145" s="2651"/>
      <c r="AE145" s="2653"/>
      <c r="AF145" s="2650"/>
      <c r="AG145" s="2651"/>
      <c r="AH145" s="2652"/>
      <c r="AI145" s="2651"/>
      <c r="AJ145" s="2653"/>
      <c r="AK145" s="2650"/>
      <c r="AL145" s="2651"/>
      <c r="AM145" s="2652"/>
      <c r="AN145" s="2654"/>
      <c r="AO145" s="2653"/>
      <c r="AP145" s="2650"/>
      <c r="AQ145" s="2651"/>
      <c r="AR145" s="2652"/>
      <c r="AS145" s="2651"/>
      <c r="AT145" s="2653"/>
      <c r="AU145" s="782"/>
      <c r="AV145" s="162"/>
      <c r="AW145" s="99" t="s">
        <v>189</v>
      </c>
      <c r="AX145" s="138"/>
      <c r="AY145" s="138"/>
      <c r="AZ145" s="299" t="s">
        <v>193</v>
      </c>
      <c r="BA145" s="265" t="s">
        <v>397</v>
      </c>
      <c r="BB145" s="265"/>
      <c r="BC145" s="187"/>
      <c r="BD145" s="11"/>
    </row>
    <row r="146" spans="2:56" ht="20.100000000000001" customHeight="1">
      <c r="B146" s="1360" t="b">
        <f t="shared" si="41"/>
        <v>1</v>
      </c>
      <c r="C146" s="9784"/>
      <c r="D146" s="9786" t="s">
        <v>406</v>
      </c>
      <c r="E146" s="9787"/>
      <c r="F146" s="492" t="s">
        <v>344</v>
      </c>
      <c r="G146" s="337"/>
      <c r="H146" s="353"/>
      <c r="I146" s="493" t="s">
        <v>407</v>
      </c>
      <c r="J146" s="360"/>
      <c r="K146" s="164" t="s">
        <v>344</v>
      </c>
      <c r="L146" s="499"/>
      <c r="M146" s="381" t="s">
        <v>209</v>
      </c>
      <c r="N146" s="499"/>
      <c r="O146" s="404" t="s">
        <v>209</v>
      </c>
      <c r="P146" s="500"/>
      <c r="Q146" s="501"/>
      <c r="R146" s="1486"/>
      <c r="S146" s="1422" t="s">
        <v>209</v>
      </c>
      <c r="T146" s="1486"/>
      <c r="U146" s="1403" t="s">
        <v>209</v>
      </c>
      <c r="V146" s="1512"/>
      <c r="W146" s="1323" t="s">
        <v>209</v>
      </c>
      <c r="X146" s="2650"/>
      <c r="Y146" s="2652"/>
      <c r="Z146" s="2659"/>
      <c r="AA146" s="2650"/>
      <c r="AB146" s="2651"/>
      <c r="AC146" s="2652"/>
      <c r="AD146" s="2651"/>
      <c r="AE146" s="2653"/>
      <c r="AF146" s="2650"/>
      <c r="AG146" s="2651"/>
      <c r="AH146" s="2652"/>
      <c r="AI146" s="2651"/>
      <c r="AJ146" s="2653"/>
      <c r="AK146" s="2650"/>
      <c r="AL146" s="2651"/>
      <c r="AM146" s="2652"/>
      <c r="AN146" s="2654"/>
      <c r="AO146" s="2653"/>
      <c r="AP146" s="2650"/>
      <c r="AQ146" s="2651"/>
      <c r="AR146" s="2652"/>
      <c r="AS146" s="2651"/>
      <c r="AT146" s="2653"/>
      <c r="AU146" s="782"/>
      <c r="AV146" s="162"/>
      <c r="AW146" s="99" t="s">
        <v>189</v>
      </c>
      <c r="AX146" s="138"/>
      <c r="AY146" s="138"/>
      <c r="AZ146" s="299" t="s">
        <v>193</v>
      </c>
      <c r="BA146" s="265" t="s">
        <v>397</v>
      </c>
      <c r="BB146" s="265"/>
      <c r="BC146" s="187"/>
      <c r="BD146" s="11"/>
    </row>
    <row r="147" spans="2:56" ht="20.100000000000001" customHeight="1" thickBot="1">
      <c r="B147" s="1361" t="b">
        <f t="shared" si="41"/>
        <v>1</v>
      </c>
      <c r="C147" s="9785"/>
      <c r="D147" s="9788" t="s">
        <v>408</v>
      </c>
      <c r="E147" s="9789"/>
      <c r="F147" s="511" t="s">
        <v>344</v>
      </c>
      <c r="G147" s="232"/>
      <c r="H147" s="512"/>
      <c r="I147" s="513" t="s">
        <v>409</v>
      </c>
      <c r="J147" s="514"/>
      <c r="K147" s="515" t="s">
        <v>344</v>
      </c>
      <c r="L147" s="499"/>
      <c r="M147" s="381" t="s">
        <v>209</v>
      </c>
      <c r="N147" s="499"/>
      <c r="O147" s="404" t="s">
        <v>209</v>
      </c>
      <c r="P147" s="500"/>
      <c r="Q147" s="501"/>
      <c r="R147" s="1486"/>
      <c r="S147" s="1422" t="s">
        <v>209</v>
      </c>
      <c r="T147" s="1486"/>
      <c r="U147" s="1403" t="s">
        <v>209</v>
      </c>
      <c r="V147" s="1486"/>
      <c r="W147" s="1323" t="s">
        <v>209</v>
      </c>
      <c r="X147" s="2660"/>
      <c r="Y147" s="2661"/>
      <c r="Z147" s="2662"/>
      <c r="AA147" s="2660"/>
      <c r="AB147" s="2651"/>
      <c r="AC147" s="2661"/>
      <c r="AD147" s="2651"/>
      <c r="AE147" s="2663"/>
      <c r="AF147" s="2660"/>
      <c r="AG147" s="2651"/>
      <c r="AH147" s="2661"/>
      <c r="AI147" s="2651"/>
      <c r="AJ147" s="2663"/>
      <c r="AK147" s="2660"/>
      <c r="AL147" s="2651"/>
      <c r="AM147" s="2661"/>
      <c r="AN147" s="2654"/>
      <c r="AO147" s="2663"/>
      <c r="AP147" s="2660"/>
      <c r="AQ147" s="2651"/>
      <c r="AR147" s="2661"/>
      <c r="AS147" s="2651"/>
      <c r="AT147" s="2663"/>
      <c r="AU147" s="782"/>
      <c r="AV147" s="162"/>
      <c r="AW147" s="99" t="s">
        <v>189</v>
      </c>
      <c r="AX147" s="138"/>
      <c r="AY147" s="138"/>
      <c r="AZ147" s="299" t="s">
        <v>193</v>
      </c>
      <c r="BA147" s="265" t="s">
        <v>397</v>
      </c>
      <c r="BB147" s="265"/>
      <c r="BC147" s="187"/>
      <c r="BD147" s="11"/>
    </row>
    <row r="148" spans="2:56" ht="27" thickBot="1">
      <c r="B148" s="123" t="s">
        <v>410</v>
      </c>
      <c r="C148" s="124"/>
      <c r="D148" s="124"/>
      <c r="E148" s="124"/>
      <c r="F148" s="518"/>
      <c r="G148" s="519" t="s">
        <v>411</v>
      </c>
      <c r="H148" s="520"/>
      <c r="I148" s="521"/>
      <c r="J148" s="148"/>
      <c r="K148" s="148"/>
      <c r="L148" s="148"/>
      <c r="M148" s="148"/>
      <c r="N148" s="148"/>
      <c r="O148" s="148"/>
      <c r="P148" s="148"/>
      <c r="Q148" s="148"/>
      <c r="R148" s="1499"/>
      <c r="S148" s="1423"/>
      <c r="T148" s="1499"/>
      <c r="U148" s="1423"/>
      <c r="V148" s="1499"/>
      <c r="W148" s="148"/>
      <c r="X148" s="2580"/>
      <c r="Y148" s="2581"/>
      <c r="Z148" s="2581"/>
      <c r="AA148" s="2580"/>
      <c r="AB148" s="2581"/>
      <c r="AC148" s="2581"/>
      <c r="AD148" s="2581"/>
      <c r="AE148" s="2582"/>
      <c r="AF148" s="2580"/>
      <c r="AG148" s="2581"/>
      <c r="AH148" s="2581"/>
      <c r="AI148" s="2581"/>
      <c r="AJ148" s="2582"/>
      <c r="AK148" s="2580"/>
      <c r="AL148" s="2581"/>
      <c r="AM148" s="2581"/>
      <c r="AN148" s="2581"/>
      <c r="AO148" s="2582"/>
      <c r="AP148" s="2580"/>
      <c r="AQ148" s="2581"/>
      <c r="AR148" s="2581"/>
      <c r="AS148" s="2581"/>
      <c r="AT148" s="2582"/>
      <c r="AU148" s="80"/>
      <c r="AV148" s="432"/>
      <c r="AW148" s="1641"/>
      <c r="AX148" s="1641"/>
      <c r="AY148" s="1641"/>
      <c r="AZ148" s="1641"/>
      <c r="BA148" s="328"/>
      <c r="BB148" s="328"/>
      <c r="BC148" s="329"/>
      <c r="BD148" s="18"/>
    </row>
    <row r="149" spans="2:56" ht="20.100000000000001" customHeight="1">
      <c r="B149" s="1359" t="b">
        <f t="shared" si="41"/>
        <v>0</v>
      </c>
      <c r="C149" s="9790" t="s">
        <v>412</v>
      </c>
      <c r="D149" s="9790"/>
      <c r="E149" s="9790"/>
      <c r="F149" s="492" t="s">
        <v>344</v>
      </c>
      <c r="G149" s="522"/>
      <c r="H149" s="134" t="s">
        <v>414</v>
      </c>
      <c r="I149" s="89"/>
      <c r="J149" s="523"/>
      <c r="K149" s="164" t="s">
        <v>344</v>
      </c>
      <c r="L149" s="524">
        <f>L150+L153</f>
        <v>87.38000000000001</v>
      </c>
      <c r="M149" s="525"/>
      <c r="N149" s="526">
        <f>N150+N153</f>
        <v>96.2</v>
      </c>
      <c r="O149" s="527"/>
      <c r="P149" s="528"/>
      <c r="Q149" s="501"/>
      <c r="R149" s="1500">
        <f>R150+R153</f>
        <v>87.38000000000001</v>
      </c>
      <c r="S149" s="1674"/>
      <c r="T149" s="1503">
        <f>T150+T153</f>
        <v>96.2</v>
      </c>
      <c r="U149" s="1675"/>
      <c r="V149" s="1503">
        <f>V150+V153</f>
        <v>1056499</v>
      </c>
      <c r="W149" s="2076"/>
      <c r="X149" s="2664"/>
      <c r="Y149" s="2665"/>
      <c r="Z149" s="2666"/>
      <c r="AA149" s="2664">
        <f>AA150+AA153</f>
        <v>539711.13537453057</v>
      </c>
      <c r="AB149" s="2632" t="e">
        <f t="shared" ref="AB149:AE149" si="42">AB150+AB153</f>
        <v>#VALUE!</v>
      </c>
      <c r="AC149" s="2665">
        <f t="shared" si="42"/>
        <v>251596.97715395334</v>
      </c>
      <c r="AD149" s="2632">
        <f t="shared" si="42"/>
        <v>0</v>
      </c>
      <c r="AE149" s="2667">
        <f t="shared" si="42"/>
        <v>520678.84688403166</v>
      </c>
      <c r="AF149" s="2664"/>
      <c r="AG149" s="2632"/>
      <c r="AH149" s="2665"/>
      <c r="AI149" s="2632"/>
      <c r="AJ149" s="2667"/>
      <c r="AK149" s="2664"/>
      <c r="AL149" s="2632"/>
      <c r="AM149" s="2665"/>
      <c r="AN149" s="2632"/>
      <c r="AO149" s="2667"/>
      <c r="AP149" s="2664">
        <f>AP150+AP153</f>
        <v>242</v>
      </c>
      <c r="AQ149" s="2632">
        <f t="shared" ref="AQ149:AT149" si="43">AQ150+AQ153</f>
        <v>0</v>
      </c>
      <c r="AR149" s="2665">
        <f t="shared" si="43"/>
        <v>330</v>
      </c>
      <c r="AS149" s="2632">
        <f t="shared" si="43"/>
        <v>0</v>
      </c>
      <c r="AT149" s="2667">
        <f t="shared" si="43"/>
        <v>244</v>
      </c>
      <c r="AU149" s="2476" t="s">
        <v>415</v>
      </c>
      <c r="AV149" s="533" t="s">
        <v>416</v>
      </c>
      <c r="AW149" s="545" t="s">
        <v>417</v>
      </c>
      <c r="AX149" s="1693"/>
      <c r="AY149" s="878"/>
      <c r="AZ149" s="548"/>
      <c r="BA149" s="277" t="s">
        <v>418</v>
      </c>
      <c r="BB149" s="277" t="s">
        <v>419</v>
      </c>
      <c r="BC149" s="187"/>
      <c r="BD149" s="18"/>
    </row>
    <row r="150" spans="2:56" ht="20.100000000000001" customHeight="1">
      <c r="B150" s="1360" t="b">
        <f t="shared" si="41"/>
        <v>0</v>
      </c>
      <c r="C150" s="1363"/>
      <c r="D150" s="357" t="s">
        <v>423</v>
      </c>
      <c r="E150" s="104"/>
      <c r="F150" s="492" t="s">
        <v>344</v>
      </c>
      <c r="G150" s="535"/>
      <c r="H150" s="45"/>
      <c r="I150" s="536" t="s">
        <v>424</v>
      </c>
      <c r="J150" s="537"/>
      <c r="K150" s="164" t="s">
        <v>344</v>
      </c>
      <c r="L150" s="538">
        <v>86.43</v>
      </c>
      <c r="M150" s="539"/>
      <c r="N150" s="538">
        <v>96.2</v>
      </c>
      <c r="O150" s="540"/>
      <c r="P150" s="541">
        <v>493.56</v>
      </c>
      <c r="Q150" s="540"/>
      <c r="R150" s="1490">
        <v>86.43</v>
      </c>
      <c r="S150" s="1424" t="s">
        <v>690</v>
      </c>
      <c r="T150" s="1490">
        <v>96.2</v>
      </c>
      <c r="U150" s="1424" t="s">
        <v>691</v>
      </c>
      <c r="V150" s="1490">
        <v>1056499</v>
      </c>
      <c r="W150" s="2077" t="s">
        <v>1789</v>
      </c>
      <c r="X150" s="2557"/>
      <c r="Y150" s="2558"/>
      <c r="Z150" s="2559"/>
      <c r="AA150" s="2550">
        <f>SUM(AA151:AA152)</f>
        <v>539711.13537453057</v>
      </c>
      <c r="AB150" s="2564">
        <f>China!AP149</f>
        <v>0</v>
      </c>
      <c r="AC150" s="2551">
        <f t="shared" ref="AC150:AE150" si="44">SUM(AC151:AC152)</f>
        <v>251596.97715395334</v>
      </c>
      <c r="AD150" s="2564">
        <f t="shared" si="44"/>
        <v>0</v>
      </c>
      <c r="AE150" s="2610">
        <f t="shared" si="44"/>
        <v>520678.84688403166</v>
      </c>
      <c r="AF150" s="2550"/>
      <c r="AG150" s="2564"/>
      <c r="AH150" s="2551"/>
      <c r="AI150" s="2564"/>
      <c r="AJ150" s="2610"/>
      <c r="AK150" s="2550"/>
      <c r="AL150" s="2564"/>
      <c r="AM150" s="2551"/>
      <c r="AN150" s="2564"/>
      <c r="AO150" s="2610"/>
      <c r="AP150" s="2550">
        <f>SUM(AP151:AP152)</f>
        <v>242</v>
      </c>
      <c r="AQ150" s="2564">
        <f t="shared" ref="AQ150:AT150" si="45">SUM(AQ151:AQ152)</f>
        <v>0</v>
      </c>
      <c r="AR150" s="2551">
        <f t="shared" si="45"/>
        <v>330</v>
      </c>
      <c r="AS150" s="2564">
        <f t="shared" si="45"/>
        <v>0</v>
      </c>
      <c r="AT150" s="2610">
        <f t="shared" si="45"/>
        <v>244</v>
      </c>
      <c r="AU150" s="2468"/>
      <c r="AV150" s="544"/>
      <c r="AW150" s="545" t="s">
        <v>417</v>
      </c>
      <c r="AX150" s="546"/>
      <c r="AY150" s="547"/>
      <c r="AZ150" s="548"/>
      <c r="BA150" s="277" t="s">
        <v>418</v>
      </c>
      <c r="BB150" s="277" t="s">
        <v>419</v>
      </c>
      <c r="BC150" s="187"/>
      <c r="BD150" s="18"/>
    </row>
    <row r="151" spans="2:56" ht="20.100000000000001" customHeight="1">
      <c r="B151" s="1360" t="b">
        <f t="shared" si="41"/>
        <v>0</v>
      </c>
      <c r="C151" s="1364"/>
      <c r="D151" s="549"/>
      <c r="E151" s="306" t="s">
        <v>425</v>
      </c>
      <c r="F151" s="492" t="s">
        <v>344</v>
      </c>
      <c r="G151" s="535"/>
      <c r="H151" s="45"/>
      <c r="I151" s="550"/>
      <c r="J151" s="551" t="s">
        <v>426</v>
      </c>
      <c r="K151" s="164" t="s">
        <v>344</v>
      </c>
      <c r="L151" s="538">
        <v>78.3</v>
      </c>
      <c r="M151" s="539"/>
      <c r="N151" s="538">
        <v>85</v>
      </c>
      <c r="O151" s="540"/>
      <c r="P151" s="541">
        <v>0</v>
      </c>
      <c r="Q151" s="540"/>
      <c r="R151" s="1490">
        <v>78.3</v>
      </c>
      <c r="S151" s="1424" t="s">
        <v>693</v>
      </c>
      <c r="T151" s="1490">
        <v>85</v>
      </c>
      <c r="U151" s="1424" t="s">
        <v>693</v>
      </c>
      <c r="V151" s="1490">
        <v>0</v>
      </c>
      <c r="W151" s="2077"/>
      <c r="X151" s="2557"/>
      <c r="Y151" s="2558"/>
      <c r="Z151" s="2668"/>
      <c r="AA151" s="2557">
        <f>China!AO150</f>
        <v>539711.13537453057</v>
      </c>
      <c r="AB151" s="2561">
        <f>China!AP150</f>
        <v>0</v>
      </c>
      <c r="AC151" s="2558">
        <f>China!AQ150</f>
        <v>251596.97715395334</v>
      </c>
      <c r="AD151" s="2561">
        <f>China!AR150</f>
        <v>0</v>
      </c>
      <c r="AE151" s="2556">
        <f>China!AS150</f>
        <v>520678.84688403166</v>
      </c>
      <c r="AF151" s="2557"/>
      <c r="AG151" s="2561"/>
      <c r="AH151" s="2558"/>
      <c r="AI151" s="2561"/>
      <c r="AJ151" s="2556"/>
      <c r="AK151" s="2557"/>
      <c r="AL151" s="2561"/>
      <c r="AM151" s="2558"/>
      <c r="AN151" s="2561"/>
      <c r="AO151" s="2556"/>
      <c r="AP151" s="2557">
        <f>Türkiye!AA150</f>
        <v>0</v>
      </c>
      <c r="AQ151" s="2561">
        <f>Türkiye!AB150</f>
        <v>0</v>
      </c>
      <c r="AR151" s="2558">
        <f>Türkiye!AC150</f>
        <v>0</v>
      </c>
      <c r="AS151" s="2561">
        <f>Türkiye!AD150</f>
        <v>0</v>
      </c>
      <c r="AT151" s="2556">
        <f>Türkiye!AE150</f>
        <v>0</v>
      </c>
      <c r="AU151" s="2468" t="s">
        <v>427</v>
      </c>
      <c r="AV151" s="544" t="s">
        <v>428</v>
      </c>
      <c r="AW151" s="545" t="s">
        <v>417</v>
      </c>
      <c r="AX151" s="547"/>
      <c r="AY151" s="547"/>
      <c r="AZ151" s="545"/>
      <c r="BA151" s="277" t="s">
        <v>429</v>
      </c>
      <c r="BB151" s="265"/>
      <c r="BC151" s="187"/>
      <c r="BD151" s="18"/>
    </row>
    <row r="152" spans="2:56" ht="20.100000000000001" customHeight="1">
      <c r="B152" s="1360" t="b">
        <f t="shared" si="41"/>
        <v>0</v>
      </c>
      <c r="C152" s="1364"/>
      <c r="D152" s="553"/>
      <c r="E152" s="306" t="s">
        <v>1790</v>
      </c>
      <c r="F152" s="492" t="s">
        <v>344</v>
      </c>
      <c r="G152" s="535"/>
      <c r="H152" s="45"/>
      <c r="I152" s="550"/>
      <c r="J152" s="554" t="s">
        <v>438</v>
      </c>
      <c r="K152" s="164" t="s">
        <v>344</v>
      </c>
      <c r="L152" s="555"/>
      <c r="M152" s="539"/>
      <c r="N152" s="555"/>
      <c r="O152" s="539"/>
      <c r="P152" s="556">
        <v>493.59</v>
      </c>
      <c r="Q152" s="540"/>
      <c r="R152" s="1490">
        <v>8.1</v>
      </c>
      <c r="S152" s="1202"/>
      <c r="T152" s="1490">
        <v>11.2</v>
      </c>
      <c r="U152" s="1424"/>
      <c r="V152" s="1490">
        <v>493.59</v>
      </c>
      <c r="W152" s="2077"/>
      <c r="X152" s="2557"/>
      <c r="Y152" s="2558"/>
      <c r="Z152" s="2668"/>
      <c r="AA152" s="2557">
        <f>China!AO151</f>
        <v>0</v>
      </c>
      <c r="AB152" s="2561" t="str">
        <f>China!AP151</f>
        <v>N/A</v>
      </c>
      <c r="AC152" s="2558">
        <f>China!AQ151</f>
        <v>0</v>
      </c>
      <c r="AD152" s="2561" t="str">
        <f>China!AR151</f>
        <v>N/A</v>
      </c>
      <c r="AE152" s="2556">
        <f>China!AS151</f>
        <v>0</v>
      </c>
      <c r="AF152" s="2557"/>
      <c r="AG152" s="2561"/>
      <c r="AH152" s="2558"/>
      <c r="AI152" s="2561"/>
      <c r="AJ152" s="2556"/>
      <c r="AK152" s="2557"/>
      <c r="AL152" s="2561"/>
      <c r="AM152" s="2558"/>
      <c r="AN152" s="2561"/>
      <c r="AO152" s="2556"/>
      <c r="AP152" s="2557">
        <f>Türkiye!AA151</f>
        <v>242</v>
      </c>
      <c r="AQ152" s="2561">
        <f>Türkiye!AB151</f>
        <v>0</v>
      </c>
      <c r="AR152" s="2558">
        <f>Türkiye!AC151</f>
        <v>330</v>
      </c>
      <c r="AS152" s="2561">
        <f>Türkiye!AD151</f>
        <v>0</v>
      </c>
      <c r="AT152" s="2556">
        <f>Türkiye!AE151</f>
        <v>244</v>
      </c>
      <c r="AU152" s="993" t="s">
        <v>439</v>
      </c>
      <c r="AV152" s="276" t="s">
        <v>440</v>
      </c>
      <c r="AW152" s="545" t="s">
        <v>417</v>
      </c>
      <c r="AX152" s="547"/>
      <c r="AY152" s="547"/>
      <c r="AZ152" s="545"/>
      <c r="BA152" s="277" t="s">
        <v>489</v>
      </c>
      <c r="BB152" s="277" t="s">
        <v>442</v>
      </c>
      <c r="BC152" s="187"/>
      <c r="BD152" s="18"/>
    </row>
    <row r="153" spans="2:56" ht="20.100000000000001" customHeight="1">
      <c r="B153" s="1360" t="b">
        <f t="shared" si="41"/>
        <v>0</v>
      </c>
      <c r="C153" s="1364"/>
      <c r="D153" s="306" t="s">
        <v>444</v>
      </c>
      <c r="E153" s="161"/>
      <c r="F153" s="492" t="s">
        <v>344</v>
      </c>
      <c r="G153" s="535"/>
      <c r="H153" s="45"/>
      <c r="I153" s="557" t="s">
        <v>445</v>
      </c>
      <c r="J153" s="406"/>
      <c r="K153" s="164" t="s">
        <v>344</v>
      </c>
      <c r="L153" s="539">
        <v>0.95</v>
      </c>
      <c r="M153" s="539"/>
      <c r="N153" s="539">
        <v>0</v>
      </c>
      <c r="O153" s="539"/>
      <c r="P153" s="556">
        <v>0</v>
      </c>
      <c r="Q153" s="540"/>
      <c r="R153" s="1490">
        <v>0.95</v>
      </c>
      <c r="S153" s="1202" t="s">
        <v>1791</v>
      </c>
      <c r="T153" s="1490">
        <v>0</v>
      </c>
      <c r="U153" s="1424">
        <v>0</v>
      </c>
      <c r="V153" s="1490">
        <v>0</v>
      </c>
      <c r="W153" s="2077"/>
      <c r="X153" s="2557"/>
      <c r="Y153" s="2558"/>
      <c r="Z153" s="2668"/>
      <c r="AA153" s="2550">
        <f>SUM(AA154:AA155)</f>
        <v>0</v>
      </c>
      <c r="AB153" s="2564" t="str">
        <f>China!AP152</f>
        <v>n/a</v>
      </c>
      <c r="AC153" s="2551">
        <f t="shared" ref="AC153:AE153" si="46">SUM(AC154:AC155)</f>
        <v>0</v>
      </c>
      <c r="AD153" s="2564">
        <f t="shared" si="46"/>
        <v>0</v>
      </c>
      <c r="AE153" s="2610">
        <f t="shared" si="46"/>
        <v>0</v>
      </c>
      <c r="AF153" s="2550"/>
      <c r="AG153" s="2564"/>
      <c r="AH153" s="2551"/>
      <c r="AI153" s="2564"/>
      <c r="AJ153" s="2610"/>
      <c r="AK153" s="2550"/>
      <c r="AL153" s="2564"/>
      <c r="AM153" s="2551"/>
      <c r="AN153" s="2564"/>
      <c r="AO153" s="2610"/>
      <c r="AP153" s="2550">
        <f>SUM(AP154:AP155)</f>
        <v>0</v>
      </c>
      <c r="AQ153" s="2564">
        <f t="shared" ref="AQ153:AT153" si="47">SUM(AQ154:AQ155)</f>
        <v>0</v>
      </c>
      <c r="AR153" s="2551">
        <f t="shared" si="47"/>
        <v>0</v>
      </c>
      <c r="AS153" s="2564">
        <f t="shared" si="47"/>
        <v>0</v>
      </c>
      <c r="AT153" s="2610">
        <f t="shared" si="47"/>
        <v>0</v>
      </c>
      <c r="AU153" s="2468"/>
      <c r="AV153" s="544"/>
      <c r="AW153" s="545" t="s">
        <v>417</v>
      </c>
      <c r="AX153" s="546"/>
      <c r="AY153" s="547"/>
      <c r="AZ153" s="548"/>
      <c r="BA153" s="277" t="s">
        <v>418</v>
      </c>
      <c r="BB153" s="277" t="s">
        <v>419</v>
      </c>
      <c r="BC153" s="187"/>
      <c r="BD153" s="18"/>
    </row>
    <row r="154" spans="2:56" ht="20.100000000000001" customHeight="1">
      <c r="B154" s="1360" t="b">
        <f t="shared" si="41"/>
        <v>0</v>
      </c>
      <c r="D154" s="558"/>
      <c r="E154" s="357" t="s">
        <v>446</v>
      </c>
      <c r="F154" s="492" t="s">
        <v>344</v>
      </c>
      <c r="G154" s="347"/>
      <c r="H154" s="348"/>
      <c r="I154" s="550"/>
      <c r="J154" s="551" t="s">
        <v>426</v>
      </c>
      <c r="K154" s="164" t="s">
        <v>344</v>
      </c>
      <c r="L154" s="539">
        <v>0</v>
      </c>
      <c r="M154" s="539"/>
      <c r="N154" s="539">
        <v>0</v>
      </c>
      <c r="O154" s="539"/>
      <c r="P154" s="556">
        <v>0</v>
      </c>
      <c r="Q154" s="540"/>
      <c r="R154" s="1490">
        <v>0</v>
      </c>
      <c r="S154" s="1202"/>
      <c r="T154" s="1490">
        <v>0</v>
      </c>
      <c r="U154" s="1424"/>
      <c r="V154" s="1490">
        <v>0</v>
      </c>
      <c r="W154" s="2077"/>
      <c r="X154" s="2557"/>
      <c r="Y154" s="2558"/>
      <c r="Z154" s="2668"/>
      <c r="AA154" s="2557">
        <f>China!AO153</f>
        <v>0</v>
      </c>
      <c r="AB154" s="2561" t="str">
        <f>China!AP153</f>
        <v>n/a</v>
      </c>
      <c r="AC154" s="2558">
        <f>China!AQ153</f>
        <v>0</v>
      </c>
      <c r="AD154" s="2561" t="str">
        <f>China!AR153</f>
        <v>n/a</v>
      </c>
      <c r="AE154" s="2556">
        <f>China!AS153</f>
        <v>0</v>
      </c>
      <c r="AF154" s="2557"/>
      <c r="AG154" s="2561"/>
      <c r="AH154" s="2558"/>
      <c r="AI154" s="2561"/>
      <c r="AJ154" s="2556"/>
      <c r="AK154" s="2557"/>
      <c r="AL154" s="2561"/>
      <c r="AM154" s="2558"/>
      <c r="AN154" s="2561"/>
      <c r="AO154" s="2556"/>
      <c r="AP154" s="2557">
        <f>Türkiye!AA153</f>
        <v>0</v>
      </c>
      <c r="AQ154" s="2561">
        <f>Türkiye!AB153</f>
        <v>0</v>
      </c>
      <c r="AR154" s="2558">
        <f>Türkiye!AC153</f>
        <v>0</v>
      </c>
      <c r="AS154" s="2561">
        <f>Türkiye!AD153</f>
        <v>0</v>
      </c>
      <c r="AT154" s="2556">
        <f>Türkiye!AE153</f>
        <v>0</v>
      </c>
      <c r="AU154" s="2468" t="s">
        <v>427</v>
      </c>
      <c r="AV154" s="544" t="s">
        <v>447</v>
      </c>
      <c r="AW154" s="545" t="s">
        <v>417</v>
      </c>
      <c r="AX154" s="547"/>
      <c r="AY154" s="547"/>
      <c r="AZ154" s="545"/>
      <c r="BA154" s="277" t="s">
        <v>429</v>
      </c>
      <c r="BB154" s="265"/>
      <c r="BC154" s="187"/>
      <c r="BD154" s="18"/>
    </row>
    <row r="155" spans="2:56" ht="20.100000000000001" customHeight="1">
      <c r="B155" s="1360" t="b">
        <f>OR(ISBLANK(R155),ISBLANK(T155),ISBLANK(#REF!))</f>
        <v>0</v>
      </c>
      <c r="C155" s="1364"/>
      <c r="D155" s="559"/>
      <c r="E155" s="357" t="s">
        <v>454</v>
      </c>
      <c r="F155" s="492" t="s">
        <v>344</v>
      </c>
      <c r="G155" s="384"/>
      <c r="H155" s="385"/>
      <c r="I155" s="560"/>
      <c r="J155" s="561" t="s">
        <v>455</v>
      </c>
      <c r="K155" s="164" t="s">
        <v>344</v>
      </c>
      <c r="L155" s="562"/>
      <c r="M155" s="92"/>
      <c r="N155" s="92"/>
      <c r="O155" s="92"/>
      <c r="P155" s="228"/>
      <c r="Q155" s="297"/>
      <c r="R155" s="1490">
        <v>0.95</v>
      </c>
      <c r="S155" s="930"/>
      <c r="T155" s="1490">
        <v>0</v>
      </c>
      <c r="U155" s="1424"/>
      <c r="V155" s="1487" t="s">
        <v>169</v>
      </c>
      <c r="W155" s="2076"/>
      <c r="X155" s="2557"/>
      <c r="Y155" s="2558"/>
      <c r="Z155" s="2559"/>
      <c r="AA155" s="2557">
        <f>China!AO154</f>
        <v>0</v>
      </c>
      <c r="AB155" s="2561" t="str">
        <f>China!AP154</f>
        <v>n/a</v>
      </c>
      <c r="AC155" s="2558">
        <f>China!AQ154</f>
        <v>0</v>
      </c>
      <c r="AD155" s="2561" t="str">
        <f>China!AR154</f>
        <v>n/a</v>
      </c>
      <c r="AE155" s="2556">
        <f>China!AS154</f>
        <v>0</v>
      </c>
      <c r="AF155" s="2557"/>
      <c r="AG155" s="2561"/>
      <c r="AH155" s="2558"/>
      <c r="AI155" s="2561"/>
      <c r="AJ155" s="2556"/>
      <c r="AK155" s="2557"/>
      <c r="AL155" s="2561"/>
      <c r="AM155" s="2558"/>
      <c r="AN155" s="2561"/>
      <c r="AO155" s="2556"/>
      <c r="AP155" s="2557">
        <f>Türkiye!AA154</f>
        <v>0</v>
      </c>
      <c r="AQ155" s="2561">
        <f>Türkiye!AB154</f>
        <v>0</v>
      </c>
      <c r="AR155" s="2558">
        <f>Türkiye!AC154</f>
        <v>0</v>
      </c>
      <c r="AS155" s="2561">
        <f>Türkiye!AD154</f>
        <v>0</v>
      </c>
      <c r="AT155" s="2556">
        <f>Türkiye!AE154</f>
        <v>0</v>
      </c>
      <c r="AU155" s="2468"/>
      <c r="AV155" s="276"/>
      <c r="AW155" s="99" t="s">
        <v>189</v>
      </c>
      <c r="AX155" s="547"/>
      <c r="AY155" s="547"/>
      <c r="AZ155" s="99"/>
      <c r="BA155" s="277" t="s">
        <v>418</v>
      </c>
      <c r="BB155" s="277" t="s">
        <v>419</v>
      </c>
      <c r="BC155" s="187"/>
      <c r="BD155" s="18"/>
    </row>
    <row r="156" spans="2:56" ht="20.100000000000001" customHeight="1">
      <c r="B156" s="1360" t="b">
        <f>OR(ISBLANK(R156),ISBLANK(T156),ISBLANK(V155))</f>
        <v>0</v>
      </c>
      <c r="C156" s="161" t="s">
        <v>456</v>
      </c>
      <c r="D156" s="161"/>
      <c r="E156" s="161"/>
      <c r="F156" s="492" t="s">
        <v>1792</v>
      </c>
      <c r="G156" s="198"/>
      <c r="H156" s="178" t="s">
        <v>458</v>
      </c>
      <c r="I156" s="564"/>
      <c r="J156" s="406"/>
      <c r="K156" s="162" t="s">
        <v>459</v>
      </c>
      <c r="L156" s="565">
        <v>2.6590548761004588E-2</v>
      </c>
      <c r="M156" s="566"/>
      <c r="N156" s="565">
        <v>1.3614241458903248E-2</v>
      </c>
      <c r="O156" s="567"/>
      <c r="P156" s="568"/>
      <c r="Q156" s="501"/>
      <c r="R156" s="1487">
        <v>2.6590548761004588E-2</v>
      </c>
      <c r="S156" s="1673" t="s">
        <v>699</v>
      </c>
      <c r="T156" s="1487">
        <v>1.3614241458903248E-2</v>
      </c>
      <c r="U156" s="1673" t="s">
        <v>700</v>
      </c>
      <c r="W156" s="2076"/>
      <c r="X156" s="2669"/>
      <c r="Y156" s="2670"/>
      <c r="Z156" s="2671"/>
      <c r="AA156" s="5376">
        <f>AA157/AA158</f>
        <v>206.70276207795806</v>
      </c>
      <c r="AB156" s="2561" t="e">
        <f t="shared" ref="AB156:AE156" si="48">AB157/AB158</f>
        <v>#VALUE!</v>
      </c>
      <c r="AC156" s="5377">
        <f t="shared" si="48"/>
        <v>150.78601462757095</v>
      </c>
      <c r="AD156" s="5351" t="e">
        <f t="shared" si="48"/>
        <v>#DIV/0!</v>
      </c>
      <c r="AE156" s="5378">
        <f t="shared" si="48"/>
        <v>174.47029858641284</v>
      </c>
      <c r="AF156" s="2669"/>
      <c r="AG156" s="2561"/>
      <c r="AH156" s="2670"/>
      <c r="AI156" s="2561"/>
      <c r="AJ156" s="2672"/>
      <c r="AK156" s="2669"/>
      <c r="AL156" s="2561"/>
      <c r="AM156" s="2670"/>
      <c r="AN156" s="2561"/>
      <c r="AO156" s="2672"/>
      <c r="AP156" s="5440">
        <f>AP157/AP158</f>
        <v>6.8936048995869538E-3</v>
      </c>
      <c r="AQ156" s="2561" t="e">
        <f t="shared" ref="AQ156:AT156" si="49">AQ157/AQ158</f>
        <v>#VALUE!</v>
      </c>
      <c r="AR156" s="5441">
        <f t="shared" si="49"/>
        <v>3.8243133619191099E-3</v>
      </c>
      <c r="AS156" s="5355" t="e">
        <f t="shared" si="49"/>
        <v>#DIV/0!</v>
      </c>
      <c r="AT156" s="5442">
        <f t="shared" si="49"/>
        <v>1.9741898944132044E-3</v>
      </c>
      <c r="AU156" s="2468" t="s">
        <v>460</v>
      </c>
      <c r="AV156" s="276" t="s">
        <v>461</v>
      </c>
      <c r="AW156" s="99" t="s">
        <v>189</v>
      </c>
      <c r="AX156" s="547"/>
      <c r="AY156" s="547"/>
      <c r="AZ156" s="99"/>
      <c r="BA156" s="277" t="s">
        <v>462</v>
      </c>
      <c r="BB156" s="265"/>
      <c r="BC156" s="187"/>
      <c r="BD156" s="18"/>
    </row>
    <row r="157" spans="2:56" ht="20.100000000000001" customHeight="1">
      <c r="B157" s="1360" t="b">
        <f t="shared" si="41"/>
        <v>1</v>
      </c>
      <c r="C157" s="161"/>
      <c r="D157" s="571" t="s">
        <v>412</v>
      </c>
      <c r="E157" s="161"/>
      <c r="F157" s="492" t="s">
        <v>344</v>
      </c>
      <c r="G157" s="198"/>
      <c r="H157" s="178"/>
      <c r="I157" s="557" t="s">
        <v>702</v>
      </c>
      <c r="J157" s="406"/>
      <c r="K157" s="162" t="s">
        <v>703</v>
      </c>
      <c r="M157" s="302"/>
      <c r="N157" s="302"/>
      <c r="O157" s="302"/>
      <c r="P157" s="302"/>
      <c r="Q157" s="501"/>
      <c r="R157" s="1490"/>
      <c r="S157" s="1425"/>
      <c r="T157" s="1490"/>
      <c r="U157" s="1425"/>
      <c r="V157" s="1490"/>
      <c r="W157" s="2076"/>
      <c r="X157" s="2673"/>
      <c r="Y157" s="2674"/>
      <c r="Z157" s="2675"/>
      <c r="AA157" s="2669">
        <f>AA149</f>
        <v>539711.13537453057</v>
      </c>
      <c r="AB157" s="2561" t="e">
        <f t="shared" ref="AB157:AE157" si="50">AB149</f>
        <v>#VALUE!</v>
      </c>
      <c r="AC157" s="2670">
        <f t="shared" si="50"/>
        <v>251596.97715395334</v>
      </c>
      <c r="AD157" s="2561">
        <f t="shared" si="50"/>
        <v>0</v>
      </c>
      <c r="AE157" s="2672">
        <f t="shared" si="50"/>
        <v>520678.84688403166</v>
      </c>
      <c r="AF157" s="2557"/>
      <c r="AG157" s="2561"/>
      <c r="AH157" s="2670"/>
      <c r="AI157" s="2561"/>
      <c r="AJ157" s="2672"/>
      <c r="AK157" s="2669"/>
      <c r="AL157" s="2561"/>
      <c r="AM157" s="2670"/>
      <c r="AN157" s="2561"/>
      <c r="AO157" s="2672"/>
      <c r="AP157" s="2669">
        <f>AP149</f>
        <v>242</v>
      </c>
      <c r="AQ157" s="2561"/>
      <c r="AR157" s="2670">
        <f t="shared" ref="AR157:AT157" si="51">AR149</f>
        <v>330</v>
      </c>
      <c r="AS157" s="2561">
        <f t="shared" si="51"/>
        <v>0</v>
      </c>
      <c r="AT157" s="2672">
        <f t="shared" si="51"/>
        <v>244</v>
      </c>
      <c r="AU157" s="2468"/>
      <c r="AW157" s="99" t="s">
        <v>189</v>
      </c>
      <c r="AX157" s="547"/>
      <c r="AY157" s="547"/>
      <c r="AZ157" s="99"/>
      <c r="BA157" s="277" t="s">
        <v>462</v>
      </c>
      <c r="BB157" s="277"/>
      <c r="BC157" s="187"/>
      <c r="BD157" s="18"/>
    </row>
    <row r="158" spans="2:56" ht="20.100000000000001" customHeight="1">
      <c r="B158" s="1360" t="b">
        <f t="shared" si="41"/>
        <v>1</v>
      </c>
      <c r="C158" s="161"/>
      <c r="D158" s="571" t="s">
        <v>232</v>
      </c>
      <c r="E158" s="161"/>
      <c r="F158" s="492" t="s">
        <v>233</v>
      </c>
      <c r="G158" s="198"/>
      <c r="H158" s="178"/>
      <c r="I158" s="557" t="s">
        <v>234</v>
      </c>
      <c r="J158" s="406"/>
      <c r="K158" s="162" t="s">
        <v>235</v>
      </c>
      <c r="L158" s="572"/>
      <c r="M158" s="302"/>
      <c r="N158" s="302"/>
      <c r="O158" s="302"/>
      <c r="P158" s="302"/>
      <c r="Q158" s="501"/>
      <c r="R158" s="1490"/>
      <c r="S158" s="1425"/>
      <c r="T158" s="1490"/>
      <c r="U158" s="1425"/>
      <c r="V158" s="1490"/>
      <c r="W158" s="2076"/>
      <c r="X158" s="2673"/>
      <c r="Y158" s="2674"/>
      <c r="Z158" s="2675"/>
      <c r="AA158" s="2669">
        <f>AA111</f>
        <v>2611.0494603404391</v>
      </c>
      <c r="AB158" s="2561">
        <f t="shared" ref="AB158:AE158" si="52">AB111</f>
        <v>0</v>
      </c>
      <c r="AC158" s="2670">
        <f t="shared" si="52"/>
        <v>1668.5697130160061</v>
      </c>
      <c r="AD158" s="2561">
        <f t="shared" si="52"/>
        <v>0</v>
      </c>
      <c r="AE158" s="2672">
        <f t="shared" si="52"/>
        <v>2984.3408941387597</v>
      </c>
      <c r="AF158" s="2557"/>
      <c r="AG158" s="2561"/>
      <c r="AH158" s="2670"/>
      <c r="AI158" s="2561"/>
      <c r="AJ158" s="2672"/>
      <c r="AK158" s="2669"/>
      <c r="AL158" s="2561"/>
      <c r="AM158" s="2670"/>
      <c r="AN158" s="2561"/>
      <c r="AO158" s="2672"/>
      <c r="AP158" s="2669">
        <f>Türkiye!AA157</f>
        <v>35105</v>
      </c>
      <c r="AQ158" s="2561" t="str">
        <f>Türkiye!AB157</f>
        <v>Calculated according to the annual average KRW/TRY exchange rate for the relevant year.</v>
      </c>
      <c r="AR158" s="2670">
        <f>Türkiye!AC157</f>
        <v>86290</v>
      </c>
      <c r="AS158" s="2561">
        <f>Türkiye!AD157</f>
        <v>0</v>
      </c>
      <c r="AT158" s="2672">
        <f>Türkiye!AE157</f>
        <v>123595</v>
      </c>
      <c r="AU158" s="2468"/>
      <c r="AV158" s="276"/>
      <c r="AW158" s="99" t="s">
        <v>189</v>
      </c>
      <c r="AX158" s="547"/>
      <c r="AY158" s="547"/>
      <c r="AZ158" s="99"/>
      <c r="BA158" s="277" t="s">
        <v>462</v>
      </c>
      <c r="BB158" s="277"/>
      <c r="BC158" s="187"/>
      <c r="BD158" s="18"/>
    </row>
    <row r="159" spans="2:56" ht="20.100000000000001" customHeight="1">
      <c r="B159" s="1360" t="b">
        <f t="shared" si="41"/>
        <v>1</v>
      </c>
      <c r="C159" s="161" t="s">
        <v>466</v>
      </c>
      <c r="D159" s="161"/>
      <c r="E159" s="161"/>
      <c r="F159" s="492" t="s">
        <v>344</v>
      </c>
      <c r="G159" s="386"/>
      <c r="H159" s="140" t="s">
        <v>467</v>
      </c>
      <c r="I159" s="482"/>
      <c r="J159" s="406"/>
      <c r="K159" s="164" t="s">
        <v>344</v>
      </c>
      <c r="L159" s="356">
        <v>0</v>
      </c>
      <c r="M159" s="95"/>
      <c r="N159" s="356">
        <v>0</v>
      </c>
      <c r="O159" s="92"/>
      <c r="P159" s="356">
        <v>0</v>
      </c>
      <c r="Q159" s="501"/>
      <c r="R159" s="1487">
        <v>0</v>
      </c>
      <c r="S159" s="1431"/>
      <c r="T159" s="1487">
        <v>0</v>
      </c>
      <c r="U159" s="481"/>
      <c r="V159" s="1487"/>
      <c r="W159" s="2076"/>
      <c r="X159" s="2557"/>
      <c r="Y159" s="2558"/>
      <c r="Z159" s="2559"/>
      <c r="AA159" s="2557"/>
      <c r="AB159" s="2561"/>
      <c r="AC159" s="2558"/>
      <c r="AD159" s="2561"/>
      <c r="AE159" s="2556"/>
      <c r="AF159" s="2557"/>
      <c r="AG159" s="2561"/>
      <c r="AH159" s="2558"/>
      <c r="AI159" s="2561"/>
      <c r="AJ159" s="2556"/>
      <c r="AK159" s="2557"/>
      <c r="AL159" s="2561"/>
      <c r="AM159" s="2558"/>
      <c r="AN159" s="2561"/>
      <c r="AO159" s="2556"/>
      <c r="AP159" s="2557"/>
      <c r="AQ159" s="2561"/>
      <c r="AR159" s="2558"/>
      <c r="AS159" s="2561"/>
      <c r="AT159" s="2556"/>
      <c r="AU159" s="2468" t="s">
        <v>468</v>
      </c>
      <c r="AV159" s="276" t="s">
        <v>469</v>
      </c>
      <c r="AW159" s="99" t="s">
        <v>189</v>
      </c>
      <c r="AX159" s="547"/>
      <c r="AY159" s="547"/>
      <c r="AZ159" s="299" t="s">
        <v>193</v>
      </c>
      <c r="BA159" s="277" t="s">
        <v>470</v>
      </c>
      <c r="BB159" s="277" t="s">
        <v>442</v>
      </c>
      <c r="BC159" s="187"/>
      <c r="BD159" s="18"/>
    </row>
    <row r="160" spans="2:56" ht="20.100000000000001" customHeight="1">
      <c r="B160" s="1360" t="b">
        <f t="shared" si="41"/>
        <v>1</v>
      </c>
      <c r="C160" s="1354"/>
      <c r="D160" s="306" t="s">
        <v>471</v>
      </c>
      <c r="E160" s="161"/>
      <c r="F160" s="492" t="s">
        <v>344</v>
      </c>
      <c r="G160" s="337"/>
      <c r="H160" s="287"/>
      <c r="I160" s="557" t="s">
        <v>472</v>
      </c>
      <c r="J160" s="177"/>
      <c r="K160" s="164" t="s">
        <v>344</v>
      </c>
      <c r="L160" s="92">
        <v>0</v>
      </c>
      <c r="M160" s="92"/>
      <c r="N160" s="92">
        <v>0</v>
      </c>
      <c r="O160" s="92"/>
      <c r="P160" s="308"/>
      <c r="Q160" s="501"/>
      <c r="R160" s="1490">
        <v>0</v>
      </c>
      <c r="S160" s="935"/>
      <c r="T160" s="1490">
        <v>0</v>
      </c>
      <c r="U160" s="935"/>
      <c r="V160" s="1490"/>
      <c r="W160" s="2076"/>
      <c r="X160" s="2557"/>
      <c r="Y160" s="2558"/>
      <c r="Z160" s="2559"/>
      <c r="AA160" s="2557"/>
      <c r="AB160" s="2561"/>
      <c r="AC160" s="2558"/>
      <c r="AD160" s="2561"/>
      <c r="AE160" s="2556"/>
      <c r="AF160" s="2557"/>
      <c r="AG160" s="2561"/>
      <c r="AH160" s="2558"/>
      <c r="AI160" s="2561"/>
      <c r="AJ160" s="2556"/>
      <c r="AK160" s="2557"/>
      <c r="AL160" s="2561"/>
      <c r="AM160" s="2558"/>
      <c r="AN160" s="2561"/>
      <c r="AO160" s="2556"/>
      <c r="AP160" s="2557"/>
      <c r="AQ160" s="2561"/>
      <c r="AR160" s="2558"/>
      <c r="AS160" s="2561"/>
      <c r="AT160" s="2556"/>
      <c r="AU160" s="2468"/>
      <c r="AV160" s="276"/>
      <c r="AW160" s="99" t="s">
        <v>189</v>
      </c>
      <c r="AX160" s="547"/>
      <c r="AY160" s="547"/>
      <c r="AZ160" s="299" t="s">
        <v>193</v>
      </c>
      <c r="BA160" s="277" t="s">
        <v>470</v>
      </c>
      <c r="BB160" s="277" t="s">
        <v>442</v>
      </c>
      <c r="BC160" s="187"/>
      <c r="BD160" s="18"/>
    </row>
    <row r="161" spans="2:56" ht="20.100000000000001" customHeight="1">
      <c r="B161" s="1360" t="b">
        <f t="shared" si="41"/>
        <v>1</v>
      </c>
      <c r="C161" s="1355"/>
      <c r="D161" s="306" t="s">
        <v>473</v>
      </c>
      <c r="E161" s="161"/>
      <c r="F161" s="492" t="s">
        <v>344</v>
      </c>
      <c r="G161" s="343"/>
      <c r="H161" s="296"/>
      <c r="I161" s="557" t="s">
        <v>474</v>
      </c>
      <c r="J161" s="177"/>
      <c r="K161" s="164" t="s">
        <v>344</v>
      </c>
      <c r="L161" s="92">
        <v>0</v>
      </c>
      <c r="M161" s="92"/>
      <c r="N161" s="92">
        <v>0</v>
      </c>
      <c r="O161" s="92"/>
      <c r="P161" s="308"/>
      <c r="Q161" s="501"/>
      <c r="R161" s="1490">
        <v>0</v>
      </c>
      <c r="S161" s="935"/>
      <c r="T161" s="1490">
        <v>0</v>
      </c>
      <c r="U161" s="935"/>
      <c r="V161" s="1490"/>
      <c r="W161" s="2076"/>
      <c r="X161" s="2557"/>
      <c r="Y161" s="2558"/>
      <c r="Z161" s="2559"/>
      <c r="AA161" s="2557"/>
      <c r="AB161" s="2561"/>
      <c r="AC161" s="2558"/>
      <c r="AD161" s="2561"/>
      <c r="AE161" s="2556"/>
      <c r="AF161" s="2557"/>
      <c r="AG161" s="2561"/>
      <c r="AH161" s="2558"/>
      <c r="AI161" s="2561"/>
      <c r="AJ161" s="2556"/>
      <c r="AK161" s="2557"/>
      <c r="AL161" s="2561"/>
      <c r="AM161" s="2558"/>
      <c r="AN161" s="2561"/>
      <c r="AO161" s="2556"/>
      <c r="AP161" s="2557"/>
      <c r="AQ161" s="2561"/>
      <c r="AR161" s="2558"/>
      <c r="AS161" s="2561"/>
      <c r="AT161" s="2556"/>
      <c r="AU161" s="2468"/>
      <c r="AV161" s="276"/>
      <c r="AW161" s="99" t="s">
        <v>189</v>
      </c>
      <c r="AX161" s="547"/>
      <c r="AY161" s="547"/>
      <c r="AZ161" s="299" t="s">
        <v>193</v>
      </c>
      <c r="BA161" s="277" t="s">
        <v>475</v>
      </c>
      <c r="BB161" s="277" t="s">
        <v>442</v>
      </c>
      <c r="BC161" s="187"/>
      <c r="BD161" s="18"/>
    </row>
    <row r="162" spans="2:56" ht="20.100000000000001" customHeight="1">
      <c r="B162" s="1360" t="b">
        <f t="shared" si="41"/>
        <v>0</v>
      </c>
      <c r="C162" s="161" t="s">
        <v>476</v>
      </c>
      <c r="D162" s="161"/>
      <c r="E162" s="161"/>
      <c r="F162" s="492" t="s">
        <v>344</v>
      </c>
      <c r="G162" s="386"/>
      <c r="H162" s="140" t="s">
        <v>477</v>
      </c>
      <c r="I162" s="482"/>
      <c r="J162" s="177"/>
      <c r="K162" s="164" t="s">
        <v>344</v>
      </c>
      <c r="L162" s="356">
        <f>L163+L164</f>
        <v>0</v>
      </c>
      <c r="M162" s="95"/>
      <c r="N162" s="356">
        <f>N163+N164</f>
        <v>0</v>
      </c>
      <c r="O162" s="92"/>
      <c r="P162" s="356">
        <f>P163+P164</f>
        <v>0</v>
      </c>
      <c r="Q162" s="501"/>
      <c r="R162" s="1487">
        <f>R163+R164</f>
        <v>0</v>
      </c>
      <c r="S162" s="1431"/>
      <c r="T162" s="1487">
        <f>T163+T164</f>
        <v>0</v>
      </c>
      <c r="U162" s="1431"/>
      <c r="V162" s="1487">
        <f>V163+V164</f>
        <v>0</v>
      </c>
      <c r="W162" s="2076"/>
      <c r="X162" s="2562"/>
      <c r="Y162" s="2564"/>
      <c r="Z162" s="2565"/>
      <c r="AA162" s="2562"/>
      <c r="AB162" s="2561"/>
      <c r="AC162" s="2564"/>
      <c r="AD162" s="2561"/>
      <c r="AE162" s="2566"/>
      <c r="AF162" s="2562"/>
      <c r="AG162" s="2561"/>
      <c r="AH162" s="2564"/>
      <c r="AI162" s="2561"/>
      <c r="AJ162" s="2566"/>
      <c r="AK162" s="2562"/>
      <c r="AL162" s="2561"/>
      <c r="AM162" s="2564"/>
      <c r="AN162" s="2561"/>
      <c r="AO162" s="2566"/>
      <c r="AP162" s="2562"/>
      <c r="AQ162" s="2561"/>
      <c r="AR162" s="2564"/>
      <c r="AS162" s="2561"/>
      <c r="AT162" s="2566"/>
      <c r="AU162" s="2468" t="s">
        <v>478</v>
      </c>
      <c r="AV162" s="276" t="s">
        <v>479</v>
      </c>
      <c r="AW162" s="99" t="s">
        <v>189</v>
      </c>
      <c r="AX162" s="547"/>
      <c r="AY162" s="547"/>
      <c r="AZ162" s="299" t="s">
        <v>193</v>
      </c>
      <c r="BA162" s="277" t="s">
        <v>480</v>
      </c>
      <c r="BB162" s="277"/>
      <c r="BC162" s="187"/>
      <c r="BD162" s="18"/>
    </row>
    <row r="163" spans="2:56" ht="20.100000000000001" customHeight="1">
      <c r="B163" s="1360" t="b">
        <f t="shared" si="41"/>
        <v>1</v>
      </c>
      <c r="C163" s="1363"/>
      <c r="D163" s="573" t="s">
        <v>481</v>
      </c>
      <c r="E163" s="573"/>
      <c r="F163" s="492" t="s">
        <v>344</v>
      </c>
      <c r="G163" s="574"/>
      <c r="H163" s="575"/>
      <c r="I163" s="536" t="s">
        <v>482</v>
      </c>
      <c r="J163" s="576"/>
      <c r="K163" s="164" t="s">
        <v>344</v>
      </c>
      <c r="L163" s="308"/>
      <c r="M163" s="92" t="s">
        <v>369</v>
      </c>
      <c r="N163" s="562"/>
      <c r="O163" s="92" t="s">
        <v>369</v>
      </c>
      <c r="P163" s="308"/>
      <c r="Q163" s="501"/>
      <c r="R163" s="1490"/>
      <c r="S163" s="935" t="s">
        <v>369</v>
      </c>
      <c r="T163" s="1490"/>
      <c r="U163" s="935" t="s">
        <v>369</v>
      </c>
      <c r="V163" s="1490"/>
      <c r="W163" s="5543" t="s">
        <v>209</v>
      </c>
      <c r="X163" s="2557"/>
      <c r="Y163" s="2558"/>
      <c r="Z163" s="2559"/>
      <c r="AA163" s="2557"/>
      <c r="AB163" s="2561"/>
      <c r="AC163" s="2558"/>
      <c r="AD163" s="2561"/>
      <c r="AE163" s="2556"/>
      <c r="AF163" s="2557"/>
      <c r="AG163" s="2561"/>
      <c r="AH163" s="2558"/>
      <c r="AI163" s="2561"/>
      <c r="AJ163" s="2556"/>
      <c r="AK163" s="2557"/>
      <c r="AL163" s="2561"/>
      <c r="AM163" s="2558"/>
      <c r="AN163" s="2561"/>
      <c r="AO163" s="2556"/>
      <c r="AP163" s="2557"/>
      <c r="AQ163" s="2561"/>
      <c r="AR163" s="2558"/>
      <c r="AS163" s="2561"/>
      <c r="AT163" s="2556"/>
      <c r="AU163" s="2468"/>
      <c r="AV163" s="276"/>
      <c r="AW163" s="99" t="s">
        <v>189</v>
      </c>
      <c r="AX163" s="547"/>
      <c r="AY163" s="547"/>
      <c r="AZ163" s="299" t="s">
        <v>193</v>
      </c>
      <c r="BA163" s="277" t="s">
        <v>480</v>
      </c>
      <c r="BB163" s="277"/>
      <c r="BC163" s="187"/>
      <c r="BD163" s="18"/>
    </row>
    <row r="164" spans="2:56" ht="20.100000000000001" customHeight="1">
      <c r="B164" s="1360" t="b">
        <f t="shared" si="41"/>
        <v>1</v>
      </c>
      <c r="C164" s="1365"/>
      <c r="D164" s="573" t="s">
        <v>483</v>
      </c>
      <c r="E164" s="573"/>
      <c r="F164" s="492" t="s">
        <v>344</v>
      </c>
      <c r="G164" s="577"/>
      <c r="H164" s="578"/>
      <c r="I164" s="536" t="s">
        <v>484</v>
      </c>
      <c r="J164" s="576"/>
      <c r="K164" s="164" t="s">
        <v>344</v>
      </c>
      <c r="L164" s="308"/>
      <c r="M164" s="92" t="s">
        <v>369</v>
      </c>
      <c r="N164" s="562"/>
      <c r="O164" s="92" t="s">
        <v>369</v>
      </c>
      <c r="P164" s="308"/>
      <c r="Q164" s="501"/>
      <c r="R164" s="1490"/>
      <c r="S164" s="935" t="s">
        <v>369</v>
      </c>
      <c r="T164" s="1490"/>
      <c r="U164" s="935" t="s">
        <v>369</v>
      </c>
      <c r="V164" s="1490"/>
      <c r="W164" s="5543" t="s">
        <v>209</v>
      </c>
      <c r="X164" s="2557"/>
      <c r="Y164" s="2558"/>
      <c r="Z164" s="2559"/>
      <c r="AA164" s="2557"/>
      <c r="AB164" s="2561"/>
      <c r="AC164" s="2558"/>
      <c r="AD164" s="2561"/>
      <c r="AE164" s="2556"/>
      <c r="AF164" s="2557"/>
      <c r="AG164" s="2561"/>
      <c r="AH164" s="2558"/>
      <c r="AI164" s="2561"/>
      <c r="AJ164" s="2556"/>
      <c r="AK164" s="2557"/>
      <c r="AL164" s="2561"/>
      <c r="AM164" s="2558"/>
      <c r="AN164" s="2561"/>
      <c r="AO164" s="2556"/>
      <c r="AP164" s="2557"/>
      <c r="AQ164" s="2561"/>
      <c r="AR164" s="2558"/>
      <c r="AS164" s="2561"/>
      <c r="AT164" s="2556"/>
      <c r="AU164" s="2468"/>
      <c r="AV164" s="276"/>
      <c r="AW164" s="99" t="s">
        <v>189</v>
      </c>
      <c r="AX164" s="547"/>
      <c r="AY164" s="547"/>
      <c r="AZ164" s="299" t="s">
        <v>193</v>
      </c>
      <c r="BA164" s="277" t="s">
        <v>480</v>
      </c>
      <c r="BB164" s="277"/>
      <c r="BC164" s="187"/>
      <c r="BD164" s="18"/>
    </row>
    <row r="165" spans="2:56" ht="20.100000000000001" customHeight="1">
      <c r="B165" s="1360" t="b">
        <f t="shared" si="41"/>
        <v>0</v>
      </c>
      <c r="C165" s="104" t="s">
        <v>485</v>
      </c>
      <c r="D165" s="104"/>
      <c r="E165" s="104"/>
      <c r="F165" s="492" t="s">
        <v>344</v>
      </c>
      <c r="G165" s="345"/>
      <c r="H165" s="143" t="s">
        <v>486</v>
      </c>
      <c r="I165" s="107"/>
      <c r="J165" s="576"/>
      <c r="K165" s="164" t="s">
        <v>344</v>
      </c>
      <c r="L165" s="579">
        <f>L166+L167</f>
        <v>0.95</v>
      </c>
      <c r="M165" s="580"/>
      <c r="N165" s="579">
        <f>N166+N167</f>
        <v>7712.27</v>
      </c>
      <c r="O165" s="581"/>
      <c r="P165" s="579">
        <f>P166+P167</f>
        <v>0</v>
      </c>
      <c r="Q165" s="501"/>
      <c r="R165" s="1487">
        <f>R166+R167</f>
        <v>0.95</v>
      </c>
      <c r="S165" s="1672"/>
      <c r="T165" s="1487">
        <f>T166+T167</f>
        <v>0</v>
      </c>
      <c r="U165" s="1672"/>
      <c r="V165" s="1487">
        <f>V166+V167</f>
        <v>0</v>
      </c>
      <c r="W165" s="2076"/>
      <c r="X165" s="2562"/>
      <c r="Y165" s="2564"/>
      <c r="Z165" s="2565"/>
      <c r="AA165" s="2562"/>
      <c r="AB165" s="2561"/>
      <c r="AC165" s="2564"/>
      <c r="AD165" s="2561"/>
      <c r="AE165" s="2566"/>
      <c r="AF165" s="2562"/>
      <c r="AG165" s="2561"/>
      <c r="AH165" s="2564"/>
      <c r="AI165" s="2561"/>
      <c r="AJ165" s="2566"/>
      <c r="AK165" s="2562"/>
      <c r="AL165" s="2561"/>
      <c r="AM165" s="2564"/>
      <c r="AN165" s="2561"/>
      <c r="AO165" s="2566"/>
      <c r="AP165" s="2562"/>
      <c r="AQ165" s="2561"/>
      <c r="AR165" s="2564"/>
      <c r="AS165" s="2561"/>
      <c r="AT165" s="2566"/>
      <c r="AU165" s="2468" t="s">
        <v>487</v>
      </c>
      <c r="AV165" s="276" t="s">
        <v>488</v>
      </c>
      <c r="AW165" s="99" t="s">
        <v>189</v>
      </c>
      <c r="AX165" s="547"/>
      <c r="AY165" s="547"/>
      <c r="AZ165" s="299" t="s">
        <v>193</v>
      </c>
      <c r="BA165" s="277" t="s">
        <v>489</v>
      </c>
      <c r="BB165" s="277" t="s">
        <v>442</v>
      </c>
      <c r="BC165" s="187"/>
      <c r="BD165" s="18"/>
    </row>
    <row r="166" spans="2:56" ht="20.100000000000001" customHeight="1">
      <c r="B166" s="1360" t="b">
        <f t="shared" si="41"/>
        <v>1</v>
      </c>
      <c r="C166" s="1363"/>
      <c r="D166" s="357" t="s">
        <v>497</v>
      </c>
      <c r="E166" s="104"/>
      <c r="F166" s="492" t="s">
        <v>344</v>
      </c>
      <c r="G166" s="574"/>
      <c r="H166" s="575"/>
      <c r="I166" s="536" t="s">
        <v>498</v>
      </c>
      <c r="J166" s="576"/>
      <c r="K166" s="164" t="s">
        <v>344</v>
      </c>
      <c r="L166" s="92">
        <v>0</v>
      </c>
      <c r="M166" s="92"/>
      <c r="N166" s="92">
        <v>7712.27</v>
      </c>
      <c r="O166" s="92"/>
      <c r="P166" s="308"/>
      <c r="Q166" s="501"/>
      <c r="R166" s="1488"/>
      <c r="S166" s="935"/>
      <c r="T166" s="1490">
        <v>0</v>
      </c>
      <c r="U166" s="935"/>
      <c r="V166" s="1490"/>
      <c r="W166" s="2076"/>
      <c r="X166" s="2557"/>
      <c r="Y166" s="2558"/>
      <c r="Z166" s="2559"/>
      <c r="AA166" s="2557"/>
      <c r="AB166" s="2561"/>
      <c r="AC166" s="2558"/>
      <c r="AD166" s="2561"/>
      <c r="AE166" s="2556"/>
      <c r="AF166" s="2557"/>
      <c r="AG166" s="2561"/>
      <c r="AH166" s="2558"/>
      <c r="AI166" s="2561"/>
      <c r="AJ166" s="2556"/>
      <c r="AK166" s="2557"/>
      <c r="AL166" s="2561"/>
      <c r="AM166" s="2558"/>
      <c r="AN166" s="2561"/>
      <c r="AO166" s="2556"/>
      <c r="AP166" s="2557"/>
      <c r="AQ166" s="2561"/>
      <c r="AR166" s="2558"/>
      <c r="AS166" s="2561"/>
      <c r="AT166" s="2556"/>
      <c r="AU166" s="2468"/>
      <c r="AV166" s="276"/>
      <c r="AW166" s="99" t="s">
        <v>189</v>
      </c>
      <c r="AX166" s="547"/>
      <c r="AY166" s="547"/>
      <c r="AZ166" s="299" t="s">
        <v>193</v>
      </c>
      <c r="BA166" s="277" t="s">
        <v>499</v>
      </c>
      <c r="BB166" s="277" t="s">
        <v>442</v>
      </c>
      <c r="BC166" s="187"/>
      <c r="BD166" s="18"/>
    </row>
    <row r="167" spans="2:56" ht="20.100000000000001" customHeight="1">
      <c r="B167" s="1360" t="b">
        <f t="shared" si="41"/>
        <v>1</v>
      </c>
      <c r="C167" s="1365"/>
      <c r="D167" s="357" t="s">
        <v>507</v>
      </c>
      <c r="E167" s="104"/>
      <c r="F167" s="492" t="s">
        <v>344</v>
      </c>
      <c r="G167" s="577"/>
      <c r="H167" s="578"/>
      <c r="I167" s="536" t="s">
        <v>508</v>
      </c>
      <c r="J167" s="576"/>
      <c r="K167" s="164" t="s">
        <v>344</v>
      </c>
      <c r="L167" s="563">
        <v>0.95</v>
      </c>
      <c r="M167" s="563"/>
      <c r="N167" s="92">
        <v>0</v>
      </c>
      <c r="O167" s="92"/>
      <c r="P167" s="308"/>
      <c r="Q167" s="501"/>
      <c r="R167" s="1490">
        <v>0.95</v>
      </c>
      <c r="S167" s="935"/>
      <c r="T167" s="1490">
        <v>0</v>
      </c>
      <c r="U167" s="935"/>
      <c r="V167" s="1490"/>
      <c r="W167" s="2076"/>
      <c r="X167" s="2557"/>
      <c r="Y167" s="2558"/>
      <c r="Z167" s="2559"/>
      <c r="AA167" s="2557"/>
      <c r="AB167" s="2561"/>
      <c r="AC167" s="2558"/>
      <c r="AD167" s="2561"/>
      <c r="AE167" s="2556"/>
      <c r="AF167" s="2557"/>
      <c r="AG167" s="2561"/>
      <c r="AH167" s="2558"/>
      <c r="AI167" s="2561"/>
      <c r="AJ167" s="2556"/>
      <c r="AK167" s="2557"/>
      <c r="AL167" s="2561"/>
      <c r="AM167" s="2558"/>
      <c r="AN167" s="2561"/>
      <c r="AO167" s="2556"/>
      <c r="AP167" s="2557"/>
      <c r="AQ167" s="2561"/>
      <c r="AR167" s="2558"/>
      <c r="AS167" s="2561"/>
      <c r="AT167" s="2556"/>
      <c r="AU167" s="2468"/>
      <c r="AV167" s="276"/>
      <c r="AW167" s="99" t="s">
        <v>189</v>
      </c>
      <c r="AX167" s="547"/>
      <c r="AY167" s="547"/>
      <c r="AZ167" s="299" t="s">
        <v>193</v>
      </c>
      <c r="BA167" s="277" t="s">
        <v>499</v>
      </c>
      <c r="BB167" s="277" t="s">
        <v>442</v>
      </c>
      <c r="BC167" s="187"/>
      <c r="BD167" s="18"/>
    </row>
    <row r="168" spans="2:56" ht="20.100000000000001" customHeight="1">
      <c r="B168" s="1360" t="b">
        <f t="shared" si="41"/>
        <v>1</v>
      </c>
      <c r="C168" s="104" t="s">
        <v>516</v>
      </c>
      <c r="D168" s="104"/>
      <c r="E168" s="104"/>
      <c r="F168" s="492" t="s">
        <v>344</v>
      </c>
      <c r="G168" s="345"/>
      <c r="H168" s="143" t="s">
        <v>517</v>
      </c>
      <c r="I168" s="107"/>
      <c r="J168" s="537"/>
      <c r="K168" s="164" t="s">
        <v>344</v>
      </c>
      <c r="L168" s="562"/>
      <c r="M168" s="92"/>
      <c r="N168" s="562"/>
      <c r="O168" s="92"/>
      <c r="P168" s="308"/>
      <c r="Q168" s="297"/>
      <c r="R168" s="1490">
        <v>8.1</v>
      </c>
      <c r="S168" s="930" t="s">
        <v>691</v>
      </c>
      <c r="T168" s="1490">
        <v>11.2</v>
      </c>
      <c r="U168" s="930" t="s">
        <v>705</v>
      </c>
      <c r="V168" s="1490"/>
      <c r="W168" s="2076"/>
      <c r="X168" s="2557"/>
      <c r="Y168" s="2558"/>
      <c r="Z168" s="2559"/>
      <c r="AA168" s="2557">
        <f>China!AO167</f>
        <v>2976.7058823529414</v>
      </c>
      <c r="AB168" s="2561" t="str">
        <f>China!AP167</f>
        <v>폐점 및 면적반납</v>
      </c>
      <c r="AC168" s="2558">
        <f>China!AQ167</f>
        <v>3928.2352941176473</v>
      </c>
      <c r="AD168" s="2561" t="str">
        <f>China!AR167</f>
        <v>폐점 및 면적반납</v>
      </c>
      <c r="AE168" s="2556">
        <f>China!AS167</f>
        <v>21810.352941176472</v>
      </c>
      <c r="AF168" s="2557"/>
      <c r="AG168" s="2561"/>
      <c r="AH168" s="2558"/>
      <c r="AI168" s="2561"/>
      <c r="AJ168" s="2556"/>
      <c r="AK168" s="2557"/>
      <c r="AL168" s="2561"/>
      <c r="AM168" s="2558"/>
      <c r="AN168" s="2561"/>
      <c r="AO168" s="2556"/>
      <c r="AP168" s="2557">
        <f>Türkiye!AA167</f>
        <v>0</v>
      </c>
      <c r="AQ168" s="2561">
        <f>Türkiye!AB167</f>
        <v>0</v>
      </c>
      <c r="AR168" s="2558">
        <f>Türkiye!AC167</f>
        <v>0</v>
      </c>
      <c r="AS168" s="2561">
        <f>Türkiye!AD167</f>
        <v>0</v>
      </c>
      <c r="AT168" s="2556">
        <f>Türkiye!AE167</f>
        <v>0</v>
      </c>
      <c r="AU168" s="2468" t="s">
        <v>439</v>
      </c>
      <c r="AV168" s="276" t="s">
        <v>440</v>
      </c>
      <c r="AW168" s="99" t="s">
        <v>189</v>
      </c>
      <c r="AX168" s="547"/>
      <c r="AY168" s="547"/>
      <c r="AZ168" s="582"/>
      <c r="BA168" s="277" t="s">
        <v>518</v>
      </c>
      <c r="BB168" s="265" t="s">
        <v>519</v>
      </c>
      <c r="BC168" s="187"/>
      <c r="BD168" s="18"/>
    </row>
    <row r="169" spans="2:56" ht="20.100000000000001" customHeight="1">
      <c r="B169" s="1360" t="b">
        <f t="shared" si="41"/>
        <v>1</v>
      </c>
      <c r="C169" s="161" t="s">
        <v>522</v>
      </c>
      <c r="D169" s="161"/>
      <c r="E169" s="161"/>
      <c r="F169" s="492" t="s">
        <v>344</v>
      </c>
      <c r="G169" s="386"/>
      <c r="H169" s="140" t="s">
        <v>523</v>
      </c>
      <c r="I169" s="482"/>
      <c r="J169" s="406"/>
      <c r="K169" s="164" t="s">
        <v>344</v>
      </c>
      <c r="L169" s="562"/>
      <c r="M169" s="92" t="s">
        <v>209</v>
      </c>
      <c r="N169" s="562"/>
      <c r="O169" s="92" t="s">
        <v>209</v>
      </c>
      <c r="P169" s="308"/>
      <c r="Q169" s="297"/>
      <c r="R169" s="1490"/>
      <c r="S169" s="935" t="s">
        <v>209</v>
      </c>
      <c r="T169" s="1490"/>
      <c r="U169" s="935" t="s">
        <v>209</v>
      </c>
      <c r="V169" s="1490"/>
      <c r="W169" s="935" t="s">
        <v>209</v>
      </c>
      <c r="X169" s="2557"/>
      <c r="Y169" s="2558"/>
      <c r="Z169" s="2559"/>
      <c r="AA169" s="2557"/>
      <c r="AB169" s="2561"/>
      <c r="AC169" s="2558"/>
      <c r="AD169" s="2561"/>
      <c r="AE169" s="2556"/>
      <c r="AF169" s="2557"/>
      <c r="AG169" s="2561"/>
      <c r="AH169" s="2558"/>
      <c r="AI169" s="2561"/>
      <c r="AJ169" s="2556"/>
      <c r="AK169" s="2557"/>
      <c r="AL169" s="2561"/>
      <c r="AM169" s="2558"/>
      <c r="AN169" s="2561"/>
      <c r="AO169" s="2556"/>
      <c r="AP169" s="2557"/>
      <c r="AQ169" s="2561"/>
      <c r="AR169" s="2558"/>
      <c r="AS169" s="2561"/>
      <c r="AT169" s="2556"/>
      <c r="AU169" s="2468"/>
      <c r="AV169" s="544"/>
      <c r="AW169" s="99" t="s">
        <v>189</v>
      </c>
      <c r="AX169" s="547"/>
      <c r="AY169" s="547"/>
      <c r="AZ169" s="299" t="s">
        <v>193</v>
      </c>
      <c r="BA169" s="277" t="s">
        <v>524</v>
      </c>
      <c r="BB169" s="265"/>
      <c r="BC169" s="187"/>
      <c r="BD169" s="11"/>
    </row>
    <row r="170" spans="2:56" ht="20.100000000000001" customHeight="1">
      <c r="B170" s="1360" t="b">
        <f t="shared" si="41"/>
        <v>1</v>
      </c>
      <c r="C170" s="1354"/>
      <c r="D170" s="490" t="s">
        <v>708</v>
      </c>
      <c r="E170" s="583"/>
      <c r="F170" s="492" t="s">
        <v>344</v>
      </c>
      <c r="G170" s="347"/>
      <c r="H170" s="348" t="s">
        <v>527</v>
      </c>
      <c r="I170" s="493" t="s">
        <v>528</v>
      </c>
      <c r="J170" s="498"/>
      <c r="K170" s="164" t="s">
        <v>344</v>
      </c>
      <c r="L170" s="562"/>
      <c r="M170" s="92" t="s">
        <v>209</v>
      </c>
      <c r="N170" s="562"/>
      <c r="O170" s="92" t="s">
        <v>209</v>
      </c>
      <c r="P170" s="308"/>
      <c r="Q170" s="297"/>
      <c r="R170" s="1490"/>
      <c r="S170" s="935" t="s">
        <v>209</v>
      </c>
      <c r="T170" s="1490"/>
      <c r="U170" s="935" t="s">
        <v>209</v>
      </c>
      <c r="V170" s="1490"/>
      <c r="W170" s="935" t="s">
        <v>209</v>
      </c>
      <c r="X170" s="2557"/>
      <c r="Y170" s="2558"/>
      <c r="Z170" s="2559"/>
      <c r="AA170" s="2557"/>
      <c r="AB170" s="2561"/>
      <c r="AC170" s="2558"/>
      <c r="AD170" s="2561"/>
      <c r="AE170" s="2556"/>
      <c r="AF170" s="2557"/>
      <c r="AG170" s="2561"/>
      <c r="AH170" s="2558"/>
      <c r="AI170" s="2561"/>
      <c r="AJ170" s="2556"/>
      <c r="AK170" s="2557"/>
      <c r="AL170" s="2561"/>
      <c r="AM170" s="2558"/>
      <c r="AN170" s="2561"/>
      <c r="AO170" s="2556"/>
      <c r="AP170" s="2557"/>
      <c r="AQ170" s="2561"/>
      <c r="AR170" s="2558"/>
      <c r="AS170" s="2561"/>
      <c r="AT170" s="2556"/>
      <c r="AU170" s="2468"/>
      <c r="AV170" s="544"/>
      <c r="AW170" s="545" t="s">
        <v>189</v>
      </c>
      <c r="AX170" s="547"/>
      <c r="AY170" s="547"/>
      <c r="AZ170" s="299" t="s">
        <v>193</v>
      </c>
      <c r="BA170" s="277" t="s">
        <v>524</v>
      </c>
      <c r="BB170" s="265"/>
      <c r="BC170" s="187"/>
      <c r="BD170" s="11"/>
    </row>
    <row r="171" spans="2:56" ht="20.100000000000001" customHeight="1">
      <c r="B171" s="1360" t="b">
        <f t="shared" si="41"/>
        <v>1</v>
      </c>
      <c r="C171" s="1367"/>
      <c r="D171" s="490" t="s">
        <v>709</v>
      </c>
      <c r="E171" s="583"/>
      <c r="F171" s="492" t="s">
        <v>344</v>
      </c>
      <c r="G171" s="106"/>
      <c r="H171" s="353"/>
      <c r="I171" s="493" t="s">
        <v>530</v>
      </c>
      <c r="J171" s="498"/>
      <c r="K171" s="164" t="s">
        <v>344</v>
      </c>
      <c r="L171" s="562"/>
      <c r="M171" s="92" t="s">
        <v>209</v>
      </c>
      <c r="N171" s="562"/>
      <c r="O171" s="92" t="s">
        <v>209</v>
      </c>
      <c r="P171" s="308"/>
      <c r="Q171" s="297"/>
      <c r="R171" s="1490"/>
      <c r="S171" s="935" t="s">
        <v>209</v>
      </c>
      <c r="T171" s="1490"/>
      <c r="U171" s="935" t="s">
        <v>209</v>
      </c>
      <c r="V171" s="1490"/>
      <c r="W171" s="935" t="s">
        <v>209</v>
      </c>
      <c r="X171" s="2557"/>
      <c r="Y171" s="2558"/>
      <c r="Z171" s="2559"/>
      <c r="AA171" s="2557"/>
      <c r="AB171" s="2561"/>
      <c r="AC171" s="2558"/>
      <c r="AD171" s="2561"/>
      <c r="AE171" s="2556"/>
      <c r="AF171" s="2557"/>
      <c r="AG171" s="2561"/>
      <c r="AH171" s="2558"/>
      <c r="AI171" s="2561"/>
      <c r="AJ171" s="2556"/>
      <c r="AK171" s="2557"/>
      <c r="AL171" s="2561"/>
      <c r="AM171" s="2558"/>
      <c r="AN171" s="2561"/>
      <c r="AO171" s="2556"/>
      <c r="AP171" s="2557"/>
      <c r="AQ171" s="2561"/>
      <c r="AR171" s="2558"/>
      <c r="AS171" s="2561"/>
      <c r="AT171" s="2556"/>
      <c r="AU171" s="2468"/>
      <c r="AV171" s="544"/>
      <c r="AW171" s="545" t="s">
        <v>189</v>
      </c>
      <c r="AX171" s="547"/>
      <c r="AY171" s="547"/>
      <c r="AZ171" s="299" t="s">
        <v>193</v>
      </c>
      <c r="BA171" s="277" t="s">
        <v>524</v>
      </c>
      <c r="BB171" s="265"/>
      <c r="BC171" s="187"/>
      <c r="BD171" s="11"/>
    </row>
    <row r="172" spans="2:56" ht="20.100000000000001" customHeight="1">
      <c r="B172" s="1360" t="b">
        <f t="shared" si="41"/>
        <v>1</v>
      </c>
      <c r="C172" s="1367"/>
      <c r="D172" s="490" t="s">
        <v>710</v>
      </c>
      <c r="E172" s="583"/>
      <c r="F172" s="492" t="s">
        <v>344</v>
      </c>
      <c r="G172" s="106"/>
      <c r="H172" s="353"/>
      <c r="I172" s="493" t="s">
        <v>532</v>
      </c>
      <c r="J172" s="498"/>
      <c r="K172" s="164" t="s">
        <v>344</v>
      </c>
      <c r="L172" s="562"/>
      <c r="M172" s="92" t="s">
        <v>209</v>
      </c>
      <c r="N172" s="562"/>
      <c r="O172" s="92" t="s">
        <v>209</v>
      </c>
      <c r="P172" s="308"/>
      <c r="Q172" s="297"/>
      <c r="R172" s="1490"/>
      <c r="S172" s="935" t="s">
        <v>209</v>
      </c>
      <c r="T172" s="1490"/>
      <c r="U172" s="935" t="s">
        <v>209</v>
      </c>
      <c r="V172" s="1490"/>
      <c r="W172" s="935" t="s">
        <v>209</v>
      </c>
      <c r="X172" s="2557"/>
      <c r="Y172" s="2558"/>
      <c r="Z172" s="2559"/>
      <c r="AA172" s="2557"/>
      <c r="AB172" s="2561"/>
      <c r="AC172" s="2558"/>
      <c r="AD172" s="2561"/>
      <c r="AE172" s="2556"/>
      <c r="AF172" s="2557"/>
      <c r="AG172" s="2561"/>
      <c r="AH172" s="2558"/>
      <c r="AI172" s="2561"/>
      <c r="AJ172" s="2556"/>
      <c r="AK172" s="2557"/>
      <c r="AL172" s="2561"/>
      <c r="AM172" s="2558"/>
      <c r="AN172" s="2561"/>
      <c r="AO172" s="2556"/>
      <c r="AP172" s="2557"/>
      <c r="AQ172" s="2561"/>
      <c r="AR172" s="2558"/>
      <c r="AS172" s="2561"/>
      <c r="AT172" s="2556"/>
      <c r="AU172" s="2468"/>
      <c r="AV172" s="544"/>
      <c r="AW172" s="545" t="s">
        <v>189</v>
      </c>
      <c r="AX172" s="547"/>
      <c r="AY172" s="547"/>
      <c r="AZ172" s="299" t="s">
        <v>193</v>
      </c>
      <c r="BA172" s="277" t="s">
        <v>524</v>
      </c>
      <c r="BB172" s="265"/>
      <c r="BC172" s="187"/>
      <c r="BD172" s="11"/>
    </row>
    <row r="173" spans="2:56" ht="20.100000000000001" customHeight="1">
      <c r="B173" s="1360" t="b">
        <f t="shared" si="41"/>
        <v>1</v>
      </c>
      <c r="C173" s="1367"/>
      <c r="D173" s="490" t="s">
        <v>711</v>
      </c>
      <c r="E173" s="583"/>
      <c r="F173" s="492" t="s">
        <v>344</v>
      </c>
      <c r="G173" s="106"/>
      <c r="H173" s="353"/>
      <c r="I173" s="493" t="s">
        <v>534</v>
      </c>
      <c r="J173" s="498"/>
      <c r="K173" s="164" t="s">
        <v>344</v>
      </c>
      <c r="L173" s="562"/>
      <c r="M173" s="92" t="s">
        <v>209</v>
      </c>
      <c r="N173" s="562"/>
      <c r="O173" s="92" t="s">
        <v>209</v>
      </c>
      <c r="P173" s="308"/>
      <c r="Q173" s="297"/>
      <c r="R173" s="1490"/>
      <c r="S173" s="935" t="s">
        <v>209</v>
      </c>
      <c r="T173" s="1490"/>
      <c r="U173" s="935" t="s">
        <v>209</v>
      </c>
      <c r="V173" s="1490"/>
      <c r="W173" s="935" t="s">
        <v>209</v>
      </c>
      <c r="X173" s="2557"/>
      <c r="Y173" s="2558"/>
      <c r="Z173" s="2559"/>
      <c r="AA173" s="2557"/>
      <c r="AB173" s="2561"/>
      <c r="AC173" s="2558"/>
      <c r="AD173" s="2561"/>
      <c r="AE173" s="2556"/>
      <c r="AF173" s="2557"/>
      <c r="AG173" s="2561"/>
      <c r="AH173" s="2558"/>
      <c r="AI173" s="2561"/>
      <c r="AJ173" s="2556"/>
      <c r="AK173" s="2557"/>
      <c r="AL173" s="2561"/>
      <c r="AM173" s="2558"/>
      <c r="AN173" s="2561"/>
      <c r="AO173" s="2556"/>
      <c r="AP173" s="2557"/>
      <c r="AQ173" s="2561"/>
      <c r="AR173" s="2558"/>
      <c r="AS173" s="2561"/>
      <c r="AT173" s="2556"/>
      <c r="AU173" s="2468"/>
      <c r="AV173" s="544"/>
      <c r="AW173" s="545" t="s">
        <v>189</v>
      </c>
      <c r="AX173" s="547"/>
      <c r="AY173" s="547"/>
      <c r="AZ173" s="299" t="s">
        <v>193</v>
      </c>
      <c r="BA173" s="277" t="s">
        <v>524</v>
      </c>
      <c r="BB173" s="265"/>
      <c r="BC173" s="187"/>
      <c r="BD173" s="11"/>
    </row>
    <row r="174" spans="2:56" ht="20.100000000000001" customHeight="1">
      <c r="B174" s="1360" t="b">
        <f t="shared" si="41"/>
        <v>1</v>
      </c>
      <c r="C174" s="1367"/>
      <c r="D174" s="490" t="s">
        <v>712</v>
      </c>
      <c r="E174" s="583"/>
      <c r="F174" s="492" t="s">
        <v>344</v>
      </c>
      <c r="G174" s="106"/>
      <c r="H174" s="353"/>
      <c r="I174" s="493" t="s">
        <v>536</v>
      </c>
      <c r="J174" s="498"/>
      <c r="K174" s="164" t="s">
        <v>344</v>
      </c>
      <c r="L174" s="562"/>
      <c r="M174" s="92" t="s">
        <v>209</v>
      </c>
      <c r="N174" s="562"/>
      <c r="O174" s="92" t="s">
        <v>209</v>
      </c>
      <c r="P174" s="308"/>
      <c r="Q174" s="297"/>
      <c r="R174" s="1490"/>
      <c r="S174" s="935" t="s">
        <v>209</v>
      </c>
      <c r="T174" s="1490"/>
      <c r="U174" s="935" t="s">
        <v>209</v>
      </c>
      <c r="V174" s="1490"/>
      <c r="W174" s="935" t="s">
        <v>209</v>
      </c>
      <c r="X174" s="2557"/>
      <c r="Y174" s="2558"/>
      <c r="Z174" s="2559"/>
      <c r="AA174" s="2557"/>
      <c r="AB174" s="2561"/>
      <c r="AC174" s="2558"/>
      <c r="AD174" s="2561"/>
      <c r="AE174" s="2556"/>
      <c r="AF174" s="2557"/>
      <c r="AG174" s="2561"/>
      <c r="AH174" s="2558"/>
      <c r="AI174" s="2561"/>
      <c r="AJ174" s="2556"/>
      <c r="AK174" s="2557"/>
      <c r="AL174" s="2561"/>
      <c r="AM174" s="2558"/>
      <c r="AN174" s="2561"/>
      <c r="AO174" s="2556"/>
      <c r="AP174" s="2557"/>
      <c r="AQ174" s="2561"/>
      <c r="AR174" s="2558"/>
      <c r="AS174" s="2561"/>
      <c r="AT174" s="2556"/>
      <c r="AU174" s="2468"/>
      <c r="AV174" s="544"/>
      <c r="AW174" s="545" t="s">
        <v>189</v>
      </c>
      <c r="AX174" s="547"/>
      <c r="AY174" s="547"/>
      <c r="AZ174" s="299" t="s">
        <v>193</v>
      </c>
      <c r="BA174" s="277" t="s">
        <v>524</v>
      </c>
      <c r="BB174" s="265"/>
      <c r="BC174" s="187"/>
      <c r="BD174" s="11"/>
    </row>
    <row r="175" spans="2:56" ht="20.100000000000001" customHeight="1">
      <c r="B175" s="1360" t="b">
        <f t="shared" si="41"/>
        <v>1</v>
      </c>
      <c r="C175" s="1367"/>
      <c r="D175" s="490" t="s">
        <v>713</v>
      </c>
      <c r="E175" s="583"/>
      <c r="F175" s="492" t="s">
        <v>344</v>
      </c>
      <c r="G175" s="106"/>
      <c r="H175" s="353"/>
      <c r="I175" s="493" t="s">
        <v>538</v>
      </c>
      <c r="J175" s="498"/>
      <c r="K175" s="164" t="s">
        <v>344</v>
      </c>
      <c r="L175" s="562"/>
      <c r="M175" s="92" t="s">
        <v>209</v>
      </c>
      <c r="N175" s="562"/>
      <c r="O175" s="92" t="s">
        <v>209</v>
      </c>
      <c r="P175" s="308"/>
      <c r="Q175" s="297"/>
      <c r="R175" s="1490"/>
      <c r="S175" s="935" t="s">
        <v>209</v>
      </c>
      <c r="T175" s="1490"/>
      <c r="U175" s="935" t="s">
        <v>209</v>
      </c>
      <c r="V175" s="1490"/>
      <c r="W175" s="935" t="s">
        <v>209</v>
      </c>
      <c r="X175" s="2557"/>
      <c r="Y175" s="2558"/>
      <c r="Z175" s="2559"/>
      <c r="AA175" s="2557"/>
      <c r="AB175" s="2561"/>
      <c r="AC175" s="2558"/>
      <c r="AD175" s="2561"/>
      <c r="AE175" s="2556"/>
      <c r="AF175" s="2557"/>
      <c r="AG175" s="2561"/>
      <c r="AH175" s="2558"/>
      <c r="AI175" s="2561"/>
      <c r="AJ175" s="2556"/>
      <c r="AK175" s="2557"/>
      <c r="AL175" s="2561"/>
      <c r="AM175" s="2558"/>
      <c r="AN175" s="2561"/>
      <c r="AO175" s="2556"/>
      <c r="AP175" s="2557"/>
      <c r="AQ175" s="2561"/>
      <c r="AR175" s="2558"/>
      <c r="AS175" s="2561"/>
      <c r="AT175" s="2556"/>
      <c r="AU175" s="2468"/>
      <c r="AV175" s="544"/>
      <c r="AW175" s="545" t="s">
        <v>189</v>
      </c>
      <c r="AX175" s="547"/>
      <c r="AY175" s="547"/>
      <c r="AZ175" s="299" t="s">
        <v>193</v>
      </c>
      <c r="BA175" s="277" t="s">
        <v>524</v>
      </c>
      <c r="BB175" s="265"/>
      <c r="BC175" s="187"/>
      <c r="BD175" s="11"/>
    </row>
    <row r="176" spans="2:56" ht="20.100000000000001" customHeight="1">
      <c r="B176" s="1360" t="b">
        <f t="shared" si="41"/>
        <v>1</v>
      </c>
      <c r="C176" s="1367"/>
      <c r="D176" s="490" t="s">
        <v>714</v>
      </c>
      <c r="E176" s="583"/>
      <c r="F176" s="492" t="s">
        <v>344</v>
      </c>
      <c r="G176" s="106"/>
      <c r="H176" s="353"/>
      <c r="I176" s="493" t="s">
        <v>540</v>
      </c>
      <c r="J176" s="498"/>
      <c r="K176" s="164" t="s">
        <v>344</v>
      </c>
      <c r="L176" s="584"/>
      <c r="M176" s="92" t="s">
        <v>209</v>
      </c>
      <c r="N176" s="562"/>
      <c r="O176" s="92" t="s">
        <v>209</v>
      </c>
      <c r="P176" s="308"/>
      <c r="Q176" s="297"/>
      <c r="R176" s="1490"/>
      <c r="S176" s="935" t="s">
        <v>209</v>
      </c>
      <c r="T176" s="1490"/>
      <c r="U176" s="935" t="s">
        <v>209</v>
      </c>
      <c r="V176" s="1490"/>
      <c r="W176" s="935" t="s">
        <v>209</v>
      </c>
      <c r="X176" s="2557"/>
      <c r="Y176" s="2558"/>
      <c r="Z176" s="2559"/>
      <c r="AA176" s="2557"/>
      <c r="AB176" s="2561"/>
      <c r="AC176" s="2558"/>
      <c r="AD176" s="2561"/>
      <c r="AE176" s="2556"/>
      <c r="AF176" s="2557"/>
      <c r="AG176" s="2561"/>
      <c r="AH176" s="2558"/>
      <c r="AI176" s="2561"/>
      <c r="AJ176" s="2556"/>
      <c r="AK176" s="2557"/>
      <c r="AL176" s="2561"/>
      <c r="AM176" s="2558"/>
      <c r="AN176" s="2561"/>
      <c r="AO176" s="2556"/>
      <c r="AP176" s="2557"/>
      <c r="AQ176" s="2561"/>
      <c r="AR176" s="2558"/>
      <c r="AS176" s="2561"/>
      <c r="AT176" s="2556"/>
      <c r="AU176" s="2468"/>
      <c r="AV176" s="544"/>
      <c r="AW176" s="545" t="s">
        <v>189</v>
      </c>
      <c r="AX176" s="547"/>
      <c r="AY176" s="547"/>
      <c r="AZ176" s="299" t="s">
        <v>193</v>
      </c>
      <c r="BA176" s="277" t="s">
        <v>524</v>
      </c>
      <c r="BB176" s="265"/>
      <c r="BC176" s="187"/>
      <c r="BD176" s="11"/>
    </row>
    <row r="177" spans="2:56" ht="20.100000000000001" customHeight="1" thickBot="1">
      <c r="B177" s="1361" t="b">
        <f t="shared" si="41"/>
        <v>1</v>
      </c>
      <c r="C177" s="1368"/>
      <c r="D177" s="585" t="s">
        <v>715</v>
      </c>
      <c r="E177" s="586"/>
      <c r="F177" s="511" t="s">
        <v>344</v>
      </c>
      <c r="G177" s="232"/>
      <c r="H177" s="512"/>
      <c r="I177" s="585" t="s">
        <v>542</v>
      </c>
      <c r="J177" s="586"/>
      <c r="K177" s="511" t="s">
        <v>344</v>
      </c>
      <c r="L177" s="587"/>
      <c r="M177" s="588" t="s">
        <v>209</v>
      </c>
      <c r="N177" s="587"/>
      <c r="O177" s="589" t="s">
        <v>209</v>
      </c>
      <c r="P177" s="590"/>
      <c r="Q177" s="591"/>
      <c r="R177" s="1501"/>
      <c r="S177" s="1426" t="s">
        <v>209</v>
      </c>
      <c r="T177" s="1501"/>
      <c r="U177" s="1427" t="s">
        <v>209</v>
      </c>
      <c r="V177" s="1501"/>
      <c r="W177" s="1427" t="s">
        <v>209</v>
      </c>
      <c r="X177" s="2676"/>
      <c r="Y177" s="2677"/>
      <c r="Z177" s="2678"/>
      <c r="AA177" s="2676"/>
      <c r="AB177" s="2679"/>
      <c r="AC177" s="2677"/>
      <c r="AD177" s="2679"/>
      <c r="AE177" s="2680"/>
      <c r="AF177" s="2676"/>
      <c r="AG177" s="2679"/>
      <c r="AH177" s="2677"/>
      <c r="AI177" s="2679"/>
      <c r="AJ177" s="2680"/>
      <c r="AK177" s="2676"/>
      <c r="AL177" s="2679"/>
      <c r="AM177" s="2677"/>
      <c r="AN177" s="2679"/>
      <c r="AO177" s="2680"/>
      <c r="AP177" s="2676"/>
      <c r="AQ177" s="2679"/>
      <c r="AR177" s="2677"/>
      <c r="AS177" s="2679"/>
      <c r="AT177" s="2680"/>
      <c r="AU177" s="2477"/>
      <c r="AV177" s="596"/>
      <c r="AW177" s="545" t="s">
        <v>189</v>
      </c>
      <c r="AX177" s="597"/>
      <c r="AY177" s="597"/>
      <c r="AZ177" s="299" t="s">
        <v>193</v>
      </c>
      <c r="BA177" s="277" t="s">
        <v>524</v>
      </c>
      <c r="BB177" s="265"/>
      <c r="BC177" s="187"/>
      <c r="BD177" s="11"/>
    </row>
    <row r="178" spans="2:56" ht="27" thickBot="1">
      <c r="B178" s="123" t="s">
        <v>543</v>
      </c>
      <c r="C178" s="124"/>
      <c r="D178" s="124"/>
      <c r="E178" s="124"/>
      <c r="F178" s="124"/>
      <c r="G178" s="598" t="s">
        <v>1793</v>
      </c>
      <c r="H178" s="124"/>
      <c r="I178" s="599"/>
      <c r="J178" s="521"/>
      <c r="K178" s="518"/>
      <c r="L178" s="600"/>
      <c r="M178" s="600"/>
      <c r="N178" s="600"/>
      <c r="O178" s="600"/>
      <c r="P178" s="600"/>
      <c r="Q178" s="600"/>
      <c r="R178" s="1502"/>
      <c r="S178" s="1428"/>
      <c r="T178" s="1502"/>
      <c r="U178" s="1428"/>
      <c r="V178" s="1502"/>
      <c r="W178" s="600"/>
      <c r="X178" s="2681"/>
      <c r="Y178" s="2682"/>
      <c r="Z178" s="2682"/>
      <c r="AA178" s="2580"/>
      <c r="AB178" s="2581"/>
      <c r="AC178" s="2581"/>
      <c r="AD178" s="2581"/>
      <c r="AE178" s="2582"/>
      <c r="AF178" s="2580"/>
      <c r="AG178" s="2581"/>
      <c r="AH178" s="2581"/>
      <c r="AI178" s="2581"/>
      <c r="AJ178" s="2582"/>
      <c r="AK178" s="2580"/>
      <c r="AL178" s="2581"/>
      <c r="AM178" s="2581"/>
      <c r="AN178" s="2581"/>
      <c r="AO178" s="2582"/>
      <c r="AP178" s="2580"/>
      <c r="AQ178" s="2581"/>
      <c r="AR178" s="2581"/>
      <c r="AS178" s="2581"/>
      <c r="AT178" s="2582"/>
      <c r="AU178" s="80"/>
      <c r="AV178" s="80"/>
      <c r="AW178" s="129"/>
      <c r="AX178" s="129"/>
      <c r="AY178" s="129"/>
      <c r="AZ178" s="129"/>
      <c r="BA178" s="328"/>
      <c r="BB178" s="328"/>
      <c r="BC178" s="329"/>
      <c r="BD178" s="18"/>
    </row>
    <row r="179" spans="2:56" ht="20.100000000000001" customHeight="1">
      <c r="B179" s="1359" t="b">
        <f t="shared" si="41"/>
        <v>1</v>
      </c>
      <c r="C179" s="601" t="s">
        <v>544</v>
      </c>
      <c r="D179" s="601"/>
      <c r="E179" s="601"/>
      <c r="F179" s="492" t="s">
        <v>33</v>
      </c>
      <c r="G179" s="330"/>
      <c r="H179" s="254" t="s">
        <v>545</v>
      </c>
      <c r="I179" s="602"/>
      <c r="J179" s="603"/>
      <c r="K179" s="164" t="s">
        <v>35</v>
      </c>
      <c r="L179" s="228"/>
      <c r="M179" s="92"/>
      <c r="N179" s="228"/>
      <c r="O179" s="95"/>
      <c r="P179" s="308"/>
      <c r="Q179" s="297"/>
      <c r="R179" s="1488"/>
      <c r="S179" s="1429"/>
      <c r="T179" s="1488"/>
      <c r="U179" s="1429"/>
      <c r="V179" s="1490"/>
      <c r="W179" s="2060"/>
      <c r="X179" s="2557"/>
      <c r="Y179" s="2558"/>
      <c r="Z179" s="2559"/>
      <c r="AA179" s="2557">
        <f>China!AO178</f>
        <v>0</v>
      </c>
      <c r="AB179" s="2641">
        <f>China!AP178</f>
        <v>0</v>
      </c>
      <c r="AC179" s="2558">
        <f>China!AQ178</f>
        <v>0</v>
      </c>
      <c r="AD179" s="2641">
        <f>China!AR178</f>
        <v>0</v>
      </c>
      <c r="AE179" s="2556">
        <f>China!AS178</f>
        <v>0</v>
      </c>
      <c r="AF179" s="2557"/>
      <c r="AG179" s="2641"/>
      <c r="AH179" s="2558"/>
      <c r="AI179" s="2641"/>
      <c r="AJ179" s="2556"/>
      <c r="AK179" s="2557"/>
      <c r="AL179" s="2641"/>
      <c r="AM179" s="2558"/>
      <c r="AN179" s="2641"/>
      <c r="AO179" s="2556"/>
      <c r="AP179" s="2557">
        <v>0</v>
      </c>
      <c r="AQ179" s="2641">
        <v>0</v>
      </c>
      <c r="AR179" s="2558">
        <v>0</v>
      </c>
      <c r="AS179" s="2641">
        <v>0</v>
      </c>
      <c r="AT179" s="2556">
        <v>0</v>
      </c>
      <c r="AU179" s="2468" t="s">
        <v>546</v>
      </c>
      <c r="AV179" s="276" t="s">
        <v>545</v>
      </c>
      <c r="AW179" s="309" t="s">
        <v>547</v>
      </c>
      <c r="AX179" s="547"/>
      <c r="AY179" s="547"/>
      <c r="AZ179" s="582"/>
      <c r="BA179" s="154" t="s">
        <v>548</v>
      </c>
      <c r="BB179" s="154"/>
      <c r="BC179" s="604" t="s">
        <v>549</v>
      </c>
      <c r="BD179" s="18"/>
    </row>
    <row r="180" spans="2:56" ht="17.45" customHeight="1">
      <c r="B180" s="1360" t="b">
        <f t="shared" si="41"/>
        <v>0</v>
      </c>
      <c r="C180" s="161" t="s">
        <v>550</v>
      </c>
      <c r="D180" s="161"/>
      <c r="E180" s="161"/>
      <c r="F180" s="492" t="s">
        <v>33</v>
      </c>
      <c r="G180" s="386"/>
      <c r="H180" s="140" t="s">
        <v>551</v>
      </c>
      <c r="I180" s="482"/>
      <c r="J180" s="289"/>
      <c r="K180" s="164" t="s">
        <v>35</v>
      </c>
      <c r="L180" s="298">
        <v>74</v>
      </c>
      <c r="M180" s="605"/>
      <c r="N180" s="298">
        <v>276</v>
      </c>
      <c r="O180" s="95"/>
      <c r="P180" s="308">
        <v>107</v>
      </c>
      <c r="Q180" s="297"/>
      <c r="R180" s="1488">
        <v>74</v>
      </c>
      <c r="S180" s="1429" t="s">
        <v>716</v>
      </c>
      <c r="T180" s="1488">
        <v>276</v>
      </c>
      <c r="U180" s="1429" t="s">
        <v>717</v>
      </c>
      <c r="V180" s="1488">
        <v>95</v>
      </c>
      <c r="W180" s="2060" t="s">
        <v>1794</v>
      </c>
      <c r="X180" s="2557"/>
      <c r="Y180" s="2558"/>
      <c r="Z180" s="2559"/>
      <c r="AA180" s="2557">
        <f>China!AO179</f>
        <v>23.029875194958798</v>
      </c>
      <c r="AB180" s="2641">
        <f>China!AP179</f>
        <v>0</v>
      </c>
      <c r="AC180" s="2558">
        <f>China!AQ179</f>
        <v>21.383623111717842</v>
      </c>
      <c r="AD180" s="2641">
        <f>China!AR179</f>
        <v>0</v>
      </c>
      <c r="AE180" s="2556">
        <f>China!AS179</f>
        <v>35.59983577152083</v>
      </c>
      <c r="AF180" s="2557"/>
      <c r="AG180" s="2641"/>
      <c r="AH180" s="2558"/>
      <c r="AI180" s="2641"/>
      <c r="AJ180" s="2556"/>
      <c r="AK180" s="2557"/>
      <c r="AL180" s="2641"/>
      <c r="AM180" s="2558"/>
      <c r="AN180" s="2641"/>
      <c r="AO180" s="2556"/>
      <c r="AP180" s="2557">
        <v>0</v>
      </c>
      <c r="AQ180" s="2641">
        <v>0</v>
      </c>
      <c r="AR180" s="2558">
        <v>0</v>
      </c>
      <c r="AS180" s="2641">
        <v>0</v>
      </c>
      <c r="AT180" s="2556">
        <v>0</v>
      </c>
      <c r="AU180" s="2468" t="s">
        <v>552</v>
      </c>
      <c r="AV180" s="276" t="s">
        <v>553</v>
      </c>
      <c r="AW180" s="309" t="s">
        <v>554</v>
      </c>
      <c r="AX180" s="547"/>
      <c r="AY180" s="547"/>
      <c r="AZ180" s="582"/>
      <c r="BA180" s="154" t="s">
        <v>555</v>
      </c>
      <c r="BB180" s="154"/>
      <c r="BC180" s="604"/>
      <c r="BD180" s="18"/>
    </row>
    <row r="181" spans="2:56" ht="20.100000000000001" customHeight="1">
      <c r="B181" s="1360" t="b">
        <f t="shared" si="41"/>
        <v>1</v>
      </c>
      <c r="C181" s="161" t="s">
        <v>556</v>
      </c>
      <c r="D181" s="161"/>
      <c r="E181" s="161"/>
      <c r="F181" s="492" t="s">
        <v>557</v>
      </c>
      <c r="G181" s="386"/>
      <c r="H181" s="140" t="s">
        <v>558</v>
      </c>
      <c r="I181" s="482"/>
      <c r="J181" s="406"/>
      <c r="K181" s="164" t="s">
        <v>559</v>
      </c>
      <c r="L181" s="562"/>
      <c r="M181" s="92"/>
      <c r="N181" s="562"/>
      <c r="O181" s="95"/>
      <c r="P181" s="308"/>
      <c r="Q181" s="297"/>
      <c r="R181" s="1468"/>
      <c r="S181" s="1429"/>
      <c r="T181" s="1468"/>
      <c r="U181" s="1429"/>
      <c r="V181" s="1476">
        <v>124</v>
      </c>
      <c r="W181" s="2060"/>
      <c r="X181" s="2557">
        <f>'4DPLEX'!R171</f>
        <v>1</v>
      </c>
      <c r="Y181" s="2558">
        <f>'4DPLEX'!T171</f>
        <v>1</v>
      </c>
      <c r="Z181" s="2559">
        <f>'4DPLEX'!V171</f>
        <v>1</v>
      </c>
      <c r="AA181" s="2557">
        <f>China!AO180</f>
        <v>0</v>
      </c>
      <c r="AB181" s="2641" t="str">
        <f>China!AP180</f>
        <v>n/a</v>
      </c>
      <c r="AC181" s="2558">
        <f>China!AQ180</f>
        <v>0</v>
      </c>
      <c r="AD181" s="2641" t="str">
        <f>China!AR180</f>
        <v>n/a</v>
      </c>
      <c r="AE181" s="2556">
        <f>China!AS180</f>
        <v>0</v>
      </c>
      <c r="AF181" s="2557"/>
      <c r="AG181" s="2641"/>
      <c r="AH181" s="2558"/>
      <c r="AI181" s="2641"/>
      <c r="AJ181" s="2556"/>
      <c r="AK181" s="2557"/>
      <c r="AL181" s="2641"/>
      <c r="AM181" s="2558"/>
      <c r="AN181" s="2641"/>
      <c r="AO181" s="2556"/>
      <c r="AP181" s="2557">
        <v>0</v>
      </c>
      <c r="AQ181" s="2641">
        <v>0</v>
      </c>
      <c r="AR181" s="2558">
        <v>0</v>
      </c>
      <c r="AS181" s="2641">
        <v>0</v>
      </c>
      <c r="AT181" s="2556">
        <v>0</v>
      </c>
      <c r="AU181" s="2472"/>
      <c r="AV181" s="457"/>
      <c r="AW181" s="99" t="s">
        <v>189</v>
      </c>
      <c r="AX181" s="547"/>
      <c r="AY181" s="547"/>
      <c r="AZ181" s="99"/>
      <c r="BA181" s="606" t="s">
        <v>561</v>
      </c>
      <c r="BB181" s="154"/>
      <c r="BC181" s="604"/>
      <c r="BD181" s="18"/>
    </row>
    <row r="182" spans="2:56" ht="20.100000000000001" customHeight="1">
      <c r="B182" s="1360" t="b">
        <f t="shared" si="41"/>
        <v>0</v>
      </c>
      <c r="C182" s="9774" t="s">
        <v>563</v>
      </c>
      <c r="D182" s="9774"/>
      <c r="E182" s="9782"/>
      <c r="F182" s="285" t="s">
        <v>557</v>
      </c>
      <c r="G182" s="386"/>
      <c r="H182" s="140" t="s">
        <v>564</v>
      </c>
      <c r="I182" s="482"/>
      <c r="J182" s="406"/>
      <c r="K182" s="162" t="s">
        <v>559</v>
      </c>
      <c r="L182" s="562"/>
      <c r="M182" s="92"/>
      <c r="N182" s="562"/>
      <c r="O182" s="95"/>
      <c r="P182" s="308"/>
      <c r="Q182" s="297"/>
      <c r="R182" s="1463">
        <v>0</v>
      </c>
      <c r="S182" s="1523"/>
      <c r="T182" s="1463">
        <v>0</v>
      </c>
      <c r="U182" s="1524"/>
      <c r="V182" s="1464">
        <v>0</v>
      </c>
      <c r="W182" s="2060"/>
      <c r="X182" s="2557"/>
      <c r="Y182" s="2558"/>
      <c r="Z182" s="2559"/>
      <c r="AA182" s="2557">
        <f>China!AO181</f>
        <v>0</v>
      </c>
      <c r="AB182" s="2641">
        <f>China!AP181</f>
        <v>0</v>
      </c>
      <c r="AC182" s="2558">
        <f>China!AQ181</f>
        <v>0</v>
      </c>
      <c r="AD182" s="2641">
        <f>China!AR181</f>
        <v>0</v>
      </c>
      <c r="AE182" s="2556">
        <f>China!AS181</f>
        <v>0</v>
      </c>
      <c r="AF182" s="2557"/>
      <c r="AG182" s="2641"/>
      <c r="AH182" s="2558"/>
      <c r="AI182" s="2641"/>
      <c r="AJ182" s="2556"/>
      <c r="AK182" s="2557"/>
      <c r="AL182" s="2641"/>
      <c r="AM182" s="2558"/>
      <c r="AN182" s="2641"/>
      <c r="AO182" s="2556"/>
      <c r="AP182" s="2557">
        <v>0</v>
      </c>
      <c r="AQ182" s="2641">
        <v>0</v>
      </c>
      <c r="AR182" s="2558">
        <v>0</v>
      </c>
      <c r="AS182" s="2641">
        <v>0</v>
      </c>
      <c r="AT182" s="2556">
        <v>0</v>
      </c>
      <c r="AU182" s="2468" t="s">
        <v>719</v>
      </c>
      <c r="AV182" s="276" t="s">
        <v>566</v>
      </c>
      <c r="AW182" s="99" t="s">
        <v>567</v>
      </c>
      <c r="AX182" s="547"/>
      <c r="AY182" s="547"/>
      <c r="AZ182" s="99"/>
      <c r="BA182" s="154" t="s">
        <v>568</v>
      </c>
      <c r="BB182" s="154"/>
      <c r="BC182" s="604" t="s">
        <v>569</v>
      </c>
      <c r="BD182" s="18"/>
    </row>
    <row r="183" spans="2:56" ht="21" customHeight="1">
      <c r="B183" s="1360" t="b">
        <f t="shared" si="41"/>
        <v>0</v>
      </c>
      <c r="C183" s="9793" t="s">
        <v>570</v>
      </c>
      <c r="D183" s="9793"/>
      <c r="E183" s="9794"/>
      <c r="F183" s="285" t="s">
        <v>33</v>
      </c>
      <c r="G183" s="386"/>
      <c r="H183" s="140" t="s">
        <v>571</v>
      </c>
      <c r="I183" s="482"/>
      <c r="J183" s="406"/>
      <c r="K183" s="162" t="s">
        <v>35</v>
      </c>
      <c r="L183" s="608">
        <v>1.0349999999999999</v>
      </c>
      <c r="M183" s="92"/>
      <c r="N183" s="609">
        <v>1.21</v>
      </c>
      <c r="O183" s="95"/>
      <c r="P183" s="308"/>
      <c r="Q183" s="501"/>
      <c r="R183" s="1463">
        <v>1035</v>
      </c>
      <c r="S183" s="1430" t="s">
        <v>720</v>
      </c>
      <c r="T183" s="1463">
        <v>121</v>
      </c>
      <c r="U183" s="1430" t="s">
        <v>1795</v>
      </c>
      <c r="V183" s="5473">
        <v>91.5</v>
      </c>
      <c r="W183" s="2076" t="s">
        <v>1796</v>
      </c>
      <c r="X183" s="2557"/>
      <c r="Y183" s="2558"/>
      <c r="Z183" s="2559"/>
      <c r="AA183" s="2557">
        <f>China!AO182</f>
        <v>0</v>
      </c>
      <c r="AB183" s="2641">
        <f>China!AP182</f>
        <v>0</v>
      </c>
      <c r="AC183" s="2558">
        <f>China!AQ182</f>
        <v>0</v>
      </c>
      <c r="AD183" s="2683">
        <f>China!AR182</f>
        <v>0</v>
      </c>
      <c r="AE183" s="2556">
        <f>China!AS182</f>
        <v>0</v>
      </c>
      <c r="AF183" s="2557"/>
      <c r="AG183" s="2641"/>
      <c r="AH183" s="2558"/>
      <c r="AI183" s="2683"/>
      <c r="AJ183" s="2556"/>
      <c r="AK183" s="2557"/>
      <c r="AL183" s="2683"/>
      <c r="AM183" s="2558"/>
      <c r="AN183" s="2683"/>
      <c r="AO183" s="2556"/>
      <c r="AP183" s="2557">
        <v>0</v>
      </c>
      <c r="AQ183" s="2641">
        <v>0</v>
      </c>
      <c r="AR183" s="2558">
        <v>0</v>
      </c>
      <c r="AS183" s="2641">
        <v>0</v>
      </c>
      <c r="AT183" s="2556">
        <v>0</v>
      </c>
      <c r="AU183" s="2472" t="s">
        <v>572</v>
      </c>
      <c r="AV183" s="276" t="s">
        <v>573</v>
      </c>
      <c r="AW183" s="309" t="s">
        <v>574</v>
      </c>
      <c r="AX183" s="547"/>
      <c r="AY183" s="547"/>
      <c r="AZ183" s="99"/>
      <c r="BA183" s="154" t="s">
        <v>575</v>
      </c>
      <c r="BB183" s="154"/>
      <c r="BC183" s="604"/>
      <c r="BD183" s="611" t="s">
        <v>1797</v>
      </c>
    </row>
    <row r="184" spans="2:56" ht="20.100000000000001" customHeight="1">
      <c r="B184" s="1360" t="b">
        <f t="shared" si="41"/>
        <v>0</v>
      </c>
      <c r="C184" s="9774" t="s">
        <v>576</v>
      </c>
      <c r="D184" s="9774"/>
      <c r="E184" s="9782"/>
      <c r="F184" s="285" t="s">
        <v>413</v>
      </c>
      <c r="G184" s="386"/>
      <c r="H184" s="140" t="s">
        <v>577</v>
      </c>
      <c r="I184" s="482"/>
      <c r="J184" s="406"/>
      <c r="K184" s="162" t="s">
        <v>413</v>
      </c>
      <c r="L184" s="356">
        <f>SUM(L185:L189)</f>
        <v>0</v>
      </c>
      <c r="M184" s="356" t="s">
        <v>209</v>
      </c>
      <c r="N184" s="356">
        <f>SUM(N185:N189)</f>
        <v>0</v>
      </c>
      <c r="O184" s="356" t="s">
        <v>209</v>
      </c>
      <c r="P184" s="356">
        <f>SUM(P185:P189)</f>
        <v>0</v>
      </c>
      <c r="Q184" s="501"/>
      <c r="R184" s="1487">
        <f>SUM(R185:R189)</f>
        <v>0</v>
      </c>
      <c r="S184" s="1431" t="s">
        <v>209</v>
      </c>
      <c r="T184" s="1487">
        <f>SUM(T185:T189)</f>
        <v>0</v>
      </c>
      <c r="U184" s="1431" t="s">
        <v>209</v>
      </c>
      <c r="V184" s="1487" t="s">
        <v>723</v>
      </c>
      <c r="W184" s="2076"/>
      <c r="X184" s="2557"/>
      <c r="Y184" s="2558"/>
      <c r="Z184" s="2559"/>
      <c r="AA184" s="2684"/>
      <c r="AB184" s="2688"/>
      <c r="AC184" s="2686"/>
      <c r="AD184" s="2688"/>
      <c r="AE184" s="2687"/>
      <c r="AF184" s="2684"/>
      <c r="AG184" s="2685"/>
      <c r="AH184" s="2686"/>
      <c r="AI184" s="2685"/>
      <c r="AJ184" s="2687"/>
      <c r="AK184" s="2684"/>
      <c r="AL184" s="2685"/>
      <c r="AM184" s="2686"/>
      <c r="AN184" s="2641"/>
      <c r="AO184" s="2556"/>
      <c r="AP184" s="2557"/>
      <c r="AQ184" s="2641"/>
      <c r="AR184" s="2558"/>
      <c r="AS184" s="2641"/>
      <c r="AT184" s="2556"/>
      <c r="AU184" s="2468" t="s">
        <v>579</v>
      </c>
      <c r="AV184" s="24" t="s">
        <v>580</v>
      </c>
      <c r="AW184" s="99" t="s">
        <v>189</v>
      </c>
      <c r="AX184" s="547"/>
      <c r="AY184" s="547"/>
      <c r="AZ184" s="299" t="s">
        <v>193</v>
      </c>
      <c r="BA184" s="154" t="s">
        <v>581</v>
      </c>
      <c r="BB184" s="154"/>
      <c r="BC184" s="604"/>
      <c r="BD184" s="11"/>
    </row>
    <row r="185" spans="2:56" ht="20.100000000000001" customHeight="1">
      <c r="B185" s="1360" t="b">
        <f t="shared" si="41"/>
        <v>1</v>
      </c>
      <c r="C185" s="614"/>
      <c r="D185" s="9795" t="s">
        <v>582</v>
      </c>
      <c r="E185" s="9796"/>
      <c r="F185" s="285" t="s">
        <v>413</v>
      </c>
      <c r="G185" s="535"/>
      <c r="H185" s="45"/>
      <c r="I185" s="617" t="s">
        <v>583</v>
      </c>
      <c r="J185" s="618"/>
      <c r="K185" s="162" t="s">
        <v>413</v>
      </c>
      <c r="L185" s="562"/>
      <c r="M185" s="92" t="s">
        <v>209</v>
      </c>
      <c r="N185" s="562"/>
      <c r="O185" s="95" t="s">
        <v>209</v>
      </c>
      <c r="P185" s="228"/>
      <c r="Q185" s="501"/>
      <c r="R185" s="1488"/>
      <c r="S185" s="1430" t="s">
        <v>209</v>
      </c>
      <c r="T185" s="1488"/>
      <c r="U185" s="1431" t="s">
        <v>209</v>
      </c>
      <c r="V185" s="1490" t="s">
        <v>725</v>
      </c>
      <c r="W185" s="1431" t="s">
        <v>209</v>
      </c>
      <c r="X185" s="2557"/>
      <c r="Y185" s="2558"/>
      <c r="Z185" s="2559"/>
      <c r="AA185" s="2684"/>
      <c r="AB185" s="2688"/>
      <c r="AC185" s="2686"/>
      <c r="AD185" s="2688"/>
      <c r="AE185" s="2687"/>
      <c r="AF185" s="2684"/>
      <c r="AG185" s="2685"/>
      <c r="AH185" s="2686"/>
      <c r="AI185" s="2685"/>
      <c r="AJ185" s="2687"/>
      <c r="AK185" s="2684"/>
      <c r="AL185" s="2685"/>
      <c r="AM185" s="2686"/>
      <c r="AN185" s="2641"/>
      <c r="AO185" s="2556"/>
      <c r="AP185" s="2557"/>
      <c r="AQ185" s="2641"/>
      <c r="AR185" s="2558"/>
      <c r="AS185" s="2641"/>
      <c r="AT185" s="2556"/>
      <c r="AU185" s="2472"/>
      <c r="AV185" s="276"/>
      <c r="AW185" s="99" t="s">
        <v>189</v>
      </c>
      <c r="AX185" s="547"/>
      <c r="AY185" s="547"/>
      <c r="AZ185" s="299" t="s">
        <v>193</v>
      </c>
      <c r="BA185" s="154" t="s">
        <v>581</v>
      </c>
      <c r="BB185" s="154"/>
      <c r="BC185" s="604"/>
      <c r="BD185" s="11"/>
    </row>
    <row r="186" spans="2:56" ht="20.100000000000001" customHeight="1">
      <c r="B186" s="1360" t="b">
        <f t="shared" si="41"/>
        <v>1</v>
      </c>
      <c r="C186" s="614"/>
      <c r="D186" s="9797" t="s">
        <v>584</v>
      </c>
      <c r="E186" s="9798"/>
      <c r="F186" s="285" t="s">
        <v>413</v>
      </c>
      <c r="G186" s="535"/>
      <c r="H186" s="45"/>
      <c r="I186" s="617" t="s">
        <v>585</v>
      </c>
      <c r="J186" s="618"/>
      <c r="K186" s="162" t="s">
        <v>413</v>
      </c>
      <c r="L186" s="562"/>
      <c r="M186" s="92" t="s">
        <v>209</v>
      </c>
      <c r="N186" s="562"/>
      <c r="O186" s="95" t="s">
        <v>209</v>
      </c>
      <c r="P186" s="228"/>
      <c r="Q186" s="501"/>
      <c r="R186" s="1488"/>
      <c r="S186" s="1430" t="s">
        <v>209</v>
      </c>
      <c r="T186" s="1488"/>
      <c r="U186" s="1431" t="s">
        <v>209</v>
      </c>
      <c r="V186" s="1490"/>
      <c r="W186" s="1431" t="s">
        <v>209</v>
      </c>
      <c r="X186" s="2557"/>
      <c r="Y186" s="2558"/>
      <c r="Z186" s="2559"/>
      <c r="AA186" s="2684"/>
      <c r="AB186" s="2688"/>
      <c r="AC186" s="2686"/>
      <c r="AD186" s="2685"/>
      <c r="AE186" s="2687"/>
      <c r="AF186" s="2684"/>
      <c r="AG186" s="2685"/>
      <c r="AH186" s="2686"/>
      <c r="AI186" s="2685"/>
      <c r="AJ186" s="2687"/>
      <c r="AK186" s="2684"/>
      <c r="AL186" s="2685"/>
      <c r="AM186" s="2686"/>
      <c r="AN186" s="2641"/>
      <c r="AO186" s="2556"/>
      <c r="AP186" s="2557"/>
      <c r="AQ186" s="2641"/>
      <c r="AR186" s="2558"/>
      <c r="AS186" s="2641"/>
      <c r="AT186" s="2556"/>
      <c r="AU186" s="2472"/>
      <c r="AV186" s="457"/>
      <c r="AW186" s="99" t="s">
        <v>189</v>
      </c>
      <c r="AX186" s="547"/>
      <c r="AY186" s="547"/>
      <c r="AZ186" s="299" t="s">
        <v>193</v>
      </c>
      <c r="BA186" s="154" t="s">
        <v>581</v>
      </c>
      <c r="BB186" s="154"/>
      <c r="BC186" s="604"/>
      <c r="BD186" s="11"/>
    </row>
    <row r="187" spans="2:56" ht="20.100000000000001" customHeight="1">
      <c r="B187" s="1360" t="b">
        <f t="shared" si="41"/>
        <v>1</v>
      </c>
      <c r="C187" s="614"/>
      <c r="D187" s="9795" t="s">
        <v>586</v>
      </c>
      <c r="E187" s="9796"/>
      <c r="F187" s="285" t="s">
        <v>413</v>
      </c>
      <c r="G187" s="535"/>
      <c r="H187" s="45"/>
      <c r="I187" s="617" t="s">
        <v>587</v>
      </c>
      <c r="J187" s="618"/>
      <c r="K187" s="162" t="s">
        <v>413</v>
      </c>
      <c r="L187" s="562"/>
      <c r="M187" s="92" t="s">
        <v>209</v>
      </c>
      <c r="N187" s="562"/>
      <c r="O187" s="95" t="s">
        <v>209</v>
      </c>
      <c r="P187" s="228"/>
      <c r="Q187" s="501"/>
      <c r="R187" s="1488"/>
      <c r="S187" s="1430" t="s">
        <v>209</v>
      </c>
      <c r="T187" s="1488"/>
      <c r="U187" s="1431" t="s">
        <v>209</v>
      </c>
      <c r="V187" s="1490"/>
      <c r="W187" s="1431" t="s">
        <v>209</v>
      </c>
      <c r="X187" s="2557"/>
      <c r="Y187" s="2558"/>
      <c r="Z187" s="2559"/>
      <c r="AA187" s="2684"/>
      <c r="AB187" s="2688"/>
      <c r="AC187" s="2686"/>
      <c r="AD187" s="2688"/>
      <c r="AE187" s="2687"/>
      <c r="AF187" s="2684"/>
      <c r="AG187" s="2685"/>
      <c r="AH187" s="2686"/>
      <c r="AI187" s="2685"/>
      <c r="AJ187" s="2687"/>
      <c r="AK187" s="2684"/>
      <c r="AL187" s="2685"/>
      <c r="AM187" s="2686"/>
      <c r="AN187" s="2641"/>
      <c r="AO187" s="2556"/>
      <c r="AP187" s="2557"/>
      <c r="AQ187" s="2641"/>
      <c r="AR187" s="2558"/>
      <c r="AS187" s="2641"/>
      <c r="AT187" s="2556"/>
      <c r="AU187" s="2472"/>
      <c r="AV187" s="457"/>
      <c r="AW187" s="99" t="s">
        <v>189</v>
      </c>
      <c r="AX187" s="547"/>
      <c r="AY187" s="547"/>
      <c r="AZ187" s="299" t="s">
        <v>193</v>
      </c>
      <c r="BA187" s="154" t="s">
        <v>581</v>
      </c>
      <c r="BB187" s="154"/>
      <c r="BC187" s="604"/>
      <c r="BD187" s="11"/>
    </row>
    <row r="188" spans="2:56" ht="20.100000000000001" customHeight="1">
      <c r="B188" s="1360" t="b">
        <f t="shared" si="41"/>
        <v>1</v>
      </c>
      <c r="C188" s="614"/>
      <c r="D188" s="9795" t="s">
        <v>588</v>
      </c>
      <c r="E188" s="9796"/>
      <c r="F188" s="285" t="s">
        <v>413</v>
      </c>
      <c r="G188" s="535"/>
      <c r="H188" s="45"/>
      <c r="I188" s="617" t="s">
        <v>589</v>
      </c>
      <c r="J188" s="618"/>
      <c r="K188" s="162" t="s">
        <v>413</v>
      </c>
      <c r="L188" s="562"/>
      <c r="M188" s="92" t="s">
        <v>209</v>
      </c>
      <c r="N188" s="562"/>
      <c r="O188" s="95" t="s">
        <v>209</v>
      </c>
      <c r="P188" s="228"/>
      <c r="Q188" s="501"/>
      <c r="R188" s="1488"/>
      <c r="S188" s="1430" t="s">
        <v>209</v>
      </c>
      <c r="T188" s="1488"/>
      <c r="U188" s="1431" t="s">
        <v>209</v>
      </c>
      <c r="V188" s="1490"/>
      <c r="W188" s="1431" t="s">
        <v>209</v>
      </c>
      <c r="X188" s="2557"/>
      <c r="Y188" s="2558"/>
      <c r="Z188" s="2559"/>
      <c r="AA188" s="2684"/>
      <c r="AB188" s="2688"/>
      <c r="AC188" s="2686"/>
      <c r="AD188" s="2688"/>
      <c r="AE188" s="2687"/>
      <c r="AF188" s="2684"/>
      <c r="AG188" s="2685"/>
      <c r="AH188" s="2686"/>
      <c r="AI188" s="2685"/>
      <c r="AJ188" s="2687"/>
      <c r="AK188" s="2684"/>
      <c r="AL188" s="2685"/>
      <c r="AM188" s="2686"/>
      <c r="AN188" s="2641"/>
      <c r="AO188" s="2556"/>
      <c r="AP188" s="2557"/>
      <c r="AQ188" s="2641"/>
      <c r="AR188" s="2558"/>
      <c r="AS188" s="2641"/>
      <c r="AT188" s="2556"/>
      <c r="AU188" s="2472"/>
      <c r="AV188" s="457"/>
      <c r="AW188" s="99" t="s">
        <v>189</v>
      </c>
      <c r="AX188" s="547"/>
      <c r="AY188" s="547"/>
      <c r="AZ188" s="299" t="s">
        <v>193</v>
      </c>
      <c r="BA188" s="154" t="s">
        <v>581</v>
      </c>
      <c r="BB188" s="154"/>
      <c r="BC188" s="604"/>
      <c r="BD188" s="11"/>
    </row>
    <row r="189" spans="2:56" ht="20.100000000000001" customHeight="1">
      <c r="B189" s="1360" t="b">
        <f t="shared" si="41"/>
        <v>1</v>
      </c>
      <c r="C189" s="614"/>
      <c r="D189" s="9773" t="s">
        <v>590</v>
      </c>
      <c r="E189" s="9782"/>
      <c r="F189" s="285" t="s">
        <v>413</v>
      </c>
      <c r="G189" s="535"/>
      <c r="H189" s="45"/>
      <c r="I189" s="617" t="s">
        <v>591</v>
      </c>
      <c r="J189" s="618"/>
      <c r="K189" s="162" t="s">
        <v>413</v>
      </c>
      <c r="L189" s="562"/>
      <c r="M189" s="92" t="s">
        <v>209</v>
      </c>
      <c r="N189" s="562"/>
      <c r="O189" s="95" t="s">
        <v>209</v>
      </c>
      <c r="P189" s="228"/>
      <c r="Q189" s="501"/>
      <c r="R189" s="1488"/>
      <c r="S189" s="1430" t="s">
        <v>209</v>
      </c>
      <c r="T189" s="1488"/>
      <c r="U189" s="1431" t="s">
        <v>209</v>
      </c>
      <c r="V189" s="1490"/>
      <c r="W189" s="1431" t="s">
        <v>209</v>
      </c>
      <c r="X189" s="2557"/>
      <c r="Y189" s="2558"/>
      <c r="Z189" s="2559"/>
      <c r="AA189" s="2557"/>
      <c r="AB189" s="2689"/>
      <c r="AC189" s="2558"/>
      <c r="AD189" s="2641"/>
      <c r="AE189" s="2556"/>
      <c r="AF189" s="2557"/>
      <c r="AG189" s="2641"/>
      <c r="AH189" s="2558"/>
      <c r="AI189" s="2641"/>
      <c r="AJ189" s="2556"/>
      <c r="AK189" s="2557"/>
      <c r="AL189" s="2641"/>
      <c r="AM189" s="2558"/>
      <c r="AN189" s="2641"/>
      <c r="AO189" s="2556"/>
      <c r="AP189" s="2557"/>
      <c r="AQ189" s="2641"/>
      <c r="AR189" s="2558"/>
      <c r="AS189" s="2641"/>
      <c r="AT189" s="2556"/>
      <c r="AU189" s="2468"/>
      <c r="AV189" s="276"/>
      <c r="AW189" s="99" t="s">
        <v>189</v>
      </c>
      <c r="AX189" s="547"/>
      <c r="AY189" s="547"/>
      <c r="AZ189" s="299" t="s">
        <v>193</v>
      </c>
      <c r="BA189" s="620" t="s">
        <v>581</v>
      </c>
      <c r="BB189" s="154"/>
      <c r="BC189" s="604"/>
      <c r="BD189" s="11"/>
    </row>
    <row r="190" spans="2:56" ht="20.100000000000001" customHeight="1">
      <c r="B190" s="1360" t="b">
        <f t="shared" si="41"/>
        <v>0</v>
      </c>
      <c r="C190" s="9774" t="s">
        <v>592</v>
      </c>
      <c r="D190" s="9774"/>
      <c r="E190" s="9782"/>
      <c r="F190" s="285" t="s">
        <v>156</v>
      </c>
      <c r="G190" s="621"/>
      <c r="H190" s="622" t="s">
        <v>593</v>
      </c>
      <c r="I190" s="623"/>
      <c r="J190" s="618"/>
      <c r="K190" s="162" t="s">
        <v>156</v>
      </c>
      <c r="L190" s="356" t="str">
        <f>IFERROR(L191/L192,"-")</f>
        <v>-</v>
      </c>
      <c r="M190" s="92" t="s">
        <v>209</v>
      </c>
      <c r="N190" s="356" t="str">
        <f>IFERROR(N191/N192,"-")</f>
        <v>-</v>
      </c>
      <c r="O190" s="95" t="s">
        <v>209</v>
      </c>
      <c r="P190" s="356" t="str">
        <f>IFERROR(P191/P192,"-")</f>
        <v>-</v>
      </c>
      <c r="Q190" s="501"/>
      <c r="R190" s="1487" t="str">
        <f>IFERROR(R191/R192,"-")</f>
        <v>-</v>
      </c>
      <c r="S190" s="1431" t="s">
        <v>209</v>
      </c>
      <c r="T190" s="1487" t="str">
        <f>IFERROR(T191/T192,"-")</f>
        <v>-</v>
      </c>
      <c r="U190" s="1431" t="s">
        <v>209</v>
      </c>
      <c r="V190" s="1487" t="str">
        <f>IFERROR(V191/V192,"-")</f>
        <v>-</v>
      </c>
      <c r="W190" s="1431" t="s">
        <v>209</v>
      </c>
      <c r="X190" s="2557"/>
      <c r="Y190" s="2558"/>
      <c r="Z190" s="2559"/>
      <c r="AA190" s="2557"/>
      <c r="AB190" s="2689"/>
      <c r="AC190" s="2558"/>
      <c r="AD190" s="2641"/>
      <c r="AE190" s="2556"/>
      <c r="AF190" s="2557"/>
      <c r="AG190" s="2641"/>
      <c r="AH190" s="2558"/>
      <c r="AI190" s="2641"/>
      <c r="AJ190" s="2556"/>
      <c r="AK190" s="2557"/>
      <c r="AL190" s="2641"/>
      <c r="AM190" s="2558"/>
      <c r="AN190" s="2641"/>
      <c r="AO190" s="2556"/>
      <c r="AP190" s="2557"/>
      <c r="AQ190" s="2641"/>
      <c r="AR190" s="2558"/>
      <c r="AS190" s="2641"/>
      <c r="AT190" s="2556"/>
      <c r="AU190" s="2468" t="s">
        <v>594</v>
      </c>
      <c r="AV190" s="276" t="s">
        <v>595</v>
      </c>
      <c r="AW190" s="99" t="s">
        <v>189</v>
      </c>
      <c r="AX190" s="547"/>
      <c r="AY190" s="547"/>
      <c r="AZ190" s="299" t="s">
        <v>193</v>
      </c>
      <c r="BA190" s="620" t="s">
        <v>596</v>
      </c>
      <c r="BB190" s="154"/>
      <c r="BC190" s="604" t="s">
        <v>597</v>
      </c>
      <c r="BD190" s="11"/>
    </row>
    <row r="191" spans="2:56" ht="20.100000000000001" customHeight="1">
      <c r="B191" s="1360" t="b">
        <f t="shared" si="41"/>
        <v>1</v>
      </c>
      <c r="C191" s="614"/>
      <c r="D191" s="9773" t="s">
        <v>598</v>
      </c>
      <c r="E191" s="9782"/>
      <c r="F191" s="285" t="s">
        <v>413</v>
      </c>
      <c r="G191" s="535"/>
      <c r="H191" s="45"/>
      <c r="I191" s="617" t="s">
        <v>599</v>
      </c>
      <c r="J191" s="618"/>
      <c r="K191" s="162" t="s">
        <v>413</v>
      </c>
      <c r="L191" s="562"/>
      <c r="M191" s="92" t="s">
        <v>209</v>
      </c>
      <c r="N191" s="562"/>
      <c r="O191" s="95" t="s">
        <v>209</v>
      </c>
      <c r="P191" s="308"/>
      <c r="Q191" s="501"/>
      <c r="R191" s="1490"/>
      <c r="S191" s="1430" t="s">
        <v>209</v>
      </c>
      <c r="T191" s="1490"/>
      <c r="U191" s="1431" t="s">
        <v>209</v>
      </c>
      <c r="V191" s="1490"/>
      <c r="W191" s="1431" t="s">
        <v>209</v>
      </c>
      <c r="X191" s="2557"/>
      <c r="Y191" s="2558"/>
      <c r="Z191" s="2559"/>
      <c r="AA191" s="2557"/>
      <c r="AB191" s="2641"/>
      <c r="AC191" s="2558"/>
      <c r="AD191" s="2641"/>
      <c r="AE191" s="2556"/>
      <c r="AF191" s="2557"/>
      <c r="AG191" s="2641"/>
      <c r="AH191" s="2558"/>
      <c r="AI191" s="2641"/>
      <c r="AJ191" s="2556"/>
      <c r="AK191" s="2557"/>
      <c r="AL191" s="2641"/>
      <c r="AM191" s="2558"/>
      <c r="AN191" s="2641"/>
      <c r="AO191" s="2556"/>
      <c r="AP191" s="2557"/>
      <c r="AQ191" s="2641"/>
      <c r="AR191" s="2558"/>
      <c r="AS191" s="2641"/>
      <c r="AT191" s="2556"/>
      <c r="AU191" s="2468"/>
      <c r="AV191" s="276"/>
      <c r="AW191" s="99" t="s">
        <v>189</v>
      </c>
      <c r="AX191" s="547"/>
      <c r="AY191" s="547"/>
      <c r="AZ191" s="299" t="s">
        <v>193</v>
      </c>
      <c r="BA191" s="620" t="s">
        <v>600</v>
      </c>
      <c r="BB191" s="154"/>
      <c r="BC191" s="604"/>
      <c r="BD191" s="11"/>
    </row>
    <row r="192" spans="2:56" ht="20.100000000000001" customHeight="1">
      <c r="B192" s="1360" t="b">
        <f t="shared" si="41"/>
        <v>1</v>
      </c>
      <c r="C192" s="614"/>
      <c r="D192" s="9773" t="s">
        <v>601</v>
      </c>
      <c r="E192" s="9782"/>
      <c r="F192" s="285" t="s">
        <v>413</v>
      </c>
      <c r="G192" s="535"/>
      <c r="H192" s="45"/>
      <c r="I192" s="617" t="s">
        <v>602</v>
      </c>
      <c r="J192" s="618"/>
      <c r="K192" s="162" t="s">
        <v>413</v>
      </c>
      <c r="L192" s="562"/>
      <c r="M192" s="92" t="s">
        <v>209</v>
      </c>
      <c r="N192" s="562"/>
      <c r="O192" s="95" t="s">
        <v>209</v>
      </c>
      <c r="P192" s="308"/>
      <c r="Q192" s="501"/>
      <c r="R192" s="1490"/>
      <c r="S192" s="1430" t="s">
        <v>209</v>
      </c>
      <c r="T192" s="1490"/>
      <c r="U192" s="1431" t="s">
        <v>209</v>
      </c>
      <c r="V192" s="1490"/>
      <c r="W192" s="1431" t="s">
        <v>209</v>
      </c>
      <c r="X192" s="2557"/>
      <c r="Y192" s="2558"/>
      <c r="Z192" s="2559"/>
      <c r="AA192" s="2557"/>
      <c r="AB192" s="2641"/>
      <c r="AC192" s="2558"/>
      <c r="AD192" s="2641"/>
      <c r="AE192" s="2556"/>
      <c r="AF192" s="2557"/>
      <c r="AG192" s="2641"/>
      <c r="AH192" s="2558"/>
      <c r="AI192" s="2641"/>
      <c r="AJ192" s="2556"/>
      <c r="AK192" s="2557"/>
      <c r="AL192" s="2641"/>
      <c r="AM192" s="2558"/>
      <c r="AN192" s="2641"/>
      <c r="AO192" s="2556"/>
      <c r="AP192" s="2557"/>
      <c r="AQ192" s="2641"/>
      <c r="AR192" s="2558"/>
      <c r="AS192" s="2641"/>
      <c r="AT192" s="2556"/>
      <c r="AU192" s="2468"/>
      <c r="AV192" s="276"/>
      <c r="AW192" s="99" t="s">
        <v>189</v>
      </c>
      <c r="AX192" s="547"/>
      <c r="AY192" s="547"/>
      <c r="AZ192" s="299" t="s">
        <v>193</v>
      </c>
      <c r="BA192" s="620" t="s">
        <v>600</v>
      </c>
      <c r="BB192" s="154"/>
      <c r="BC192" s="604"/>
      <c r="BD192" s="11"/>
    </row>
    <row r="193" spans="1:57" ht="20.100000000000001" customHeight="1">
      <c r="B193" s="1360" t="b">
        <f t="shared" si="41"/>
        <v>1</v>
      </c>
      <c r="C193" s="9774" t="s">
        <v>603</v>
      </c>
      <c r="D193" s="9774"/>
      <c r="E193" s="9782"/>
      <c r="F193" s="285" t="s">
        <v>156</v>
      </c>
      <c r="G193" s="621"/>
      <c r="H193" s="622" t="s">
        <v>604</v>
      </c>
      <c r="I193" s="623"/>
      <c r="J193" s="618"/>
      <c r="K193" s="162" t="s">
        <v>156</v>
      </c>
      <c r="L193" s="562"/>
      <c r="M193" s="92" t="s">
        <v>209</v>
      </c>
      <c r="N193" s="562"/>
      <c r="O193" s="95" t="s">
        <v>209</v>
      </c>
      <c r="P193" s="308"/>
      <c r="Q193" s="501"/>
      <c r="R193" s="1490"/>
      <c r="S193" s="1430" t="s">
        <v>209</v>
      </c>
      <c r="T193" s="1490"/>
      <c r="U193" s="1431" t="s">
        <v>209</v>
      </c>
      <c r="V193" s="1490"/>
      <c r="W193" s="1431" t="s">
        <v>209</v>
      </c>
      <c r="X193" s="2557"/>
      <c r="Y193" s="2558"/>
      <c r="Z193" s="2559"/>
      <c r="AA193" s="2557"/>
      <c r="AB193" s="2641"/>
      <c r="AC193" s="2558"/>
      <c r="AD193" s="2641"/>
      <c r="AE193" s="2556"/>
      <c r="AF193" s="2557"/>
      <c r="AG193" s="2641"/>
      <c r="AH193" s="2558"/>
      <c r="AI193" s="2641"/>
      <c r="AJ193" s="2556"/>
      <c r="AK193" s="2557"/>
      <c r="AL193" s="2641"/>
      <c r="AM193" s="2558"/>
      <c r="AN193" s="2641"/>
      <c r="AO193" s="2556"/>
      <c r="AP193" s="2557"/>
      <c r="AQ193" s="2641"/>
      <c r="AR193" s="2558"/>
      <c r="AS193" s="2641"/>
      <c r="AT193" s="2556"/>
      <c r="AU193" s="2468" t="s">
        <v>605</v>
      </c>
      <c r="AV193" s="276" t="s">
        <v>606</v>
      </c>
      <c r="AW193" s="99" t="s">
        <v>189</v>
      </c>
      <c r="AX193" s="547"/>
      <c r="AY193" s="547"/>
      <c r="AZ193" s="299" t="s">
        <v>193</v>
      </c>
      <c r="BA193" s="620" t="s">
        <v>607</v>
      </c>
      <c r="BB193" s="154"/>
      <c r="BC193" s="604" t="s">
        <v>597</v>
      </c>
      <c r="BD193" s="11"/>
    </row>
    <row r="194" spans="1:57" ht="20.100000000000001" customHeight="1">
      <c r="B194" s="1360" t="b">
        <f t="shared" si="41"/>
        <v>1</v>
      </c>
      <c r="C194" s="614"/>
      <c r="D194" s="615" t="s">
        <v>582</v>
      </c>
      <c r="E194" s="616"/>
      <c r="F194" s="285" t="s">
        <v>413</v>
      </c>
      <c r="G194" s="535"/>
      <c r="H194" s="45"/>
      <c r="I194" s="617" t="s">
        <v>608</v>
      </c>
      <c r="J194" s="618"/>
      <c r="K194" s="162" t="s">
        <v>413</v>
      </c>
      <c r="L194" s="562"/>
      <c r="M194" s="92" t="s">
        <v>209</v>
      </c>
      <c r="N194" s="562"/>
      <c r="O194" s="95" t="s">
        <v>209</v>
      </c>
      <c r="P194" s="308"/>
      <c r="Q194" s="501"/>
      <c r="R194" s="1490"/>
      <c r="S194" s="1430" t="s">
        <v>209</v>
      </c>
      <c r="T194" s="1490"/>
      <c r="U194" s="1431" t="s">
        <v>209</v>
      </c>
      <c r="V194" s="1490"/>
      <c r="W194" s="1431" t="s">
        <v>209</v>
      </c>
      <c r="X194" s="2557"/>
      <c r="Y194" s="2558"/>
      <c r="Z194" s="2559"/>
      <c r="AA194" s="2557"/>
      <c r="AB194" s="2641"/>
      <c r="AC194" s="2558"/>
      <c r="AD194" s="2641"/>
      <c r="AE194" s="2556"/>
      <c r="AF194" s="2557"/>
      <c r="AG194" s="2641"/>
      <c r="AH194" s="2558"/>
      <c r="AI194" s="2641"/>
      <c r="AJ194" s="2556"/>
      <c r="AK194" s="2557"/>
      <c r="AL194" s="2641"/>
      <c r="AM194" s="2558"/>
      <c r="AN194" s="2641"/>
      <c r="AO194" s="2556"/>
      <c r="AP194" s="2557"/>
      <c r="AQ194" s="2641"/>
      <c r="AR194" s="2558"/>
      <c r="AS194" s="2641"/>
      <c r="AT194" s="2556"/>
      <c r="AU194" s="2468"/>
      <c r="AV194" s="276"/>
      <c r="AW194" s="99" t="s">
        <v>189</v>
      </c>
      <c r="AX194" s="547"/>
      <c r="AY194" s="547"/>
      <c r="AZ194" s="299" t="s">
        <v>193</v>
      </c>
      <c r="BA194" s="620" t="s">
        <v>607</v>
      </c>
      <c r="BB194" s="154"/>
      <c r="BC194" s="604"/>
      <c r="BD194" s="11"/>
    </row>
    <row r="195" spans="1:57" ht="20.100000000000001" customHeight="1">
      <c r="B195" s="1360" t="b">
        <f t="shared" ref="B195:B203" si="53">OR(ISBLANK(R195),ISBLANK(T195),ISBLANK(V195))</f>
        <v>1</v>
      </c>
      <c r="C195" s="614"/>
      <c r="D195" s="615" t="s">
        <v>584</v>
      </c>
      <c r="E195" s="616"/>
      <c r="F195" s="285" t="s">
        <v>413</v>
      </c>
      <c r="G195" s="535"/>
      <c r="H195" s="45"/>
      <c r="I195" s="617" t="s">
        <v>609</v>
      </c>
      <c r="J195" s="618"/>
      <c r="K195" s="162" t="s">
        <v>413</v>
      </c>
      <c r="L195" s="562"/>
      <c r="M195" s="92" t="s">
        <v>209</v>
      </c>
      <c r="N195" s="562"/>
      <c r="O195" s="95" t="s">
        <v>209</v>
      </c>
      <c r="P195" s="308"/>
      <c r="Q195" s="501"/>
      <c r="R195" s="1490"/>
      <c r="S195" s="1430" t="s">
        <v>209</v>
      </c>
      <c r="T195" s="1490"/>
      <c r="U195" s="1431" t="s">
        <v>209</v>
      </c>
      <c r="V195" s="1490"/>
      <c r="W195" s="1431" t="s">
        <v>209</v>
      </c>
      <c r="X195" s="2557"/>
      <c r="Y195" s="2558"/>
      <c r="Z195" s="2559"/>
      <c r="AA195" s="2557"/>
      <c r="AB195" s="2641"/>
      <c r="AC195" s="2558"/>
      <c r="AD195" s="2641"/>
      <c r="AE195" s="2556"/>
      <c r="AF195" s="2557"/>
      <c r="AG195" s="2641"/>
      <c r="AH195" s="2558"/>
      <c r="AI195" s="2641"/>
      <c r="AJ195" s="2556"/>
      <c r="AK195" s="2557"/>
      <c r="AL195" s="2641"/>
      <c r="AM195" s="2558"/>
      <c r="AN195" s="2641"/>
      <c r="AO195" s="2556"/>
      <c r="AP195" s="2557"/>
      <c r="AQ195" s="2641"/>
      <c r="AR195" s="2558"/>
      <c r="AS195" s="2641"/>
      <c r="AT195" s="2556"/>
      <c r="AU195" s="2468"/>
      <c r="AV195" s="276"/>
      <c r="AW195" s="99" t="s">
        <v>189</v>
      </c>
      <c r="AX195" s="547"/>
      <c r="AY195" s="547"/>
      <c r="AZ195" s="299" t="s">
        <v>193</v>
      </c>
      <c r="BA195" s="620" t="s">
        <v>607</v>
      </c>
      <c r="BB195" s="154"/>
      <c r="BC195" s="604"/>
      <c r="BD195" s="11"/>
    </row>
    <row r="196" spans="1:57" ht="20.100000000000001" customHeight="1">
      <c r="B196" s="1360" t="b">
        <f t="shared" si="53"/>
        <v>1</v>
      </c>
      <c r="C196" s="614"/>
      <c r="D196" s="615" t="s">
        <v>586</v>
      </c>
      <c r="E196" s="616"/>
      <c r="F196" s="285" t="s">
        <v>413</v>
      </c>
      <c r="G196" s="535"/>
      <c r="H196" s="45"/>
      <c r="I196" s="617" t="s">
        <v>610</v>
      </c>
      <c r="J196" s="618"/>
      <c r="K196" s="162" t="s">
        <v>413</v>
      </c>
      <c r="L196" s="562"/>
      <c r="M196" s="92" t="s">
        <v>209</v>
      </c>
      <c r="N196" s="562"/>
      <c r="O196" s="95" t="s">
        <v>209</v>
      </c>
      <c r="P196" s="308"/>
      <c r="Q196" s="297"/>
      <c r="R196" s="1490"/>
      <c r="S196" s="1430" t="s">
        <v>209</v>
      </c>
      <c r="T196" s="1490"/>
      <c r="U196" s="1431" t="s">
        <v>209</v>
      </c>
      <c r="V196" s="1490"/>
      <c r="W196" s="1431" t="s">
        <v>209</v>
      </c>
      <c r="X196" s="2557"/>
      <c r="Y196" s="2558"/>
      <c r="Z196" s="2559"/>
      <c r="AA196" s="2557"/>
      <c r="AB196" s="2641"/>
      <c r="AC196" s="2558"/>
      <c r="AD196" s="2641"/>
      <c r="AE196" s="2556"/>
      <c r="AF196" s="2557"/>
      <c r="AG196" s="2641"/>
      <c r="AH196" s="2558"/>
      <c r="AI196" s="2641"/>
      <c r="AJ196" s="2556"/>
      <c r="AK196" s="2557"/>
      <c r="AL196" s="2641"/>
      <c r="AM196" s="2558"/>
      <c r="AN196" s="2641"/>
      <c r="AO196" s="2556"/>
      <c r="AP196" s="2557"/>
      <c r="AQ196" s="2641"/>
      <c r="AR196" s="2558"/>
      <c r="AS196" s="2641"/>
      <c r="AT196" s="2556"/>
      <c r="AU196" s="2468"/>
      <c r="AV196" s="276"/>
      <c r="AW196" s="99" t="s">
        <v>189</v>
      </c>
      <c r="AX196" s="547"/>
      <c r="AY196" s="547"/>
      <c r="AZ196" s="299" t="s">
        <v>193</v>
      </c>
      <c r="BA196" s="620" t="s">
        <v>607</v>
      </c>
      <c r="BB196" s="154"/>
      <c r="BC196" s="604"/>
      <c r="BD196" s="11"/>
    </row>
    <row r="197" spans="1:57" ht="20.100000000000001" customHeight="1">
      <c r="B197" s="1360" t="b">
        <f t="shared" si="53"/>
        <v>1</v>
      </c>
      <c r="C197" s="614"/>
      <c r="D197" s="615" t="s">
        <v>588</v>
      </c>
      <c r="E197" s="616"/>
      <c r="F197" s="285" t="s">
        <v>413</v>
      </c>
      <c r="G197" s="535"/>
      <c r="H197" s="45"/>
      <c r="I197" s="617" t="s">
        <v>611</v>
      </c>
      <c r="J197" s="618"/>
      <c r="K197" s="162" t="s">
        <v>413</v>
      </c>
      <c r="L197" s="562"/>
      <c r="M197" s="92" t="s">
        <v>209</v>
      </c>
      <c r="N197" s="562"/>
      <c r="O197" s="95" t="s">
        <v>209</v>
      </c>
      <c r="P197" s="308"/>
      <c r="Q197" s="297"/>
      <c r="R197" s="1490"/>
      <c r="S197" s="1430" t="s">
        <v>209</v>
      </c>
      <c r="T197" s="1490"/>
      <c r="U197" s="1431" t="s">
        <v>209</v>
      </c>
      <c r="V197" s="1490"/>
      <c r="W197" s="1431" t="s">
        <v>209</v>
      </c>
      <c r="X197" s="2557"/>
      <c r="Y197" s="2558"/>
      <c r="Z197" s="2559"/>
      <c r="AA197" s="2557"/>
      <c r="AB197" s="2641"/>
      <c r="AC197" s="2558"/>
      <c r="AD197" s="2641"/>
      <c r="AE197" s="2556"/>
      <c r="AF197" s="2557"/>
      <c r="AG197" s="2641"/>
      <c r="AH197" s="2558"/>
      <c r="AI197" s="2641"/>
      <c r="AJ197" s="2556"/>
      <c r="AK197" s="2557"/>
      <c r="AL197" s="2641"/>
      <c r="AM197" s="2558"/>
      <c r="AN197" s="2641"/>
      <c r="AO197" s="2556"/>
      <c r="AP197" s="2557"/>
      <c r="AQ197" s="2641"/>
      <c r="AR197" s="2558"/>
      <c r="AS197" s="2641"/>
      <c r="AT197" s="2556"/>
      <c r="AU197" s="2468"/>
      <c r="AV197" s="276"/>
      <c r="AW197" s="99" t="s">
        <v>189</v>
      </c>
      <c r="AX197" s="547"/>
      <c r="AY197" s="547"/>
      <c r="AZ197" s="299" t="s">
        <v>193</v>
      </c>
      <c r="BA197" s="620" t="s">
        <v>607</v>
      </c>
      <c r="BB197" s="154"/>
      <c r="BC197" s="159"/>
      <c r="BD197" s="11"/>
    </row>
    <row r="198" spans="1:57" ht="20.100000000000001" customHeight="1">
      <c r="B198" s="1360" t="b">
        <f t="shared" si="53"/>
        <v>1</v>
      </c>
      <c r="C198" s="614"/>
      <c r="D198" s="619" t="s">
        <v>590</v>
      </c>
      <c r="E198" s="619"/>
      <c r="F198" s="285" t="s">
        <v>413</v>
      </c>
      <c r="G198" s="535"/>
      <c r="H198" s="45"/>
      <c r="I198" s="617" t="s">
        <v>612</v>
      </c>
      <c r="J198" s="618"/>
      <c r="K198" s="162" t="s">
        <v>413</v>
      </c>
      <c r="L198" s="562"/>
      <c r="M198" s="92" t="s">
        <v>209</v>
      </c>
      <c r="N198" s="562"/>
      <c r="O198" s="95" t="s">
        <v>209</v>
      </c>
      <c r="P198" s="308"/>
      <c r="Q198" s="297"/>
      <c r="R198" s="1490"/>
      <c r="S198" s="1430" t="s">
        <v>209</v>
      </c>
      <c r="T198" s="1490"/>
      <c r="U198" s="1431" t="s">
        <v>209</v>
      </c>
      <c r="V198" s="1490"/>
      <c r="W198" s="1431" t="s">
        <v>209</v>
      </c>
      <c r="X198" s="2557"/>
      <c r="Y198" s="2558"/>
      <c r="Z198" s="2559"/>
      <c r="AA198" s="2557"/>
      <c r="AB198" s="2641"/>
      <c r="AC198" s="2558"/>
      <c r="AD198" s="2641"/>
      <c r="AE198" s="2556"/>
      <c r="AF198" s="2557"/>
      <c r="AG198" s="2641"/>
      <c r="AH198" s="2558"/>
      <c r="AI198" s="2641"/>
      <c r="AJ198" s="2556"/>
      <c r="AK198" s="2557"/>
      <c r="AL198" s="2641"/>
      <c r="AM198" s="2558"/>
      <c r="AN198" s="2641"/>
      <c r="AO198" s="2556"/>
      <c r="AP198" s="2557"/>
      <c r="AQ198" s="2641"/>
      <c r="AR198" s="2558"/>
      <c r="AS198" s="2641"/>
      <c r="AT198" s="2556"/>
      <c r="AU198" s="2468"/>
      <c r="AV198" s="276"/>
      <c r="AW198" s="99" t="s">
        <v>189</v>
      </c>
      <c r="AX198" s="547"/>
      <c r="AY198" s="547"/>
      <c r="AZ198" s="299" t="s">
        <v>193</v>
      </c>
      <c r="BA198" s="620" t="s">
        <v>607</v>
      </c>
      <c r="BB198" s="154"/>
      <c r="BC198" s="159"/>
      <c r="BD198" s="11"/>
    </row>
    <row r="199" spans="1:57" ht="20.100000000000001" customHeight="1">
      <c r="B199" s="1360" t="b">
        <f t="shared" si="53"/>
        <v>1</v>
      </c>
      <c r="C199" s="161" t="s">
        <v>613</v>
      </c>
      <c r="D199" s="161"/>
      <c r="E199" s="161"/>
      <c r="F199" s="285" t="s">
        <v>156</v>
      </c>
      <c r="G199" s="621"/>
      <c r="H199" s="622" t="s">
        <v>614</v>
      </c>
      <c r="I199" s="623"/>
      <c r="J199" s="618"/>
      <c r="K199" s="162" t="s">
        <v>156</v>
      </c>
      <c r="L199" s="562"/>
      <c r="M199" s="92" t="s">
        <v>1780</v>
      </c>
      <c r="N199" s="562"/>
      <c r="O199" s="95" t="s">
        <v>1780</v>
      </c>
      <c r="P199" s="308"/>
      <c r="Q199" s="297"/>
      <c r="R199" s="1490"/>
      <c r="S199" s="1430" t="s">
        <v>1780</v>
      </c>
      <c r="T199" s="1490"/>
      <c r="U199" s="1431" t="s">
        <v>1780</v>
      </c>
      <c r="V199" s="1490"/>
      <c r="W199" s="1431" t="s">
        <v>1780</v>
      </c>
      <c r="X199" s="2557"/>
      <c r="Y199" s="2558"/>
      <c r="Z199" s="2559"/>
      <c r="AA199" s="2557"/>
      <c r="AB199" s="2641"/>
      <c r="AC199" s="2558"/>
      <c r="AD199" s="2641"/>
      <c r="AE199" s="2556"/>
      <c r="AF199" s="2557"/>
      <c r="AG199" s="2641"/>
      <c r="AH199" s="2558"/>
      <c r="AI199" s="2641"/>
      <c r="AJ199" s="2556"/>
      <c r="AK199" s="2557"/>
      <c r="AL199" s="2641"/>
      <c r="AM199" s="2558"/>
      <c r="AN199" s="2641"/>
      <c r="AO199" s="2556"/>
      <c r="AP199" s="2557"/>
      <c r="AQ199" s="2641"/>
      <c r="AR199" s="2558"/>
      <c r="AS199" s="2641"/>
      <c r="AT199" s="2556"/>
      <c r="AU199" s="2468" t="s">
        <v>615</v>
      </c>
      <c r="AV199" s="276" t="s">
        <v>616</v>
      </c>
      <c r="AW199" s="99" t="s">
        <v>189</v>
      </c>
      <c r="AX199" s="547"/>
      <c r="AY199" s="547"/>
      <c r="AZ199" s="299" t="s">
        <v>193</v>
      </c>
      <c r="BA199" s="620" t="s">
        <v>617</v>
      </c>
      <c r="BB199" s="154"/>
      <c r="BC199" s="159"/>
      <c r="BD199" s="11"/>
    </row>
    <row r="200" spans="1:57" ht="20.100000000000001" customHeight="1">
      <c r="B200" s="1360" t="b">
        <f t="shared" si="53"/>
        <v>1</v>
      </c>
      <c r="C200" s="161"/>
      <c r="D200" s="615" t="s">
        <v>618</v>
      </c>
      <c r="E200" s="616"/>
      <c r="F200" s="285" t="s">
        <v>413</v>
      </c>
      <c r="G200" s="624"/>
      <c r="H200" s="625"/>
      <c r="I200" s="626" t="s">
        <v>619</v>
      </c>
      <c r="J200" s="618"/>
      <c r="K200" s="162" t="s">
        <v>413</v>
      </c>
      <c r="L200" s="562"/>
      <c r="M200" s="92" t="s">
        <v>1780</v>
      </c>
      <c r="N200" s="562"/>
      <c r="O200" s="95" t="s">
        <v>1780</v>
      </c>
      <c r="P200" s="308"/>
      <c r="Q200" s="297"/>
      <c r="R200" s="1490"/>
      <c r="S200" s="1430" t="s">
        <v>1780</v>
      </c>
      <c r="T200" s="1490"/>
      <c r="U200" s="1431" t="s">
        <v>1780</v>
      </c>
      <c r="V200" s="1490"/>
      <c r="W200" s="1431" t="s">
        <v>1780</v>
      </c>
      <c r="X200" s="2557"/>
      <c r="Y200" s="2558"/>
      <c r="Z200" s="2559"/>
      <c r="AA200" s="2557"/>
      <c r="AB200" s="2641"/>
      <c r="AC200" s="2558"/>
      <c r="AD200" s="2641"/>
      <c r="AE200" s="2556"/>
      <c r="AF200" s="2557"/>
      <c r="AG200" s="2641"/>
      <c r="AH200" s="2558"/>
      <c r="AI200" s="2641"/>
      <c r="AJ200" s="2556"/>
      <c r="AK200" s="2557"/>
      <c r="AL200" s="2641"/>
      <c r="AM200" s="2558"/>
      <c r="AN200" s="2641"/>
      <c r="AO200" s="2556"/>
      <c r="AP200" s="2557"/>
      <c r="AQ200" s="2641"/>
      <c r="AR200" s="2558"/>
      <c r="AS200" s="2641"/>
      <c r="AT200" s="2556"/>
      <c r="AU200" s="2468"/>
      <c r="AV200" s="276"/>
      <c r="AW200" s="99" t="s">
        <v>189</v>
      </c>
      <c r="AX200" s="547"/>
      <c r="AY200" s="547"/>
      <c r="AZ200" s="299" t="s">
        <v>193</v>
      </c>
      <c r="BA200" s="620" t="s">
        <v>617</v>
      </c>
      <c r="BB200" s="154"/>
      <c r="BC200" s="159"/>
      <c r="BD200" s="11"/>
    </row>
    <row r="201" spans="1:57" ht="20.100000000000001" customHeight="1">
      <c r="B201" s="1360" t="b">
        <f t="shared" si="53"/>
        <v>1</v>
      </c>
      <c r="C201" s="614"/>
      <c r="D201" s="615" t="s">
        <v>620</v>
      </c>
      <c r="E201" s="616"/>
      <c r="F201" s="285" t="s">
        <v>413</v>
      </c>
      <c r="G201" s="627"/>
      <c r="H201" s="628"/>
      <c r="I201" s="626" t="s">
        <v>621</v>
      </c>
      <c r="J201" s="618"/>
      <c r="K201" s="162" t="s">
        <v>413</v>
      </c>
      <c r="L201" s="562"/>
      <c r="M201" s="92" t="s">
        <v>1780</v>
      </c>
      <c r="N201" s="562"/>
      <c r="O201" s="95" t="s">
        <v>1780</v>
      </c>
      <c r="P201" s="308"/>
      <c r="Q201" s="297"/>
      <c r="R201" s="1490"/>
      <c r="S201" s="1430" t="s">
        <v>1780</v>
      </c>
      <c r="T201" s="1490"/>
      <c r="U201" s="1431" t="s">
        <v>1780</v>
      </c>
      <c r="V201" s="1490"/>
      <c r="W201" s="1431" t="s">
        <v>1780</v>
      </c>
      <c r="X201" s="2557"/>
      <c r="Y201" s="2558"/>
      <c r="Z201" s="2559"/>
      <c r="AA201" s="2557"/>
      <c r="AB201" s="2641"/>
      <c r="AC201" s="2558"/>
      <c r="AD201" s="2641"/>
      <c r="AE201" s="2556"/>
      <c r="AF201" s="2557"/>
      <c r="AG201" s="2641"/>
      <c r="AH201" s="2558"/>
      <c r="AI201" s="2641"/>
      <c r="AJ201" s="2556"/>
      <c r="AK201" s="2557"/>
      <c r="AL201" s="2641"/>
      <c r="AM201" s="2558"/>
      <c r="AN201" s="2641"/>
      <c r="AO201" s="2556"/>
      <c r="AP201" s="2557"/>
      <c r="AQ201" s="2641"/>
      <c r="AR201" s="2558"/>
      <c r="AS201" s="2641"/>
      <c r="AT201" s="2556"/>
      <c r="AU201" s="2468"/>
      <c r="AV201" s="276"/>
      <c r="AW201" s="99" t="s">
        <v>189</v>
      </c>
      <c r="AX201" s="547"/>
      <c r="AY201" s="547"/>
      <c r="AZ201" s="299" t="s">
        <v>193</v>
      </c>
      <c r="BA201" s="620" t="s">
        <v>617</v>
      </c>
      <c r="BB201" s="154"/>
      <c r="BC201" s="159"/>
      <c r="BD201" s="11"/>
    </row>
    <row r="202" spans="1:57" ht="20.100000000000001" customHeight="1">
      <c r="B202" s="1360" t="b">
        <f t="shared" si="53"/>
        <v>1</v>
      </c>
      <c r="C202" s="614"/>
      <c r="D202" s="615" t="s">
        <v>622</v>
      </c>
      <c r="E202" s="616"/>
      <c r="F202" s="285" t="s">
        <v>413</v>
      </c>
      <c r="G202" s="627"/>
      <c r="H202" s="628"/>
      <c r="I202" s="626" t="s">
        <v>623</v>
      </c>
      <c r="J202" s="618"/>
      <c r="K202" s="162" t="s">
        <v>413</v>
      </c>
      <c r="L202" s="562"/>
      <c r="M202" s="92" t="s">
        <v>1780</v>
      </c>
      <c r="N202" s="562"/>
      <c r="O202" s="95" t="s">
        <v>1780</v>
      </c>
      <c r="P202" s="308"/>
      <c r="Q202" s="297"/>
      <c r="R202" s="1490"/>
      <c r="S202" s="1430" t="s">
        <v>1780</v>
      </c>
      <c r="T202" s="1490"/>
      <c r="U202" s="1431" t="s">
        <v>1780</v>
      </c>
      <c r="V202" s="1490"/>
      <c r="W202" s="1431" t="s">
        <v>1780</v>
      </c>
      <c r="X202" s="2557"/>
      <c r="Y202" s="2558"/>
      <c r="Z202" s="2559"/>
      <c r="AA202" s="2557"/>
      <c r="AB202" s="2641"/>
      <c r="AC202" s="2558"/>
      <c r="AD202" s="2641"/>
      <c r="AE202" s="2556"/>
      <c r="AF202" s="2557"/>
      <c r="AG202" s="2641"/>
      <c r="AH202" s="2558"/>
      <c r="AI202" s="2641"/>
      <c r="AJ202" s="2556"/>
      <c r="AK202" s="2557"/>
      <c r="AL202" s="2641"/>
      <c r="AM202" s="2558"/>
      <c r="AN202" s="2641"/>
      <c r="AO202" s="2556"/>
      <c r="AP202" s="2557"/>
      <c r="AQ202" s="2641"/>
      <c r="AR202" s="2558"/>
      <c r="AS202" s="2641"/>
      <c r="AT202" s="2556"/>
      <c r="AU202" s="2472"/>
      <c r="AV202" s="457"/>
      <c r="AW202" s="99" t="s">
        <v>189</v>
      </c>
      <c r="AX202" s="547"/>
      <c r="AY202" s="547"/>
      <c r="AZ202" s="299" t="s">
        <v>193</v>
      </c>
      <c r="BA202" s="620" t="s">
        <v>617</v>
      </c>
      <c r="BB202" s="154"/>
      <c r="BC202" s="159"/>
      <c r="BD202" s="11"/>
    </row>
    <row r="203" spans="1:57" ht="20.100000000000001" customHeight="1" thickBot="1">
      <c r="B203" s="1361" t="b">
        <f t="shared" si="53"/>
        <v>1</v>
      </c>
      <c r="C203" s="1615"/>
      <c r="D203" s="9791" t="s">
        <v>624</v>
      </c>
      <c r="E203" s="9792"/>
      <c r="F203" s="1616" t="s">
        <v>413</v>
      </c>
      <c r="G203" s="1617"/>
      <c r="H203" s="1618"/>
      <c r="I203" s="1619" t="s">
        <v>625</v>
      </c>
      <c r="J203" s="1620"/>
      <c r="K203" s="1181" t="s">
        <v>413</v>
      </c>
      <c r="L203" s="1621"/>
      <c r="M203" s="242" t="s">
        <v>1780</v>
      </c>
      <c r="N203" s="1621"/>
      <c r="O203" s="1622" t="s">
        <v>1780</v>
      </c>
      <c r="P203" s="1623"/>
      <c r="Q203" s="1624"/>
      <c r="R203" s="1625"/>
      <c r="S203" s="1626" t="s">
        <v>1780</v>
      </c>
      <c r="T203" s="1625"/>
      <c r="U203" s="1627" t="s">
        <v>1780</v>
      </c>
      <c r="V203" s="1625"/>
      <c r="W203" s="1627" t="s">
        <v>1780</v>
      </c>
      <c r="X203" s="2690"/>
      <c r="Y203" s="2691"/>
      <c r="Z203" s="2692"/>
      <c r="AA203" s="2690"/>
      <c r="AB203" s="2693"/>
      <c r="AC203" s="2691"/>
      <c r="AD203" s="2693"/>
      <c r="AE203" s="2694"/>
      <c r="AF203" s="2690"/>
      <c r="AG203" s="2693"/>
      <c r="AH203" s="2691"/>
      <c r="AI203" s="2693"/>
      <c r="AJ203" s="2694"/>
      <c r="AK203" s="2690"/>
      <c r="AL203" s="2693"/>
      <c r="AM203" s="2691"/>
      <c r="AN203" s="2693"/>
      <c r="AO203" s="2694"/>
      <c r="AP203" s="2690"/>
      <c r="AQ203" s="2693"/>
      <c r="AR203" s="2691"/>
      <c r="AS203" s="2693"/>
      <c r="AT203" s="2694"/>
      <c r="AU203" s="2478"/>
      <c r="AV203" s="1628"/>
      <c r="AW203" s="1629" t="s">
        <v>189</v>
      </c>
      <c r="AX203" s="715"/>
      <c r="AY203" s="715"/>
      <c r="AZ203" s="1630" t="s">
        <v>193</v>
      </c>
      <c r="BA203" s="1631" t="s">
        <v>617</v>
      </c>
      <c r="BB203" s="1632"/>
      <c r="BC203" s="1633" t="s">
        <v>597</v>
      </c>
      <c r="BD203" s="11"/>
    </row>
    <row r="204" spans="1:57" ht="27" thickBot="1">
      <c r="A204" s="50"/>
      <c r="B204" s="65" t="s">
        <v>727</v>
      </c>
      <c r="C204" s="244"/>
      <c r="D204" s="244"/>
      <c r="E204" s="244"/>
      <c r="F204" s="245"/>
      <c r="G204" s="246" t="s">
        <v>728</v>
      </c>
      <c r="H204" s="247"/>
      <c r="I204" s="247"/>
      <c r="J204" s="247"/>
      <c r="K204" s="245"/>
      <c r="L204" s="1611"/>
      <c r="M204" s="1611"/>
      <c r="N204" s="1611"/>
      <c r="O204" s="1611"/>
      <c r="P204" s="1611"/>
      <c r="Q204" s="1611"/>
      <c r="R204" s="1612"/>
      <c r="S204" s="1613"/>
      <c r="T204" s="1612"/>
      <c r="U204" s="1613"/>
      <c r="V204" s="1612"/>
      <c r="W204" s="1611"/>
      <c r="X204" s="2695"/>
      <c r="Y204" s="2696"/>
      <c r="Z204" s="2696"/>
      <c r="AA204" s="2697"/>
      <c r="AB204" s="2698"/>
      <c r="AC204" s="2698"/>
      <c r="AD204" s="2698"/>
      <c r="AE204" s="2699"/>
      <c r="AF204" s="2697"/>
      <c r="AG204" s="2698"/>
      <c r="AH204" s="2698"/>
      <c r="AI204" s="2698"/>
      <c r="AJ204" s="2699"/>
      <c r="AK204" s="2697"/>
      <c r="AL204" s="2698"/>
      <c r="AM204" s="2698"/>
      <c r="AN204" s="2698"/>
      <c r="AO204" s="2699"/>
      <c r="AP204" s="2697"/>
      <c r="AQ204" s="2698"/>
      <c r="AR204" s="2698"/>
      <c r="AS204" s="2698"/>
      <c r="AT204" s="2699"/>
      <c r="AU204" s="249"/>
      <c r="AV204" s="249"/>
      <c r="AW204" s="250"/>
      <c r="AX204" s="250"/>
      <c r="AY204" s="250"/>
      <c r="AZ204" s="250"/>
      <c r="BA204" s="1614"/>
      <c r="BB204" s="1614"/>
      <c r="BC204" s="251"/>
      <c r="BD204" s="18"/>
      <c r="BE204" s="54"/>
    </row>
    <row r="205" spans="1:57" ht="27" thickBot="1">
      <c r="B205" s="123" t="s">
        <v>729</v>
      </c>
      <c r="C205" s="124"/>
      <c r="D205" s="124"/>
      <c r="E205" s="124"/>
      <c r="F205" s="78"/>
      <c r="G205" s="125" t="s">
        <v>730</v>
      </c>
      <c r="H205" s="126"/>
      <c r="I205" s="126"/>
      <c r="J205" s="126"/>
      <c r="K205" s="78"/>
      <c r="L205" s="77"/>
      <c r="M205" s="77"/>
      <c r="N205" s="77"/>
      <c r="O205" s="77"/>
      <c r="P205" s="77"/>
      <c r="Q205" s="77"/>
      <c r="R205" s="1484"/>
      <c r="S205" s="1410"/>
      <c r="T205" s="1484"/>
      <c r="U205" s="1410"/>
      <c r="V205" s="1484"/>
      <c r="W205" s="77"/>
      <c r="X205" s="2578"/>
      <c r="Y205" s="2579"/>
      <c r="Z205" s="2579"/>
      <c r="AA205" s="2580"/>
      <c r="AB205" s="2581"/>
      <c r="AC205" s="2581"/>
      <c r="AD205" s="2581"/>
      <c r="AE205" s="2582"/>
      <c r="AF205" s="2580"/>
      <c r="AG205" s="2581"/>
      <c r="AH205" s="2581"/>
      <c r="AI205" s="2581"/>
      <c r="AJ205" s="2582"/>
      <c r="AK205" s="2580"/>
      <c r="AL205" s="2581"/>
      <c r="AM205" s="2581"/>
      <c r="AN205" s="2581"/>
      <c r="AO205" s="2582"/>
      <c r="AP205" s="2580"/>
      <c r="AQ205" s="2581"/>
      <c r="AR205" s="2581"/>
      <c r="AS205" s="2581"/>
      <c r="AT205" s="2582"/>
      <c r="AU205" s="80"/>
      <c r="AV205" s="80"/>
      <c r="AW205" s="129"/>
      <c r="AX205" s="129"/>
      <c r="AY205" s="129"/>
      <c r="AZ205" s="129"/>
      <c r="BA205" s="328"/>
      <c r="BB205" s="328"/>
      <c r="BC205" s="329"/>
      <c r="BD205" s="18"/>
    </row>
    <row r="206" spans="1:57" ht="19.899999999999999" customHeight="1">
      <c r="B206" s="1359" t="b">
        <f t="shared" ref="B206:B210" si="54">OR(ISBLANK(R206),ISBLANK(T206),ISBLANK(V206))</f>
        <v>0</v>
      </c>
      <c r="C206" s="9801" t="s">
        <v>731</v>
      </c>
      <c r="D206" s="9801"/>
      <c r="E206" s="9801"/>
      <c r="F206" s="636" t="s">
        <v>732</v>
      </c>
      <c r="G206" s="330"/>
      <c r="H206" s="254" t="s">
        <v>733</v>
      </c>
      <c r="I206" s="602"/>
      <c r="J206" s="637"/>
      <c r="K206" s="436" t="s">
        <v>734</v>
      </c>
      <c r="L206" s="531">
        <f>SUM(L207:L210)</f>
        <v>6507</v>
      </c>
      <c r="M206" s="638"/>
      <c r="N206" s="531">
        <f>SUM(N207:N210)</f>
        <v>8712</v>
      </c>
      <c r="O206" s="639"/>
      <c r="P206" s="640"/>
      <c r="Q206" s="501"/>
      <c r="R206" s="1469">
        <v>3621</v>
      </c>
      <c r="S206" s="1529"/>
      <c r="T206" s="1469">
        <v>4591</v>
      </c>
      <c r="U206" s="1524"/>
      <c r="V206" s="526">
        <f>SUM(V207:V210)</f>
        <v>4759</v>
      </c>
      <c r="W206" s="2076"/>
      <c r="X206" s="2664">
        <f>SUM(X207:X210)</f>
        <v>183</v>
      </c>
      <c r="Y206" s="2665">
        <f t="shared" ref="Y206:AO206" si="55">SUM(Y207:Y210)</f>
        <v>231</v>
      </c>
      <c r="Z206" s="2666">
        <f t="shared" si="55"/>
        <v>249</v>
      </c>
      <c r="AA206" s="2664">
        <f t="shared" si="55"/>
        <v>1054</v>
      </c>
      <c r="AB206" s="2700">
        <f t="shared" si="55"/>
        <v>0</v>
      </c>
      <c r="AC206" s="2665">
        <f t="shared" si="55"/>
        <v>909</v>
      </c>
      <c r="AD206" s="2561">
        <f t="shared" si="55"/>
        <v>0</v>
      </c>
      <c r="AE206" s="2667">
        <f t="shared" si="55"/>
        <v>750</v>
      </c>
      <c r="AF206" s="2664">
        <f t="shared" si="55"/>
        <v>1582</v>
      </c>
      <c r="AG206" s="2700">
        <f t="shared" si="55"/>
        <v>0</v>
      </c>
      <c r="AH206" s="2665">
        <f t="shared" si="55"/>
        <v>2854</v>
      </c>
      <c r="AI206" s="2561">
        <f t="shared" si="55"/>
        <v>0</v>
      </c>
      <c r="AJ206" s="2667">
        <f t="shared" si="55"/>
        <v>2831</v>
      </c>
      <c r="AK206" s="2664">
        <f t="shared" si="55"/>
        <v>381</v>
      </c>
      <c r="AL206" s="2561">
        <f t="shared" si="55"/>
        <v>0</v>
      </c>
      <c r="AM206" s="2665">
        <f t="shared" si="55"/>
        <v>393</v>
      </c>
      <c r="AN206" s="2561">
        <f t="shared" si="55"/>
        <v>0</v>
      </c>
      <c r="AO206" s="2667">
        <f t="shared" si="55"/>
        <v>412</v>
      </c>
      <c r="AP206" s="2664"/>
      <c r="AQ206" s="2700"/>
      <c r="AR206" s="2665"/>
      <c r="AS206" s="2561"/>
      <c r="AT206" s="2667"/>
      <c r="AU206" s="1021" t="s">
        <v>735</v>
      </c>
      <c r="AV206" s="367" t="s">
        <v>736</v>
      </c>
      <c r="AW206" s="642" t="s">
        <v>737</v>
      </c>
      <c r="AX206" s="547" t="s">
        <v>738</v>
      </c>
      <c r="AY206" s="534"/>
      <c r="AZ206" s="642"/>
      <c r="BA206" s="620" t="s">
        <v>739</v>
      </c>
      <c r="BB206" s="620" t="s">
        <v>740</v>
      </c>
      <c r="BC206" s="159" t="s">
        <v>741</v>
      </c>
      <c r="BD206" s="18"/>
    </row>
    <row r="207" spans="1:57" ht="20.100000000000001" customHeight="1">
      <c r="B207" s="1360" t="b">
        <f t="shared" si="54"/>
        <v>0</v>
      </c>
      <c r="C207" s="9802"/>
      <c r="D207" s="619" t="s">
        <v>743</v>
      </c>
      <c r="E207" s="619"/>
      <c r="F207" s="492" t="s">
        <v>732</v>
      </c>
      <c r="G207" s="347"/>
      <c r="H207" s="348"/>
      <c r="I207" s="495" t="s">
        <v>744</v>
      </c>
      <c r="J207" s="643"/>
      <c r="K207" s="164" t="s">
        <v>734</v>
      </c>
      <c r="L207" s="641">
        <v>3996</v>
      </c>
      <c r="M207" s="641"/>
      <c r="N207" s="641">
        <v>4650</v>
      </c>
      <c r="O207" s="639"/>
      <c r="P207" s="644"/>
      <c r="Q207" s="645"/>
      <c r="R207" s="1463">
        <v>3031</v>
      </c>
      <c r="S207" s="1429" t="s">
        <v>746</v>
      </c>
      <c r="T207" s="1463">
        <v>3629</v>
      </c>
      <c r="U207" s="1429" t="s">
        <v>1798</v>
      </c>
      <c r="V207" s="5486">
        <v>3726</v>
      </c>
      <c r="W207" s="2078" t="s">
        <v>1799</v>
      </c>
      <c r="X207" s="2557">
        <f>'4DPLEX'!R197</f>
        <v>133</v>
      </c>
      <c r="Y207" s="2558">
        <f>'4DPLEX'!T197</f>
        <v>166</v>
      </c>
      <c r="Z207" s="2559">
        <f>'4DPLEX'!V197</f>
        <v>183</v>
      </c>
      <c r="AA207" s="2684">
        <f>China!AO206</f>
        <v>52</v>
      </c>
      <c r="AB207" s="2688" t="str">
        <f>China!AP206</f>
        <v xml:space="preserve">Full time 기준
</v>
      </c>
      <c r="AC207" s="2686">
        <f>China!AQ206</f>
        <v>77</v>
      </c>
      <c r="AD207" s="2688" t="str">
        <f>China!AR206</f>
        <v xml:space="preserve">Full time 기준
</v>
      </c>
      <c r="AE207" s="2687">
        <f>China!AS206</f>
        <v>100</v>
      </c>
      <c r="AF207" s="2684">
        <f>Vietnam!Q206</f>
        <v>476</v>
      </c>
      <c r="AG207" s="2701" t="str">
        <f>Vietnam!R206</f>
        <v>Fulltime (including Expat)</v>
      </c>
      <c r="AH207" s="2686">
        <f>Vietnam!S206</f>
        <v>407</v>
      </c>
      <c r="AI207" s="2701" t="str">
        <f>Vietnam!T206</f>
        <v xml:space="preserve">Fulltime (including Expat) </v>
      </c>
      <c r="AJ207" s="2687">
        <f>Vietnam!U206</f>
        <v>352</v>
      </c>
      <c r="AK207" s="2684">
        <f>Indonesia!V206</f>
        <v>365</v>
      </c>
      <c r="AL207" s="2702" t="str">
        <f>Indonesia!W206</f>
        <v>Full time기준)미소지기는 아웃소싱</v>
      </c>
      <c r="AM207" s="2686">
        <f>Indonesia!X206</f>
        <v>337</v>
      </c>
      <c r="AN207" s="2688" t="str">
        <f>Indonesia!Y206</f>
        <v>Full time기준)미소지기는 아웃소싱</v>
      </c>
      <c r="AO207" s="2687">
        <f>Indonesia!Z206</f>
        <v>347</v>
      </c>
      <c r="AP207" s="2557">
        <f>Türkiye!AA206</f>
        <v>1280</v>
      </c>
      <c r="AQ207" s="2561">
        <f>Türkiye!AB206</f>
        <v>0</v>
      </c>
      <c r="AR207" s="2558">
        <f>Türkiye!AC206</f>
        <v>1144</v>
      </c>
      <c r="AS207" s="2561">
        <f>Türkiye!AD206</f>
        <v>0</v>
      </c>
      <c r="AT207" s="2556">
        <f>Türkiye!AE206</f>
        <v>1059</v>
      </c>
      <c r="AU207" s="498" t="s">
        <v>735</v>
      </c>
      <c r="AV207" s="367" t="s">
        <v>736</v>
      </c>
      <c r="AW207" s="99" t="s">
        <v>745</v>
      </c>
      <c r="AX207" s="547" t="s">
        <v>738</v>
      </c>
      <c r="AY207" s="547"/>
      <c r="AZ207" s="99"/>
      <c r="BA207" s="620" t="s">
        <v>739</v>
      </c>
      <c r="BB207" s="620" t="s">
        <v>740</v>
      </c>
      <c r="BC207" s="159"/>
      <c r="BD207" s="18"/>
    </row>
    <row r="208" spans="1:57" ht="20.100000000000001" customHeight="1">
      <c r="B208" s="1360" t="b">
        <f t="shared" si="54"/>
        <v>0</v>
      </c>
      <c r="C208" s="9803"/>
      <c r="D208" s="9773" t="s">
        <v>752</v>
      </c>
      <c r="E208" s="9774"/>
      <c r="F208" s="492" t="s">
        <v>732</v>
      </c>
      <c r="G208" s="106"/>
      <c r="H208" s="353"/>
      <c r="I208" s="495" t="s">
        <v>753</v>
      </c>
      <c r="J208" s="643"/>
      <c r="K208" s="164" t="s">
        <v>734</v>
      </c>
      <c r="L208" s="641">
        <v>2309</v>
      </c>
      <c r="M208" s="641"/>
      <c r="N208" s="641">
        <v>3809</v>
      </c>
      <c r="O208" s="639"/>
      <c r="P208" s="644"/>
      <c r="Q208" s="645"/>
      <c r="R208" s="1463">
        <v>565</v>
      </c>
      <c r="S208" s="1429" t="s">
        <v>746</v>
      </c>
      <c r="T208" s="1463">
        <v>865</v>
      </c>
      <c r="U208" s="1429" t="s">
        <v>1798</v>
      </c>
      <c r="V208" s="5486">
        <v>950</v>
      </c>
      <c r="W208" s="2078" t="s">
        <v>1799</v>
      </c>
      <c r="X208" s="2557">
        <f>'4DPLEX'!R198</f>
        <v>8</v>
      </c>
      <c r="Y208" s="2558">
        <f>'4DPLEX'!T198</f>
        <v>15</v>
      </c>
      <c r="Z208" s="2559">
        <f>'4DPLEX'!V198</f>
        <v>12</v>
      </c>
      <c r="AA208" s="2684">
        <f>China!AO207</f>
        <v>1001</v>
      </c>
      <c r="AB208" s="2688" t="str">
        <f>China!AP207</f>
        <v xml:space="preserve">Full time 기준
</v>
      </c>
      <c r="AC208" s="2686">
        <f>China!AQ207</f>
        <v>831</v>
      </c>
      <c r="AD208" s="2688" t="str">
        <f>China!AR207</f>
        <v xml:space="preserve">Full time 기준
</v>
      </c>
      <c r="AE208" s="2687">
        <f>China!AS207</f>
        <v>649</v>
      </c>
      <c r="AF208" s="2684">
        <f>Vietnam!Q207</f>
        <v>629</v>
      </c>
      <c r="AG208" s="2701" t="str">
        <f>Vietnam!R207</f>
        <v>Full-time+PT+Intern+Temp</v>
      </c>
      <c r="AH208" s="2686">
        <f>Vietnam!S207</f>
        <v>2039</v>
      </c>
      <c r="AI208" s="2701" t="str">
        <f>Vietnam!T207</f>
        <v>Full-time+PT+Intern+Temp</v>
      </c>
      <c r="AJ208" s="2687">
        <f>Vietnam!U207</f>
        <v>2126</v>
      </c>
      <c r="AK208" s="2684">
        <f>Indonesia!V207</f>
        <v>9</v>
      </c>
      <c r="AL208" s="2688" t="str">
        <f>Indonesia!W207</f>
        <v>Full time기준)미소지기는 아웃소싱</v>
      </c>
      <c r="AM208" s="2686">
        <f>Indonesia!X207</f>
        <v>49</v>
      </c>
      <c r="AN208" s="2688" t="str">
        <f>Indonesia!Y207</f>
        <v>Full time기준)미소지기는 아웃소싱</v>
      </c>
      <c r="AO208" s="2687">
        <f>Indonesia!Z207</f>
        <v>58</v>
      </c>
      <c r="AP208" s="2557">
        <f>Türkiye!AA207</f>
        <v>0</v>
      </c>
      <c r="AQ208" s="2561">
        <f>Türkiye!AB207</f>
        <v>0</v>
      </c>
      <c r="AR208" s="2558">
        <f>Türkiye!AC207</f>
        <v>0</v>
      </c>
      <c r="AS208" s="2561">
        <f>Türkiye!AD207</f>
        <v>0</v>
      </c>
      <c r="AT208" s="2556">
        <f>Türkiye!AE207</f>
        <v>0</v>
      </c>
      <c r="AU208" s="498" t="s">
        <v>735</v>
      </c>
      <c r="AV208" s="367" t="s">
        <v>754</v>
      </c>
      <c r="AW208" s="99" t="s">
        <v>745</v>
      </c>
      <c r="AX208" s="547" t="s">
        <v>738</v>
      </c>
      <c r="AY208" s="547"/>
      <c r="AZ208" s="99"/>
      <c r="BA208" s="620" t="s">
        <v>739</v>
      </c>
      <c r="BB208" s="620" t="s">
        <v>740</v>
      </c>
      <c r="BC208" s="159"/>
      <c r="BD208" s="18"/>
    </row>
    <row r="209" spans="1:57" ht="20.100000000000001" customHeight="1">
      <c r="B209" s="1360" t="b">
        <f t="shared" si="54"/>
        <v>0</v>
      </c>
      <c r="C209" s="9803"/>
      <c r="D209" s="619" t="s">
        <v>756</v>
      </c>
      <c r="E209" s="619"/>
      <c r="F209" s="295" t="s">
        <v>732</v>
      </c>
      <c r="G209" s="106"/>
      <c r="H209" s="353"/>
      <c r="I209" s="495" t="s">
        <v>757</v>
      </c>
      <c r="J209" s="643"/>
      <c r="K209" s="372" t="s">
        <v>734</v>
      </c>
      <c r="L209" s="641">
        <v>19</v>
      </c>
      <c r="M209" s="651" t="s">
        <v>1800</v>
      </c>
      <c r="N209" s="641">
        <v>22</v>
      </c>
      <c r="O209" s="651" t="s">
        <v>1800</v>
      </c>
      <c r="P209" s="644"/>
      <c r="Q209" s="652"/>
      <c r="R209" s="1464">
        <v>5</v>
      </c>
      <c r="S209" s="1429" t="s">
        <v>759</v>
      </c>
      <c r="T209" s="1464">
        <v>8</v>
      </c>
      <c r="U209" s="1525" t="s">
        <v>759</v>
      </c>
      <c r="V209" s="5486">
        <v>8</v>
      </c>
      <c r="W209" s="2079" t="s">
        <v>1801</v>
      </c>
      <c r="X209" s="2557">
        <f>'4DPLEX'!R199</f>
        <v>1</v>
      </c>
      <c r="Y209" s="2558">
        <f>'4DPLEX'!T199</f>
        <v>1</v>
      </c>
      <c r="Z209" s="2559">
        <f>'4DPLEX'!V199</f>
        <v>1</v>
      </c>
      <c r="AA209" s="2684">
        <f>China!AO208</f>
        <v>1</v>
      </c>
      <c r="AB209" s="2685">
        <f>China!AP208</f>
        <v>0</v>
      </c>
      <c r="AC209" s="2686">
        <f>China!AQ208</f>
        <v>1</v>
      </c>
      <c r="AD209" s="2685" t="str">
        <f>China!AR208</f>
        <v>미등기임원 1명</v>
      </c>
      <c r="AE209" s="2687">
        <f>China!AS208</f>
        <v>1</v>
      </c>
      <c r="AF209" s="2684">
        <f>Vietnam!Q208</f>
        <v>5</v>
      </c>
      <c r="AG209" s="2703" t="str">
        <f>Vietnam!R208</f>
        <v>4 Expat &amp; 1 Local</v>
      </c>
      <c r="AH209" s="2686">
        <f>Vietnam!S208</f>
        <v>5</v>
      </c>
      <c r="AI209" s="2703" t="str">
        <f>Vietnam!T208</f>
        <v>4 Expat &amp; 1 Local</v>
      </c>
      <c r="AJ209" s="2687">
        <f>Vietnam!U208</f>
        <v>5</v>
      </c>
      <c r="AK209" s="2684">
        <f>Indonesia!V208</f>
        <v>7</v>
      </c>
      <c r="AL209" s="2688" t="str">
        <f>Indonesia!W208</f>
        <v>BOD 5명, BOC 2명</v>
      </c>
      <c r="AM209" s="2686">
        <f>Indonesia!X208</f>
        <v>7</v>
      </c>
      <c r="AN209" s="2688" t="str">
        <f>Indonesia!Y208</f>
        <v>BOD 5명, BOC 2명</v>
      </c>
      <c r="AO209" s="2687">
        <f>Indonesia!Z208</f>
        <v>7</v>
      </c>
      <c r="AP209" s="2557">
        <f>Türkiye!AA208</f>
        <v>0</v>
      </c>
      <c r="AQ209" s="2561">
        <f>Türkiye!AB208</f>
        <v>0</v>
      </c>
      <c r="AR209" s="2558">
        <f>Türkiye!AC208</f>
        <v>0</v>
      </c>
      <c r="AS209" s="2561">
        <f>Türkiye!AD208</f>
        <v>0</v>
      </c>
      <c r="AT209" s="2556">
        <f>Türkiye!AE208</f>
        <v>0</v>
      </c>
      <c r="AU209" s="498" t="s">
        <v>735</v>
      </c>
      <c r="AV209" s="367" t="s">
        <v>736</v>
      </c>
      <c r="AW209" s="99" t="s">
        <v>758</v>
      </c>
      <c r="AX209" s="547" t="s">
        <v>738</v>
      </c>
      <c r="AY209" s="547"/>
      <c r="AZ209" s="99"/>
      <c r="BA209" s="620" t="s">
        <v>739</v>
      </c>
      <c r="BB209" s="620" t="s">
        <v>740</v>
      </c>
      <c r="BC209" s="159"/>
      <c r="BD209" s="18"/>
    </row>
    <row r="210" spans="1:57" ht="20.100000000000001" customHeight="1">
      <c r="B210" s="1360" t="b">
        <f t="shared" si="54"/>
        <v>0</v>
      </c>
      <c r="C210" s="9804"/>
      <c r="D210" s="9773" t="s">
        <v>764</v>
      </c>
      <c r="E210" s="9774"/>
      <c r="F210" s="295" t="s">
        <v>742</v>
      </c>
      <c r="G210" s="384"/>
      <c r="H210" s="385"/>
      <c r="I210" s="495" t="s">
        <v>765</v>
      </c>
      <c r="J210" s="643"/>
      <c r="K210" s="372" t="s">
        <v>734</v>
      </c>
      <c r="L210" s="641">
        <v>183</v>
      </c>
      <c r="M210" s="641"/>
      <c r="N210" s="641">
        <v>231</v>
      </c>
      <c r="O210" s="641"/>
      <c r="P210" s="644"/>
      <c r="Q210" s="652"/>
      <c r="R210" s="1468">
        <v>20</v>
      </c>
      <c r="S210" s="1429" t="s">
        <v>1802</v>
      </c>
      <c r="T210" s="1468">
        <v>89</v>
      </c>
      <c r="U210" s="1525" t="s">
        <v>1802</v>
      </c>
      <c r="V210" s="5486">
        <v>75</v>
      </c>
      <c r="W210" s="2079" t="s">
        <v>1803</v>
      </c>
      <c r="X210" s="2557">
        <f>'4DPLEX'!R200</f>
        <v>41</v>
      </c>
      <c r="Y210" s="2558">
        <f>'4DPLEX'!T200</f>
        <v>49</v>
      </c>
      <c r="Z210" s="2559">
        <f>'4DPLEX'!V200</f>
        <v>53</v>
      </c>
      <c r="AA210" s="2684">
        <f>China!AO209</f>
        <v>0</v>
      </c>
      <c r="AB210" s="2685">
        <f>China!AP209</f>
        <v>0</v>
      </c>
      <c r="AC210" s="2686">
        <f>China!AQ209</f>
        <v>0</v>
      </c>
      <c r="AD210" s="2685">
        <f>China!AR209</f>
        <v>0</v>
      </c>
      <c r="AE210" s="2687">
        <f>China!AS209</f>
        <v>0</v>
      </c>
      <c r="AF210" s="2684">
        <f>Vietnam!Q209</f>
        <v>472</v>
      </c>
      <c r="AG210" s="2703" t="str">
        <f>Vietnam!R209</f>
        <v>Exclusive 04 Expat</v>
      </c>
      <c r="AH210" s="2686">
        <f>Vietnam!S209</f>
        <v>403</v>
      </c>
      <c r="AI210" s="2703" t="str">
        <f>Vietnam!T209</f>
        <v>Exclusive 04 Expat</v>
      </c>
      <c r="AJ210" s="2687">
        <f>Vietnam!U209</f>
        <v>348</v>
      </c>
      <c r="AK210" s="2684">
        <f>Indonesia!V209</f>
        <v>0</v>
      </c>
      <c r="AL210" s="2685">
        <f>Indonesia!W209</f>
        <v>0</v>
      </c>
      <c r="AM210" s="2686">
        <f>Indonesia!X209</f>
        <v>0</v>
      </c>
      <c r="AN210" s="2685">
        <f>Indonesia!Y209</f>
        <v>0</v>
      </c>
      <c r="AO210" s="2687">
        <f>Indonesia!Z209</f>
        <v>0</v>
      </c>
      <c r="AP210" s="2557">
        <f>Türkiye!AA209</f>
        <v>1275</v>
      </c>
      <c r="AQ210" s="2561">
        <f>Türkiye!AB209</f>
        <v>0</v>
      </c>
      <c r="AR210" s="2558">
        <f>Türkiye!AC209</f>
        <v>1140</v>
      </c>
      <c r="AS210" s="2561">
        <f>Türkiye!AD209</f>
        <v>0</v>
      </c>
      <c r="AT210" s="2556">
        <f>Türkiye!AE209</f>
        <v>1055</v>
      </c>
      <c r="AU210" s="498" t="s">
        <v>735</v>
      </c>
      <c r="AV210" s="367" t="s">
        <v>736</v>
      </c>
      <c r="AW210" s="99" t="s">
        <v>758</v>
      </c>
      <c r="AX210" s="547" t="s">
        <v>738</v>
      </c>
      <c r="AY210" s="547"/>
      <c r="AZ210" s="99"/>
      <c r="BA210" s="620" t="s">
        <v>739</v>
      </c>
      <c r="BB210" s="620" t="s">
        <v>740</v>
      </c>
      <c r="BC210" s="159"/>
      <c r="BD210" s="18"/>
    </row>
    <row r="211" spans="1:57" ht="20.100000000000001" customHeight="1">
      <c r="B211" s="1360"/>
      <c r="C211" s="1572" t="s">
        <v>769</v>
      </c>
      <c r="D211" s="736"/>
      <c r="E211" s="736"/>
      <c r="F211" s="1573"/>
      <c r="G211" s="408"/>
      <c r="H211" s="312" t="s">
        <v>1804</v>
      </c>
      <c r="I211" s="654"/>
      <c r="J211" s="655"/>
      <c r="K211" s="656" t="s">
        <v>168</v>
      </c>
      <c r="L211" s="657"/>
      <c r="M211" s="657"/>
      <c r="N211" s="657"/>
      <c r="O211" s="657"/>
      <c r="P211" s="657"/>
      <c r="Q211" s="657"/>
      <c r="R211" s="1574"/>
      <c r="S211" s="1575"/>
      <c r="T211" s="1576"/>
      <c r="U211" s="1575"/>
      <c r="V211" s="1576"/>
      <c r="W211" s="2080"/>
      <c r="X211" s="2704"/>
      <c r="Y211" s="2705"/>
      <c r="Z211" s="2706"/>
      <c r="AA211" s="2576"/>
      <c r="AB211" s="2574"/>
      <c r="AC211" s="2577"/>
      <c r="AD211" s="2574"/>
      <c r="AE211" s="2575"/>
      <c r="AF211" s="2576"/>
      <c r="AG211" s="2707"/>
      <c r="AH211" s="2577"/>
      <c r="AI211" s="2707"/>
      <c r="AJ211" s="2575"/>
      <c r="AK211" s="2576"/>
      <c r="AL211" s="2574"/>
      <c r="AM211" s="2577"/>
      <c r="AN211" s="2574"/>
      <c r="AO211" s="2575"/>
      <c r="AP211" s="2576"/>
      <c r="AQ211" s="2574"/>
      <c r="AR211" s="2577"/>
      <c r="AS211" s="2574"/>
      <c r="AT211" s="2575"/>
      <c r="AU211" s="1564"/>
      <c r="AV211" s="367"/>
      <c r="AW211" s="99" t="s">
        <v>737</v>
      </c>
      <c r="AX211" s="547"/>
      <c r="AY211" s="547"/>
      <c r="AZ211" s="99"/>
      <c r="BA211" s="620" t="s">
        <v>770</v>
      </c>
      <c r="BB211" s="620" t="s">
        <v>740</v>
      </c>
      <c r="BC211" s="159"/>
      <c r="BD211" s="18"/>
    </row>
    <row r="212" spans="1:57" ht="20.100000000000001" customHeight="1">
      <c r="B212" s="1360" t="b">
        <f t="shared" ref="B212:B216" si="56">OR(ISBLANK(R212),ISBLANK(T212),ISBLANK(V212))</f>
        <v>0</v>
      </c>
      <c r="C212" s="703"/>
      <c r="D212" s="619" t="s">
        <v>771</v>
      </c>
      <c r="E212" s="619"/>
      <c r="F212" s="285" t="s">
        <v>732</v>
      </c>
      <c r="G212" s="337"/>
      <c r="H212" s="287"/>
      <c r="I212" s="184" t="s">
        <v>772</v>
      </c>
      <c r="J212" s="141"/>
      <c r="K212" s="162" t="s">
        <v>734</v>
      </c>
      <c r="L212" s="543">
        <v>3996</v>
      </c>
      <c r="M212" s="543"/>
      <c r="N212" s="543">
        <v>4650</v>
      </c>
      <c r="O212" s="543"/>
      <c r="P212" s="644"/>
      <c r="Q212" s="652"/>
      <c r="R212" s="1463">
        <v>3031</v>
      </c>
      <c r="S212" s="1523" t="s">
        <v>746</v>
      </c>
      <c r="T212" s="1463">
        <v>3629</v>
      </c>
      <c r="U212" s="1526" t="s">
        <v>747</v>
      </c>
      <c r="V212" s="5486">
        <v>3726</v>
      </c>
      <c r="W212" s="1523" t="s">
        <v>746</v>
      </c>
      <c r="X212" s="2557">
        <f>'4DPLEX'!R201</f>
        <v>174</v>
      </c>
      <c r="Y212" s="2558">
        <f>'4DPLEX'!T201</f>
        <v>215</v>
      </c>
      <c r="Z212" s="2559">
        <f>'4DPLEX'!V201</f>
        <v>236</v>
      </c>
      <c r="AA212" s="2684">
        <f>China!AO211</f>
        <v>52</v>
      </c>
      <c r="AB212" s="2688" t="str">
        <f>China!AP211</f>
        <v xml:space="preserve">Full time
(35번 지표 합산)
</v>
      </c>
      <c r="AC212" s="2686">
        <f>China!AQ211</f>
        <v>77</v>
      </c>
      <c r="AD212" s="2688" t="str">
        <f>China!AR211</f>
        <v xml:space="preserve">Full time
(35번 지표 합산)
</v>
      </c>
      <c r="AE212" s="2687">
        <f>China!AS211</f>
        <v>100</v>
      </c>
      <c r="AF212" s="2684">
        <f>Vietnam!Q211</f>
        <v>476</v>
      </c>
      <c r="AG212" s="2701" t="str">
        <f>Vietnam!R211</f>
        <v>Fulltime</v>
      </c>
      <c r="AH212" s="2686">
        <f>Vietnam!S211</f>
        <v>407</v>
      </c>
      <c r="AI212" s="2701" t="str">
        <f>Vietnam!T211</f>
        <v>Fulltime</v>
      </c>
      <c r="AJ212" s="2687">
        <f>Vietnam!U211</f>
        <v>352</v>
      </c>
      <c r="AK212" s="2684">
        <f>Indonesia!V211</f>
        <v>365</v>
      </c>
      <c r="AL212" s="2688" t="str">
        <f>Indonesia!W211</f>
        <v>Full time기준)미소지기는 아웃소싱</v>
      </c>
      <c r="AM212" s="2686">
        <f>Indonesia!X211</f>
        <v>337</v>
      </c>
      <c r="AN212" s="2708" t="str">
        <f>Indonesia!Y211</f>
        <v>Full time기준)미소지기는 아웃소싱</v>
      </c>
      <c r="AO212" s="2556">
        <f>Indonesia!Z211</f>
        <v>347</v>
      </c>
      <c r="AP212" s="2557">
        <f>Türkiye!AA211</f>
        <v>1280</v>
      </c>
      <c r="AQ212" s="2561">
        <f>Türkiye!AB211</f>
        <v>0</v>
      </c>
      <c r="AR212" s="2558">
        <f>Türkiye!AC211</f>
        <v>1144</v>
      </c>
      <c r="AS212" s="2561">
        <f>Türkiye!AD211</f>
        <v>0</v>
      </c>
      <c r="AT212" s="2556">
        <f>Türkiye!AE211</f>
        <v>1059</v>
      </c>
      <c r="AU212" s="498" t="s">
        <v>773</v>
      </c>
      <c r="AV212" s="367" t="s">
        <v>774</v>
      </c>
      <c r="AW212" s="99" t="s">
        <v>745</v>
      </c>
      <c r="AX212" s="547" t="s">
        <v>738</v>
      </c>
      <c r="AY212" s="547"/>
      <c r="AZ212" s="99"/>
      <c r="BA212" s="620" t="s">
        <v>770</v>
      </c>
      <c r="BB212" s="620" t="s">
        <v>740</v>
      </c>
      <c r="BC212" s="159"/>
      <c r="BD212" s="18"/>
    </row>
    <row r="213" spans="1:57" ht="20.100000000000001" customHeight="1">
      <c r="B213" s="1360" t="b">
        <f t="shared" si="56"/>
        <v>0</v>
      </c>
      <c r="C213" s="1369"/>
      <c r="D213" s="619" t="s">
        <v>777</v>
      </c>
      <c r="E213" s="306"/>
      <c r="F213" s="285" t="s">
        <v>732</v>
      </c>
      <c r="G213" s="662"/>
      <c r="H213" s="322"/>
      <c r="I213" s="184" t="s">
        <v>778</v>
      </c>
      <c r="J213" s="141"/>
      <c r="K213" s="162" t="s">
        <v>734</v>
      </c>
      <c r="L213" s="543">
        <v>2328</v>
      </c>
      <c r="M213" s="543"/>
      <c r="N213" s="543">
        <v>3831</v>
      </c>
      <c r="O213" s="543"/>
      <c r="P213" s="644"/>
      <c r="Q213" s="652"/>
      <c r="R213" s="1463">
        <v>570</v>
      </c>
      <c r="S213" s="1523" t="s">
        <v>746</v>
      </c>
      <c r="T213" s="1463">
        <v>873</v>
      </c>
      <c r="U213" s="1526" t="s">
        <v>1805</v>
      </c>
      <c r="V213" s="5486">
        <v>958</v>
      </c>
      <c r="W213" s="1523" t="s">
        <v>746</v>
      </c>
      <c r="X213" s="2557">
        <f>'4DPLEX'!R202</f>
        <v>9</v>
      </c>
      <c r="Y213" s="2558">
        <f>'4DPLEX'!T202</f>
        <v>16</v>
      </c>
      <c r="Z213" s="2559">
        <f>'4DPLEX'!V202</f>
        <v>12</v>
      </c>
      <c r="AA213" s="2684">
        <f>China!AO212</f>
        <v>1002</v>
      </c>
      <c r="AB213" s="2688" t="str">
        <f>China!AP212</f>
        <v xml:space="preserve">Full time
(35번 지표 합산)
</v>
      </c>
      <c r="AC213" s="2686">
        <f>China!AQ212</f>
        <v>832</v>
      </c>
      <c r="AD213" s="2688" t="str">
        <f>China!AR212</f>
        <v xml:space="preserve">Full time
(35번 지표 합산)
</v>
      </c>
      <c r="AE213" s="2687">
        <f>China!AS212</f>
        <v>649</v>
      </c>
      <c r="AF213" s="2684">
        <f>Vietnam!Q212</f>
        <v>629</v>
      </c>
      <c r="AG213" s="2701" t="str">
        <f>Vietnam!R212</f>
        <v>Full-time+PT</v>
      </c>
      <c r="AH213" s="2686">
        <f>Vietnam!S212</f>
        <v>2039</v>
      </c>
      <c r="AI213" s="2701" t="str">
        <f>Vietnam!T212</f>
        <v>Full-time+PT</v>
      </c>
      <c r="AJ213" s="2687">
        <f>Vietnam!U212</f>
        <v>2126</v>
      </c>
      <c r="AK213" s="2684">
        <f>Indonesia!V212</f>
        <v>16</v>
      </c>
      <c r="AL213" s="2688" t="str">
        <f>Indonesia!W212</f>
        <v>Full time기준)미소지기는 아웃소싱</v>
      </c>
      <c r="AM213" s="2686">
        <f>Indonesia!X212</f>
        <v>56</v>
      </c>
      <c r="AN213" s="2708" t="str">
        <f>Indonesia!Y212</f>
        <v>Full time기준)미소지기는 아웃소싱</v>
      </c>
      <c r="AO213" s="2556">
        <f>Indonesia!Z212</f>
        <v>65</v>
      </c>
      <c r="AP213" s="2557">
        <f>Türkiye!AA212</f>
        <v>0</v>
      </c>
      <c r="AQ213" s="2561">
        <f>Türkiye!AB212</f>
        <v>0</v>
      </c>
      <c r="AR213" s="2558">
        <f>Türkiye!AC212</f>
        <v>0</v>
      </c>
      <c r="AS213" s="2561">
        <f>Türkiye!AD212</f>
        <v>0</v>
      </c>
      <c r="AT213" s="2556">
        <f>Türkiye!AE212</f>
        <v>0</v>
      </c>
      <c r="AU213" s="498" t="s">
        <v>773</v>
      </c>
      <c r="AV213" s="367" t="s">
        <v>774</v>
      </c>
      <c r="AW213" s="99" t="s">
        <v>745</v>
      </c>
      <c r="AX213" s="547" t="s">
        <v>738</v>
      </c>
      <c r="AY213" s="547"/>
      <c r="AZ213" s="99"/>
      <c r="BA213" s="620" t="s">
        <v>770</v>
      </c>
      <c r="BB213" s="620" t="s">
        <v>740</v>
      </c>
      <c r="BC213" s="159"/>
      <c r="BD213" s="18"/>
    </row>
    <row r="214" spans="1:57" ht="19.899999999999999" customHeight="1">
      <c r="B214" s="1360" t="b">
        <f t="shared" si="56"/>
        <v>0</v>
      </c>
      <c r="C214" s="1369"/>
      <c r="D214" s="619" t="s">
        <v>781</v>
      </c>
      <c r="E214" s="306"/>
      <c r="F214" s="285" t="s">
        <v>732</v>
      </c>
      <c r="G214" s="662"/>
      <c r="H214" s="322"/>
      <c r="I214" s="184" t="s">
        <v>782</v>
      </c>
      <c r="J214" s="141"/>
      <c r="K214" s="162" t="s">
        <v>734</v>
      </c>
      <c r="L214" s="543">
        <v>3317</v>
      </c>
      <c r="M214" s="543"/>
      <c r="N214" s="543">
        <v>3207</v>
      </c>
      <c r="O214" s="543"/>
      <c r="P214" s="644"/>
      <c r="Q214" s="652"/>
      <c r="R214" s="1463">
        <v>1135</v>
      </c>
      <c r="S214" s="1523" t="s">
        <v>747</v>
      </c>
      <c r="T214" s="1463">
        <v>1097</v>
      </c>
      <c r="U214" s="1526" t="s">
        <v>1806</v>
      </c>
      <c r="V214" s="5486">
        <v>1210</v>
      </c>
      <c r="W214" s="1523" t="s">
        <v>747</v>
      </c>
      <c r="X214" s="2557">
        <f>'4DPLEX'!R203</f>
        <v>183</v>
      </c>
      <c r="Y214" s="2558">
        <f>'4DPLEX'!T203</f>
        <v>231</v>
      </c>
      <c r="Z214" s="2559">
        <f>'4DPLEX'!V203</f>
        <v>196</v>
      </c>
      <c r="AA214" s="2684">
        <f>China!AO213</f>
        <v>1054</v>
      </c>
      <c r="AB214" s="2688">
        <f>China!AP213</f>
        <v>0</v>
      </c>
      <c r="AC214" s="2686">
        <f>China!AQ213</f>
        <v>909</v>
      </c>
      <c r="AD214" s="2685">
        <f>China!AR213</f>
        <v>0</v>
      </c>
      <c r="AE214" s="2687">
        <f>China!AS213</f>
        <v>749</v>
      </c>
      <c r="AF214" s="2684">
        <f>Vietnam!Q213</f>
        <v>564</v>
      </c>
      <c r="AG214" s="2703">
        <f>Vietnam!R213</f>
        <v>0</v>
      </c>
      <c r="AH214" s="2686">
        <f>Vietnam!S213</f>
        <v>577</v>
      </c>
      <c r="AI214" s="2703">
        <f>Vietnam!T213</f>
        <v>0</v>
      </c>
      <c r="AJ214" s="2687">
        <f>Vietnam!U213</f>
        <v>572</v>
      </c>
      <c r="AK214" s="2684">
        <f>Indonesia!V213</f>
        <v>381</v>
      </c>
      <c r="AL214" s="2685">
        <f>Indonesia!W213</f>
        <v>0</v>
      </c>
      <c r="AM214" s="2686">
        <f>Indonesia!X213</f>
        <v>393</v>
      </c>
      <c r="AN214" s="2561">
        <f>Indonesia!Y213</f>
        <v>0</v>
      </c>
      <c r="AO214" s="2556">
        <f>Indonesia!Z213</f>
        <v>412</v>
      </c>
      <c r="AP214" s="2557">
        <f>Türkiye!AA213</f>
        <v>838</v>
      </c>
      <c r="AQ214" s="2561">
        <f>Türkiye!AB213</f>
        <v>0</v>
      </c>
      <c r="AR214" s="2558">
        <f>Türkiye!AC213</f>
        <v>730</v>
      </c>
      <c r="AS214" s="2561">
        <f>Türkiye!AD213</f>
        <v>0</v>
      </c>
      <c r="AT214" s="2556">
        <f>Türkiye!AE213</f>
        <v>685</v>
      </c>
      <c r="AU214" s="498" t="s">
        <v>773</v>
      </c>
      <c r="AV214" s="367" t="s">
        <v>774</v>
      </c>
      <c r="AW214" s="99" t="s">
        <v>758</v>
      </c>
      <c r="AX214" s="547" t="s">
        <v>738</v>
      </c>
      <c r="AY214" s="547"/>
      <c r="AZ214" s="99"/>
      <c r="BA214" s="620" t="s">
        <v>770</v>
      </c>
      <c r="BB214" s="620" t="s">
        <v>740</v>
      </c>
      <c r="BC214" s="159"/>
      <c r="BD214" s="18"/>
    </row>
    <row r="215" spans="1:57" ht="20.100000000000001" customHeight="1">
      <c r="B215" s="1360" t="b">
        <f t="shared" si="56"/>
        <v>0</v>
      </c>
      <c r="C215" s="1369"/>
      <c r="D215" s="619" t="s">
        <v>784</v>
      </c>
      <c r="E215" s="306"/>
      <c r="F215" s="285" t="s">
        <v>732</v>
      </c>
      <c r="G215" s="662"/>
      <c r="H215" s="322"/>
      <c r="I215" s="184" t="s">
        <v>785</v>
      </c>
      <c r="J215" s="141"/>
      <c r="K215" s="162" t="s">
        <v>734</v>
      </c>
      <c r="L215" s="543">
        <v>3007</v>
      </c>
      <c r="M215" s="543"/>
      <c r="N215" s="543">
        <v>5274</v>
      </c>
      <c r="O215" s="543"/>
      <c r="P215" s="644"/>
      <c r="Q215" s="652"/>
      <c r="R215" s="1463">
        <v>2466</v>
      </c>
      <c r="S215" s="1523" t="s">
        <v>786</v>
      </c>
      <c r="T215" s="1463">
        <v>3405</v>
      </c>
      <c r="U215" s="1526" t="s">
        <v>786</v>
      </c>
      <c r="V215" s="5486">
        <v>3474</v>
      </c>
      <c r="W215" s="1523" t="s">
        <v>786</v>
      </c>
      <c r="X215" s="2557">
        <f>'4DPLEX'!R204</f>
        <v>0</v>
      </c>
      <c r="Y215" s="2558">
        <f>'4DPLEX'!T204</f>
        <v>0</v>
      </c>
      <c r="Z215" s="2559">
        <f>'4DPLEX'!V204</f>
        <v>0</v>
      </c>
      <c r="AA215" s="2684">
        <f>China!AO214</f>
        <v>0</v>
      </c>
      <c r="AB215" s="2685">
        <f>China!AP214</f>
        <v>0</v>
      </c>
      <c r="AC215" s="2686">
        <f>China!AQ214</f>
        <v>0</v>
      </c>
      <c r="AD215" s="2685">
        <f>China!AR214</f>
        <v>0</v>
      </c>
      <c r="AE215" s="2687">
        <f>China!AS214</f>
        <v>0</v>
      </c>
      <c r="AF215" s="2684">
        <f>Vietnam!Q214</f>
        <v>541</v>
      </c>
      <c r="AG215" s="2703">
        <f>Vietnam!R214</f>
        <v>0</v>
      </c>
      <c r="AH215" s="2686">
        <f>Vietnam!S214</f>
        <v>1869</v>
      </c>
      <c r="AI215" s="2703">
        <f>Vietnam!T214</f>
        <v>0</v>
      </c>
      <c r="AJ215" s="2687">
        <f>Vietnam!U214</f>
        <v>1906</v>
      </c>
      <c r="AK215" s="2684">
        <f>Indonesia!V214</f>
        <v>508</v>
      </c>
      <c r="AL215" s="2685" t="str">
        <f>Indonesia!W214</f>
        <v>Outsource</v>
      </c>
      <c r="AM215" s="2686">
        <f>Indonesia!X214</f>
        <v>816</v>
      </c>
      <c r="AN215" s="2561" t="str">
        <f>Indonesia!Y214</f>
        <v>Outsource</v>
      </c>
      <c r="AO215" s="2556">
        <f>Indonesia!Z214</f>
        <v>917</v>
      </c>
      <c r="AP215" s="2557">
        <f>Türkiye!AA214</f>
        <v>442</v>
      </c>
      <c r="AQ215" s="2561">
        <f>Türkiye!AB214</f>
        <v>0</v>
      </c>
      <c r="AR215" s="2558">
        <f>Türkiye!AC214</f>
        <v>414</v>
      </c>
      <c r="AS215" s="2561">
        <f>Türkiye!AD214</f>
        <v>0</v>
      </c>
      <c r="AT215" s="2556">
        <f>Türkiye!AE214</f>
        <v>374</v>
      </c>
      <c r="AU215" s="498" t="s">
        <v>773</v>
      </c>
      <c r="AV215" s="367" t="s">
        <v>774</v>
      </c>
      <c r="AW215" s="99" t="s">
        <v>737</v>
      </c>
      <c r="AX215" s="547" t="s">
        <v>738</v>
      </c>
      <c r="AY215" s="547"/>
      <c r="AZ215" s="99"/>
      <c r="BA215" s="620" t="s">
        <v>770</v>
      </c>
      <c r="BB215" s="620" t="s">
        <v>740</v>
      </c>
      <c r="BC215" s="159"/>
      <c r="BD215" s="18"/>
    </row>
    <row r="216" spans="1:57" ht="19.899999999999999" customHeight="1">
      <c r="B216" s="1360" t="b">
        <f t="shared" si="56"/>
        <v>0</v>
      </c>
      <c r="C216" s="1023"/>
      <c r="D216" s="619" t="s">
        <v>788</v>
      </c>
      <c r="E216" s="619"/>
      <c r="F216" s="285" t="s">
        <v>732</v>
      </c>
      <c r="G216" s="343"/>
      <c r="H216" s="296"/>
      <c r="I216" s="495" t="s">
        <v>789</v>
      </c>
      <c r="J216" s="643"/>
      <c r="K216" s="162" t="s">
        <v>734</v>
      </c>
      <c r="L216" s="543">
        <v>0</v>
      </c>
      <c r="M216" s="543"/>
      <c r="N216" s="543">
        <v>0</v>
      </c>
      <c r="O216" s="543"/>
      <c r="P216" s="644"/>
      <c r="Q216" s="652"/>
      <c r="R216" s="1463">
        <v>0</v>
      </c>
      <c r="S216" s="1523"/>
      <c r="T216" s="1463">
        <v>0</v>
      </c>
      <c r="U216" s="1526"/>
      <c r="V216" s="5486">
        <v>0</v>
      </c>
      <c r="W216" s="2079"/>
      <c r="X216" s="2557">
        <f>'4DPLEX'!R205</f>
        <v>0</v>
      </c>
      <c r="Y216" s="2558">
        <f>'4DPLEX'!T205</f>
        <v>0</v>
      </c>
      <c r="Z216" s="2559">
        <f>'4DPLEX'!V205</f>
        <v>0</v>
      </c>
      <c r="AA216" s="2684">
        <f>China!AO215</f>
        <v>0</v>
      </c>
      <c r="AB216" s="2685">
        <f>China!AP215</f>
        <v>0</v>
      </c>
      <c r="AC216" s="2686">
        <f>China!AQ215</f>
        <v>0</v>
      </c>
      <c r="AD216" s="2685">
        <f>China!AR215</f>
        <v>0</v>
      </c>
      <c r="AE216" s="2687">
        <f>China!AS215</f>
        <v>0</v>
      </c>
      <c r="AF216" s="2684"/>
      <c r="AG216" s="2685"/>
      <c r="AH216" s="2686"/>
      <c r="AI216" s="2685"/>
      <c r="AJ216" s="2687"/>
      <c r="AK216" s="2684">
        <f>Indonesia!V215</f>
        <v>0</v>
      </c>
      <c r="AL216" s="2685">
        <f>Indonesia!W215</f>
        <v>0</v>
      </c>
      <c r="AM216" s="2686">
        <f>Indonesia!X215</f>
        <v>816</v>
      </c>
      <c r="AN216" s="2561">
        <f>Indonesia!Y215</f>
        <v>0</v>
      </c>
      <c r="AO216" s="2556">
        <f>Indonesia!Z215</f>
        <v>0</v>
      </c>
      <c r="AP216" s="2557">
        <f>Türkiye!AA215</f>
        <v>0</v>
      </c>
      <c r="AQ216" s="2561">
        <f>Türkiye!AB215</f>
        <v>0</v>
      </c>
      <c r="AR216" s="2558">
        <f>Türkiye!AC215</f>
        <v>0</v>
      </c>
      <c r="AS216" s="2561">
        <f>Türkiye!AD215</f>
        <v>0</v>
      </c>
      <c r="AT216" s="2556">
        <f>Türkiye!AE215</f>
        <v>0</v>
      </c>
      <c r="AU216" s="498" t="s">
        <v>790</v>
      </c>
      <c r="AV216" s="367" t="s">
        <v>774</v>
      </c>
      <c r="AW216" s="99" t="s">
        <v>737</v>
      </c>
      <c r="AX216" s="547" t="s">
        <v>738</v>
      </c>
      <c r="AY216" s="547"/>
      <c r="AZ216" s="99"/>
      <c r="BA216" s="620" t="s">
        <v>770</v>
      </c>
      <c r="BB216" s="620" t="s">
        <v>740</v>
      </c>
      <c r="BC216" s="159"/>
      <c r="BD216" s="18"/>
    </row>
    <row r="217" spans="1:57" ht="20.100000000000001" customHeight="1">
      <c r="B217" s="1360"/>
      <c r="C217" s="407" t="s">
        <v>791</v>
      </c>
      <c r="D217" s="728"/>
      <c r="E217" s="727"/>
      <c r="F217" s="1577"/>
      <c r="G217" s="408"/>
      <c r="H217" s="312" t="s">
        <v>792</v>
      </c>
      <c r="I217" s="654"/>
      <c r="J217" s="655"/>
      <c r="K217" s="656" t="s">
        <v>168</v>
      </c>
      <c r="L217" s="657"/>
      <c r="M217" s="657"/>
      <c r="N217" s="657"/>
      <c r="O217" s="657"/>
      <c r="P217" s="657"/>
      <c r="Q217" s="657"/>
      <c r="R217" s="1574"/>
      <c r="S217" s="1575"/>
      <c r="T217" s="1576"/>
      <c r="U217" s="1575"/>
      <c r="V217" s="1576"/>
      <c r="W217" s="2080"/>
      <c r="X217" s="2704"/>
      <c r="Y217" s="2705"/>
      <c r="Z217" s="2706"/>
      <c r="AA217" s="2576"/>
      <c r="AB217" s="2574"/>
      <c r="AC217" s="2577"/>
      <c r="AD217" s="2574"/>
      <c r="AE217" s="2575"/>
      <c r="AF217" s="2576"/>
      <c r="AG217" s="2574"/>
      <c r="AH217" s="2577"/>
      <c r="AI217" s="2574"/>
      <c r="AJ217" s="2575"/>
      <c r="AK217" s="2576"/>
      <c r="AL217" s="2574"/>
      <c r="AM217" s="2577"/>
      <c r="AN217" s="2574"/>
      <c r="AO217" s="2575"/>
      <c r="AP217" s="2576"/>
      <c r="AQ217" s="2574"/>
      <c r="AR217" s="2577"/>
      <c r="AS217" s="2574"/>
      <c r="AT217" s="2575"/>
      <c r="AU217" s="1564"/>
      <c r="AV217" s="367"/>
      <c r="AW217" s="99" t="s">
        <v>758</v>
      </c>
      <c r="AX217" s="547"/>
      <c r="AY217" s="547"/>
      <c r="AZ217" s="99"/>
      <c r="BA217" s="620" t="s">
        <v>793</v>
      </c>
      <c r="BB217" s="664" t="s">
        <v>794</v>
      </c>
      <c r="BC217" s="159" t="s">
        <v>795</v>
      </c>
      <c r="BD217" s="18"/>
    </row>
    <row r="218" spans="1:57" ht="20.100000000000001" customHeight="1">
      <c r="B218" s="1360" t="b">
        <f t="shared" ref="B218:B219" si="57">OR(ISBLANK(R218),ISBLANK(T218),ISBLANK(V218))</f>
        <v>0</v>
      </c>
      <c r="C218" s="703"/>
      <c r="D218" s="490" t="s">
        <v>796</v>
      </c>
      <c r="E218" s="491"/>
      <c r="F218" s="285" t="s">
        <v>732</v>
      </c>
      <c r="G218" s="337"/>
      <c r="H218" s="287"/>
      <c r="I218" s="198" t="s">
        <v>797</v>
      </c>
      <c r="J218" s="198"/>
      <c r="K218" s="162" t="s">
        <v>734</v>
      </c>
      <c r="L218" s="92">
        <v>3214</v>
      </c>
      <c r="M218" s="92"/>
      <c r="N218" s="92">
        <v>4206</v>
      </c>
      <c r="O218" s="92"/>
      <c r="P218" s="228"/>
      <c r="Q218" s="95"/>
      <c r="R218" s="1463">
        <v>1678</v>
      </c>
      <c r="S218" s="1523" t="s">
        <v>746</v>
      </c>
      <c r="T218" s="1463">
        <v>2124</v>
      </c>
      <c r="U218" s="1526" t="s">
        <v>1798</v>
      </c>
      <c r="V218" s="5486">
        <v>2101</v>
      </c>
      <c r="W218" s="1523" t="s">
        <v>746</v>
      </c>
      <c r="X218" s="2557">
        <f>'4DPLEX'!R206</f>
        <v>134</v>
      </c>
      <c r="Y218" s="2558">
        <f>'4DPLEX'!T206</f>
        <v>154</v>
      </c>
      <c r="Z218" s="2559">
        <f>'4DPLEX'!V206</f>
        <v>147</v>
      </c>
      <c r="AA218" s="2684">
        <f>China!AO217</f>
        <v>541</v>
      </c>
      <c r="AB218" s="2688" t="str">
        <f>China!AP217</f>
        <v xml:space="preserve">Full time 기준
</v>
      </c>
      <c r="AC218" s="2686">
        <f>China!AQ217</f>
        <v>452</v>
      </c>
      <c r="AD218" s="2688" t="str">
        <f>China!AR217</f>
        <v xml:space="preserve">Full time 기준
</v>
      </c>
      <c r="AE218" s="2687">
        <f>China!AS217</f>
        <v>372</v>
      </c>
      <c r="AF218" s="2684">
        <f>Vietnam!Q217</f>
        <v>568</v>
      </c>
      <c r="AG218" s="2688" t="str">
        <f>Vietnam!R217</f>
        <v>Full time+Part time</v>
      </c>
      <c r="AH218" s="2686">
        <f>Vietnam!S217</f>
        <v>1195</v>
      </c>
      <c r="AI218" s="2688" t="str">
        <f>Vietnam!T217</f>
        <v>Full time+Part time</v>
      </c>
      <c r="AJ218" s="2687">
        <f>Vietnam!U217</f>
        <v>1190</v>
      </c>
      <c r="AK218" s="2684">
        <f>Indonesia!V217</f>
        <v>293</v>
      </c>
      <c r="AL218" s="2688" t="str">
        <f>Indonesia!W217</f>
        <v>Full time기준)미소지기는 아웃소싱</v>
      </c>
      <c r="AM218" s="2686">
        <f>Indonesia!X217</f>
        <v>281</v>
      </c>
      <c r="AN218" s="2708" t="str">
        <f>Indonesia!Y217</f>
        <v>Full time기준)미소지기는 아웃소싱</v>
      </c>
      <c r="AO218" s="2556">
        <f>Indonesia!Z217</f>
        <v>288</v>
      </c>
      <c r="AP218" s="2557">
        <f>Türkiye!AA217</f>
        <v>737</v>
      </c>
      <c r="AQ218" s="2561">
        <f>Türkiye!AB217</f>
        <v>0</v>
      </c>
      <c r="AR218" s="2558">
        <f>Türkiye!AC217</f>
        <v>646</v>
      </c>
      <c r="AS218" s="2561">
        <f>Türkiye!AD217</f>
        <v>0</v>
      </c>
      <c r="AT218" s="2556">
        <f>Türkiye!AE217</f>
        <v>597</v>
      </c>
      <c r="AU218" s="498" t="s">
        <v>798</v>
      </c>
      <c r="AV218" s="367" t="s">
        <v>799</v>
      </c>
      <c r="AW218" s="99" t="s">
        <v>758</v>
      </c>
      <c r="AX218" s="547" t="s">
        <v>800</v>
      </c>
      <c r="AY218" s="547"/>
      <c r="AZ218" s="665"/>
      <c r="BA218" s="620" t="s">
        <v>793</v>
      </c>
      <c r="BB218" s="664" t="s">
        <v>794</v>
      </c>
      <c r="BC218" s="159" t="s">
        <v>795</v>
      </c>
      <c r="BD218" s="18"/>
    </row>
    <row r="219" spans="1:57" ht="19.899999999999999" customHeight="1">
      <c r="B219" s="1360" t="b">
        <f t="shared" si="57"/>
        <v>0</v>
      </c>
      <c r="C219" s="1023"/>
      <c r="D219" s="490" t="s">
        <v>802</v>
      </c>
      <c r="E219" s="491"/>
      <c r="F219" s="285" t="s">
        <v>732</v>
      </c>
      <c r="G219" s="343"/>
      <c r="H219" s="296"/>
      <c r="I219" s="666" t="s">
        <v>1807</v>
      </c>
      <c r="J219" s="666"/>
      <c r="K219" s="162" t="s">
        <v>734</v>
      </c>
      <c r="L219" s="92">
        <v>3110</v>
      </c>
      <c r="M219" s="92"/>
      <c r="N219" s="92">
        <v>4275</v>
      </c>
      <c r="O219" s="92"/>
      <c r="P219" s="228"/>
      <c r="Q219" s="95"/>
      <c r="R219" s="1463">
        <v>1923</v>
      </c>
      <c r="S219" s="1523" t="s">
        <v>746</v>
      </c>
      <c r="T219" s="1463">
        <v>2378</v>
      </c>
      <c r="U219" s="1526" t="s">
        <v>1798</v>
      </c>
      <c r="V219" s="5486">
        <v>2583</v>
      </c>
      <c r="W219" s="1523" t="s">
        <v>746</v>
      </c>
      <c r="X219" s="2557">
        <f>'4DPLEX'!R207</f>
        <v>49</v>
      </c>
      <c r="Y219" s="2558">
        <f>'4DPLEX'!T207</f>
        <v>77</v>
      </c>
      <c r="Z219" s="2559">
        <f>'4DPLEX'!V207</f>
        <v>102</v>
      </c>
      <c r="AA219" s="2684">
        <f>China!AO218</f>
        <v>513</v>
      </c>
      <c r="AB219" s="2688" t="str">
        <f>China!AP218</f>
        <v xml:space="preserve">Full time 기준
</v>
      </c>
      <c r="AC219" s="2686">
        <f>China!AQ218</f>
        <v>457</v>
      </c>
      <c r="AD219" s="2688" t="str">
        <f>China!AR218</f>
        <v xml:space="preserve">Full time 기준
</v>
      </c>
      <c r="AE219" s="2687">
        <f>China!AS218</f>
        <v>378</v>
      </c>
      <c r="AF219" s="2684">
        <f>Vietnam!Q218</f>
        <v>537</v>
      </c>
      <c r="AG219" s="2688" t="str">
        <f>Vietnam!R218</f>
        <v>Full time+Part time</v>
      </c>
      <c r="AH219" s="2686">
        <f>Vietnam!S218</f>
        <v>1251</v>
      </c>
      <c r="AI219" s="2688" t="str">
        <f>Vietnam!T218</f>
        <v>Full time+Part time</v>
      </c>
      <c r="AJ219" s="2687">
        <f>Vietnam!U218</f>
        <v>1288</v>
      </c>
      <c r="AK219" s="2684">
        <f>Indonesia!V218</f>
        <v>88</v>
      </c>
      <c r="AL219" s="2688" t="str">
        <f>Indonesia!W218</f>
        <v>Full time기준)미소지기는 아웃소싱</v>
      </c>
      <c r="AM219" s="2686">
        <f>Indonesia!X218</f>
        <v>112</v>
      </c>
      <c r="AN219" s="2708" t="str">
        <f>Indonesia!Y218</f>
        <v>Full time기준)미소지기는 아웃소싱</v>
      </c>
      <c r="AO219" s="2556">
        <f>Indonesia!Z218</f>
        <v>124</v>
      </c>
      <c r="AP219" s="2557">
        <f>Türkiye!AA218</f>
        <v>543</v>
      </c>
      <c r="AQ219" s="2561">
        <f>Türkiye!AB218</f>
        <v>0</v>
      </c>
      <c r="AR219" s="2558">
        <f>Türkiye!AC218</f>
        <v>498</v>
      </c>
      <c r="AS219" s="2561">
        <f>Türkiye!AD218</f>
        <v>0</v>
      </c>
      <c r="AT219" s="2556">
        <f>Türkiye!AE218</f>
        <v>462</v>
      </c>
      <c r="AU219" s="498" t="s">
        <v>798</v>
      </c>
      <c r="AV219" s="367" t="s">
        <v>799</v>
      </c>
      <c r="AW219" s="99" t="s">
        <v>758</v>
      </c>
      <c r="AX219" s="547" t="s">
        <v>800</v>
      </c>
      <c r="AY219" s="547"/>
      <c r="AZ219" s="665"/>
      <c r="BA219" s="620" t="s">
        <v>793</v>
      </c>
      <c r="BB219" s="620" t="s">
        <v>740</v>
      </c>
      <c r="BC219" s="159" t="s">
        <v>795</v>
      </c>
      <c r="BD219" s="18"/>
    </row>
    <row r="220" spans="1:57" ht="19.899999999999999" customHeight="1">
      <c r="B220" s="1360"/>
      <c r="C220" s="407" t="s">
        <v>805</v>
      </c>
      <c r="D220" s="728"/>
      <c r="E220" s="727"/>
      <c r="F220" s="1573"/>
      <c r="G220" s="667"/>
      <c r="H220" s="668" t="s">
        <v>806</v>
      </c>
      <c r="I220" s="669"/>
      <c r="J220" s="670"/>
      <c r="K220" s="656" t="s">
        <v>168</v>
      </c>
      <c r="L220" s="657"/>
      <c r="M220" s="657"/>
      <c r="N220" s="657"/>
      <c r="O220" s="657"/>
      <c r="P220" s="657"/>
      <c r="Q220" s="657"/>
      <c r="R220" s="1574"/>
      <c r="S220" s="1575"/>
      <c r="T220" s="1576"/>
      <c r="U220" s="1575"/>
      <c r="V220" s="1576"/>
      <c r="W220" s="2080"/>
      <c r="X220" s="2704"/>
      <c r="Y220" s="2705"/>
      <c r="Z220" s="2706"/>
      <c r="AA220" s="2576"/>
      <c r="AB220" s="2709"/>
      <c r="AC220" s="2577"/>
      <c r="AD220" s="2709"/>
      <c r="AE220" s="2575"/>
      <c r="AF220" s="2576"/>
      <c r="AG220" s="2709"/>
      <c r="AH220" s="2577"/>
      <c r="AI220" s="2709"/>
      <c r="AJ220" s="2575"/>
      <c r="AK220" s="2576"/>
      <c r="AL220" s="2709"/>
      <c r="AM220" s="2577"/>
      <c r="AN220" s="2709"/>
      <c r="AO220" s="2575"/>
      <c r="AP220" s="2576"/>
      <c r="AQ220" s="2574"/>
      <c r="AR220" s="2577"/>
      <c r="AS220" s="2574"/>
      <c r="AT220" s="2575"/>
      <c r="AU220" s="1564"/>
      <c r="AV220" s="367"/>
      <c r="AW220" s="99" t="s">
        <v>758</v>
      </c>
      <c r="AX220" s="547"/>
      <c r="AY220" s="547"/>
      <c r="AZ220" s="665"/>
      <c r="BA220" s="620"/>
      <c r="BB220" s="672" t="s">
        <v>807</v>
      </c>
      <c r="BC220" s="673" t="s">
        <v>795</v>
      </c>
      <c r="BD220" s="18"/>
    </row>
    <row r="221" spans="1:57" ht="20.100000000000001" customHeight="1">
      <c r="A221"/>
      <c r="B221" s="1360" t="b">
        <f t="shared" ref="B221:B222" si="58">OR(ISBLANK(R221),ISBLANK(T221),ISBLANK(V221))</f>
        <v>0</v>
      </c>
      <c r="C221" s="1370"/>
      <c r="D221" s="490" t="s">
        <v>796</v>
      </c>
      <c r="E221" s="491"/>
      <c r="F221" s="674" t="s">
        <v>156</v>
      </c>
      <c r="G221" s="675"/>
      <c r="H221" s="676"/>
      <c r="I221" s="198" t="s">
        <v>808</v>
      </c>
      <c r="J221" s="177"/>
      <c r="K221" s="509" t="s">
        <v>156</v>
      </c>
      <c r="L221" s="228"/>
      <c r="M221" s="92"/>
      <c r="N221" s="228"/>
      <c r="O221" s="92"/>
      <c r="P221" s="228"/>
      <c r="Q221" s="95"/>
      <c r="R221" s="1488">
        <v>4</v>
      </c>
      <c r="S221" s="1347"/>
      <c r="T221" s="1488">
        <v>8</v>
      </c>
      <c r="U221" s="935" t="s">
        <v>1798</v>
      </c>
      <c r="V221" s="1490">
        <v>7</v>
      </c>
      <c r="W221" s="935" t="s">
        <v>1798</v>
      </c>
      <c r="X221" s="2684"/>
      <c r="Y221" s="2686"/>
      <c r="Z221" s="2559"/>
      <c r="AA221" s="2557"/>
      <c r="AB221" s="2712"/>
      <c r="AC221" s="2558"/>
      <c r="AD221" s="2712"/>
      <c r="AE221" s="2556"/>
      <c r="AF221" s="2557"/>
      <c r="AG221" s="2711"/>
      <c r="AH221" s="2558"/>
      <c r="AI221" s="2712"/>
      <c r="AJ221" s="2556"/>
      <c r="AK221" s="2557"/>
      <c r="AL221" s="2711"/>
      <c r="AM221" s="2558"/>
      <c r="AN221" s="2711"/>
      <c r="AO221" s="2556"/>
      <c r="AP221" s="2557"/>
      <c r="AQ221" s="2711"/>
      <c r="AR221" s="2558"/>
      <c r="AS221" s="2711"/>
      <c r="AT221" s="2556"/>
      <c r="AU221" s="2469" t="s">
        <v>809</v>
      </c>
      <c r="AV221" s="305" t="s">
        <v>810</v>
      </c>
      <c r="AW221" s="99" t="s">
        <v>758</v>
      </c>
      <c r="AX221" s="681" t="s">
        <v>800</v>
      </c>
      <c r="AY221" s="681"/>
      <c r="AZ221" s="665"/>
      <c r="BA221" s="620"/>
      <c r="BB221" s="672" t="s">
        <v>807</v>
      </c>
      <c r="BC221" s="673" t="s">
        <v>795</v>
      </c>
      <c r="BD221" s="18"/>
      <c r="BE221"/>
    </row>
    <row r="222" spans="1:57" ht="20.100000000000001" customHeight="1">
      <c r="A222"/>
      <c r="B222" s="1360" t="b">
        <f t="shared" si="58"/>
        <v>0</v>
      </c>
      <c r="C222" s="1371"/>
      <c r="D222" s="490" t="s">
        <v>802</v>
      </c>
      <c r="E222" s="491"/>
      <c r="F222" s="674" t="s">
        <v>156</v>
      </c>
      <c r="G222" s="682"/>
      <c r="H222" s="683"/>
      <c r="I222" s="666" t="s">
        <v>811</v>
      </c>
      <c r="J222" s="684"/>
      <c r="K222" s="509" t="s">
        <v>156</v>
      </c>
      <c r="L222" s="228"/>
      <c r="M222" s="92"/>
      <c r="N222" s="228"/>
      <c r="O222" s="92"/>
      <c r="P222" s="228"/>
      <c r="Q222" s="95"/>
      <c r="R222" s="1488">
        <v>1</v>
      </c>
      <c r="S222" s="1347"/>
      <c r="T222" s="1488">
        <v>0</v>
      </c>
      <c r="U222" s="935" t="s">
        <v>1798</v>
      </c>
      <c r="V222" s="1490">
        <v>1</v>
      </c>
      <c r="W222" s="935" t="s">
        <v>1798</v>
      </c>
      <c r="X222" s="2684"/>
      <c r="Y222" s="2686"/>
      <c r="Z222" s="2559"/>
      <c r="AA222" s="2557"/>
      <c r="AB222" s="2712"/>
      <c r="AC222" s="2558"/>
      <c r="AD222" s="2712"/>
      <c r="AE222" s="2556"/>
      <c r="AF222" s="2557"/>
      <c r="AG222" s="2711"/>
      <c r="AH222" s="2558"/>
      <c r="AI222" s="2712"/>
      <c r="AJ222" s="2556"/>
      <c r="AK222" s="2557"/>
      <c r="AL222" s="2711"/>
      <c r="AM222" s="2558"/>
      <c r="AN222" s="2711"/>
      <c r="AO222" s="2556"/>
      <c r="AP222" s="2557"/>
      <c r="AQ222" s="2711"/>
      <c r="AR222" s="2558"/>
      <c r="AS222" s="2711"/>
      <c r="AT222" s="2556"/>
      <c r="AU222" s="2469" t="s">
        <v>812</v>
      </c>
      <c r="AV222" s="305" t="s">
        <v>813</v>
      </c>
      <c r="AW222" s="99" t="s">
        <v>758</v>
      </c>
      <c r="AX222" s="681" t="s">
        <v>800</v>
      </c>
      <c r="AY222" s="681"/>
      <c r="AZ222" s="665"/>
      <c r="BA222" s="620"/>
      <c r="BB222" s="672" t="s">
        <v>807</v>
      </c>
      <c r="BC222" s="673" t="s">
        <v>795</v>
      </c>
      <c r="BD222" s="18"/>
      <c r="BE222"/>
    </row>
    <row r="223" spans="1:57" ht="20.100000000000001" customHeight="1">
      <c r="A223"/>
      <c r="B223" s="1353" t="str">
        <f>C223</f>
        <v>전문직 구성
(성별)</v>
      </c>
      <c r="C223" s="728" t="s">
        <v>814</v>
      </c>
      <c r="D223" s="728"/>
      <c r="E223" s="728"/>
      <c r="F223" s="1573"/>
      <c r="G223" s="685"/>
      <c r="H223" s="686" t="s">
        <v>815</v>
      </c>
      <c r="I223" s="669"/>
      <c r="J223" s="670"/>
      <c r="K223" s="656" t="s">
        <v>168</v>
      </c>
      <c r="L223" s="657"/>
      <c r="M223" s="657"/>
      <c r="N223" s="657"/>
      <c r="O223" s="657"/>
      <c r="P223" s="657"/>
      <c r="Q223" s="657"/>
      <c r="R223" s="1574"/>
      <c r="S223" s="1575"/>
      <c r="T223" s="1576"/>
      <c r="U223" s="1575"/>
      <c r="V223" s="1576"/>
      <c r="W223" s="2080"/>
      <c r="X223" s="2704"/>
      <c r="Y223" s="2705"/>
      <c r="Z223" s="2706"/>
      <c r="AA223" s="2576"/>
      <c r="AB223" s="2714"/>
      <c r="AC223" s="2577"/>
      <c r="AD223" s="2714"/>
      <c r="AE223" s="2575"/>
      <c r="AF223" s="2576"/>
      <c r="AG223" s="2713"/>
      <c r="AH223" s="2577"/>
      <c r="AI223" s="2714"/>
      <c r="AJ223" s="2575"/>
      <c r="AK223" s="2576"/>
      <c r="AL223" s="2713"/>
      <c r="AM223" s="2577"/>
      <c r="AN223" s="2713"/>
      <c r="AO223" s="2575"/>
      <c r="AP223" s="2576"/>
      <c r="AQ223" s="2713"/>
      <c r="AR223" s="2577"/>
      <c r="AS223" s="2713"/>
      <c r="AT223" s="2575"/>
      <c r="AU223" s="1564"/>
      <c r="AV223" s="276"/>
      <c r="AW223" s="99" t="s">
        <v>758</v>
      </c>
      <c r="AX223" s="547"/>
      <c r="AY223" s="681"/>
      <c r="AZ223" s="299" t="s">
        <v>193</v>
      </c>
      <c r="BA223" s="690"/>
      <c r="BB223" s="691"/>
      <c r="BC223" s="692"/>
      <c r="BD223" s="18"/>
      <c r="BE223"/>
    </row>
    <row r="224" spans="1:57" ht="57.6" customHeight="1">
      <c r="B224" s="1360" t="b">
        <f t="shared" ref="B224:B225" si="59">OR(ISBLANK(R224),ISBLANK(T224),ISBLANK(V224))</f>
        <v>0</v>
      </c>
      <c r="C224" s="1372"/>
      <c r="D224" s="490" t="s">
        <v>796</v>
      </c>
      <c r="E224" s="491"/>
      <c r="F224" s="285" t="s">
        <v>156</v>
      </c>
      <c r="G224" s="347"/>
      <c r="H224" s="348"/>
      <c r="I224" s="198" t="s">
        <v>808</v>
      </c>
      <c r="J224" s="177"/>
      <c r="K224" s="162" t="s">
        <v>156</v>
      </c>
      <c r="L224" s="228"/>
      <c r="M224" s="92"/>
      <c r="N224" s="228"/>
      <c r="O224" s="92"/>
      <c r="P224" s="228"/>
      <c r="Q224" s="95"/>
      <c r="R224" s="1711" t="s">
        <v>1808</v>
      </c>
      <c r="S224" s="1347"/>
      <c r="T224" s="1711" t="s">
        <v>1808</v>
      </c>
      <c r="U224" s="1347"/>
      <c r="V224" s="1711" t="s">
        <v>1808</v>
      </c>
      <c r="W224" s="2081" t="s">
        <v>1809</v>
      </c>
      <c r="X224" s="2684"/>
      <c r="Y224" s="2686"/>
      <c r="Z224" s="2559"/>
      <c r="AA224" s="2557"/>
      <c r="AB224" s="2712"/>
      <c r="AC224" s="2558"/>
      <c r="AD224" s="2712"/>
      <c r="AE224" s="2556"/>
      <c r="AF224" s="2557"/>
      <c r="AG224" s="2711"/>
      <c r="AH224" s="2558"/>
      <c r="AI224" s="2712"/>
      <c r="AJ224" s="2556"/>
      <c r="AK224" s="2557"/>
      <c r="AL224" s="2711"/>
      <c r="AM224" s="2558"/>
      <c r="AN224" s="2711"/>
      <c r="AO224" s="2556"/>
      <c r="AP224" s="2557"/>
      <c r="AQ224" s="2711"/>
      <c r="AR224" s="2558"/>
      <c r="AS224" s="2711"/>
      <c r="AT224" s="2556"/>
      <c r="AU224" s="2479" t="s">
        <v>816</v>
      </c>
      <c r="AV224" s="305" t="s">
        <v>817</v>
      </c>
      <c r="AW224" s="99" t="s">
        <v>758</v>
      </c>
      <c r="AX224" s="547"/>
      <c r="AY224" s="547"/>
      <c r="AZ224" s="299" t="s">
        <v>193</v>
      </c>
      <c r="BA224" s="620"/>
      <c r="BB224" s="694"/>
      <c r="BC224" s="159" t="s">
        <v>795</v>
      </c>
      <c r="BD224" s="18"/>
    </row>
    <row r="225" spans="2:56" ht="52.9" customHeight="1">
      <c r="B225" s="1360" t="b">
        <f t="shared" si="59"/>
        <v>0</v>
      </c>
      <c r="C225" s="1373"/>
      <c r="D225" s="490" t="s">
        <v>802</v>
      </c>
      <c r="E225" s="491"/>
      <c r="F225" s="285" t="s">
        <v>156</v>
      </c>
      <c r="G225" s="384"/>
      <c r="H225" s="385"/>
      <c r="I225" s="666" t="s">
        <v>811</v>
      </c>
      <c r="J225" s="684"/>
      <c r="K225" s="162" t="s">
        <v>156</v>
      </c>
      <c r="L225" s="228"/>
      <c r="M225" s="92"/>
      <c r="N225" s="228"/>
      <c r="O225" s="92"/>
      <c r="P225" s="228"/>
      <c r="Q225" s="95"/>
      <c r="R225" s="1711" t="s">
        <v>1808</v>
      </c>
      <c r="S225" s="1347"/>
      <c r="T225" s="1711" t="s">
        <v>1808</v>
      </c>
      <c r="U225" s="1347"/>
      <c r="V225" s="1711" t="s">
        <v>1808</v>
      </c>
      <c r="W225" s="2053" t="s">
        <v>1809</v>
      </c>
      <c r="X225" s="2684"/>
      <c r="Y225" s="2686"/>
      <c r="Z225" s="2559"/>
      <c r="AA225" s="2557"/>
      <c r="AB225" s="2712"/>
      <c r="AC225" s="2558"/>
      <c r="AD225" s="2712"/>
      <c r="AE225" s="2556"/>
      <c r="AF225" s="2557"/>
      <c r="AG225" s="2711"/>
      <c r="AH225" s="2558"/>
      <c r="AI225" s="2712"/>
      <c r="AJ225" s="2556"/>
      <c r="AK225" s="2557"/>
      <c r="AL225" s="2711"/>
      <c r="AM225" s="2558"/>
      <c r="AN225" s="2711"/>
      <c r="AO225" s="2556"/>
      <c r="AP225" s="2557"/>
      <c r="AQ225" s="2711"/>
      <c r="AR225" s="2558"/>
      <c r="AS225" s="2711"/>
      <c r="AT225" s="2556"/>
      <c r="AU225" s="2479" t="s">
        <v>816</v>
      </c>
      <c r="AV225" s="305" t="s">
        <v>819</v>
      </c>
      <c r="AW225" s="99" t="s">
        <v>758</v>
      </c>
      <c r="AX225" s="547"/>
      <c r="AY225" s="547"/>
      <c r="AZ225" s="299" t="s">
        <v>193</v>
      </c>
      <c r="BA225" s="620"/>
      <c r="BB225" s="694"/>
      <c r="BC225" s="159" t="s">
        <v>795</v>
      </c>
      <c r="BD225" s="18"/>
    </row>
    <row r="226" spans="2:56" ht="20.100000000000001" customHeight="1">
      <c r="B226" s="1662" t="s">
        <v>1810</v>
      </c>
      <c r="C226" s="728" t="s">
        <v>820</v>
      </c>
      <c r="D226" s="728"/>
      <c r="E226" s="695"/>
      <c r="F226" s="1573"/>
      <c r="G226" s="685"/>
      <c r="H226" s="686" t="s">
        <v>821</v>
      </c>
      <c r="I226" s="669"/>
      <c r="J226" s="670"/>
      <c r="K226" s="656" t="s">
        <v>168</v>
      </c>
      <c r="L226" s="657"/>
      <c r="M226" s="657"/>
      <c r="N226" s="657"/>
      <c r="O226" s="657"/>
      <c r="P226" s="657"/>
      <c r="Q226" s="657"/>
      <c r="R226" s="1574"/>
      <c r="S226" s="1575"/>
      <c r="T226" s="1576"/>
      <c r="U226" s="1575"/>
      <c r="V226" s="1576"/>
      <c r="W226" s="2080"/>
      <c r="X226" s="2704"/>
      <c r="Y226" s="2705"/>
      <c r="Z226" s="2706"/>
      <c r="AA226" s="2576"/>
      <c r="AB226" s="2709"/>
      <c r="AC226" s="2577"/>
      <c r="AD226" s="2709"/>
      <c r="AE226" s="2575"/>
      <c r="AF226" s="2576"/>
      <c r="AG226" s="2574"/>
      <c r="AH226" s="2577"/>
      <c r="AI226" s="2709"/>
      <c r="AJ226" s="2575"/>
      <c r="AK226" s="2576"/>
      <c r="AL226" s="2574"/>
      <c r="AM226" s="2577"/>
      <c r="AN226" s="2574"/>
      <c r="AO226" s="2575"/>
      <c r="AP226" s="2576"/>
      <c r="AQ226" s="2574"/>
      <c r="AR226" s="2577"/>
      <c r="AS226" s="2574"/>
      <c r="AT226" s="2575"/>
      <c r="AU226" s="1564"/>
      <c r="AV226" s="276"/>
      <c r="AW226" s="99" t="s">
        <v>758</v>
      </c>
      <c r="AX226" s="547"/>
      <c r="AY226" s="547"/>
      <c r="AZ226" s="665"/>
      <c r="BA226" s="620" t="s">
        <v>822</v>
      </c>
      <c r="BB226" s="620" t="s">
        <v>740</v>
      </c>
      <c r="BC226" s="159"/>
      <c r="BD226" s="18"/>
    </row>
    <row r="227" spans="2:56" ht="20.100000000000001" customHeight="1">
      <c r="B227" s="1360" t="b">
        <f t="shared" ref="B227:B230" si="60">OR(ISBLANK(R227),ISBLANK(T227),ISBLANK(V227))</f>
        <v>0</v>
      </c>
      <c r="C227" s="1372"/>
      <c r="D227" s="490" t="s">
        <v>823</v>
      </c>
      <c r="E227" s="491"/>
      <c r="F227" s="285" t="s">
        <v>732</v>
      </c>
      <c r="G227" s="666"/>
      <c r="H227" s="684"/>
      <c r="I227" s="666" t="s">
        <v>824</v>
      </c>
      <c r="J227" s="666"/>
      <c r="K227" s="162" t="s">
        <v>734</v>
      </c>
      <c r="L227" s="92">
        <v>3665</v>
      </c>
      <c r="M227" s="92"/>
      <c r="N227" s="92">
        <v>5878</v>
      </c>
      <c r="O227" s="92"/>
      <c r="P227" s="228"/>
      <c r="Q227" s="95"/>
      <c r="R227" s="1463">
        <v>2437</v>
      </c>
      <c r="S227" s="1523" t="s">
        <v>746</v>
      </c>
      <c r="T227" s="1463">
        <v>3385</v>
      </c>
      <c r="U227" s="1526" t="s">
        <v>1798</v>
      </c>
      <c r="V227" s="5486">
        <v>3115</v>
      </c>
      <c r="W227" s="1523" t="s">
        <v>746</v>
      </c>
      <c r="X227" s="2557">
        <f>'4DPLEX'!R212</f>
        <v>29</v>
      </c>
      <c r="Y227" s="2558">
        <f>'4DPLEX'!T212</f>
        <v>50</v>
      </c>
      <c r="Z227" s="2559">
        <f>'4DPLEX'!V212</f>
        <v>64</v>
      </c>
      <c r="AA227" s="2684">
        <f>China!AO226</f>
        <v>272</v>
      </c>
      <c r="AB227" s="2688" t="str">
        <f>China!AP226</f>
        <v xml:space="preserve">Full time 기준
</v>
      </c>
      <c r="AC227" s="2686">
        <f>China!AQ226</f>
        <v>209</v>
      </c>
      <c r="AD227" s="2688" t="str">
        <f>China!AR226</f>
        <v xml:space="preserve">Full time 기준
</v>
      </c>
      <c r="AE227" s="2687">
        <f>China!AS226</f>
        <v>122</v>
      </c>
      <c r="AF227" s="2684">
        <f>Vietnam!Q226</f>
        <v>809</v>
      </c>
      <c r="AG227" s="2688" t="str">
        <f>Vietnam!R226</f>
        <v>Full time+Part time</v>
      </c>
      <c r="AH227" s="2686">
        <f>Vietnam!S226</f>
        <v>2118</v>
      </c>
      <c r="AI227" s="2688" t="str">
        <f>Vietnam!T226</f>
        <v>Full time+Part time</v>
      </c>
      <c r="AJ227" s="2687">
        <f>Vietnam!U226</f>
        <v>2144</v>
      </c>
      <c r="AK227" s="2684">
        <f>Indonesia!V226</f>
        <v>116</v>
      </c>
      <c r="AL227" s="2688" t="str">
        <f>Indonesia!W226</f>
        <v>Full time기준)미소지기는 아웃소싱</v>
      </c>
      <c r="AM227" s="2686">
        <f>Indonesia!X226</f>
        <v>114</v>
      </c>
      <c r="AN227" s="2708" t="str">
        <f>Indonesia!Y226</f>
        <v>Full time기준)미소지기는 아웃소싱</v>
      </c>
      <c r="AO227" s="2556">
        <f>Indonesia!Z226</f>
        <v>139</v>
      </c>
      <c r="AP227" s="2557">
        <f>Türkiye!AA226</f>
        <v>883</v>
      </c>
      <c r="AQ227" s="2561">
        <f>Türkiye!AB226</f>
        <v>0</v>
      </c>
      <c r="AR227" s="2558">
        <f>Türkiye!AC226</f>
        <v>744</v>
      </c>
      <c r="AS227" s="2561">
        <f>Türkiye!AD226</f>
        <v>0</v>
      </c>
      <c r="AT227" s="2556">
        <f>Türkiye!AE226</f>
        <v>684</v>
      </c>
      <c r="AU227" s="498" t="s">
        <v>825</v>
      </c>
      <c r="AV227" s="276" t="s">
        <v>826</v>
      </c>
      <c r="AW227" s="99" t="s">
        <v>758</v>
      </c>
      <c r="AX227" s="696" t="s">
        <v>738</v>
      </c>
      <c r="AY227" s="547"/>
      <c r="AZ227" s="665"/>
      <c r="BA227" s="620" t="s">
        <v>822</v>
      </c>
      <c r="BB227" s="620" t="s">
        <v>740</v>
      </c>
      <c r="BC227" s="159"/>
      <c r="BD227" s="18"/>
    </row>
    <row r="228" spans="2:56" ht="20.100000000000001" customHeight="1">
      <c r="B228" s="1360" t="b">
        <f t="shared" si="60"/>
        <v>0</v>
      </c>
      <c r="C228" s="28"/>
      <c r="D228" s="490" t="s">
        <v>827</v>
      </c>
      <c r="E228" s="491"/>
      <c r="F228" s="285" t="s">
        <v>732</v>
      </c>
      <c r="G228" s="666"/>
      <c r="H228" s="684"/>
      <c r="I228" s="45" t="s">
        <v>828</v>
      </c>
      <c r="J228" s="45"/>
      <c r="K228" s="162" t="s">
        <v>734</v>
      </c>
      <c r="L228" s="92">
        <v>2502</v>
      </c>
      <c r="M228" s="92"/>
      <c r="N228" s="92">
        <v>2482</v>
      </c>
      <c r="O228" s="92"/>
      <c r="P228" s="228"/>
      <c r="Q228" s="95"/>
      <c r="R228" s="1463">
        <v>1027</v>
      </c>
      <c r="S228" s="1523" t="s">
        <v>746</v>
      </c>
      <c r="T228" s="1463">
        <v>1020</v>
      </c>
      <c r="U228" s="1526" t="s">
        <v>1798</v>
      </c>
      <c r="V228" s="5486">
        <v>1491</v>
      </c>
      <c r="W228" s="1523" t="s">
        <v>746</v>
      </c>
      <c r="X228" s="2557">
        <f>'4DPLEX'!R213</f>
        <v>148</v>
      </c>
      <c r="Y228" s="2558">
        <f>'4DPLEX'!T213</f>
        <v>173</v>
      </c>
      <c r="Z228" s="2559">
        <f>'4DPLEX'!V213</f>
        <v>174</v>
      </c>
      <c r="AA228" s="2684">
        <f>China!AO227</f>
        <v>778</v>
      </c>
      <c r="AB228" s="2688" t="str">
        <f>China!AP227</f>
        <v xml:space="preserve">Full time 기준
</v>
      </c>
      <c r="AC228" s="2686">
        <f>China!AQ227</f>
        <v>694</v>
      </c>
      <c r="AD228" s="2688" t="str">
        <f>China!AR227</f>
        <v xml:space="preserve">Full time 기준
</v>
      </c>
      <c r="AE228" s="2687">
        <f>China!AS227</f>
        <v>623</v>
      </c>
      <c r="AF228" s="2684">
        <f>Vietnam!Q227</f>
        <v>294</v>
      </c>
      <c r="AG228" s="2688" t="str">
        <f>Vietnam!R227</f>
        <v>Full time+Part time</v>
      </c>
      <c r="AH228" s="2686">
        <f>Vietnam!S227</f>
        <v>327</v>
      </c>
      <c r="AI228" s="2688" t="str">
        <f>Vietnam!T227</f>
        <v>Full time+Part time</v>
      </c>
      <c r="AJ228" s="2687">
        <f>Vietnam!U227</f>
        <v>333</v>
      </c>
      <c r="AK228" s="2684">
        <f>Indonesia!V227</f>
        <v>257</v>
      </c>
      <c r="AL228" s="2688" t="str">
        <f>Indonesia!W227</f>
        <v>Full time기준)미소지기는 아웃소싱</v>
      </c>
      <c r="AM228" s="2686">
        <f>Indonesia!X227</f>
        <v>270</v>
      </c>
      <c r="AN228" s="2708" t="str">
        <f>Indonesia!Y227</f>
        <v>Full time기준)미소지기는 아웃소싱</v>
      </c>
      <c r="AO228" s="2556">
        <f>Indonesia!Z227</f>
        <v>267</v>
      </c>
      <c r="AP228" s="2557">
        <f>Türkiye!AA227</f>
        <v>381</v>
      </c>
      <c r="AQ228" s="2561">
        <f>Türkiye!AB227</f>
        <v>0</v>
      </c>
      <c r="AR228" s="2558">
        <f>Türkiye!AC227</f>
        <v>382</v>
      </c>
      <c r="AS228" s="2561">
        <f>Türkiye!AD227</f>
        <v>0</v>
      </c>
      <c r="AT228" s="2556">
        <f>Türkiye!AE227</f>
        <v>353</v>
      </c>
      <c r="AU228" s="498" t="s">
        <v>825</v>
      </c>
      <c r="AV228" s="276" t="s">
        <v>829</v>
      </c>
      <c r="AW228" s="99" t="s">
        <v>758</v>
      </c>
      <c r="AX228" s="547" t="s">
        <v>738</v>
      </c>
      <c r="AY228" s="547"/>
      <c r="AZ228" s="665"/>
      <c r="BA228" s="620" t="s">
        <v>822</v>
      </c>
      <c r="BB228" s="620" t="s">
        <v>740</v>
      </c>
      <c r="BC228" s="159"/>
      <c r="BD228" s="18"/>
    </row>
    <row r="229" spans="2:56" ht="20.100000000000001" customHeight="1">
      <c r="B229" s="1360" t="b">
        <f t="shared" si="60"/>
        <v>0</v>
      </c>
      <c r="C229" s="1373"/>
      <c r="D229" s="490" t="s">
        <v>830</v>
      </c>
      <c r="E229" s="491"/>
      <c r="F229" s="285" t="s">
        <v>732</v>
      </c>
      <c r="G229" s="666"/>
      <c r="H229" s="684"/>
      <c r="I229" s="666" t="s">
        <v>1811</v>
      </c>
      <c r="J229" s="666"/>
      <c r="K229" s="162" t="s">
        <v>734</v>
      </c>
      <c r="L229" s="92">
        <v>157</v>
      </c>
      <c r="M229" s="92"/>
      <c r="N229" s="92">
        <v>121</v>
      </c>
      <c r="O229" s="92"/>
      <c r="P229" s="228"/>
      <c r="Q229" s="95"/>
      <c r="R229" s="1463">
        <v>137</v>
      </c>
      <c r="S229" s="1523" t="s">
        <v>746</v>
      </c>
      <c r="T229" s="1463">
        <v>97</v>
      </c>
      <c r="U229" s="1526" t="s">
        <v>1798</v>
      </c>
      <c r="V229" s="5486">
        <v>78</v>
      </c>
      <c r="W229" s="1523" t="s">
        <v>746</v>
      </c>
      <c r="X229" s="2557">
        <f>'4DPLEX'!R214</f>
        <v>6</v>
      </c>
      <c r="Y229" s="2558">
        <f>'4DPLEX'!T214</f>
        <v>8</v>
      </c>
      <c r="Z229" s="2559">
        <f>'4DPLEX'!V214</f>
        <v>11</v>
      </c>
      <c r="AA229" s="2684">
        <f>China!AO228</f>
        <v>4</v>
      </c>
      <c r="AB229" s="2688" t="str">
        <f>China!AP228</f>
        <v xml:space="preserve">Full time 기준
</v>
      </c>
      <c r="AC229" s="2686">
        <f>China!AQ228</f>
        <v>6</v>
      </c>
      <c r="AD229" s="2688" t="str">
        <f>China!AR228</f>
        <v xml:space="preserve">Full time 기준
</v>
      </c>
      <c r="AE229" s="2687">
        <f>China!AS228</f>
        <v>5</v>
      </c>
      <c r="AF229" s="2684">
        <f>Vietnam!Q228</f>
        <v>2</v>
      </c>
      <c r="AG229" s="2688" t="str">
        <f>Vietnam!R228</f>
        <v>Full time+Part time</v>
      </c>
      <c r="AH229" s="2686">
        <f>Vietnam!S228</f>
        <v>1</v>
      </c>
      <c r="AI229" s="2688" t="str">
        <f>Vietnam!T228</f>
        <v>Full time+Part time</v>
      </c>
      <c r="AJ229" s="2687">
        <f>Vietnam!U228</f>
        <v>1</v>
      </c>
      <c r="AK229" s="2684">
        <f>Indonesia!V228</f>
        <v>8</v>
      </c>
      <c r="AL229" s="2688" t="str">
        <f>Indonesia!W228</f>
        <v>Full time기준)미소지기는 아웃소싱</v>
      </c>
      <c r="AM229" s="2686">
        <f>Indonesia!X228</f>
        <v>9</v>
      </c>
      <c r="AN229" s="2708" t="str">
        <f>Indonesia!Y228</f>
        <v>Full time기준)미소지기는 아웃소싱</v>
      </c>
      <c r="AO229" s="2556">
        <f>Indonesia!Z228</f>
        <v>6</v>
      </c>
      <c r="AP229" s="2557">
        <f>Türkiye!AA228</f>
        <v>16</v>
      </c>
      <c r="AQ229" s="2561">
        <f>Türkiye!AB228</f>
        <v>0</v>
      </c>
      <c r="AR229" s="2558">
        <f>Türkiye!AC228</f>
        <v>18</v>
      </c>
      <c r="AS229" s="2561">
        <f>Türkiye!AD228</f>
        <v>0</v>
      </c>
      <c r="AT229" s="2556">
        <f>Türkiye!AE228</f>
        <v>22</v>
      </c>
      <c r="AU229" s="498" t="s">
        <v>825</v>
      </c>
      <c r="AV229" s="276" t="s">
        <v>832</v>
      </c>
      <c r="AW229" s="99" t="s">
        <v>758</v>
      </c>
      <c r="AX229" s="547" t="s">
        <v>738</v>
      </c>
      <c r="AY229" s="547"/>
      <c r="AZ229" s="665"/>
      <c r="BA229" s="620" t="s">
        <v>822</v>
      </c>
      <c r="BB229" s="620" t="s">
        <v>740</v>
      </c>
      <c r="BC229" s="159"/>
      <c r="BD229" s="18"/>
    </row>
    <row r="230" spans="2:56" ht="20.100000000000001" customHeight="1">
      <c r="B230" s="1360" t="b">
        <f t="shared" si="60"/>
        <v>0</v>
      </c>
      <c r="C230" s="491" t="s">
        <v>833</v>
      </c>
      <c r="D230" s="583"/>
      <c r="E230" s="583"/>
      <c r="F230" s="285" t="s">
        <v>732</v>
      </c>
      <c r="G230" s="358"/>
      <c r="H230" s="359" t="s">
        <v>834</v>
      </c>
      <c r="I230" s="359"/>
      <c r="J230" s="643"/>
      <c r="K230" s="162" t="s">
        <v>734</v>
      </c>
      <c r="L230" s="92">
        <v>183</v>
      </c>
      <c r="M230" s="92"/>
      <c r="N230" s="92">
        <v>231</v>
      </c>
      <c r="O230" s="92"/>
      <c r="P230" s="228"/>
      <c r="Q230" s="95"/>
      <c r="R230" s="1463">
        <v>1135</v>
      </c>
      <c r="S230" s="1523" t="s">
        <v>1812</v>
      </c>
      <c r="T230" s="1463">
        <v>1097</v>
      </c>
      <c r="U230" s="1526" t="s">
        <v>1812</v>
      </c>
      <c r="V230" s="5475">
        <v>1096</v>
      </c>
      <c r="W230" s="1523" t="s">
        <v>1812</v>
      </c>
      <c r="X230" s="2557"/>
      <c r="Y230" s="2558"/>
      <c r="Z230" s="2559"/>
      <c r="AA230" s="2684"/>
      <c r="AB230" s="2685"/>
      <c r="AC230" s="2686"/>
      <c r="AD230" s="2685"/>
      <c r="AE230" s="2687"/>
      <c r="AF230" s="2684"/>
      <c r="AG230" s="2685"/>
      <c r="AH230" s="2686"/>
      <c r="AI230" s="2685"/>
      <c r="AJ230" s="2687"/>
      <c r="AK230" s="2684"/>
      <c r="AL230" s="2685"/>
      <c r="AM230" s="2686"/>
      <c r="AN230" s="2561"/>
      <c r="AO230" s="2556"/>
      <c r="AP230" s="2557"/>
      <c r="AQ230" s="2561"/>
      <c r="AR230" s="2558"/>
      <c r="AS230" s="2561"/>
      <c r="AT230" s="2556"/>
      <c r="AU230" s="498" t="s">
        <v>835</v>
      </c>
      <c r="AV230" s="276" t="s">
        <v>836</v>
      </c>
      <c r="AW230" s="99" t="s">
        <v>758</v>
      </c>
      <c r="AX230" s="547" t="s">
        <v>738</v>
      </c>
      <c r="AY230" s="547"/>
      <c r="AZ230" s="665"/>
      <c r="BA230" s="620" t="s">
        <v>837</v>
      </c>
      <c r="BB230" s="620"/>
      <c r="BC230" s="159"/>
      <c r="BD230" s="18"/>
    </row>
    <row r="231" spans="2:56" ht="20.100000000000001" customHeight="1">
      <c r="B231" s="1662" t="s">
        <v>1813</v>
      </c>
      <c r="C231" s="728" t="s">
        <v>843</v>
      </c>
      <c r="D231" s="695"/>
      <c r="E231" s="695"/>
      <c r="F231" s="1573"/>
      <c r="G231" s="685"/>
      <c r="H231" s="686" t="s">
        <v>844</v>
      </c>
      <c r="I231" s="698"/>
      <c r="J231" s="655"/>
      <c r="K231" s="656" t="s">
        <v>168</v>
      </c>
      <c r="L231" s="657"/>
      <c r="M231" s="657"/>
      <c r="N231" s="657"/>
      <c r="O231" s="657"/>
      <c r="P231" s="657"/>
      <c r="Q231" s="657"/>
      <c r="R231" s="1574"/>
      <c r="S231" s="1575"/>
      <c r="T231" s="1576"/>
      <c r="U231" s="1575"/>
      <c r="V231" s="1576"/>
      <c r="W231" s="2080"/>
      <c r="X231" s="2704"/>
      <c r="Y231" s="2705"/>
      <c r="Z231" s="2706"/>
      <c r="AA231" s="2576"/>
      <c r="AB231" s="2574"/>
      <c r="AC231" s="2577"/>
      <c r="AD231" s="2574"/>
      <c r="AE231" s="2575"/>
      <c r="AF231" s="2576"/>
      <c r="AG231" s="2574"/>
      <c r="AH231" s="2577"/>
      <c r="AI231" s="2574"/>
      <c r="AJ231" s="2575"/>
      <c r="AK231" s="2576"/>
      <c r="AL231" s="2574"/>
      <c r="AM231" s="2577"/>
      <c r="AN231" s="2574"/>
      <c r="AO231" s="2575"/>
      <c r="AP231" s="2576"/>
      <c r="AQ231" s="2574"/>
      <c r="AR231" s="2577"/>
      <c r="AS231" s="2574"/>
      <c r="AT231" s="2575"/>
      <c r="AU231" s="1564"/>
      <c r="AV231" s="276"/>
      <c r="AW231" s="99" t="s">
        <v>758</v>
      </c>
      <c r="AX231" s="547" t="s">
        <v>738</v>
      </c>
      <c r="AY231" s="547"/>
      <c r="AZ231" s="665"/>
      <c r="BA231" s="699"/>
      <c r="BB231" s="699"/>
      <c r="BC231" s="700"/>
      <c r="BD231" s="18"/>
    </row>
    <row r="232" spans="2:56" ht="20.100000000000001" customHeight="1">
      <c r="B232" s="1360" t="b">
        <f t="shared" ref="B232:B238" si="61">OR(ISBLANK(R232),ISBLANK(T232),ISBLANK(V232))</f>
        <v>0</v>
      </c>
      <c r="C232" s="1374"/>
      <c r="D232" s="490" t="s">
        <v>823</v>
      </c>
      <c r="E232" s="491"/>
      <c r="F232" s="285" t="s">
        <v>732</v>
      </c>
      <c r="G232" s="347"/>
      <c r="H232" s="348"/>
      <c r="I232" s="495" t="s">
        <v>824</v>
      </c>
      <c r="J232" s="643"/>
      <c r="K232" s="162" t="s">
        <v>734</v>
      </c>
      <c r="L232" s="644"/>
      <c r="M232" s="543"/>
      <c r="N232" s="644"/>
      <c r="O232" s="543"/>
      <c r="P232" s="644"/>
      <c r="Q232" s="652"/>
      <c r="R232" s="1463">
        <v>0</v>
      </c>
      <c r="S232" s="1523"/>
      <c r="T232" s="1463">
        <v>0</v>
      </c>
      <c r="U232" s="1526"/>
      <c r="V232" s="1464">
        <v>0</v>
      </c>
      <c r="W232" s="1242" t="s">
        <v>1814</v>
      </c>
      <c r="X232" s="2684"/>
      <c r="Y232" s="2686"/>
      <c r="Z232" s="2559"/>
      <c r="AA232" s="2557">
        <f>China!AO231</f>
        <v>0</v>
      </c>
      <c r="AB232" s="2561">
        <f>China!AP231</f>
        <v>0</v>
      </c>
      <c r="AC232" s="2558">
        <f>China!AQ231</f>
        <v>0</v>
      </c>
      <c r="AD232" s="2561">
        <f>China!AR231</f>
        <v>0</v>
      </c>
      <c r="AE232" s="2556">
        <f>China!AS231</f>
        <v>0</v>
      </c>
      <c r="AF232" s="2557"/>
      <c r="AG232" s="2561"/>
      <c r="AH232" s="2558"/>
      <c r="AI232" s="2561"/>
      <c r="AJ232" s="2556"/>
      <c r="AK232" s="2557">
        <f>Indonesia!V231</f>
        <v>0</v>
      </c>
      <c r="AL232" s="2561">
        <f>Indonesia!W231</f>
        <v>0</v>
      </c>
      <c r="AM232" s="2558">
        <f>Indonesia!X231</f>
        <v>0</v>
      </c>
      <c r="AN232" s="2561">
        <f>Indonesia!Y231</f>
        <v>0</v>
      </c>
      <c r="AO232" s="2556">
        <f>Indonesia!Z231</f>
        <v>0</v>
      </c>
      <c r="AP232" s="2557">
        <f>Türkiye!AA231</f>
        <v>0</v>
      </c>
      <c r="AQ232" s="2561">
        <f>Türkiye!AB231</f>
        <v>0</v>
      </c>
      <c r="AR232" s="2558">
        <f>Türkiye!AC231</f>
        <v>0</v>
      </c>
      <c r="AS232" s="2561">
        <f>Türkiye!AD231</f>
        <v>0</v>
      </c>
      <c r="AT232" s="2556">
        <f>Türkiye!AE231</f>
        <v>0</v>
      </c>
      <c r="AU232" s="2468"/>
      <c r="AV232" s="276"/>
      <c r="AW232" s="99" t="s">
        <v>758</v>
      </c>
      <c r="AX232" s="696" t="s">
        <v>800</v>
      </c>
      <c r="AY232" s="547"/>
      <c r="AZ232" s="665"/>
      <c r="BA232" s="620"/>
      <c r="BB232" s="672" t="s">
        <v>807</v>
      </c>
      <c r="BC232" s="159"/>
      <c r="BD232" s="18"/>
    </row>
    <row r="233" spans="2:56" ht="20.100000000000001" customHeight="1">
      <c r="B233" s="1360" t="b">
        <f t="shared" si="61"/>
        <v>0</v>
      </c>
      <c r="C233" s="28"/>
      <c r="D233" s="490" t="s">
        <v>827</v>
      </c>
      <c r="E233" s="491"/>
      <c r="F233" s="285" t="s">
        <v>732</v>
      </c>
      <c r="G233" s="106"/>
      <c r="H233" s="353"/>
      <c r="I233" s="495" t="s">
        <v>828</v>
      </c>
      <c r="J233" s="643"/>
      <c r="K233" s="162" t="s">
        <v>734</v>
      </c>
      <c r="L233" s="644"/>
      <c r="M233" s="543"/>
      <c r="N233" s="644"/>
      <c r="O233" s="543"/>
      <c r="P233" s="644"/>
      <c r="Q233" s="652"/>
      <c r="R233" s="1463">
        <v>1</v>
      </c>
      <c r="S233" s="1523"/>
      <c r="T233" s="1463">
        <v>4</v>
      </c>
      <c r="U233" s="1526"/>
      <c r="V233" s="1464">
        <v>4</v>
      </c>
      <c r="W233" s="1242" t="s">
        <v>1815</v>
      </c>
      <c r="X233" s="2684"/>
      <c r="Y233" s="2686"/>
      <c r="Z233" s="2559"/>
      <c r="AA233" s="2557">
        <f>China!AO232</f>
        <v>18</v>
      </c>
      <c r="AB233" s="2561">
        <f>China!AP232</f>
        <v>0</v>
      </c>
      <c r="AC233" s="2558">
        <f>China!AQ232</f>
        <v>22</v>
      </c>
      <c r="AD233" s="2561">
        <f>China!AR232</f>
        <v>0</v>
      </c>
      <c r="AE233" s="2556">
        <f>China!AS232</f>
        <v>35</v>
      </c>
      <c r="AF233" s="2557">
        <f>Vietnam!Q232</f>
        <v>5</v>
      </c>
      <c r="AG233" s="2561"/>
      <c r="AH233" s="2558">
        <f>Vietnam!S232</f>
        <v>5</v>
      </c>
      <c r="AI233" s="2561" t="str">
        <f>Vietnam!T232</f>
        <v>Expat only</v>
      </c>
      <c r="AJ233" s="2556">
        <f>Vietnam!U232</f>
        <v>5</v>
      </c>
      <c r="AK233" s="2557">
        <f>Indonesia!V232</f>
        <v>5</v>
      </c>
      <c r="AL233" s="2561">
        <f>Indonesia!W232</f>
        <v>0</v>
      </c>
      <c r="AM233" s="2558">
        <f>Indonesia!X232</f>
        <v>5</v>
      </c>
      <c r="AN233" s="2561">
        <f>Indonesia!Y232</f>
        <v>0</v>
      </c>
      <c r="AO233" s="2556">
        <f>Indonesia!Z232</f>
        <v>5</v>
      </c>
      <c r="AP233" s="2557">
        <f>Türkiye!AA232</f>
        <v>45</v>
      </c>
      <c r="AQ233" s="2561">
        <f>Türkiye!AB232</f>
        <v>0</v>
      </c>
      <c r="AR233" s="2558">
        <f>Türkiye!AC232</f>
        <v>35</v>
      </c>
      <c r="AS233" s="2561">
        <f>Türkiye!AD232</f>
        <v>0</v>
      </c>
      <c r="AT233" s="2556">
        <f>Türkiye!AE232</f>
        <v>33</v>
      </c>
      <c r="AU233" s="2468"/>
      <c r="AV233" s="276"/>
      <c r="AW233" s="99" t="s">
        <v>758</v>
      </c>
      <c r="AX233" s="547" t="s">
        <v>800</v>
      </c>
      <c r="AY233" s="547"/>
      <c r="AZ233" s="665"/>
      <c r="BA233" s="620"/>
      <c r="BB233" s="672" t="s">
        <v>807</v>
      </c>
      <c r="BC233" s="159"/>
      <c r="BD233" s="18"/>
    </row>
    <row r="234" spans="2:56" ht="20.100000000000001" customHeight="1">
      <c r="B234" s="1360" t="b">
        <f t="shared" si="61"/>
        <v>0</v>
      </c>
      <c r="C234" s="1373"/>
      <c r="D234" s="490" t="s">
        <v>830</v>
      </c>
      <c r="E234" s="491"/>
      <c r="F234" s="285" t="s">
        <v>732</v>
      </c>
      <c r="G234" s="384"/>
      <c r="H234" s="385"/>
      <c r="I234" s="495" t="s">
        <v>1811</v>
      </c>
      <c r="J234" s="643"/>
      <c r="K234" s="162" t="s">
        <v>734</v>
      </c>
      <c r="L234" s="644"/>
      <c r="M234" s="543"/>
      <c r="N234" s="644"/>
      <c r="O234" s="543"/>
      <c r="P234" s="644"/>
      <c r="Q234" s="652"/>
      <c r="R234" s="1463">
        <v>4</v>
      </c>
      <c r="S234" s="1523"/>
      <c r="T234" s="1463">
        <v>4</v>
      </c>
      <c r="U234" s="1526"/>
      <c r="V234" s="1464">
        <v>4</v>
      </c>
      <c r="W234" s="1242" t="s">
        <v>1816</v>
      </c>
      <c r="X234" s="2684"/>
      <c r="Y234" s="2686"/>
      <c r="Z234" s="2559"/>
      <c r="AA234" s="2557">
        <f>China!AO233</f>
        <v>2</v>
      </c>
      <c r="AB234" s="2561">
        <f>China!AP233</f>
        <v>0</v>
      </c>
      <c r="AC234" s="2558">
        <f>China!AQ233</f>
        <v>1</v>
      </c>
      <c r="AD234" s="2561">
        <f>China!AR233</f>
        <v>0</v>
      </c>
      <c r="AE234" s="2556">
        <f>China!AS233</f>
        <v>1</v>
      </c>
      <c r="AF234" s="2557"/>
      <c r="AG234" s="2561"/>
      <c r="AH234" s="2558"/>
      <c r="AI234" s="2561"/>
      <c r="AJ234" s="2556"/>
      <c r="AK234" s="2557">
        <f>Indonesia!V233</f>
        <v>2</v>
      </c>
      <c r="AL234" s="2561">
        <f>Indonesia!W233</f>
        <v>0</v>
      </c>
      <c r="AM234" s="2558">
        <f>Indonesia!X233</f>
        <v>2</v>
      </c>
      <c r="AN234" s="2561">
        <f>Indonesia!Y233</f>
        <v>0</v>
      </c>
      <c r="AO234" s="2556">
        <f>Indonesia!Z233</f>
        <v>2</v>
      </c>
      <c r="AP234" s="2557">
        <f>Türkiye!AA233</f>
        <v>7</v>
      </c>
      <c r="AQ234" s="2561">
        <f>Türkiye!AB233</f>
        <v>0</v>
      </c>
      <c r="AR234" s="2558">
        <f>Türkiye!AC233</f>
        <v>7</v>
      </c>
      <c r="AS234" s="2561">
        <f>Türkiye!AD233</f>
        <v>0</v>
      </c>
      <c r="AT234" s="2556">
        <f>Türkiye!AE233</f>
        <v>6</v>
      </c>
      <c r="AU234" s="2468"/>
      <c r="AV234" s="276"/>
      <c r="AW234" s="99" t="s">
        <v>758</v>
      </c>
      <c r="AX234" s="547" t="s">
        <v>800</v>
      </c>
      <c r="AY234" s="547"/>
      <c r="AZ234" s="665"/>
      <c r="BA234" s="620"/>
      <c r="BB234" s="672" t="s">
        <v>807</v>
      </c>
      <c r="BC234" s="159"/>
      <c r="BD234" s="18"/>
    </row>
    <row r="235" spans="2:56" ht="20.100000000000001" customHeight="1">
      <c r="B235" s="1360" t="b">
        <f t="shared" si="61"/>
        <v>0</v>
      </c>
      <c r="C235" s="161" t="s">
        <v>849</v>
      </c>
      <c r="D235" s="701"/>
      <c r="E235" s="701"/>
      <c r="F235" s="285" t="s">
        <v>742</v>
      </c>
      <c r="G235" s="358"/>
      <c r="H235" s="359" t="s">
        <v>850</v>
      </c>
      <c r="I235" s="497"/>
      <c r="J235" s="360"/>
      <c r="K235" s="162" t="s">
        <v>734</v>
      </c>
      <c r="L235" s="644"/>
      <c r="M235" s="543"/>
      <c r="N235" s="644"/>
      <c r="O235" s="543"/>
      <c r="P235" s="644"/>
      <c r="Q235" s="652"/>
      <c r="R235" s="1463">
        <v>192</v>
      </c>
      <c r="S235" s="1523"/>
      <c r="T235" s="1463">
        <v>201</v>
      </c>
      <c r="U235" s="1526"/>
      <c r="V235" s="1464">
        <v>201</v>
      </c>
      <c r="W235" s="2079"/>
      <c r="X235" s="2557"/>
      <c r="Y235" s="2558"/>
      <c r="Z235" s="2559"/>
      <c r="AA235" s="2684">
        <f>China!AO234</f>
        <v>20</v>
      </c>
      <c r="AB235" s="2685">
        <f>China!AP234</f>
        <v>0</v>
      </c>
      <c r="AC235" s="2686">
        <f>China!AQ234</f>
        <v>23</v>
      </c>
      <c r="AD235" s="2685">
        <f>China!AR234</f>
        <v>0</v>
      </c>
      <c r="AE235" s="2687">
        <f>China!AS234</f>
        <v>36</v>
      </c>
      <c r="AF235" s="2557">
        <f>Vietnam!Q234</f>
        <v>58</v>
      </c>
      <c r="AG235" s="2561">
        <f>Vietnam!R234</f>
        <v>0</v>
      </c>
      <c r="AH235" s="2686">
        <f>Vietnam!S234</f>
        <v>58</v>
      </c>
      <c r="AI235" s="2685">
        <f>Vietnam!T234</f>
        <v>0</v>
      </c>
      <c r="AJ235" s="2687">
        <f>Vietnam!U234</f>
        <v>64</v>
      </c>
      <c r="AK235" s="2684">
        <f>Indonesia!V234</f>
        <v>5</v>
      </c>
      <c r="AL235" s="2685" t="str">
        <f>Indonesia!W234</f>
        <v>Div head &amp; dept Head</v>
      </c>
      <c r="AM235" s="2686">
        <f>Indonesia!X234</f>
        <v>3</v>
      </c>
      <c r="AN235" s="2685" t="str">
        <f>Indonesia!Y234</f>
        <v>Div head &amp; dept Head</v>
      </c>
      <c r="AO235" s="2687">
        <f>Indonesia!Z234</f>
        <v>5</v>
      </c>
      <c r="AP235" s="2557">
        <f>Türkiye!AA234</f>
        <v>52</v>
      </c>
      <c r="AQ235" s="2561">
        <f>Türkiye!AB234</f>
        <v>0</v>
      </c>
      <c r="AR235" s="2558">
        <f>Türkiye!AC234</f>
        <v>42</v>
      </c>
      <c r="AS235" s="2561">
        <f>Türkiye!AD234</f>
        <v>0</v>
      </c>
      <c r="AT235" s="2556">
        <f>Türkiye!AE234</f>
        <v>39</v>
      </c>
      <c r="AU235" s="2480" t="s">
        <v>851</v>
      </c>
      <c r="AV235" s="276"/>
      <c r="AW235" s="99" t="s">
        <v>758</v>
      </c>
      <c r="AX235" s="547" t="s">
        <v>800</v>
      </c>
      <c r="AY235" s="547"/>
      <c r="AZ235" s="665"/>
      <c r="BA235" s="620" t="s">
        <v>852</v>
      </c>
      <c r="BB235" s="154" t="s">
        <v>853</v>
      </c>
      <c r="BC235" s="159"/>
      <c r="BD235" s="18"/>
    </row>
    <row r="236" spans="2:56" ht="20.100000000000001" customHeight="1">
      <c r="B236" s="1360" t="b">
        <f t="shared" si="61"/>
        <v>0</v>
      </c>
      <c r="C236" s="161" t="s">
        <v>857</v>
      </c>
      <c r="D236" s="701"/>
      <c r="E236" s="703"/>
      <c r="F236" s="285" t="s">
        <v>156</v>
      </c>
      <c r="G236" s="358"/>
      <c r="H236" s="359" t="s">
        <v>858</v>
      </c>
      <c r="I236" s="497"/>
      <c r="J236" s="360"/>
      <c r="K236" s="162" t="s">
        <v>156</v>
      </c>
      <c r="L236" s="228"/>
      <c r="M236" s="92"/>
      <c r="N236" s="228"/>
      <c r="O236" s="92"/>
      <c r="P236" s="228"/>
      <c r="Q236" s="95"/>
      <c r="R236" s="1488">
        <f>R235/R230*100</f>
        <v>16.916299559471366</v>
      </c>
      <c r="S236" s="1430"/>
      <c r="T236" s="1488">
        <f>T235/T230*100</f>
        <v>18.322698268003645</v>
      </c>
      <c r="U236" s="935"/>
      <c r="V236" s="1488">
        <f>V235/V230*100</f>
        <v>18.339416058394161</v>
      </c>
      <c r="W236" s="2053"/>
      <c r="X236" s="2557"/>
      <c r="Y236" s="2558"/>
      <c r="Z236" s="2559"/>
      <c r="AA236" s="5379">
        <f>AA235/AA206</f>
        <v>1.8975332068311195E-2</v>
      </c>
      <c r="AB236" s="5380" t="e">
        <f t="shared" ref="AB236:AE236" si="62">AB235/AB206</f>
        <v>#DIV/0!</v>
      </c>
      <c r="AC236" s="5381">
        <f t="shared" si="62"/>
        <v>2.5302530253025302E-2</v>
      </c>
      <c r="AD236" s="5380" t="e">
        <f t="shared" si="62"/>
        <v>#DIV/0!</v>
      </c>
      <c r="AE236" s="5382">
        <f t="shared" si="62"/>
        <v>4.8000000000000001E-2</v>
      </c>
      <c r="AF236" s="5379">
        <f>AF235/AF206</f>
        <v>3.6662452591656132E-2</v>
      </c>
      <c r="AG236" s="5380" t="e">
        <f t="shared" ref="AG236:AO236" si="63">AG235/AG206</f>
        <v>#DIV/0!</v>
      </c>
      <c r="AH236" s="5381">
        <f t="shared" si="63"/>
        <v>2.0322354590049056E-2</v>
      </c>
      <c r="AI236" s="5380" t="e">
        <f t="shared" si="63"/>
        <v>#DIV/0!</v>
      </c>
      <c r="AJ236" s="5382">
        <f t="shared" si="63"/>
        <v>2.2606852702225361E-2</v>
      </c>
      <c r="AK236" s="5418">
        <f t="shared" si="63"/>
        <v>1.3123359580052493E-2</v>
      </c>
      <c r="AL236" s="5419" t="e">
        <f t="shared" si="63"/>
        <v>#VALUE!</v>
      </c>
      <c r="AM236" s="5420">
        <f t="shared" si="63"/>
        <v>7.6335877862595417E-3</v>
      </c>
      <c r="AN236" s="5419" t="e">
        <f t="shared" si="63"/>
        <v>#VALUE!</v>
      </c>
      <c r="AO236" s="5421">
        <f t="shared" si="63"/>
        <v>1.2135922330097087E-2</v>
      </c>
      <c r="AP236" s="5369">
        <f>Türkiye!AA235</f>
        <v>4.0625000000000001E-2</v>
      </c>
      <c r="AQ236" s="5443">
        <f>Türkiye!AB235</f>
        <v>0</v>
      </c>
      <c r="AR236" s="5401">
        <f>Türkiye!AC235</f>
        <v>3.6713286713286712E-2</v>
      </c>
      <c r="AS236" s="5443">
        <f>Türkiye!AD235</f>
        <v>0</v>
      </c>
      <c r="AT236" s="5402">
        <f>Türkiye!AE235</f>
        <v>3.6827195467422094E-2</v>
      </c>
      <c r="AU236" s="2480" t="s">
        <v>859</v>
      </c>
      <c r="AV236" s="276"/>
      <c r="AW236" s="99" t="s">
        <v>758</v>
      </c>
      <c r="AX236" s="547" t="s">
        <v>800</v>
      </c>
      <c r="AY236" s="547"/>
      <c r="AZ236" s="665"/>
      <c r="BA236" s="620" t="s">
        <v>852</v>
      </c>
      <c r="BB236" s="154" t="s">
        <v>853</v>
      </c>
      <c r="BC236" s="159"/>
      <c r="BD236" s="18"/>
    </row>
    <row r="237" spans="2:56" ht="20.100000000000001" customHeight="1">
      <c r="B237" s="1360" t="b">
        <f t="shared" si="61"/>
        <v>0</v>
      </c>
      <c r="C237" s="359" t="s">
        <v>863</v>
      </c>
      <c r="D237" s="497"/>
      <c r="E237" s="360"/>
      <c r="F237" s="285" t="s">
        <v>156</v>
      </c>
      <c r="G237" s="358"/>
      <c r="H237" s="359" t="s">
        <v>864</v>
      </c>
      <c r="I237" s="497"/>
      <c r="J237" s="360"/>
      <c r="K237" s="162" t="s">
        <v>156</v>
      </c>
      <c r="L237" s="228"/>
      <c r="M237" s="92"/>
      <c r="N237" s="228"/>
      <c r="O237" s="92"/>
      <c r="P237" s="228"/>
      <c r="Q237" s="95"/>
      <c r="R237" s="1488">
        <f>R209/R230*100</f>
        <v>0.44052863436123352</v>
      </c>
      <c r="S237" s="1430"/>
      <c r="T237" s="1488">
        <v>0.72926162260711025</v>
      </c>
      <c r="U237" s="935"/>
      <c r="V237" s="1488">
        <v>0.72926162260711025</v>
      </c>
      <c r="W237" s="2053"/>
      <c r="X237" s="2557"/>
      <c r="Y237" s="2558"/>
      <c r="Z237" s="2559"/>
      <c r="AA237" s="2684"/>
      <c r="AB237" s="2685"/>
      <c r="AC237" s="2686"/>
      <c r="AD237" s="2685"/>
      <c r="AE237" s="2687"/>
      <c r="AF237" s="2557"/>
      <c r="AG237" s="2561"/>
      <c r="AH237" s="2686"/>
      <c r="AI237" s="2685"/>
      <c r="AJ237" s="2687"/>
      <c r="AK237" s="2684"/>
      <c r="AL237" s="2685"/>
      <c r="AM237" s="2686"/>
      <c r="AN237" s="2685"/>
      <c r="AO237" s="2687"/>
      <c r="AP237" s="2557"/>
      <c r="AQ237" s="2561"/>
      <c r="AR237" s="2558"/>
      <c r="AS237" s="2561"/>
      <c r="AT237" s="2556"/>
      <c r="AU237" s="684" t="s">
        <v>865</v>
      </c>
      <c r="AV237" s="457" t="s">
        <v>866</v>
      </c>
      <c r="AW237" s="99" t="s">
        <v>758</v>
      </c>
      <c r="AX237" s="547" t="s">
        <v>800</v>
      </c>
      <c r="AY237" s="547"/>
      <c r="AZ237" s="99"/>
      <c r="BA237" s="620" t="s">
        <v>852</v>
      </c>
      <c r="BB237" s="154" t="s">
        <v>853</v>
      </c>
      <c r="BC237" s="159"/>
      <c r="BD237" s="18"/>
    </row>
    <row r="238" spans="2:56" ht="48" customHeight="1" thickBot="1">
      <c r="B238" s="1361" t="b">
        <f t="shared" si="61"/>
        <v>0</v>
      </c>
      <c r="C238" s="359" t="s">
        <v>870</v>
      </c>
      <c r="D238" s="497"/>
      <c r="E238" s="360"/>
      <c r="F238" s="706" t="s">
        <v>156</v>
      </c>
      <c r="G238" s="707"/>
      <c r="H238" s="708" t="s">
        <v>871</v>
      </c>
      <c r="I238" s="709"/>
      <c r="J238" s="710"/>
      <c r="K238" s="711" t="s">
        <v>156</v>
      </c>
      <c r="L238" s="228"/>
      <c r="M238" s="92"/>
      <c r="N238" s="228"/>
      <c r="O238" s="92"/>
      <c r="P238" s="228"/>
      <c r="Q238" s="95"/>
      <c r="R238" s="1712" t="s">
        <v>1808</v>
      </c>
      <c r="S238" s="1347"/>
      <c r="T238" s="1712" t="s">
        <v>1808</v>
      </c>
      <c r="U238" s="1663"/>
      <c r="V238" s="1713" t="s">
        <v>1808</v>
      </c>
      <c r="W238" s="2081" t="s">
        <v>1817</v>
      </c>
      <c r="X238" s="2676"/>
      <c r="Y238" s="2677"/>
      <c r="Z238" s="2678"/>
      <c r="AA238" s="2676"/>
      <c r="AB238" s="2679"/>
      <c r="AC238" s="2677"/>
      <c r="AD238" s="2679"/>
      <c r="AE238" s="2680"/>
      <c r="AF238" s="2676"/>
      <c r="AG238" s="2679"/>
      <c r="AH238" s="2677"/>
      <c r="AI238" s="2679"/>
      <c r="AJ238" s="2680"/>
      <c r="AK238" s="2676"/>
      <c r="AL238" s="2679"/>
      <c r="AM238" s="2677"/>
      <c r="AN238" s="2679"/>
      <c r="AO238" s="2680"/>
      <c r="AP238" s="2676"/>
      <c r="AQ238" s="2679"/>
      <c r="AR238" s="2677"/>
      <c r="AS238" s="2679"/>
      <c r="AT238" s="2680"/>
      <c r="AU238" s="2481" t="s">
        <v>872</v>
      </c>
      <c r="AV238" s="714" t="s">
        <v>873</v>
      </c>
      <c r="AW238" s="99" t="s">
        <v>758</v>
      </c>
      <c r="AX238" s="715" t="s">
        <v>800</v>
      </c>
      <c r="AY238" s="547" t="s">
        <v>874</v>
      </c>
      <c r="AZ238" s="109"/>
      <c r="BA238" s="277"/>
      <c r="BB238" s="265" t="s">
        <v>807</v>
      </c>
      <c r="BC238" s="187" t="s">
        <v>875</v>
      </c>
      <c r="BD238" s="18"/>
    </row>
    <row r="239" spans="2:56" ht="27" thickBot="1">
      <c r="B239" s="123" t="s">
        <v>877</v>
      </c>
      <c r="C239" s="124"/>
      <c r="D239" s="124"/>
      <c r="E239" s="124"/>
      <c r="F239" s="78"/>
      <c r="G239" s="598" t="s">
        <v>878</v>
      </c>
      <c r="H239" s="126"/>
      <c r="I239" s="126"/>
      <c r="J239" s="126"/>
      <c r="K239" s="78"/>
      <c r="L239" s="716"/>
      <c r="M239" s="716"/>
      <c r="N239" s="716"/>
      <c r="O239" s="716"/>
      <c r="P239" s="716"/>
      <c r="Q239" s="716"/>
      <c r="R239" s="1484"/>
      <c r="S239" s="1433"/>
      <c r="T239" s="1484"/>
      <c r="U239" s="1433"/>
      <c r="V239" s="1484"/>
      <c r="W239" s="716"/>
      <c r="X239" s="2578"/>
      <c r="Y239" s="2579"/>
      <c r="Z239" s="2579"/>
      <c r="AA239" s="2580"/>
      <c r="AB239" s="2581"/>
      <c r="AC239" s="2581"/>
      <c r="AD239" s="2581"/>
      <c r="AE239" s="2582"/>
      <c r="AF239" s="2580"/>
      <c r="AG239" s="2581"/>
      <c r="AH239" s="2581"/>
      <c r="AI239" s="2581"/>
      <c r="AJ239" s="2582"/>
      <c r="AK239" s="2580"/>
      <c r="AL239" s="2581"/>
      <c r="AM239" s="2581"/>
      <c r="AN239" s="2581"/>
      <c r="AO239" s="2582"/>
      <c r="AP239" s="2580"/>
      <c r="AQ239" s="2581"/>
      <c r="AR239" s="2581"/>
      <c r="AS239" s="2581"/>
      <c r="AT239" s="2582"/>
      <c r="AU239" s="80"/>
      <c r="AV239" s="80"/>
      <c r="AW239" s="129"/>
      <c r="AX239" s="719"/>
      <c r="AY239" s="719"/>
      <c r="AZ239" s="129"/>
      <c r="BA239" s="720"/>
      <c r="BB239" s="328"/>
      <c r="BC239" s="329"/>
      <c r="BD239" s="18"/>
    </row>
    <row r="240" spans="2:56" ht="20.100000000000001" customHeight="1">
      <c r="B240" s="1359" t="b">
        <f t="shared" ref="B240:B242" si="64">OR(ISBLANK(R240),ISBLANK(T240),ISBLANK(V240))</f>
        <v>0</v>
      </c>
      <c r="C240" s="86" t="s">
        <v>879</v>
      </c>
      <c r="D240" s="86"/>
      <c r="E240" s="86"/>
      <c r="F240" s="636" t="s">
        <v>732</v>
      </c>
      <c r="G240" s="253"/>
      <c r="H240" s="721" t="s">
        <v>880</v>
      </c>
      <c r="I240" s="89"/>
      <c r="J240" s="90"/>
      <c r="K240" s="436" t="s">
        <v>734</v>
      </c>
      <c r="L240" s="640">
        <f>L241+L242</f>
        <v>5581</v>
      </c>
      <c r="M240" s="722"/>
      <c r="N240" s="640">
        <f>N241+N242</f>
        <v>8647</v>
      </c>
      <c r="O240" s="723"/>
      <c r="P240" s="531">
        <f>P241+P242</f>
        <v>0</v>
      </c>
      <c r="Q240" s="95"/>
      <c r="R240" s="1466">
        <f>R241+R242</f>
        <v>4117</v>
      </c>
      <c r="S240" s="1664"/>
      <c r="T240" s="1466">
        <f>T241+T242</f>
        <v>5824</v>
      </c>
      <c r="U240" s="1665"/>
      <c r="V240" s="524">
        <f>V241+V242</f>
        <v>5958</v>
      </c>
      <c r="W240" s="2053"/>
      <c r="X240" s="2715">
        <f>SUM(X241:X242)</f>
        <v>28</v>
      </c>
      <c r="Y240" s="2716">
        <f t="shared" ref="Y240:Z240" si="65">SUM(Y241:Y242)</f>
        <v>92</v>
      </c>
      <c r="Z240" s="2717">
        <f t="shared" si="65"/>
        <v>63</v>
      </c>
      <c r="AA240" s="2715">
        <f>SUM(AA241:AA242)</f>
        <v>173</v>
      </c>
      <c r="AB240" s="2718"/>
      <c r="AC240" s="2716">
        <f t="shared" ref="AC240:AT240" si="66">SUM(AC241:AC242)</f>
        <v>107</v>
      </c>
      <c r="AD240" s="2634">
        <f t="shared" si="66"/>
        <v>0</v>
      </c>
      <c r="AE240" s="2719">
        <f t="shared" si="66"/>
        <v>91</v>
      </c>
      <c r="AF240" s="2715">
        <f t="shared" si="66"/>
        <v>1246</v>
      </c>
      <c r="AG240" s="2718">
        <f t="shared" si="66"/>
        <v>0</v>
      </c>
      <c r="AH240" s="2716">
        <f t="shared" si="66"/>
        <v>2548</v>
      </c>
      <c r="AI240" s="2634">
        <f t="shared" si="66"/>
        <v>0</v>
      </c>
      <c r="AJ240" s="2719">
        <f t="shared" si="66"/>
        <v>2016</v>
      </c>
      <c r="AK240" s="2715">
        <f t="shared" si="66"/>
        <v>16</v>
      </c>
      <c r="AL240" s="2718">
        <f t="shared" si="66"/>
        <v>0</v>
      </c>
      <c r="AM240" s="2716">
        <f t="shared" si="66"/>
        <v>86</v>
      </c>
      <c r="AN240" s="2634">
        <f t="shared" si="66"/>
        <v>0</v>
      </c>
      <c r="AO240" s="2719">
        <f t="shared" si="66"/>
        <v>95</v>
      </c>
      <c r="AP240" s="2715">
        <f t="shared" si="66"/>
        <v>752</v>
      </c>
      <c r="AQ240" s="2718">
        <f t="shared" si="66"/>
        <v>0</v>
      </c>
      <c r="AR240" s="2716">
        <f t="shared" si="66"/>
        <v>781</v>
      </c>
      <c r="AS240" s="2634">
        <f t="shared" si="66"/>
        <v>0</v>
      </c>
      <c r="AT240" s="2719">
        <f t="shared" si="66"/>
        <v>836</v>
      </c>
      <c r="AU240" s="2482" t="s">
        <v>881</v>
      </c>
      <c r="AV240" s="457" t="s">
        <v>882</v>
      </c>
      <c r="AW240" s="642" t="s">
        <v>737</v>
      </c>
      <c r="AX240" s="547" t="s">
        <v>800</v>
      </c>
      <c r="AY240" s="534"/>
      <c r="AZ240" s="642"/>
      <c r="BA240" s="620" t="s">
        <v>883</v>
      </c>
      <c r="BB240" s="620" t="s">
        <v>884</v>
      </c>
      <c r="BC240" s="159"/>
      <c r="BD240" s="18"/>
    </row>
    <row r="241" spans="2:56" ht="20.100000000000001" customHeight="1">
      <c r="B241" s="1360" t="b">
        <f t="shared" si="64"/>
        <v>0</v>
      </c>
      <c r="C241" s="1362"/>
      <c r="D241" s="266" t="s">
        <v>885</v>
      </c>
      <c r="E241" s="266"/>
      <c r="F241" s="132" t="s">
        <v>732</v>
      </c>
      <c r="G241" s="253"/>
      <c r="H241" s="721"/>
      <c r="I241" s="267" t="s">
        <v>886</v>
      </c>
      <c r="J241" s="268"/>
      <c r="K241" s="136" t="s">
        <v>734</v>
      </c>
      <c r="L241" s="641">
        <v>3324</v>
      </c>
      <c r="M241" s="641">
        <v>5581</v>
      </c>
      <c r="N241" s="641">
        <v>5923</v>
      </c>
      <c r="O241" s="639">
        <v>8647</v>
      </c>
      <c r="P241" s="644"/>
      <c r="Q241" s="645"/>
      <c r="R241" s="1463">
        <v>1860</v>
      </c>
      <c r="S241" s="1429" t="s">
        <v>746</v>
      </c>
      <c r="T241" s="1463">
        <v>3100</v>
      </c>
      <c r="U241" s="1526" t="s">
        <v>1798</v>
      </c>
      <c r="V241" s="5486">
        <v>2845</v>
      </c>
      <c r="W241" s="1429" t="s">
        <v>746</v>
      </c>
      <c r="X241" s="2557">
        <f>'4DPLEX'!R225</f>
        <v>28</v>
      </c>
      <c r="Y241" s="2558">
        <f>'4DPLEX'!T225</f>
        <v>92</v>
      </c>
      <c r="Z241" s="2559">
        <f>'4DPLEX'!V225</f>
        <v>26</v>
      </c>
      <c r="AA241" s="2684">
        <f>China!AO240</f>
        <v>173</v>
      </c>
      <c r="AB241" s="2720" t="str">
        <f>China!AP240</f>
        <v>*기간정함 없는 직원 + 기간제 직원수 합산임</v>
      </c>
      <c r="AC241" s="2686">
        <f>China!AQ240</f>
        <v>107</v>
      </c>
      <c r="AD241" s="2720" t="str">
        <f>China!AR240</f>
        <v>*기간정함 없는 직원 + 기간제 직원수 합산임</v>
      </c>
      <c r="AE241" s="2556">
        <f>China!AS240</f>
        <v>84</v>
      </c>
      <c r="AF241" s="2684">
        <f>Vietnam!Q240</f>
        <v>0</v>
      </c>
      <c r="AG241" s="2720" t="str">
        <f>Vietnam!R240</f>
        <v>*기간정함 없는 직원 + 기간제 직원수 합산임
(Full time + Part time)</v>
      </c>
      <c r="AH241" s="2686">
        <f>Vietnam!S240</f>
        <v>0</v>
      </c>
      <c r="AI241" s="2720" t="str">
        <f>Vietnam!T240</f>
        <v>*기간정함 없는 직원 + 기간제 직원수 합산임
(Full time + Part time)</v>
      </c>
      <c r="AJ241" s="2556">
        <f>Vietnam!U240</f>
        <v>0</v>
      </c>
      <c r="AK241" s="2684">
        <f>Indonesia!V240</f>
        <v>16</v>
      </c>
      <c r="AL241" s="2720" t="str">
        <f>Indonesia!W240</f>
        <v>*기간정함 없는 직원 + 기간제 직원수 합산임</v>
      </c>
      <c r="AM241" s="2686">
        <f>Indonesia!X240</f>
        <v>86</v>
      </c>
      <c r="AN241" s="2708" t="str">
        <f>Indonesia!Y240</f>
        <v>*기간정함 없는 직원 + 기간제 직원수 합산임</v>
      </c>
      <c r="AO241" s="2556">
        <f>Indonesia!Z240</f>
        <v>95</v>
      </c>
      <c r="AP241" s="2557">
        <f>Türkiye!AA240</f>
        <v>752</v>
      </c>
      <c r="AQ241" s="2561">
        <f>Türkiye!AB240</f>
        <v>0</v>
      </c>
      <c r="AR241" s="2558">
        <f>Türkiye!AC240</f>
        <v>781</v>
      </c>
      <c r="AS241" s="2561">
        <f>Türkiye!AD240</f>
        <v>0</v>
      </c>
      <c r="AT241" s="2556">
        <f>Türkiye!AE240</f>
        <v>836</v>
      </c>
      <c r="AU241" s="2472" t="s">
        <v>881</v>
      </c>
      <c r="AV241" s="457" t="s">
        <v>882</v>
      </c>
      <c r="AW241" s="99" t="s">
        <v>737</v>
      </c>
      <c r="AX241" s="547" t="s">
        <v>800</v>
      </c>
      <c r="AY241" s="547"/>
      <c r="AZ241" s="99"/>
      <c r="BA241" s="620" t="s">
        <v>883</v>
      </c>
      <c r="BB241" s="620" t="s">
        <v>884</v>
      </c>
      <c r="BC241" s="159"/>
      <c r="BD241" s="18"/>
    </row>
    <row r="242" spans="2:56" ht="20.100000000000001" customHeight="1">
      <c r="B242" s="1360" t="b">
        <f t="shared" si="64"/>
        <v>0</v>
      </c>
      <c r="C242" s="1362"/>
      <c r="D242" s="726" t="s">
        <v>889</v>
      </c>
      <c r="E242" s="721"/>
      <c r="F242" s="132" t="s">
        <v>732</v>
      </c>
      <c r="G242" s="253"/>
      <c r="H242" s="721"/>
      <c r="I242" s="267" t="s">
        <v>890</v>
      </c>
      <c r="J242" s="268"/>
      <c r="K242" s="136" t="s">
        <v>734</v>
      </c>
      <c r="L242" s="641">
        <v>2257</v>
      </c>
      <c r="M242" s="641"/>
      <c r="N242" s="641">
        <v>2724</v>
      </c>
      <c r="O242" s="639"/>
      <c r="P242" s="644"/>
      <c r="Q242" s="645"/>
      <c r="R242" s="1463">
        <v>2257</v>
      </c>
      <c r="S242" s="1429" t="s">
        <v>746</v>
      </c>
      <c r="T242" s="1463">
        <v>2724</v>
      </c>
      <c r="U242" s="1526" t="s">
        <v>1798</v>
      </c>
      <c r="V242" s="5486">
        <v>3113</v>
      </c>
      <c r="W242" s="1429" t="s">
        <v>746</v>
      </c>
      <c r="X242" s="2557">
        <f>'4DPLEX'!R226</f>
        <v>0</v>
      </c>
      <c r="Y242" s="2558">
        <f>'4DPLEX'!T226</f>
        <v>0</v>
      </c>
      <c r="Z242" s="2559">
        <f>'4DPLEX'!V226</f>
        <v>37</v>
      </c>
      <c r="AA242" s="2684">
        <f>China!AO241</f>
        <v>0</v>
      </c>
      <c r="AB242" s="2720">
        <f>China!AP241</f>
        <v>0</v>
      </c>
      <c r="AC242" s="2686">
        <f>China!AQ241</f>
        <v>0</v>
      </c>
      <c r="AD242" s="2720">
        <f>China!AR241</f>
        <v>0</v>
      </c>
      <c r="AE242" s="2556">
        <f>China!AS241</f>
        <v>7</v>
      </c>
      <c r="AF242" s="2684">
        <f>Vietnam!Q241</f>
        <v>1246</v>
      </c>
      <c r="AG242" s="2567">
        <f>Vietnam!R241</f>
        <v>0</v>
      </c>
      <c r="AH242" s="2686">
        <f>Vietnam!S241</f>
        <v>2548</v>
      </c>
      <c r="AI242" s="2567">
        <f>Vietnam!T241</f>
        <v>0</v>
      </c>
      <c r="AJ242" s="2556">
        <f>Vietnam!U241</f>
        <v>2016</v>
      </c>
      <c r="AK242" s="2684">
        <f>Indonesia!V241</f>
        <v>0</v>
      </c>
      <c r="AL242" s="2567">
        <f>Indonesia!W241</f>
        <v>0</v>
      </c>
      <c r="AM242" s="2686">
        <f>Indonesia!X241</f>
        <v>0</v>
      </c>
      <c r="AN242" s="2561">
        <f>Indonesia!Y241</f>
        <v>0</v>
      </c>
      <c r="AO242" s="2556">
        <f>Indonesia!Z241</f>
        <v>0</v>
      </c>
      <c r="AP242" s="2557">
        <f>Türkiye!AA241</f>
        <v>0</v>
      </c>
      <c r="AQ242" s="2561">
        <f>Türkiye!AB241</f>
        <v>0</v>
      </c>
      <c r="AR242" s="2558">
        <f>Türkiye!AC241</f>
        <v>0</v>
      </c>
      <c r="AS242" s="2561">
        <f>Türkiye!AD241</f>
        <v>0</v>
      </c>
      <c r="AT242" s="2556">
        <f>Türkiye!AE241</f>
        <v>0</v>
      </c>
      <c r="AU242" s="2472" t="s">
        <v>881</v>
      </c>
      <c r="AV242" s="457" t="s">
        <v>882</v>
      </c>
      <c r="AW242" s="99" t="s">
        <v>737</v>
      </c>
      <c r="AX242" s="547" t="s">
        <v>800</v>
      </c>
      <c r="AY242" s="547"/>
      <c r="AZ242" s="99"/>
      <c r="BA242" s="620" t="s">
        <v>883</v>
      </c>
      <c r="BB242" s="620" t="s">
        <v>884</v>
      </c>
      <c r="BC242" s="159"/>
      <c r="BD242" s="18"/>
    </row>
    <row r="243" spans="2:56" ht="20.100000000000001" customHeight="1">
      <c r="B243" s="1360"/>
      <c r="C243" s="736" t="s">
        <v>891</v>
      </c>
      <c r="D243" s="727"/>
      <c r="E243" s="727"/>
      <c r="F243" s="1573"/>
      <c r="G243" s="311"/>
      <c r="H243" s="728" t="s">
        <v>1818</v>
      </c>
      <c r="I243" s="729"/>
      <c r="J243" s="730"/>
      <c r="K243" s="731" t="s">
        <v>168</v>
      </c>
      <c r="L243" s="732"/>
      <c r="M243" s="732"/>
      <c r="N243" s="732"/>
      <c r="O243" s="732"/>
      <c r="P243" s="732"/>
      <c r="Q243" s="732"/>
      <c r="R243" s="1578"/>
      <c r="S243" s="1579"/>
      <c r="T243" s="1580"/>
      <c r="U243" s="1579"/>
      <c r="V243" s="1580"/>
      <c r="W243" s="1579"/>
      <c r="X243" s="2721"/>
      <c r="Y243" s="2722"/>
      <c r="Z243" s="2723"/>
      <c r="AA243" s="2724"/>
      <c r="AB243" s="2574"/>
      <c r="AC243" s="2725"/>
      <c r="AD243" s="2709"/>
      <c r="AE243" s="2575"/>
      <c r="AF243" s="2724"/>
      <c r="AG243" s="2574"/>
      <c r="AH243" s="2725"/>
      <c r="AI243" s="2574"/>
      <c r="AJ243" s="2575"/>
      <c r="AK243" s="2724"/>
      <c r="AL243" s="2574"/>
      <c r="AM243" s="2725"/>
      <c r="AN243" s="2574"/>
      <c r="AO243" s="2575"/>
      <c r="AP243" s="2576"/>
      <c r="AQ243" s="2574"/>
      <c r="AR243" s="2577"/>
      <c r="AS243" s="2574"/>
      <c r="AT243" s="2575"/>
      <c r="AU243" s="1564"/>
      <c r="AW243" s="99" t="s">
        <v>737</v>
      </c>
      <c r="AX243" s="547" t="s">
        <v>800</v>
      </c>
      <c r="AY243" s="547"/>
      <c r="AZ243" s="99"/>
      <c r="BA243" s="620" t="s">
        <v>892</v>
      </c>
      <c r="BB243" s="620" t="s">
        <v>884</v>
      </c>
      <c r="BC243" s="159"/>
      <c r="BD243" s="18"/>
    </row>
    <row r="244" spans="2:56" ht="20.100000000000001" customHeight="1">
      <c r="B244" s="1360" t="b">
        <f t="shared" ref="B244:B245" si="67">OR(ISBLANK(R244),ISBLANK(T244),ISBLANK(V244))</f>
        <v>0</v>
      </c>
      <c r="C244" s="703"/>
      <c r="D244" s="490" t="s">
        <v>796</v>
      </c>
      <c r="E244" s="491"/>
      <c r="F244" s="492" t="s">
        <v>732</v>
      </c>
      <c r="G244" s="286"/>
      <c r="H244" s="491"/>
      <c r="I244" s="358" t="s">
        <v>893</v>
      </c>
      <c r="J244" s="735"/>
      <c r="K244" s="136" t="s">
        <v>734</v>
      </c>
      <c r="L244" s="641">
        <v>2532</v>
      </c>
      <c r="M244" s="641"/>
      <c r="N244" s="641">
        <v>4089</v>
      </c>
      <c r="O244" s="639"/>
      <c r="P244" s="644"/>
      <c r="Q244" s="645"/>
      <c r="R244" s="1463">
        <v>1841</v>
      </c>
      <c r="S244" s="1429" t="s">
        <v>746</v>
      </c>
      <c r="T244" s="1463">
        <v>2690</v>
      </c>
      <c r="U244" s="1526" t="s">
        <v>1798</v>
      </c>
      <c r="V244" s="5486">
        <v>2630</v>
      </c>
      <c r="W244" s="1429" t="s">
        <v>746</v>
      </c>
      <c r="X244" s="2557">
        <f>'4DPLEX'!R227</f>
        <v>19</v>
      </c>
      <c r="Y244" s="2558">
        <f>'4DPLEX'!T227</f>
        <v>57</v>
      </c>
      <c r="Z244" s="2559">
        <f>'4DPLEX'!V227</f>
        <v>23</v>
      </c>
      <c r="AA244" s="2684">
        <f>China!AO243</f>
        <v>99</v>
      </c>
      <c r="AB244" s="2720" t="str">
        <f>China!AP243</f>
        <v xml:space="preserve">Full time 기준
</v>
      </c>
      <c r="AC244" s="2686">
        <f>China!AQ243</f>
        <v>69</v>
      </c>
      <c r="AD244" s="2720" t="str">
        <f>China!AR243</f>
        <v xml:space="preserve">Full time 기준
</v>
      </c>
      <c r="AE244" s="2556">
        <f>China!AS243</f>
        <v>48</v>
      </c>
      <c r="AF244" s="2684">
        <f>Vietnam!Q243</f>
        <v>566</v>
      </c>
      <c r="AG244" s="2688" t="str">
        <f>Vietnam!R243</f>
        <v>Full time+Part time</v>
      </c>
      <c r="AH244" s="2686">
        <f>Vietnam!S243</f>
        <v>1235</v>
      </c>
      <c r="AI244" s="2688" t="str">
        <f>Vietnam!T243</f>
        <v>Full time+Part time</v>
      </c>
      <c r="AJ244" s="2687">
        <f>Vietnam!U243</f>
        <v>964</v>
      </c>
      <c r="AK244" s="2684">
        <f>Indonesia!V243</f>
        <v>7</v>
      </c>
      <c r="AL244" s="2720" t="str">
        <f>Indonesia!W243</f>
        <v>Full time기준)미소지기는 아웃소싱</v>
      </c>
      <c r="AM244" s="2686">
        <f>Indonesia!X243</f>
        <v>41</v>
      </c>
      <c r="AN244" s="2708" t="str">
        <f>Indonesia!Y243</f>
        <v>Full time기준)미소지기는 아웃소싱</v>
      </c>
      <c r="AO244" s="2556">
        <f>Indonesia!Z243</f>
        <v>60</v>
      </c>
      <c r="AP244" s="2557">
        <f>Türkiye!AA243</f>
        <v>436</v>
      </c>
      <c r="AQ244" s="2561">
        <f>Türkiye!AB243</f>
        <v>0</v>
      </c>
      <c r="AR244" s="2558">
        <f>Türkiye!AC243</f>
        <v>419</v>
      </c>
      <c r="AS244" s="2561">
        <f>Türkiye!AD243</f>
        <v>0</v>
      </c>
      <c r="AT244" s="2556">
        <f>Türkiye!AE243</f>
        <v>437</v>
      </c>
      <c r="AU244" s="2472" t="s">
        <v>894</v>
      </c>
      <c r="AV244" s="457" t="s">
        <v>895</v>
      </c>
      <c r="AW244" s="99" t="s">
        <v>737</v>
      </c>
      <c r="AX244" s="547" t="s">
        <v>800</v>
      </c>
      <c r="AY244" s="547"/>
      <c r="AZ244" s="99"/>
      <c r="BA244" s="620" t="s">
        <v>892</v>
      </c>
      <c r="BB244" s="620" t="s">
        <v>884</v>
      </c>
      <c r="BC244" s="159"/>
      <c r="BD244" s="18"/>
    </row>
    <row r="245" spans="2:56" ht="20.100000000000001" customHeight="1">
      <c r="B245" s="1360" t="b">
        <f t="shared" si="67"/>
        <v>0</v>
      </c>
      <c r="C245" s="1023"/>
      <c r="D245" s="490" t="s">
        <v>802</v>
      </c>
      <c r="E245" s="491"/>
      <c r="F245" s="492" t="s">
        <v>732</v>
      </c>
      <c r="G245" s="286"/>
      <c r="H245" s="491"/>
      <c r="I245" s="358" t="s">
        <v>896</v>
      </c>
      <c r="J245" s="735"/>
      <c r="K245" s="136" t="s">
        <v>734</v>
      </c>
      <c r="L245" s="641">
        <v>3049</v>
      </c>
      <c r="M245" s="641"/>
      <c r="N245" s="641">
        <v>4558</v>
      </c>
      <c r="O245" s="639"/>
      <c r="P245" s="644"/>
      <c r="Q245" s="645"/>
      <c r="R245" s="1463">
        <v>2276</v>
      </c>
      <c r="S245" s="1429" t="s">
        <v>746</v>
      </c>
      <c r="T245" s="1463">
        <v>3134</v>
      </c>
      <c r="U245" s="1526" t="s">
        <v>1798</v>
      </c>
      <c r="V245" s="5486">
        <v>3328</v>
      </c>
      <c r="W245" s="1429" t="s">
        <v>746</v>
      </c>
      <c r="X245" s="2557">
        <f>'4DPLEX'!R228</f>
        <v>9</v>
      </c>
      <c r="Y245" s="2558">
        <f>'4DPLEX'!T228</f>
        <v>35</v>
      </c>
      <c r="Z245" s="2559">
        <f>'4DPLEX'!V228</f>
        <v>40</v>
      </c>
      <c r="AA245" s="2684">
        <f>China!AO244</f>
        <v>74</v>
      </c>
      <c r="AB245" s="2720" t="str">
        <f>China!AP244</f>
        <v xml:space="preserve">Full time 기준
</v>
      </c>
      <c r="AC245" s="2686">
        <f>China!AQ244</f>
        <v>38</v>
      </c>
      <c r="AD245" s="2720" t="str">
        <f>China!AR244</f>
        <v xml:space="preserve">Full time 기준
</v>
      </c>
      <c r="AE245" s="2556">
        <f>China!AS244</f>
        <v>43</v>
      </c>
      <c r="AF245" s="2684">
        <f>Vietnam!Q244</f>
        <v>680</v>
      </c>
      <c r="AG245" s="2688" t="str">
        <f>Vietnam!R244</f>
        <v>Full time+Part time</v>
      </c>
      <c r="AH245" s="2686">
        <f>Vietnam!S244</f>
        <v>1313</v>
      </c>
      <c r="AI245" s="2688" t="str">
        <f>Vietnam!T244</f>
        <v>Full time+Part time</v>
      </c>
      <c r="AJ245" s="2687">
        <f>Vietnam!U244</f>
        <v>1052</v>
      </c>
      <c r="AK245" s="2684">
        <f>Indonesia!V244</f>
        <v>9</v>
      </c>
      <c r="AL245" s="2567" t="str">
        <f>Indonesia!W244</f>
        <v>Full time기준)미소지기는 아웃소싱</v>
      </c>
      <c r="AM245" s="2686">
        <f>Indonesia!X244</f>
        <v>45</v>
      </c>
      <c r="AN245" s="2561" t="str">
        <f>Indonesia!Y244</f>
        <v>Full time기준)미소지기는 아웃소싱</v>
      </c>
      <c r="AO245" s="2556">
        <f>Indonesia!Z244</f>
        <v>35</v>
      </c>
      <c r="AP245" s="2557">
        <f>Türkiye!AA244</f>
        <v>316</v>
      </c>
      <c r="AQ245" s="2561">
        <f>Türkiye!AB244</f>
        <v>0</v>
      </c>
      <c r="AR245" s="2558">
        <f>Türkiye!AC244</f>
        <v>362</v>
      </c>
      <c r="AS245" s="2561">
        <f>Türkiye!AD244</f>
        <v>0</v>
      </c>
      <c r="AT245" s="2556">
        <f>Türkiye!AE244</f>
        <v>399</v>
      </c>
      <c r="AU245" s="2472" t="s">
        <v>894</v>
      </c>
      <c r="AV245" s="457" t="s">
        <v>895</v>
      </c>
      <c r="AW245" s="99" t="s">
        <v>737</v>
      </c>
      <c r="AX245" s="547" t="s">
        <v>800</v>
      </c>
      <c r="AY245" s="547"/>
      <c r="AZ245" s="99"/>
      <c r="BA245" s="620" t="s">
        <v>892</v>
      </c>
      <c r="BB245" s="620" t="s">
        <v>884</v>
      </c>
      <c r="BC245" s="159"/>
      <c r="BD245" s="18"/>
    </row>
    <row r="246" spans="2:56" ht="20.100000000000001" customHeight="1">
      <c r="B246" s="1360"/>
      <c r="C246" s="736" t="s">
        <v>897</v>
      </c>
      <c r="D246" s="727"/>
      <c r="E246" s="727"/>
      <c r="F246" s="1573"/>
      <c r="G246" s="311"/>
      <c r="H246" s="736" t="s">
        <v>898</v>
      </c>
      <c r="I246" s="727"/>
      <c r="J246" s="727"/>
      <c r="K246" s="731" t="s">
        <v>168</v>
      </c>
      <c r="L246" s="732"/>
      <c r="M246" s="732"/>
      <c r="N246" s="732"/>
      <c r="O246" s="732"/>
      <c r="P246" s="732"/>
      <c r="Q246" s="732"/>
      <c r="R246" s="1578"/>
      <c r="S246" s="1579"/>
      <c r="T246" s="1580"/>
      <c r="U246" s="1579"/>
      <c r="V246" s="1580"/>
      <c r="W246" s="1579"/>
      <c r="X246" s="2721"/>
      <c r="Y246" s="2722"/>
      <c r="Z246" s="2723"/>
      <c r="AA246" s="2724"/>
      <c r="AB246" s="2709"/>
      <c r="AC246" s="2725"/>
      <c r="AD246" s="2709"/>
      <c r="AE246" s="2575"/>
      <c r="AF246" s="2724"/>
      <c r="AG246" s="2709"/>
      <c r="AH246" s="2725"/>
      <c r="AI246" s="2709"/>
      <c r="AJ246" s="2575"/>
      <c r="AK246" s="2724"/>
      <c r="AL246" s="2709"/>
      <c r="AM246" s="2725"/>
      <c r="AN246" s="2709"/>
      <c r="AO246" s="2575"/>
      <c r="AP246" s="2576"/>
      <c r="AQ246" s="2574"/>
      <c r="AR246" s="2577"/>
      <c r="AS246" s="2574"/>
      <c r="AT246" s="2575"/>
      <c r="AU246" s="1564"/>
      <c r="AW246" s="99" t="s">
        <v>737</v>
      </c>
      <c r="AX246" s="547" t="s">
        <v>800</v>
      </c>
      <c r="AY246" s="547"/>
      <c r="AZ246" s="99"/>
      <c r="BA246" s="620" t="s">
        <v>899</v>
      </c>
      <c r="BB246" s="620" t="s">
        <v>884</v>
      </c>
      <c r="BC246" s="159"/>
      <c r="BD246" s="18"/>
    </row>
    <row r="247" spans="2:56" ht="20.100000000000001" customHeight="1">
      <c r="B247" s="1360" t="b">
        <f t="shared" ref="B247:B253" si="68">OR(ISBLANK(R247),ISBLANK(T247),ISBLANK(V247))</f>
        <v>0</v>
      </c>
      <c r="D247" s="490" t="s">
        <v>823</v>
      </c>
      <c r="E247" s="491"/>
      <c r="F247" s="492" t="s">
        <v>732</v>
      </c>
      <c r="G247" s="286"/>
      <c r="H247" s="491"/>
      <c r="I247" s="358" t="s">
        <v>900</v>
      </c>
      <c r="J247" s="735"/>
      <c r="K247" s="136" t="s">
        <v>734</v>
      </c>
      <c r="L247" s="641">
        <v>5275</v>
      </c>
      <c r="M247" s="641"/>
      <c r="N247" s="641">
        <v>8295</v>
      </c>
      <c r="O247" s="639"/>
      <c r="P247" s="644"/>
      <c r="Q247" s="645"/>
      <c r="R247" s="1463">
        <v>3931</v>
      </c>
      <c r="S247" s="1429" t="s">
        <v>746</v>
      </c>
      <c r="T247" s="1463">
        <v>5658</v>
      </c>
      <c r="U247" s="1526" t="s">
        <v>1798</v>
      </c>
      <c r="V247" s="5486">
        <v>5796</v>
      </c>
      <c r="W247" s="1429" t="s">
        <v>746</v>
      </c>
      <c r="X247" s="2557">
        <f>'4DPLEX'!R229</f>
        <v>13</v>
      </c>
      <c r="Y247" s="2558">
        <f>'4DPLEX'!T229</f>
        <v>35</v>
      </c>
      <c r="Z247" s="2559">
        <f>'4DPLEX'!V229</f>
        <v>30</v>
      </c>
      <c r="AA247" s="2684">
        <f>China!AO246</f>
        <v>97</v>
      </c>
      <c r="AB247" s="2720" t="str">
        <f>China!AP246</f>
        <v xml:space="preserve">Full time 기준
</v>
      </c>
      <c r="AC247" s="2686">
        <f>China!AQ246</f>
        <v>46</v>
      </c>
      <c r="AD247" s="2720" t="str">
        <f>China!AR246</f>
        <v xml:space="preserve">Full time 기준
</v>
      </c>
      <c r="AE247" s="2556">
        <f>China!AS246</f>
        <v>38</v>
      </c>
      <c r="AF247" s="2684">
        <f>Vietnam!Q246</f>
        <v>1225</v>
      </c>
      <c r="AG247" s="2688" t="str">
        <f>Vietnam!R246</f>
        <v>Full time+Part time</v>
      </c>
      <c r="AH247" s="2686">
        <f>Vietnam!S246</f>
        <v>2512</v>
      </c>
      <c r="AI247" s="2688" t="str">
        <f>Vietnam!T246</f>
        <v>Full time+Part time</v>
      </c>
      <c r="AJ247" s="2687">
        <f>Vietnam!U246</f>
        <v>1993</v>
      </c>
      <c r="AK247" s="2684">
        <f>Indonesia!V246</f>
        <v>9</v>
      </c>
      <c r="AL247" s="2688" t="str">
        <f>Indonesia!W246</f>
        <v>Full time기준)미소지기는 아웃소싱</v>
      </c>
      <c r="AM247" s="2686">
        <f>Indonesia!X246</f>
        <v>54</v>
      </c>
      <c r="AN247" s="2688" t="str">
        <f>Indonesia!Y246</f>
        <v>Full time기준)미소지기는 아웃소싱</v>
      </c>
      <c r="AO247" s="2687">
        <f>Indonesia!Z246</f>
        <v>65</v>
      </c>
      <c r="AP247" s="2557">
        <f>Türkiye!AA246</f>
        <v>721</v>
      </c>
      <c r="AQ247" s="2561">
        <f>Türkiye!AB246</f>
        <v>0</v>
      </c>
      <c r="AR247" s="2558">
        <f>Türkiye!AC246</f>
        <v>746</v>
      </c>
      <c r="AS247" s="2561">
        <f>Türkiye!AD246</f>
        <v>0</v>
      </c>
      <c r="AT247" s="2556">
        <f>Türkiye!AE246</f>
        <v>761</v>
      </c>
      <c r="AU247" s="2468" t="s">
        <v>901</v>
      </c>
      <c r="AV247" s="276" t="s">
        <v>902</v>
      </c>
      <c r="AW247" s="99" t="s">
        <v>737</v>
      </c>
      <c r="AX247" s="547" t="s">
        <v>800</v>
      </c>
      <c r="AY247" s="547"/>
      <c r="AZ247" s="99"/>
      <c r="BA247" s="620" t="s">
        <v>899</v>
      </c>
      <c r="BB247" s="620" t="s">
        <v>884</v>
      </c>
      <c r="BC247" s="159"/>
      <c r="BD247" s="18"/>
    </row>
    <row r="248" spans="2:56" ht="20.100000000000001" customHeight="1">
      <c r="B248" s="1360" t="b">
        <f t="shared" si="68"/>
        <v>0</v>
      </c>
      <c r="C248" s="1369"/>
      <c r="D248" s="490" t="s">
        <v>827</v>
      </c>
      <c r="E248" s="491"/>
      <c r="F248" s="492" t="s">
        <v>732</v>
      </c>
      <c r="G248" s="286"/>
      <c r="H248" s="491"/>
      <c r="I248" s="358" t="s">
        <v>903</v>
      </c>
      <c r="J248" s="735"/>
      <c r="K248" s="136" t="s">
        <v>734</v>
      </c>
      <c r="L248" s="641">
        <v>184</v>
      </c>
      <c r="M248" s="641"/>
      <c r="N248" s="641">
        <v>298</v>
      </c>
      <c r="O248" s="639"/>
      <c r="P248" s="644"/>
      <c r="Q248" s="645"/>
      <c r="R248" s="1463">
        <v>65</v>
      </c>
      <c r="S248" s="1429" t="s">
        <v>746</v>
      </c>
      <c r="T248" s="1463">
        <v>117</v>
      </c>
      <c r="U248" s="1526" t="s">
        <v>1798</v>
      </c>
      <c r="V248" s="5486">
        <v>131</v>
      </c>
      <c r="W248" s="1429" t="s">
        <v>746</v>
      </c>
      <c r="X248" s="2557">
        <f>'4DPLEX'!R230</f>
        <v>14</v>
      </c>
      <c r="Y248" s="2558">
        <f>'4DPLEX'!T230</f>
        <v>54</v>
      </c>
      <c r="Z248" s="2559">
        <f>'4DPLEX'!V230</f>
        <v>32</v>
      </c>
      <c r="AA248" s="2684">
        <f>China!AO247</f>
        <v>76</v>
      </c>
      <c r="AB248" s="2720" t="str">
        <f>China!AP247</f>
        <v xml:space="preserve">Full time 기준
</v>
      </c>
      <c r="AC248" s="2686">
        <f>China!AQ247</f>
        <v>61</v>
      </c>
      <c r="AD248" s="2720" t="str">
        <f>China!AR247</f>
        <v xml:space="preserve">Full time 기준
</v>
      </c>
      <c r="AE248" s="2556">
        <f>China!AS247</f>
        <v>53</v>
      </c>
      <c r="AF248" s="2684">
        <f>Vietnam!Q247</f>
        <v>21</v>
      </c>
      <c r="AG248" s="2688" t="str">
        <f>Vietnam!R247</f>
        <v>Full time+Part time</v>
      </c>
      <c r="AH248" s="2686">
        <f>Vietnam!S247</f>
        <v>36</v>
      </c>
      <c r="AI248" s="2688" t="str">
        <f>Vietnam!T247</f>
        <v>Full time+Part time</v>
      </c>
      <c r="AJ248" s="2687">
        <f>Vietnam!U247</f>
        <v>23</v>
      </c>
      <c r="AK248" s="2684">
        <f>Indonesia!V247</f>
        <v>7</v>
      </c>
      <c r="AL248" s="2688" t="str">
        <f>Indonesia!W247</f>
        <v>Full time기준)미소지기는 아웃소싱</v>
      </c>
      <c r="AM248" s="2686">
        <f>Indonesia!X247</f>
        <v>30</v>
      </c>
      <c r="AN248" s="2688" t="str">
        <f>Indonesia!Y247</f>
        <v>Full time기준)미소지기는 아웃소싱</v>
      </c>
      <c r="AO248" s="2687">
        <f>Indonesia!Z247</f>
        <v>30</v>
      </c>
      <c r="AP248" s="2557">
        <f>Türkiye!AA247</f>
        <v>30</v>
      </c>
      <c r="AQ248" s="2561">
        <f>Türkiye!AB247</f>
        <v>0</v>
      </c>
      <c r="AR248" s="2558">
        <f>Türkiye!AC247</f>
        <v>34</v>
      </c>
      <c r="AS248" s="2561">
        <f>Türkiye!AD247</f>
        <v>0</v>
      </c>
      <c r="AT248" s="2556">
        <f>Türkiye!AE247</f>
        <v>68</v>
      </c>
      <c r="AU248" s="2468" t="s">
        <v>901</v>
      </c>
      <c r="AV248" s="276" t="s">
        <v>904</v>
      </c>
      <c r="AW248" s="99" t="s">
        <v>737</v>
      </c>
      <c r="AX248" s="547" t="s">
        <v>800</v>
      </c>
      <c r="AY248" s="547"/>
      <c r="AZ248" s="99"/>
      <c r="BA248" s="620" t="s">
        <v>899</v>
      </c>
      <c r="BB248" s="620" t="s">
        <v>884</v>
      </c>
      <c r="BC248" s="159"/>
      <c r="BD248" s="18"/>
    </row>
    <row r="249" spans="2:56" ht="20.100000000000001" customHeight="1">
      <c r="B249" s="1360" t="b">
        <f t="shared" si="68"/>
        <v>0</v>
      </c>
      <c r="C249" s="1023"/>
      <c r="D249" s="490" t="s">
        <v>830</v>
      </c>
      <c r="E249" s="491"/>
      <c r="F249" s="492" t="s">
        <v>732</v>
      </c>
      <c r="G249" s="286"/>
      <c r="H249" s="491"/>
      <c r="I249" s="358" t="s">
        <v>905</v>
      </c>
      <c r="J249" s="735"/>
      <c r="K249" s="136" t="s">
        <v>734</v>
      </c>
      <c r="L249" s="641">
        <v>122</v>
      </c>
      <c r="M249" s="641"/>
      <c r="N249" s="641">
        <v>54</v>
      </c>
      <c r="O249" s="639"/>
      <c r="P249" s="644"/>
      <c r="Q249" s="645"/>
      <c r="R249" s="1463">
        <v>121</v>
      </c>
      <c r="S249" s="1429" t="s">
        <v>746</v>
      </c>
      <c r="T249" s="1463">
        <v>49</v>
      </c>
      <c r="U249" s="1526" t="s">
        <v>1798</v>
      </c>
      <c r="V249" s="5486">
        <v>31</v>
      </c>
      <c r="W249" s="1429" t="s">
        <v>746</v>
      </c>
      <c r="X249" s="2557">
        <f>'4DPLEX'!R231</f>
        <v>1</v>
      </c>
      <c r="Y249" s="2558">
        <f>'4DPLEX'!T231</f>
        <v>3</v>
      </c>
      <c r="Z249" s="2559">
        <f>'4DPLEX'!V231</f>
        <v>1</v>
      </c>
      <c r="AA249" s="2684">
        <f>China!AO248</f>
        <v>0</v>
      </c>
      <c r="AB249" s="2720" t="str">
        <f>China!AP248</f>
        <v xml:space="preserve">Full time 기준
</v>
      </c>
      <c r="AC249" s="2686">
        <f>China!AQ248</f>
        <v>0</v>
      </c>
      <c r="AD249" s="2720" t="str">
        <f>China!AR248</f>
        <v xml:space="preserve">Full time 기준
</v>
      </c>
      <c r="AE249" s="2556">
        <f>China!AS248</f>
        <v>0</v>
      </c>
      <c r="AF249" s="2684">
        <f>Vietnam!Q248</f>
        <v>0</v>
      </c>
      <c r="AG249" s="2688" t="str">
        <f>Vietnam!R248</f>
        <v>Full time+Part time</v>
      </c>
      <c r="AH249" s="2686">
        <f>Vietnam!S248</f>
        <v>0</v>
      </c>
      <c r="AI249" s="2688" t="str">
        <f>Vietnam!T248</f>
        <v>Full time+Part time</v>
      </c>
      <c r="AJ249" s="2687">
        <f>Vietnam!U248</f>
        <v>0</v>
      </c>
      <c r="AK249" s="2684">
        <f>Indonesia!V248</f>
        <v>0</v>
      </c>
      <c r="AL249" s="2688" t="str">
        <f>Indonesia!W248</f>
        <v>Full time기준)미소지기는 아웃소싱</v>
      </c>
      <c r="AM249" s="2686">
        <f>Indonesia!X248</f>
        <v>2</v>
      </c>
      <c r="AN249" s="2688" t="str">
        <f>Indonesia!Y248</f>
        <v>Full time기준)미소지기는 아웃소싱</v>
      </c>
      <c r="AO249" s="2687">
        <f>Indonesia!Z248</f>
        <v>0</v>
      </c>
      <c r="AP249" s="2557">
        <f>Türkiye!AA248</f>
        <v>1</v>
      </c>
      <c r="AQ249" s="2561">
        <f>Türkiye!AB248</f>
        <v>0</v>
      </c>
      <c r="AR249" s="2558">
        <f>Türkiye!AC248</f>
        <v>1</v>
      </c>
      <c r="AS249" s="2561">
        <f>Türkiye!AD248</f>
        <v>0</v>
      </c>
      <c r="AT249" s="2556">
        <f>Türkiye!AE248</f>
        <v>7</v>
      </c>
      <c r="AU249" s="2468" t="s">
        <v>901</v>
      </c>
      <c r="AV249" s="276" t="s">
        <v>906</v>
      </c>
      <c r="AW249" s="99" t="s">
        <v>737</v>
      </c>
      <c r="AX249" s="547" t="s">
        <v>800</v>
      </c>
      <c r="AY249" s="547"/>
      <c r="AZ249" s="99"/>
      <c r="BA249" s="620" t="s">
        <v>899</v>
      </c>
      <c r="BB249" s="620" t="s">
        <v>884</v>
      </c>
      <c r="BC249" s="159"/>
      <c r="BD249" s="18"/>
    </row>
    <row r="250" spans="2:56" ht="20.100000000000001" customHeight="1">
      <c r="B250" s="1360" t="b">
        <f t="shared" si="68"/>
        <v>0</v>
      </c>
      <c r="C250" s="161" t="s">
        <v>907</v>
      </c>
      <c r="D250" s="701"/>
      <c r="E250" s="701"/>
      <c r="F250" s="492" t="s">
        <v>742</v>
      </c>
      <c r="G250" s="286"/>
      <c r="H250" s="491" t="s">
        <v>908</v>
      </c>
      <c r="I250" s="497"/>
      <c r="J250" s="360"/>
      <c r="K250" s="164" t="s">
        <v>734</v>
      </c>
      <c r="L250" s="641">
        <v>28</v>
      </c>
      <c r="M250" s="641"/>
      <c r="N250" s="641">
        <v>92</v>
      </c>
      <c r="O250" s="639"/>
      <c r="P250" s="644"/>
      <c r="Q250" s="645"/>
      <c r="R250" s="1468">
        <v>20</v>
      </c>
      <c r="S250" s="1429" t="s">
        <v>1819</v>
      </c>
      <c r="T250" s="1468">
        <v>89</v>
      </c>
      <c r="U250" s="1429" t="s">
        <v>1819</v>
      </c>
      <c r="V250" s="1463">
        <v>75</v>
      </c>
      <c r="W250" s="1429" t="s">
        <v>1819</v>
      </c>
      <c r="X250" s="2557"/>
      <c r="Y250" s="2558"/>
      <c r="Z250" s="2710"/>
      <c r="AA250" s="2684"/>
      <c r="AB250" s="2685"/>
      <c r="AC250" s="2686"/>
      <c r="AD250" s="2685"/>
      <c r="AE250" s="2687"/>
      <c r="AF250" s="2684"/>
      <c r="AG250" s="2685"/>
      <c r="AH250" s="2686"/>
      <c r="AI250" s="2685"/>
      <c r="AJ250" s="2687"/>
      <c r="AK250" s="2684"/>
      <c r="AL250" s="2685"/>
      <c r="AM250" s="2686"/>
      <c r="AN250" s="2685"/>
      <c r="AO250" s="2687"/>
      <c r="AP250" s="2684"/>
      <c r="AQ250" s="2641"/>
      <c r="AR250" s="2686"/>
      <c r="AS250" s="2641"/>
      <c r="AT250" s="2687"/>
      <c r="AU250" s="2468" t="s">
        <v>909</v>
      </c>
      <c r="AV250" s="276" t="s">
        <v>910</v>
      </c>
      <c r="AW250" s="99" t="s">
        <v>737</v>
      </c>
      <c r="AX250" s="547" t="s">
        <v>800</v>
      </c>
      <c r="AY250" s="547"/>
      <c r="AZ250" s="299" t="s">
        <v>193</v>
      </c>
      <c r="BA250" s="620" t="s">
        <v>911</v>
      </c>
      <c r="BB250" s="620" t="s">
        <v>884</v>
      </c>
      <c r="BC250" s="159"/>
      <c r="BD250" s="18"/>
    </row>
    <row r="251" spans="2:56" ht="20.100000000000001" customHeight="1">
      <c r="B251" s="1360" t="b">
        <f t="shared" si="68"/>
        <v>0</v>
      </c>
      <c r="C251" s="583" t="s">
        <v>915</v>
      </c>
      <c r="D251" s="583"/>
      <c r="E251" s="583"/>
      <c r="F251" s="285" t="s">
        <v>742</v>
      </c>
      <c r="G251" s="286"/>
      <c r="H251" s="491" t="s">
        <v>916</v>
      </c>
      <c r="I251" s="497"/>
      <c r="J251" s="268"/>
      <c r="K251" s="109" t="s">
        <v>734</v>
      </c>
      <c r="L251" s="738">
        <f>L252+L253</f>
        <v>5094</v>
      </c>
      <c r="M251" s="652"/>
      <c r="N251" s="738">
        <f>N252+N253</f>
        <v>7508</v>
      </c>
      <c r="O251" s="543"/>
      <c r="P251" s="738">
        <f>P252+P253</f>
        <v>0</v>
      </c>
      <c r="Q251" s="95"/>
      <c r="R251" s="1462">
        <f>R252+R253</f>
        <v>3241</v>
      </c>
      <c r="S251" s="1524"/>
      <c r="T251" s="1462">
        <f>T252+T253</f>
        <v>5079</v>
      </c>
      <c r="U251" s="1524" t="s">
        <v>1798</v>
      </c>
      <c r="V251" s="354">
        <f>V252+V253</f>
        <v>5855</v>
      </c>
      <c r="W251" s="2053"/>
      <c r="X251" s="2562">
        <f>SUM(X252:X253)</f>
        <v>71</v>
      </c>
      <c r="Y251" s="2564">
        <f t="shared" ref="Y251:Z251" si="69">SUM(Y252:Y253)</f>
        <v>44</v>
      </c>
      <c r="Z251" s="2565">
        <f t="shared" si="69"/>
        <v>47</v>
      </c>
      <c r="AA251" s="2562">
        <f>SUM(AA252:AA253)</f>
        <v>437</v>
      </c>
      <c r="AB251" s="2561"/>
      <c r="AC251" s="2564">
        <f t="shared" ref="AC251:AT251" si="70">SUM(AC252:AC253)</f>
        <v>231</v>
      </c>
      <c r="AD251" s="2561">
        <f t="shared" si="70"/>
        <v>0</v>
      </c>
      <c r="AE251" s="2566">
        <f t="shared" si="70"/>
        <v>245</v>
      </c>
      <c r="AF251" s="2562">
        <f t="shared" si="70"/>
        <v>1241</v>
      </c>
      <c r="AG251" s="2561">
        <f t="shared" si="70"/>
        <v>0</v>
      </c>
      <c r="AH251" s="2564">
        <f t="shared" si="70"/>
        <v>2122</v>
      </c>
      <c r="AI251" s="2561">
        <f t="shared" si="70"/>
        <v>0</v>
      </c>
      <c r="AJ251" s="2566">
        <f t="shared" si="70"/>
        <v>2050</v>
      </c>
      <c r="AK251" s="2562">
        <f t="shared" si="70"/>
        <v>103</v>
      </c>
      <c r="AL251" s="2561">
        <f t="shared" si="70"/>
        <v>0</v>
      </c>
      <c r="AM251" s="2564">
        <f t="shared" si="70"/>
        <v>74</v>
      </c>
      <c r="AN251" s="2561">
        <f t="shared" si="70"/>
        <v>0</v>
      </c>
      <c r="AO251" s="2566">
        <f t="shared" si="70"/>
        <v>75</v>
      </c>
      <c r="AP251" s="2562">
        <f t="shared" si="70"/>
        <v>733</v>
      </c>
      <c r="AQ251" s="2561">
        <f t="shared" si="70"/>
        <v>0</v>
      </c>
      <c r="AR251" s="2564">
        <f t="shared" si="70"/>
        <v>858</v>
      </c>
      <c r="AS251" s="2561">
        <f t="shared" si="70"/>
        <v>0</v>
      </c>
      <c r="AT251" s="2566">
        <f t="shared" si="70"/>
        <v>887</v>
      </c>
      <c r="AU251" s="2472" t="s">
        <v>917</v>
      </c>
      <c r="AV251" s="457" t="s">
        <v>918</v>
      </c>
      <c r="AW251" s="99" t="s">
        <v>737</v>
      </c>
      <c r="AX251" s="547" t="s">
        <v>800</v>
      </c>
      <c r="AY251" s="547"/>
      <c r="AZ251" s="99"/>
      <c r="BA251" s="620" t="s">
        <v>919</v>
      </c>
      <c r="BB251" s="620" t="s">
        <v>884</v>
      </c>
      <c r="BC251" s="159"/>
      <c r="BD251" s="18"/>
    </row>
    <row r="252" spans="2:56" ht="20.100000000000001" customHeight="1">
      <c r="B252" s="1360" t="b">
        <f t="shared" si="68"/>
        <v>0</v>
      </c>
      <c r="C252" s="1375"/>
      <c r="D252" s="490" t="s">
        <v>920</v>
      </c>
      <c r="E252" s="491"/>
      <c r="F252" s="285" t="s">
        <v>742</v>
      </c>
      <c r="G252" s="286"/>
      <c r="H252" s="491"/>
      <c r="I252" s="358" t="s">
        <v>921</v>
      </c>
      <c r="J252" s="735"/>
      <c r="K252" s="109" t="s">
        <v>734</v>
      </c>
      <c r="L252" s="543">
        <v>3250</v>
      </c>
      <c r="M252" s="543"/>
      <c r="N252" s="543">
        <v>5922</v>
      </c>
      <c r="O252" s="543"/>
      <c r="P252" s="644"/>
      <c r="Q252" s="645"/>
      <c r="R252" s="1463">
        <v>1683</v>
      </c>
      <c r="S252" s="1523" t="s">
        <v>746</v>
      </c>
      <c r="T252" s="1463">
        <v>3659</v>
      </c>
      <c r="U252" s="1526" t="s">
        <v>1798</v>
      </c>
      <c r="V252" s="5486">
        <v>4274</v>
      </c>
      <c r="W252" s="1523" t="s">
        <v>746</v>
      </c>
      <c r="X252" s="2557">
        <f>'4DPLEX'!R234</f>
        <v>49</v>
      </c>
      <c r="Y252" s="2558">
        <f>'4DPLEX'!T234</f>
        <v>35</v>
      </c>
      <c r="Z252" s="2559">
        <f>'4DPLEX'!V234</f>
        <v>35</v>
      </c>
      <c r="AA252" s="2684">
        <f>China!AO251</f>
        <v>202</v>
      </c>
      <c r="AB252" s="2720" t="str">
        <f>China!AP251</f>
        <v xml:space="preserve">Full time 기준
</v>
      </c>
      <c r="AC252" s="2686">
        <f>China!AQ251</f>
        <v>84</v>
      </c>
      <c r="AD252" s="2720" t="str">
        <f>China!AR251</f>
        <v xml:space="preserve">Full time 기준
</v>
      </c>
      <c r="AE252" s="2556">
        <f>China!AS251</f>
        <v>97</v>
      </c>
      <c r="AF252" s="2684">
        <f>Vietnam!Q251</f>
        <v>1212</v>
      </c>
      <c r="AG252" s="2688" t="str">
        <f>Vietnam!R251</f>
        <v>Full time+Part time</v>
      </c>
      <c r="AH252" s="2686">
        <f>Vietnam!S251</f>
        <v>2112</v>
      </c>
      <c r="AI252" s="2688" t="str">
        <f>Vietnam!T251</f>
        <v>Full time+Part time</v>
      </c>
      <c r="AJ252" s="2687">
        <f>Vietnam!U251</f>
        <v>2038</v>
      </c>
      <c r="AK252" s="2684">
        <f>Indonesia!V251</f>
        <v>103</v>
      </c>
      <c r="AL252" s="2688" t="str">
        <f>Indonesia!W251</f>
        <v>Full time기준)미소지기는 아웃소싱</v>
      </c>
      <c r="AM252" s="2686">
        <f>Indonesia!X251</f>
        <v>74</v>
      </c>
      <c r="AN252" s="2708" t="str">
        <f>Indonesia!Y251</f>
        <v>Full time기준)미소지기는 아웃소싱</v>
      </c>
      <c r="AO252" s="2556">
        <f>Indonesia!Z251</f>
        <v>75</v>
      </c>
      <c r="AP252" s="2557">
        <f>Türkiye!AA251</f>
        <v>675</v>
      </c>
      <c r="AQ252" s="2561">
        <f>Türkiye!AB251</f>
        <v>0</v>
      </c>
      <c r="AR252" s="2558">
        <f>Türkiye!AC251</f>
        <v>713</v>
      </c>
      <c r="AS252" s="2561">
        <f>Türkiye!AD251</f>
        <v>0</v>
      </c>
      <c r="AT252" s="2556">
        <f>Türkiye!AE251</f>
        <v>793</v>
      </c>
      <c r="AU252" s="2472"/>
      <c r="AV252" s="457"/>
      <c r="AW252" s="99" t="s">
        <v>737</v>
      </c>
      <c r="AX252" s="547" t="s">
        <v>800</v>
      </c>
      <c r="AY252" s="547"/>
      <c r="AZ252" s="99"/>
      <c r="BA252" s="620" t="s">
        <v>922</v>
      </c>
      <c r="BB252" s="620" t="s">
        <v>884</v>
      </c>
      <c r="BC252" s="159"/>
      <c r="BD252" s="18"/>
    </row>
    <row r="253" spans="2:56" ht="20.100000000000001" customHeight="1">
      <c r="B253" s="1360" t="b">
        <f t="shared" si="68"/>
        <v>0</v>
      </c>
      <c r="C253" s="1375"/>
      <c r="D253" s="490" t="s">
        <v>923</v>
      </c>
      <c r="E253" s="491"/>
      <c r="F253" s="285" t="s">
        <v>742</v>
      </c>
      <c r="G253" s="286"/>
      <c r="H253" s="491"/>
      <c r="I253" s="358" t="s">
        <v>924</v>
      </c>
      <c r="J253" s="735"/>
      <c r="K253" s="109" t="s">
        <v>734</v>
      </c>
      <c r="L253" s="543">
        <v>1844</v>
      </c>
      <c r="M253" s="543"/>
      <c r="N253" s="543">
        <v>1586</v>
      </c>
      <c r="O253" s="543"/>
      <c r="P253" s="644"/>
      <c r="Q253" s="645"/>
      <c r="R253" s="1463">
        <v>1558</v>
      </c>
      <c r="S253" s="1523" t="s">
        <v>746</v>
      </c>
      <c r="T253" s="1463">
        <v>1420</v>
      </c>
      <c r="U253" s="1526" t="s">
        <v>1798</v>
      </c>
      <c r="V253" s="5486">
        <v>1581</v>
      </c>
      <c r="W253" s="1523" t="s">
        <v>746</v>
      </c>
      <c r="X253" s="2557">
        <f>'4DPLEX'!R235</f>
        <v>22</v>
      </c>
      <c r="Y253" s="2558">
        <f>'4DPLEX'!T235</f>
        <v>9</v>
      </c>
      <c r="Z253" s="2559">
        <f>'4DPLEX'!V235</f>
        <v>12</v>
      </c>
      <c r="AA253" s="2684">
        <f>China!AO252</f>
        <v>235</v>
      </c>
      <c r="AB253" s="2720" t="str">
        <f>China!AP252</f>
        <v xml:space="preserve">Full time 기준
</v>
      </c>
      <c r="AC253" s="2686">
        <f>China!AQ252</f>
        <v>147</v>
      </c>
      <c r="AD253" s="2720" t="str">
        <f>China!AR252</f>
        <v xml:space="preserve">Full time 기준
</v>
      </c>
      <c r="AE253" s="2556">
        <f>China!AS252</f>
        <v>148</v>
      </c>
      <c r="AF253" s="2684">
        <f>Vietnam!Q252</f>
        <v>29</v>
      </c>
      <c r="AG253" s="2688" t="str">
        <f>Vietnam!R252</f>
        <v>Full time+Part time</v>
      </c>
      <c r="AH253" s="2686">
        <f>Vietnam!S252</f>
        <v>10</v>
      </c>
      <c r="AI253" s="2688" t="str">
        <f>Vietnam!T252</f>
        <v>Full time+Part time</v>
      </c>
      <c r="AJ253" s="2687">
        <f>Vietnam!U252</f>
        <v>12</v>
      </c>
      <c r="AK253" s="2684">
        <f>Indonesia!V252</f>
        <v>0</v>
      </c>
      <c r="AL253" s="2688" t="str">
        <f>Indonesia!W252</f>
        <v>Full time기준)미소지기는 아웃소싱</v>
      </c>
      <c r="AM253" s="2686">
        <f>Indonesia!X252</f>
        <v>0</v>
      </c>
      <c r="AN253" s="2708" t="str">
        <f>Indonesia!Y252</f>
        <v>Full time기준)미소지기는 아웃소싱</v>
      </c>
      <c r="AO253" s="2556">
        <f>Indonesia!Z252</f>
        <v>0</v>
      </c>
      <c r="AP253" s="2557">
        <f>Türkiye!AA252</f>
        <v>58</v>
      </c>
      <c r="AQ253" s="2561">
        <f>Türkiye!AB252</f>
        <v>0</v>
      </c>
      <c r="AR253" s="2558">
        <f>Türkiye!AC252</f>
        <v>145</v>
      </c>
      <c r="AS253" s="2561">
        <f>Türkiye!AD252</f>
        <v>0</v>
      </c>
      <c r="AT253" s="2556">
        <f>Türkiye!AE252</f>
        <v>94</v>
      </c>
      <c r="AU253" s="2472"/>
      <c r="AV253" s="457"/>
      <c r="AW253" s="99" t="s">
        <v>737</v>
      </c>
      <c r="AX253" s="547" t="s">
        <v>800</v>
      </c>
      <c r="AY253" s="547"/>
      <c r="AZ253" s="99"/>
      <c r="BA253" s="620" t="s">
        <v>919</v>
      </c>
      <c r="BB253" s="620" t="s">
        <v>884</v>
      </c>
      <c r="BC253" s="159"/>
      <c r="BD253" s="18"/>
    </row>
    <row r="254" spans="2:56" ht="20.100000000000001" customHeight="1">
      <c r="B254" s="1360"/>
      <c r="C254" s="947" t="s">
        <v>925</v>
      </c>
      <c r="D254" s="728"/>
      <c r="E254" s="728"/>
      <c r="F254" s="1573"/>
      <c r="G254" s="311"/>
      <c r="H254" s="728" t="s">
        <v>926</v>
      </c>
      <c r="I254" s="739"/>
      <c r="J254" s="739"/>
      <c r="K254" s="731" t="s">
        <v>168</v>
      </c>
      <c r="L254" s="740"/>
      <c r="M254" s="732"/>
      <c r="N254" s="732"/>
      <c r="O254" s="732"/>
      <c r="P254" s="732"/>
      <c r="Q254" s="732"/>
      <c r="R254" s="1578"/>
      <c r="S254" s="1579"/>
      <c r="T254" s="1580"/>
      <c r="U254" s="1579"/>
      <c r="V254" s="1580"/>
      <c r="W254" s="2082"/>
      <c r="X254" s="2721"/>
      <c r="Y254" s="2722"/>
      <c r="Z254" s="2723"/>
      <c r="AA254" s="2724"/>
      <c r="AB254" s="2709"/>
      <c r="AC254" s="2725"/>
      <c r="AD254" s="2709"/>
      <c r="AE254" s="2575"/>
      <c r="AF254" s="2724"/>
      <c r="AG254" s="2709"/>
      <c r="AH254" s="2725"/>
      <c r="AI254" s="2709"/>
      <c r="AJ254" s="2575"/>
      <c r="AK254" s="2724"/>
      <c r="AL254" s="2709"/>
      <c r="AM254" s="2725"/>
      <c r="AN254" s="2709"/>
      <c r="AO254" s="2575"/>
      <c r="AP254" s="2576"/>
      <c r="AQ254" s="2574"/>
      <c r="AR254" s="2577"/>
      <c r="AS254" s="2574"/>
      <c r="AT254" s="2575"/>
      <c r="AU254" s="1564"/>
      <c r="AW254" s="99" t="s">
        <v>737</v>
      </c>
      <c r="AX254" s="547" t="s">
        <v>800</v>
      </c>
      <c r="AY254" s="547"/>
      <c r="AZ254" s="99"/>
      <c r="BA254" s="620" t="s">
        <v>927</v>
      </c>
      <c r="BB254" s="620" t="s">
        <v>884</v>
      </c>
      <c r="BC254" s="159"/>
      <c r="BD254" s="18"/>
    </row>
    <row r="255" spans="2:56" ht="20.100000000000001" customHeight="1">
      <c r="B255" s="1360" t="b">
        <f t="shared" ref="B255:B259" si="71">OR(ISBLANK(R255),ISBLANK(T255),ISBLANK(V255))</f>
        <v>0</v>
      </c>
      <c r="C255" s="1376"/>
      <c r="D255" s="490" t="s">
        <v>796</v>
      </c>
      <c r="E255" s="491"/>
      <c r="F255" s="285" t="s">
        <v>156</v>
      </c>
      <c r="G255" s="286"/>
      <c r="H255" s="491"/>
      <c r="I255" s="490" t="s">
        <v>928</v>
      </c>
      <c r="J255" s="742"/>
      <c r="K255" s="109" t="s">
        <v>156</v>
      </c>
      <c r="L255" s="644"/>
      <c r="M255" s="543"/>
      <c r="N255" s="644"/>
      <c r="O255" s="543"/>
      <c r="P255" s="644"/>
      <c r="Q255" s="645"/>
      <c r="R255" s="1488">
        <v>55</v>
      </c>
      <c r="S255" s="1432"/>
      <c r="T255" s="1488">
        <v>74</v>
      </c>
      <c r="U255" s="1431" t="s">
        <v>1820</v>
      </c>
      <c r="V255" s="1488">
        <f>32/36*100</f>
        <v>88.888888888888886</v>
      </c>
      <c r="W255" s="2078"/>
      <c r="X255" s="2557"/>
      <c r="Y255" s="2558"/>
      <c r="Z255" s="2559"/>
      <c r="AA255" s="4920">
        <f>China!AO254</f>
        <v>0.23798627002288331</v>
      </c>
      <c r="AB255" s="5370">
        <f>China!AP254</f>
        <v>104</v>
      </c>
      <c r="AC255" s="4921">
        <f>China!AQ254</f>
        <v>0.21212121212121213</v>
      </c>
      <c r="AD255" s="5370">
        <f>China!AR254</f>
        <v>49</v>
      </c>
      <c r="AE255" s="5371">
        <f>China!AS254</f>
        <v>0.2530612244897959</v>
      </c>
      <c r="AF255" s="4920">
        <f>Vietnam!Q254</f>
        <v>0.48679867986798681</v>
      </c>
      <c r="AG255" s="5370" t="str">
        <f>Vietnam!R254</f>
        <v>Full time+Part time</v>
      </c>
      <c r="AH255" s="4921">
        <f>Vietnam!S254</f>
        <v>0.47916666666666669</v>
      </c>
      <c r="AI255" s="5370" t="str">
        <f>Vietnam!T254</f>
        <v>Full time+Part time</v>
      </c>
      <c r="AJ255" s="5371">
        <f>Vietnam!U254</f>
        <v>0.48527968596663396</v>
      </c>
      <c r="AK255" s="2557">
        <f>Indonesia!V254</f>
        <v>71</v>
      </c>
      <c r="AL255" s="2561">
        <f>Indonesia!W254</f>
        <v>0</v>
      </c>
      <c r="AM255" s="2558">
        <f>Indonesia!X254</f>
        <v>75</v>
      </c>
      <c r="AN255" s="2561">
        <f>Indonesia!Y254</f>
        <v>0</v>
      </c>
      <c r="AO255" s="2556">
        <f>Indonesia!Z254</f>
        <v>61</v>
      </c>
      <c r="AP255" s="4920">
        <f>Türkiye!AA254</f>
        <v>0.58809999999999996</v>
      </c>
      <c r="AQ255" s="5370">
        <f>Türkiye!AB254</f>
        <v>0</v>
      </c>
      <c r="AR255" s="4921">
        <f>Türkiye!AC254</f>
        <v>0.54558204768583451</v>
      </c>
      <c r="AS255" s="5370">
        <f>Türkiye!AD254</f>
        <v>0</v>
      </c>
      <c r="AT255" s="5371">
        <f>Türkiye!AE254</f>
        <v>0.5271122320302648</v>
      </c>
      <c r="AU255" s="1069" t="s">
        <v>929</v>
      </c>
      <c r="AV255" s="741" t="s">
        <v>930</v>
      </c>
      <c r="AW255" s="99" t="s">
        <v>737</v>
      </c>
      <c r="AX255" s="547" t="s">
        <v>800</v>
      </c>
      <c r="AY255" s="547"/>
      <c r="AZ255" s="99"/>
      <c r="BA255" s="620" t="s">
        <v>927</v>
      </c>
      <c r="BB255" s="620" t="s">
        <v>884</v>
      </c>
      <c r="BC255" s="159"/>
      <c r="BD255" s="18"/>
    </row>
    <row r="256" spans="2:56" ht="20.100000000000001" customHeight="1">
      <c r="B256" s="1360" t="b">
        <f t="shared" si="71"/>
        <v>0</v>
      </c>
      <c r="C256" s="27"/>
      <c r="D256" s="490" t="s">
        <v>802</v>
      </c>
      <c r="E256" s="491"/>
      <c r="F256" s="285" t="s">
        <v>156</v>
      </c>
      <c r="G256" s="286"/>
      <c r="H256" s="491"/>
      <c r="I256" s="490" t="s">
        <v>933</v>
      </c>
      <c r="J256" s="742"/>
      <c r="K256" s="109" t="s">
        <v>156</v>
      </c>
      <c r="L256" s="644"/>
      <c r="M256" s="543"/>
      <c r="N256" s="644"/>
      <c r="O256" s="543"/>
      <c r="P256" s="644"/>
      <c r="Q256" s="645"/>
      <c r="R256" s="1488">
        <v>50</v>
      </c>
      <c r="S256" s="1432"/>
      <c r="T256" s="1488">
        <v>70</v>
      </c>
      <c r="U256" s="1431" t="s">
        <v>1821</v>
      </c>
      <c r="V256" s="1488">
        <f>34/38*100</f>
        <v>89.473684210526315</v>
      </c>
      <c r="W256" s="2078"/>
      <c r="X256" s="2557"/>
      <c r="Y256" s="2558"/>
      <c r="Z256" s="2559"/>
      <c r="AA256" s="4920">
        <f>China!AO255</f>
        <v>0.22425629290617849</v>
      </c>
      <c r="AB256" s="5370">
        <f>China!AP255</f>
        <v>98</v>
      </c>
      <c r="AC256" s="4921">
        <f>China!AQ255</f>
        <v>0.15151515151515152</v>
      </c>
      <c r="AD256" s="5370">
        <f>China!AR255</f>
        <v>35</v>
      </c>
      <c r="AE256" s="5371">
        <f>China!AS255</f>
        <v>0.14285714285714285</v>
      </c>
      <c r="AF256" s="4920">
        <f>Vietnam!Q255</f>
        <v>0.51320132013201325</v>
      </c>
      <c r="AG256" s="5370" t="str">
        <f>Vietnam!R255</f>
        <v>Full time+Part time</v>
      </c>
      <c r="AH256" s="4921">
        <f>Vietnam!S255</f>
        <v>0.52083333333333337</v>
      </c>
      <c r="AI256" s="5370" t="str">
        <f>Vietnam!T255</f>
        <v>Full time+Part time</v>
      </c>
      <c r="AJ256" s="5371">
        <f>Vietnam!U255</f>
        <v>0.51472031403336604</v>
      </c>
      <c r="AK256" s="2557">
        <f>Indonesia!V255</f>
        <v>29</v>
      </c>
      <c r="AL256" s="2561">
        <f>Indonesia!W255</f>
        <v>0</v>
      </c>
      <c r="AM256" s="2558">
        <f>Indonesia!X255</f>
        <v>25</v>
      </c>
      <c r="AN256" s="2561">
        <f>Indonesia!Y255</f>
        <v>0</v>
      </c>
      <c r="AO256" s="2556">
        <f>Indonesia!Z255</f>
        <v>39</v>
      </c>
      <c r="AP256" s="4920">
        <f>Türkiye!AA255</f>
        <v>0.4118</v>
      </c>
      <c r="AQ256" s="5370">
        <f>Türkiye!AB255</f>
        <v>0</v>
      </c>
      <c r="AR256" s="4921">
        <f>Türkiye!AC255</f>
        <v>0.45441795231416549</v>
      </c>
      <c r="AS256" s="5370">
        <f>Türkiye!AD255</f>
        <v>0</v>
      </c>
      <c r="AT256" s="5371">
        <f>Türkiye!AE255</f>
        <v>0.4728877679697352</v>
      </c>
      <c r="AU256" s="1069"/>
      <c r="AV256" s="741"/>
      <c r="AW256" s="99" t="s">
        <v>737</v>
      </c>
      <c r="AX256" s="547" t="s">
        <v>800</v>
      </c>
      <c r="AY256" s="547"/>
      <c r="AZ256" s="99"/>
      <c r="BA256" s="620" t="s">
        <v>927</v>
      </c>
      <c r="BB256" s="620" t="s">
        <v>884</v>
      </c>
      <c r="BC256" s="159"/>
      <c r="BD256" s="18"/>
    </row>
    <row r="257" spans="2:56" ht="20.100000000000001" customHeight="1">
      <c r="B257" s="1360" t="b">
        <f t="shared" si="71"/>
        <v>0</v>
      </c>
      <c r="C257" s="27"/>
      <c r="D257" s="490" t="s">
        <v>823</v>
      </c>
      <c r="E257" s="491"/>
      <c r="F257" s="285" t="s">
        <v>156</v>
      </c>
      <c r="G257" s="286"/>
      <c r="H257" s="491"/>
      <c r="I257" s="490" t="s">
        <v>936</v>
      </c>
      <c r="J257" s="742"/>
      <c r="K257" s="109" t="s">
        <v>156</v>
      </c>
      <c r="L257" s="644"/>
      <c r="M257" s="543"/>
      <c r="N257" s="644"/>
      <c r="O257" s="543"/>
      <c r="P257" s="644"/>
      <c r="Q257" s="645"/>
      <c r="R257" s="1488">
        <v>53</v>
      </c>
      <c r="S257" s="1432"/>
      <c r="T257" s="1488">
        <v>73</v>
      </c>
      <c r="U257" s="1431" t="s">
        <v>1822</v>
      </c>
      <c r="V257" s="1488">
        <f>14/14*100</f>
        <v>100</v>
      </c>
      <c r="W257" s="2078"/>
      <c r="X257" s="2557"/>
      <c r="Y257" s="2558"/>
      <c r="Z257" s="2559"/>
      <c r="AA257" s="4920">
        <f>China!AO256</f>
        <v>0.2402745995423341</v>
      </c>
      <c r="AB257" s="5370">
        <f>China!AP256</f>
        <v>105</v>
      </c>
      <c r="AC257" s="4921">
        <f>China!AQ256</f>
        <v>0.10822510822510822</v>
      </c>
      <c r="AD257" s="5370">
        <f>China!AR256</f>
        <v>25</v>
      </c>
      <c r="AE257" s="5371">
        <f>China!AS256</f>
        <v>0.15918367346938775</v>
      </c>
      <c r="AF257" s="4920">
        <f>Vietnam!Q256</f>
        <v>0.93151815181518149</v>
      </c>
      <c r="AG257" s="5370" t="str">
        <f>Vietnam!R256</f>
        <v>Full time+Part time</v>
      </c>
      <c r="AH257" s="4921">
        <f>Vietnam!S256</f>
        <v>0.9726672950047125</v>
      </c>
      <c r="AI257" s="5370" t="str">
        <f>Vietnam!T256</f>
        <v>Full time+Part time</v>
      </c>
      <c r="AJ257" s="5371">
        <f>Vietnam!U256</f>
        <v>0.97644749754661431</v>
      </c>
      <c r="AK257" s="2557">
        <f>Indonesia!V256</f>
        <v>47</v>
      </c>
      <c r="AL257" s="2561">
        <f>Indonesia!W256</f>
        <v>0</v>
      </c>
      <c r="AM257" s="2558">
        <f>Indonesia!X256</f>
        <v>27</v>
      </c>
      <c r="AN257" s="2561">
        <f>Indonesia!Y256</f>
        <v>0</v>
      </c>
      <c r="AO257" s="2556">
        <f>Indonesia!Z256</f>
        <v>31</v>
      </c>
      <c r="AP257" s="4920">
        <f>Türkiye!AA256</f>
        <v>0.79249999999999998</v>
      </c>
      <c r="AQ257" s="5370">
        <f>Türkiye!AB256</f>
        <v>0</v>
      </c>
      <c r="AR257" s="4921">
        <f>Türkiye!AC256</f>
        <v>0.92005610098176716</v>
      </c>
      <c r="AS257" s="5370">
        <f>Türkiye!AD256</f>
        <v>0</v>
      </c>
      <c r="AT257" s="5371">
        <f>Türkiye!AE256</f>
        <v>0.86002522068095844</v>
      </c>
      <c r="AU257" s="1069"/>
      <c r="AV257" s="741"/>
      <c r="AW257" s="99" t="s">
        <v>737</v>
      </c>
      <c r="AX257" s="547" t="s">
        <v>800</v>
      </c>
      <c r="AY257" s="547"/>
      <c r="AZ257" s="99"/>
      <c r="BA257" s="620" t="s">
        <v>927</v>
      </c>
      <c r="BB257" s="620" t="s">
        <v>884</v>
      </c>
      <c r="BC257" s="159"/>
      <c r="BD257" s="18"/>
    </row>
    <row r="258" spans="2:56" ht="20.100000000000001" customHeight="1">
      <c r="B258" s="1360" t="b">
        <f t="shared" si="71"/>
        <v>0</v>
      </c>
      <c r="C258" s="27"/>
      <c r="D258" s="490" t="s">
        <v>827</v>
      </c>
      <c r="E258" s="491"/>
      <c r="F258" s="285" t="s">
        <v>156</v>
      </c>
      <c r="G258" s="286"/>
      <c r="H258" s="491"/>
      <c r="I258" s="490" t="s">
        <v>938</v>
      </c>
      <c r="J258" s="742"/>
      <c r="K258" s="109" t="s">
        <v>156</v>
      </c>
      <c r="L258" s="644"/>
      <c r="M258" s="543"/>
      <c r="N258" s="644"/>
      <c r="O258" s="543"/>
      <c r="P258" s="644"/>
      <c r="Q258" s="645"/>
      <c r="R258" s="1488">
        <v>45</v>
      </c>
      <c r="S258" s="1432"/>
      <c r="T258" s="1488">
        <v>70</v>
      </c>
      <c r="U258" s="1431" t="s">
        <v>1823</v>
      </c>
      <c r="V258" s="1488">
        <f>52/58*100</f>
        <v>89.65517241379311</v>
      </c>
      <c r="W258" s="2078"/>
      <c r="X258" s="2557"/>
      <c r="Y258" s="2558"/>
      <c r="Z258" s="2559"/>
      <c r="AA258" s="4920">
        <f>China!AO257</f>
        <v>0.2219679633867277</v>
      </c>
      <c r="AB258" s="5370">
        <f>China!AP257</f>
        <v>97</v>
      </c>
      <c r="AC258" s="4921">
        <f>China!AQ257</f>
        <v>0.25541125541125542</v>
      </c>
      <c r="AD258" s="5370">
        <f>China!AR257</f>
        <v>59</v>
      </c>
      <c r="AE258" s="5371">
        <f>China!AS257</f>
        <v>0.23673469387755103</v>
      </c>
      <c r="AF258" s="4920">
        <f>Vietnam!Q257</f>
        <v>6.8481848184818478E-2</v>
      </c>
      <c r="AG258" s="5370" t="str">
        <f>Vietnam!R257</f>
        <v>Full time+Part time</v>
      </c>
      <c r="AH258" s="4921">
        <f>Vietnam!S257</f>
        <v>2.6861451460885956E-2</v>
      </c>
      <c r="AI258" s="5370" t="str">
        <f>Vietnam!T257</f>
        <v>Full time+Part time</v>
      </c>
      <c r="AJ258" s="5371">
        <f>Vietnam!U257</f>
        <v>2.3552502453385672E-2</v>
      </c>
      <c r="AK258" s="2557">
        <f>Indonesia!V257</f>
        <v>53</v>
      </c>
      <c r="AL258" s="2561">
        <f>Indonesia!W257</f>
        <v>0</v>
      </c>
      <c r="AM258" s="2558">
        <f>Indonesia!X257</f>
        <v>70</v>
      </c>
      <c r="AN258" s="2561">
        <f>Indonesia!Y257</f>
        <v>0</v>
      </c>
      <c r="AO258" s="2556">
        <f>Indonesia!Z257</f>
        <v>65</v>
      </c>
      <c r="AP258" s="4920">
        <f>Türkiye!AA257</f>
        <v>0.2029</v>
      </c>
      <c r="AQ258" s="5370">
        <f>Türkiye!AB257</f>
        <v>0</v>
      </c>
      <c r="AR258" s="4921">
        <f>Türkiye!AC257</f>
        <v>7.7138849929873771E-2</v>
      </c>
      <c r="AS258" s="5370">
        <f>Türkiye!AD257</f>
        <v>0</v>
      </c>
      <c r="AT258" s="5371">
        <f>Türkiye!AE257</f>
        <v>0.13114754098360656</v>
      </c>
      <c r="AU258" s="1069"/>
      <c r="AV258" s="741"/>
      <c r="AW258" s="99" t="s">
        <v>737</v>
      </c>
      <c r="AX258" s="547" t="s">
        <v>800</v>
      </c>
      <c r="AY258" s="547"/>
      <c r="AZ258" s="99"/>
      <c r="BA258" s="620" t="s">
        <v>927</v>
      </c>
      <c r="BB258" s="620" t="s">
        <v>884</v>
      </c>
      <c r="BC258" s="159"/>
      <c r="BD258" s="18"/>
    </row>
    <row r="259" spans="2:56" ht="20.100000000000001" customHeight="1">
      <c r="B259" s="1360" t="b">
        <f t="shared" si="71"/>
        <v>0</v>
      </c>
      <c r="C259" s="915"/>
      <c r="D259" s="490" t="s">
        <v>830</v>
      </c>
      <c r="E259" s="491"/>
      <c r="F259" s="285" t="s">
        <v>156</v>
      </c>
      <c r="G259" s="286"/>
      <c r="H259" s="491"/>
      <c r="I259" s="490" t="s">
        <v>940</v>
      </c>
      <c r="J259" s="742"/>
      <c r="K259" s="109" t="s">
        <v>156</v>
      </c>
      <c r="L259" s="644"/>
      <c r="M259" s="543"/>
      <c r="N259" s="644"/>
      <c r="O259" s="543"/>
      <c r="P259" s="644"/>
      <c r="Q259" s="645"/>
      <c r="R259" s="1488">
        <v>36</v>
      </c>
      <c r="S259" s="1432"/>
      <c r="T259" s="1488">
        <v>27</v>
      </c>
      <c r="U259" s="1431" t="s">
        <v>1824</v>
      </c>
      <c r="V259" s="1488">
        <v>0</v>
      </c>
      <c r="W259" s="2078"/>
      <c r="X259" s="2557"/>
      <c r="Y259" s="2558"/>
      <c r="Z259" s="2559"/>
      <c r="AA259" s="4920">
        <f>China!AO258</f>
        <v>0</v>
      </c>
      <c r="AB259" s="5370">
        <f>China!AP258</f>
        <v>0</v>
      </c>
      <c r="AC259" s="4921">
        <f>China!AQ258</f>
        <v>0</v>
      </c>
      <c r="AD259" s="5370">
        <f>China!AR258</f>
        <v>0</v>
      </c>
      <c r="AE259" s="5371">
        <f>China!AS258</f>
        <v>0</v>
      </c>
      <c r="AF259" s="4920">
        <f>Vietnam!Q258</f>
        <v>0</v>
      </c>
      <c r="AG259" s="5370" t="str">
        <f>Vietnam!R258</f>
        <v>Full time+Part time</v>
      </c>
      <c r="AH259" s="4921">
        <f>Vietnam!S258</f>
        <v>4.71253534401508E-4</v>
      </c>
      <c r="AI259" s="5370" t="str">
        <f>Vietnam!T258</f>
        <v>Full time+Part time</v>
      </c>
      <c r="AJ259" s="5371">
        <f>Vietnam!U258</f>
        <v>0</v>
      </c>
      <c r="AK259" s="2557">
        <f>Indonesia!V258</f>
        <v>0</v>
      </c>
      <c r="AL259" s="2561">
        <f>Indonesia!W258</f>
        <v>0</v>
      </c>
      <c r="AM259" s="2558">
        <f>Indonesia!X258</f>
        <v>3</v>
      </c>
      <c r="AN259" s="2561">
        <f>Indonesia!Y258</f>
        <v>0</v>
      </c>
      <c r="AO259" s="2556">
        <f>Indonesia!Z258</f>
        <v>4</v>
      </c>
      <c r="AP259" s="4920">
        <f>Türkiye!AA258</f>
        <v>4.4000000000000003E-3</v>
      </c>
      <c r="AQ259" s="5370">
        <f>Türkiye!AB258</f>
        <v>0</v>
      </c>
      <c r="AR259" s="4921">
        <f>Türkiye!AC258</f>
        <v>2.8050490883590462E-3</v>
      </c>
      <c r="AS259" s="5370">
        <f>Türkiye!AD258</f>
        <v>0</v>
      </c>
      <c r="AT259" s="5371">
        <f>Türkiye!AE258</f>
        <v>8.8272383354350576E-3</v>
      </c>
      <c r="AU259" s="1069"/>
      <c r="AV259" s="741"/>
      <c r="AW259" s="99" t="s">
        <v>737</v>
      </c>
      <c r="AX259" s="547" t="s">
        <v>800</v>
      </c>
      <c r="AY259" s="547"/>
      <c r="AZ259" s="99"/>
      <c r="BA259" s="620" t="s">
        <v>927</v>
      </c>
      <c r="BB259" s="620" t="s">
        <v>884</v>
      </c>
      <c r="BC259" s="159"/>
      <c r="BD259" s="18"/>
    </row>
    <row r="260" spans="2:56" ht="20.100000000000001" customHeight="1">
      <c r="B260" s="1360"/>
      <c r="C260" s="947" t="s">
        <v>943</v>
      </c>
      <c r="D260" s="728"/>
      <c r="E260" s="728"/>
      <c r="F260" s="1573"/>
      <c r="G260" s="311"/>
      <c r="H260" s="728" t="s">
        <v>944</v>
      </c>
      <c r="I260" s="744"/>
      <c r="J260" s="739"/>
      <c r="K260" s="731" t="s">
        <v>168</v>
      </c>
      <c r="L260" s="745"/>
      <c r="M260" s="745"/>
      <c r="N260" s="745"/>
      <c r="O260" s="745"/>
      <c r="P260" s="745"/>
      <c r="Q260" s="745"/>
      <c r="R260" s="1578"/>
      <c r="S260" s="1581"/>
      <c r="T260" s="1580"/>
      <c r="U260" s="1581"/>
      <c r="V260" s="1580"/>
      <c r="W260" s="2083"/>
      <c r="X260" s="2721"/>
      <c r="Y260" s="2722"/>
      <c r="Z260" s="2723"/>
      <c r="AA260" s="2576"/>
      <c r="AB260" s="2574"/>
      <c r="AC260" s="2577"/>
      <c r="AD260" s="2574"/>
      <c r="AE260" s="2575"/>
      <c r="AF260" s="2576"/>
      <c r="AG260" s="2574"/>
      <c r="AH260" s="2577"/>
      <c r="AI260" s="2574"/>
      <c r="AJ260" s="2575"/>
      <c r="AK260" s="2576"/>
      <c r="AL260" s="2574"/>
      <c r="AM260" s="2577"/>
      <c r="AN260" s="2574"/>
      <c r="AO260" s="2575"/>
      <c r="AP260" s="2576"/>
      <c r="AQ260" s="2574"/>
      <c r="AR260" s="2577"/>
      <c r="AS260" s="2574"/>
      <c r="AT260" s="2575"/>
      <c r="AU260" s="1564"/>
      <c r="AW260" s="99" t="s">
        <v>737</v>
      </c>
      <c r="AX260" s="547" t="s">
        <v>800</v>
      </c>
      <c r="AY260" s="547"/>
      <c r="AZ260" s="99"/>
      <c r="BA260" s="620" t="s">
        <v>919</v>
      </c>
      <c r="BB260" s="620" t="s">
        <v>884</v>
      </c>
      <c r="BC260" s="159"/>
      <c r="BD260" s="18"/>
    </row>
    <row r="261" spans="2:56" ht="20.100000000000001" customHeight="1">
      <c r="B261" s="1360" t="b">
        <f t="shared" ref="B261:B265" si="72">OR(ISBLANK(R261),ISBLANK(T261),ISBLANK(V261))</f>
        <v>0</v>
      </c>
      <c r="C261" s="1376"/>
      <c r="D261" s="490" t="s">
        <v>796</v>
      </c>
      <c r="E261" s="491"/>
      <c r="F261" s="285" t="s">
        <v>156</v>
      </c>
      <c r="G261" s="286"/>
      <c r="H261" s="491"/>
      <c r="I261" s="490" t="s">
        <v>928</v>
      </c>
      <c r="J261" s="742"/>
      <c r="K261" s="109" t="s">
        <v>156</v>
      </c>
      <c r="L261" s="228"/>
      <c r="M261" s="92"/>
      <c r="N261" s="228"/>
      <c r="O261" s="92"/>
      <c r="P261" s="228"/>
      <c r="Q261" s="297"/>
      <c r="R261" s="1488">
        <v>45</v>
      </c>
      <c r="S261" s="1430"/>
      <c r="T261" s="1488">
        <v>26</v>
      </c>
      <c r="U261" s="1431" t="s">
        <v>1825</v>
      </c>
      <c r="V261" s="1488">
        <f>4/36*100</f>
        <v>11.111111111111111</v>
      </c>
      <c r="W261" s="2060"/>
      <c r="X261" s="2557"/>
      <c r="Y261" s="2558"/>
      <c r="Z261" s="2559"/>
      <c r="AA261" s="4920">
        <f>China!AO260</f>
        <v>0.28604118993135014</v>
      </c>
      <c r="AB261" s="5370">
        <f>China!AP260</f>
        <v>125</v>
      </c>
      <c r="AC261" s="4921">
        <f>China!AQ260</f>
        <v>0.4329004329004329</v>
      </c>
      <c r="AD261" s="5370">
        <f>China!AR260</f>
        <v>100</v>
      </c>
      <c r="AE261" s="5371">
        <f>China!AS260</f>
        <v>0.26938775510204083</v>
      </c>
      <c r="AF261" s="4920">
        <f>Vietnam!Q260</f>
        <v>0.51724137931034486</v>
      </c>
      <c r="AG261" s="5370" t="str">
        <f>Vietnam!R260</f>
        <v>Full time+Part time</v>
      </c>
      <c r="AH261" s="4921">
        <f>Vietnam!S260</f>
        <v>0.6</v>
      </c>
      <c r="AI261" s="5370" t="str">
        <f>Vietnam!T260</f>
        <v>Full time+Part time</v>
      </c>
      <c r="AJ261" s="5371">
        <f>Vietnam!U260</f>
        <v>0.75</v>
      </c>
      <c r="AK261" s="2557">
        <f>Indonesia!V260</f>
        <v>0</v>
      </c>
      <c r="AL261" s="2561">
        <f>Indonesia!W260</f>
        <v>0</v>
      </c>
      <c r="AM261" s="2558">
        <f>Indonesia!X260</f>
        <v>0</v>
      </c>
      <c r="AN261" s="2561">
        <f>Indonesia!Y260</f>
        <v>0</v>
      </c>
      <c r="AO261" s="2556">
        <f>Indonesia!Z260</f>
        <v>0</v>
      </c>
      <c r="AP261" s="4920">
        <f>Türkiye!AA260</f>
        <v>0.65510000000000002</v>
      </c>
      <c r="AQ261" s="5370">
        <f>Türkiye!AB260</f>
        <v>0</v>
      </c>
      <c r="AR261" s="4921">
        <f>Türkiye!AC260</f>
        <v>0.52413793103448281</v>
      </c>
      <c r="AS261" s="5370">
        <f>Türkiye!AD260</f>
        <v>0</v>
      </c>
      <c r="AT261" s="5371">
        <f>Türkiye!AE260</f>
        <v>0.52127659574468088</v>
      </c>
      <c r="AU261" s="348" t="s">
        <v>945</v>
      </c>
      <c r="AV261" s="746" t="s">
        <v>946</v>
      </c>
      <c r="AW261" s="99" t="s">
        <v>737</v>
      </c>
      <c r="AX261" s="547" t="s">
        <v>800</v>
      </c>
      <c r="AY261" s="547"/>
      <c r="AZ261" s="99"/>
      <c r="BA261" s="620" t="s">
        <v>919</v>
      </c>
      <c r="BB261" s="620" t="s">
        <v>884</v>
      </c>
      <c r="BC261" s="159"/>
      <c r="BD261" s="18"/>
    </row>
    <row r="262" spans="2:56" ht="20.100000000000001" customHeight="1">
      <c r="B262" s="1360" t="b">
        <f t="shared" si="72"/>
        <v>0</v>
      </c>
      <c r="C262" s="27"/>
      <c r="D262" s="490" t="s">
        <v>802</v>
      </c>
      <c r="E262" s="491"/>
      <c r="F262" s="285" t="s">
        <v>156</v>
      </c>
      <c r="G262" s="286"/>
      <c r="H262" s="491"/>
      <c r="I262" s="490" t="s">
        <v>933</v>
      </c>
      <c r="J262" s="742"/>
      <c r="K262" s="109" t="s">
        <v>156</v>
      </c>
      <c r="L262" s="228"/>
      <c r="M262" s="92"/>
      <c r="N262" s="228"/>
      <c r="O262" s="92"/>
      <c r="P262" s="228"/>
      <c r="Q262" s="297"/>
      <c r="R262" s="1488">
        <v>50</v>
      </c>
      <c r="S262" s="1430"/>
      <c r="T262" s="1488">
        <v>30</v>
      </c>
      <c r="U262" s="1431" t="s">
        <v>1825</v>
      </c>
      <c r="V262" s="1488">
        <f>4/38*100</f>
        <v>10.526315789473683</v>
      </c>
      <c r="W262" s="2060"/>
      <c r="X262" s="2557"/>
      <c r="Y262" s="2558"/>
      <c r="Z262" s="2559"/>
      <c r="AA262" s="4920">
        <f>China!AO261</f>
        <v>0.25171624713958812</v>
      </c>
      <c r="AB262" s="5370">
        <f>China!AP261</f>
        <v>110</v>
      </c>
      <c r="AC262" s="4921">
        <f>China!AQ261</f>
        <v>0.20346320346320346</v>
      </c>
      <c r="AD262" s="5370">
        <f>China!AR261</f>
        <v>47</v>
      </c>
      <c r="AE262" s="5371">
        <f>China!AS261</f>
        <v>0.33469387755102042</v>
      </c>
      <c r="AF262" s="4920">
        <f>Vietnam!Q261</f>
        <v>0.48275862068965519</v>
      </c>
      <c r="AG262" s="5370" t="str">
        <f>Vietnam!R261</f>
        <v>Full time+Part time</v>
      </c>
      <c r="AH262" s="4921">
        <f>Vietnam!S261</f>
        <v>0.4</v>
      </c>
      <c r="AI262" s="5370" t="str">
        <f>Vietnam!T261</f>
        <v>Full time+Part time</v>
      </c>
      <c r="AJ262" s="5371">
        <f>Vietnam!U261</f>
        <v>0.25</v>
      </c>
      <c r="AK262" s="2557">
        <f>Indonesia!V261</f>
        <v>0</v>
      </c>
      <c r="AL262" s="2561">
        <f>Indonesia!W261</f>
        <v>0</v>
      </c>
      <c r="AM262" s="2558">
        <f>Indonesia!X261</f>
        <v>0</v>
      </c>
      <c r="AN262" s="2561">
        <f>Indonesia!Y261</f>
        <v>0</v>
      </c>
      <c r="AO262" s="2556">
        <f>Indonesia!Z261</f>
        <v>0</v>
      </c>
      <c r="AP262" s="4920">
        <f>Türkiye!AA261</f>
        <v>0.3448</v>
      </c>
      <c r="AQ262" s="5370">
        <f>Türkiye!AB261</f>
        <v>0</v>
      </c>
      <c r="AR262" s="4921">
        <f>Türkiye!AC261</f>
        <v>0.47586206896551725</v>
      </c>
      <c r="AS262" s="5370">
        <f>Türkiye!AD261</f>
        <v>0</v>
      </c>
      <c r="AT262" s="5371">
        <f>Türkiye!AE261</f>
        <v>0.47872340425531917</v>
      </c>
      <c r="AU262" s="348"/>
      <c r="AV262" s="746"/>
      <c r="AW262" s="99" t="s">
        <v>737</v>
      </c>
      <c r="AX262" s="547" t="s">
        <v>800</v>
      </c>
      <c r="AY262" s="547"/>
      <c r="AZ262" s="99"/>
      <c r="BA262" s="620" t="s">
        <v>919</v>
      </c>
      <c r="BB262" s="620" t="s">
        <v>884</v>
      </c>
      <c r="BC262" s="159"/>
      <c r="BD262" s="18"/>
    </row>
    <row r="263" spans="2:56" ht="20.100000000000001" customHeight="1">
      <c r="B263" s="1360" t="b">
        <f t="shared" si="72"/>
        <v>0</v>
      </c>
      <c r="C263" s="27"/>
      <c r="D263" s="490" t="s">
        <v>823</v>
      </c>
      <c r="E263" s="491"/>
      <c r="F263" s="285" t="s">
        <v>156</v>
      </c>
      <c r="G263" s="286"/>
      <c r="H263" s="491"/>
      <c r="I263" s="490" t="s">
        <v>936</v>
      </c>
      <c r="J263" s="742"/>
      <c r="K263" s="109" t="s">
        <v>156</v>
      </c>
      <c r="L263" s="228"/>
      <c r="M263" s="92"/>
      <c r="N263" s="228"/>
      <c r="O263" s="92"/>
      <c r="P263" s="228"/>
      <c r="Q263" s="297"/>
      <c r="R263" s="1488">
        <v>47</v>
      </c>
      <c r="S263" s="1430"/>
      <c r="T263" s="1488">
        <v>27</v>
      </c>
      <c r="U263" s="1431" t="s">
        <v>1824</v>
      </c>
      <c r="V263" s="1488">
        <f>0/14*100</f>
        <v>0</v>
      </c>
      <c r="W263" s="2060"/>
      <c r="X263" s="2557"/>
      <c r="Y263" s="2558"/>
      <c r="Z263" s="2559"/>
      <c r="AA263" s="4920">
        <f>China!AO262</f>
        <v>0.10068649885583524</v>
      </c>
      <c r="AB263" s="5370">
        <f>China!AP262</f>
        <v>44</v>
      </c>
      <c r="AC263" s="4921">
        <f>China!AQ262</f>
        <v>0.12121212121212122</v>
      </c>
      <c r="AD263" s="5370">
        <f>China!AR262</f>
        <v>28</v>
      </c>
      <c r="AE263" s="5371">
        <f>China!AS262</f>
        <v>0.13469387755102041</v>
      </c>
      <c r="AF263" s="4920">
        <f>Vietnam!Q262</f>
        <v>0.51724137931034486</v>
      </c>
      <c r="AG263" s="5370" t="str">
        <f>Vietnam!R262</f>
        <v>Full time+Part time</v>
      </c>
      <c r="AH263" s="4921">
        <f>Vietnam!S262</f>
        <v>0.8</v>
      </c>
      <c r="AI263" s="5370" t="str">
        <f>Vietnam!T262</f>
        <v>Full time+Part time</v>
      </c>
      <c r="AJ263" s="5371">
        <f>Vietnam!U262</f>
        <v>0.5</v>
      </c>
      <c r="AK263" s="2557">
        <f>Indonesia!V262</f>
        <v>0</v>
      </c>
      <c r="AL263" s="2561">
        <f>Indonesia!W262</f>
        <v>0</v>
      </c>
      <c r="AM263" s="2558">
        <f>Indonesia!X262</f>
        <v>0</v>
      </c>
      <c r="AN263" s="2561">
        <f>Indonesia!Y262</f>
        <v>0</v>
      </c>
      <c r="AO263" s="2556">
        <f>Indonesia!Z262</f>
        <v>0</v>
      </c>
      <c r="AP263" s="4920">
        <f>Türkiye!AA262</f>
        <v>0.43099999999999999</v>
      </c>
      <c r="AQ263" s="5370">
        <f>Türkiye!AB262</f>
        <v>0</v>
      </c>
      <c r="AR263" s="4921">
        <f>Türkiye!AC262</f>
        <v>0.35862068965517241</v>
      </c>
      <c r="AS263" s="5370">
        <f>Türkiye!AD262</f>
        <v>0</v>
      </c>
      <c r="AT263" s="5371">
        <f>Türkiye!AE262</f>
        <v>0.7021276595744681</v>
      </c>
      <c r="AU263" s="348"/>
      <c r="AV263" s="746"/>
      <c r="AW263" s="99" t="s">
        <v>737</v>
      </c>
      <c r="AX263" s="547" t="s">
        <v>800</v>
      </c>
      <c r="AY263" s="547"/>
      <c r="AZ263" s="99"/>
      <c r="BA263" s="620" t="s">
        <v>919</v>
      </c>
      <c r="BB263" s="620" t="s">
        <v>884</v>
      </c>
      <c r="BC263" s="159"/>
      <c r="BD263" s="18"/>
    </row>
    <row r="264" spans="2:56" ht="20.100000000000001" customHeight="1">
      <c r="B264" s="1360" t="b">
        <f t="shared" si="72"/>
        <v>0</v>
      </c>
      <c r="C264" s="1377"/>
      <c r="D264" s="726" t="s">
        <v>827</v>
      </c>
      <c r="E264" s="721"/>
      <c r="F264" s="105" t="s">
        <v>156</v>
      </c>
      <c r="G264" s="253"/>
      <c r="H264" s="721"/>
      <c r="I264" s="726" t="s">
        <v>938</v>
      </c>
      <c r="J264" s="742"/>
      <c r="K264" s="109" t="s">
        <v>156</v>
      </c>
      <c r="L264" s="228"/>
      <c r="M264" s="92"/>
      <c r="N264" s="228"/>
      <c r="O264" s="92"/>
      <c r="P264" s="228"/>
      <c r="Q264" s="297"/>
      <c r="R264" s="1488">
        <v>55</v>
      </c>
      <c r="S264" s="1430"/>
      <c r="T264" s="1488">
        <v>30</v>
      </c>
      <c r="U264" s="1431" t="s">
        <v>1826</v>
      </c>
      <c r="V264" s="1488">
        <f>6/58*100</f>
        <v>10.344827586206897</v>
      </c>
      <c r="W264" s="2060"/>
      <c r="X264" s="2557"/>
      <c r="Y264" s="2558"/>
      <c r="Z264" s="2559"/>
      <c r="AA264" s="4920">
        <f>China!AO263</f>
        <v>0.43249427917620137</v>
      </c>
      <c r="AB264" s="5370">
        <f>China!AP263</f>
        <v>189</v>
      </c>
      <c r="AC264" s="4921">
        <f>China!AQ263</f>
        <v>0.51515151515151514</v>
      </c>
      <c r="AD264" s="5370">
        <f>China!AR263</f>
        <v>119</v>
      </c>
      <c r="AE264" s="5371">
        <f>China!AS263</f>
        <v>0.45714285714285713</v>
      </c>
      <c r="AF264" s="4920">
        <f>Vietnam!Q263</f>
        <v>0.48275862068965519</v>
      </c>
      <c r="AG264" s="5370" t="str">
        <f>Vietnam!R263</f>
        <v>Full time+Part time</v>
      </c>
      <c r="AH264" s="4921">
        <f>Vietnam!S263</f>
        <v>0.2</v>
      </c>
      <c r="AI264" s="5370" t="str">
        <f>Vietnam!T263</f>
        <v>Full time+Part time</v>
      </c>
      <c r="AJ264" s="5371">
        <f>Vietnam!U263</f>
        <v>0.5</v>
      </c>
      <c r="AK264" s="2557">
        <f>Indonesia!V263</f>
        <v>0</v>
      </c>
      <c r="AL264" s="2561">
        <f>Indonesia!W263</f>
        <v>0</v>
      </c>
      <c r="AM264" s="2558">
        <f>Indonesia!X263</f>
        <v>0</v>
      </c>
      <c r="AN264" s="2561">
        <f>Indonesia!Y263</f>
        <v>0</v>
      </c>
      <c r="AO264" s="2556">
        <f>Indonesia!Z263</f>
        <v>0</v>
      </c>
      <c r="AP264" s="4920">
        <f>Türkiye!AA263</f>
        <v>0.55169999999999997</v>
      </c>
      <c r="AQ264" s="5370">
        <f>Türkiye!AB263</f>
        <v>0</v>
      </c>
      <c r="AR264" s="4921">
        <f>Türkiye!AC263</f>
        <v>0.11724137931034483</v>
      </c>
      <c r="AS264" s="5370">
        <f>Türkiye!AD263</f>
        <v>0</v>
      </c>
      <c r="AT264" s="5371">
        <f>Türkiye!AE263</f>
        <v>0.2978723404255319</v>
      </c>
      <c r="AU264" s="348"/>
      <c r="AV264" s="746"/>
      <c r="AW264" s="99" t="s">
        <v>737</v>
      </c>
      <c r="AX264" s="547" t="s">
        <v>800</v>
      </c>
      <c r="AY264" s="547"/>
      <c r="AZ264" s="99"/>
      <c r="BA264" s="620" t="s">
        <v>919</v>
      </c>
      <c r="BB264" s="620" t="s">
        <v>884</v>
      </c>
      <c r="BC264" s="159"/>
      <c r="BD264" s="18"/>
    </row>
    <row r="265" spans="2:56" ht="20.100000000000001" customHeight="1" thickBot="1">
      <c r="B265" s="1361" t="b">
        <f t="shared" si="72"/>
        <v>0</v>
      </c>
      <c r="C265" s="1378"/>
      <c r="D265" s="726" t="s">
        <v>830</v>
      </c>
      <c r="E265" s="721"/>
      <c r="F265" s="706" t="s">
        <v>156</v>
      </c>
      <c r="G265" s="253"/>
      <c r="H265" s="721"/>
      <c r="I265" s="747" t="s">
        <v>940</v>
      </c>
      <c r="J265" s="748"/>
      <c r="K265" s="711" t="s">
        <v>156</v>
      </c>
      <c r="L265" s="592"/>
      <c r="M265" s="749"/>
      <c r="N265" s="592"/>
      <c r="O265" s="749"/>
      <c r="P265" s="592"/>
      <c r="Q265" s="750"/>
      <c r="R265" s="1488">
        <v>64</v>
      </c>
      <c r="S265" s="1435"/>
      <c r="T265" s="1488">
        <v>73</v>
      </c>
      <c r="U265" s="1436" t="s">
        <v>1827</v>
      </c>
      <c r="V265" s="1488">
        <f>2/2*100</f>
        <v>100</v>
      </c>
      <c r="W265" s="591"/>
      <c r="X265" s="2676"/>
      <c r="Y265" s="2677"/>
      <c r="Z265" s="2678"/>
      <c r="AA265" s="4920">
        <f>China!AO264</f>
        <v>4.5766590389016018E-3</v>
      </c>
      <c r="AB265" s="5370">
        <f>China!AP264</f>
        <v>2</v>
      </c>
      <c r="AC265" s="4921">
        <f>China!AQ264</f>
        <v>0</v>
      </c>
      <c r="AD265" s="5370">
        <f>China!AR264</f>
        <v>0</v>
      </c>
      <c r="AE265" s="5371">
        <f>China!AS264</f>
        <v>1.2244897959183673E-2</v>
      </c>
      <c r="AF265" s="5397">
        <f>Vietnam!Q264</f>
        <v>0</v>
      </c>
      <c r="AG265" s="5398" t="str">
        <f>Vietnam!R264</f>
        <v>Full time+Part time</v>
      </c>
      <c r="AH265" s="5399">
        <f>Vietnam!S264</f>
        <v>0</v>
      </c>
      <c r="AI265" s="5398" t="str">
        <f>Vietnam!T264</f>
        <v>Full time+Part time</v>
      </c>
      <c r="AJ265" s="5400">
        <f>Vietnam!U264</f>
        <v>0</v>
      </c>
      <c r="AK265" s="2557">
        <f>Indonesia!V264</f>
        <v>0</v>
      </c>
      <c r="AL265" s="2561">
        <f>Indonesia!W264</f>
        <v>0</v>
      </c>
      <c r="AM265" s="2558">
        <f>Indonesia!X264</f>
        <v>0</v>
      </c>
      <c r="AN265" s="2561">
        <f>Indonesia!Y264</f>
        <v>0</v>
      </c>
      <c r="AO265" s="2556">
        <f>Indonesia!Z264</f>
        <v>0</v>
      </c>
      <c r="AP265" s="4920">
        <f>Türkiye!AA264</f>
        <v>1.72E-2</v>
      </c>
      <c r="AQ265" s="5370">
        <f>Türkiye!AB264</f>
        <v>0</v>
      </c>
      <c r="AR265" s="4921">
        <f>Türkiye!AC264</f>
        <v>0</v>
      </c>
      <c r="AS265" s="5370">
        <f>Türkiye!AD264</f>
        <v>0</v>
      </c>
      <c r="AT265" s="5371">
        <f>Türkiye!AE264</f>
        <v>0</v>
      </c>
      <c r="AU265" s="348"/>
      <c r="AV265" s="746"/>
      <c r="AW265" s="751" t="s">
        <v>737</v>
      </c>
      <c r="AX265" s="547" t="s">
        <v>800</v>
      </c>
      <c r="AY265" s="597"/>
      <c r="AZ265" s="751"/>
      <c r="BA265" s="620" t="s">
        <v>919</v>
      </c>
      <c r="BB265" s="620" t="s">
        <v>884</v>
      </c>
      <c r="BC265" s="159"/>
      <c r="BD265" s="18"/>
    </row>
    <row r="266" spans="2:56" ht="27" thickBot="1">
      <c r="B266" s="123" t="s">
        <v>952</v>
      </c>
      <c r="C266" s="124"/>
      <c r="D266" s="124"/>
      <c r="E266" s="124"/>
      <c r="F266" s="78"/>
      <c r="G266" s="125" t="s">
        <v>953</v>
      </c>
      <c r="H266" s="126"/>
      <c r="I266" s="521"/>
      <c r="J266" s="521"/>
      <c r="K266" s="78"/>
      <c r="L266" s="77"/>
      <c r="M266" s="77"/>
      <c r="N266" s="77"/>
      <c r="O266" s="77"/>
      <c r="P266" s="77"/>
      <c r="Q266" s="77"/>
      <c r="R266" s="1484"/>
      <c r="S266" s="1410"/>
      <c r="T266" s="1484"/>
      <c r="U266" s="1410"/>
      <c r="V266" s="1484"/>
      <c r="W266" s="77"/>
      <c r="X266" s="2578"/>
      <c r="Y266" s="2579"/>
      <c r="Z266" s="2579"/>
      <c r="AA266" s="2580"/>
      <c r="AB266" s="2581"/>
      <c r="AC266" s="2581"/>
      <c r="AD266" s="2581"/>
      <c r="AE266" s="2582"/>
      <c r="AF266" s="2580"/>
      <c r="AG266" s="2581"/>
      <c r="AH266" s="2581"/>
      <c r="AI266" s="2581"/>
      <c r="AJ266" s="2582"/>
      <c r="AK266" s="2580"/>
      <c r="AL266" s="2581"/>
      <c r="AM266" s="2581"/>
      <c r="AN266" s="2581"/>
      <c r="AO266" s="2582"/>
      <c r="AP266" s="2580"/>
      <c r="AQ266" s="2581"/>
      <c r="AR266" s="2581"/>
      <c r="AS266" s="2581"/>
      <c r="AT266" s="2582"/>
      <c r="AU266" s="80"/>
      <c r="AV266" s="80"/>
      <c r="AW266" s="129"/>
      <c r="AX266" s="80"/>
      <c r="AY266" s="80"/>
      <c r="AZ266" s="129"/>
      <c r="BA266" s="752"/>
      <c r="BB266" s="328"/>
      <c r="BC266" s="329"/>
      <c r="BD266" s="18"/>
    </row>
    <row r="267" spans="2:56" ht="20.100000000000001" customHeight="1">
      <c r="B267" s="1359" t="b">
        <f t="shared" ref="B267:B269" si="73">OR(ISBLANK(R267),ISBLANK(T267),ISBLANK(V267))</f>
        <v>0</v>
      </c>
      <c r="C267" s="757" t="s">
        <v>954</v>
      </c>
      <c r="D267" s="753"/>
      <c r="E267" s="754"/>
      <c r="F267" s="755" t="s">
        <v>557</v>
      </c>
      <c r="G267" s="756"/>
      <c r="H267" s="757" t="s">
        <v>955</v>
      </c>
      <c r="I267" s="753"/>
      <c r="J267" s="754"/>
      <c r="K267" s="758" t="s">
        <v>559</v>
      </c>
      <c r="L267" s="333">
        <v>4</v>
      </c>
      <c r="M267" s="759"/>
      <c r="N267" s="333">
        <v>7</v>
      </c>
      <c r="O267" s="760"/>
      <c r="P267" s="761"/>
      <c r="Q267" s="762"/>
      <c r="R267" s="1463">
        <v>4</v>
      </c>
      <c r="S267" s="1527" t="s">
        <v>960</v>
      </c>
      <c r="T267" s="5513">
        <v>7</v>
      </c>
      <c r="U267" s="5530" t="s">
        <v>960</v>
      </c>
      <c r="V267" s="5531">
        <v>5</v>
      </c>
      <c r="W267" s="2084"/>
      <c r="X267" s="2726">
        <f>'4DPLEX'!R247</f>
        <v>0</v>
      </c>
      <c r="Y267" s="2727">
        <f>'4DPLEX'!T247</f>
        <v>0</v>
      </c>
      <c r="Z267" s="2559">
        <f>'4DPLEX'!V247</f>
        <v>0</v>
      </c>
      <c r="AA267" s="2729">
        <f>China!AO266</f>
        <v>0</v>
      </c>
      <c r="AB267" s="2730">
        <f>China!AP266</f>
        <v>0</v>
      </c>
      <c r="AC267" s="2731">
        <f>China!AQ266</f>
        <v>0</v>
      </c>
      <c r="AD267" s="2730">
        <f>China!AR266</f>
        <v>0</v>
      </c>
      <c r="AE267" s="2732">
        <f>China!AS266</f>
        <v>0</v>
      </c>
      <c r="AF267" s="2729"/>
      <c r="AG267" s="2730"/>
      <c r="AH267" s="2731"/>
      <c r="AI267" s="2730"/>
      <c r="AJ267" s="2732"/>
      <c r="AK267" s="2729"/>
      <c r="AL267" s="2730"/>
      <c r="AM267" s="2731"/>
      <c r="AN267" s="2632"/>
      <c r="AO267" s="2733"/>
      <c r="AP267" s="2726"/>
      <c r="AQ267" s="2632"/>
      <c r="AR267" s="2727"/>
      <c r="AS267" s="2632"/>
      <c r="AT267" s="2733"/>
      <c r="AU267" s="1021" t="s">
        <v>956</v>
      </c>
      <c r="AV267" s="262" t="s">
        <v>957</v>
      </c>
      <c r="AW267" s="642" t="s">
        <v>737</v>
      </c>
      <c r="AX267" s="534"/>
      <c r="AY267" s="767"/>
      <c r="AZ267" s="642"/>
      <c r="BA267" s="768" t="s">
        <v>958</v>
      </c>
      <c r="BB267" s="769"/>
      <c r="BC267" s="770"/>
      <c r="BD267" s="18"/>
    </row>
    <row r="268" spans="2:56" ht="20.100000000000001" customHeight="1">
      <c r="B268" s="1360" t="b">
        <f t="shared" si="73"/>
        <v>1</v>
      </c>
      <c r="C268" s="757" t="s">
        <v>961</v>
      </c>
      <c r="D268" s="753"/>
      <c r="E268" s="754"/>
      <c r="F268" s="285" t="s">
        <v>557</v>
      </c>
      <c r="G268" s="771"/>
      <c r="H268" s="757" t="s">
        <v>962</v>
      </c>
      <c r="I268" s="753"/>
      <c r="J268" s="754"/>
      <c r="K268" s="162" t="s">
        <v>559</v>
      </c>
      <c r="L268" s="298">
        <v>4</v>
      </c>
      <c r="M268" s="605"/>
      <c r="N268" s="298">
        <v>4</v>
      </c>
      <c r="O268" s="772"/>
      <c r="P268" s="228"/>
      <c r="Q268" s="297"/>
      <c r="R268" s="1463">
        <v>4</v>
      </c>
      <c r="S268" s="1523" t="s">
        <v>960</v>
      </c>
      <c r="T268" s="5513">
        <v>4</v>
      </c>
      <c r="U268" s="5532" t="s">
        <v>960</v>
      </c>
      <c r="V268" s="5529"/>
      <c r="W268" s="2060"/>
      <c r="X268" s="2557">
        <f>'4DPLEX'!R248</f>
        <v>0</v>
      </c>
      <c r="Y268" s="2558">
        <f>'4DPLEX'!T248</f>
        <v>0</v>
      </c>
      <c r="Z268" s="2559">
        <f>'4DPLEX'!V248</f>
        <v>0</v>
      </c>
      <c r="AA268" s="2684">
        <f>China!AO267</f>
        <v>0</v>
      </c>
      <c r="AB268" s="2685">
        <f>China!AP267</f>
        <v>0</v>
      </c>
      <c r="AC268" s="2686">
        <f>China!AQ267</f>
        <v>0</v>
      </c>
      <c r="AD268" s="2685">
        <f>China!AR267</f>
        <v>0</v>
      </c>
      <c r="AE268" s="2687">
        <f>China!AS267</f>
        <v>0</v>
      </c>
      <c r="AF268" s="2684"/>
      <c r="AG268" s="2685"/>
      <c r="AH268" s="2686"/>
      <c r="AI268" s="2685"/>
      <c r="AJ268" s="2687"/>
      <c r="AK268" s="2684"/>
      <c r="AL268" s="2685"/>
      <c r="AM268" s="2686"/>
      <c r="AN268" s="2641"/>
      <c r="AO268" s="2556"/>
      <c r="AP268" s="2557"/>
      <c r="AQ268" s="2641"/>
      <c r="AR268" s="2558"/>
      <c r="AS268" s="2641"/>
      <c r="AT268" s="2556"/>
      <c r="AU268" s="498" t="s">
        <v>963</v>
      </c>
      <c r="AV268" s="367" t="s">
        <v>964</v>
      </c>
      <c r="AW268" s="99" t="s">
        <v>737</v>
      </c>
      <c r="AX268" s="547"/>
      <c r="AY268" s="773"/>
      <c r="AZ268" s="99"/>
      <c r="BA268" s="774" t="s">
        <v>965</v>
      </c>
      <c r="BB268" s="775"/>
      <c r="BC268" s="776"/>
      <c r="BD268" s="18"/>
    </row>
    <row r="269" spans="2:56" ht="20.100000000000001" customHeight="1">
      <c r="B269" s="1360" t="b">
        <f t="shared" si="73"/>
        <v>1</v>
      </c>
      <c r="C269" s="757" t="s">
        <v>967</v>
      </c>
      <c r="D269" s="753"/>
      <c r="E269" s="754"/>
      <c r="F269" s="285" t="s">
        <v>168</v>
      </c>
      <c r="G269" s="777"/>
      <c r="H269" s="757" t="s">
        <v>968</v>
      </c>
      <c r="I269" s="753"/>
      <c r="J269" s="754"/>
      <c r="K269" s="778" t="s">
        <v>168</v>
      </c>
      <c r="L269" s="779"/>
      <c r="M269" s="605"/>
      <c r="N269" s="779"/>
      <c r="O269" s="772"/>
      <c r="P269" s="228"/>
      <c r="Q269" s="95"/>
      <c r="R269" s="1488"/>
      <c r="S269" s="1430"/>
      <c r="T269" s="1488"/>
      <c r="U269" s="1431"/>
      <c r="V269" s="1490"/>
      <c r="W269" s="2053"/>
      <c r="X269" s="2557"/>
      <c r="Y269" s="2558"/>
      <c r="Z269" s="2559"/>
      <c r="AA269" s="2684"/>
      <c r="AB269" s="2685"/>
      <c r="AC269" s="2686"/>
      <c r="AD269" s="2685"/>
      <c r="AE269" s="2687"/>
      <c r="AF269" s="2684"/>
      <c r="AG269" s="2685"/>
      <c r="AH269" s="2686"/>
      <c r="AI269" s="2685"/>
      <c r="AJ269" s="2687"/>
      <c r="AK269" s="2684"/>
      <c r="AL269" s="2685"/>
      <c r="AM269" s="2686"/>
      <c r="AN269" s="2641"/>
      <c r="AO269" s="2556"/>
      <c r="AP269" s="2557"/>
      <c r="AQ269" s="2641"/>
      <c r="AR269" s="2558"/>
      <c r="AS269" s="2641"/>
      <c r="AT269" s="2556"/>
      <c r="AU269" s="498" t="s">
        <v>969</v>
      </c>
      <c r="AV269" s="367" t="s">
        <v>970</v>
      </c>
      <c r="AW269" s="99" t="s">
        <v>737</v>
      </c>
      <c r="AX269" s="547"/>
      <c r="AY269" s="773"/>
      <c r="AZ269" s="99"/>
      <c r="BA269" s="780" t="s">
        <v>971</v>
      </c>
      <c r="BB269" s="775"/>
      <c r="BC269" s="776"/>
      <c r="BD269" s="18"/>
    </row>
    <row r="270" spans="2:56" ht="20.100000000000001" customHeight="1">
      <c r="B270" s="1662" t="s">
        <v>1828</v>
      </c>
      <c r="C270" s="781" t="s">
        <v>972</v>
      </c>
      <c r="D270" s="781"/>
      <c r="E270" s="781"/>
      <c r="F270" s="285" t="s">
        <v>156</v>
      </c>
      <c r="G270" s="777"/>
      <c r="H270" s="757" t="s">
        <v>973</v>
      </c>
      <c r="I270" s="753"/>
      <c r="J270" s="754"/>
      <c r="K270" s="782" t="s">
        <v>156</v>
      </c>
      <c r="L270" s="783">
        <f>IFERROR(L271/L272*100,"-")</f>
        <v>99.801685671789784</v>
      </c>
      <c r="M270" s="784"/>
      <c r="N270" s="783">
        <f>IFERROR(N271/N272*100,"-")</f>
        <v>61.531279178338004</v>
      </c>
      <c r="O270" s="784"/>
      <c r="P270" s="783" t="str">
        <f>IFERROR(P271/P272*100,"-")</f>
        <v>-</v>
      </c>
      <c r="Q270" s="95"/>
      <c r="R270" s="1487">
        <f>IFERROR('ESG DataSheet_통합(연결기준)'!L1331/R272*100,"-")</f>
        <v>99.788806758183739</v>
      </c>
      <c r="S270" s="1063"/>
      <c r="T270" s="1487">
        <f>IFERROR(T271/T272*100,"-")</f>
        <v>99.602780536246271</v>
      </c>
      <c r="U270" s="1437"/>
      <c r="V270" s="5474">
        <v>100</v>
      </c>
      <c r="W270" s="2053"/>
      <c r="X270" s="2669">
        <f>IFERROR(X271/X272*100,"-")</f>
        <v>98.425196850393704</v>
      </c>
      <c r="Y270" s="2670">
        <f t="shared" ref="Y270:Z270" si="74">IFERROR(Y271/Y272*100,"-")</f>
        <v>97.604790419161674</v>
      </c>
      <c r="Z270" s="2671">
        <f t="shared" si="74"/>
        <v>99.519230769230774</v>
      </c>
      <c r="AA270" s="2669" t="s">
        <v>1829</v>
      </c>
      <c r="AB270" s="5383" t="s">
        <v>1829</v>
      </c>
      <c r="AC270" s="2670" t="s">
        <v>1829</v>
      </c>
      <c r="AD270" s="5383" t="s">
        <v>1829</v>
      </c>
      <c r="AE270" s="2672" t="s">
        <v>1829</v>
      </c>
      <c r="AF270" s="2669"/>
      <c r="AG270" s="2641"/>
      <c r="AH270" s="2670"/>
      <c r="AI270" s="2641"/>
      <c r="AJ270" s="2672"/>
      <c r="AK270" s="2669"/>
      <c r="AL270" s="2641"/>
      <c r="AM270" s="2670"/>
      <c r="AN270" s="2641"/>
      <c r="AO270" s="2672"/>
      <c r="AP270" s="2669"/>
      <c r="AQ270" s="2641"/>
      <c r="AR270" s="2670"/>
      <c r="AS270" s="2641"/>
      <c r="AT270" s="2672"/>
      <c r="AU270" s="498" t="s">
        <v>974</v>
      </c>
      <c r="AV270" s="367" t="s">
        <v>975</v>
      </c>
      <c r="AW270" s="1714" t="s">
        <v>189</v>
      </c>
      <c r="AX270" s="547"/>
      <c r="AY270" s="773"/>
      <c r="AZ270" s="99"/>
      <c r="BA270" s="786" t="s">
        <v>976</v>
      </c>
      <c r="BB270" s="775"/>
      <c r="BC270" s="776"/>
      <c r="BD270" s="18"/>
    </row>
    <row r="271" spans="2:56" ht="20.100000000000001" customHeight="1">
      <c r="B271" s="1360" t="b">
        <f t="shared" ref="B271:B272" si="75">OR(ISBLANK(R271),ISBLANK(T271),ISBLANK(V271))</f>
        <v>0</v>
      </c>
      <c r="C271" s="1379"/>
      <c r="D271" s="787" t="s">
        <v>978</v>
      </c>
      <c r="E271" s="781"/>
      <c r="F271" s="285" t="s">
        <v>742</v>
      </c>
      <c r="G271" s="771"/>
      <c r="H271" s="788"/>
      <c r="I271" s="788" t="s">
        <v>979</v>
      </c>
      <c r="J271" s="788"/>
      <c r="K271" s="782" t="s">
        <v>734</v>
      </c>
      <c r="L271" s="789">
        <v>2013</v>
      </c>
      <c r="M271" s="789"/>
      <c r="N271" s="789">
        <v>1318</v>
      </c>
      <c r="O271" s="790"/>
      <c r="P271" s="791"/>
      <c r="Q271" s="95"/>
      <c r="R271" s="1463">
        <v>945</v>
      </c>
      <c r="S271" s="1523">
        <v>0</v>
      </c>
      <c r="T271" s="1463">
        <v>1003</v>
      </c>
      <c r="U271" s="1524">
        <v>0</v>
      </c>
      <c r="V271" s="5475">
        <v>1035</v>
      </c>
      <c r="W271" s="2053"/>
      <c r="X271" s="2557">
        <f>'4DPLEX'!R251</f>
        <v>125</v>
      </c>
      <c r="Y271" s="2558">
        <f>'4DPLEX'!T251</f>
        <v>163</v>
      </c>
      <c r="Z271" s="2559">
        <f>'4DPLEX'!V251</f>
        <v>207</v>
      </c>
      <c r="AA271" s="2684">
        <f>China!AO270</f>
        <v>0</v>
      </c>
      <c r="AB271" s="2688">
        <f>China!AP270</f>
        <v>0</v>
      </c>
      <c r="AC271" s="2686">
        <f>China!AQ270</f>
        <v>0</v>
      </c>
      <c r="AD271" s="2688">
        <f>China!AR270</f>
        <v>0</v>
      </c>
      <c r="AE271" s="2687">
        <f>China!AS270</f>
        <v>0</v>
      </c>
      <c r="AF271" s="2684"/>
      <c r="AG271" s="2685"/>
      <c r="AH271" s="2686"/>
      <c r="AI271" s="2685"/>
      <c r="AJ271" s="2687"/>
      <c r="AK271" s="2684"/>
      <c r="AL271" s="2734"/>
      <c r="AM271" s="2686"/>
      <c r="AN271" s="2689"/>
      <c r="AO271" s="2556"/>
      <c r="AP271" s="2557"/>
      <c r="AQ271" s="2641"/>
      <c r="AR271" s="2558"/>
      <c r="AS271" s="2641"/>
      <c r="AT271" s="2556"/>
      <c r="AU271" s="498" t="s">
        <v>980</v>
      </c>
      <c r="AV271" s="367"/>
      <c r="AW271" s="1714" t="s">
        <v>189</v>
      </c>
      <c r="AX271" s="547"/>
      <c r="AY271" s="773"/>
      <c r="AZ271" s="99"/>
      <c r="BA271" s="775" t="s">
        <v>976</v>
      </c>
      <c r="BB271" s="775"/>
      <c r="BC271" s="776"/>
      <c r="BD271" s="18"/>
    </row>
    <row r="272" spans="2:56" ht="20.100000000000001" customHeight="1">
      <c r="B272" s="1360" t="b">
        <f t="shared" si="75"/>
        <v>0</v>
      </c>
      <c r="C272" s="1379"/>
      <c r="D272" s="787" t="s">
        <v>984</v>
      </c>
      <c r="E272" s="781"/>
      <c r="F272" s="285" t="s">
        <v>742</v>
      </c>
      <c r="G272" s="771"/>
      <c r="H272" s="788"/>
      <c r="I272" s="788" t="s">
        <v>985</v>
      </c>
      <c r="J272" s="788"/>
      <c r="K272" s="782" t="s">
        <v>734</v>
      </c>
      <c r="L272" s="789">
        <v>2017</v>
      </c>
      <c r="M272" s="789"/>
      <c r="N272" s="789">
        <v>2142</v>
      </c>
      <c r="O272" s="790"/>
      <c r="P272" s="791"/>
      <c r="Q272" s="95"/>
      <c r="R272" s="1463">
        <v>947</v>
      </c>
      <c r="S272" s="1523" t="s">
        <v>986</v>
      </c>
      <c r="T272" s="1463">
        <v>1007</v>
      </c>
      <c r="U272" s="1524" t="s">
        <v>986</v>
      </c>
      <c r="V272" s="5475">
        <v>1035</v>
      </c>
      <c r="W272" s="2053"/>
      <c r="X272" s="2557">
        <f>'4DPLEX'!R252</f>
        <v>127</v>
      </c>
      <c r="Y272" s="2558">
        <f>'4DPLEX'!T252</f>
        <v>167</v>
      </c>
      <c r="Z272" s="2559">
        <f>'4DPLEX'!V252</f>
        <v>208</v>
      </c>
      <c r="AA272" s="2684">
        <f>China!AO271</f>
        <v>0</v>
      </c>
      <c r="AB272" s="2685">
        <f>China!AP271</f>
        <v>0</v>
      </c>
      <c r="AC272" s="2686">
        <f>China!AQ271</f>
        <v>0</v>
      </c>
      <c r="AD272" s="2685">
        <f>China!AR271</f>
        <v>0</v>
      </c>
      <c r="AE272" s="2687">
        <f>China!AS271</f>
        <v>0</v>
      </c>
      <c r="AF272" s="2684"/>
      <c r="AG272" s="2685"/>
      <c r="AH272" s="2686"/>
      <c r="AI272" s="2685"/>
      <c r="AJ272" s="2687"/>
      <c r="AK272" s="2684"/>
      <c r="AL272" s="2685"/>
      <c r="AM272" s="2686"/>
      <c r="AN272" s="2641"/>
      <c r="AO272" s="2556"/>
      <c r="AP272" s="2557"/>
      <c r="AQ272" s="2641"/>
      <c r="AR272" s="2558"/>
      <c r="AS272" s="2641"/>
      <c r="AT272" s="2556"/>
      <c r="AU272" s="498"/>
      <c r="AV272" s="367"/>
      <c r="AW272" s="1714" t="s">
        <v>189</v>
      </c>
      <c r="AX272" s="547"/>
      <c r="AY272" s="773"/>
      <c r="AZ272" s="99"/>
      <c r="BA272" s="775" t="s">
        <v>976</v>
      </c>
      <c r="BB272" s="775"/>
      <c r="BC272" s="776"/>
      <c r="BD272" s="18"/>
    </row>
    <row r="273" spans="2:56" ht="20.100000000000001" customHeight="1">
      <c r="B273" s="1662" t="str">
        <f>C273</f>
        <v>장애인 인식 개선 교육 참여 비율</v>
      </c>
      <c r="C273" s="781" t="s">
        <v>988</v>
      </c>
      <c r="D273" s="781"/>
      <c r="E273" s="781"/>
      <c r="F273" s="285" t="s">
        <v>156</v>
      </c>
      <c r="G273" s="386"/>
      <c r="H273" s="140" t="s">
        <v>989</v>
      </c>
      <c r="I273" s="140"/>
      <c r="J273" s="177"/>
      <c r="K273" s="782" t="s">
        <v>156</v>
      </c>
      <c r="L273" s="785">
        <f>IFERROR(L274/L275*100,"-")</f>
        <v>52.656546489563574</v>
      </c>
      <c r="M273" s="772"/>
      <c r="N273" s="785">
        <f>IFERROR(N274/N275*100,"-")</f>
        <v>53.500473036896878</v>
      </c>
      <c r="O273" s="772"/>
      <c r="P273" s="785" t="str">
        <f>IFERROR(P274/P275*100,"-")</f>
        <v>-</v>
      </c>
      <c r="Q273" s="95"/>
      <c r="R273" s="1487">
        <f>IFERROR(R274/R275*100,"-")</f>
        <v>95.938104448742749</v>
      </c>
      <c r="S273" s="1431"/>
      <c r="T273" s="1487">
        <f>IFERROR(T274/T275*100,"-")</f>
        <v>99.214145383104125</v>
      </c>
      <c r="U273" s="1431"/>
      <c r="V273" s="5474">
        <v>100</v>
      </c>
      <c r="W273" s="2053"/>
      <c r="X273" s="2669">
        <f>IFERROR(X274/X275*100,"-")</f>
        <v>90.07633587786259</v>
      </c>
      <c r="Y273" s="2670">
        <f t="shared" ref="Y273:Z273" si="76">IFERROR(Y274/Y275*100,"-")</f>
        <v>94.53125</v>
      </c>
      <c r="Z273" s="2671">
        <f t="shared" si="76"/>
        <v>99.029126213592235</v>
      </c>
      <c r="AA273" s="2669" t="s">
        <v>1829</v>
      </c>
      <c r="AB273" s="5383" t="s">
        <v>1829</v>
      </c>
      <c r="AC273" s="2670" t="s">
        <v>1829</v>
      </c>
      <c r="AD273" s="5383" t="s">
        <v>1829</v>
      </c>
      <c r="AE273" s="2672" t="s">
        <v>1829</v>
      </c>
      <c r="AF273" s="2669"/>
      <c r="AG273" s="2641"/>
      <c r="AH273" s="2670"/>
      <c r="AI273" s="2641"/>
      <c r="AJ273" s="2672"/>
      <c r="AK273" s="2669"/>
      <c r="AL273" s="2641"/>
      <c r="AM273" s="2670"/>
      <c r="AN273" s="2641"/>
      <c r="AO273" s="2672"/>
      <c r="AP273" s="2669"/>
      <c r="AQ273" s="2641"/>
      <c r="AR273" s="2670"/>
      <c r="AS273" s="2641"/>
      <c r="AT273" s="2672"/>
      <c r="AU273" s="498" t="s">
        <v>990</v>
      </c>
      <c r="AV273" s="367" t="s">
        <v>991</v>
      </c>
      <c r="AW273" s="1714" t="s">
        <v>189</v>
      </c>
      <c r="AX273" s="547"/>
      <c r="AY273" s="773"/>
      <c r="AZ273" s="99"/>
      <c r="BA273" s="775" t="s">
        <v>992</v>
      </c>
      <c r="BB273" s="775"/>
      <c r="BC273" s="776"/>
      <c r="BD273" s="18"/>
    </row>
    <row r="274" spans="2:56" ht="20.100000000000001" customHeight="1">
      <c r="B274" s="1360" t="b">
        <f t="shared" ref="B274:B278" si="77">OR(ISBLANK(R274),ISBLANK(T274),ISBLANK(V274))</f>
        <v>0</v>
      </c>
      <c r="C274" s="1380"/>
      <c r="D274" s="787" t="s">
        <v>994</v>
      </c>
      <c r="E274" s="781"/>
      <c r="F274" s="285" t="s">
        <v>742</v>
      </c>
      <c r="G274" s="201"/>
      <c r="H274" s="576"/>
      <c r="I274" s="576" t="s">
        <v>995</v>
      </c>
      <c r="J274" s="576"/>
      <c r="K274" s="782" t="s">
        <v>734</v>
      </c>
      <c r="L274" s="789">
        <v>1110</v>
      </c>
      <c r="M274" s="789"/>
      <c r="N274" s="789">
        <v>1131</v>
      </c>
      <c r="O274" s="790"/>
      <c r="P274" s="791"/>
      <c r="Q274" s="95"/>
      <c r="R274" s="1463">
        <v>992</v>
      </c>
      <c r="S274" s="1523" t="s">
        <v>996</v>
      </c>
      <c r="T274" s="1463">
        <v>1010</v>
      </c>
      <c r="U274" s="1524">
        <v>0</v>
      </c>
      <c r="V274" s="5475">
        <v>1023</v>
      </c>
      <c r="W274" s="2053"/>
      <c r="X274" s="2557">
        <f>'4DPLEX'!R254</f>
        <v>118</v>
      </c>
      <c r="Y274" s="2558">
        <f>'4DPLEX'!T254</f>
        <v>121</v>
      </c>
      <c r="Z274" s="2559">
        <f>'4DPLEX'!V254</f>
        <v>204</v>
      </c>
      <c r="AA274" s="2684">
        <f>China!AO273</f>
        <v>0</v>
      </c>
      <c r="AB274" s="2685">
        <f>China!AP273</f>
        <v>0</v>
      </c>
      <c r="AC274" s="2686">
        <f>China!AQ273</f>
        <v>0</v>
      </c>
      <c r="AD274" s="2685">
        <f>China!AR273</f>
        <v>0</v>
      </c>
      <c r="AE274" s="2687">
        <f>China!AS273</f>
        <v>0</v>
      </c>
      <c r="AF274" s="2684"/>
      <c r="AG274" s="2685"/>
      <c r="AH274" s="2686"/>
      <c r="AI274" s="2685"/>
      <c r="AJ274" s="2687"/>
      <c r="AK274" s="2684"/>
      <c r="AL274" s="2688"/>
      <c r="AM274" s="2686"/>
      <c r="AN274" s="2689"/>
      <c r="AO274" s="2556"/>
      <c r="AP274" s="2557"/>
      <c r="AQ274" s="2641"/>
      <c r="AR274" s="2558"/>
      <c r="AS274" s="2641"/>
      <c r="AT274" s="2556"/>
      <c r="AU274" s="498"/>
      <c r="AV274" s="367"/>
      <c r="AW274" s="1714" t="s">
        <v>189</v>
      </c>
      <c r="AX274" s="547"/>
      <c r="AY274" s="773"/>
      <c r="AZ274" s="99"/>
      <c r="BA274" s="775" t="s">
        <v>992</v>
      </c>
      <c r="BB274" s="775"/>
      <c r="BC274" s="776"/>
      <c r="BD274" s="18"/>
    </row>
    <row r="275" spans="2:56" ht="20.100000000000001" customHeight="1">
      <c r="B275" s="1360" t="b">
        <f t="shared" si="77"/>
        <v>0</v>
      </c>
      <c r="C275" s="781"/>
      <c r="D275" s="781" t="s">
        <v>999</v>
      </c>
      <c r="E275" s="793"/>
      <c r="F275" s="285" t="s">
        <v>742</v>
      </c>
      <c r="G275" s="201"/>
      <c r="H275" s="576"/>
      <c r="I275" s="576" t="s">
        <v>1830</v>
      </c>
      <c r="J275" s="576"/>
      <c r="K275" s="782" t="s">
        <v>734</v>
      </c>
      <c r="L275" s="789">
        <v>2108</v>
      </c>
      <c r="M275" s="789"/>
      <c r="N275" s="789">
        <v>2114</v>
      </c>
      <c r="O275" s="790"/>
      <c r="P275" s="791"/>
      <c r="Q275" s="794"/>
      <c r="R275" s="1463">
        <v>1034</v>
      </c>
      <c r="S275" s="1523" t="s">
        <v>986</v>
      </c>
      <c r="T275" s="1463">
        <v>1018</v>
      </c>
      <c r="U275" s="1524" t="s">
        <v>986</v>
      </c>
      <c r="V275" s="5475">
        <v>1023</v>
      </c>
      <c r="W275" s="2053"/>
      <c r="X275" s="2557">
        <f>'4DPLEX'!R255</f>
        <v>131</v>
      </c>
      <c r="Y275" s="2558">
        <f>'4DPLEX'!T255</f>
        <v>128</v>
      </c>
      <c r="Z275" s="2559">
        <f>'4DPLEX'!V255</f>
        <v>206</v>
      </c>
      <c r="AA275" s="2684">
        <f>China!AO274</f>
        <v>0</v>
      </c>
      <c r="AB275" s="2685">
        <f>China!AP274</f>
        <v>0</v>
      </c>
      <c r="AC275" s="2686">
        <f>China!AQ274</f>
        <v>0</v>
      </c>
      <c r="AD275" s="2685">
        <f>China!AR274</f>
        <v>0</v>
      </c>
      <c r="AE275" s="2687">
        <f>China!AS274</f>
        <v>0</v>
      </c>
      <c r="AF275" s="2684"/>
      <c r="AG275" s="2685"/>
      <c r="AH275" s="2686"/>
      <c r="AI275" s="2685"/>
      <c r="AJ275" s="2687"/>
      <c r="AK275" s="2684"/>
      <c r="AL275" s="2688"/>
      <c r="AM275" s="2686"/>
      <c r="AN275" s="2689"/>
      <c r="AO275" s="2556"/>
      <c r="AP275" s="2557"/>
      <c r="AQ275" s="2641"/>
      <c r="AR275" s="2558"/>
      <c r="AS275" s="2641"/>
      <c r="AT275" s="2556"/>
      <c r="AU275" s="498"/>
      <c r="AW275" s="1714" t="s">
        <v>189</v>
      </c>
      <c r="AX275" s="546"/>
      <c r="AY275" s="773"/>
      <c r="AZ275" s="796"/>
      <c r="BA275" s="775" t="s">
        <v>992</v>
      </c>
      <c r="BB275" s="775"/>
      <c r="BC275" s="776"/>
      <c r="BD275" s="18"/>
    </row>
    <row r="276" spans="2:56" ht="20.100000000000001" customHeight="1">
      <c r="B276" s="1360" t="b">
        <f>OR(ISBLANK(R276),ISBLANK(T276),ISBLANK(V277))</f>
        <v>1</v>
      </c>
      <c r="C276" s="143" t="s">
        <v>1000</v>
      </c>
      <c r="D276" s="107"/>
      <c r="E276" s="107"/>
      <c r="F276" s="285" t="s">
        <v>156</v>
      </c>
      <c r="G276" s="201"/>
      <c r="H276" s="576" t="s">
        <v>1001</v>
      </c>
      <c r="I276" s="576"/>
      <c r="J276" s="797"/>
      <c r="K276" s="91" t="s">
        <v>156</v>
      </c>
      <c r="L276" s="798">
        <v>73.698193411264612</v>
      </c>
      <c r="M276" s="798"/>
      <c r="N276" s="798">
        <v>74.488188976377955</v>
      </c>
      <c r="O276" s="725"/>
      <c r="P276" s="799"/>
      <c r="Q276" s="800"/>
      <c r="R276" s="1488">
        <v>100</v>
      </c>
      <c r="S276" s="1438"/>
      <c r="T276" s="1488">
        <v>100</v>
      </c>
      <c r="U276" s="1438"/>
      <c r="V276" s="5533"/>
      <c r="W276" s="2085"/>
      <c r="X276" s="2591"/>
      <c r="Y276" s="2593"/>
      <c r="Z276" s="2728"/>
      <c r="AA276" s="2738"/>
      <c r="AB276" s="2736"/>
      <c r="AC276" s="2739"/>
      <c r="AD276" s="2736"/>
      <c r="AE276" s="2737"/>
      <c r="AF276" s="5403">
        <f>Vietnam!Q275</f>
        <v>0.12234042553191489</v>
      </c>
      <c r="AG276" s="2736" t="str">
        <f>Vietnam!R275</f>
        <v>Trade Union member/ Full time employees</v>
      </c>
      <c r="AH276" s="5405">
        <f>Vietnam!S275</f>
        <v>0.15771230502599654</v>
      </c>
      <c r="AI276" s="5405" t="str">
        <f>Vietnam!T275</f>
        <v>Trade Union member/ Full time employees</v>
      </c>
      <c r="AJ276" s="5406">
        <f>Vietnam!U275</f>
        <v>0.16783216783216784</v>
      </c>
      <c r="AK276" s="2735"/>
      <c r="AL276" s="2736"/>
      <c r="AM276" s="2736"/>
      <c r="AN276" s="2740"/>
      <c r="AO276" s="2587"/>
      <c r="AP276" s="2591"/>
      <c r="AQ276" s="2741"/>
      <c r="AR276" s="2593"/>
      <c r="AS276" s="2741"/>
      <c r="AT276" s="2587"/>
      <c r="AU276" s="2483" t="s">
        <v>1002</v>
      </c>
      <c r="AV276" s="544" t="s">
        <v>1001</v>
      </c>
      <c r="AW276" s="1714" t="s">
        <v>189</v>
      </c>
      <c r="AX276" s="547"/>
      <c r="AY276" s="547"/>
      <c r="AZ276" s="808"/>
      <c r="BA276" s="775" t="s">
        <v>1003</v>
      </c>
      <c r="BB276" s="620" t="s">
        <v>1004</v>
      </c>
      <c r="BC276" s="159"/>
      <c r="BD276" s="18"/>
    </row>
    <row r="277" spans="2:56" ht="20.100000000000001" customHeight="1">
      <c r="B277" s="1360" t="b">
        <f>OR(ISBLANK(R277),ISBLANK(T277),ISBLANK(#REF!))</f>
        <v>0</v>
      </c>
      <c r="C277" s="104" t="s">
        <v>1006</v>
      </c>
      <c r="D277" s="104"/>
      <c r="E277" s="104"/>
      <c r="F277" s="809" t="s">
        <v>742</v>
      </c>
      <c r="G277" s="345"/>
      <c r="H277" s="143" t="s">
        <v>1007</v>
      </c>
      <c r="I277" s="107"/>
      <c r="K277" s="810" t="s">
        <v>734</v>
      </c>
      <c r="L277" s="641">
        <v>1387</v>
      </c>
      <c r="M277" s="641"/>
      <c r="N277" s="641">
        <v>1419</v>
      </c>
      <c r="O277" s="639"/>
      <c r="P277" s="644"/>
      <c r="Q277" s="645"/>
      <c r="R277" s="1463">
        <v>1135</v>
      </c>
      <c r="S277" s="1429"/>
      <c r="T277" s="1463">
        <v>1097</v>
      </c>
      <c r="U277" s="1429"/>
      <c r="V277" s="5533"/>
      <c r="W277" s="2078"/>
      <c r="X277" s="2557"/>
      <c r="Y277" s="2558"/>
      <c r="Z277" s="2559"/>
      <c r="AA277" s="2684"/>
      <c r="AB277" s="2685"/>
      <c r="AC277" s="2686"/>
      <c r="AD277" s="2685"/>
      <c r="AE277" s="2687"/>
      <c r="AF277" s="2684">
        <f>Vietnam!Q276</f>
        <v>69</v>
      </c>
      <c r="AG277" s="2685" t="str">
        <f>Vietnam!R276</f>
        <v>Full time - Local</v>
      </c>
      <c r="AH277" s="2686">
        <f>Vietnam!S276</f>
        <v>91</v>
      </c>
      <c r="AI277" s="2685" t="str">
        <f>Vietnam!T276</f>
        <v>Full time - Local</v>
      </c>
      <c r="AJ277" s="2687">
        <f>Vietnam!U276</f>
        <v>96</v>
      </c>
      <c r="AK277" s="2684"/>
      <c r="AL277" s="2685"/>
      <c r="AM277" s="2686"/>
      <c r="AN277" s="2561"/>
      <c r="AO277" s="2556"/>
      <c r="AP277" s="2557"/>
      <c r="AQ277" s="2561"/>
      <c r="AR277" s="2558"/>
      <c r="AS277" s="2561"/>
      <c r="AT277" s="2556"/>
      <c r="AU277" s="2472"/>
      <c r="AV277" s="457"/>
      <c r="AW277" s="1714" t="s">
        <v>189</v>
      </c>
      <c r="AX277" s="547"/>
      <c r="AY277" s="547"/>
      <c r="AZ277" s="99"/>
      <c r="BA277" s="775" t="s">
        <v>1003</v>
      </c>
      <c r="BB277" s="277" t="s">
        <v>1004</v>
      </c>
      <c r="BC277" s="187"/>
      <c r="BD277" s="18"/>
    </row>
    <row r="278" spans="2:56" ht="20.100000000000001" customHeight="1" thickBot="1">
      <c r="B278" s="1361" t="b">
        <f t="shared" si="77"/>
        <v>1</v>
      </c>
      <c r="C278" s="145" t="s">
        <v>1010</v>
      </c>
      <c r="D278" s="120"/>
      <c r="E278" s="120"/>
      <c r="F278" s="811" t="s">
        <v>1011</v>
      </c>
      <c r="G278" s="812"/>
      <c r="H278" s="813" t="s">
        <v>1012</v>
      </c>
      <c r="I278" s="814"/>
      <c r="J278" s="537"/>
      <c r="K278" s="815" t="s">
        <v>1013</v>
      </c>
      <c r="L278" s="816"/>
      <c r="M278" s="817"/>
      <c r="N278" s="816"/>
      <c r="O278" s="818"/>
      <c r="P278" s="819"/>
      <c r="Q278" s="820"/>
      <c r="R278" s="1470"/>
      <c r="S278" s="1528"/>
      <c r="T278" s="1470"/>
      <c r="U278" s="1528"/>
      <c r="V278" s="5534"/>
      <c r="W278" s="2086"/>
      <c r="X278" s="2742"/>
      <c r="Y278" s="2677"/>
      <c r="Z278" s="2559"/>
      <c r="AA278" s="2742"/>
      <c r="AB278" s="2744"/>
      <c r="AC278" s="2745"/>
      <c r="AD278" s="2744"/>
      <c r="AE278" s="2680"/>
      <c r="AF278" s="2742"/>
      <c r="AG278" s="2744"/>
      <c r="AH278" s="2745"/>
      <c r="AI278" s="2744"/>
      <c r="AJ278" s="2680"/>
      <c r="AK278" s="2742"/>
      <c r="AL278" s="2744"/>
      <c r="AM278" s="2745"/>
      <c r="AN278" s="2744"/>
      <c r="AO278" s="2680"/>
      <c r="AP278" s="2676"/>
      <c r="AQ278" s="2679"/>
      <c r="AR278" s="2677"/>
      <c r="AS278" s="2679"/>
      <c r="AT278" s="2680"/>
      <c r="AU278" s="2477"/>
      <c r="AV278" s="595"/>
      <c r="AW278" s="1714" t="s">
        <v>189</v>
      </c>
      <c r="AX278" s="547"/>
      <c r="AY278" s="547"/>
      <c r="AZ278" s="219"/>
      <c r="BA278" s="277"/>
      <c r="BB278" s="265" t="s">
        <v>1014</v>
      </c>
      <c r="BC278" s="187"/>
      <c r="BD278" s="18"/>
    </row>
    <row r="279" spans="2:56" ht="27" thickBot="1">
      <c r="B279" s="123" t="s">
        <v>1015</v>
      </c>
      <c r="C279" s="124"/>
      <c r="D279" s="124"/>
      <c r="E279" s="124"/>
      <c r="F279" s="78"/>
      <c r="G279" s="125" t="s">
        <v>1016</v>
      </c>
      <c r="H279" s="126"/>
      <c r="I279" s="126"/>
      <c r="J279" s="126"/>
      <c r="K279" s="78"/>
      <c r="L279" s="77"/>
      <c r="M279" s="77"/>
      <c r="N279" s="77"/>
      <c r="O279" s="77"/>
      <c r="P279" s="77"/>
      <c r="Q279" s="77"/>
      <c r="R279" s="1484"/>
      <c r="S279" s="1410"/>
      <c r="T279" s="1484"/>
      <c r="U279" s="1410"/>
      <c r="V279" s="1484"/>
      <c r="W279" s="77"/>
      <c r="X279" s="2578"/>
      <c r="Y279" s="2579"/>
      <c r="Z279" s="2579"/>
      <c r="AA279" s="2580"/>
      <c r="AB279" s="2581"/>
      <c r="AC279" s="2581"/>
      <c r="AD279" s="2581"/>
      <c r="AE279" s="2582"/>
      <c r="AF279" s="2580"/>
      <c r="AG279" s="2581"/>
      <c r="AH279" s="2581"/>
      <c r="AI279" s="2581"/>
      <c r="AJ279" s="2582"/>
      <c r="AK279" s="2580"/>
      <c r="AL279" s="2581"/>
      <c r="AM279" s="2581"/>
      <c r="AN279" s="2581"/>
      <c r="AO279" s="2582"/>
      <c r="AP279" s="2580"/>
      <c r="AQ279" s="2581"/>
      <c r="AR279" s="2581"/>
      <c r="AS279" s="2581"/>
      <c r="AT279" s="2582"/>
      <c r="AU279" s="80"/>
      <c r="AV279" s="80"/>
      <c r="AW279" s="129"/>
      <c r="AX279" s="129"/>
      <c r="AY279" s="129"/>
      <c r="AZ279" s="129"/>
      <c r="BA279" s="328"/>
      <c r="BB279" s="328"/>
      <c r="BC279" s="329"/>
      <c r="BD279" s="18"/>
    </row>
    <row r="280" spans="2:56" ht="20.100000000000001" customHeight="1">
      <c r="B280" s="1662" t="str">
        <f>C280</f>
        <v>인당 교육시간</v>
      </c>
      <c r="C280" s="86" t="s">
        <v>1017</v>
      </c>
      <c r="D280" s="86"/>
      <c r="E280" s="86"/>
      <c r="F280" s="824" t="s">
        <v>1636</v>
      </c>
      <c r="G280" s="522"/>
      <c r="H280" s="134" t="s">
        <v>1019</v>
      </c>
      <c r="I280" s="89"/>
      <c r="J280" s="90"/>
      <c r="K280" s="825" t="s">
        <v>1831</v>
      </c>
      <c r="L280" s="640">
        <f>IFERROR(L281/L282,"-")</f>
        <v>3.141722473604827</v>
      </c>
      <c r="M280" s="722"/>
      <c r="N280" s="640">
        <f>IFERROR(N281/N282,"-")</f>
        <v>8.6399563182527288</v>
      </c>
      <c r="O280" s="723"/>
      <c r="P280" s="531" t="str">
        <f>IFERROR(P281/P282,"-")</f>
        <v>-</v>
      </c>
      <c r="Q280" s="531"/>
      <c r="R280" s="1500">
        <f>IFERROR(R281/R282,"-")</f>
        <v>4.2412422907488994</v>
      </c>
      <c r="S280" s="1666"/>
      <c r="T280" s="1500">
        <f>IFERROR(T281/T282,"-")</f>
        <v>14.481002734731085</v>
      </c>
      <c r="U280" s="1666"/>
      <c r="V280" s="5476">
        <v>24.28</v>
      </c>
      <c r="W280" s="2087"/>
      <c r="X280" s="2715">
        <f>IFERROR(X281/X282,"-")</f>
        <v>6.1530054644808745</v>
      </c>
      <c r="Y280" s="2716">
        <f t="shared" ref="Y280:Z280" si="78">IFERROR(Y281/Y282,"-")</f>
        <v>29.473593073593072</v>
      </c>
      <c r="Z280" s="2666">
        <f t="shared" si="78"/>
        <v>29.100401606425702</v>
      </c>
      <c r="AA280" s="5384">
        <f>AA281/AA282</f>
        <v>2.8823529411764706</v>
      </c>
      <c r="AB280" s="2555" t="e">
        <f t="shared" ref="AB280:AE280" si="79">AB281/AB282</f>
        <v>#VALUE!</v>
      </c>
      <c r="AC280" s="5385">
        <f t="shared" si="79"/>
        <v>1.2893289328932893</v>
      </c>
      <c r="AD280" s="5386" t="e">
        <f t="shared" si="79"/>
        <v>#VALUE!</v>
      </c>
      <c r="AE280" s="5387">
        <f t="shared" si="79"/>
        <v>3.19</v>
      </c>
      <c r="AF280" s="5384">
        <f>AF281/AF282</f>
        <v>0.41024020227560049</v>
      </c>
      <c r="AG280" s="2555" t="e">
        <f t="shared" ref="AG280:AO280" si="80">AG281/AG282</f>
        <v>#DIV/0!</v>
      </c>
      <c r="AH280" s="5385">
        <f t="shared" si="80"/>
        <v>0.21829011913104415</v>
      </c>
      <c r="AI280" s="5386" t="e">
        <f t="shared" si="80"/>
        <v>#DIV/0!</v>
      </c>
      <c r="AJ280" s="5387">
        <f t="shared" si="80"/>
        <v>0.27481455316142706</v>
      </c>
      <c r="AK280" s="5384">
        <f t="shared" si="80"/>
        <v>2.068241469816273</v>
      </c>
      <c r="AL280" s="5386" t="e">
        <f t="shared" si="80"/>
        <v>#VALUE!</v>
      </c>
      <c r="AM280" s="5385">
        <f t="shared" si="80"/>
        <v>8.1475826972010186</v>
      </c>
      <c r="AN280" s="5386" t="e">
        <f t="shared" si="80"/>
        <v>#VALUE!</v>
      </c>
      <c r="AO280" s="5422">
        <f t="shared" si="80"/>
        <v>9.849514563106796</v>
      </c>
      <c r="AP280" s="5340"/>
      <c r="AQ280" s="2630"/>
      <c r="AR280" s="5341"/>
      <c r="AS280" s="2630"/>
      <c r="AT280" s="5339"/>
      <c r="AU280" s="2482" t="s">
        <v>1021</v>
      </c>
      <c r="AV280" s="443" t="s">
        <v>1022</v>
      </c>
      <c r="AW280" s="1714" t="s">
        <v>189</v>
      </c>
      <c r="AX280" s="534"/>
      <c r="AY280" s="534"/>
      <c r="AZ280" s="642"/>
      <c r="BA280" s="620" t="s">
        <v>1023</v>
      </c>
      <c r="BB280" s="620" t="s">
        <v>1024</v>
      </c>
      <c r="BC280" s="159"/>
      <c r="BD280" s="18"/>
    </row>
    <row r="281" spans="2:56" ht="20.100000000000001" customHeight="1">
      <c r="B281" s="1360" t="b">
        <f t="shared" ref="B281:B282" si="81">OR(ISBLANK(R281),ISBLANK(T281),ISBLANK(V281))</f>
        <v>0</v>
      </c>
      <c r="C281" s="1362"/>
      <c r="D281" s="9598" t="s">
        <v>1025</v>
      </c>
      <c r="E281" s="9599"/>
      <c r="F281" s="809" t="s">
        <v>1018</v>
      </c>
      <c r="G281" s="345"/>
      <c r="H281" s="144"/>
      <c r="I281" s="349" t="s">
        <v>1026</v>
      </c>
      <c r="J281" s="144"/>
      <c r="K281" s="810" t="s">
        <v>1831</v>
      </c>
      <c r="L281" s="641">
        <v>10414.810000000001</v>
      </c>
      <c r="M281" s="641"/>
      <c r="N281" s="641">
        <v>27691.059999999998</v>
      </c>
      <c r="O281" s="639"/>
      <c r="P281" s="644"/>
      <c r="Q281" s="645"/>
      <c r="R281" s="1488">
        <v>4813.8100000000004</v>
      </c>
      <c r="S281" s="1434" t="s">
        <v>1027</v>
      </c>
      <c r="T281" s="1488">
        <v>15885.66</v>
      </c>
      <c r="U281" s="1434" t="s">
        <v>1027</v>
      </c>
      <c r="V281" s="5477">
        <v>26272.84</v>
      </c>
      <c r="W281" s="2078"/>
      <c r="X281" s="2557">
        <f>'4DPLEX'!R261</f>
        <v>1126</v>
      </c>
      <c r="Y281" s="2558">
        <f>'4DPLEX'!T261</f>
        <v>6808.4</v>
      </c>
      <c r="Z281" s="2559">
        <f>'4DPLEX'!V261</f>
        <v>7246</v>
      </c>
      <c r="AA281" s="2684">
        <f>China!AO280</f>
        <v>3038</v>
      </c>
      <c r="AB281" s="2685" t="str">
        <f>China!AP280</f>
        <v>기간은 21.8월-22년 8월 입니다. 
미니MBA 교육과정 49.5h/인
3038/208</v>
      </c>
      <c r="AC281" s="2686">
        <f>China!AQ280</f>
        <v>1172</v>
      </c>
      <c r="AD281" s="2685" t="str">
        <f>China!AR280</f>
        <v>15h/인 온라인수업
21년 미니MBA 시간 불포함
1172/120</v>
      </c>
      <c r="AE281" s="2687">
        <f>China!AS280</f>
        <v>2392.5</v>
      </c>
      <c r="AF281" s="2684">
        <f>Vietnam!Q280</f>
        <v>649</v>
      </c>
      <c r="AG281" s="2688">
        <f>Vietnam!R280</f>
        <v>0</v>
      </c>
      <c r="AH281" s="2686">
        <f>Vietnam!S280</f>
        <v>623</v>
      </c>
      <c r="AI281" s="2688">
        <f>Vietnam!T280</f>
        <v>0</v>
      </c>
      <c r="AJ281" s="2687">
        <f>Vietnam!U280</f>
        <v>778</v>
      </c>
      <c r="AK281" s="2684">
        <f>Indonesia!V280</f>
        <v>788</v>
      </c>
      <c r="AL281" s="2688" t="str">
        <f>Indonesia!W280</f>
        <v>Number of participants multiply by number of training hours</v>
      </c>
      <c r="AM281" s="2686">
        <f>Indonesia!X280</f>
        <v>3202</v>
      </c>
      <c r="AN281" s="2708" t="str">
        <f>Indonesia!Y280</f>
        <v>Number of participants multiply by number of training hours</v>
      </c>
      <c r="AO281" s="2556">
        <f>Indonesia!Z280</f>
        <v>4058</v>
      </c>
      <c r="AP281" s="2557"/>
      <c r="AQ281" s="2561"/>
      <c r="AR281" s="2558"/>
      <c r="AS281" s="2561"/>
      <c r="AT281" s="2556"/>
      <c r="AU281" s="2472"/>
      <c r="AV281" s="457"/>
      <c r="AW281" s="1714" t="s">
        <v>189</v>
      </c>
      <c r="AX281" s="547"/>
      <c r="AY281" s="547"/>
      <c r="AZ281" s="99"/>
      <c r="BA281" s="620" t="s">
        <v>1023</v>
      </c>
      <c r="BB281" s="620" t="s">
        <v>1024</v>
      </c>
      <c r="BC281" s="159"/>
      <c r="BD281" s="18"/>
    </row>
    <row r="282" spans="2:56" ht="20.100000000000001" customHeight="1">
      <c r="B282" s="1360" t="b">
        <f t="shared" si="81"/>
        <v>0</v>
      </c>
      <c r="C282" s="1362"/>
      <c r="D282" s="9598" t="s">
        <v>1031</v>
      </c>
      <c r="E282" s="9599"/>
      <c r="F282" s="809" t="s">
        <v>742</v>
      </c>
      <c r="G282" s="345"/>
      <c r="H282" s="144"/>
      <c r="I282" s="349" t="s">
        <v>1032</v>
      </c>
      <c r="J282" s="144"/>
      <c r="K282" s="810" t="s">
        <v>734</v>
      </c>
      <c r="L282" s="641">
        <v>3315</v>
      </c>
      <c r="M282" s="641"/>
      <c r="N282" s="641">
        <v>3205</v>
      </c>
      <c r="O282" s="639"/>
      <c r="P282" s="644"/>
      <c r="Q282" s="645"/>
      <c r="R282" s="1463">
        <v>1135</v>
      </c>
      <c r="S282" s="1429" t="s">
        <v>1033</v>
      </c>
      <c r="T282" s="1463">
        <v>1097</v>
      </c>
      <c r="U282" s="1429" t="s">
        <v>1033</v>
      </c>
      <c r="V282" s="5475">
        <v>1082</v>
      </c>
      <c r="W282" s="2078"/>
      <c r="X282" s="2550">
        <f>X206</f>
        <v>183</v>
      </c>
      <c r="Y282" s="2551">
        <f t="shared" ref="Y282:Z282" si="82">Y206</f>
        <v>231</v>
      </c>
      <c r="Z282" s="2552">
        <f t="shared" si="82"/>
        <v>249</v>
      </c>
      <c r="AA282" s="2550">
        <f>AA206</f>
        <v>1054</v>
      </c>
      <c r="AB282" s="2564">
        <f t="shared" ref="AB282:AO282" si="83">AB206</f>
        <v>0</v>
      </c>
      <c r="AC282" s="2551">
        <f t="shared" si="83"/>
        <v>909</v>
      </c>
      <c r="AD282" s="2564">
        <f t="shared" si="83"/>
        <v>0</v>
      </c>
      <c r="AE282" s="2610">
        <f t="shared" si="83"/>
        <v>750</v>
      </c>
      <c r="AF282" s="2550">
        <f>AF206</f>
        <v>1582</v>
      </c>
      <c r="AG282" s="2564">
        <f t="shared" si="83"/>
        <v>0</v>
      </c>
      <c r="AH282" s="2551">
        <f t="shared" si="83"/>
        <v>2854</v>
      </c>
      <c r="AI282" s="2564">
        <f t="shared" si="83"/>
        <v>0</v>
      </c>
      <c r="AJ282" s="2610">
        <f t="shared" si="83"/>
        <v>2831</v>
      </c>
      <c r="AK282" s="2550">
        <f t="shared" si="83"/>
        <v>381</v>
      </c>
      <c r="AL282" s="2564">
        <f t="shared" si="83"/>
        <v>0</v>
      </c>
      <c r="AM282" s="2551">
        <f t="shared" si="83"/>
        <v>393</v>
      </c>
      <c r="AN282" s="2564">
        <f t="shared" si="83"/>
        <v>0</v>
      </c>
      <c r="AO282" s="2610">
        <f t="shared" si="83"/>
        <v>412</v>
      </c>
      <c r="AP282" s="2550"/>
      <c r="AQ282" s="2564"/>
      <c r="AR282" s="2551"/>
      <c r="AS282" s="2564"/>
      <c r="AT282" s="2610"/>
      <c r="AU282" s="2472"/>
      <c r="AV282" s="457"/>
      <c r="AW282" s="1714" t="s">
        <v>189</v>
      </c>
      <c r="AX282" s="547"/>
      <c r="AY282" s="547"/>
      <c r="AZ282" s="99"/>
      <c r="BA282" s="620" t="s">
        <v>1023</v>
      </c>
      <c r="BB282" s="620" t="s">
        <v>1024</v>
      </c>
      <c r="BC282" s="159"/>
      <c r="BD282" s="18"/>
    </row>
    <row r="283" spans="2:56" ht="20.100000000000001" customHeight="1">
      <c r="B283" s="1662" t="str">
        <f>C283</f>
        <v>인당 교육비용</v>
      </c>
      <c r="C283" s="104" t="s">
        <v>1036</v>
      </c>
      <c r="D283" s="104"/>
      <c r="E283" s="104"/>
      <c r="F283" s="105" t="s">
        <v>1042</v>
      </c>
      <c r="G283" s="345"/>
      <c r="H283" s="143" t="s">
        <v>1037</v>
      </c>
      <c r="I283" s="143"/>
      <c r="J283" s="144"/>
      <c r="K283" s="109" t="s">
        <v>1043</v>
      </c>
      <c r="L283" s="738">
        <f>IFERROR(L284/L282,"-")</f>
        <v>8663.1109733936646</v>
      </c>
      <c r="M283" s="652"/>
      <c r="N283" s="738">
        <f>IFERROR(N284/N282,"-")</f>
        <v>70793.36359201248</v>
      </c>
      <c r="O283" s="543"/>
      <c r="P283" s="738" t="str">
        <f>IFERROR(P284/P282,"-")</f>
        <v>-</v>
      </c>
      <c r="Q283" s="738"/>
      <c r="R283" s="1487">
        <f>IFERROR(R284/R282,"-")</f>
        <v>33.206007577092507</v>
      </c>
      <c r="S283" s="1063"/>
      <c r="T283" s="1487">
        <f>IFERROR(T284/T282,"-")</f>
        <v>43.617138377392891</v>
      </c>
      <c r="U283" s="1063"/>
      <c r="V283" s="5492">
        <f>IFERROR(V284/V282,"-")</f>
        <v>0</v>
      </c>
      <c r="W283" s="2088"/>
      <c r="X283" s="2562"/>
      <c r="Y283" s="2564"/>
      <c r="Z283" s="2565"/>
      <c r="AA283" s="2562"/>
      <c r="AB283" s="2561"/>
      <c r="AC283" s="2564"/>
      <c r="AD283" s="2561"/>
      <c r="AE283" s="2566"/>
      <c r="AF283" s="2562"/>
      <c r="AG283" s="2561"/>
      <c r="AH283" s="2564"/>
      <c r="AI283" s="2561"/>
      <c r="AJ283" s="2566"/>
      <c r="AK283" s="2562"/>
      <c r="AL283" s="2561"/>
      <c r="AM283" s="2564"/>
      <c r="AN283" s="2561"/>
      <c r="AO283" s="2566"/>
      <c r="AP283" s="2562"/>
      <c r="AQ283" s="2561"/>
      <c r="AR283" s="2564"/>
      <c r="AS283" s="2561"/>
      <c r="AT283" s="2566"/>
      <c r="AU283" s="2472" t="s">
        <v>1038</v>
      </c>
      <c r="AV283" s="457" t="s">
        <v>1039</v>
      </c>
      <c r="AW283" s="1714" t="s">
        <v>189</v>
      </c>
      <c r="AX283" s="547"/>
      <c r="AY283" s="547"/>
      <c r="AZ283" s="99"/>
      <c r="BA283" s="620" t="s">
        <v>1040</v>
      </c>
      <c r="BB283" s="620"/>
      <c r="BC283" s="159"/>
      <c r="BD283" s="18"/>
    </row>
    <row r="284" spans="2:56" ht="20.100000000000001" customHeight="1">
      <c r="B284" s="1360" t="b">
        <f t="shared" ref="B284" si="84">OR(ISBLANK(R284),ISBLANK(T284),ISBLANK(V284))</f>
        <v>1</v>
      </c>
      <c r="C284" s="1362"/>
      <c r="D284" s="9598" t="s">
        <v>1045</v>
      </c>
      <c r="E284" s="9599"/>
      <c r="F284" s="105" t="s">
        <v>1048</v>
      </c>
      <c r="G284" s="106"/>
      <c r="I284" s="288" t="s">
        <v>1046</v>
      </c>
      <c r="J284" s="289"/>
      <c r="K284" s="109" t="s">
        <v>1043</v>
      </c>
      <c r="L284" s="645">
        <v>28718212.876800001</v>
      </c>
      <c r="M284" s="543"/>
      <c r="N284" s="645">
        <v>226892730.31240001</v>
      </c>
      <c r="O284" s="543"/>
      <c r="P284" s="644"/>
      <c r="Q284" s="645"/>
      <c r="R284" s="1488">
        <v>37688.818599999999</v>
      </c>
      <c r="S284" s="1432">
        <v>33.206007577092507</v>
      </c>
      <c r="T284" s="1488">
        <v>47848.000800000002</v>
      </c>
      <c r="U284" s="1062">
        <v>43.617138377392891</v>
      </c>
      <c r="V284" s="5492"/>
      <c r="W284" s="2078"/>
      <c r="X284" s="2557"/>
      <c r="Y284" s="2558"/>
      <c r="Z284" s="2559"/>
      <c r="AA284" s="2684"/>
      <c r="AB284" s="2685"/>
      <c r="AC284" s="2686"/>
      <c r="AD284" s="2685"/>
      <c r="AE284" s="2687"/>
      <c r="AF284" s="2684"/>
      <c r="AG284" s="2685"/>
      <c r="AH284" s="2686"/>
      <c r="AI284" s="2685"/>
      <c r="AJ284" s="2687"/>
      <c r="AK284" s="2684"/>
      <c r="AL284" s="2685"/>
      <c r="AM284" s="2686"/>
      <c r="AN284" s="2561"/>
      <c r="AO284" s="2556"/>
      <c r="AP284" s="2557"/>
      <c r="AQ284" s="2561"/>
      <c r="AR284" s="2558"/>
      <c r="AS284" s="2561"/>
      <c r="AT284" s="2556"/>
      <c r="AU284" s="2472"/>
      <c r="AW284" s="1714" t="s">
        <v>189</v>
      </c>
      <c r="AX284" s="547"/>
      <c r="AY284" s="547"/>
      <c r="AZ284" s="99"/>
      <c r="BA284" s="620" t="s">
        <v>1040</v>
      </c>
      <c r="BB284" s="620"/>
      <c r="BC284" s="159"/>
      <c r="BD284" s="18"/>
    </row>
    <row r="285" spans="2:56" s="837" customFormat="1" ht="20.100000000000001" customHeight="1">
      <c r="B285" s="1662" t="str">
        <f>C285</f>
        <v>임직원 몰입도</v>
      </c>
      <c r="C285" s="161" t="s">
        <v>1050</v>
      </c>
      <c r="D285" s="161"/>
      <c r="E285" s="161"/>
      <c r="F285" s="285" t="s">
        <v>1051</v>
      </c>
      <c r="G285" s="386"/>
      <c r="H285" s="140" t="s">
        <v>1052</v>
      </c>
      <c r="I285" s="482"/>
      <c r="J285" s="289"/>
      <c r="K285" s="162" t="s">
        <v>1053</v>
      </c>
      <c r="L285" s="738" t="str">
        <f>IFERROR(L286/L287*100,"-")</f>
        <v>-</v>
      </c>
      <c r="M285" s="652"/>
      <c r="N285" s="738">
        <f>IFERROR(N286/N287*100,"-")</f>
        <v>83.155397390272839</v>
      </c>
      <c r="O285" s="652"/>
      <c r="P285" s="738" t="str">
        <f>IFERROR(P286/P287*100,"-")</f>
        <v>-</v>
      </c>
      <c r="Q285" s="738"/>
      <c r="R285" s="1462" t="str">
        <f>IFERROR(R286/R287*100,"-")</f>
        <v>-</v>
      </c>
      <c r="S285" s="1524"/>
      <c r="T285" s="1462">
        <f>IFERROR(T286/T287*100,"-")</f>
        <v>82.710926694329174</v>
      </c>
      <c r="U285" s="1524"/>
      <c r="V285" s="1462">
        <f>IFERROR(V286/V287*100,"-")</f>
        <v>92.743105950653117</v>
      </c>
      <c r="W285" s="2088"/>
      <c r="X285" s="2562" t="s">
        <v>1829</v>
      </c>
      <c r="Y285" s="2564">
        <f>IFERROR(Y286/Y287*100,"-")</f>
        <v>85.833333333333329</v>
      </c>
      <c r="Z285" s="2565">
        <f>IFERROR(Z286/Z287*100,"-")</f>
        <v>87.692307692307693</v>
      </c>
      <c r="AA285" s="2562"/>
      <c r="AB285" s="2641"/>
      <c r="AC285" s="2564"/>
      <c r="AD285" s="2641"/>
      <c r="AE285" s="2566"/>
      <c r="AF285" s="2562"/>
      <c r="AG285" s="2641"/>
      <c r="AH285" s="2564"/>
      <c r="AI285" s="2641"/>
      <c r="AJ285" s="2566"/>
      <c r="AK285" s="2562"/>
      <c r="AL285" s="2641"/>
      <c r="AM285" s="2564"/>
      <c r="AN285" s="2641"/>
      <c r="AO285" s="2746"/>
      <c r="AP285" s="2747"/>
      <c r="AQ285" s="2748"/>
      <c r="AR285" s="2749"/>
      <c r="AS285" s="2748"/>
      <c r="AT285" s="2746"/>
      <c r="AU285" s="618" t="s">
        <v>1054</v>
      </c>
      <c r="AV285" s="830" t="s">
        <v>1055</v>
      </c>
      <c r="AW285" s="99" t="s">
        <v>737</v>
      </c>
      <c r="AX285" s="832"/>
      <c r="AY285" s="832"/>
      <c r="AZ285" s="831"/>
      <c r="BA285" s="833" t="s">
        <v>1056</v>
      </c>
      <c r="BB285" s="834"/>
      <c r="BC285" s="835"/>
      <c r="BD285" s="836"/>
    </row>
    <row r="286" spans="2:56" s="837" customFormat="1" ht="20.100000000000001" customHeight="1">
      <c r="B286" s="1360" t="b">
        <f t="shared" ref="B286:B287" si="85">OR(ISBLANK(R286),ISBLANK(T286),ISBLANK(V286))</f>
        <v>0</v>
      </c>
      <c r="C286" s="614"/>
      <c r="D286" s="9598" t="s">
        <v>1058</v>
      </c>
      <c r="E286" s="9599"/>
      <c r="F286" s="838" t="s">
        <v>742</v>
      </c>
      <c r="G286" s="386"/>
      <c r="H286" s="141"/>
      <c r="I286" s="141" t="s">
        <v>1059</v>
      </c>
      <c r="J286" s="141"/>
      <c r="K286" s="179" t="s">
        <v>734</v>
      </c>
      <c r="L286" s="639">
        <v>0</v>
      </c>
      <c r="M286" s="639"/>
      <c r="N286" s="639">
        <v>701</v>
      </c>
      <c r="O286" s="839" t="s">
        <v>1832</v>
      </c>
      <c r="P286" s="644"/>
      <c r="Q286" s="645"/>
      <c r="R286" s="1463">
        <v>0</v>
      </c>
      <c r="S286" s="1429">
        <v>0</v>
      </c>
      <c r="T286" s="1463">
        <v>598</v>
      </c>
      <c r="U286" s="1529" t="s">
        <v>1061</v>
      </c>
      <c r="V286" s="1464">
        <v>639</v>
      </c>
      <c r="W286" s="2078" t="s">
        <v>1062</v>
      </c>
      <c r="X286" s="2557">
        <f>'4DPLEX'!R266</f>
        <v>0</v>
      </c>
      <c r="Y286" s="2558">
        <f>'4DPLEX'!T266</f>
        <v>103</v>
      </c>
      <c r="Z286" s="2559">
        <f>'4DPLEX'!V266</f>
        <v>114</v>
      </c>
      <c r="AA286" s="2684"/>
      <c r="AB286" s="2688"/>
      <c r="AC286" s="2686"/>
      <c r="AD286" s="2688"/>
      <c r="AE286" s="2687"/>
      <c r="AF286" s="2684"/>
      <c r="AG286" s="2688"/>
      <c r="AH286" s="2686"/>
      <c r="AI286" s="2688"/>
      <c r="AJ286" s="2687"/>
      <c r="AK286" s="2684"/>
      <c r="AL286" s="2688"/>
      <c r="AM286" s="2686"/>
      <c r="AN286" s="2689"/>
      <c r="AO286" s="2750"/>
      <c r="AP286" s="2751"/>
      <c r="AQ286" s="2748"/>
      <c r="AR286" s="2752"/>
      <c r="AS286" s="2748"/>
      <c r="AT286" s="2750"/>
      <c r="AU286" s="2484"/>
      <c r="AV286" s="841"/>
      <c r="AW286" s="99" t="s">
        <v>737</v>
      </c>
      <c r="AX286" s="832"/>
      <c r="AY286" s="832"/>
      <c r="AZ286" s="831"/>
      <c r="BA286" s="833" t="s">
        <v>1056</v>
      </c>
      <c r="BB286" s="842"/>
      <c r="BC286" s="843"/>
      <c r="BD286" s="836"/>
    </row>
    <row r="287" spans="2:56" s="837" customFormat="1" ht="20.100000000000001" customHeight="1" thickBot="1">
      <c r="B287" s="1361" t="b">
        <f t="shared" si="85"/>
        <v>0</v>
      </c>
      <c r="C287" s="1381"/>
      <c r="D287" s="844" t="s">
        <v>1069</v>
      </c>
      <c r="E287" s="323"/>
      <c r="F287" s="845" t="s">
        <v>742</v>
      </c>
      <c r="G287" s="846"/>
      <c r="H287" s="422"/>
      <c r="I287" s="847" t="s">
        <v>1070</v>
      </c>
      <c r="J287" s="848"/>
      <c r="K287" s="849" t="s">
        <v>734</v>
      </c>
      <c r="L287" s="818">
        <v>0</v>
      </c>
      <c r="M287" s="818"/>
      <c r="N287" s="818">
        <v>843</v>
      </c>
      <c r="O287" s="850" t="s">
        <v>1832</v>
      </c>
      <c r="P287" s="819"/>
      <c r="Q287" s="820"/>
      <c r="R287" s="1463">
        <v>0</v>
      </c>
      <c r="S287" s="1528" t="s">
        <v>1060</v>
      </c>
      <c r="T287" s="1463">
        <v>723</v>
      </c>
      <c r="U287" s="1530" t="s">
        <v>1071</v>
      </c>
      <c r="V287" s="1467">
        <v>689</v>
      </c>
      <c r="W287" s="2086" t="s">
        <v>1072</v>
      </c>
      <c r="X287" s="2676">
        <f>'4DPLEX'!R267</f>
        <v>0</v>
      </c>
      <c r="Y287" s="2677">
        <f>'4DPLEX'!T267</f>
        <v>120</v>
      </c>
      <c r="Z287" s="2678">
        <f>'4DPLEX'!V267</f>
        <v>130</v>
      </c>
      <c r="AA287" s="2753"/>
      <c r="AB287" s="2754"/>
      <c r="AC287" s="2755"/>
      <c r="AD287" s="2754"/>
      <c r="AE287" s="2756"/>
      <c r="AF287" s="2753"/>
      <c r="AG287" s="2754"/>
      <c r="AH287" s="2755"/>
      <c r="AI287" s="2754"/>
      <c r="AJ287" s="2756"/>
      <c r="AK287" s="2753"/>
      <c r="AL287" s="2754"/>
      <c r="AM287" s="2755"/>
      <c r="AN287" s="2757"/>
      <c r="AO287" s="2758"/>
      <c r="AP287" s="2759"/>
      <c r="AQ287" s="2760"/>
      <c r="AR287" s="2761"/>
      <c r="AS287" s="2760"/>
      <c r="AT287" s="2758"/>
      <c r="AU287" s="2485"/>
      <c r="AV287" s="857"/>
      <c r="AW287" s="99" t="s">
        <v>737</v>
      </c>
      <c r="AX287" s="859"/>
      <c r="AY287" s="859"/>
      <c r="AZ287" s="858"/>
      <c r="BA287" s="833" t="s">
        <v>1056</v>
      </c>
      <c r="BB287" s="842"/>
      <c r="BC287" s="843"/>
      <c r="BD287" s="836"/>
    </row>
    <row r="288" spans="2:56" ht="27" thickBot="1">
      <c r="B288" s="123" t="s">
        <v>1074</v>
      </c>
      <c r="C288" s="124"/>
      <c r="D288" s="124"/>
      <c r="E288" s="124"/>
      <c r="F288" s="78"/>
      <c r="G288" s="1272" t="s">
        <v>1440</v>
      </c>
      <c r="H288" s="1132"/>
      <c r="I288" s="1132"/>
      <c r="J288" s="1273"/>
      <c r="K288" s="518"/>
      <c r="L288" s="600"/>
      <c r="M288" s="600"/>
      <c r="N288" s="600"/>
      <c r="O288" s="600"/>
      <c r="P288" s="600"/>
      <c r="Q288" s="1004"/>
      <c r="R288" s="1485"/>
      <c r="S288" s="1447"/>
      <c r="T288" s="1485"/>
      <c r="U288" s="1447"/>
      <c r="V288" s="1485"/>
      <c r="W288" s="1004"/>
      <c r="X288" s="2762"/>
      <c r="Y288" s="2763"/>
      <c r="Z288" s="2763"/>
      <c r="AA288" s="2764"/>
      <c r="AB288" s="2765"/>
      <c r="AC288" s="2765"/>
      <c r="AD288" s="2765"/>
      <c r="AE288" s="2766"/>
      <c r="AF288" s="2764"/>
      <c r="AG288" s="2765"/>
      <c r="AH288" s="2765"/>
      <c r="AI288" s="2765"/>
      <c r="AJ288" s="2766"/>
      <c r="AK288" s="2764"/>
      <c r="AL288" s="2765"/>
      <c r="AM288" s="2765"/>
      <c r="AN288" s="2765"/>
      <c r="AO288" s="2766"/>
      <c r="AP288" s="2764"/>
      <c r="AQ288" s="2765"/>
      <c r="AR288" s="2765"/>
      <c r="AS288" s="2765"/>
      <c r="AT288" s="2766"/>
      <c r="AU288" s="80"/>
      <c r="AV288" s="1133"/>
      <c r="AW288" s="1274"/>
      <c r="AX288" s="129"/>
      <c r="AY288" s="129"/>
      <c r="AZ288" s="1274"/>
      <c r="BA288" s="328"/>
      <c r="BB288" s="328"/>
      <c r="BC288" s="1006"/>
      <c r="BD288" s="18"/>
    </row>
    <row r="289" spans="2:56" ht="19.350000000000001" customHeight="1">
      <c r="B289" s="1353" t="str">
        <f>C289</f>
        <v>양성평등</v>
      </c>
      <c r="C289" s="736" t="s">
        <v>1075</v>
      </c>
      <c r="D289" s="736"/>
      <c r="E289" s="736"/>
      <c r="F289" s="1568"/>
      <c r="G289" s="861"/>
      <c r="H289" s="860" t="s">
        <v>1076</v>
      </c>
      <c r="I289" s="860"/>
      <c r="J289" s="860"/>
      <c r="K289" s="862" t="s">
        <v>168</v>
      </c>
      <c r="L289" s="863"/>
      <c r="M289" s="863"/>
      <c r="N289" s="863"/>
      <c r="O289" s="863"/>
      <c r="P289" s="863"/>
      <c r="Q289" s="863"/>
      <c r="R289" s="1574"/>
      <c r="S289" s="1582"/>
      <c r="T289" s="1576"/>
      <c r="U289" s="1582"/>
      <c r="V289" s="1576"/>
      <c r="W289" s="1598"/>
      <c r="X289" s="2767"/>
      <c r="Y289" s="2768"/>
      <c r="Z289" s="2769"/>
      <c r="AA289" s="2770"/>
      <c r="AB289" s="2771"/>
      <c r="AC289" s="2772"/>
      <c r="AD289" s="2771"/>
      <c r="AE289" s="2773"/>
      <c r="AF289" s="2770"/>
      <c r="AG289" s="2771"/>
      <c r="AH289" s="2772"/>
      <c r="AI289" s="2771"/>
      <c r="AJ289" s="2773"/>
      <c r="AK289" s="2770"/>
      <c r="AL289" s="2771"/>
      <c r="AM289" s="2772"/>
      <c r="AN289" s="2771"/>
      <c r="AO289" s="2773"/>
      <c r="AP289" s="2774"/>
      <c r="AQ289" s="2771"/>
      <c r="AR289" s="2775"/>
      <c r="AS289" s="2771"/>
      <c r="AT289" s="2773"/>
      <c r="AU289" s="1564"/>
      <c r="AV289" s="443"/>
      <c r="AW289" s="808" t="s">
        <v>758</v>
      </c>
      <c r="AX289" s="534"/>
      <c r="AY289" s="868"/>
      <c r="AZ289" s="642"/>
      <c r="BA289" s="265"/>
      <c r="BB289" s="869" t="s">
        <v>168</v>
      </c>
      <c r="BC289" s="187"/>
      <c r="BD289" s="18"/>
    </row>
    <row r="290" spans="2:56" ht="19.350000000000001" customHeight="1">
      <c r="B290" s="1360" t="b">
        <f t="shared" ref="B290:B298" si="86">OR(ISBLANK(R290),ISBLANK(T290),ISBLANK(V290))</f>
        <v>0</v>
      </c>
      <c r="C290" s="1382"/>
      <c r="D290" s="870" t="s">
        <v>1077</v>
      </c>
      <c r="E290" s="871"/>
      <c r="F290" s="285" t="s">
        <v>156</v>
      </c>
      <c r="G290" s="106"/>
      <c r="H290" s="353"/>
      <c r="I290" s="872" t="s">
        <v>1078</v>
      </c>
      <c r="J290" s="385"/>
      <c r="K290" s="873" t="s">
        <v>154</v>
      </c>
      <c r="L290" s="874">
        <v>15.789473684210526</v>
      </c>
      <c r="M290" s="874"/>
      <c r="N290" s="874">
        <v>9.0909090909090917</v>
      </c>
      <c r="O290" s="875"/>
      <c r="P290" s="876"/>
      <c r="Q290" s="874"/>
      <c r="R290" s="1488">
        <v>20</v>
      </c>
      <c r="S290" s="1439"/>
      <c r="T290" s="1488">
        <v>0</v>
      </c>
      <c r="U290" s="1440"/>
      <c r="V290" s="1521">
        <f>1/8*100</f>
        <v>12.5</v>
      </c>
      <c r="W290" s="2089"/>
      <c r="X290" s="2591"/>
      <c r="Y290" s="2593"/>
      <c r="Z290" s="2728"/>
      <c r="AA290" s="2738">
        <f>China!AO289</f>
        <v>0</v>
      </c>
      <c r="AB290" s="2776">
        <f>China!AP289</f>
        <v>0</v>
      </c>
      <c r="AC290" s="2739">
        <f>China!AQ289</f>
        <v>0</v>
      </c>
      <c r="AD290" s="2776">
        <f>China!AR289</f>
        <v>0</v>
      </c>
      <c r="AE290" s="2737">
        <f>China!AS289</f>
        <v>0</v>
      </c>
      <c r="AF290" s="5407">
        <f>Vietnam!Q289</f>
        <v>0</v>
      </c>
      <c r="AG290" s="5408">
        <f>Vietnam!R289</f>
        <v>0</v>
      </c>
      <c r="AH290" s="5409">
        <f>Vietnam!S289</f>
        <v>0</v>
      </c>
      <c r="AI290" s="5408">
        <f>Vietnam!T289</f>
        <v>0</v>
      </c>
      <c r="AJ290" s="5404">
        <f>Vietnam!U289</f>
        <v>0</v>
      </c>
      <c r="AK290" s="2738">
        <f>Indonesia!V289</f>
        <v>28.571428571428569</v>
      </c>
      <c r="AL290" s="2776" t="str">
        <f>Indonesia!W289</f>
        <v>JungsinPark &amp; Haryani</v>
      </c>
      <c r="AM290" s="2739">
        <f>Indonesia!X289</f>
        <v>29</v>
      </c>
      <c r="AN290" s="2741" t="str">
        <f>Indonesia!Y289</f>
        <v>JungsinPark &amp; Haryani</v>
      </c>
      <c r="AO290" s="2587">
        <f>Indonesia!Z289</f>
        <v>29</v>
      </c>
      <c r="AP290" s="2591"/>
      <c r="AQ290" s="2741"/>
      <c r="AR290" s="2593"/>
      <c r="AS290" s="2741"/>
      <c r="AT290" s="2587"/>
      <c r="AU290" s="2471"/>
      <c r="AV290" s="444"/>
      <c r="AW290" s="808" t="s">
        <v>758</v>
      </c>
      <c r="AX290" s="547" t="s">
        <v>800</v>
      </c>
      <c r="AY290" s="878"/>
      <c r="AZ290" s="808"/>
      <c r="BA290" s="265"/>
      <c r="BB290" s="265" t="s">
        <v>807</v>
      </c>
      <c r="BC290" s="187"/>
      <c r="BD290" s="18"/>
    </row>
    <row r="291" spans="2:56" ht="19.350000000000001" customHeight="1">
      <c r="B291" s="1360" t="b">
        <f t="shared" si="86"/>
        <v>0</v>
      </c>
      <c r="C291" s="1382"/>
      <c r="D291" s="490" t="s">
        <v>1082</v>
      </c>
      <c r="E291" s="491"/>
      <c r="F291" s="285" t="s">
        <v>154</v>
      </c>
      <c r="G291" s="106"/>
      <c r="H291" s="353"/>
      <c r="I291" s="495" t="s">
        <v>1083</v>
      </c>
      <c r="J291" s="643"/>
      <c r="K291" s="109" t="s">
        <v>154</v>
      </c>
      <c r="L291" s="879"/>
      <c r="M291" s="297"/>
      <c r="N291" s="879"/>
      <c r="O291" s="92"/>
      <c r="P291" s="228"/>
      <c r="Q291" s="297"/>
      <c r="R291" s="1488">
        <f>4/5*100</f>
        <v>80</v>
      </c>
      <c r="S291" s="1430"/>
      <c r="T291" s="1488">
        <f>8/8*100</f>
        <v>100</v>
      </c>
      <c r="U291" s="935"/>
      <c r="V291" s="1488">
        <f>7/8*100</f>
        <v>87.5</v>
      </c>
      <c r="W291" s="2060"/>
      <c r="X291" s="2557"/>
      <c r="Y291" s="2558"/>
      <c r="Z291" s="2559"/>
      <c r="AA291" s="2684">
        <f>China!AO290</f>
        <v>4</v>
      </c>
      <c r="AB291" s="2685">
        <f>China!AP290</f>
        <v>0</v>
      </c>
      <c r="AC291" s="2686">
        <f>China!AQ290</f>
        <v>4</v>
      </c>
      <c r="AD291" s="2685">
        <f>China!AR290</f>
        <v>0</v>
      </c>
      <c r="AE291" s="2687">
        <f>China!AS290</f>
        <v>3</v>
      </c>
      <c r="AF291" s="5410">
        <f>Vietnam!Q290</f>
        <v>1</v>
      </c>
      <c r="AG291" s="5411">
        <f>Vietnam!R290</f>
        <v>0</v>
      </c>
      <c r="AH291" s="5412">
        <f>Vietnam!S290</f>
        <v>1</v>
      </c>
      <c r="AI291" s="5411">
        <f>Vietnam!T290</f>
        <v>0</v>
      </c>
      <c r="AJ291" s="5413">
        <f>Vietnam!U290</f>
        <v>1</v>
      </c>
      <c r="AK291" s="2684">
        <f>Indonesia!V290</f>
        <v>71</v>
      </c>
      <c r="AL291" s="2685">
        <f>Indonesia!W290</f>
        <v>0</v>
      </c>
      <c r="AM291" s="2686">
        <f>Indonesia!X290</f>
        <v>71</v>
      </c>
      <c r="AN291" s="2561">
        <f>Indonesia!Y290</f>
        <v>0</v>
      </c>
      <c r="AO291" s="2556">
        <f>Indonesia!Z290</f>
        <v>71</v>
      </c>
      <c r="AP291" s="2557"/>
      <c r="AQ291" s="2561"/>
      <c r="AR291" s="2558"/>
      <c r="AS291" s="2561"/>
      <c r="AT291" s="2556"/>
      <c r="AU291" s="2472"/>
      <c r="AV291" s="457"/>
      <c r="AW291" s="99" t="s">
        <v>758</v>
      </c>
      <c r="AX291" s="547" t="s">
        <v>800</v>
      </c>
      <c r="AY291" s="547"/>
      <c r="AZ291" s="99"/>
      <c r="BA291" s="265"/>
      <c r="BB291" s="265" t="s">
        <v>807</v>
      </c>
      <c r="BC291" s="187"/>
      <c r="BD291" s="18"/>
    </row>
    <row r="292" spans="2:56" ht="19.350000000000001" customHeight="1">
      <c r="B292" s="1360"/>
      <c r="C292" s="1382"/>
      <c r="D292" s="744" t="s">
        <v>1084</v>
      </c>
      <c r="E292" s="728"/>
      <c r="F292" s="1560"/>
      <c r="G292" s="168"/>
      <c r="H292" s="880"/>
      <c r="I292" s="654" t="s">
        <v>1085</v>
      </c>
      <c r="J292" s="655"/>
      <c r="K292" s="881" t="s">
        <v>154</v>
      </c>
      <c r="L292" s="882"/>
      <c r="M292" s="883"/>
      <c r="N292" s="882"/>
      <c r="O292" s="171"/>
      <c r="P292" s="171"/>
      <c r="Q292" s="171"/>
      <c r="R292" s="1607"/>
      <c r="S292" s="1608"/>
      <c r="T292" s="1609"/>
      <c r="U292" s="1610"/>
      <c r="V292" s="1602"/>
      <c r="W292" s="2054"/>
      <c r="X292" s="2576"/>
      <c r="Y292" s="2577"/>
      <c r="Z292" s="2777"/>
      <c r="AA292" s="2576"/>
      <c r="AB292" s="2574"/>
      <c r="AC292" s="2577"/>
      <c r="AD292" s="2574"/>
      <c r="AE292" s="2575"/>
      <c r="AF292" s="2576"/>
      <c r="AG292" s="2574"/>
      <c r="AH292" s="2577"/>
      <c r="AI292" s="2574"/>
      <c r="AJ292" s="2575"/>
      <c r="AK292" s="2576"/>
      <c r="AL292" s="2574"/>
      <c r="AM292" s="2577"/>
      <c r="AN292" s="2574"/>
      <c r="AO292" s="2575"/>
      <c r="AP292" s="2576"/>
      <c r="AQ292" s="2574"/>
      <c r="AR292" s="2577"/>
      <c r="AS292" s="2574"/>
      <c r="AT292" s="2575"/>
      <c r="AU292" s="1564"/>
      <c r="AV292" s="457"/>
      <c r="AW292" s="808" t="s">
        <v>758</v>
      </c>
      <c r="AX292" s="547" t="s">
        <v>800</v>
      </c>
      <c r="AY292" s="547"/>
      <c r="AZ292" s="99"/>
      <c r="BA292" s="265"/>
      <c r="BB292" s="265"/>
      <c r="BC292" s="187"/>
      <c r="BD292" s="18"/>
    </row>
    <row r="293" spans="2:56" ht="19.350000000000001" customHeight="1">
      <c r="B293" s="1360" t="b">
        <f t="shared" si="86"/>
        <v>0</v>
      </c>
      <c r="C293" s="1382"/>
      <c r="E293" s="286" t="s">
        <v>1833</v>
      </c>
      <c r="F293" s="285" t="s">
        <v>154</v>
      </c>
      <c r="G293" s="106"/>
      <c r="H293" s="353"/>
      <c r="I293" s="11"/>
      <c r="J293" s="358" t="s">
        <v>1086</v>
      </c>
      <c r="K293" s="109" t="s">
        <v>154</v>
      </c>
      <c r="L293" s="879"/>
      <c r="M293" s="297"/>
      <c r="N293" s="879"/>
      <c r="O293" s="92"/>
      <c r="P293" s="228"/>
      <c r="Q293" s="297"/>
      <c r="R293" s="1488">
        <v>0</v>
      </c>
      <c r="S293" s="1430"/>
      <c r="T293" s="1488">
        <v>0</v>
      </c>
      <c r="U293" s="935"/>
      <c r="V293" s="5491">
        <v>0</v>
      </c>
      <c r="W293" s="2060"/>
      <c r="X293" s="2557"/>
      <c r="Y293" s="2558"/>
      <c r="Z293" s="2559"/>
      <c r="AA293" s="2557">
        <f>China!AO292</f>
        <v>0</v>
      </c>
      <c r="AB293" s="2561">
        <f>China!AP292</f>
        <v>0</v>
      </c>
      <c r="AC293" s="2558">
        <f>China!AQ292</f>
        <v>0</v>
      </c>
      <c r="AD293" s="2561">
        <f>China!AR292</f>
        <v>0</v>
      </c>
      <c r="AE293" s="2556">
        <f>China!AS292</f>
        <v>0</v>
      </c>
      <c r="AF293" s="4920">
        <f>Vietnam!Q292</f>
        <v>0</v>
      </c>
      <c r="AG293" s="5370">
        <f>Vietnam!R292</f>
        <v>0</v>
      </c>
      <c r="AH293" s="4921">
        <f>Vietnam!S292</f>
        <v>0</v>
      </c>
      <c r="AI293" s="5370">
        <f>Vietnam!T292</f>
        <v>0</v>
      </c>
      <c r="AJ293" s="5371">
        <f>Vietnam!U292</f>
        <v>0</v>
      </c>
      <c r="AK293" s="2557">
        <f>Indonesia!V292</f>
        <v>0</v>
      </c>
      <c r="AL293" s="2561">
        <f>Indonesia!W292</f>
        <v>0</v>
      </c>
      <c r="AM293" s="2558">
        <f>Indonesia!X292</f>
        <v>0</v>
      </c>
      <c r="AN293" s="2561">
        <f>Indonesia!Y292</f>
        <v>0</v>
      </c>
      <c r="AO293" s="2556">
        <f>Indonesia!Z292</f>
        <v>0</v>
      </c>
      <c r="AP293" s="2557"/>
      <c r="AQ293" s="2561"/>
      <c r="AR293" s="2558"/>
      <c r="AS293" s="2561"/>
      <c r="AT293" s="2556"/>
      <c r="AU293" s="2472"/>
      <c r="AV293" s="457"/>
      <c r="AW293" s="99" t="s">
        <v>758</v>
      </c>
      <c r="AX293" s="547" t="s">
        <v>800</v>
      </c>
      <c r="AY293" s="547"/>
      <c r="AZ293" s="99"/>
      <c r="BA293" s="265"/>
      <c r="BB293" s="265" t="s">
        <v>807</v>
      </c>
      <c r="BC293" s="187"/>
      <c r="BD293" s="18"/>
    </row>
    <row r="294" spans="2:56" ht="19.350000000000001" customHeight="1">
      <c r="B294" s="1360" t="b">
        <f t="shared" si="86"/>
        <v>0</v>
      </c>
      <c r="C294" s="1382"/>
      <c r="D294" s="884"/>
      <c r="E294" s="286" t="s">
        <v>1834</v>
      </c>
      <c r="F294" s="285" t="s">
        <v>154</v>
      </c>
      <c r="G294" s="106"/>
      <c r="H294" s="353"/>
      <c r="I294" s="884"/>
      <c r="J294" s="358" t="s">
        <v>1088</v>
      </c>
      <c r="K294" s="109" t="s">
        <v>154</v>
      </c>
      <c r="L294" s="879"/>
      <c r="M294" s="297"/>
      <c r="N294" s="879"/>
      <c r="O294" s="92"/>
      <c r="P294" s="228"/>
      <c r="Q294" s="297"/>
      <c r="R294" s="1488">
        <f>1/5*100</f>
        <v>20</v>
      </c>
      <c r="S294" s="1430"/>
      <c r="T294" s="1488">
        <f>4/8*100</f>
        <v>50</v>
      </c>
      <c r="U294" s="935"/>
      <c r="V294" s="5491">
        <f>4/8*100</f>
        <v>50</v>
      </c>
      <c r="W294" s="2060"/>
      <c r="X294" s="2557"/>
      <c r="Y294" s="2558"/>
      <c r="Z294" s="2559"/>
      <c r="AA294" s="2557">
        <f>China!AO293</f>
        <v>18</v>
      </c>
      <c r="AB294" s="2561">
        <f>China!AP293</f>
        <v>0</v>
      </c>
      <c r="AC294" s="2558">
        <f>China!AQ293</f>
        <v>22</v>
      </c>
      <c r="AD294" s="2561">
        <f>China!AR293</f>
        <v>0</v>
      </c>
      <c r="AE294" s="2556">
        <f>China!AS293</f>
        <v>25</v>
      </c>
      <c r="AF294" s="4920">
        <f>Vietnam!Q293</f>
        <v>1</v>
      </c>
      <c r="AG294" s="5370">
        <f>Vietnam!R293</f>
        <v>0</v>
      </c>
      <c r="AH294" s="4921">
        <f>Vietnam!S293</f>
        <v>1</v>
      </c>
      <c r="AI294" s="5370">
        <f>Vietnam!T293</f>
        <v>0</v>
      </c>
      <c r="AJ294" s="5371">
        <f>Vietnam!U293</f>
        <v>1</v>
      </c>
      <c r="AK294" s="2557">
        <f>Indonesia!V293</f>
        <v>71</v>
      </c>
      <c r="AL294" s="2561">
        <f>Indonesia!W293</f>
        <v>0</v>
      </c>
      <c r="AM294" s="2558">
        <f>Indonesia!X293</f>
        <v>71</v>
      </c>
      <c r="AN294" s="2561">
        <f>Indonesia!Y293</f>
        <v>0</v>
      </c>
      <c r="AO294" s="2556">
        <f>Indonesia!Z293</f>
        <v>71</v>
      </c>
      <c r="AP294" s="2557"/>
      <c r="AQ294" s="2561"/>
      <c r="AR294" s="2558"/>
      <c r="AS294" s="2561"/>
      <c r="AT294" s="2556"/>
      <c r="AU294" s="2472"/>
      <c r="AV294" s="457"/>
      <c r="AW294" s="99" t="s">
        <v>758</v>
      </c>
      <c r="AX294" s="547" t="s">
        <v>800</v>
      </c>
      <c r="AY294" s="547"/>
      <c r="AZ294" s="99"/>
      <c r="BA294" s="265"/>
      <c r="BB294" s="265" t="s">
        <v>807</v>
      </c>
      <c r="BC294" s="187"/>
      <c r="BD294" s="18"/>
    </row>
    <row r="295" spans="2:56" ht="19.350000000000001" customHeight="1">
      <c r="B295" s="1360" t="b">
        <f t="shared" si="86"/>
        <v>0</v>
      </c>
      <c r="C295" s="1382"/>
      <c r="D295" s="885"/>
      <c r="E295" s="286" t="s">
        <v>1835</v>
      </c>
      <c r="F295" s="285" t="s">
        <v>154</v>
      </c>
      <c r="G295" s="106"/>
      <c r="H295" s="353"/>
      <c r="I295" s="885"/>
      <c r="J295" s="358" t="s">
        <v>1089</v>
      </c>
      <c r="K295" s="109" t="s">
        <v>154</v>
      </c>
      <c r="L295" s="879"/>
      <c r="M295" s="297"/>
      <c r="N295" s="879"/>
      <c r="O295" s="92"/>
      <c r="P295" s="228"/>
      <c r="Q295" s="297"/>
      <c r="R295" s="1488">
        <f>4/5*100</f>
        <v>80</v>
      </c>
      <c r="S295" s="1430"/>
      <c r="T295" s="1488">
        <f>4/8*100</f>
        <v>50</v>
      </c>
      <c r="U295" s="935"/>
      <c r="V295" s="5491">
        <f>4/8*100</f>
        <v>50</v>
      </c>
      <c r="W295" s="2060"/>
      <c r="X295" s="2557"/>
      <c r="Y295" s="2558"/>
      <c r="Z295" s="2559"/>
      <c r="AA295" s="2557">
        <f>China!AO294</f>
        <v>2</v>
      </c>
      <c r="AB295" s="2561">
        <f>China!AP294</f>
        <v>0</v>
      </c>
      <c r="AC295" s="2558">
        <f>China!AQ294</f>
        <v>1</v>
      </c>
      <c r="AD295" s="2561">
        <f>China!AR294</f>
        <v>0</v>
      </c>
      <c r="AE295" s="2556">
        <f>China!AS294</f>
        <v>1</v>
      </c>
      <c r="AF295" s="4920">
        <f>Vietnam!Q294</f>
        <v>0</v>
      </c>
      <c r="AG295" s="5370">
        <f>Vietnam!R294</f>
        <v>0</v>
      </c>
      <c r="AH295" s="4921">
        <f>Vietnam!S294</f>
        <v>0</v>
      </c>
      <c r="AI295" s="5370">
        <f>Vietnam!T294</f>
        <v>0</v>
      </c>
      <c r="AJ295" s="5371">
        <f>Vietnam!U294</f>
        <v>0</v>
      </c>
      <c r="AK295" s="2557">
        <f>Indonesia!V294</f>
        <v>29</v>
      </c>
      <c r="AL295" s="2561">
        <f>Indonesia!W294</f>
        <v>0</v>
      </c>
      <c r="AM295" s="2558">
        <f>Indonesia!X294</f>
        <v>29</v>
      </c>
      <c r="AN295" s="2561">
        <f>Indonesia!Y294</f>
        <v>0</v>
      </c>
      <c r="AO295" s="2556">
        <f>Indonesia!Z294</f>
        <v>29</v>
      </c>
      <c r="AP295" s="2557"/>
      <c r="AQ295" s="2561"/>
      <c r="AR295" s="2558"/>
      <c r="AS295" s="2561"/>
      <c r="AT295" s="2556"/>
      <c r="AU295" s="2472"/>
      <c r="AV295" s="457"/>
      <c r="AW295" s="99" t="s">
        <v>758</v>
      </c>
      <c r="AX295" s="547" t="s">
        <v>800</v>
      </c>
      <c r="AY295" s="547"/>
      <c r="AZ295" s="99"/>
      <c r="BA295" s="265"/>
      <c r="BB295" s="265" t="s">
        <v>807</v>
      </c>
      <c r="BC295" s="187"/>
      <c r="BD295" s="18"/>
    </row>
    <row r="296" spans="2:56" ht="19.350000000000001" customHeight="1">
      <c r="B296" s="1360" t="b">
        <f t="shared" si="86"/>
        <v>0</v>
      </c>
      <c r="C296" s="1382"/>
      <c r="D296" s="490" t="s">
        <v>1090</v>
      </c>
      <c r="E296" s="491"/>
      <c r="F296" s="285" t="s">
        <v>154</v>
      </c>
      <c r="G296" s="106"/>
      <c r="H296" s="353"/>
      <c r="I296" s="495" t="s">
        <v>1091</v>
      </c>
      <c r="J296" s="643"/>
      <c r="K296" s="109" t="s">
        <v>154</v>
      </c>
      <c r="L296" s="297">
        <v>24.217462932454694</v>
      </c>
      <c r="M296" s="297"/>
      <c r="N296" s="297">
        <v>26.50793650793651</v>
      </c>
      <c r="O296" s="92"/>
      <c r="P296" s="228"/>
      <c r="Q296" s="297"/>
      <c r="R296" s="1488">
        <v>38.020833333333329</v>
      </c>
      <c r="S296" s="1430"/>
      <c r="T296" s="1488">
        <v>42.288557213930353</v>
      </c>
      <c r="U296" s="935" t="s">
        <v>1836</v>
      </c>
      <c r="V296" s="5492">
        <f>85/201</f>
        <v>0.4228855721393035</v>
      </c>
      <c r="W296" s="2060"/>
      <c r="X296" s="2557"/>
      <c r="Y296" s="2558"/>
      <c r="Z296" s="2559"/>
      <c r="AA296" s="2684">
        <f>China!AO295</f>
        <v>13.738019169329075</v>
      </c>
      <c r="AB296" s="2685">
        <f>China!AP295</f>
        <v>0</v>
      </c>
      <c r="AC296" s="2686">
        <f>China!AQ295</f>
        <v>16</v>
      </c>
      <c r="AD296" s="2685">
        <f>China!AR295</f>
        <v>0</v>
      </c>
      <c r="AE296" s="2687">
        <f>China!AS295</f>
        <v>10</v>
      </c>
      <c r="AF296" s="5414">
        <f>Vietnam!Q295</f>
        <v>0.46551724137931033</v>
      </c>
      <c r="AG296" s="5415" t="str">
        <f>Vietnam!R295</f>
        <v>Female Manager (FT)/ Male Manager (FT)</v>
      </c>
      <c r="AH296" s="5416">
        <f>Vietnam!S295</f>
        <v>0.44827586206896552</v>
      </c>
      <c r="AI296" s="5415" t="str">
        <f>Vietnam!T295</f>
        <v>Female Manager (FT)/ Male Manager (FT)</v>
      </c>
      <c r="AJ296" s="5417">
        <f>Vietnam!U295</f>
        <v>0.46875</v>
      </c>
      <c r="AK296" s="2684">
        <f>Indonesia!V295</f>
        <v>15.789473684210526</v>
      </c>
      <c r="AL296" s="2685">
        <f>Indonesia!W295</f>
        <v>0</v>
      </c>
      <c r="AM296" s="2686">
        <f>Indonesia!X295</f>
        <v>16.666666666666664</v>
      </c>
      <c r="AN296" s="2561">
        <f>Indonesia!Y295</f>
        <v>0</v>
      </c>
      <c r="AO296" s="2556">
        <f>Indonesia!Z295</f>
        <v>26.315789473684209</v>
      </c>
      <c r="AP296" s="2557"/>
      <c r="AQ296" s="2561"/>
      <c r="AR296" s="2558"/>
      <c r="AS296" s="2561"/>
      <c r="AT296" s="2556"/>
      <c r="AU296" s="2468" t="s">
        <v>1092</v>
      </c>
      <c r="AV296" s="276" t="s">
        <v>1093</v>
      </c>
      <c r="AW296" s="99" t="s">
        <v>758</v>
      </c>
      <c r="AX296" s="547" t="s">
        <v>800</v>
      </c>
      <c r="AY296" s="547"/>
      <c r="AZ296" s="99"/>
      <c r="BA296" s="265" t="s">
        <v>1094</v>
      </c>
      <c r="BB296" s="265"/>
      <c r="BC296" s="187"/>
      <c r="BD296" s="18"/>
    </row>
    <row r="297" spans="2:56" ht="19.149999999999999" customHeight="1">
      <c r="B297" s="1360" t="b">
        <f t="shared" si="86"/>
        <v>0</v>
      </c>
      <c r="C297" s="1382"/>
      <c r="D297" s="286" t="s">
        <v>1097</v>
      </c>
      <c r="E297" s="286"/>
      <c r="F297" s="285" t="s">
        <v>154</v>
      </c>
      <c r="G297" s="106"/>
      <c r="H297" s="353"/>
      <c r="I297" s="495" t="s">
        <v>1098</v>
      </c>
      <c r="J297" s="643"/>
      <c r="K297" s="109" t="s">
        <v>154</v>
      </c>
      <c r="L297" s="297">
        <v>5.668016194331984</v>
      </c>
      <c r="M297" s="297"/>
      <c r="N297" s="297">
        <v>9.0909090909090917</v>
      </c>
      <c r="O297" s="92"/>
      <c r="P297" s="228"/>
      <c r="Q297" s="297"/>
      <c r="R297" s="1488">
        <v>18.181818181818183</v>
      </c>
      <c r="S297" s="1430"/>
      <c r="T297" s="1488">
        <v>17.948717948717949</v>
      </c>
      <c r="U297" s="935" t="s">
        <v>1837</v>
      </c>
      <c r="V297" s="5491">
        <f>8/40</f>
        <v>0.2</v>
      </c>
      <c r="W297" s="2060"/>
      <c r="X297" s="2557"/>
      <c r="Y297" s="2558"/>
      <c r="Z297" s="2559"/>
      <c r="AA297" s="2684">
        <f>China!AO296</f>
        <v>1.4388489208633095</v>
      </c>
      <c r="AB297" s="2685">
        <f>China!AP296</f>
        <v>0</v>
      </c>
      <c r="AC297" s="2686">
        <f>China!AQ296</f>
        <v>3.5087719298245612</v>
      </c>
      <c r="AD297" s="2685">
        <f>China!AR296</f>
        <v>0</v>
      </c>
      <c r="AE297" s="2687">
        <f>China!AS296</f>
        <v>0.33333333333333331</v>
      </c>
      <c r="AF297" s="5414">
        <f>Vietnam!Q296</f>
        <v>0</v>
      </c>
      <c r="AG297" s="5415">
        <f>Vietnam!R296</f>
        <v>0</v>
      </c>
      <c r="AH297" s="5416">
        <f>Vietnam!S296</f>
        <v>0</v>
      </c>
      <c r="AI297" s="5415">
        <f>Vietnam!T296</f>
        <v>0</v>
      </c>
      <c r="AJ297" s="5417">
        <f>Vietnam!U296</f>
        <v>0</v>
      </c>
      <c r="AK297" s="2684"/>
      <c r="AL297" s="2685"/>
      <c r="AM297" s="2686"/>
      <c r="AN297" s="2561"/>
      <c r="AO297" s="2556"/>
      <c r="AP297" s="2557"/>
      <c r="AQ297" s="2561"/>
      <c r="AR297" s="2558"/>
      <c r="AS297" s="2561"/>
      <c r="AT297" s="2556"/>
      <c r="AU297" s="2468" t="s">
        <v>1099</v>
      </c>
      <c r="AV297" s="276" t="s">
        <v>1100</v>
      </c>
      <c r="AW297" s="99" t="s">
        <v>758</v>
      </c>
      <c r="AX297" s="547" t="s">
        <v>800</v>
      </c>
      <c r="AY297" s="547"/>
      <c r="AZ297" s="99"/>
      <c r="BA297" s="265" t="s">
        <v>1101</v>
      </c>
      <c r="BB297" s="265"/>
      <c r="BC297" s="187"/>
      <c r="BD297" s="18"/>
    </row>
    <row r="298" spans="2:56" ht="19.350000000000001" customHeight="1">
      <c r="B298" s="1360" t="b">
        <f t="shared" si="86"/>
        <v>1</v>
      </c>
      <c r="C298" s="1382"/>
      <c r="D298" s="886" t="s">
        <v>1103</v>
      </c>
      <c r="E298" s="886"/>
      <c r="F298" s="285" t="s">
        <v>154</v>
      </c>
      <c r="G298" s="106"/>
      <c r="H298" s="353"/>
      <c r="I298" s="495" t="s">
        <v>1104</v>
      </c>
      <c r="J298" s="643"/>
      <c r="K298" s="887" t="s">
        <v>154</v>
      </c>
      <c r="L298" s="297">
        <v>154.64734450004516</v>
      </c>
      <c r="M298" s="297"/>
      <c r="N298" s="297">
        <v>103.76128077908974</v>
      </c>
      <c r="O298" s="92"/>
      <c r="P298" s="228"/>
      <c r="Q298" s="297"/>
      <c r="R298" s="1488">
        <v>87.231196663517778</v>
      </c>
      <c r="S298" s="1430"/>
      <c r="T298" s="1488">
        <v>80.672398847835211</v>
      </c>
      <c r="U298" s="935"/>
      <c r="V298" s="1490"/>
      <c r="W298" s="2060"/>
      <c r="X298" s="2557"/>
      <c r="Y298" s="2558"/>
      <c r="Z298" s="2559"/>
      <c r="AA298" s="2684">
        <f>China!AO297</f>
        <v>85.882637262472798</v>
      </c>
      <c r="AB298" s="2685">
        <f>China!AP297</f>
        <v>0</v>
      </c>
      <c r="AC298" s="2686">
        <f>China!AQ297</f>
        <v>82.247056388175423</v>
      </c>
      <c r="AD298" s="2685">
        <f>China!AR297</f>
        <v>0</v>
      </c>
      <c r="AE298" s="2687">
        <f>China!AS297</f>
        <v>65.771717918957194</v>
      </c>
      <c r="AF298" s="5414">
        <f>Vietnam!Q297</f>
        <v>0.4418189959965067</v>
      </c>
      <c r="AG298" s="5415" t="str">
        <f>Vietnam!R297</f>
        <v>Full time local (exclusive expats)</v>
      </c>
      <c r="AH298" s="5416">
        <f>Vietnam!S297</f>
        <v>0.44798236662473767</v>
      </c>
      <c r="AI298" s="5415" t="str">
        <f>Vietnam!T297</f>
        <v>Full time local (exclusive expats)</v>
      </c>
      <c r="AJ298" s="5417">
        <f>Vietnam!U297</f>
        <v>0.46103553977874623</v>
      </c>
      <c r="AK298" s="2684"/>
      <c r="AL298" s="2685"/>
      <c r="AM298" s="2686"/>
      <c r="AN298" s="2561"/>
      <c r="AO298" s="2556"/>
      <c r="AP298" s="2557"/>
      <c r="AQ298" s="2561"/>
      <c r="AR298" s="2558"/>
      <c r="AS298" s="2561"/>
      <c r="AT298" s="2556"/>
      <c r="AU298" s="2468" t="s">
        <v>1105</v>
      </c>
      <c r="AV298" s="888" t="s">
        <v>1106</v>
      </c>
      <c r="AW298" s="99" t="s">
        <v>737</v>
      </c>
      <c r="AX298" s="547" t="s">
        <v>800</v>
      </c>
      <c r="AY298" s="547"/>
      <c r="AZ298" s="99"/>
      <c r="BA298" s="265" t="s">
        <v>1107</v>
      </c>
      <c r="BB298" s="265" t="s">
        <v>1108</v>
      </c>
      <c r="BC298" s="187"/>
      <c r="BD298" s="18"/>
    </row>
    <row r="299" spans="2:56" ht="19.350000000000001" customHeight="1">
      <c r="B299" s="1353"/>
      <c r="C299" s="736" t="s">
        <v>1112</v>
      </c>
      <c r="D299" s="736"/>
      <c r="E299" s="736"/>
      <c r="F299" s="1560"/>
      <c r="G299" s="889"/>
      <c r="H299" s="736" t="s">
        <v>1113</v>
      </c>
      <c r="I299" s="736"/>
      <c r="J299" s="736"/>
      <c r="K299" s="881" t="s">
        <v>168</v>
      </c>
      <c r="L299" s="890"/>
      <c r="M299" s="890"/>
      <c r="N299" s="890"/>
      <c r="O299" s="890"/>
      <c r="P299" s="890"/>
      <c r="Q299" s="890"/>
      <c r="R299" s="1583"/>
      <c r="S299" s="1584"/>
      <c r="T299" s="1585"/>
      <c r="U299" s="1584"/>
      <c r="V299" s="1585"/>
      <c r="W299" s="1572"/>
      <c r="X299" s="2778"/>
      <c r="Y299" s="2779"/>
      <c r="Z299" s="2780"/>
      <c r="AA299" s="2724"/>
      <c r="AB299" s="2574"/>
      <c r="AC299" s="2725"/>
      <c r="AD299" s="2574"/>
      <c r="AE299" s="2575"/>
      <c r="AF299" s="2724"/>
      <c r="AG299" s="2574"/>
      <c r="AH299" s="2725"/>
      <c r="AI299" s="2574"/>
      <c r="AJ299" s="2575"/>
      <c r="AK299" s="2724"/>
      <c r="AL299" s="2574"/>
      <c r="AM299" s="2725"/>
      <c r="AN299" s="2574"/>
      <c r="AO299" s="2575"/>
      <c r="AP299" s="2576"/>
      <c r="AQ299" s="2574"/>
      <c r="AR299" s="2577"/>
      <c r="AS299" s="2574"/>
      <c r="AT299" s="2575"/>
      <c r="AU299" s="1564"/>
      <c r="AW299" s="99" t="s">
        <v>737</v>
      </c>
      <c r="AX299" s="547" t="s">
        <v>800</v>
      </c>
      <c r="AY299" s="547"/>
      <c r="AZ299" s="99"/>
      <c r="BA299" s="265"/>
      <c r="BB299" s="265"/>
      <c r="BC299" s="187"/>
      <c r="BD299" s="18"/>
    </row>
    <row r="300" spans="2:56" ht="19.350000000000001" customHeight="1">
      <c r="B300" s="1360"/>
      <c r="C300" s="1382"/>
      <c r="D300" s="654" t="s">
        <v>1114</v>
      </c>
      <c r="E300" s="947"/>
      <c r="F300" s="1560"/>
      <c r="G300" s="168"/>
      <c r="H300" s="880"/>
      <c r="I300" s="685" t="s">
        <v>1838</v>
      </c>
      <c r="J300" s="655"/>
      <c r="K300" s="881" t="s">
        <v>734</v>
      </c>
      <c r="L300" s="890"/>
      <c r="M300" s="890"/>
      <c r="N300" s="890"/>
      <c r="O300" s="890"/>
      <c r="P300" s="890"/>
      <c r="Q300" s="890"/>
      <c r="R300" s="1586"/>
      <c r="S300" s="1587"/>
      <c r="T300" s="1588"/>
      <c r="U300" s="1587"/>
      <c r="V300" s="1588"/>
      <c r="W300" s="1572"/>
      <c r="X300" s="2778"/>
      <c r="Y300" s="2779"/>
      <c r="Z300" s="2780"/>
      <c r="AA300" s="2724"/>
      <c r="AB300" s="2574"/>
      <c r="AC300" s="2725"/>
      <c r="AD300" s="2574"/>
      <c r="AE300" s="2575"/>
      <c r="AF300" s="2724"/>
      <c r="AG300" s="2574"/>
      <c r="AH300" s="2725"/>
      <c r="AI300" s="2574"/>
      <c r="AJ300" s="2575"/>
      <c r="AK300" s="2724"/>
      <c r="AL300" s="2574"/>
      <c r="AM300" s="2725"/>
      <c r="AN300" s="2574"/>
      <c r="AO300" s="2575"/>
      <c r="AP300" s="2576"/>
      <c r="AQ300" s="2574"/>
      <c r="AR300" s="2577"/>
      <c r="AS300" s="2574"/>
      <c r="AT300" s="2575"/>
      <c r="AU300" s="1564"/>
      <c r="AW300" s="99" t="s">
        <v>737</v>
      </c>
      <c r="AX300" s="547" t="s">
        <v>800</v>
      </c>
      <c r="AY300" s="547"/>
      <c r="AZ300" s="99"/>
      <c r="BA300" s="265"/>
      <c r="BB300" s="265"/>
      <c r="BC300" s="187"/>
      <c r="BD300" s="18"/>
    </row>
    <row r="301" spans="2:56" ht="19.350000000000001" customHeight="1">
      <c r="B301" s="1360" t="b">
        <f t="shared" ref="B301:B308" si="87">OR(ISBLANK(R301),ISBLANK(T301),ISBLANK(V301))</f>
        <v>0</v>
      </c>
      <c r="C301" s="1382"/>
      <c r="D301" s="892"/>
      <c r="E301" s="893" t="s">
        <v>1116</v>
      </c>
      <c r="F301" s="285" t="s">
        <v>742</v>
      </c>
      <c r="G301" s="106"/>
      <c r="H301" s="353"/>
      <c r="I301" s="892"/>
      <c r="J301" s="777" t="s">
        <v>1117</v>
      </c>
      <c r="K301" s="109" t="s">
        <v>734</v>
      </c>
      <c r="L301" s="297">
        <v>229</v>
      </c>
      <c r="M301" s="297"/>
      <c r="N301" s="297">
        <v>203</v>
      </c>
      <c r="O301" s="92"/>
      <c r="P301" s="228"/>
      <c r="Q301" s="297"/>
      <c r="R301" s="1463">
        <v>171</v>
      </c>
      <c r="S301" s="1523"/>
      <c r="T301" s="1463">
        <v>163</v>
      </c>
      <c r="U301" s="9805" t="s">
        <v>1839</v>
      </c>
      <c r="V301" s="1464">
        <v>145</v>
      </c>
      <c r="W301" s="2060"/>
      <c r="X301" s="2557"/>
      <c r="Y301" s="2558"/>
      <c r="Z301" s="2559"/>
      <c r="AA301" s="2684"/>
      <c r="AB301" s="2685"/>
      <c r="AC301" s="2686"/>
      <c r="AD301" s="2685"/>
      <c r="AE301" s="2687"/>
      <c r="AF301" s="2684"/>
      <c r="AG301" s="2685"/>
      <c r="AH301" s="2686"/>
      <c r="AI301" s="2685"/>
      <c r="AJ301" s="2687"/>
      <c r="AK301" s="2684"/>
      <c r="AL301" s="2685"/>
      <c r="AM301" s="2686"/>
      <c r="AN301" s="2561"/>
      <c r="AO301" s="2556"/>
      <c r="AP301" s="2557"/>
      <c r="AQ301" s="2561"/>
      <c r="AR301" s="2558"/>
      <c r="AS301" s="2561"/>
      <c r="AT301" s="2556"/>
      <c r="AU301" s="2468" t="s">
        <v>1118</v>
      </c>
      <c r="AV301" s="276" t="s">
        <v>1119</v>
      </c>
      <c r="AW301" s="99" t="s">
        <v>758</v>
      </c>
      <c r="AX301" s="547" t="s">
        <v>800</v>
      </c>
      <c r="AY301" s="547"/>
      <c r="AZ301" s="99"/>
      <c r="BA301" s="265" t="s">
        <v>1120</v>
      </c>
      <c r="BB301" s="265" t="s">
        <v>1121</v>
      </c>
      <c r="BC301" s="187"/>
      <c r="BD301" s="18"/>
    </row>
    <row r="302" spans="2:56" ht="19.350000000000001" customHeight="1">
      <c r="B302" s="1360" t="b">
        <f t="shared" si="87"/>
        <v>0</v>
      </c>
      <c r="C302" s="1382"/>
      <c r="D302" s="894"/>
      <c r="E302" s="893" t="s">
        <v>1125</v>
      </c>
      <c r="F302" s="285" t="s">
        <v>742</v>
      </c>
      <c r="G302" s="106"/>
      <c r="H302" s="353"/>
      <c r="I302" s="894"/>
      <c r="J302" s="777" t="s">
        <v>1840</v>
      </c>
      <c r="K302" s="109" t="s">
        <v>734</v>
      </c>
      <c r="L302" s="297">
        <v>128</v>
      </c>
      <c r="M302" s="297"/>
      <c r="N302" s="297">
        <v>132</v>
      </c>
      <c r="O302" s="92"/>
      <c r="P302" s="228"/>
      <c r="Q302" s="297"/>
      <c r="R302" s="1463">
        <v>122</v>
      </c>
      <c r="S302" s="1523"/>
      <c r="T302" s="1463">
        <v>126</v>
      </c>
      <c r="U302" s="9806"/>
      <c r="V302" s="1464">
        <v>133</v>
      </c>
      <c r="W302" s="2060"/>
      <c r="X302" s="2557"/>
      <c r="Y302" s="2558"/>
      <c r="Z302" s="2559"/>
      <c r="AA302" s="2684"/>
      <c r="AB302" s="2685"/>
      <c r="AC302" s="2686"/>
      <c r="AD302" s="2685"/>
      <c r="AE302" s="2687"/>
      <c r="AF302" s="2684"/>
      <c r="AG302" s="2685"/>
      <c r="AH302" s="2686"/>
      <c r="AI302" s="2685"/>
      <c r="AJ302" s="2687"/>
      <c r="AK302" s="2684"/>
      <c r="AL302" s="2685"/>
      <c r="AM302" s="2686"/>
      <c r="AN302" s="2561"/>
      <c r="AO302" s="2556"/>
      <c r="AP302" s="2557"/>
      <c r="AQ302" s="2561"/>
      <c r="AR302" s="2558"/>
      <c r="AS302" s="2561"/>
      <c r="AT302" s="2556"/>
      <c r="AU302" s="2468" t="s">
        <v>1118</v>
      </c>
      <c r="AV302" s="276" t="s">
        <v>1119</v>
      </c>
      <c r="AW302" s="99" t="s">
        <v>758</v>
      </c>
      <c r="AX302" s="547" t="s">
        <v>800</v>
      </c>
      <c r="AY302" s="547"/>
      <c r="AZ302" s="99"/>
      <c r="BA302" s="265" t="s">
        <v>1120</v>
      </c>
      <c r="BB302" s="265" t="s">
        <v>1121</v>
      </c>
      <c r="BC302" s="187"/>
      <c r="BD302" s="18"/>
    </row>
    <row r="303" spans="2:56" ht="19.350000000000001" customHeight="1">
      <c r="B303" s="1360"/>
      <c r="C303" s="1382"/>
      <c r="D303" s="654" t="s">
        <v>1127</v>
      </c>
      <c r="E303" s="947"/>
      <c r="F303" s="1560"/>
      <c r="G303" s="168"/>
      <c r="H303" s="880"/>
      <c r="I303" s="685" t="s">
        <v>1128</v>
      </c>
      <c r="J303" s="895"/>
      <c r="K303" s="881" t="s">
        <v>734</v>
      </c>
      <c r="L303" s="890"/>
      <c r="M303" s="890"/>
      <c r="N303" s="890"/>
      <c r="O303" s="890"/>
      <c r="P303" s="890"/>
      <c r="Q303" s="890"/>
      <c r="R303" s="1586"/>
      <c r="S303" s="1587"/>
      <c r="T303" s="1588"/>
      <c r="U303" s="1587"/>
      <c r="V303" s="1588"/>
      <c r="W303" s="1572"/>
      <c r="X303" s="2778"/>
      <c r="Y303" s="2779"/>
      <c r="Z303" s="2780"/>
      <c r="AA303" s="2724"/>
      <c r="AB303" s="2574"/>
      <c r="AC303" s="2725"/>
      <c r="AD303" s="2574"/>
      <c r="AE303" s="2575"/>
      <c r="AF303" s="2724"/>
      <c r="AG303" s="2574"/>
      <c r="AH303" s="2725"/>
      <c r="AI303" s="2574"/>
      <c r="AJ303" s="2575"/>
      <c r="AK303" s="2724"/>
      <c r="AL303" s="2574"/>
      <c r="AM303" s="2725"/>
      <c r="AN303" s="2574"/>
      <c r="AO303" s="2575"/>
      <c r="AP303" s="2576"/>
      <c r="AQ303" s="2574"/>
      <c r="AR303" s="2577"/>
      <c r="AS303" s="2574"/>
      <c r="AT303" s="2575"/>
      <c r="AU303" s="1564"/>
      <c r="AW303" s="99" t="s">
        <v>758</v>
      </c>
      <c r="AX303" s="547" t="s">
        <v>800</v>
      </c>
      <c r="AY303" s="547"/>
      <c r="AZ303" s="99"/>
      <c r="BA303" s="277" t="s">
        <v>1129</v>
      </c>
      <c r="BB303" s="265" t="s">
        <v>1121</v>
      </c>
      <c r="BC303" s="187"/>
      <c r="BD303" s="18"/>
    </row>
    <row r="304" spans="2:56" ht="19.350000000000001" customHeight="1">
      <c r="B304" s="1360" t="b">
        <f t="shared" si="87"/>
        <v>0</v>
      </c>
      <c r="C304" s="1382"/>
      <c r="E304" s="286" t="s">
        <v>1841</v>
      </c>
      <c r="F304" s="285" t="s">
        <v>732</v>
      </c>
      <c r="G304" s="106"/>
      <c r="H304" s="353"/>
      <c r="I304" s="892"/>
      <c r="J304" s="777" t="s">
        <v>1131</v>
      </c>
      <c r="K304" s="109" t="s">
        <v>734</v>
      </c>
      <c r="L304" s="297">
        <v>14</v>
      </c>
      <c r="M304" s="297"/>
      <c r="N304" s="297">
        <v>20</v>
      </c>
      <c r="O304" s="92"/>
      <c r="P304" s="228"/>
      <c r="Q304" s="297"/>
      <c r="R304" s="1463">
        <v>7</v>
      </c>
      <c r="S304" s="1523"/>
      <c r="T304" s="1463">
        <v>17</v>
      </c>
      <c r="U304" s="9807" t="s">
        <v>1842</v>
      </c>
      <c r="V304" s="1464">
        <v>14</v>
      </c>
      <c r="W304" s="2060"/>
      <c r="X304" s="2557"/>
      <c r="Y304" s="2558"/>
      <c r="Z304" s="2559"/>
      <c r="AA304" s="2557"/>
      <c r="AB304" s="2561"/>
      <c r="AC304" s="2558"/>
      <c r="AD304" s="2561"/>
      <c r="AE304" s="2556"/>
      <c r="AF304" s="2557"/>
      <c r="AG304" s="2561"/>
      <c r="AH304" s="2558"/>
      <c r="AI304" s="2561"/>
      <c r="AJ304" s="2556"/>
      <c r="AK304" s="2557"/>
      <c r="AL304" s="2561"/>
      <c r="AM304" s="2558"/>
      <c r="AN304" s="2561"/>
      <c r="AO304" s="2556"/>
      <c r="AP304" s="2557"/>
      <c r="AQ304" s="2561"/>
      <c r="AR304" s="2558"/>
      <c r="AS304" s="2561"/>
      <c r="AT304" s="2556"/>
      <c r="AU304" s="2468" t="s">
        <v>1132</v>
      </c>
      <c r="AV304" s="276" t="s">
        <v>1133</v>
      </c>
      <c r="AW304" s="99" t="s">
        <v>758</v>
      </c>
      <c r="AX304" s="547" t="s">
        <v>800</v>
      </c>
      <c r="AY304" s="547"/>
      <c r="AZ304" s="99"/>
      <c r="BA304" s="277" t="s">
        <v>1129</v>
      </c>
      <c r="BB304" s="277" t="s">
        <v>1121</v>
      </c>
      <c r="BC304" s="187"/>
      <c r="BD304" s="18"/>
    </row>
    <row r="305" spans="2:56" ht="19.350000000000001" customHeight="1">
      <c r="B305" s="1360" t="b">
        <f t="shared" si="87"/>
        <v>0</v>
      </c>
      <c r="C305" s="1382"/>
      <c r="E305" s="286" t="s">
        <v>1843</v>
      </c>
      <c r="F305" s="285" t="s">
        <v>732</v>
      </c>
      <c r="G305" s="106"/>
      <c r="H305" s="353"/>
      <c r="I305" s="894"/>
      <c r="J305" s="777" t="s">
        <v>1137</v>
      </c>
      <c r="K305" s="109" t="s">
        <v>734</v>
      </c>
      <c r="L305" s="297">
        <v>37</v>
      </c>
      <c r="M305" s="297"/>
      <c r="N305" s="297">
        <v>42</v>
      </c>
      <c r="O305" s="92"/>
      <c r="P305" s="228"/>
      <c r="Q305" s="297"/>
      <c r="R305" s="1463">
        <v>35</v>
      </c>
      <c r="S305" s="1523"/>
      <c r="T305" s="1463">
        <v>38</v>
      </c>
      <c r="U305" s="9808"/>
      <c r="V305" s="1464">
        <v>46</v>
      </c>
      <c r="W305" s="2060"/>
      <c r="X305" s="2557"/>
      <c r="Y305" s="2558"/>
      <c r="Z305" s="2559"/>
      <c r="AA305" s="2557"/>
      <c r="AB305" s="2561"/>
      <c r="AC305" s="2558"/>
      <c r="AD305" s="2561"/>
      <c r="AE305" s="2556"/>
      <c r="AF305" s="2557"/>
      <c r="AG305" s="2561"/>
      <c r="AH305" s="2558"/>
      <c r="AI305" s="2561"/>
      <c r="AJ305" s="2556"/>
      <c r="AK305" s="2557"/>
      <c r="AL305" s="2561"/>
      <c r="AM305" s="2558"/>
      <c r="AN305" s="2561"/>
      <c r="AO305" s="2556"/>
      <c r="AP305" s="2557"/>
      <c r="AQ305" s="2561"/>
      <c r="AR305" s="2558"/>
      <c r="AS305" s="2561"/>
      <c r="AT305" s="2556"/>
      <c r="AU305" s="2468" t="s">
        <v>1132</v>
      </c>
      <c r="AV305" s="276" t="s">
        <v>1133</v>
      </c>
      <c r="AW305" s="99" t="s">
        <v>758</v>
      </c>
      <c r="AX305" s="547" t="s">
        <v>800</v>
      </c>
      <c r="AY305" s="547"/>
      <c r="AZ305" s="99"/>
      <c r="BA305" s="896" t="s">
        <v>1129</v>
      </c>
      <c r="BB305" s="896" t="s">
        <v>1121</v>
      </c>
      <c r="BC305" s="187"/>
      <c r="BD305" s="18"/>
    </row>
    <row r="306" spans="2:56" ht="19.350000000000001" customHeight="1">
      <c r="B306" s="1360" t="b">
        <f t="shared" si="87"/>
        <v>0</v>
      </c>
      <c r="C306" s="1382"/>
      <c r="D306" s="286" t="s">
        <v>1844</v>
      </c>
      <c r="E306" s="286"/>
      <c r="F306" s="285" t="s">
        <v>154</v>
      </c>
      <c r="G306" s="106"/>
      <c r="H306" s="353"/>
      <c r="I306" s="495" t="s">
        <v>1140</v>
      </c>
      <c r="J306" s="643"/>
      <c r="K306" s="109" t="s">
        <v>154</v>
      </c>
      <c r="L306" s="297">
        <v>85.714285714285708</v>
      </c>
      <c r="M306" s="297"/>
      <c r="N306" s="297">
        <v>85</v>
      </c>
      <c r="O306" s="92"/>
      <c r="P306" s="228"/>
      <c r="Q306" s="297"/>
      <c r="R306" s="1488">
        <v>100</v>
      </c>
      <c r="S306" s="1430"/>
      <c r="T306" s="1488">
        <v>82.35294117647058</v>
      </c>
      <c r="U306" s="9809"/>
      <c r="V306" s="1490">
        <f>10/14*100</f>
        <v>71.428571428571431</v>
      </c>
      <c r="W306" s="2060"/>
      <c r="X306" s="2557"/>
      <c r="Y306" s="2558"/>
      <c r="Z306" s="2559"/>
      <c r="AA306" s="2557"/>
      <c r="AB306" s="2561"/>
      <c r="AC306" s="2558"/>
      <c r="AD306" s="2561"/>
      <c r="AE306" s="2556"/>
      <c r="AF306" s="2557"/>
      <c r="AG306" s="2561"/>
      <c r="AH306" s="2558"/>
      <c r="AI306" s="2561"/>
      <c r="AJ306" s="2556"/>
      <c r="AK306" s="2557"/>
      <c r="AL306" s="2561"/>
      <c r="AM306" s="2558"/>
      <c r="AN306" s="2561"/>
      <c r="AO306" s="2556"/>
      <c r="AP306" s="2557"/>
      <c r="AQ306" s="2561"/>
      <c r="AR306" s="2558"/>
      <c r="AS306" s="2561"/>
      <c r="AT306" s="2556"/>
      <c r="AU306" s="2480" t="s">
        <v>1141</v>
      </c>
      <c r="AV306" s="276" t="s">
        <v>1142</v>
      </c>
      <c r="AW306" s="99" t="s">
        <v>758</v>
      </c>
      <c r="AX306" s="547" t="s">
        <v>800</v>
      </c>
      <c r="AY306" s="547"/>
      <c r="AZ306" s="99"/>
      <c r="BA306" s="896" t="s">
        <v>1143</v>
      </c>
      <c r="BB306" s="896" t="s">
        <v>1121</v>
      </c>
      <c r="BC306" s="187"/>
      <c r="BD306" s="18"/>
    </row>
    <row r="307" spans="2:56" ht="19.350000000000001" customHeight="1">
      <c r="B307" s="1360" t="b">
        <f t="shared" si="87"/>
        <v>0</v>
      </c>
      <c r="C307" s="1382"/>
      <c r="D307" s="286" t="s">
        <v>1845</v>
      </c>
      <c r="E307" s="286"/>
      <c r="F307" s="285" t="s">
        <v>154</v>
      </c>
      <c r="G307" s="106"/>
      <c r="H307" s="353"/>
      <c r="I307" s="495" t="s">
        <v>1148</v>
      </c>
      <c r="J307" s="643"/>
      <c r="K307" s="109" t="s">
        <v>154</v>
      </c>
      <c r="L307" s="297">
        <v>85.714285714285708</v>
      </c>
      <c r="M307" s="297"/>
      <c r="N307" s="297">
        <v>85</v>
      </c>
      <c r="O307" s="92"/>
      <c r="P307" s="228"/>
      <c r="Q307" s="297"/>
      <c r="R307" s="1488">
        <v>100</v>
      </c>
      <c r="S307" s="1430"/>
      <c r="T307" s="1488">
        <v>82.35294117647058</v>
      </c>
      <c r="U307" s="9809"/>
      <c r="V307" s="1490">
        <f>32/44*100</f>
        <v>72.727272727272734</v>
      </c>
      <c r="W307" s="2060"/>
      <c r="X307" s="2557"/>
      <c r="Y307" s="2558"/>
      <c r="Z307" s="2559"/>
      <c r="AA307" s="2557"/>
      <c r="AB307" s="2561"/>
      <c r="AC307" s="2558"/>
      <c r="AD307" s="2561"/>
      <c r="AE307" s="2556"/>
      <c r="AF307" s="2557"/>
      <c r="AG307" s="2561"/>
      <c r="AH307" s="2558"/>
      <c r="AI307" s="2561"/>
      <c r="AJ307" s="2556"/>
      <c r="AK307" s="2557"/>
      <c r="AL307" s="2561"/>
      <c r="AM307" s="2558"/>
      <c r="AN307" s="2561"/>
      <c r="AO307" s="2556"/>
      <c r="AP307" s="2557"/>
      <c r="AQ307" s="2561"/>
      <c r="AR307" s="2558"/>
      <c r="AS307" s="2561"/>
      <c r="AT307" s="2556"/>
      <c r="AU307" s="2480" t="s">
        <v>1141</v>
      </c>
      <c r="AV307" s="276" t="s">
        <v>1142</v>
      </c>
      <c r="AW307" s="99" t="s">
        <v>758</v>
      </c>
      <c r="AX307" s="547" t="s">
        <v>800</v>
      </c>
      <c r="AY307" s="547"/>
      <c r="AZ307" s="99"/>
      <c r="BA307" s="896" t="s">
        <v>1143</v>
      </c>
      <c r="BB307" s="896" t="s">
        <v>1121</v>
      </c>
      <c r="BC307" s="187"/>
      <c r="BD307" s="18"/>
    </row>
    <row r="308" spans="2:56" ht="19.350000000000001" customHeight="1">
      <c r="B308" s="1360" t="b">
        <f t="shared" si="87"/>
        <v>0</v>
      </c>
      <c r="C308" s="911"/>
      <c r="D308" s="286" t="s">
        <v>1846</v>
      </c>
      <c r="E308" s="286"/>
      <c r="F308" s="285" t="s">
        <v>154</v>
      </c>
      <c r="G308" s="384"/>
      <c r="H308" s="385"/>
      <c r="I308" s="495" t="s">
        <v>1151</v>
      </c>
      <c r="J308" s="643"/>
      <c r="K308" s="109" t="s">
        <v>154</v>
      </c>
      <c r="L308" s="297">
        <v>69.642857142857139</v>
      </c>
      <c r="M308" s="297"/>
      <c r="N308" s="297">
        <v>88.095238095238088</v>
      </c>
      <c r="O308" s="92"/>
      <c r="P308" s="228"/>
      <c r="Q308" s="297"/>
      <c r="R308" s="1488">
        <v>69.230769230769226</v>
      </c>
      <c r="S308" s="1430"/>
      <c r="T308" s="1488">
        <v>84.210526315789465</v>
      </c>
      <c r="U308" s="9810"/>
      <c r="V308" s="1490">
        <f>33/43*100</f>
        <v>76.744186046511629</v>
      </c>
      <c r="W308" s="2060"/>
      <c r="X308" s="2557"/>
      <c r="Y308" s="2558"/>
      <c r="Z308" s="2559"/>
      <c r="AA308" s="2557"/>
      <c r="AB308" s="2561"/>
      <c r="AC308" s="2558"/>
      <c r="AD308" s="2561"/>
      <c r="AE308" s="2556"/>
      <c r="AF308" s="2557"/>
      <c r="AG308" s="2561"/>
      <c r="AH308" s="2558"/>
      <c r="AI308" s="2561"/>
      <c r="AJ308" s="2556"/>
      <c r="AK308" s="2557"/>
      <c r="AL308" s="2561"/>
      <c r="AM308" s="2558"/>
      <c r="AN308" s="2561"/>
      <c r="AO308" s="2556"/>
      <c r="AP308" s="2557"/>
      <c r="AQ308" s="2561"/>
      <c r="AR308" s="2558"/>
      <c r="AS308" s="2561"/>
      <c r="AT308" s="2556"/>
      <c r="AU308" s="2480" t="s">
        <v>1152</v>
      </c>
      <c r="AV308" s="24" t="s">
        <v>1153</v>
      </c>
      <c r="AW308" s="99" t="s">
        <v>758</v>
      </c>
      <c r="AX308" s="547" t="s">
        <v>800</v>
      </c>
      <c r="AY308" s="547"/>
      <c r="AZ308" s="99"/>
      <c r="BA308" s="277" t="s">
        <v>1154</v>
      </c>
      <c r="BB308" s="277" t="s">
        <v>1121</v>
      </c>
      <c r="BC308" s="187"/>
      <c r="BD308" s="18"/>
    </row>
    <row r="309" spans="2:56" ht="19.350000000000001" customHeight="1">
      <c r="B309" s="1360"/>
      <c r="C309" s="736" t="s">
        <v>1157</v>
      </c>
      <c r="D309" s="736"/>
      <c r="E309" s="736"/>
      <c r="F309" s="1560"/>
      <c r="G309" s="685"/>
      <c r="H309" s="686" t="s">
        <v>1158</v>
      </c>
      <c r="I309" s="654"/>
      <c r="J309" s="655"/>
      <c r="K309" s="881" t="s">
        <v>734</v>
      </c>
      <c r="L309" s="890"/>
      <c r="M309" s="890"/>
      <c r="N309" s="890"/>
      <c r="O309" s="890"/>
      <c r="P309" s="890"/>
      <c r="Q309" s="890"/>
      <c r="R309" s="1586"/>
      <c r="S309" s="1587"/>
      <c r="T309" s="1588"/>
      <c r="U309" s="1587"/>
      <c r="V309" s="1588"/>
      <c r="W309" s="1572"/>
      <c r="X309" s="2778"/>
      <c r="Y309" s="2779"/>
      <c r="Z309" s="2780"/>
      <c r="AA309" s="2576"/>
      <c r="AB309" s="2574"/>
      <c r="AC309" s="2577"/>
      <c r="AD309" s="2574"/>
      <c r="AE309" s="2575"/>
      <c r="AF309" s="2576"/>
      <c r="AG309" s="2574"/>
      <c r="AH309" s="2577"/>
      <c r="AI309" s="2574"/>
      <c r="AJ309" s="2575"/>
      <c r="AK309" s="2576"/>
      <c r="AL309" s="2574"/>
      <c r="AM309" s="2577"/>
      <c r="AN309" s="2574"/>
      <c r="AO309" s="2575"/>
      <c r="AP309" s="2576"/>
      <c r="AQ309" s="2574"/>
      <c r="AR309" s="2577"/>
      <c r="AS309" s="2574"/>
      <c r="AT309" s="2575"/>
      <c r="AU309" s="1564"/>
      <c r="AW309" s="99" t="s">
        <v>758</v>
      </c>
      <c r="AX309" s="547" t="s">
        <v>800</v>
      </c>
      <c r="AY309" s="547"/>
      <c r="AZ309" s="99"/>
      <c r="BA309" s="277"/>
      <c r="BB309" s="277"/>
      <c r="BC309" s="187"/>
      <c r="BD309" s="18"/>
    </row>
    <row r="310" spans="2:56" ht="19.350000000000001" customHeight="1">
      <c r="B310" s="1360" t="b">
        <f t="shared" ref="B310:B311" si="88">OR(ISBLANK(R310),ISBLANK(T310),ISBLANK(V310))</f>
        <v>0</v>
      </c>
      <c r="C310" s="1383"/>
      <c r="D310" s="286" t="s">
        <v>1847</v>
      </c>
      <c r="E310" s="286"/>
      <c r="F310" s="285" t="s">
        <v>732</v>
      </c>
      <c r="G310" s="347"/>
      <c r="H310" s="348"/>
      <c r="I310" s="358" t="s">
        <v>1160</v>
      </c>
      <c r="J310" s="358"/>
      <c r="K310" s="109" t="s">
        <v>734</v>
      </c>
      <c r="L310" s="308"/>
      <c r="M310" s="297"/>
      <c r="N310" s="308"/>
      <c r="O310" s="92"/>
      <c r="P310" s="228"/>
      <c r="Q310" s="297"/>
      <c r="R310" s="1463">
        <v>40</v>
      </c>
      <c r="S310" s="1523"/>
      <c r="T310" s="1463">
        <v>46</v>
      </c>
      <c r="U310" s="9805" t="s">
        <v>1848</v>
      </c>
      <c r="V310" s="1464">
        <v>13</v>
      </c>
      <c r="W310" s="2060"/>
      <c r="X310" s="2557"/>
      <c r="Y310" s="2558"/>
      <c r="Z310" s="2559"/>
      <c r="AA310" s="2557">
        <f>China!AO309</f>
        <v>1</v>
      </c>
      <c r="AB310" s="2561">
        <f>China!AP309</f>
        <v>0</v>
      </c>
      <c r="AC310" s="2558">
        <f>China!AQ309</f>
        <v>4</v>
      </c>
      <c r="AD310" s="2561">
        <f>China!AR309</f>
        <v>0</v>
      </c>
      <c r="AE310" s="2556">
        <f>China!AS309</f>
        <v>14</v>
      </c>
      <c r="AF310" s="2557">
        <f>Vietnam!Q309</f>
        <v>34</v>
      </c>
      <c r="AG310" s="2561" t="str">
        <f>Vietnam!R309</f>
        <v>Full year</v>
      </c>
      <c r="AH310" s="2558">
        <f>Vietnam!S309</f>
        <v>4</v>
      </c>
      <c r="AI310" s="2561">
        <f>Vietnam!T309</f>
        <v>0</v>
      </c>
      <c r="AJ310" s="2556">
        <f>Vietnam!U309</f>
        <v>13</v>
      </c>
      <c r="AK310" s="2557">
        <f>Indonesia!V309</f>
        <v>19</v>
      </c>
      <c r="AL310" s="2561">
        <f>Indonesia!W309</f>
        <v>0</v>
      </c>
      <c r="AM310" s="2558">
        <f>Indonesia!X309</f>
        <v>12</v>
      </c>
      <c r="AN310" s="2561">
        <f>Indonesia!Y309</f>
        <v>0</v>
      </c>
      <c r="AO310" s="2556">
        <f>Indonesia!Z309</f>
        <v>3</v>
      </c>
      <c r="AP310" s="2557">
        <f>Türkiye!AA309</f>
        <v>8</v>
      </c>
      <c r="AQ310" s="2561">
        <f>Türkiye!AB309</f>
        <v>0</v>
      </c>
      <c r="AR310" s="2558">
        <f>Türkiye!AC309</f>
        <v>18</v>
      </c>
      <c r="AS310" s="2561">
        <f>Türkiye!AD309</f>
        <v>0</v>
      </c>
      <c r="AT310" s="2556">
        <f>Türkiye!AE309</f>
        <v>13</v>
      </c>
      <c r="AU310" s="9799" t="s">
        <v>1161</v>
      </c>
      <c r="AV310" s="714" t="s">
        <v>1162</v>
      </c>
      <c r="AW310" s="99" t="s">
        <v>758</v>
      </c>
      <c r="AX310" s="547" t="s">
        <v>800</v>
      </c>
      <c r="AY310" s="547"/>
      <c r="AZ310" s="99"/>
      <c r="BA310" s="277" t="s">
        <v>1163</v>
      </c>
      <c r="BB310" s="265"/>
      <c r="BC310" s="187"/>
      <c r="BD310" s="18"/>
    </row>
    <row r="311" spans="2:56" ht="19.350000000000001" customHeight="1">
      <c r="B311" s="1360" t="b">
        <f t="shared" si="88"/>
        <v>0</v>
      </c>
      <c r="C311" s="1384"/>
      <c r="D311" s="286" t="s">
        <v>1849</v>
      </c>
      <c r="E311" s="897"/>
      <c r="F311" s="285" t="s">
        <v>732</v>
      </c>
      <c r="G311" s="384"/>
      <c r="H311" s="385"/>
      <c r="I311" s="358" t="s">
        <v>1167</v>
      </c>
      <c r="J311" s="358"/>
      <c r="K311" s="109" t="s">
        <v>734</v>
      </c>
      <c r="L311" s="308"/>
      <c r="M311" s="297"/>
      <c r="N311" s="308"/>
      <c r="O311" s="92"/>
      <c r="P311" s="228"/>
      <c r="Q311" s="297"/>
      <c r="R311" s="1463">
        <v>24</v>
      </c>
      <c r="S311" s="1523"/>
      <c r="T311" s="1463">
        <v>24</v>
      </c>
      <c r="U311" s="9806"/>
      <c r="V311" s="1464">
        <v>31</v>
      </c>
      <c r="W311" s="2060"/>
      <c r="X311" s="2557"/>
      <c r="Y311" s="2558"/>
      <c r="Z311" s="2559"/>
      <c r="AA311" s="2557">
        <f>China!AO310</f>
        <v>2</v>
      </c>
      <c r="AB311" s="2561">
        <f>China!AP310</f>
        <v>0</v>
      </c>
      <c r="AC311" s="2558">
        <f>China!AQ310</f>
        <v>5</v>
      </c>
      <c r="AD311" s="2561">
        <f>China!AR310</f>
        <v>0</v>
      </c>
      <c r="AE311" s="2556">
        <f>China!AS310</f>
        <v>28</v>
      </c>
      <c r="AF311" s="2557">
        <f>Vietnam!Q310</f>
        <v>19</v>
      </c>
      <c r="AG311" s="2561" t="str">
        <f>Vietnam!R310</f>
        <v>Full year</v>
      </c>
      <c r="AH311" s="2558">
        <f>Vietnam!S310</f>
        <v>10</v>
      </c>
      <c r="AI311" s="2561">
        <f>Vietnam!T310</f>
        <v>0</v>
      </c>
      <c r="AJ311" s="2556">
        <f>Vietnam!U310</f>
        <v>11</v>
      </c>
      <c r="AK311" s="2557">
        <f>Indonesia!V310</f>
        <v>13</v>
      </c>
      <c r="AL311" s="2561">
        <f>Indonesia!W310</f>
        <v>0</v>
      </c>
      <c r="AM311" s="2558">
        <f>Indonesia!X310</f>
        <v>7</v>
      </c>
      <c r="AN311" s="2561">
        <f>Indonesia!Y310</f>
        <v>0</v>
      </c>
      <c r="AO311" s="2556">
        <f>Indonesia!Z310</f>
        <v>2</v>
      </c>
      <c r="AP311" s="2557">
        <f>Türkiye!AA310</f>
        <v>15</v>
      </c>
      <c r="AQ311" s="2561">
        <f>Türkiye!AB310</f>
        <v>0</v>
      </c>
      <c r="AR311" s="2558">
        <f>Türkiye!AC310</f>
        <v>11</v>
      </c>
      <c r="AS311" s="2561">
        <f>Türkiye!AD310</f>
        <v>0</v>
      </c>
      <c r="AT311" s="2556">
        <f>Türkiye!AE310</f>
        <v>8</v>
      </c>
      <c r="AU311" s="9800"/>
      <c r="AV311" s="544"/>
      <c r="AW311" s="99" t="s">
        <v>758</v>
      </c>
      <c r="AX311" s="547" t="s">
        <v>800</v>
      </c>
      <c r="AY311" s="547"/>
      <c r="AZ311" s="99"/>
      <c r="BA311" s="277" t="s">
        <v>1163</v>
      </c>
      <c r="BB311" s="265"/>
      <c r="BC311" s="187"/>
      <c r="BD311" s="18"/>
    </row>
    <row r="312" spans="2:56" ht="19.350000000000001" customHeight="1">
      <c r="B312" s="1360"/>
      <c r="C312" s="736" t="s">
        <v>1168</v>
      </c>
      <c r="D312" s="736"/>
      <c r="E312" s="736"/>
      <c r="F312" s="1560"/>
      <c r="G312" s="889"/>
      <c r="H312" s="736" t="s">
        <v>1169</v>
      </c>
      <c r="I312" s="736"/>
      <c r="J312" s="736"/>
      <c r="K312" s="881" t="s">
        <v>168</v>
      </c>
      <c r="L312" s="890"/>
      <c r="M312" s="890"/>
      <c r="N312" s="890"/>
      <c r="O312" s="890"/>
      <c r="P312" s="890"/>
      <c r="Q312" s="890"/>
      <c r="R312" s="1586"/>
      <c r="S312" s="1587"/>
      <c r="T312" s="1588"/>
      <c r="U312" s="1587"/>
      <c r="V312" s="1588"/>
      <c r="W312" s="1572"/>
      <c r="X312" s="2778"/>
      <c r="Y312" s="2779"/>
      <c r="Z312" s="2780"/>
      <c r="AA312" s="2576"/>
      <c r="AB312" s="2574"/>
      <c r="AC312" s="2577"/>
      <c r="AD312" s="2574"/>
      <c r="AE312" s="2575"/>
      <c r="AF312" s="2576"/>
      <c r="AG312" s="2574"/>
      <c r="AH312" s="2577"/>
      <c r="AI312" s="2574"/>
      <c r="AJ312" s="2575"/>
      <c r="AK312" s="2576"/>
      <c r="AL312" s="2574"/>
      <c r="AM312" s="2577"/>
      <c r="AN312" s="2574"/>
      <c r="AO312" s="2575"/>
      <c r="AP312" s="2576"/>
      <c r="AQ312" s="2574"/>
      <c r="AR312" s="2577"/>
      <c r="AS312" s="2574"/>
      <c r="AT312" s="2575"/>
      <c r="AU312" s="1564"/>
      <c r="AW312" s="99" t="s">
        <v>737</v>
      </c>
      <c r="AX312" s="547" t="s">
        <v>800</v>
      </c>
      <c r="AY312" s="547"/>
      <c r="AZ312" s="99"/>
      <c r="BA312" s="277"/>
      <c r="BB312" s="265"/>
      <c r="BC312" s="187"/>
      <c r="BD312" s="18"/>
    </row>
    <row r="313" spans="2:56" ht="19.350000000000001" customHeight="1">
      <c r="B313" s="1360" t="b">
        <f t="shared" ref="B313:B314" si="89">OR(ISBLANK(R313),ISBLANK(T313),ISBLANK(V313))</f>
        <v>0</v>
      </c>
      <c r="C313" s="1376"/>
      <c r="D313" s="286" t="s">
        <v>1850</v>
      </c>
      <c r="E313" s="286"/>
      <c r="F313" s="285" t="s">
        <v>732</v>
      </c>
      <c r="G313" s="347"/>
      <c r="H313" s="348"/>
      <c r="I313" s="495" t="s">
        <v>1171</v>
      </c>
      <c r="J313" s="643"/>
      <c r="K313" s="109" t="s">
        <v>734</v>
      </c>
      <c r="L313" s="297">
        <v>42</v>
      </c>
      <c r="M313" s="297"/>
      <c r="N313" s="297">
        <v>45</v>
      </c>
      <c r="O313" s="92"/>
      <c r="P313" s="228"/>
      <c r="Q313" s="297"/>
      <c r="R313" s="1463">
        <v>39</v>
      </c>
      <c r="S313" s="1523" t="s">
        <v>1175</v>
      </c>
      <c r="T313" s="1463">
        <v>40</v>
      </c>
      <c r="U313" s="1526" t="s">
        <v>1176</v>
      </c>
      <c r="V313" s="1463">
        <v>1</v>
      </c>
      <c r="W313" s="2060"/>
      <c r="X313" s="2781">
        <f>'4DPLEX'!R286</f>
        <v>1</v>
      </c>
      <c r="Y313" s="2782">
        <f>'4DPLEX'!T286</f>
        <v>3</v>
      </c>
      <c r="Z313" s="2559">
        <f>'4DPLEX'!V286</f>
        <v>3</v>
      </c>
      <c r="AA313" s="2684">
        <f>China!AO312</f>
        <v>2</v>
      </c>
      <c r="AB313" s="2685"/>
      <c r="AC313" s="2686">
        <f>China!AQ312</f>
        <v>2</v>
      </c>
      <c r="AD313" s="2685"/>
      <c r="AE313" s="2687">
        <f>China!AS312</f>
        <v>2</v>
      </c>
      <c r="AF313" s="2783">
        <f>Vietnam!Q312</f>
        <v>0</v>
      </c>
      <c r="AG313" s="2685">
        <f>Vietnam!R312</f>
        <v>0</v>
      </c>
      <c r="AH313" s="2784">
        <f>Vietnam!S312</f>
        <v>0</v>
      </c>
      <c r="AI313" s="2685">
        <f>Vietnam!T312</f>
        <v>0</v>
      </c>
      <c r="AJ313" s="2687">
        <f>Vietnam!U312</f>
        <v>0</v>
      </c>
      <c r="AK313" s="2684">
        <v>0</v>
      </c>
      <c r="AL313" s="2685">
        <v>0</v>
      </c>
      <c r="AM313" s="2686">
        <v>0</v>
      </c>
      <c r="AN313" s="2561">
        <v>0</v>
      </c>
      <c r="AO313" s="2556">
        <v>0</v>
      </c>
      <c r="AP313" s="2557">
        <f>Türkiye!AA312</f>
        <v>22</v>
      </c>
      <c r="AQ313" s="2561">
        <f>Türkiye!AB312</f>
        <v>0</v>
      </c>
      <c r="AR313" s="2558">
        <f>Türkiye!AC312</f>
        <v>19</v>
      </c>
      <c r="AS313" s="2561">
        <f>Türkiye!AD312</f>
        <v>0</v>
      </c>
      <c r="AT313" s="2556">
        <f>Türkiye!AE312</f>
        <v>16</v>
      </c>
      <c r="AU313" s="2468" t="s">
        <v>1172</v>
      </c>
      <c r="AV313" s="276" t="s">
        <v>1173</v>
      </c>
      <c r="AW313" s="99" t="s">
        <v>737</v>
      </c>
      <c r="AX313" s="547" t="s">
        <v>800</v>
      </c>
      <c r="AY313" s="547"/>
      <c r="AZ313" s="99"/>
      <c r="BA313" s="277" t="s">
        <v>1174</v>
      </c>
      <c r="BB313" s="265"/>
      <c r="BC313" s="187"/>
      <c r="BD313" s="18"/>
    </row>
    <row r="314" spans="2:56" ht="19.350000000000001" customHeight="1">
      <c r="B314" s="1360" t="b">
        <f t="shared" si="89"/>
        <v>0</v>
      </c>
      <c r="C314" s="915"/>
      <c r="D314" s="286" t="s">
        <v>1180</v>
      </c>
      <c r="E314" s="286"/>
      <c r="F314" s="285" t="s">
        <v>742</v>
      </c>
      <c r="G314" s="384"/>
      <c r="H314" s="385"/>
      <c r="I314" s="286" t="s">
        <v>1181</v>
      </c>
      <c r="J314" s="286"/>
      <c r="K314" s="109" t="s">
        <v>734</v>
      </c>
      <c r="L314" s="352">
        <v>28</v>
      </c>
      <c r="M314" s="352"/>
      <c r="N314" s="352">
        <v>23</v>
      </c>
      <c r="O314" s="350"/>
      <c r="P314" s="351"/>
      <c r="Q314" s="352"/>
      <c r="R314" s="1463">
        <v>28</v>
      </c>
      <c r="S314" s="1531" t="s">
        <v>1183</v>
      </c>
      <c r="T314" s="1463">
        <v>23</v>
      </c>
      <c r="U314" s="1532" t="s">
        <v>1851</v>
      </c>
      <c r="V314" s="1464">
        <v>22</v>
      </c>
      <c r="W314" s="2064"/>
      <c r="X314" s="2647">
        <f>'4DPLEX'!R287</f>
        <v>0</v>
      </c>
      <c r="Y314" s="2648">
        <f>'4DPLEX'!T287</f>
        <v>0</v>
      </c>
      <c r="Z314" s="2559">
        <f>'4DPLEX'!V287</f>
        <v>0</v>
      </c>
      <c r="AA314" s="2785">
        <f>China!AO313</f>
        <v>0</v>
      </c>
      <c r="AB314" s="2786">
        <f>China!AP313</f>
        <v>0</v>
      </c>
      <c r="AC314" s="2787">
        <f>China!AQ313</f>
        <v>0</v>
      </c>
      <c r="AD314" s="2786">
        <f>China!AR313</f>
        <v>0</v>
      </c>
      <c r="AE314" s="2788">
        <f>China!AS313</f>
        <v>0</v>
      </c>
      <c r="AF314" s="2785">
        <f>Vietnam!Q313</f>
        <v>0</v>
      </c>
      <c r="AG314" s="2786">
        <f>Vietnam!R313</f>
        <v>0</v>
      </c>
      <c r="AH314" s="2787">
        <f>Vietnam!S313</f>
        <v>0</v>
      </c>
      <c r="AI314" s="2786">
        <f>Vietnam!T313</f>
        <v>0</v>
      </c>
      <c r="AJ314" s="2788">
        <f>Vietnam!U313</f>
        <v>0</v>
      </c>
      <c r="AK314" s="2785">
        <v>0</v>
      </c>
      <c r="AL314" s="2786">
        <v>0</v>
      </c>
      <c r="AM314" s="2787">
        <v>0</v>
      </c>
      <c r="AN314" s="2626">
        <v>0</v>
      </c>
      <c r="AO314" s="2649">
        <v>0</v>
      </c>
      <c r="AP314" s="2647"/>
      <c r="AQ314" s="2626"/>
      <c r="AR314" s="2648"/>
      <c r="AS314" s="2626"/>
      <c r="AT314" s="2649"/>
      <c r="AU314" s="1052" t="s">
        <v>1172</v>
      </c>
      <c r="AV314" s="714" t="s">
        <v>1173</v>
      </c>
      <c r="AW314" s="99" t="s">
        <v>737</v>
      </c>
      <c r="AX314" s="547" t="s">
        <v>800</v>
      </c>
      <c r="AY314" s="547"/>
      <c r="AZ314" s="99"/>
      <c r="BA314" s="277" t="s">
        <v>1174</v>
      </c>
      <c r="BB314" s="265"/>
      <c r="BC314" s="187"/>
      <c r="BD314" s="18"/>
    </row>
    <row r="315" spans="2:56" ht="19.350000000000001" customHeight="1">
      <c r="B315" s="1353" t="str">
        <f>C315</f>
        <v>정기 성과평가 받은 임직원 비율</v>
      </c>
      <c r="C315" s="947" t="s">
        <v>1186</v>
      </c>
      <c r="D315" s="728"/>
      <c r="E315" s="947"/>
      <c r="F315" s="1568"/>
      <c r="G315" s="889"/>
      <c r="H315" s="736" t="s">
        <v>1187</v>
      </c>
      <c r="I315" s="736"/>
      <c r="J315" s="736"/>
      <c r="K315" s="881" t="s">
        <v>168</v>
      </c>
      <c r="L315" s="890"/>
      <c r="M315" s="890"/>
      <c r="N315" s="890"/>
      <c r="O315" s="890"/>
      <c r="P315" s="890"/>
      <c r="Q315" s="890"/>
      <c r="R315" s="1583"/>
      <c r="S315" s="1584"/>
      <c r="T315" s="1585"/>
      <c r="U315" s="1584"/>
      <c r="V315" s="1585"/>
      <c r="W315" s="1572"/>
      <c r="X315" s="2778"/>
      <c r="Y315" s="2779"/>
      <c r="Z315" s="2780"/>
      <c r="AA315" s="2789"/>
      <c r="AB315" s="2790"/>
      <c r="AC315" s="2791"/>
      <c r="AD315" s="2790"/>
      <c r="AE315" s="2792"/>
      <c r="AF315" s="2789"/>
      <c r="AG315" s="2790"/>
      <c r="AH315" s="2791"/>
      <c r="AI315" s="2790"/>
      <c r="AJ315" s="2792"/>
      <c r="AK315" s="2789"/>
      <c r="AL315" s="2790"/>
      <c r="AM315" s="2791"/>
      <c r="AN315" s="2790"/>
      <c r="AO315" s="2793"/>
      <c r="AP315" s="2794"/>
      <c r="AQ315" s="2790"/>
      <c r="AR315" s="2795"/>
      <c r="AS315" s="2790"/>
      <c r="AT315" s="2793"/>
      <c r="AU315" s="1564"/>
      <c r="AW315" s="99" t="s">
        <v>737</v>
      </c>
      <c r="AX315" s="547"/>
      <c r="AY315" s="547"/>
      <c r="AZ315" s="99"/>
      <c r="BA315" s="277"/>
      <c r="BB315" s="277"/>
      <c r="BC315" s="187"/>
      <c r="BD315" s="18"/>
    </row>
    <row r="316" spans="2:56" ht="19.350000000000001" customHeight="1">
      <c r="B316" s="1360" t="b">
        <f t="shared" ref="B316:B321" si="90">OR(ISBLANK(R316),ISBLANK(T316),ISBLANK(V316))</f>
        <v>0</v>
      </c>
      <c r="C316" s="1376"/>
      <c r="D316" s="286" t="s">
        <v>1188</v>
      </c>
      <c r="E316" s="286"/>
      <c r="F316" s="285" t="s">
        <v>156</v>
      </c>
      <c r="G316" s="905"/>
      <c r="H316" s="906"/>
      <c r="I316" s="907" t="s">
        <v>1189</v>
      </c>
      <c r="J316" s="908"/>
      <c r="K316" s="109" t="s">
        <v>156</v>
      </c>
      <c r="L316" s="297">
        <v>90.950226244343895</v>
      </c>
      <c r="M316" s="297"/>
      <c r="N316" s="297">
        <v>92.012480499219976</v>
      </c>
      <c r="O316" s="92"/>
      <c r="P316" s="228"/>
      <c r="Q316" s="297"/>
      <c r="R316" s="1488">
        <v>88.722466960352421</v>
      </c>
      <c r="S316" s="1430"/>
      <c r="T316" s="1488">
        <v>94.895168641750232</v>
      </c>
      <c r="U316" s="935"/>
      <c r="V316" s="1490">
        <v>95.211786372007396</v>
      </c>
      <c r="W316" s="2060"/>
      <c r="X316" s="2557"/>
      <c r="Y316" s="2558"/>
      <c r="Z316" s="2559"/>
      <c r="AA316" s="2684">
        <f>China!AO315</f>
        <v>92.694497153700198</v>
      </c>
      <c r="AB316" s="2685">
        <f>China!AP315</f>
        <v>0</v>
      </c>
      <c r="AC316" s="2686">
        <f>China!AQ315</f>
        <v>94.71947194719472</v>
      </c>
      <c r="AD316" s="2685">
        <f>China!AR315</f>
        <v>0</v>
      </c>
      <c r="AE316" s="2687">
        <f>China!AS315</f>
        <v>91</v>
      </c>
      <c r="AF316" s="2684"/>
      <c r="AG316" s="2685"/>
      <c r="AH316" s="2686"/>
      <c r="AI316" s="2685"/>
      <c r="AJ316" s="2687"/>
      <c r="AK316" s="2684">
        <f>Indonesia!V315</f>
        <v>95.778364116094977</v>
      </c>
      <c r="AL316" s="2685">
        <f>Indonesia!W315</f>
        <v>0</v>
      </c>
      <c r="AM316" s="2686">
        <f>Indonesia!X315</f>
        <v>89.258312020460366</v>
      </c>
      <c r="AN316" s="2561">
        <f>Indonesia!Y315</f>
        <v>0</v>
      </c>
      <c r="AO316" s="2556">
        <f>Indonesia!Z315</f>
        <v>0</v>
      </c>
      <c r="AP316" s="2557"/>
      <c r="AQ316" s="2561"/>
      <c r="AR316" s="2558"/>
      <c r="AS316" s="2561"/>
      <c r="AT316" s="2556"/>
      <c r="AU316" s="2468" t="s">
        <v>1190</v>
      </c>
      <c r="AV316" s="276" t="s">
        <v>1191</v>
      </c>
      <c r="AW316" s="99" t="s">
        <v>737</v>
      </c>
      <c r="AX316" s="547"/>
      <c r="AY316" s="547"/>
      <c r="AZ316" s="99"/>
      <c r="BA316" s="277" t="s">
        <v>1192</v>
      </c>
      <c r="BB316" s="277" t="s">
        <v>1193</v>
      </c>
      <c r="BC316" s="187"/>
      <c r="BD316" s="18"/>
    </row>
    <row r="317" spans="2:56" ht="19.350000000000001" customHeight="1">
      <c r="B317" s="1360" t="b">
        <f t="shared" si="90"/>
        <v>0</v>
      </c>
      <c r="C317" s="27"/>
      <c r="D317" s="286" t="s">
        <v>1196</v>
      </c>
      <c r="E317" s="286"/>
      <c r="F317" s="285" t="s">
        <v>156</v>
      </c>
      <c r="G317" s="909"/>
      <c r="H317" s="910"/>
      <c r="I317" s="907" t="s">
        <v>1197</v>
      </c>
      <c r="J317" s="908"/>
      <c r="K317" s="109" t="s">
        <v>156</v>
      </c>
      <c r="L317" s="297">
        <v>90.950226244343895</v>
      </c>
      <c r="M317" s="297"/>
      <c r="N317" s="297">
        <v>92.043681747269886</v>
      </c>
      <c r="O317" s="92"/>
      <c r="P317" s="228"/>
      <c r="Q317" s="297"/>
      <c r="R317" s="1488">
        <v>87.224669603524234</v>
      </c>
      <c r="S317" s="1430"/>
      <c r="T317" s="1488">
        <v>93.25432999088423</v>
      </c>
      <c r="U317" s="935"/>
      <c r="V317" s="1490">
        <v>93.462246777163898</v>
      </c>
      <c r="W317" s="2060"/>
      <c r="X317" s="2557"/>
      <c r="Y317" s="2558"/>
      <c r="Z317" s="2559"/>
      <c r="AA317" s="2684">
        <f>China!AO316</f>
        <v>92.694497153700198</v>
      </c>
      <c r="AB317" s="2685">
        <f>China!AP316</f>
        <v>0</v>
      </c>
      <c r="AC317" s="2686">
        <f>China!AQ316</f>
        <v>94.71947194719472</v>
      </c>
      <c r="AD317" s="2685">
        <f>China!AR316</f>
        <v>0</v>
      </c>
      <c r="AE317" s="2687">
        <f>China!AS316</f>
        <v>91</v>
      </c>
      <c r="AF317" s="2684"/>
      <c r="AG317" s="2685"/>
      <c r="AH317" s="2686"/>
      <c r="AI317" s="2685"/>
      <c r="AJ317" s="2687"/>
      <c r="AK317" s="2684">
        <f>Indonesia!V316</f>
        <v>96.569920844327171</v>
      </c>
      <c r="AL317" s="2685">
        <f>Indonesia!W316</f>
        <v>0</v>
      </c>
      <c r="AM317" s="2686">
        <f>Indonesia!X316</f>
        <v>90.025575447570333</v>
      </c>
      <c r="AN317" s="2561">
        <f>Indonesia!Y316</f>
        <v>0</v>
      </c>
      <c r="AO317" s="2556">
        <f>Indonesia!Z316</f>
        <v>0</v>
      </c>
      <c r="AP317" s="2557"/>
      <c r="AQ317" s="2561"/>
      <c r="AR317" s="2558"/>
      <c r="AS317" s="2561"/>
      <c r="AT317" s="2556"/>
      <c r="AU317" s="2468"/>
      <c r="AV317" s="276"/>
      <c r="AW317" s="99" t="s">
        <v>737</v>
      </c>
      <c r="AX317" s="547"/>
      <c r="AY317" s="547"/>
      <c r="AZ317" s="99"/>
      <c r="BA317" s="277" t="s">
        <v>1192</v>
      </c>
      <c r="BB317" s="277" t="s">
        <v>1193</v>
      </c>
      <c r="BC317" s="187"/>
      <c r="BD317" s="18"/>
    </row>
    <row r="318" spans="2:56" ht="19.350000000000001" customHeight="1">
      <c r="B318" s="1360" t="b">
        <f t="shared" si="90"/>
        <v>0</v>
      </c>
      <c r="C318" s="915"/>
      <c r="D318" s="893" t="s">
        <v>1198</v>
      </c>
      <c r="E318" s="911"/>
      <c r="F318" s="285" t="s">
        <v>156</v>
      </c>
      <c r="G318" s="912"/>
      <c r="H318" s="913"/>
      <c r="I318" s="777" t="s">
        <v>1852</v>
      </c>
      <c r="J318" s="777"/>
      <c r="K318" s="109" t="s">
        <v>156</v>
      </c>
      <c r="L318" s="297">
        <v>90.497737556561091</v>
      </c>
      <c r="M318" s="297"/>
      <c r="N318" s="297">
        <v>91.513260530421221</v>
      </c>
      <c r="O318" s="92"/>
      <c r="P318" s="228"/>
      <c r="Q318" s="297"/>
      <c r="R318" s="1488">
        <v>87.224669603524234</v>
      </c>
      <c r="S318" s="1430"/>
      <c r="T318" s="1488">
        <v>93.25432999088423</v>
      </c>
      <c r="U318" s="935"/>
      <c r="V318" s="1490">
        <v>93.093922651933696</v>
      </c>
      <c r="W318" s="2060"/>
      <c r="X318" s="2557"/>
      <c r="Y318" s="2558"/>
      <c r="Z318" s="2559"/>
      <c r="AA318" s="2684">
        <f>China!AO317</f>
        <v>92.694497153700198</v>
      </c>
      <c r="AB318" s="2685">
        <f>China!AP317</f>
        <v>0</v>
      </c>
      <c r="AC318" s="2686">
        <f>China!AQ317</f>
        <v>94.71947194719472</v>
      </c>
      <c r="AD318" s="2685">
        <f>China!AR317</f>
        <v>0</v>
      </c>
      <c r="AE318" s="2687">
        <f>China!AS317</f>
        <v>91</v>
      </c>
      <c r="AF318" s="2684"/>
      <c r="AG318" s="2685"/>
      <c r="AH318" s="2686"/>
      <c r="AI318" s="2685"/>
      <c r="AJ318" s="2687"/>
      <c r="AK318" s="2684">
        <f>Indonesia!V317</f>
        <v>96.569920844327171</v>
      </c>
      <c r="AL318" s="2685">
        <f>Indonesia!W317</f>
        <v>0</v>
      </c>
      <c r="AM318" s="2686">
        <f>Indonesia!X317</f>
        <v>90.025575447570333</v>
      </c>
      <c r="AN318" s="2561">
        <f>Indonesia!Y317</f>
        <v>0</v>
      </c>
      <c r="AO318" s="2556">
        <f>Indonesia!Z317</f>
        <v>0</v>
      </c>
      <c r="AP318" s="2557"/>
      <c r="AQ318" s="2561"/>
      <c r="AR318" s="2558"/>
      <c r="AS318" s="2561"/>
      <c r="AT318" s="2556"/>
      <c r="AU318" s="2468"/>
      <c r="AW318" s="99" t="s">
        <v>737</v>
      </c>
      <c r="AX318" s="546"/>
      <c r="AY318" s="547"/>
      <c r="AZ318" s="796"/>
      <c r="BA318" s="277" t="s">
        <v>1192</v>
      </c>
      <c r="BB318" s="277" t="s">
        <v>1193</v>
      </c>
      <c r="BC318" s="187"/>
      <c r="BD318" s="18"/>
    </row>
    <row r="319" spans="2:56" ht="19.350000000000001" customHeight="1">
      <c r="B319" s="1360" t="b">
        <f t="shared" si="90"/>
        <v>0</v>
      </c>
      <c r="C319" s="781" t="s">
        <v>1200</v>
      </c>
      <c r="D319" s="781"/>
      <c r="E319" s="781"/>
      <c r="F319" s="285" t="s">
        <v>156</v>
      </c>
      <c r="G319" s="777"/>
      <c r="H319" s="757" t="s">
        <v>1201</v>
      </c>
      <c r="I319" s="753"/>
      <c r="J319" s="908"/>
      <c r="K319" s="109" t="s">
        <v>156</v>
      </c>
      <c r="L319" s="354">
        <f>IFERROR(L320/L321*100,"-")</f>
        <v>8.5199979057591637</v>
      </c>
      <c r="M319" s="95"/>
      <c r="N319" s="354">
        <f>IFERROR(N320/N321*100,"-")</f>
        <v>3.7333833254205868</v>
      </c>
      <c r="O319" s="92"/>
      <c r="P319" s="356" t="str">
        <f>IFERROR(P320/P321*100,"-")</f>
        <v>-</v>
      </c>
      <c r="Q319" s="356"/>
      <c r="R319" s="1487">
        <v>8.5199979057591637</v>
      </c>
      <c r="S319" s="1431"/>
      <c r="T319" s="1487">
        <v>3.7333833254205868</v>
      </c>
      <c r="U319" s="1431"/>
      <c r="V319" s="1487">
        <f>IFERROR(V320/V321*100,"-")</f>
        <v>3.5044947180263271</v>
      </c>
      <c r="W319" s="2065"/>
      <c r="X319" s="2562"/>
      <c r="Y319" s="2564"/>
      <c r="Z319" s="2565"/>
      <c r="AA319" s="2562"/>
      <c r="AB319" s="2561"/>
      <c r="AC319" s="2564"/>
      <c r="AD319" s="2561"/>
      <c r="AE319" s="2566"/>
      <c r="AF319" s="2562"/>
      <c r="AG319" s="2561"/>
      <c r="AH319" s="2564"/>
      <c r="AI319" s="2561"/>
      <c r="AJ319" s="2566"/>
      <c r="AK319" s="2562"/>
      <c r="AL319" s="2561"/>
      <c r="AM319" s="2564"/>
      <c r="AN319" s="2561"/>
      <c r="AO319" s="2566"/>
      <c r="AP319" s="2562"/>
      <c r="AQ319" s="2561"/>
      <c r="AR319" s="2564"/>
      <c r="AS319" s="2561"/>
      <c r="AT319" s="2566"/>
      <c r="AU319" s="2468" t="s">
        <v>1202</v>
      </c>
      <c r="AV319" s="544" t="s">
        <v>1203</v>
      </c>
      <c r="AW319" s="873" t="s">
        <v>737</v>
      </c>
      <c r="AX319" s="547"/>
      <c r="AY319" s="547"/>
      <c r="AZ319" s="873"/>
      <c r="BA319" s="277" t="s">
        <v>1204</v>
      </c>
      <c r="BB319" s="265"/>
      <c r="BC319" s="187"/>
      <c r="BD319" s="18"/>
    </row>
    <row r="320" spans="2:56" ht="19.350000000000001" customHeight="1">
      <c r="B320" s="1360" t="b">
        <f t="shared" si="90"/>
        <v>0</v>
      </c>
      <c r="C320" s="915"/>
      <c r="D320" s="914" t="s">
        <v>1205</v>
      </c>
      <c r="E320" s="915"/>
      <c r="F320" s="285" t="s">
        <v>33</v>
      </c>
      <c r="G320" s="912"/>
      <c r="H320" s="913"/>
      <c r="I320" s="913" t="s">
        <v>1206</v>
      </c>
      <c r="J320" s="913"/>
      <c r="K320" s="109" t="s">
        <v>35</v>
      </c>
      <c r="L320" s="916">
        <v>48.819588000000003</v>
      </c>
      <c r="M320" s="874"/>
      <c r="N320" s="916">
        <v>55.568705999999999</v>
      </c>
      <c r="O320" s="875"/>
      <c r="P320" s="876"/>
      <c r="Q320" s="874"/>
      <c r="R320" s="1488">
        <v>48.819588000000003</v>
      </c>
      <c r="S320" s="1439" t="s">
        <v>1209</v>
      </c>
      <c r="T320" s="1488">
        <v>55.568705999999999</v>
      </c>
      <c r="U320" s="1440" t="s">
        <v>1209</v>
      </c>
      <c r="V320" s="1521">
        <v>51.010297999999999</v>
      </c>
      <c r="W320" s="2089"/>
      <c r="X320" s="2591"/>
      <c r="Y320" s="2593"/>
      <c r="Z320" s="2728"/>
      <c r="AA320" s="2738"/>
      <c r="AB320" s="2796"/>
      <c r="AC320" s="2739"/>
      <c r="AD320" s="2796"/>
      <c r="AE320" s="2737"/>
      <c r="AF320" s="2738"/>
      <c r="AG320" s="2796"/>
      <c r="AH320" s="2739"/>
      <c r="AI320" s="2796"/>
      <c r="AJ320" s="2737"/>
      <c r="AK320" s="2738"/>
      <c r="AL320" s="2776"/>
      <c r="AM320" s="2739"/>
      <c r="AN320" s="2741"/>
      <c r="AO320" s="2587"/>
      <c r="AP320" s="2591"/>
      <c r="AQ320" s="2741"/>
      <c r="AR320" s="2593"/>
      <c r="AS320" s="2741"/>
      <c r="AT320" s="2587"/>
      <c r="AU320" s="2483"/>
      <c r="AV320" s="544"/>
      <c r="AW320" s="109" t="s">
        <v>737</v>
      </c>
      <c r="AX320" s="547"/>
      <c r="AY320" s="547"/>
      <c r="AZ320" s="109"/>
      <c r="BA320" s="277" t="s">
        <v>1204</v>
      </c>
      <c r="BB320" s="265"/>
      <c r="BC320" s="187" t="s">
        <v>1207</v>
      </c>
      <c r="BD320" s="18"/>
    </row>
    <row r="321" spans="1:57" ht="19.350000000000001" customHeight="1">
      <c r="B321" s="1360" t="b">
        <f t="shared" si="90"/>
        <v>0</v>
      </c>
      <c r="C321" s="921"/>
      <c r="D321" s="920" t="s">
        <v>1215</v>
      </c>
      <c r="E321" s="921"/>
      <c r="F321" s="285" t="s">
        <v>33</v>
      </c>
      <c r="G321" s="777"/>
      <c r="H321" s="922"/>
      <c r="I321" s="922" t="s">
        <v>1216</v>
      </c>
      <c r="J321" s="922"/>
      <c r="K321" s="109" t="s">
        <v>35</v>
      </c>
      <c r="L321" s="923">
        <v>573</v>
      </c>
      <c r="M321" s="297"/>
      <c r="N321" s="923">
        <v>1488.427551</v>
      </c>
      <c r="O321" s="92"/>
      <c r="P321" s="228"/>
      <c r="Q321" s="297"/>
      <c r="R321" s="1488">
        <v>573</v>
      </c>
      <c r="S321" s="1430" t="s">
        <v>1218</v>
      </c>
      <c r="T321" s="1488">
        <v>1488.427551</v>
      </c>
      <c r="U321" s="935" t="s">
        <v>1218</v>
      </c>
      <c r="V321" s="1490">
        <v>1455.5678379999999</v>
      </c>
      <c r="W321" s="2060"/>
      <c r="X321" s="2557"/>
      <c r="Y321" s="2558"/>
      <c r="Z321" s="2559"/>
      <c r="AA321" s="2684"/>
      <c r="AB321" s="2688"/>
      <c r="AC321" s="2686"/>
      <c r="AD321" s="2688"/>
      <c r="AE321" s="2687"/>
      <c r="AF321" s="2684"/>
      <c r="AG321" s="2688"/>
      <c r="AH321" s="2686"/>
      <c r="AI321" s="2688"/>
      <c r="AJ321" s="2687"/>
      <c r="AK321" s="2684"/>
      <c r="AL321" s="2685"/>
      <c r="AM321" s="2686"/>
      <c r="AN321" s="2561"/>
      <c r="AO321" s="2556"/>
      <c r="AP321" s="2557"/>
      <c r="AQ321" s="2561"/>
      <c r="AR321" s="2558"/>
      <c r="AS321" s="2561"/>
      <c r="AT321" s="2556"/>
      <c r="AU321" s="2468"/>
      <c r="AV321" s="276"/>
      <c r="AW321" s="109" t="s">
        <v>737</v>
      </c>
      <c r="AX321" s="547"/>
      <c r="AY321" s="547"/>
      <c r="AZ321" s="109"/>
      <c r="BA321" s="277" t="s">
        <v>1204</v>
      </c>
      <c r="BB321" s="427"/>
      <c r="BC321" s="187" t="s">
        <v>1207</v>
      </c>
      <c r="BD321" s="18"/>
    </row>
    <row r="322" spans="1:57" ht="19.350000000000001" customHeight="1">
      <c r="B322" s="1353" t="str">
        <f>C322</f>
        <v>최저(생활)임금을 받는 임직원 비율</v>
      </c>
      <c r="C322" s="924" t="s">
        <v>1221</v>
      </c>
      <c r="D322" s="924"/>
      <c r="E322" s="924"/>
      <c r="F322" s="285" t="s">
        <v>156</v>
      </c>
      <c r="G322" s="777"/>
      <c r="H322" s="925" t="s">
        <v>1222</v>
      </c>
      <c r="I322" s="926"/>
      <c r="J322" s="927"/>
      <c r="K322" s="109" t="s">
        <v>156</v>
      </c>
      <c r="L322" s="391">
        <f>IFERROR(L323/L324*100,"-")</f>
        <v>0</v>
      </c>
      <c r="M322" s="928"/>
      <c r="N322" s="391">
        <f>IFERROR(N323/N324*100,"-")</f>
        <v>0</v>
      </c>
      <c r="O322" s="929"/>
      <c r="P322" s="391" t="str">
        <f>IFERROR(P323/P324*100,"-")</f>
        <v>-</v>
      </c>
      <c r="Q322" s="391"/>
      <c r="R322" s="1487">
        <v>0</v>
      </c>
      <c r="S322" s="1667" t="s">
        <v>1780</v>
      </c>
      <c r="T322" s="1487">
        <v>0</v>
      </c>
      <c r="U322" s="1667" t="s">
        <v>1780</v>
      </c>
      <c r="V322" s="5492" t="str">
        <f>IFERROR(V323/V324*100,"-")</f>
        <v>-</v>
      </c>
      <c r="W322" s="2090"/>
      <c r="X322" s="2562"/>
      <c r="Y322" s="2564"/>
      <c r="Z322" s="2565"/>
      <c r="AA322" s="2562"/>
      <c r="AB322" s="2797"/>
      <c r="AC322" s="2564"/>
      <c r="AD322" s="2797"/>
      <c r="AE322" s="2566"/>
      <c r="AF322" s="2562"/>
      <c r="AG322" s="2638"/>
      <c r="AH322" s="2564"/>
      <c r="AI322" s="2797"/>
      <c r="AJ322" s="2566"/>
      <c r="AK322" s="2562"/>
      <c r="AL322" s="2638"/>
      <c r="AM322" s="2564"/>
      <c r="AN322" s="2638"/>
      <c r="AO322" s="2566"/>
      <c r="AP322" s="2562"/>
      <c r="AQ322" s="2638"/>
      <c r="AR322" s="2564"/>
      <c r="AS322" s="2638"/>
      <c r="AT322" s="2566"/>
      <c r="AU322" s="2468" t="s">
        <v>1223</v>
      </c>
      <c r="AV322" s="276" t="s">
        <v>1224</v>
      </c>
      <c r="AW322" s="109" t="s">
        <v>737</v>
      </c>
      <c r="AX322" s="547"/>
      <c r="AY322" s="547"/>
      <c r="AZ322" s="299" t="s">
        <v>193</v>
      </c>
      <c r="BA322" s="277" t="s">
        <v>1225</v>
      </c>
      <c r="BB322" s="427"/>
      <c r="BC322" s="221"/>
      <c r="BD322" s="18"/>
    </row>
    <row r="323" spans="1:57" ht="19.350000000000001" customHeight="1">
      <c r="B323" s="1360" t="b">
        <f>OR(ISBLANK(R323),ISBLANK(T323),ISBLANK(V323))</f>
        <v>1</v>
      </c>
      <c r="C323" s="1210"/>
      <c r="D323" s="931" t="s">
        <v>1226</v>
      </c>
      <c r="E323" s="931"/>
      <c r="F323" s="285" t="s">
        <v>33</v>
      </c>
      <c r="G323" s="777"/>
      <c r="H323" s="922"/>
      <c r="I323" s="932" t="s">
        <v>1227</v>
      </c>
      <c r="J323" s="922"/>
      <c r="K323" s="109" t="s">
        <v>35</v>
      </c>
      <c r="L323" s="933"/>
      <c r="M323" s="290"/>
      <c r="N323" s="933"/>
      <c r="O323" s="284"/>
      <c r="P323" s="228"/>
      <c r="Q323" s="297"/>
      <c r="R323" s="1488"/>
      <c r="S323" s="934" t="s">
        <v>302</v>
      </c>
      <c r="T323" s="1488"/>
      <c r="U323" s="930" t="s">
        <v>302</v>
      </c>
      <c r="V323" s="5492"/>
      <c r="W323" s="2060"/>
      <c r="X323" s="2557"/>
      <c r="Y323" s="2558"/>
      <c r="Z323" s="2559"/>
      <c r="AA323" s="2557"/>
      <c r="AB323" s="2638"/>
      <c r="AC323" s="2558"/>
      <c r="AD323" s="2797"/>
      <c r="AE323" s="2556"/>
      <c r="AF323" s="2557"/>
      <c r="AG323" s="2797"/>
      <c r="AH323" s="2558"/>
      <c r="AI323" s="2797"/>
      <c r="AJ323" s="2556"/>
      <c r="AK323" s="2557"/>
      <c r="AL323" s="2638"/>
      <c r="AM323" s="2558"/>
      <c r="AN323" s="2638"/>
      <c r="AO323" s="2556"/>
      <c r="AP323" s="2557"/>
      <c r="AQ323" s="2638"/>
      <c r="AR323" s="2558"/>
      <c r="AS323" s="2638"/>
      <c r="AT323" s="2556"/>
      <c r="AU323" s="2468"/>
      <c r="AV323" s="276"/>
      <c r="AW323" s="109" t="s">
        <v>737</v>
      </c>
      <c r="AX323" s="547"/>
      <c r="AY323" s="547"/>
      <c r="AZ323" s="299" t="s">
        <v>193</v>
      </c>
      <c r="BA323" s="277" t="s">
        <v>1225</v>
      </c>
      <c r="BB323" s="265"/>
      <c r="BC323" s="187"/>
      <c r="BD323" s="18"/>
    </row>
    <row r="324" spans="1:57" ht="19.350000000000001" customHeight="1">
      <c r="B324" s="1360" t="b">
        <f>OR(ISBLANK(R324),ISBLANK(T324),ISBLANK(V324))</f>
        <v>0</v>
      </c>
      <c r="C324" s="1385"/>
      <c r="D324" s="936" t="s">
        <v>1031</v>
      </c>
      <c r="E324" s="924"/>
      <c r="F324" s="285" t="s">
        <v>33</v>
      </c>
      <c r="G324" s="777"/>
      <c r="H324" s="922"/>
      <c r="I324" s="932" t="s">
        <v>1032</v>
      </c>
      <c r="J324" s="922"/>
      <c r="K324" s="109" t="s">
        <v>35</v>
      </c>
      <c r="L324" s="937">
        <v>6507</v>
      </c>
      <c r="M324" s="938"/>
      <c r="N324" s="937">
        <v>8712</v>
      </c>
      <c r="O324" s="939"/>
      <c r="P324" s="937">
        <v>0</v>
      </c>
      <c r="Q324" s="937"/>
      <c r="R324" s="1488">
        <v>3601</v>
      </c>
      <c r="S324" s="934" t="s">
        <v>302</v>
      </c>
      <c r="T324" s="1488">
        <v>4502</v>
      </c>
      <c r="U324" s="930" t="s">
        <v>302</v>
      </c>
      <c r="V324" s="5491">
        <v>0</v>
      </c>
      <c r="W324" s="2091"/>
      <c r="X324" s="2798"/>
      <c r="Y324" s="2799"/>
      <c r="Z324" s="2800"/>
      <c r="AA324" s="2801"/>
      <c r="AB324" s="2802"/>
      <c r="AC324" s="2803"/>
      <c r="AD324" s="2802"/>
      <c r="AE324" s="2804"/>
      <c r="AF324" s="2801"/>
      <c r="AG324" s="2802"/>
      <c r="AH324" s="2803"/>
      <c r="AI324" s="2802"/>
      <c r="AJ324" s="2804"/>
      <c r="AK324" s="2801"/>
      <c r="AL324" s="2805"/>
      <c r="AM324" s="2803"/>
      <c r="AN324" s="2805"/>
      <c r="AO324" s="2804"/>
      <c r="AP324" s="2801"/>
      <c r="AQ324" s="2805"/>
      <c r="AR324" s="2803"/>
      <c r="AS324" s="2805"/>
      <c r="AT324" s="2804"/>
      <c r="AU324" s="2468"/>
      <c r="AV324" s="276"/>
      <c r="AW324" s="109" t="s">
        <v>737</v>
      </c>
      <c r="AX324" s="547"/>
      <c r="AY324" s="547"/>
      <c r="AZ324" s="299" t="s">
        <v>193</v>
      </c>
      <c r="BA324" s="277" t="s">
        <v>1225</v>
      </c>
      <c r="BB324" s="265"/>
      <c r="BC324" s="187"/>
      <c r="BD324" s="18"/>
    </row>
    <row r="325" spans="1:57" ht="19.350000000000001" customHeight="1" thickBot="1">
      <c r="B325" s="1361" t="b">
        <f>OR(ISBLANK(R325),ISBLANK(T325),ISBLANK(V325))</f>
        <v>1</v>
      </c>
      <c r="C325" s="924" t="s">
        <v>1229</v>
      </c>
      <c r="D325" s="924"/>
      <c r="E325" s="924"/>
      <c r="F325" s="942" t="s">
        <v>156</v>
      </c>
      <c r="G325" s="707"/>
      <c r="H325" s="943" t="s">
        <v>1230</v>
      </c>
      <c r="I325" s="944"/>
      <c r="J325" s="945"/>
      <c r="K325" s="873" t="s">
        <v>156</v>
      </c>
      <c r="L325" s="946"/>
      <c r="M325" s="874"/>
      <c r="N325" s="946"/>
      <c r="O325" s="875"/>
      <c r="P325" s="876"/>
      <c r="Q325" s="874"/>
      <c r="R325" s="1504"/>
      <c r="S325" s="1442"/>
      <c r="T325" s="1504"/>
      <c r="U325" s="1230"/>
      <c r="V325" s="5535"/>
      <c r="W325" s="2089"/>
      <c r="X325" s="2591"/>
      <c r="Y325" s="2593"/>
      <c r="Z325" s="2728"/>
      <c r="AA325" s="2591"/>
      <c r="AB325" s="2741"/>
      <c r="AC325" s="2593"/>
      <c r="AD325" s="2741"/>
      <c r="AE325" s="2587"/>
      <c r="AF325" s="2591"/>
      <c r="AG325" s="2741"/>
      <c r="AH325" s="2593"/>
      <c r="AI325" s="2741"/>
      <c r="AJ325" s="2587"/>
      <c r="AK325" s="2591"/>
      <c r="AL325" s="2741"/>
      <c r="AM325" s="2593"/>
      <c r="AN325" s="2741"/>
      <c r="AO325" s="2587"/>
      <c r="AP325" s="2591"/>
      <c r="AQ325" s="2741"/>
      <c r="AR325" s="2593"/>
      <c r="AS325" s="2741"/>
      <c r="AT325" s="2587"/>
      <c r="AU325" s="2483"/>
      <c r="AV325" s="544"/>
      <c r="AW325" s="873" t="s">
        <v>1231</v>
      </c>
      <c r="AX325" s="547"/>
      <c r="AY325" s="547" t="s">
        <v>1232</v>
      </c>
      <c r="AZ325" s="873"/>
      <c r="BA325" s="277"/>
      <c r="BB325" s="336" t="s">
        <v>1233</v>
      </c>
      <c r="BC325" s="187"/>
      <c r="BD325" s="18"/>
    </row>
    <row r="326" spans="1:57" ht="27" thickBot="1">
      <c r="B326" s="123" t="s">
        <v>1234</v>
      </c>
      <c r="C326" s="124"/>
      <c r="D326" s="124"/>
      <c r="E326" s="124"/>
      <c r="F326" s="78"/>
      <c r="G326" s="1272" t="s">
        <v>1440</v>
      </c>
      <c r="H326" s="1132"/>
      <c r="I326" s="1132"/>
      <c r="J326" s="1273"/>
      <c r="K326" s="518"/>
      <c r="L326" s="600"/>
      <c r="M326" s="600"/>
      <c r="N326" s="600"/>
      <c r="O326" s="600"/>
      <c r="P326" s="600"/>
      <c r="Q326" s="1004"/>
      <c r="R326" s="1485"/>
      <c r="S326" s="1447"/>
      <c r="T326" s="1485"/>
      <c r="U326" s="1447"/>
      <c r="V326" s="1485"/>
      <c r="W326" s="1004"/>
      <c r="X326" s="2762"/>
      <c r="Y326" s="2763"/>
      <c r="Z326" s="2763"/>
      <c r="AA326" s="2764"/>
      <c r="AB326" s="2765"/>
      <c r="AC326" s="2765"/>
      <c r="AD326" s="2765"/>
      <c r="AE326" s="2766"/>
      <c r="AF326" s="2764"/>
      <c r="AG326" s="2765"/>
      <c r="AH326" s="2765"/>
      <c r="AI326" s="2765"/>
      <c r="AJ326" s="2766"/>
      <c r="AK326" s="2764"/>
      <c r="AL326" s="2765"/>
      <c r="AM326" s="2765"/>
      <c r="AN326" s="2765"/>
      <c r="AO326" s="2766"/>
      <c r="AP326" s="2764"/>
      <c r="AQ326" s="2765"/>
      <c r="AR326" s="2765"/>
      <c r="AS326" s="2765"/>
      <c r="AT326" s="2766"/>
      <c r="AU326" s="80"/>
      <c r="AV326" s="1133"/>
      <c r="AW326" s="1274"/>
      <c r="AX326" s="129"/>
      <c r="AY326" s="129"/>
      <c r="AZ326" s="1274"/>
      <c r="BA326" s="328"/>
      <c r="BB326" s="328"/>
      <c r="BC326" s="1006"/>
      <c r="BD326"/>
      <c r="BE326"/>
    </row>
    <row r="327" spans="1:57" s="139" customFormat="1" ht="20.100000000000001" customHeight="1">
      <c r="A327" s="11"/>
      <c r="B327" s="1353" t="str">
        <f>C327</f>
        <v>임직원 산업재해율</v>
      </c>
      <c r="C327" s="947" t="s">
        <v>1236</v>
      </c>
      <c r="D327" s="947"/>
      <c r="E327" s="947"/>
      <c r="F327" s="1573"/>
      <c r="G327" s="948"/>
      <c r="H327" s="949" t="s">
        <v>1237</v>
      </c>
      <c r="I327" s="949"/>
      <c r="J327" s="950"/>
      <c r="K327" s="731" t="s">
        <v>168</v>
      </c>
      <c r="L327" s="951"/>
      <c r="M327" s="951"/>
      <c r="N327" s="951"/>
      <c r="O327" s="951"/>
      <c r="P327" s="951"/>
      <c r="Q327" s="951"/>
      <c r="R327" s="1589"/>
      <c r="S327" s="1590"/>
      <c r="T327" s="1591"/>
      <c r="U327" s="1590"/>
      <c r="V327" s="1591"/>
      <c r="W327" s="2092"/>
      <c r="X327" s="2806"/>
      <c r="Y327" s="2807"/>
      <c r="Z327" s="2808"/>
      <c r="AA327" s="2809"/>
      <c r="AB327" s="2810"/>
      <c r="AC327" s="2811"/>
      <c r="AD327" s="2810"/>
      <c r="AE327" s="2812"/>
      <c r="AF327" s="2809"/>
      <c r="AG327" s="2810"/>
      <c r="AH327" s="2811"/>
      <c r="AI327" s="2810"/>
      <c r="AJ327" s="2812"/>
      <c r="AK327" s="2809"/>
      <c r="AL327" s="2810"/>
      <c r="AM327" s="2811"/>
      <c r="AN327" s="2810"/>
      <c r="AO327" s="2812"/>
      <c r="AP327" s="2809"/>
      <c r="AQ327" s="2810"/>
      <c r="AR327" s="2811"/>
      <c r="AS327" s="2810"/>
      <c r="AT327" s="2812"/>
      <c r="AU327" s="2486"/>
      <c r="AV327" s="955"/>
      <c r="AW327" s="956" t="s">
        <v>206</v>
      </c>
      <c r="AX327" s="547"/>
      <c r="AY327" s="547"/>
      <c r="AZ327" s="873"/>
      <c r="BA327" s="896"/>
      <c r="BB327" s="694"/>
      <c r="BC327" s="957"/>
      <c r="BD327" s="18"/>
    </row>
    <row r="328" spans="1:57" ht="20.100000000000001" customHeight="1">
      <c r="B328" s="1360" t="b">
        <f t="shared" ref="B328:B368" si="91">OR(ISBLANK(R328),ISBLANK(T328),ISBLANK(V328))</f>
        <v>1</v>
      </c>
      <c r="C328" s="1357"/>
      <c r="D328" s="893" t="s">
        <v>1238</v>
      </c>
      <c r="E328" s="893"/>
      <c r="F328" s="492" t="s">
        <v>154</v>
      </c>
      <c r="G328" s="662"/>
      <c r="H328" s="322"/>
      <c r="I328" s="344" t="s">
        <v>1239</v>
      </c>
      <c r="J328" s="296"/>
      <c r="K328" s="91" t="s">
        <v>154</v>
      </c>
      <c r="L328" s="340"/>
      <c r="M328" s="958"/>
      <c r="N328" s="340"/>
      <c r="O328" s="958"/>
      <c r="P328" s="340"/>
      <c r="Q328" s="341"/>
      <c r="R328" s="1488">
        <v>0.14000000000000001</v>
      </c>
      <c r="S328" s="1443"/>
      <c r="T328" s="1488">
        <v>0.11</v>
      </c>
      <c r="U328" s="1443"/>
      <c r="V328" s="5536"/>
      <c r="W328" s="2063"/>
      <c r="X328" s="2813"/>
      <c r="Y328" s="2814"/>
      <c r="Z328" s="2815"/>
      <c r="AA328" s="2813">
        <f>China!AO329</f>
        <v>0</v>
      </c>
      <c r="AB328" s="2816">
        <f>China!AP328</f>
        <v>0</v>
      </c>
      <c r="AC328" s="2814">
        <f>China!AQ329</f>
        <v>0</v>
      </c>
      <c r="AD328" s="2816">
        <f>China!AR328</f>
        <v>0</v>
      </c>
      <c r="AE328" s="2817">
        <f>China!AS329</f>
        <v>0</v>
      </c>
      <c r="AF328" s="2813"/>
      <c r="AG328" s="2816"/>
      <c r="AH328" s="2814"/>
      <c r="AI328" s="2816"/>
      <c r="AJ328" s="2817"/>
      <c r="AK328" s="5427">
        <f>Indonesia!V327</f>
        <v>0</v>
      </c>
      <c r="AL328" s="5428">
        <f>Indonesia!W327</f>
        <v>0</v>
      </c>
      <c r="AM328" s="5429">
        <f>Indonesia!X327</f>
        <v>0</v>
      </c>
      <c r="AN328" s="5428">
        <f>Indonesia!Y327</f>
        <v>0</v>
      </c>
      <c r="AO328" s="5430">
        <f>Indonesia!Z327</f>
        <v>0</v>
      </c>
      <c r="AP328" s="5444">
        <f>Türkiye!AA327</f>
        <v>1.5625000000000001E-3</v>
      </c>
      <c r="AQ328" s="5445">
        <f>Türkiye!AB327</f>
        <v>0</v>
      </c>
      <c r="AR328" s="5446">
        <f>Türkiye!AC327</f>
        <v>4.370629370629371E-3</v>
      </c>
      <c r="AS328" s="5447">
        <f>Türkiye!AD327</f>
        <v>0</v>
      </c>
      <c r="AT328" s="5448">
        <f>Türkiye!AE327</f>
        <v>9.442870632672332E-3</v>
      </c>
      <c r="AU328" s="2483"/>
      <c r="AV328" s="544"/>
      <c r="AW328" s="873" t="s">
        <v>206</v>
      </c>
      <c r="AX328" s="547"/>
      <c r="AY328" s="547"/>
      <c r="AZ328" s="873"/>
      <c r="BA328" s="896" t="s">
        <v>1240</v>
      </c>
      <c r="BB328" s="694"/>
      <c r="BC328" s="957" t="s">
        <v>1241</v>
      </c>
      <c r="BD328" s="18"/>
    </row>
    <row r="329" spans="1:57" ht="20.100000000000001" customHeight="1">
      <c r="B329" s="1360" t="b">
        <f t="shared" si="91"/>
        <v>1</v>
      </c>
      <c r="C329" s="1357"/>
      <c r="D329" s="893" t="s">
        <v>1242</v>
      </c>
      <c r="E329" s="893"/>
      <c r="F329" s="492" t="s">
        <v>154</v>
      </c>
      <c r="G329" s="662"/>
      <c r="H329" s="322"/>
      <c r="I329" s="961" t="s">
        <v>1243</v>
      </c>
      <c r="J329" s="922"/>
      <c r="K329" s="136" t="s">
        <v>154</v>
      </c>
      <c r="L329" s="303"/>
      <c r="M329" s="962"/>
      <c r="N329" s="303"/>
      <c r="O329" s="962"/>
      <c r="P329" s="303"/>
      <c r="Q329" s="371"/>
      <c r="R329" s="1496"/>
      <c r="S329" s="1444"/>
      <c r="T329" s="1496"/>
      <c r="U329" s="1444"/>
      <c r="V329" s="1496"/>
      <c r="W329" s="2066"/>
      <c r="X329" s="2813"/>
      <c r="Y329" s="2814"/>
      <c r="Z329" s="2815"/>
      <c r="AA329" s="2553">
        <f>China!AO330</f>
        <v>0</v>
      </c>
      <c r="AB329" s="2560">
        <f>China!AP329</f>
        <v>0</v>
      </c>
      <c r="AC329" s="2554">
        <f>China!AQ330</f>
        <v>0</v>
      </c>
      <c r="AD329" s="2560">
        <f>China!AR329</f>
        <v>0</v>
      </c>
      <c r="AE329" s="2655">
        <f>China!AS330</f>
        <v>0</v>
      </c>
      <c r="AF329" s="2553"/>
      <c r="AG329" s="2560"/>
      <c r="AH329" s="2554"/>
      <c r="AI329" s="2560"/>
      <c r="AJ329" s="2655"/>
      <c r="AK329" s="2553"/>
      <c r="AL329" s="2560"/>
      <c r="AM329" s="2554"/>
      <c r="AN329" s="2560"/>
      <c r="AO329" s="2655"/>
      <c r="AP329" s="5388"/>
      <c r="AQ329" s="5449"/>
      <c r="AR329" s="5450"/>
      <c r="AS329" s="5451"/>
      <c r="AT329" s="5452"/>
      <c r="AU329" s="2468"/>
      <c r="AV329" s="276"/>
      <c r="AW329" s="109" t="s">
        <v>206</v>
      </c>
      <c r="AX329" s="547"/>
      <c r="AY329" s="547"/>
      <c r="AZ329" s="109"/>
      <c r="BA329" s="896" t="s">
        <v>1244</v>
      </c>
      <c r="BB329" s="694"/>
      <c r="BC329" s="957" t="s">
        <v>1245</v>
      </c>
      <c r="BD329" s="18"/>
    </row>
    <row r="330" spans="1:57" ht="20.100000000000001" customHeight="1">
      <c r="B330" s="1360" t="b">
        <f t="shared" si="91"/>
        <v>1</v>
      </c>
      <c r="C330" s="1357"/>
      <c r="D330" s="931" t="s">
        <v>1246</v>
      </c>
      <c r="E330" s="931"/>
      <c r="F330" s="132" t="s">
        <v>154</v>
      </c>
      <c r="G330" s="662"/>
      <c r="H330" s="322"/>
      <c r="I330" s="932" t="s">
        <v>1247</v>
      </c>
      <c r="J330" s="922"/>
      <c r="K330" s="136" t="s">
        <v>154</v>
      </c>
      <c r="L330" s="303"/>
      <c r="M330" s="962"/>
      <c r="N330" s="303"/>
      <c r="O330" s="962"/>
      <c r="P330" s="303"/>
      <c r="Q330" s="371"/>
      <c r="R330" s="1496"/>
      <c r="S330" s="1444"/>
      <c r="T330" s="1496"/>
      <c r="U330" s="1444"/>
      <c r="V330" s="1496"/>
      <c r="W330" s="2066"/>
      <c r="X330" s="2813"/>
      <c r="Y330" s="2814"/>
      <c r="Z330" s="2815"/>
      <c r="AA330" s="2553"/>
      <c r="AB330" s="2560"/>
      <c r="AC330" s="2554"/>
      <c r="AD330" s="2560"/>
      <c r="AE330" s="2655"/>
      <c r="AF330" s="2553"/>
      <c r="AG330" s="2560"/>
      <c r="AH330" s="2554"/>
      <c r="AI330" s="2560"/>
      <c r="AJ330" s="2655"/>
      <c r="AK330" s="5423">
        <f>Indonesia!V329</f>
        <v>0.26246719160104987</v>
      </c>
      <c r="AL330" s="5424">
        <f>Indonesia!W329</f>
        <v>0</v>
      </c>
      <c r="AM330" s="5425">
        <f>Indonesia!X329</f>
        <v>0.5089058524173028</v>
      </c>
      <c r="AN330" s="5424">
        <f>Indonesia!Y329</f>
        <v>0</v>
      </c>
      <c r="AO330" s="5426">
        <f>Indonesia!Z329</f>
        <v>0.24271844660194172</v>
      </c>
      <c r="AP330" s="5388">
        <f>Türkiye!AA329</f>
        <v>0</v>
      </c>
      <c r="AQ330" s="5449">
        <f>Türkiye!AB329</f>
        <v>0</v>
      </c>
      <c r="AR330" s="5450">
        <f>Türkiye!AC329</f>
        <v>0</v>
      </c>
      <c r="AS330" s="5451">
        <f>Türkiye!AD329</f>
        <v>0</v>
      </c>
      <c r="AT330" s="5452">
        <f>Türkiye!AE329</f>
        <v>0</v>
      </c>
      <c r="AU330" s="2468"/>
      <c r="AV330" s="276"/>
      <c r="AW330" s="109" t="s">
        <v>206</v>
      </c>
      <c r="AX330" s="547"/>
      <c r="AY330" s="547"/>
      <c r="AZ330" s="109"/>
      <c r="BA330" s="896" t="s">
        <v>1240</v>
      </c>
      <c r="BB330" s="694"/>
      <c r="BC330" s="957" t="s">
        <v>1245</v>
      </c>
      <c r="BD330" s="18"/>
    </row>
    <row r="331" spans="1:57" s="139" customFormat="1" ht="20.100000000000001" customHeight="1">
      <c r="A331" s="11"/>
      <c r="B331" s="1360" t="b">
        <f t="shared" si="91"/>
        <v>1</v>
      </c>
      <c r="C331" s="1386"/>
      <c r="D331" s="931" t="s">
        <v>1248</v>
      </c>
      <c r="E331" s="931"/>
      <c r="F331" s="132" t="s">
        <v>154</v>
      </c>
      <c r="G331" s="343"/>
      <c r="H331" s="296"/>
      <c r="I331" s="932" t="s">
        <v>1249</v>
      </c>
      <c r="J331" s="922"/>
      <c r="K331" s="136" t="s">
        <v>154</v>
      </c>
      <c r="L331" s="303"/>
      <c r="M331" s="962"/>
      <c r="N331" s="303"/>
      <c r="O331" s="962"/>
      <c r="P331" s="303"/>
      <c r="Q331" s="371"/>
      <c r="R331" s="1496"/>
      <c r="S331" s="1444"/>
      <c r="T331" s="1496"/>
      <c r="U331" s="1444"/>
      <c r="V331" s="1496"/>
      <c r="W331" s="2066"/>
      <c r="X331" s="2813"/>
      <c r="Y331" s="2814"/>
      <c r="Z331" s="2815"/>
      <c r="AA331" s="2553"/>
      <c r="AB331" s="2560"/>
      <c r="AC331" s="2554"/>
      <c r="AD331" s="2560"/>
      <c r="AE331" s="2655"/>
      <c r="AF331" s="2553"/>
      <c r="AG331" s="2560"/>
      <c r="AH331" s="2554"/>
      <c r="AI331" s="2560"/>
      <c r="AJ331" s="2655"/>
      <c r="AK331" s="2553"/>
      <c r="AL331" s="2560"/>
      <c r="AM331" s="2554"/>
      <c r="AN331" s="2560"/>
      <c r="AO331" s="2655"/>
      <c r="AP331" s="2553"/>
      <c r="AQ331" s="2560"/>
      <c r="AR331" s="2554"/>
      <c r="AS331" s="2560"/>
      <c r="AT331" s="2655"/>
      <c r="AU331" s="2468"/>
      <c r="AV331" s="276"/>
      <c r="AW331" s="109" t="s">
        <v>206</v>
      </c>
      <c r="AX331" s="547"/>
      <c r="AY331" s="547"/>
      <c r="AZ331" s="109"/>
      <c r="BA331" s="896" t="s">
        <v>1244</v>
      </c>
      <c r="BB331" s="694"/>
      <c r="BC331" s="957" t="s">
        <v>1241</v>
      </c>
      <c r="BD331" s="18"/>
    </row>
    <row r="332" spans="1:57" ht="20.100000000000001" customHeight="1">
      <c r="B332" s="1360" t="b">
        <f t="shared" si="91"/>
        <v>0</v>
      </c>
      <c r="C332" s="781" t="s">
        <v>1250</v>
      </c>
      <c r="D332" s="781"/>
      <c r="E332" s="781"/>
      <c r="F332" s="132" t="s">
        <v>557</v>
      </c>
      <c r="G332" s="777"/>
      <c r="H332" s="757" t="s">
        <v>1251</v>
      </c>
      <c r="I332" s="753"/>
      <c r="J332" s="908"/>
      <c r="K332" s="109" t="s">
        <v>559</v>
      </c>
      <c r="L332" s="381">
        <v>7</v>
      </c>
      <c r="M332" s="381">
        <v>1.1068943706514865E-3</v>
      </c>
      <c r="N332" s="381">
        <v>7</v>
      </c>
      <c r="O332" s="304">
        <v>8.2537436623039738E-4</v>
      </c>
      <c r="P332" s="274"/>
      <c r="Q332" s="381"/>
      <c r="R332" s="1463">
        <v>4</v>
      </c>
      <c r="S332" s="1533" t="s">
        <v>1254</v>
      </c>
      <c r="T332" s="1463">
        <v>5</v>
      </c>
      <c r="U332" s="1522" t="s">
        <v>1255</v>
      </c>
      <c r="V332" s="1461">
        <v>3</v>
      </c>
      <c r="W332" s="2068"/>
      <c r="X332" s="2813"/>
      <c r="Y332" s="2814"/>
      <c r="Z332" s="2815"/>
      <c r="AA332" s="2553">
        <f>China!AO333</f>
        <v>3</v>
      </c>
      <c r="AB332" s="2560" t="str">
        <f>China!AP332</f>
        <v xml:space="preserve">(직원A+직원C+직원D) </v>
      </c>
      <c r="AC332" s="2554">
        <f>China!AQ333</f>
        <v>2</v>
      </c>
      <c r="AD332" s="2560" t="str">
        <f>China!AR332</f>
        <v xml:space="preserve">(직원A+직원C) </v>
      </c>
      <c r="AE332" s="2655">
        <f>China!AS333</f>
        <v>2</v>
      </c>
      <c r="AF332" s="2553">
        <f>Vietnam!Q331</f>
        <v>0</v>
      </c>
      <c r="AG332" s="2818">
        <f>Vietnam!R331</f>
        <v>0</v>
      </c>
      <c r="AH332" s="2554">
        <f>Vietnam!S331</f>
        <v>0</v>
      </c>
      <c r="AI332" s="2560">
        <f>Vietnam!T331</f>
        <v>0</v>
      </c>
      <c r="AJ332" s="2655">
        <f>Vietnam!U331</f>
        <v>0</v>
      </c>
      <c r="AK332" s="2553">
        <f>Indonesia!V331</f>
        <v>1</v>
      </c>
      <c r="AL332" s="2560">
        <f>Indonesia!W331</f>
        <v>0</v>
      </c>
      <c r="AM332" s="2554">
        <f>Indonesia!X331</f>
        <v>2</v>
      </c>
      <c r="AN332" s="2560">
        <f>Indonesia!Y331</f>
        <v>0</v>
      </c>
      <c r="AO332" s="2655">
        <f>Indonesia!Z331</f>
        <v>1</v>
      </c>
      <c r="AP332" s="2553">
        <f>Türkiye!AA331</f>
        <v>2</v>
      </c>
      <c r="AQ332" s="2560">
        <f>Türkiye!AB331</f>
        <v>0</v>
      </c>
      <c r="AR332" s="2554">
        <f>Türkiye!AC331</f>
        <v>5</v>
      </c>
      <c r="AS332" s="2560">
        <f>Türkiye!AD331</f>
        <v>0</v>
      </c>
      <c r="AT332" s="2655">
        <f>Türkiye!AE331</f>
        <v>10</v>
      </c>
      <c r="AU332" s="2468" t="s">
        <v>1250</v>
      </c>
      <c r="AV332" s="276" t="s">
        <v>1252</v>
      </c>
      <c r="AW332" s="109" t="s">
        <v>206</v>
      </c>
      <c r="AX332" s="547"/>
      <c r="AY332" s="547"/>
      <c r="AZ332" s="109"/>
      <c r="BA332" s="896" t="s">
        <v>1253</v>
      </c>
      <c r="BB332" s="694"/>
      <c r="BC332" s="957"/>
      <c r="BD332" s="18"/>
    </row>
    <row r="333" spans="1:57" ht="20.100000000000001" customHeight="1">
      <c r="B333" s="1360" t="b">
        <f t="shared" si="91"/>
        <v>1</v>
      </c>
      <c r="C333" s="781" t="s">
        <v>1258</v>
      </c>
      <c r="D333" s="781"/>
      <c r="E333" s="781"/>
      <c r="F333" s="132" t="s">
        <v>557</v>
      </c>
      <c r="G333" s="777"/>
      <c r="H333" s="757" t="s">
        <v>1259</v>
      </c>
      <c r="I333" s="753"/>
      <c r="J333" s="908"/>
      <c r="K333" s="109" t="s">
        <v>559</v>
      </c>
      <c r="L333" s="381">
        <v>0</v>
      </c>
      <c r="M333" s="381"/>
      <c r="N333" s="381">
        <v>0</v>
      </c>
      <c r="O333" s="304"/>
      <c r="P333" s="274"/>
      <c r="Q333" s="381"/>
      <c r="R333" s="1463">
        <v>0</v>
      </c>
      <c r="S333" s="1533">
        <v>0</v>
      </c>
      <c r="T333" s="1463">
        <v>0</v>
      </c>
      <c r="U333" s="1522">
        <v>0</v>
      </c>
      <c r="V333" s="1461"/>
      <c r="W333" s="2068"/>
      <c r="X333" s="2813"/>
      <c r="Y333" s="2814"/>
      <c r="Z333" s="2815"/>
      <c r="AA333" s="2553">
        <f>China!AO334</f>
        <v>0</v>
      </c>
      <c r="AB333" s="2560">
        <f>China!AP333</f>
        <v>0</v>
      </c>
      <c r="AC333" s="2554">
        <f>China!AQ334</f>
        <v>0</v>
      </c>
      <c r="AD333" s="2560">
        <f>China!AR333</f>
        <v>0</v>
      </c>
      <c r="AE333" s="2655">
        <f>China!AS334</f>
        <v>0</v>
      </c>
      <c r="AF333" s="2553">
        <f>Vietnam!Q332</f>
        <v>0</v>
      </c>
      <c r="AG333" s="2818">
        <f>Vietnam!R332</f>
        <v>0</v>
      </c>
      <c r="AH333" s="2554">
        <f>Vietnam!S332</f>
        <v>0</v>
      </c>
      <c r="AI333" s="2560">
        <f>Vietnam!T332</f>
        <v>0</v>
      </c>
      <c r="AJ333" s="2655">
        <f>Vietnam!U332</f>
        <v>0</v>
      </c>
      <c r="AK333" s="2553"/>
      <c r="AL333" s="2560"/>
      <c r="AM333" s="2554"/>
      <c r="AN333" s="2560"/>
      <c r="AO333" s="2655"/>
      <c r="AP333" s="2553">
        <f>Türkiye!AA332</f>
        <v>2</v>
      </c>
      <c r="AQ333" s="2560">
        <f>Türkiye!AB332</f>
        <v>0</v>
      </c>
      <c r="AR333" s="2554">
        <f>Türkiye!AC332</f>
        <v>5</v>
      </c>
      <c r="AS333" s="2560">
        <f>Türkiye!AD332</f>
        <v>0</v>
      </c>
      <c r="AT333" s="2655">
        <f>Türkiye!AE332</f>
        <v>10</v>
      </c>
      <c r="AU333" s="2468" t="s">
        <v>1260</v>
      </c>
      <c r="AV333" s="276" t="s">
        <v>1259</v>
      </c>
      <c r="AW333" s="109" t="s">
        <v>206</v>
      </c>
      <c r="AX333" s="547"/>
      <c r="AY333" s="547"/>
      <c r="AZ333" s="109"/>
      <c r="BA333" s="896" t="s">
        <v>1240</v>
      </c>
      <c r="BB333" s="694"/>
      <c r="BC333" s="957"/>
      <c r="BD333" s="18"/>
    </row>
    <row r="334" spans="1:57" ht="20.100000000000001" customHeight="1">
      <c r="B334" s="1360" t="b">
        <f>OR(ISBLANK(R334),ISBLANK(T334),ISBLANK(V334))</f>
        <v>0</v>
      </c>
      <c r="C334" s="781" t="s">
        <v>1261</v>
      </c>
      <c r="D334" s="781"/>
      <c r="E334" s="781"/>
      <c r="F334" s="132" t="s">
        <v>557</v>
      </c>
      <c r="G334" s="777"/>
      <c r="H334" s="757" t="s">
        <v>1262</v>
      </c>
      <c r="I334" s="753"/>
      <c r="J334" s="908"/>
      <c r="K334" s="109" t="s">
        <v>559</v>
      </c>
      <c r="L334" s="381">
        <v>0</v>
      </c>
      <c r="M334" s="381"/>
      <c r="N334" s="381">
        <v>0</v>
      </c>
      <c r="O334" s="304" t="s">
        <v>527</v>
      </c>
      <c r="P334" s="274"/>
      <c r="Q334" s="381"/>
      <c r="R334" s="1463">
        <v>0</v>
      </c>
      <c r="S334" s="1533">
        <v>0</v>
      </c>
      <c r="T334" s="1463">
        <v>0</v>
      </c>
      <c r="U334" s="1522">
        <v>0</v>
      </c>
      <c r="V334" s="1461">
        <v>0</v>
      </c>
      <c r="W334" s="2068"/>
      <c r="X334" s="2813"/>
      <c r="Y334" s="2814"/>
      <c r="Z334" s="2815"/>
      <c r="AA334" s="2553">
        <f>China!AO335</f>
        <v>0</v>
      </c>
      <c r="AB334" s="2560">
        <f>China!AP334</f>
        <v>0</v>
      </c>
      <c r="AC334" s="2554">
        <f>China!AQ335</f>
        <v>0</v>
      </c>
      <c r="AD334" s="2560">
        <f>China!AR334</f>
        <v>0</v>
      </c>
      <c r="AE334" s="2655">
        <f>China!AS335</f>
        <v>0</v>
      </c>
      <c r="AF334" s="2553">
        <f>Vietnam!Q333</f>
        <v>0</v>
      </c>
      <c r="AG334" s="2560">
        <f>Vietnam!R333</f>
        <v>0</v>
      </c>
      <c r="AH334" s="2554">
        <f>Vietnam!S333</f>
        <v>0</v>
      </c>
      <c r="AI334" s="2560">
        <f>Vietnam!T333</f>
        <v>0</v>
      </c>
      <c r="AJ334" s="2655">
        <f>Vietnam!U333</f>
        <v>0</v>
      </c>
      <c r="AK334" s="2553">
        <f>Indonesia!V333</f>
        <v>0</v>
      </c>
      <c r="AL334" s="2560" t="str">
        <f>Indonesia!W333</f>
        <v>NO CASE</v>
      </c>
      <c r="AM334" s="2554">
        <f>Indonesia!X333</f>
        <v>0</v>
      </c>
      <c r="AN334" s="2560" t="str">
        <f>Indonesia!Y333</f>
        <v>NO CASE</v>
      </c>
      <c r="AO334" s="2655">
        <f>Indonesia!Z333</f>
        <v>0</v>
      </c>
      <c r="AP334" s="2553">
        <f>Türkiye!AA333</f>
        <v>0</v>
      </c>
      <c r="AQ334" s="2560">
        <f>Türkiye!AB333</f>
        <v>0</v>
      </c>
      <c r="AR334" s="2554">
        <f>Türkiye!AC333</f>
        <v>0</v>
      </c>
      <c r="AS334" s="2560">
        <f>Türkiye!AD333</f>
        <v>0</v>
      </c>
      <c r="AT334" s="2655">
        <f>Türkiye!AE333</f>
        <v>0</v>
      </c>
      <c r="AU334" s="2468" t="s">
        <v>1261</v>
      </c>
      <c r="AV334" s="276" t="s">
        <v>1263</v>
      </c>
      <c r="AW334" s="109" t="s">
        <v>206</v>
      </c>
      <c r="AX334" s="547"/>
      <c r="AY334" s="547"/>
      <c r="AZ334" s="109"/>
      <c r="BA334" s="277" t="s">
        <v>1264</v>
      </c>
      <c r="BB334" s="265"/>
      <c r="BC334" s="187"/>
      <c r="BD334" s="18"/>
    </row>
    <row r="335" spans="1:57" ht="20.100000000000001" customHeight="1">
      <c r="B335" s="1360" t="b">
        <f t="shared" si="91"/>
        <v>1</v>
      </c>
      <c r="C335" s="1374"/>
      <c r="D335" s="787" t="s">
        <v>1266</v>
      </c>
      <c r="E335" s="781"/>
      <c r="F335" s="132" t="s">
        <v>156</v>
      </c>
      <c r="G335" s="905"/>
      <c r="H335" s="963"/>
      <c r="I335" s="932" t="s">
        <v>1267</v>
      </c>
      <c r="J335" s="922"/>
      <c r="K335" s="109" t="s">
        <v>156</v>
      </c>
      <c r="L335" s="381">
        <v>0</v>
      </c>
      <c r="M335" s="381"/>
      <c r="N335" s="274"/>
      <c r="O335" s="304"/>
      <c r="P335" s="274"/>
      <c r="Q335" s="381"/>
      <c r="R335" s="1486"/>
      <c r="S335" s="985"/>
      <c r="T335" s="1486"/>
      <c r="U335" s="979"/>
      <c r="V335" s="1486"/>
      <c r="W335" s="2068"/>
      <c r="X335" s="2813"/>
      <c r="Y335" s="2814"/>
      <c r="Z335" s="2815"/>
      <c r="AA335" s="2553"/>
      <c r="AB335" s="2560"/>
      <c r="AC335" s="2554"/>
      <c r="AD335" s="2560"/>
      <c r="AE335" s="2655"/>
      <c r="AF335" s="2553"/>
      <c r="AG335" s="2560"/>
      <c r="AH335" s="2554"/>
      <c r="AI335" s="2560"/>
      <c r="AJ335" s="2655"/>
      <c r="AK335" s="2553"/>
      <c r="AL335" s="2560"/>
      <c r="AM335" s="2554"/>
      <c r="AN335" s="2560"/>
      <c r="AO335" s="2655"/>
      <c r="AP335" s="2553"/>
      <c r="AQ335" s="2560"/>
      <c r="AR335" s="2554"/>
      <c r="AS335" s="2560"/>
      <c r="AT335" s="2655"/>
      <c r="AU335" s="2468"/>
      <c r="AV335" s="276"/>
      <c r="AW335" s="1715" t="s">
        <v>206</v>
      </c>
      <c r="AX335" s="547"/>
      <c r="AY335" s="547"/>
      <c r="AZ335" s="109"/>
      <c r="BA335" s="896"/>
      <c r="BB335" s="265"/>
      <c r="BC335" s="187" t="s">
        <v>1268</v>
      </c>
      <c r="BD335" s="18"/>
    </row>
    <row r="336" spans="1:57" ht="20.100000000000001" customHeight="1">
      <c r="B336" s="1360" t="b">
        <f t="shared" si="91"/>
        <v>1</v>
      </c>
      <c r="C336" s="1387"/>
      <c r="D336" s="787" t="s">
        <v>1269</v>
      </c>
      <c r="E336" s="781"/>
      <c r="F336" s="132" t="s">
        <v>156</v>
      </c>
      <c r="G336" s="912"/>
      <c r="H336" s="964"/>
      <c r="I336" s="932" t="s">
        <v>1270</v>
      </c>
      <c r="J336" s="922"/>
      <c r="K336" s="109" t="s">
        <v>156</v>
      </c>
      <c r="L336" s="274"/>
      <c r="M336" s="381"/>
      <c r="N336" s="274"/>
      <c r="O336" s="304"/>
      <c r="P336" s="274"/>
      <c r="Q336" s="381"/>
      <c r="R336" s="1486"/>
      <c r="S336" s="985"/>
      <c r="T336" s="1486"/>
      <c r="U336" s="979"/>
      <c r="V336" s="1486"/>
      <c r="W336" s="2068"/>
      <c r="X336" s="2813"/>
      <c r="Y336" s="2814"/>
      <c r="Z336" s="2815"/>
      <c r="AA336" s="2553"/>
      <c r="AB336" s="2560"/>
      <c r="AC336" s="2554"/>
      <c r="AD336" s="2560"/>
      <c r="AE336" s="2655"/>
      <c r="AF336" s="2553"/>
      <c r="AG336" s="2560"/>
      <c r="AH336" s="2554"/>
      <c r="AI336" s="2560"/>
      <c r="AJ336" s="2655"/>
      <c r="AK336" s="2553"/>
      <c r="AL336" s="2560"/>
      <c r="AM336" s="2554"/>
      <c r="AN336" s="2560"/>
      <c r="AO336" s="2655"/>
      <c r="AP336" s="2553"/>
      <c r="AQ336" s="2560"/>
      <c r="AR336" s="2554"/>
      <c r="AS336" s="2560"/>
      <c r="AT336" s="2655"/>
      <c r="AU336" s="2468"/>
      <c r="AV336" s="276"/>
      <c r="AW336" s="1715" t="s">
        <v>206</v>
      </c>
      <c r="AX336" s="547"/>
      <c r="AY336" s="547"/>
      <c r="AZ336" s="109"/>
      <c r="BA336" s="965"/>
      <c r="BB336" s="427"/>
      <c r="BC336" s="187" t="s">
        <v>1207</v>
      </c>
      <c r="BD336" s="18"/>
    </row>
    <row r="337" spans="2:56" ht="20.100000000000001" customHeight="1">
      <c r="B337" s="1360" t="b">
        <f t="shared" si="91"/>
        <v>1</v>
      </c>
      <c r="C337" s="924" t="s">
        <v>1271</v>
      </c>
      <c r="D337" s="924"/>
      <c r="E337" s="924"/>
      <c r="F337" s="132" t="s">
        <v>1272</v>
      </c>
      <c r="G337" s="777"/>
      <c r="H337" s="925" t="s">
        <v>1273</v>
      </c>
      <c r="I337" s="926"/>
      <c r="J337" s="927"/>
      <c r="K337" s="109" t="s">
        <v>1853</v>
      </c>
      <c r="L337" s="966">
        <v>0.88830875502718343</v>
      </c>
      <c r="M337" s="966"/>
      <c r="N337" s="966">
        <v>0.83212470785765746</v>
      </c>
      <c r="O337" s="967"/>
      <c r="P337" s="968"/>
      <c r="Q337" s="969"/>
      <c r="R337" s="1488">
        <v>1.3171859594378248</v>
      </c>
      <c r="S337" s="970"/>
      <c r="T337" s="1488">
        <v>1.7836022204049773</v>
      </c>
      <c r="U337" s="971"/>
      <c r="V337" s="5537"/>
      <c r="W337" s="2093"/>
      <c r="X337" s="2813"/>
      <c r="Y337" s="2814"/>
      <c r="Z337" s="2815"/>
      <c r="AA337" s="5389" t="e">
        <f>AA338/AA339*1000000</f>
        <v>#VALUE!</v>
      </c>
      <c r="AB337" s="1205" t="e">
        <f t="shared" ref="AB337:AE337" si="92">AB338/AB339*1000000</f>
        <v>#VALUE!</v>
      </c>
      <c r="AC337" s="5390" t="e">
        <f t="shared" si="92"/>
        <v>#VALUE!</v>
      </c>
      <c r="AD337" s="1205" t="e">
        <f t="shared" si="92"/>
        <v>#VALUE!</v>
      </c>
      <c r="AE337" s="5391" t="e">
        <f t="shared" si="92"/>
        <v>#VALUE!</v>
      </c>
      <c r="AF337" s="5392"/>
      <c r="AG337" s="1205"/>
      <c r="AH337" s="5390"/>
      <c r="AI337" s="1205"/>
      <c r="AJ337" s="5391"/>
      <c r="AK337" s="5392"/>
      <c r="AL337" s="1205"/>
      <c r="AM337" s="5390"/>
      <c r="AN337" s="1205"/>
      <c r="AO337" s="5391"/>
      <c r="AP337" s="5392"/>
      <c r="AQ337" s="1205"/>
      <c r="AR337" s="5390"/>
      <c r="AS337" s="1205"/>
      <c r="AT337" s="5391"/>
      <c r="AU337" s="2468" t="s">
        <v>1275</v>
      </c>
      <c r="AV337" s="276" t="s">
        <v>1276</v>
      </c>
      <c r="AW337" s="109" t="s">
        <v>206</v>
      </c>
      <c r="AX337" s="547"/>
      <c r="AY337" s="547"/>
      <c r="AZ337" s="109"/>
      <c r="BA337" s="965" t="s">
        <v>1277</v>
      </c>
      <c r="BB337" s="427"/>
      <c r="BC337" s="974"/>
      <c r="BD337" s="18"/>
    </row>
    <row r="338" spans="2:56" ht="20.100000000000001" customHeight="1">
      <c r="B338" s="1360" t="b">
        <f t="shared" si="91"/>
        <v>1</v>
      </c>
      <c r="C338" s="1388"/>
      <c r="D338" s="787" t="s">
        <v>1279</v>
      </c>
      <c r="E338" s="781"/>
      <c r="F338" s="132" t="s">
        <v>557</v>
      </c>
      <c r="G338" s="905"/>
      <c r="H338" s="963"/>
      <c r="I338" s="932" t="s">
        <v>1280</v>
      </c>
      <c r="J338" s="922"/>
      <c r="K338" s="109" t="s">
        <v>559</v>
      </c>
      <c r="L338" s="975">
        <v>7</v>
      </c>
      <c r="M338" s="975"/>
      <c r="N338" s="975">
        <v>7</v>
      </c>
      <c r="O338" s="976"/>
      <c r="P338" s="303"/>
      <c r="Q338" s="371"/>
      <c r="R338" s="1463">
        <v>4</v>
      </c>
      <c r="S338" s="1534" t="s">
        <v>1282</v>
      </c>
      <c r="T338" s="1463">
        <v>5</v>
      </c>
      <c r="U338" s="1535" t="s">
        <v>1282</v>
      </c>
      <c r="V338" s="5538"/>
      <c r="W338" s="2066"/>
      <c r="X338" s="2813"/>
      <c r="Y338" s="2814"/>
      <c r="Z338" s="2815"/>
      <c r="AA338" s="2820">
        <f>China!AO339</f>
        <v>2200752</v>
      </c>
      <c r="AB338" s="2803" t="str">
        <f>China!AP338</f>
        <v>150열과 동일내용 
휴무시간
직원A 2920 h
직원C 1544 h
직원D 310h</v>
      </c>
      <c r="AC338" s="2822">
        <f>China!AQ339</f>
        <v>1897992</v>
      </c>
      <c r="AD338" s="2803" t="str">
        <f>China!AR338</f>
        <v>150열과 동일내용 
휴무시간
직원A 1624 h
직원C 1056 h</v>
      </c>
      <c r="AE338" s="2823">
        <f>China!AS339</f>
        <v>1566000</v>
      </c>
      <c r="AF338" s="2820"/>
      <c r="AG338" s="2821"/>
      <c r="AH338" s="2822"/>
      <c r="AI338" s="2821"/>
      <c r="AJ338" s="2823"/>
      <c r="AK338" s="2820"/>
      <c r="AL338" s="2803"/>
      <c r="AM338" s="2822"/>
      <c r="AN338" s="2819"/>
      <c r="AO338" s="2655"/>
      <c r="AP338" s="2553"/>
      <c r="AQ338" s="2819"/>
      <c r="AR338" s="2554"/>
      <c r="AS338" s="2819"/>
      <c r="AT338" s="2655"/>
      <c r="AU338" s="2468"/>
      <c r="AV338" s="276"/>
      <c r="AW338" s="109" t="s">
        <v>206</v>
      </c>
      <c r="AX338" s="547"/>
      <c r="AY338" s="547"/>
      <c r="AZ338" s="109"/>
      <c r="BA338" s="981" t="s">
        <v>1277</v>
      </c>
      <c r="BB338" s="265"/>
      <c r="BC338" s="982"/>
      <c r="BD338" s="18"/>
    </row>
    <row r="339" spans="2:56" ht="20.100000000000001" customHeight="1">
      <c r="B339" s="1360" t="b">
        <f t="shared" si="91"/>
        <v>1</v>
      </c>
      <c r="C339" s="1389"/>
      <c r="D339" s="936" t="s">
        <v>1286</v>
      </c>
      <c r="E339" s="924"/>
      <c r="F339" s="105" t="s">
        <v>1018</v>
      </c>
      <c r="G339" s="912"/>
      <c r="H339" s="964"/>
      <c r="I339" s="932" t="s">
        <v>1287</v>
      </c>
      <c r="J339" s="922"/>
      <c r="K339" s="109" t="s">
        <v>1831</v>
      </c>
      <c r="L339" s="301"/>
      <c r="M339" s="301"/>
      <c r="N339" s="301"/>
      <c r="O339" s="301"/>
      <c r="P339" s="301"/>
      <c r="Q339" s="301"/>
      <c r="R339" s="1488">
        <v>3036776.98</v>
      </c>
      <c r="S339" s="1345" t="s">
        <v>1854</v>
      </c>
      <c r="T339" s="1488">
        <v>2803315.64</v>
      </c>
      <c r="U339" s="1346" t="s">
        <v>1855</v>
      </c>
      <c r="V339" s="5492"/>
      <c r="W339" s="2061"/>
      <c r="X339" s="2813"/>
      <c r="Y339" s="2814"/>
      <c r="Z339" s="2815"/>
      <c r="AA339" s="2820" t="str">
        <f>China!AO340</f>
        <v>N/A</v>
      </c>
      <c r="AB339" s="2821" t="str">
        <f>China!AP339</f>
        <v>HQ : 98*21.75*8*12=204624H
SITE : 956*21.75*8*12=1996128</v>
      </c>
      <c r="AC339" s="2822" t="str">
        <f>China!AQ340</f>
        <v>N/A</v>
      </c>
      <c r="AD339" s="2821" t="str">
        <f>China!AR339</f>
        <v>HQ : 101*21.75*8*12=210888
SITE : 809*21.75*8*12=1687104</v>
      </c>
      <c r="AE339" s="2823" t="str">
        <f>China!AS340</f>
        <v>N/A</v>
      </c>
      <c r="AF339" s="2820"/>
      <c r="AG339" s="2821"/>
      <c r="AH339" s="2822"/>
      <c r="AI339" s="2821"/>
      <c r="AJ339" s="2823"/>
      <c r="AK339" s="2820"/>
      <c r="AL339" s="2821"/>
      <c r="AM339" s="2822"/>
      <c r="AN339" s="2824"/>
      <c r="AO339" s="2655"/>
      <c r="AP339" s="2553"/>
      <c r="AQ339" s="2819"/>
      <c r="AR339" s="2554"/>
      <c r="AS339" s="2819"/>
      <c r="AT339" s="2655"/>
      <c r="AU339" s="2468" t="s">
        <v>1288</v>
      </c>
      <c r="AV339" s="276" t="s">
        <v>1289</v>
      </c>
      <c r="AW339" s="109" t="s">
        <v>737</v>
      </c>
      <c r="AX339" s="547"/>
      <c r="AY339" s="547"/>
      <c r="AZ339" s="109"/>
      <c r="BA339" s="981" t="s">
        <v>1277</v>
      </c>
      <c r="BB339" s="265"/>
      <c r="BC339" s="982"/>
      <c r="BD339" s="18"/>
    </row>
    <row r="340" spans="2:56" ht="20.100000000000001" customHeight="1">
      <c r="B340" s="1360" t="b">
        <f t="shared" si="91"/>
        <v>1</v>
      </c>
      <c r="C340" s="924" t="s">
        <v>1302</v>
      </c>
      <c r="D340" s="924"/>
      <c r="E340" s="924"/>
      <c r="F340" s="105" t="s">
        <v>1272</v>
      </c>
      <c r="G340" s="777"/>
      <c r="H340" s="925" t="s">
        <v>1303</v>
      </c>
      <c r="I340" s="926"/>
      <c r="J340" s="927"/>
      <c r="K340" s="162" t="s">
        <v>1853</v>
      </c>
      <c r="L340" s="274"/>
      <c r="M340" s="937"/>
      <c r="N340" s="274"/>
      <c r="O340" s="980"/>
      <c r="P340" s="274"/>
      <c r="Q340" s="381"/>
      <c r="R340" s="1486"/>
      <c r="S340" s="985" t="s">
        <v>209</v>
      </c>
      <c r="T340" s="1486"/>
      <c r="U340" s="979" t="s">
        <v>209</v>
      </c>
      <c r="V340" s="1486"/>
      <c r="W340" s="2068"/>
      <c r="X340" s="2813"/>
      <c r="Y340" s="2814"/>
      <c r="Z340" s="2815"/>
      <c r="AA340" s="2553"/>
      <c r="AB340" s="2819"/>
      <c r="AC340" s="2554"/>
      <c r="AD340" s="2819"/>
      <c r="AE340" s="2655"/>
      <c r="AF340" s="2553"/>
      <c r="AG340" s="2819"/>
      <c r="AH340" s="2554"/>
      <c r="AI340" s="2819"/>
      <c r="AJ340" s="2655"/>
      <c r="AK340" s="2553"/>
      <c r="AL340" s="2819"/>
      <c r="AM340" s="2554"/>
      <c r="AN340" s="2819"/>
      <c r="AO340" s="2655"/>
      <c r="AP340" s="2553"/>
      <c r="AQ340" s="2819"/>
      <c r="AR340" s="2554"/>
      <c r="AS340" s="2819"/>
      <c r="AT340" s="2655"/>
      <c r="AU340" s="2468" t="s">
        <v>1304</v>
      </c>
      <c r="AV340" s="276" t="s">
        <v>1305</v>
      </c>
      <c r="AW340" s="109" t="s">
        <v>206</v>
      </c>
      <c r="AX340" s="547"/>
      <c r="AY340" s="547"/>
      <c r="AZ340" s="299" t="s">
        <v>193</v>
      </c>
      <c r="BA340" s="277" t="s">
        <v>1306</v>
      </c>
      <c r="BB340" s="265"/>
      <c r="BC340" s="982"/>
      <c r="BD340" s="18"/>
    </row>
    <row r="341" spans="2:56" ht="20.100000000000001" customHeight="1">
      <c r="B341" s="1360" t="b">
        <f t="shared" si="91"/>
        <v>1</v>
      </c>
      <c r="C341" s="1388"/>
      <c r="D341" s="936" t="s">
        <v>1307</v>
      </c>
      <c r="E341" s="924"/>
      <c r="F341" s="105" t="s">
        <v>557</v>
      </c>
      <c r="G341" s="905"/>
      <c r="H341" s="963"/>
      <c r="I341" s="932" t="s">
        <v>1308</v>
      </c>
      <c r="J341" s="922"/>
      <c r="K341" s="162" t="s">
        <v>559</v>
      </c>
      <c r="L341" s="274"/>
      <c r="M341" s="937"/>
      <c r="N341" s="274"/>
      <c r="O341" s="980"/>
      <c r="P341" s="274"/>
      <c r="Q341" s="381"/>
      <c r="R341" s="1461"/>
      <c r="S341" s="1533" t="s">
        <v>209</v>
      </c>
      <c r="T341" s="1461"/>
      <c r="U341" s="1522" t="s">
        <v>209</v>
      </c>
      <c r="V341" s="1461"/>
      <c r="W341" s="2068"/>
      <c r="X341" s="2813"/>
      <c r="Y341" s="2814"/>
      <c r="Z341" s="2815"/>
      <c r="AA341" s="2553"/>
      <c r="AB341" s="2819"/>
      <c r="AC341" s="2554"/>
      <c r="AD341" s="2819"/>
      <c r="AE341" s="2655"/>
      <c r="AF341" s="2553"/>
      <c r="AG341" s="2819"/>
      <c r="AH341" s="2554"/>
      <c r="AI341" s="2819"/>
      <c r="AJ341" s="2655"/>
      <c r="AK341" s="2553"/>
      <c r="AL341" s="2819"/>
      <c r="AM341" s="2554"/>
      <c r="AN341" s="2819"/>
      <c r="AO341" s="2655"/>
      <c r="AP341" s="2553"/>
      <c r="AQ341" s="2819"/>
      <c r="AR341" s="2554"/>
      <c r="AS341" s="2819"/>
      <c r="AT341" s="2655"/>
      <c r="AU341" s="2468"/>
      <c r="AV341" s="276"/>
      <c r="AW341" s="109" t="s">
        <v>206</v>
      </c>
      <c r="AX341" s="547"/>
      <c r="AY341" s="547"/>
      <c r="AZ341" s="299" t="s">
        <v>193</v>
      </c>
      <c r="BA341" s="277" t="s">
        <v>1306</v>
      </c>
      <c r="BB341" s="265"/>
      <c r="BC341" s="982"/>
      <c r="BD341" s="18"/>
    </row>
    <row r="342" spans="2:56" ht="20.100000000000001" customHeight="1">
      <c r="B342" s="1360" t="b">
        <f t="shared" si="91"/>
        <v>1</v>
      </c>
      <c r="C342" s="1389"/>
      <c r="D342" s="936" t="s">
        <v>1309</v>
      </c>
      <c r="E342" s="924"/>
      <c r="F342" s="105" t="s">
        <v>1018</v>
      </c>
      <c r="G342" s="912"/>
      <c r="H342" s="964"/>
      <c r="I342" s="922" t="s">
        <v>1856</v>
      </c>
      <c r="J342" s="922"/>
      <c r="K342" s="162" t="s">
        <v>1831</v>
      </c>
      <c r="L342" s="274"/>
      <c r="M342" s="937"/>
      <c r="N342" s="274"/>
      <c r="O342" s="980"/>
      <c r="P342" s="274"/>
      <c r="Q342" s="381"/>
      <c r="R342" s="1486"/>
      <c r="S342" s="985" t="s">
        <v>209</v>
      </c>
      <c r="T342" s="1486"/>
      <c r="U342" s="979" t="s">
        <v>209</v>
      </c>
      <c r="V342" s="1486"/>
      <c r="W342" s="2068"/>
      <c r="X342" s="2813"/>
      <c r="Y342" s="2814"/>
      <c r="Z342" s="2815"/>
      <c r="AA342" s="2553"/>
      <c r="AB342" s="2819"/>
      <c r="AC342" s="2554"/>
      <c r="AD342" s="2819"/>
      <c r="AE342" s="2655"/>
      <c r="AF342" s="2553"/>
      <c r="AG342" s="2819"/>
      <c r="AH342" s="2554"/>
      <c r="AI342" s="2819"/>
      <c r="AJ342" s="2655"/>
      <c r="AK342" s="2553"/>
      <c r="AL342" s="2819"/>
      <c r="AM342" s="2554"/>
      <c r="AN342" s="2819"/>
      <c r="AO342" s="2655"/>
      <c r="AP342" s="2553"/>
      <c r="AQ342" s="2819"/>
      <c r="AR342" s="2554"/>
      <c r="AS342" s="2819"/>
      <c r="AT342" s="2655"/>
      <c r="AU342" s="2468"/>
      <c r="AV342" s="276"/>
      <c r="AW342" s="109" t="s">
        <v>206</v>
      </c>
      <c r="AX342" s="547"/>
      <c r="AY342" s="547"/>
      <c r="AZ342" s="299" t="s">
        <v>193</v>
      </c>
      <c r="BA342" s="277" t="s">
        <v>1306</v>
      </c>
      <c r="BB342" s="265"/>
      <c r="BC342" s="982"/>
      <c r="BD342" s="18"/>
    </row>
    <row r="343" spans="2:56" ht="20.100000000000001" customHeight="1">
      <c r="B343" s="1360" t="b">
        <f t="shared" si="91"/>
        <v>1</v>
      </c>
      <c r="C343" s="924" t="s">
        <v>1311</v>
      </c>
      <c r="D343" s="924"/>
      <c r="E343" s="924"/>
      <c r="F343" s="105" t="s">
        <v>1312</v>
      </c>
      <c r="G343" s="777"/>
      <c r="H343" s="925" t="s">
        <v>1313</v>
      </c>
      <c r="I343" s="926"/>
      <c r="J343" s="927"/>
      <c r="K343" s="162" t="s">
        <v>1857</v>
      </c>
      <c r="L343" s="303"/>
      <c r="M343" s="975"/>
      <c r="N343" s="303"/>
      <c r="O343" s="976"/>
      <c r="P343" s="303"/>
      <c r="Q343" s="371"/>
      <c r="R343" s="1496"/>
      <c r="S343" s="977" t="s">
        <v>369</v>
      </c>
      <c r="T343" s="1496"/>
      <c r="U343" s="978" t="s">
        <v>369</v>
      </c>
      <c r="V343" s="1496"/>
      <c r="W343" s="2066"/>
      <c r="X343" s="2813"/>
      <c r="Y343" s="2814"/>
      <c r="Z343" s="2815"/>
      <c r="AA343" s="2553"/>
      <c r="AB343" s="2819"/>
      <c r="AC343" s="2554"/>
      <c r="AD343" s="2819"/>
      <c r="AE343" s="2655"/>
      <c r="AF343" s="2553"/>
      <c r="AG343" s="2819"/>
      <c r="AH343" s="2554"/>
      <c r="AI343" s="2819"/>
      <c r="AJ343" s="2655"/>
      <c r="AK343" s="2553"/>
      <c r="AL343" s="2819"/>
      <c r="AM343" s="2554"/>
      <c r="AN343" s="2819"/>
      <c r="AO343" s="2655"/>
      <c r="AP343" s="2553"/>
      <c r="AQ343" s="2819"/>
      <c r="AR343" s="2554"/>
      <c r="AS343" s="2819"/>
      <c r="AT343" s="2655"/>
      <c r="AU343" s="2468" t="s">
        <v>1315</v>
      </c>
      <c r="AV343" s="276" t="s">
        <v>1316</v>
      </c>
      <c r="AW343" s="109" t="s">
        <v>206</v>
      </c>
      <c r="AX343" s="547"/>
      <c r="AY343" s="547"/>
      <c r="AZ343" s="299" t="s">
        <v>193</v>
      </c>
      <c r="BA343" s="277" t="s">
        <v>1317</v>
      </c>
      <c r="BB343" s="265"/>
      <c r="BC343" s="982"/>
      <c r="BD343" s="18"/>
    </row>
    <row r="344" spans="2:56" ht="20.100000000000001" customHeight="1">
      <c r="B344" s="1360" t="b">
        <f t="shared" si="91"/>
        <v>1</v>
      </c>
      <c r="C344" s="1388"/>
      <c r="D344" s="936" t="s">
        <v>1318</v>
      </c>
      <c r="E344" s="924"/>
      <c r="F344" s="105" t="s">
        <v>557</v>
      </c>
      <c r="G344" s="905"/>
      <c r="H344" s="963"/>
      <c r="I344" s="932" t="s">
        <v>1319</v>
      </c>
      <c r="J344" s="922"/>
      <c r="K344" s="162" t="s">
        <v>559</v>
      </c>
      <c r="L344" s="303"/>
      <c r="M344" s="975"/>
      <c r="N344" s="303"/>
      <c r="O344" s="976"/>
      <c r="P344" s="303"/>
      <c r="Q344" s="371"/>
      <c r="R344" s="1465"/>
      <c r="S344" s="1534" t="s">
        <v>369</v>
      </c>
      <c r="T344" s="1465"/>
      <c r="U344" s="1535" t="s">
        <v>369</v>
      </c>
      <c r="V344" s="1465"/>
      <c r="W344" s="2066"/>
      <c r="X344" s="2813"/>
      <c r="Y344" s="2814"/>
      <c r="Z344" s="2815"/>
      <c r="AA344" s="2553"/>
      <c r="AB344" s="2819"/>
      <c r="AC344" s="2554"/>
      <c r="AD344" s="2819"/>
      <c r="AE344" s="2655"/>
      <c r="AF344" s="2553"/>
      <c r="AG344" s="2819"/>
      <c r="AH344" s="2554"/>
      <c r="AI344" s="2819"/>
      <c r="AJ344" s="2655"/>
      <c r="AK344" s="2553"/>
      <c r="AL344" s="2819"/>
      <c r="AM344" s="2554"/>
      <c r="AN344" s="2819"/>
      <c r="AO344" s="2655"/>
      <c r="AP344" s="2553"/>
      <c r="AQ344" s="2819"/>
      <c r="AR344" s="2554"/>
      <c r="AS344" s="2819"/>
      <c r="AT344" s="2655"/>
      <c r="AU344" s="2468"/>
      <c r="AV344" s="276"/>
      <c r="AW344" s="109" t="s">
        <v>206</v>
      </c>
      <c r="AX344" s="547"/>
      <c r="AY344" s="547"/>
      <c r="AZ344" s="299" t="s">
        <v>193</v>
      </c>
      <c r="BA344" s="277" t="s">
        <v>1317</v>
      </c>
      <c r="BB344" s="265"/>
      <c r="BC344" s="982"/>
      <c r="BD344" s="18"/>
    </row>
    <row r="345" spans="2:56" ht="20.100000000000001" customHeight="1">
      <c r="B345" s="1360" t="b">
        <f t="shared" si="91"/>
        <v>1</v>
      </c>
      <c r="C345" s="1389"/>
      <c r="D345" s="936" t="s">
        <v>1286</v>
      </c>
      <c r="E345" s="924"/>
      <c r="F345" s="105" t="s">
        <v>1018</v>
      </c>
      <c r="G345" s="912"/>
      <c r="H345" s="964"/>
      <c r="I345" s="932" t="s">
        <v>1287</v>
      </c>
      <c r="J345" s="922"/>
      <c r="K345" s="162" t="s">
        <v>1831</v>
      </c>
      <c r="L345" s="975">
        <v>7880142.9800000004</v>
      </c>
      <c r="M345" s="975"/>
      <c r="N345" s="975">
        <v>8412200.6400000006</v>
      </c>
      <c r="O345" s="976"/>
      <c r="P345" s="303"/>
      <c r="Q345" s="371"/>
      <c r="R345" s="1488">
        <v>3036776.98</v>
      </c>
      <c r="S345" s="977"/>
      <c r="T345" s="1488">
        <v>2803315.64</v>
      </c>
      <c r="U345" s="978"/>
      <c r="V345" s="5537"/>
      <c r="W345" s="2066"/>
      <c r="X345" s="2813"/>
      <c r="Y345" s="2814"/>
      <c r="Z345" s="2815"/>
      <c r="AA345" s="2798"/>
      <c r="AB345" s="2819"/>
      <c r="AC345" s="2799"/>
      <c r="AD345" s="2819"/>
      <c r="AE345" s="2825"/>
      <c r="AF345" s="2798"/>
      <c r="AG345" s="2819"/>
      <c r="AH345" s="2799"/>
      <c r="AI345" s="2819"/>
      <c r="AJ345" s="2825"/>
      <c r="AK345" s="2798"/>
      <c r="AL345" s="2819"/>
      <c r="AM345" s="2799"/>
      <c r="AN345" s="2819"/>
      <c r="AO345" s="2825"/>
      <c r="AP345" s="2798"/>
      <c r="AQ345" s="2819"/>
      <c r="AR345" s="2799"/>
      <c r="AS345" s="2819"/>
      <c r="AT345" s="2825"/>
      <c r="AU345" s="2468"/>
      <c r="AV345" s="276"/>
      <c r="AW345" s="1715" t="s">
        <v>206</v>
      </c>
      <c r="AX345" s="547"/>
      <c r="AY345" s="547"/>
      <c r="AZ345" s="299" t="s">
        <v>193</v>
      </c>
      <c r="BA345" s="277" t="s">
        <v>1317</v>
      </c>
      <c r="BB345" s="265"/>
      <c r="BC345" s="982"/>
      <c r="BD345" s="18"/>
    </row>
    <row r="346" spans="2:56" ht="20.100000000000001" customHeight="1">
      <c r="B346" s="1360" t="b">
        <f t="shared" si="91"/>
        <v>1</v>
      </c>
      <c r="C346" s="924" t="s">
        <v>1320</v>
      </c>
      <c r="D346" s="924"/>
      <c r="E346" s="924"/>
      <c r="F346" s="105" t="s">
        <v>1858</v>
      </c>
      <c r="G346" s="386"/>
      <c r="H346" s="143" t="s">
        <v>1321</v>
      </c>
      <c r="I346" s="143"/>
      <c r="J346" s="144"/>
      <c r="K346" s="162" t="s">
        <v>1857</v>
      </c>
      <c r="L346" s="303"/>
      <c r="M346" s="975"/>
      <c r="N346" s="303"/>
      <c r="O346" s="976"/>
      <c r="P346" s="303"/>
      <c r="Q346" s="371"/>
      <c r="R346" s="1496"/>
      <c r="S346" s="977" t="s">
        <v>369</v>
      </c>
      <c r="T346" s="1496"/>
      <c r="U346" s="978" t="s">
        <v>369</v>
      </c>
      <c r="V346" s="1496"/>
      <c r="W346" s="2066"/>
      <c r="X346" s="2813"/>
      <c r="Y346" s="2814"/>
      <c r="Z346" s="2815"/>
      <c r="AA346" s="2553"/>
      <c r="AB346" s="2819"/>
      <c r="AC346" s="2554"/>
      <c r="AD346" s="2819"/>
      <c r="AE346" s="2655"/>
      <c r="AF346" s="2553"/>
      <c r="AG346" s="2819"/>
      <c r="AH346" s="2554"/>
      <c r="AI346" s="2819"/>
      <c r="AJ346" s="2655"/>
      <c r="AK346" s="2553"/>
      <c r="AL346" s="2819"/>
      <c r="AM346" s="2554"/>
      <c r="AN346" s="2819"/>
      <c r="AO346" s="2655"/>
      <c r="AP346" s="2553"/>
      <c r="AQ346" s="2819"/>
      <c r="AR346" s="2554"/>
      <c r="AS346" s="2819"/>
      <c r="AT346" s="2655"/>
      <c r="AU346" s="2468" t="s">
        <v>1322</v>
      </c>
      <c r="AV346" s="276" t="s">
        <v>1323</v>
      </c>
      <c r="AW346" s="109" t="s">
        <v>206</v>
      </c>
      <c r="AX346" s="547"/>
      <c r="AY346" s="547"/>
      <c r="AZ346" s="299" t="s">
        <v>193</v>
      </c>
      <c r="BA346" s="277" t="s">
        <v>1244</v>
      </c>
      <c r="BB346" s="265"/>
      <c r="BC346" s="982"/>
      <c r="BD346" s="18"/>
    </row>
    <row r="347" spans="2:56" ht="20.100000000000001" customHeight="1">
      <c r="B347" s="1360" t="b">
        <f t="shared" si="91"/>
        <v>1</v>
      </c>
      <c r="C347" s="1388"/>
      <c r="D347" s="936" t="s">
        <v>1318</v>
      </c>
      <c r="E347" s="924"/>
      <c r="F347" s="105" t="s">
        <v>557</v>
      </c>
      <c r="G347" s="905"/>
      <c r="H347" s="963"/>
      <c r="I347" s="932" t="s">
        <v>1324</v>
      </c>
      <c r="J347" s="922"/>
      <c r="K347" s="162" t="s">
        <v>559</v>
      </c>
      <c r="L347" s="303"/>
      <c r="M347" s="975"/>
      <c r="N347" s="303"/>
      <c r="O347" s="976"/>
      <c r="P347" s="303"/>
      <c r="Q347" s="371"/>
      <c r="R347" s="1465"/>
      <c r="S347" s="1534" t="s">
        <v>369</v>
      </c>
      <c r="T347" s="1465"/>
      <c r="U347" s="1535" t="s">
        <v>369</v>
      </c>
      <c r="V347" s="1465"/>
      <c r="W347" s="2066"/>
      <c r="X347" s="2813"/>
      <c r="Y347" s="2814"/>
      <c r="Z347" s="2815"/>
      <c r="AA347" s="2553"/>
      <c r="AB347" s="2819"/>
      <c r="AC347" s="2554"/>
      <c r="AD347" s="2819"/>
      <c r="AE347" s="2655"/>
      <c r="AF347" s="2553"/>
      <c r="AG347" s="2819"/>
      <c r="AH347" s="2554"/>
      <c r="AI347" s="2819"/>
      <c r="AJ347" s="2655"/>
      <c r="AK347" s="2553"/>
      <c r="AL347" s="2819"/>
      <c r="AM347" s="2554"/>
      <c r="AN347" s="2819"/>
      <c r="AO347" s="2655"/>
      <c r="AP347" s="2553"/>
      <c r="AQ347" s="2819"/>
      <c r="AR347" s="2554"/>
      <c r="AS347" s="2819"/>
      <c r="AT347" s="2655"/>
      <c r="AU347" s="2468"/>
      <c r="AV347" s="276"/>
      <c r="AW347" s="109" t="s">
        <v>206</v>
      </c>
      <c r="AX347" s="547"/>
      <c r="AY347" s="547"/>
      <c r="AZ347" s="299" t="s">
        <v>193</v>
      </c>
      <c r="BA347" s="277" t="s">
        <v>1244</v>
      </c>
      <c r="BB347" s="265"/>
      <c r="BC347" s="982"/>
      <c r="BD347" s="18"/>
    </row>
    <row r="348" spans="2:56" ht="20.100000000000001" customHeight="1">
      <c r="B348" s="1360" t="b">
        <f t="shared" si="91"/>
        <v>1</v>
      </c>
      <c r="C348" s="1389"/>
      <c r="D348" s="936" t="s">
        <v>1286</v>
      </c>
      <c r="E348" s="924"/>
      <c r="F348" s="105" t="s">
        <v>1018</v>
      </c>
      <c r="G348" s="912"/>
      <c r="H348" s="964"/>
      <c r="I348" s="932" t="s">
        <v>1287</v>
      </c>
      <c r="J348" s="922"/>
      <c r="K348" s="162" t="s">
        <v>1831</v>
      </c>
      <c r="L348" s="975">
        <v>7880142.9800000004</v>
      </c>
      <c r="M348" s="975"/>
      <c r="N348" s="975">
        <v>8412200.6400000006</v>
      </c>
      <c r="O348" s="976"/>
      <c r="P348" s="303"/>
      <c r="Q348" s="371"/>
      <c r="R348" s="1488">
        <v>3036776.98</v>
      </c>
      <c r="S348" s="977"/>
      <c r="T348" s="1488">
        <v>2803315.64</v>
      </c>
      <c r="U348" s="978"/>
      <c r="V348" s="1496"/>
      <c r="W348" s="2066"/>
      <c r="X348" s="2813"/>
      <c r="Y348" s="2814"/>
      <c r="Z348" s="2815"/>
      <c r="AA348" s="2553"/>
      <c r="AB348" s="2819"/>
      <c r="AC348" s="2554"/>
      <c r="AD348" s="2819"/>
      <c r="AE348" s="2655"/>
      <c r="AF348" s="2798"/>
      <c r="AG348" s="2819"/>
      <c r="AH348" s="2799"/>
      <c r="AI348" s="2819"/>
      <c r="AJ348" s="2655"/>
      <c r="AK348" s="2553"/>
      <c r="AL348" s="2819"/>
      <c r="AM348" s="2554"/>
      <c r="AN348" s="2819"/>
      <c r="AO348" s="2655"/>
      <c r="AP348" s="2553"/>
      <c r="AQ348" s="2819"/>
      <c r="AR348" s="2554"/>
      <c r="AS348" s="2819"/>
      <c r="AT348" s="2655"/>
      <c r="AU348" s="2468"/>
      <c r="AV348" s="276"/>
      <c r="AW348" s="1715" t="s">
        <v>206</v>
      </c>
      <c r="AX348" s="547"/>
      <c r="AY348" s="547"/>
      <c r="AZ348" s="299" t="s">
        <v>193</v>
      </c>
      <c r="BA348" s="277" t="s">
        <v>1244</v>
      </c>
      <c r="BB348" s="265"/>
      <c r="BC348" s="982"/>
      <c r="BD348" s="18"/>
    </row>
    <row r="349" spans="2:56" ht="20.100000000000001" customHeight="1">
      <c r="B349" s="1360" t="b">
        <f t="shared" si="91"/>
        <v>0</v>
      </c>
      <c r="C349" s="924" t="s">
        <v>1325</v>
      </c>
      <c r="D349" s="924"/>
      <c r="E349" s="924"/>
      <c r="F349" s="105" t="s">
        <v>557</v>
      </c>
      <c r="G349" s="777"/>
      <c r="H349" s="925" t="s">
        <v>1326</v>
      </c>
      <c r="I349" s="926"/>
      <c r="J349" s="927"/>
      <c r="K349" s="109" t="s">
        <v>559</v>
      </c>
      <c r="L349" s="381">
        <v>0</v>
      </c>
      <c r="M349" s="381"/>
      <c r="N349" s="381">
        <v>0</v>
      </c>
      <c r="O349" s="304"/>
      <c r="P349" s="274"/>
      <c r="Q349" s="381"/>
      <c r="R349" s="1463">
        <v>0</v>
      </c>
      <c r="S349" s="1533"/>
      <c r="T349" s="1463">
        <v>0</v>
      </c>
      <c r="U349" s="1522"/>
      <c r="V349" s="1461">
        <v>0</v>
      </c>
      <c r="W349" s="2068"/>
      <c r="X349" s="2557"/>
      <c r="Y349" s="2558"/>
      <c r="Z349" s="2559"/>
      <c r="AA349" s="2553">
        <f>China!AO350</f>
        <v>0</v>
      </c>
      <c r="AB349" s="2560">
        <f>China!AP349</f>
        <v>0</v>
      </c>
      <c r="AC349" s="2554">
        <f>China!AQ350</f>
        <v>0</v>
      </c>
      <c r="AD349" s="2560">
        <f>China!AR349</f>
        <v>0</v>
      </c>
      <c r="AE349" s="2655">
        <f>China!AS350</f>
        <v>0</v>
      </c>
      <c r="AF349" s="2553"/>
      <c r="AG349" s="2560"/>
      <c r="AH349" s="2554"/>
      <c r="AI349" s="2560"/>
      <c r="AJ349" s="2655"/>
      <c r="AK349" s="2553"/>
      <c r="AL349" s="2560"/>
      <c r="AM349" s="2554"/>
      <c r="AN349" s="2560"/>
      <c r="AO349" s="2655"/>
      <c r="AP349" s="2553"/>
      <c r="AQ349" s="2560"/>
      <c r="AR349" s="2554"/>
      <c r="AS349" s="2560"/>
      <c r="AT349" s="2655"/>
      <c r="AU349" s="2468" t="s">
        <v>1327</v>
      </c>
      <c r="AV349" s="276" t="s">
        <v>1328</v>
      </c>
      <c r="AW349" s="109" t="s">
        <v>206</v>
      </c>
      <c r="AX349" s="547"/>
      <c r="AY349" s="547"/>
      <c r="AZ349" s="986"/>
      <c r="BA349" s="277" t="s">
        <v>1329</v>
      </c>
      <c r="BB349" s="265"/>
      <c r="BC349" s="982"/>
      <c r="BD349" s="18"/>
    </row>
    <row r="350" spans="2:56" ht="20.100000000000001" customHeight="1">
      <c r="B350" s="1360" t="b">
        <f t="shared" si="91"/>
        <v>0</v>
      </c>
      <c r="C350" s="924" t="s">
        <v>1331</v>
      </c>
      <c r="D350" s="924"/>
      <c r="E350" s="924"/>
      <c r="F350" s="105" t="s">
        <v>557</v>
      </c>
      <c r="G350" s="777"/>
      <c r="H350" s="925" t="s">
        <v>1332</v>
      </c>
      <c r="I350" s="926"/>
      <c r="J350" s="927"/>
      <c r="K350" s="109" t="s">
        <v>559</v>
      </c>
      <c r="L350" s="274"/>
      <c r="M350" s="381"/>
      <c r="N350" s="274"/>
      <c r="O350" s="304"/>
      <c r="P350" s="274"/>
      <c r="Q350" s="381"/>
      <c r="R350" s="1461" t="s">
        <v>209</v>
      </c>
      <c r="S350" s="1533"/>
      <c r="T350" s="1461" t="s">
        <v>209</v>
      </c>
      <c r="U350" s="1522"/>
      <c r="V350" s="1461" t="s">
        <v>209</v>
      </c>
      <c r="W350" s="2068"/>
      <c r="X350" s="2557"/>
      <c r="Y350" s="2558"/>
      <c r="Z350" s="2559"/>
      <c r="AA350" s="2553"/>
      <c r="AB350" s="2560"/>
      <c r="AC350" s="2554"/>
      <c r="AD350" s="2560"/>
      <c r="AE350" s="2655"/>
      <c r="AF350" s="2553"/>
      <c r="AG350" s="2560"/>
      <c r="AH350" s="2554"/>
      <c r="AI350" s="2560"/>
      <c r="AJ350" s="2655"/>
      <c r="AK350" s="2553"/>
      <c r="AL350" s="2560"/>
      <c r="AM350" s="2554"/>
      <c r="AN350" s="2560"/>
      <c r="AO350" s="2655"/>
      <c r="AP350" s="2553"/>
      <c r="AQ350" s="2560"/>
      <c r="AR350" s="2554"/>
      <c r="AS350" s="2560"/>
      <c r="AT350" s="2655"/>
      <c r="AU350" s="498"/>
      <c r="AV350" s="305"/>
      <c r="AW350" s="109" t="s">
        <v>206</v>
      </c>
      <c r="AX350" s="547"/>
      <c r="AY350" s="547"/>
      <c r="AZ350" s="109"/>
      <c r="BA350" s="277" t="s">
        <v>1277</v>
      </c>
      <c r="BB350" s="265" t="s">
        <v>1333</v>
      </c>
      <c r="BC350" s="982"/>
      <c r="BD350" s="18"/>
    </row>
    <row r="351" spans="2:56" ht="20.100000000000001" customHeight="1">
      <c r="B351" s="1360" t="b">
        <f t="shared" si="91"/>
        <v>1</v>
      </c>
      <c r="C351" s="924" t="s">
        <v>1334</v>
      </c>
      <c r="D351" s="924"/>
      <c r="E351" s="924"/>
      <c r="F351" s="119" t="s">
        <v>557</v>
      </c>
      <c r="G351" s="777"/>
      <c r="H351" s="925" t="s">
        <v>1335</v>
      </c>
      <c r="I351" s="926"/>
      <c r="J351" s="987"/>
      <c r="K351" s="122" t="s">
        <v>559</v>
      </c>
      <c r="L351" s="274"/>
      <c r="M351" s="988"/>
      <c r="N351" s="274"/>
      <c r="O351" s="425"/>
      <c r="P351" s="504"/>
      <c r="Q351" s="988"/>
      <c r="R351" s="1461"/>
      <c r="S351" s="1536"/>
      <c r="T351" s="1461"/>
      <c r="U351" s="1537"/>
      <c r="V351" s="1474"/>
      <c r="W351" s="2094"/>
      <c r="X351" s="2647"/>
      <c r="Y351" s="2648"/>
      <c r="Z351" s="2743"/>
      <c r="AA351" s="2650"/>
      <c r="AB351" s="2826"/>
      <c r="AC351" s="2652"/>
      <c r="AD351" s="2826"/>
      <c r="AE351" s="2653"/>
      <c r="AF351" s="2650"/>
      <c r="AG351" s="2826"/>
      <c r="AH351" s="2652"/>
      <c r="AI351" s="2826"/>
      <c r="AJ351" s="2653"/>
      <c r="AK351" s="2650"/>
      <c r="AL351" s="2826"/>
      <c r="AM351" s="2652"/>
      <c r="AN351" s="2826"/>
      <c r="AO351" s="2653"/>
      <c r="AP351" s="2650"/>
      <c r="AQ351" s="2826"/>
      <c r="AR351" s="2652"/>
      <c r="AS351" s="2826"/>
      <c r="AT351" s="2653"/>
      <c r="AU351" s="2487"/>
      <c r="AV351" s="990"/>
      <c r="AW351" s="1715" t="s">
        <v>206</v>
      </c>
      <c r="AX351" s="547"/>
      <c r="AY351" s="547"/>
      <c r="AZ351" s="109"/>
      <c r="BA351" s="265"/>
      <c r="BB351" s="265" t="s">
        <v>1336</v>
      </c>
      <c r="BC351" s="982"/>
      <c r="BD351" s="18"/>
    </row>
    <row r="352" spans="2:56" ht="20.100000000000001" customHeight="1">
      <c r="B352" s="1360" t="b">
        <f t="shared" si="91"/>
        <v>1</v>
      </c>
      <c r="C352" s="104" t="s">
        <v>1337</v>
      </c>
      <c r="D352" s="104"/>
      <c r="E352" s="104"/>
      <c r="F352" s="105" t="s">
        <v>156</v>
      </c>
      <c r="G352" s="771"/>
      <c r="H352" s="991" t="s">
        <v>1338</v>
      </c>
      <c r="I352" s="992"/>
      <c r="J352" s="993"/>
      <c r="K352" s="109" t="s">
        <v>156</v>
      </c>
      <c r="L352" s="274"/>
      <c r="M352" s="381"/>
      <c r="N352" s="274"/>
      <c r="O352" s="304"/>
      <c r="P352" s="274"/>
      <c r="Q352" s="381"/>
      <c r="R352" s="1486"/>
      <c r="S352" s="1422"/>
      <c r="T352" s="1486"/>
      <c r="U352" s="1446"/>
      <c r="V352" s="1486"/>
      <c r="W352" s="2068"/>
      <c r="X352" s="2550" t="s">
        <v>1829</v>
      </c>
      <c r="Y352" s="2551">
        <f t="shared" ref="Y352:Z352" si="93">Y353/Y354*100</f>
        <v>100</v>
      </c>
      <c r="Z352" s="2552">
        <f t="shared" si="93"/>
        <v>100</v>
      </c>
      <c r="AA352" s="5342"/>
      <c r="AB352" s="2608"/>
      <c r="AC352" s="5343"/>
      <c r="AD352" s="2608"/>
      <c r="AE352" s="5344"/>
      <c r="AF352" s="5342">
        <f t="shared" ref="AF352:AJ352" si="94">AF353/AF354*100</f>
        <v>75.886524822695037</v>
      </c>
      <c r="AG352" s="2608" t="e">
        <f t="shared" si="94"/>
        <v>#VALUE!</v>
      </c>
      <c r="AH352" s="5343">
        <f t="shared" si="94"/>
        <v>74.003466204506068</v>
      </c>
      <c r="AI352" s="2608" t="e">
        <f t="shared" si="94"/>
        <v>#VALUE!</v>
      </c>
      <c r="AJ352" s="5344" t="e">
        <f t="shared" si="94"/>
        <v>#DIV/0!</v>
      </c>
      <c r="AK352" s="5342"/>
      <c r="AL352" s="2608"/>
      <c r="AM352" s="5343"/>
      <c r="AN352" s="2608"/>
      <c r="AO352" s="5344"/>
      <c r="AP352" s="5453">
        <f>AP353/AP354</f>
        <v>0.58750000000000002</v>
      </c>
      <c r="AQ352" s="5454" t="e">
        <f t="shared" ref="AQ352:AT352" si="95">AQ353/AQ354</f>
        <v>#DIV/0!</v>
      </c>
      <c r="AR352" s="5455">
        <f t="shared" si="95"/>
        <v>0.68269230769230771</v>
      </c>
      <c r="AS352" s="5454" t="e">
        <f t="shared" si="95"/>
        <v>#DIV/0!</v>
      </c>
      <c r="AT352" s="5456">
        <f t="shared" si="95"/>
        <v>0.78942398489140697</v>
      </c>
      <c r="AU352" s="2472" t="s">
        <v>1339</v>
      </c>
      <c r="AV352" s="457" t="s">
        <v>1340</v>
      </c>
      <c r="AW352" s="109" t="s">
        <v>206</v>
      </c>
      <c r="AX352" s="547"/>
      <c r="AY352" s="547"/>
      <c r="AZ352" s="109"/>
      <c r="BA352" s="265" t="s">
        <v>1341</v>
      </c>
      <c r="BB352" s="265"/>
      <c r="BC352" s="982"/>
      <c r="BD352" s="18"/>
    </row>
    <row r="353" spans="2:56" ht="20.100000000000001" customHeight="1">
      <c r="B353" s="1360" t="b">
        <f t="shared" si="91"/>
        <v>0</v>
      </c>
      <c r="C353" s="1388"/>
      <c r="D353" s="936" t="s">
        <v>1342</v>
      </c>
      <c r="E353" s="924"/>
      <c r="F353" s="105" t="s">
        <v>742</v>
      </c>
      <c r="G353" s="905"/>
      <c r="H353" s="963"/>
      <c r="I353" s="932" t="s">
        <v>1343</v>
      </c>
      <c r="J353" s="922"/>
      <c r="K353" s="109" t="s">
        <v>734</v>
      </c>
      <c r="L353" s="381">
        <v>429</v>
      </c>
      <c r="M353" s="381"/>
      <c r="N353" s="381">
        <v>595</v>
      </c>
      <c r="O353" s="304"/>
      <c r="P353" s="274"/>
      <c r="Q353" s="381"/>
      <c r="R353" s="1463">
        <v>1</v>
      </c>
      <c r="S353" s="1533" t="s">
        <v>1344</v>
      </c>
      <c r="T353" s="1463">
        <v>1</v>
      </c>
      <c r="U353" s="1522" t="s">
        <v>1859</v>
      </c>
      <c r="V353" s="1461" t="s">
        <v>1860</v>
      </c>
      <c r="W353" s="2068"/>
      <c r="X353" s="2557">
        <f>'4DPLEX'!R324</f>
        <v>0</v>
      </c>
      <c r="Y353" s="2558">
        <f>'4DPLEX'!T324</f>
        <v>167</v>
      </c>
      <c r="Z353" s="2559">
        <f>'4DPLEX'!V324</f>
        <v>221</v>
      </c>
      <c r="AA353" s="2553"/>
      <c r="AB353" s="2818"/>
      <c r="AC353" s="2554"/>
      <c r="AD353" s="2818"/>
      <c r="AE353" s="2655"/>
      <c r="AF353" s="2553">
        <f>Vietnam!Q352</f>
        <v>428</v>
      </c>
      <c r="AG353" s="2560" t="str">
        <f>Vietnam!R352</f>
        <v xml:space="preserve">on process to train the safety by Gov's regulation </v>
      </c>
      <c r="AH353" s="2554">
        <f>Vietnam!S352</f>
        <v>427</v>
      </c>
      <c r="AI353" s="2560" t="str">
        <f>Vietnam!T352</f>
        <v xml:space="preserve">on process to train the safety by Gov's regulation </v>
      </c>
      <c r="AJ353" s="2655">
        <f>Vietnam!U352</f>
        <v>0</v>
      </c>
      <c r="AK353" s="2553"/>
      <c r="AL353" s="2818"/>
      <c r="AM353" s="2554"/>
      <c r="AN353" s="2818"/>
      <c r="AO353" s="2655"/>
      <c r="AP353" s="2553">
        <f>Türkiye!AA352</f>
        <v>752</v>
      </c>
      <c r="AQ353" s="2560">
        <f>Türkiye!AB352</f>
        <v>0</v>
      </c>
      <c r="AR353" s="2554">
        <f>Türkiye!AC352</f>
        <v>781</v>
      </c>
      <c r="AS353" s="2560">
        <f>Türkiye!AD352</f>
        <v>0</v>
      </c>
      <c r="AT353" s="2655">
        <f>Türkiye!AE352</f>
        <v>836</v>
      </c>
      <c r="AU353" s="2468"/>
      <c r="AV353" s="276"/>
      <c r="AW353" s="109" t="s">
        <v>206</v>
      </c>
      <c r="AX353" s="547"/>
      <c r="AY353" s="547"/>
      <c r="AZ353" s="109"/>
      <c r="BA353" s="265" t="s">
        <v>1341</v>
      </c>
      <c r="BB353" s="265"/>
      <c r="BC353" s="982"/>
      <c r="BD353" s="18"/>
    </row>
    <row r="354" spans="2:56" ht="20.100000000000001" customHeight="1">
      <c r="B354" s="1360" t="b">
        <f t="shared" si="91"/>
        <v>0</v>
      </c>
      <c r="C354" s="1389"/>
      <c r="D354" s="931" t="s">
        <v>1351</v>
      </c>
      <c r="E354" s="931"/>
      <c r="F354" s="119" t="s">
        <v>742</v>
      </c>
      <c r="G354" s="912"/>
      <c r="H354" s="964"/>
      <c r="I354" s="932" t="s">
        <v>1861</v>
      </c>
      <c r="J354" s="963"/>
      <c r="K354" s="122" t="s">
        <v>734</v>
      </c>
      <c r="L354" s="988">
        <v>943</v>
      </c>
      <c r="M354" s="988"/>
      <c r="N354" s="988">
        <v>1135</v>
      </c>
      <c r="O354" s="425"/>
      <c r="P354" s="504"/>
      <c r="Q354" s="988"/>
      <c r="R354" s="1463">
        <v>0</v>
      </c>
      <c r="S354" s="1536">
        <v>0</v>
      </c>
      <c r="T354" s="1463">
        <v>0</v>
      </c>
      <c r="U354" s="1537">
        <v>0</v>
      </c>
      <c r="V354" s="1461" t="s">
        <v>1860</v>
      </c>
      <c r="W354" s="2094"/>
      <c r="X354" s="2647">
        <f>'4DPLEX'!R325</f>
        <v>0</v>
      </c>
      <c r="Y354" s="2558">
        <f>'4DPLEX'!T325</f>
        <v>167</v>
      </c>
      <c r="Z354" s="2559">
        <f>'4DPLEX'!V325</f>
        <v>221</v>
      </c>
      <c r="AA354" s="2650"/>
      <c r="AB354" s="2826"/>
      <c r="AC354" s="2652"/>
      <c r="AD354" s="2826"/>
      <c r="AE354" s="2653"/>
      <c r="AF354" s="2650">
        <f>Vietnam!Q353</f>
        <v>564</v>
      </c>
      <c r="AG354" s="2826" t="str">
        <f>Vietnam!R353</f>
        <v>Full time</v>
      </c>
      <c r="AH354" s="2652">
        <f>Vietnam!S353</f>
        <v>577</v>
      </c>
      <c r="AI354" s="2826" t="str">
        <f>Vietnam!T353</f>
        <v>Full time</v>
      </c>
      <c r="AJ354" s="2653">
        <f>Vietnam!U353</f>
        <v>0</v>
      </c>
      <c r="AK354" s="2650"/>
      <c r="AL354" s="2826"/>
      <c r="AM354" s="2652"/>
      <c r="AN354" s="2826"/>
      <c r="AO354" s="2653"/>
      <c r="AP354" s="2650">
        <f>Türkiye!AA353</f>
        <v>1280</v>
      </c>
      <c r="AQ354" s="2826">
        <f>Türkiye!AB353</f>
        <v>0</v>
      </c>
      <c r="AR354" s="2652">
        <f>Türkiye!AC353</f>
        <v>1144</v>
      </c>
      <c r="AS354" s="2826">
        <f>Türkiye!AD353</f>
        <v>0</v>
      </c>
      <c r="AT354" s="2653">
        <f>Türkiye!AE353</f>
        <v>1059</v>
      </c>
      <c r="AU354" s="1052"/>
      <c r="AV354" s="714"/>
      <c r="AW354" s="109" t="s">
        <v>206</v>
      </c>
      <c r="AX354" s="547"/>
      <c r="AY354" s="547"/>
      <c r="AZ354" s="109"/>
      <c r="BA354" s="265" t="s">
        <v>1341</v>
      </c>
      <c r="BB354" s="265"/>
      <c r="BC354" s="982"/>
      <c r="BD354" s="18"/>
    </row>
    <row r="355" spans="2:56" ht="20.100000000000001" customHeight="1">
      <c r="B355" s="1360" t="b">
        <f t="shared" si="91"/>
        <v>1</v>
      </c>
      <c r="C355" s="924" t="s">
        <v>1352</v>
      </c>
      <c r="D355" s="924"/>
      <c r="E355" s="924"/>
      <c r="F355" s="119" t="s">
        <v>156</v>
      </c>
      <c r="G355" s="777"/>
      <c r="H355" s="925" t="s">
        <v>1353</v>
      </c>
      <c r="I355" s="925"/>
      <c r="J355" s="994"/>
      <c r="K355" s="122" t="s">
        <v>156</v>
      </c>
      <c r="L355" s="502"/>
      <c r="M355" s="988"/>
      <c r="N355" s="502"/>
      <c r="O355" s="425"/>
      <c r="P355" s="504"/>
      <c r="Q355" s="988"/>
      <c r="R355" s="1486"/>
      <c r="S355" s="1441" t="s">
        <v>1780</v>
      </c>
      <c r="T355" s="1490"/>
      <c r="U355" s="1414" t="s">
        <v>1780</v>
      </c>
      <c r="V355" s="1512"/>
      <c r="W355" s="2094"/>
      <c r="X355" s="5345"/>
      <c r="Y355" s="2551"/>
      <c r="Z355" s="5346"/>
      <c r="AA355" s="5345"/>
      <c r="AB355" s="5347"/>
      <c r="AC355" s="5348"/>
      <c r="AD355" s="5347"/>
      <c r="AE355" s="5349"/>
      <c r="AF355" s="5345"/>
      <c r="AG355" s="5347"/>
      <c r="AH355" s="5348"/>
      <c r="AI355" s="5347"/>
      <c r="AJ355" s="5349"/>
      <c r="AK355" s="5345"/>
      <c r="AL355" s="5347"/>
      <c r="AM355" s="5348"/>
      <c r="AN355" s="5347"/>
      <c r="AO355" s="5349"/>
      <c r="AP355" s="5345"/>
      <c r="AQ355" s="5347"/>
      <c r="AR355" s="5348"/>
      <c r="AS355" s="5347"/>
      <c r="AT355" s="5349"/>
      <c r="AU355" s="1052" t="s">
        <v>1354</v>
      </c>
      <c r="AV355" s="714" t="s">
        <v>1355</v>
      </c>
      <c r="AW355" s="109" t="s">
        <v>1356</v>
      </c>
      <c r="AX355" s="547"/>
      <c r="AY355" s="547"/>
      <c r="AZ355" s="299" t="s">
        <v>193</v>
      </c>
      <c r="BA355" s="277" t="s">
        <v>1357</v>
      </c>
      <c r="BB355" s="265"/>
      <c r="BC355" s="982"/>
      <c r="BD355" s="18"/>
    </row>
    <row r="356" spans="2:56" ht="20.100000000000001" customHeight="1">
      <c r="B356" s="1360" t="b">
        <f t="shared" si="91"/>
        <v>1</v>
      </c>
      <c r="C356" s="1388"/>
      <c r="D356" s="995" t="s">
        <v>1358</v>
      </c>
      <c r="E356" s="926"/>
      <c r="F356" s="119" t="s">
        <v>1011</v>
      </c>
      <c r="G356" s="905"/>
      <c r="H356" s="963"/>
      <c r="I356" s="932" t="s">
        <v>1359</v>
      </c>
      <c r="J356" s="963"/>
      <c r="K356" s="122" t="s">
        <v>1013</v>
      </c>
      <c r="L356" s="502"/>
      <c r="M356" s="988"/>
      <c r="N356" s="502"/>
      <c r="O356" s="425"/>
      <c r="P356" s="504"/>
      <c r="Q356" s="988"/>
      <c r="R356" s="1461"/>
      <c r="S356" s="1536"/>
      <c r="T356" s="1461"/>
      <c r="U356" s="1537"/>
      <c r="V356" s="1474"/>
      <c r="W356" s="2094"/>
      <c r="X356" s="2650"/>
      <c r="Y356" s="2814"/>
      <c r="Z356" s="2659"/>
      <c r="AA356" s="2650"/>
      <c r="AB356" s="2826"/>
      <c r="AC356" s="2652"/>
      <c r="AD356" s="2826"/>
      <c r="AE356" s="2653"/>
      <c r="AF356" s="2650"/>
      <c r="AG356" s="2826"/>
      <c r="AH356" s="2652"/>
      <c r="AI356" s="2826"/>
      <c r="AJ356" s="2653"/>
      <c r="AK356" s="2650"/>
      <c r="AL356" s="2826"/>
      <c r="AM356" s="2652"/>
      <c r="AN356" s="2826"/>
      <c r="AO356" s="2653"/>
      <c r="AP356" s="2650"/>
      <c r="AQ356" s="2826"/>
      <c r="AR356" s="2652"/>
      <c r="AS356" s="2826"/>
      <c r="AT356" s="2653"/>
      <c r="AU356" s="1052"/>
      <c r="AV356" s="714"/>
      <c r="AW356" s="109" t="s">
        <v>1356</v>
      </c>
      <c r="AX356" s="547"/>
      <c r="AY356" s="547"/>
      <c r="AZ356" s="299" t="s">
        <v>193</v>
      </c>
      <c r="BA356" s="277" t="s">
        <v>1357</v>
      </c>
      <c r="BB356" s="265"/>
      <c r="BC356" s="982"/>
      <c r="BD356" s="18"/>
    </row>
    <row r="357" spans="2:56" ht="20.100000000000001" customHeight="1">
      <c r="B357" s="1360" t="b">
        <f t="shared" si="91"/>
        <v>1</v>
      </c>
      <c r="C357" s="1389"/>
      <c r="D357" s="936" t="s">
        <v>1360</v>
      </c>
      <c r="E357" s="924"/>
      <c r="F357" s="119" t="s">
        <v>1011</v>
      </c>
      <c r="G357" s="912"/>
      <c r="H357" s="964"/>
      <c r="I357" s="932" t="s">
        <v>1361</v>
      </c>
      <c r="J357" s="963"/>
      <c r="K357" s="122" t="s">
        <v>1013</v>
      </c>
      <c r="L357" s="502"/>
      <c r="M357" s="988"/>
      <c r="N357" s="502"/>
      <c r="O357" s="425"/>
      <c r="P357" s="504"/>
      <c r="Q357" s="988"/>
      <c r="R357" s="1461"/>
      <c r="S357" s="1536"/>
      <c r="T357" s="1461"/>
      <c r="U357" s="1537"/>
      <c r="V357" s="1474"/>
      <c r="W357" s="2094"/>
      <c r="X357" s="2650"/>
      <c r="Y357" s="2814"/>
      <c r="Z357" s="2659"/>
      <c r="AA357" s="2650"/>
      <c r="AB357" s="2826"/>
      <c r="AC357" s="2652"/>
      <c r="AD357" s="2826"/>
      <c r="AE357" s="2653"/>
      <c r="AF357" s="2650"/>
      <c r="AG357" s="2826"/>
      <c r="AH357" s="2652"/>
      <c r="AI357" s="2826"/>
      <c r="AJ357" s="2653"/>
      <c r="AK357" s="2650"/>
      <c r="AL357" s="2826"/>
      <c r="AM357" s="2652"/>
      <c r="AN357" s="2826"/>
      <c r="AO357" s="2653"/>
      <c r="AP357" s="2650"/>
      <c r="AQ357" s="2826"/>
      <c r="AR357" s="2652"/>
      <c r="AS357" s="2826"/>
      <c r="AT357" s="2653"/>
      <c r="AU357" s="1052"/>
      <c r="AV357" s="714"/>
      <c r="AW357" s="109" t="s">
        <v>1356</v>
      </c>
      <c r="AX357" s="547"/>
      <c r="AY357" s="547"/>
      <c r="AZ357" s="299" t="s">
        <v>193</v>
      </c>
      <c r="BA357" s="277" t="s">
        <v>1357</v>
      </c>
      <c r="BB357" s="265"/>
      <c r="BC357" s="982"/>
      <c r="BD357" s="18"/>
    </row>
    <row r="358" spans="2:56" ht="20.100000000000001" customHeight="1">
      <c r="B358" s="1360" t="b">
        <f t="shared" si="91"/>
        <v>1</v>
      </c>
      <c r="C358" s="924" t="s">
        <v>1362</v>
      </c>
      <c r="D358" s="924"/>
      <c r="E358" s="924"/>
      <c r="F358" s="119" t="s">
        <v>156</v>
      </c>
      <c r="G358" s="777"/>
      <c r="H358" s="925" t="s">
        <v>1363</v>
      </c>
      <c r="I358" s="925"/>
      <c r="J358" s="994"/>
      <c r="K358" s="122" t="s">
        <v>156</v>
      </c>
      <c r="L358" s="502"/>
      <c r="M358" s="988"/>
      <c r="N358" s="502"/>
      <c r="O358" s="425"/>
      <c r="P358" s="504"/>
      <c r="Q358" s="988"/>
      <c r="R358" s="1486"/>
      <c r="S358" s="1445"/>
      <c r="T358" s="1486"/>
      <c r="U358" s="1419"/>
      <c r="V358" s="1512"/>
      <c r="W358" s="2094"/>
      <c r="X358" s="5345"/>
      <c r="Y358" s="2551"/>
      <c r="Z358" s="5346"/>
      <c r="AA358" s="5345"/>
      <c r="AB358" s="5347"/>
      <c r="AC358" s="5348"/>
      <c r="AD358" s="5347"/>
      <c r="AE358" s="5349"/>
      <c r="AF358" s="5345"/>
      <c r="AG358" s="5347"/>
      <c r="AH358" s="5348"/>
      <c r="AI358" s="5347"/>
      <c r="AJ358" s="5349"/>
      <c r="AK358" s="5345"/>
      <c r="AL358" s="5347"/>
      <c r="AM358" s="5348"/>
      <c r="AN358" s="5347"/>
      <c r="AO358" s="5349"/>
      <c r="AP358" s="5345"/>
      <c r="AQ358" s="5347"/>
      <c r="AR358" s="5348"/>
      <c r="AS358" s="5347"/>
      <c r="AT358" s="5349"/>
      <c r="AU358" s="1052" t="s">
        <v>1364</v>
      </c>
      <c r="AV358" s="714" t="s">
        <v>1365</v>
      </c>
      <c r="AW358" s="109" t="s">
        <v>1356</v>
      </c>
      <c r="AX358" s="547"/>
      <c r="AY358" s="547"/>
      <c r="AZ358" s="299" t="s">
        <v>193</v>
      </c>
      <c r="BA358" s="277" t="s">
        <v>1366</v>
      </c>
      <c r="BB358" s="265"/>
      <c r="BC358" s="982"/>
      <c r="BD358" s="18"/>
    </row>
    <row r="359" spans="2:56" ht="20.100000000000001" customHeight="1">
      <c r="B359" s="1360" t="b">
        <f t="shared" si="91"/>
        <v>1</v>
      </c>
      <c r="C359" s="1388"/>
      <c r="D359" s="936" t="s">
        <v>1367</v>
      </c>
      <c r="E359" s="924"/>
      <c r="F359" s="119" t="s">
        <v>1011</v>
      </c>
      <c r="G359" s="905"/>
      <c r="H359" s="963"/>
      <c r="I359" s="349" t="s">
        <v>1368</v>
      </c>
      <c r="J359" s="996"/>
      <c r="K359" s="122" t="s">
        <v>1013</v>
      </c>
      <c r="L359" s="502"/>
      <c r="M359" s="988"/>
      <c r="N359" s="502"/>
      <c r="O359" s="425"/>
      <c r="P359" s="504"/>
      <c r="Q359" s="988"/>
      <c r="R359" s="1461"/>
      <c r="S359" s="1536"/>
      <c r="T359" s="1461"/>
      <c r="U359" s="1537"/>
      <c r="V359" s="1474"/>
      <c r="W359" s="2094"/>
      <c r="X359" s="2650"/>
      <c r="Y359" s="2814"/>
      <c r="Z359" s="2659"/>
      <c r="AA359" s="2650"/>
      <c r="AB359" s="2826"/>
      <c r="AC359" s="2652"/>
      <c r="AD359" s="2826"/>
      <c r="AE359" s="2653"/>
      <c r="AF359" s="2650"/>
      <c r="AG359" s="2826"/>
      <c r="AH359" s="2652"/>
      <c r="AI359" s="2826"/>
      <c r="AJ359" s="2653"/>
      <c r="AK359" s="2650"/>
      <c r="AL359" s="2826"/>
      <c r="AM359" s="2652"/>
      <c r="AN359" s="2826"/>
      <c r="AO359" s="2653"/>
      <c r="AP359" s="2650"/>
      <c r="AQ359" s="2826"/>
      <c r="AR359" s="2652"/>
      <c r="AS359" s="2826"/>
      <c r="AT359" s="2653"/>
      <c r="AU359" s="1052"/>
      <c r="AV359" s="714"/>
      <c r="AW359" s="109" t="s">
        <v>1356</v>
      </c>
      <c r="AX359" s="547"/>
      <c r="AY359" s="547"/>
      <c r="AZ359" s="299" t="s">
        <v>193</v>
      </c>
      <c r="BA359" s="277" t="s">
        <v>1366</v>
      </c>
      <c r="BB359" s="265"/>
      <c r="BC359" s="982"/>
      <c r="BD359" s="18"/>
    </row>
    <row r="360" spans="2:56" ht="20.100000000000001" customHeight="1">
      <c r="B360" s="1360" t="b">
        <f t="shared" si="91"/>
        <v>1</v>
      </c>
      <c r="C360" s="1389"/>
      <c r="D360" s="936" t="s">
        <v>1369</v>
      </c>
      <c r="E360" s="924"/>
      <c r="F360" s="119" t="s">
        <v>1011</v>
      </c>
      <c r="G360" s="912"/>
      <c r="H360" s="964"/>
      <c r="I360" s="349" t="s">
        <v>1862</v>
      </c>
      <c r="J360" s="996"/>
      <c r="K360" s="122" t="s">
        <v>1013</v>
      </c>
      <c r="L360" s="502"/>
      <c r="M360" s="988"/>
      <c r="N360" s="502"/>
      <c r="O360" s="425"/>
      <c r="P360" s="504"/>
      <c r="Q360" s="988"/>
      <c r="R360" s="1461"/>
      <c r="S360" s="1536"/>
      <c r="T360" s="1461"/>
      <c r="U360" s="1537"/>
      <c r="V360" s="1474"/>
      <c r="W360" s="2094"/>
      <c r="X360" s="2650"/>
      <c r="Y360" s="2814"/>
      <c r="Z360" s="2659"/>
      <c r="AA360" s="2650"/>
      <c r="AB360" s="2826"/>
      <c r="AC360" s="2652"/>
      <c r="AD360" s="2826"/>
      <c r="AE360" s="2653"/>
      <c r="AF360" s="2650"/>
      <c r="AG360" s="2826"/>
      <c r="AH360" s="2652"/>
      <c r="AI360" s="2826"/>
      <c r="AJ360" s="2653"/>
      <c r="AK360" s="2650"/>
      <c r="AL360" s="2826"/>
      <c r="AM360" s="2652"/>
      <c r="AN360" s="2826"/>
      <c r="AO360" s="2653"/>
      <c r="AP360" s="2650"/>
      <c r="AQ360" s="2826"/>
      <c r="AR360" s="2652"/>
      <c r="AS360" s="2826"/>
      <c r="AT360" s="2653"/>
      <c r="AU360" s="1052"/>
      <c r="AV360" s="714"/>
      <c r="AW360" s="109" t="s">
        <v>1356</v>
      </c>
      <c r="AX360" s="547"/>
      <c r="AY360" s="547"/>
      <c r="AZ360" s="299" t="s">
        <v>193</v>
      </c>
      <c r="BA360" s="896" t="s">
        <v>1366</v>
      </c>
      <c r="BB360" s="265"/>
      <c r="BC360" s="982"/>
      <c r="BD360" s="18"/>
    </row>
    <row r="361" spans="2:56" ht="20.100000000000001" customHeight="1">
      <c r="B361" s="1360" t="b">
        <f t="shared" si="91"/>
        <v>1</v>
      </c>
      <c r="C361" s="359" t="s">
        <v>1371</v>
      </c>
      <c r="D361" s="359"/>
      <c r="E361" s="359"/>
      <c r="F361" s="997" t="s">
        <v>156</v>
      </c>
      <c r="G361" s="358"/>
      <c r="H361" s="998" t="s">
        <v>1372</v>
      </c>
      <c r="I361" s="998"/>
      <c r="J361" s="999"/>
      <c r="K361" s="122" t="s">
        <v>156</v>
      </c>
      <c r="L361" s="502"/>
      <c r="M361" s="988"/>
      <c r="N361" s="502"/>
      <c r="O361" s="425"/>
      <c r="P361" s="504"/>
      <c r="Q361" s="988"/>
      <c r="R361" s="1486"/>
      <c r="S361" s="1445"/>
      <c r="T361" s="1486"/>
      <c r="U361" s="1419"/>
      <c r="V361" s="1512"/>
      <c r="W361" s="2094"/>
      <c r="X361" s="5345"/>
      <c r="Y361" s="2551"/>
      <c r="Z361" s="5346"/>
      <c r="AA361" s="5345"/>
      <c r="AB361" s="5347"/>
      <c r="AC361" s="5348"/>
      <c r="AD361" s="5347"/>
      <c r="AE361" s="5349"/>
      <c r="AF361" s="5345"/>
      <c r="AG361" s="5347"/>
      <c r="AH361" s="5348"/>
      <c r="AI361" s="5347"/>
      <c r="AJ361" s="5349"/>
      <c r="AK361" s="5345"/>
      <c r="AL361" s="5347"/>
      <c r="AM361" s="5348"/>
      <c r="AN361" s="5347"/>
      <c r="AO361" s="5349"/>
      <c r="AP361" s="5345"/>
      <c r="AQ361" s="5347"/>
      <c r="AR361" s="5348"/>
      <c r="AS361" s="5347"/>
      <c r="AT361" s="5349"/>
      <c r="AU361" s="1052" t="s">
        <v>1373</v>
      </c>
      <c r="AV361" s="714" t="s">
        <v>1374</v>
      </c>
      <c r="AW361" s="109" t="s">
        <v>1356</v>
      </c>
      <c r="AX361" s="547"/>
      <c r="AY361" s="547"/>
      <c r="AZ361" s="986"/>
      <c r="BA361" s="896" t="s">
        <v>1375</v>
      </c>
      <c r="BB361" s="265"/>
      <c r="BC361" s="982"/>
      <c r="BD361" s="18"/>
    </row>
    <row r="362" spans="2:56" ht="20.100000000000001" customHeight="1">
      <c r="B362" s="1360" t="b">
        <f t="shared" si="91"/>
        <v>1</v>
      </c>
      <c r="C362" s="1390"/>
      <c r="D362" s="787" t="s">
        <v>1863</v>
      </c>
      <c r="E362" s="781"/>
      <c r="F362" s="997" t="s">
        <v>1011</v>
      </c>
      <c r="G362" s="347"/>
      <c r="H362" s="348"/>
      <c r="I362" s="184" t="s">
        <v>1377</v>
      </c>
      <c r="J362" s="176"/>
      <c r="K362" s="122" t="s">
        <v>1013</v>
      </c>
      <c r="L362" s="502"/>
      <c r="M362" s="988"/>
      <c r="N362" s="502"/>
      <c r="O362" s="425"/>
      <c r="P362" s="504"/>
      <c r="Q362" s="988"/>
      <c r="R362" s="1461"/>
      <c r="S362" s="1536"/>
      <c r="T362" s="1461"/>
      <c r="U362" s="1537"/>
      <c r="V362" s="1474"/>
      <c r="W362" s="2094"/>
      <c r="X362" s="2650"/>
      <c r="Y362" s="2814"/>
      <c r="Z362" s="2659"/>
      <c r="AA362" s="2650"/>
      <c r="AB362" s="2826"/>
      <c r="AC362" s="2652"/>
      <c r="AD362" s="2826"/>
      <c r="AE362" s="2653"/>
      <c r="AF362" s="2650"/>
      <c r="AG362" s="2826"/>
      <c r="AH362" s="2652"/>
      <c r="AI362" s="2826"/>
      <c r="AJ362" s="2653"/>
      <c r="AK362" s="2650"/>
      <c r="AL362" s="2826"/>
      <c r="AM362" s="2652"/>
      <c r="AN362" s="2826"/>
      <c r="AO362" s="2653"/>
      <c r="AP362" s="2650"/>
      <c r="AQ362" s="2826"/>
      <c r="AR362" s="2652"/>
      <c r="AS362" s="2826"/>
      <c r="AT362" s="2653"/>
      <c r="AU362" s="1052"/>
      <c r="AV362" s="714"/>
      <c r="AW362" s="109" t="s">
        <v>1356</v>
      </c>
      <c r="AX362" s="547"/>
      <c r="AY362" s="547"/>
      <c r="AZ362" s="109"/>
      <c r="BA362" s="896" t="s">
        <v>1375</v>
      </c>
      <c r="BB362" s="265"/>
      <c r="BC362" s="982"/>
      <c r="BD362" s="18"/>
    </row>
    <row r="363" spans="2:56" ht="20.100000000000001" customHeight="1">
      <c r="B363" s="1360" t="b">
        <f t="shared" si="91"/>
        <v>1</v>
      </c>
      <c r="C363" s="911"/>
      <c r="D363" s="787" t="s">
        <v>1864</v>
      </c>
      <c r="E363" s="781"/>
      <c r="F363" s="997" t="s">
        <v>1011</v>
      </c>
      <c r="G363" s="384"/>
      <c r="H363" s="385"/>
      <c r="I363" s="184" t="s">
        <v>1862</v>
      </c>
      <c r="J363" s="176"/>
      <c r="K363" s="122" t="s">
        <v>1013</v>
      </c>
      <c r="L363" s="502"/>
      <c r="M363" s="988"/>
      <c r="N363" s="502"/>
      <c r="O363" s="425"/>
      <c r="P363" s="504"/>
      <c r="Q363" s="988"/>
      <c r="R363" s="1461"/>
      <c r="S363" s="1536"/>
      <c r="T363" s="1461"/>
      <c r="U363" s="1537"/>
      <c r="V363" s="1474"/>
      <c r="W363" s="2094"/>
      <c r="X363" s="2650"/>
      <c r="Y363" s="2814"/>
      <c r="Z363" s="2659"/>
      <c r="AA363" s="2650"/>
      <c r="AB363" s="2826"/>
      <c r="AC363" s="2652"/>
      <c r="AD363" s="2826"/>
      <c r="AE363" s="2653"/>
      <c r="AF363" s="2650"/>
      <c r="AG363" s="2826"/>
      <c r="AH363" s="2652"/>
      <c r="AI363" s="2826"/>
      <c r="AJ363" s="2653"/>
      <c r="AK363" s="2650"/>
      <c r="AL363" s="2826"/>
      <c r="AM363" s="2652"/>
      <c r="AN363" s="2826"/>
      <c r="AO363" s="2653"/>
      <c r="AP363" s="2650"/>
      <c r="AQ363" s="2826"/>
      <c r="AR363" s="2652"/>
      <c r="AS363" s="2826"/>
      <c r="AT363" s="2653"/>
      <c r="AU363" s="1052"/>
      <c r="AV363" s="714"/>
      <c r="AW363" s="109" t="s">
        <v>1356</v>
      </c>
      <c r="AX363" s="547"/>
      <c r="AY363" s="547"/>
      <c r="AZ363" s="109"/>
      <c r="BA363" s="896" t="s">
        <v>1375</v>
      </c>
      <c r="BB363" s="265"/>
      <c r="BC363" s="982"/>
      <c r="BD363" s="18"/>
    </row>
    <row r="364" spans="2:56" ht="20.100000000000001" customHeight="1">
      <c r="B364" s="1360" t="b">
        <f t="shared" si="91"/>
        <v>1</v>
      </c>
      <c r="C364" s="359" t="s">
        <v>1378</v>
      </c>
      <c r="D364" s="359"/>
      <c r="E364" s="359"/>
      <c r="F364" s="997" t="s">
        <v>156</v>
      </c>
      <c r="G364" s="358"/>
      <c r="H364" s="359" t="s">
        <v>1379</v>
      </c>
      <c r="I364" s="359"/>
      <c r="J364" s="348"/>
      <c r="K364" s="165" t="s">
        <v>156</v>
      </c>
      <c r="L364" s="502"/>
      <c r="M364" s="988"/>
      <c r="N364" s="502"/>
      <c r="O364" s="425"/>
      <c r="P364" s="504"/>
      <c r="Q364" s="988"/>
      <c r="R364" s="1486"/>
      <c r="S364" s="1445"/>
      <c r="T364" s="1486"/>
      <c r="U364" s="1419"/>
      <c r="V364" s="1512"/>
      <c r="W364" s="2094"/>
      <c r="X364" s="5345"/>
      <c r="Y364" s="2551"/>
      <c r="Z364" s="5346"/>
      <c r="AA364" s="5345"/>
      <c r="AB364" s="5347"/>
      <c r="AC364" s="5348"/>
      <c r="AD364" s="5347"/>
      <c r="AE364" s="5349"/>
      <c r="AF364" s="5345"/>
      <c r="AG364" s="5347"/>
      <c r="AH364" s="5348"/>
      <c r="AI364" s="5347"/>
      <c r="AJ364" s="5349"/>
      <c r="AK364" s="5345"/>
      <c r="AL364" s="5347"/>
      <c r="AM364" s="5348"/>
      <c r="AN364" s="5347"/>
      <c r="AO364" s="5349"/>
      <c r="AP364" s="5345"/>
      <c r="AQ364" s="5347"/>
      <c r="AR364" s="5348"/>
      <c r="AS364" s="5347"/>
      <c r="AT364" s="5349"/>
      <c r="AU364" s="1052" t="s">
        <v>1380</v>
      </c>
      <c r="AV364" s="714" t="s">
        <v>1381</v>
      </c>
      <c r="AW364" s="109" t="s">
        <v>1356</v>
      </c>
      <c r="AX364" s="547"/>
      <c r="AY364" s="547"/>
      <c r="AZ364" s="299" t="s">
        <v>193</v>
      </c>
      <c r="BA364" s="896" t="s">
        <v>1375</v>
      </c>
      <c r="BB364" s="265"/>
      <c r="BC364" s="982"/>
      <c r="BD364" s="18"/>
    </row>
    <row r="365" spans="2:56" ht="20.100000000000001" customHeight="1">
      <c r="B365" s="1360" t="b">
        <f t="shared" si="91"/>
        <v>1</v>
      </c>
      <c r="C365" s="1390"/>
      <c r="D365" s="787" t="s">
        <v>1382</v>
      </c>
      <c r="E365" s="781"/>
      <c r="F365" s="997" t="s">
        <v>1011</v>
      </c>
      <c r="G365" s="347"/>
      <c r="H365" s="348"/>
      <c r="I365" s="184" t="s">
        <v>1383</v>
      </c>
      <c r="J365" s="176"/>
      <c r="K365" s="122" t="s">
        <v>1013</v>
      </c>
      <c r="L365" s="502"/>
      <c r="M365" s="988"/>
      <c r="N365" s="502"/>
      <c r="O365" s="425"/>
      <c r="P365" s="504"/>
      <c r="Q365" s="988"/>
      <c r="R365" s="1461"/>
      <c r="S365" s="1536"/>
      <c r="T365" s="1461"/>
      <c r="U365" s="1537"/>
      <c r="V365" s="1474"/>
      <c r="W365" s="2094"/>
      <c r="X365" s="2647"/>
      <c r="Y365" s="2648"/>
      <c r="Z365" s="2559"/>
      <c r="AA365" s="2650"/>
      <c r="AB365" s="2826"/>
      <c r="AC365" s="2652"/>
      <c r="AD365" s="2826"/>
      <c r="AE365" s="2653"/>
      <c r="AF365" s="2650"/>
      <c r="AG365" s="2826"/>
      <c r="AH365" s="2652"/>
      <c r="AI365" s="2826"/>
      <c r="AJ365" s="2653"/>
      <c r="AK365" s="2650"/>
      <c r="AL365" s="2826"/>
      <c r="AM365" s="2652"/>
      <c r="AN365" s="2826"/>
      <c r="AO365" s="2653"/>
      <c r="AP365" s="2650"/>
      <c r="AQ365" s="2826"/>
      <c r="AR365" s="2652"/>
      <c r="AS365" s="2826"/>
      <c r="AT365" s="2653"/>
      <c r="AU365" s="1052"/>
      <c r="AV365" s="714"/>
      <c r="AW365" s="109" t="s">
        <v>1356</v>
      </c>
      <c r="AX365" s="547"/>
      <c r="AY365" s="547"/>
      <c r="AZ365" s="299" t="s">
        <v>193</v>
      </c>
      <c r="BA365" s="896" t="s">
        <v>1375</v>
      </c>
      <c r="BB365" s="265"/>
      <c r="BC365" s="982"/>
      <c r="BD365" s="18"/>
    </row>
    <row r="366" spans="2:56" ht="20.100000000000001" customHeight="1">
      <c r="B366" s="1360" t="b">
        <f t="shared" si="91"/>
        <v>1</v>
      </c>
      <c r="C366" s="911"/>
      <c r="D366" s="787" t="s">
        <v>1384</v>
      </c>
      <c r="F366" s="997" t="s">
        <v>1011</v>
      </c>
      <c r="G366" s="384"/>
      <c r="H366" s="385"/>
      <c r="I366" s="1000" t="s">
        <v>1865</v>
      </c>
      <c r="J366" s="643"/>
      <c r="K366" s="109" t="s">
        <v>1013</v>
      </c>
      <c r="L366" s="1001"/>
      <c r="M366" s="988"/>
      <c r="N366" s="1001"/>
      <c r="O366" s="425"/>
      <c r="P366" s="504"/>
      <c r="Q366" s="988"/>
      <c r="R366" s="1471"/>
      <c r="S366" s="1536"/>
      <c r="T366" s="1471"/>
      <c r="U366" s="1537"/>
      <c r="V366" s="1474">
        <v>0</v>
      </c>
      <c r="W366" s="2094"/>
      <c r="X366" s="2647"/>
      <c r="Y366" s="2648"/>
      <c r="Z366" s="2559"/>
      <c r="AA366" s="2650"/>
      <c r="AB366" s="2826"/>
      <c r="AC366" s="2652"/>
      <c r="AD366" s="2826"/>
      <c r="AE366" s="2653"/>
      <c r="AF366" s="2650"/>
      <c r="AG366" s="2826"/>
      <c r="AH366" s="2652"/>
      <c r="AI366" s="2826"/>
      <c r="AJ366" s="2653"/>
      <c r="AK366" s="2650"/>
      <c r="AL366" s="2826"/>
      <c r="AM366" s="2652"/>
      <c r="AN366" s="2826"/>
      <c r="AO366" s="2653"/>
      <c r="AP366" s="2650"/>
      <c r="AQ366" s="2826"/>
      <c r="AR366" s="2652"/>
      <c r="AS366" s="2826"/>
      <c r="AT366" s="2653"/>
      <c r="AU366" s="2468"/>
      <c r="AW366" s="109" t="s">
        <v>1356</v>
      </c>
      <c r="AX366" s="547"/>
      <c r="AY366" s="547"/>
      <c r="AZ366" s="299" t="s">
        <v>193</v>
      </c>
      <c r="BA366" s="277" t="s">
        <v>1375</v>
      </c>
      <c r="BB366" s="265"/>
      <c r="BC366" s="982"/>
      <c r="BD366" s="18"/>
    </row>
    <row r="367" spans="2:56" ht="20.100000000000001" customHeight="1">
      <c r="B367" s="1360" t="b">
        <f t="shared" si="91"/>
        <v>1</v>
      </c>
      <c r="C367" s="1376" t="s">
        <v>1386</v>
      </c>
      <c r="D367" s="781"/>
      <c r="E367" s="781"/>
      <c r="F367" s="997" t="s">
        <v>557</v>
      </c>
      <c r="G367" s="386"/>
      <c r="H367" s="140" t="s">
        <v>1866</v>
      </c>
      <c r="I367" s="482"/>
      <c r="J367" s="176"/>
      <c r="K367" s="122" t="s">
        <v>559</v>
      </c>
      <c r="L367" s="502"/>
      <c r="M367" s="988"/>
      <c r="N367" s="502"/>
      <c r="O367" s="425"/>
      <c r="P367" s="504"/>
      <c r="Q367" s="988"/>
      <c r="R367" s="1461"/>
      <c r="S367" s="1536"/>
      <c r="T367" s="1461"/>
      <c r="U367" s="1537"/>
      <c r="V367" s="1474"/>
      <c r="W367" s="2094"/>
      <c r="X367" s="2650"/>
      <c r="Y367" s="2648"/>
      <c r="Z367" s="2659"/>
      <c r="AA367" s="2650"/>
      <c r="AB367" s="2826"/>
      <c r="AC367" s="2652"/>
      <c r="AD367" s="2826"/>
      <c r="AE367" s="2653"/>
      <c r="AF367" s="2650"/>
      <c r="AG367" s="2826"/>
      <c r="AH367" s="2652"/>
      <c r="AI367" s="2826"/>
      <c r="AJ367" s="2653"/>
      <c r="AK367" s="2650"/>
      <c r="AL367" s="2826"/>
      <c r="AM367" s="2652"/>
      <c r="AN367" s="2826"/>
      <c r="AO367" s="2653"/>
      <c r="AP367" s="2650"/>
      <c r="AQ367" s="2826"/>
      <c r="AR367" s="2652"/>
      <c r="AS367" s="2826"/>
      <c r="AT367" s="2653"/>
      <c r="AU367" s="1052" t="s">
        <v>1388</v>
      </c>
      <c r="AV367" s="714" t="s">
        <v>1389</v>
      </c>
      <c r="AW367" s="109" t="s">
        <v>1356</v>
      </c>
      <c r="AX367" s="547"/>
      <c r="AY367" s="547"/>
      <c r="AZ367" s="299" t="s">
        <v>193</v>
      </c>
      <c r="BA367" s="694" t="s">
        <v>1390</v>
      </c>
      <c r="BB367" s="265"/>
      <c r="BC367" s="982"/>
      <c r="BD367" s="18"/>
    </row>
    <row r="368" spans="2:56" ht="20.100000000000001" customHeight="1" thickBot="1">
      <c r="B368" s="1361" t="b">
        <f t="shared" si="91"/>
        <v>1</v>
      </c>
      <c r="C368" s="781" t="s">
        <v>1391</v>
      </c>
      <c r="D368" s="781"/>
      <c r="E368" s="781"/>
      <c r="F368" s="285" t="s">
        <v>156</v>
      </c>
      <c r="G368" s="777"/>
      <c r="H368" s="757" t="s">
        <v>1392</v>
      </c>
      <c r="I368" s="753"/>
      <c r="J368" s="1002"/>
      <c r="K368" s="122" t="s">
        <v>156</v>
      </c>
      <c r="L368" s="1003"/>
      <c r="M368" s="381"/>
      <c r="N368" s="1003"/>
      <c r="O368" s="304"/>
      <c r="P368" s="274"/>
      <c r="Q368" s="381"/>
      <c r="R368" s="1505"/>
      <c r="S368" s="985"/>
      <c r="T368" s="1505"/>
      <c r="U368" s="979"/>
      <c r="V368" s="1491">
        <v>100</v>
      </c>
      <c r="W368" s="2068"/>
      <c r="X368" s="2553"/>
      <c r="Y368" s="2554"/>
      <c r="Z368" s="2815"/>
      <c r="AA368" s="2553"/>
      <c r="AB368" s="2560"/>
      <c r="AC368" s="2554"/>
      <c r="AD368" s="2560"/>
      <c r="AE368" s="2655"/>
      <c r="AF368" s="2553"/>
      <c r="AG368" s="2560"/>
      <c r="AH368" s="2554"/>
      <c r="AI368" s="2560"/>
      <c r="AJ368" s="2655"/>
      <c r="AK368" s="2553"/>
      <c r="AL368" s="2560"/>
      <c r="AM368" s="2554"/>
      <c r="AN368" s="2560"/>
      <c r="AO368" s="2655"/>
      <c r="AP368" s="2553"/>
      <c r="AQ368" s="2560"/>
      <c r="AR368" s="2554"/>
      <c r="AS368" s="2560"/>
      <c r="AT368" s="2655"/>
      <c r="AU368" s="1052" t="s">
        <v>1393</v>
      </c>
      <c r="AV368" s="714" t="s">
        <v>1394</v>
      </c>
      <c r="AW368" s="109" t="s">
        <v>1356</v>
      </c>
      <c r="AX368" s="547"/>
      <c r="AY368" s="547"/>
      <c r="AZ368" s="299" t="s">
        <v>193</v>
      </c>
      <c r="BA368" s="277" t="s">
        <v>1395</v>
      </c>
      <c r="BB368" s="265"/>
      <c r="BC368" s="982"/>
      <c r="BD368" s="18"/>
    </row>
    <row r="369" spans="1:57" ht="27" thickBot="1">
      <c r="B369" s="123" t="s">
        <v>1396</v>
      </c>
      <c r="C369" s="124"/>
      <c r="D369" s="124"/>
      <c r="E369" s="124"/>
      <c r="F369" s="124"/>
      <c r="G369" s="598" t="s">
        <v>1397</v>
      </c>
      <c r="H369" s="124"/>
      <c r="I369" s="126"/>
      <c r="J369" s="126"/>
      <c r="K369" s="78"/>
      <c r="L369" s="1004"/>
      <c r="M369" s="1004"/>
      <c r="N369" s="1004"/>
      <c r="O369" s="1004"/>
      <c r="P369" s="1004"/>
      <c r="Q369" s="1004"/>
      <c r="R369" s="1485"/>
      <c r="S369" s="1447"/>
      <c r="T369" s="1485"/>
      <c r="U369" s="1447"/>
      <c r="V369" s="1485"/>
      <c r="W369" s="1004"/>
      <c r="X369" s="2827"/>
      <c r="Y369" s="2828"/>
      <c r="Z369" s="2828"/>
      <c r="AA369" s="2829"/>
      <c r="AB369" s="2830"/>
      <c r="AC369" s="2830"/>
      <c r="AD369" s="2830"/>
      <c r="AE369" s="2831"/>
      <c r="AF369" s="2829"/>
      <c r="AG369" s="2830"/>
      <c r="AH369" s="2830"/>
      <c r="AI369" s="2830"/>
      <c r="AJ369" s="2831"/>
      <c r="AK369" s="2829"/>
      <c r="AL369" s="2830"/>
      <c r="AM369" s="2830"/>
      <c r="AN369" s="2830"/>
      <c r="AO369" s="2831"/>
      <c r="AP369" s="2829"/>
      <c r="AQ369" s="2830"/>
      <c r="AR369" s="2830"/>
      <c r="AS369" s="2830"/>
      <c r="AT369" s="2831"/>
      <c r="AU369" s="80"/>
      <c r="AV369" s="80"/>
      <c r="AW369" s="129"/>
      <c r="AX369" s="129"/>
      <c r="AY369" s="129"/>
      <c r="AZ369" s="129"/>
      <c r="BA369" s="328"/>
      <c r="BB369" s="328"/>
      <c r="BC369" s="1006"/>
      <c r="BD369" s="18"/>
    </row>
    <row r="370" spans="1:57" ht="20.100000000000001" customHeight="1">
      <c r="B370" s="1359" t="b">
        <f t="shared" ref="B370:B372" si="96">OR(ISBLANK(R370),ISBLANK(T370),ISBLANK(V370))</f>
        <v>1</v>
      </c>
      <c r="C370" s="86" t="s">
        <v>1398</v>
      </c>
      <c r="D370" s="86"/>
      <c r="E370" s="86"/>
      <c r="F370" s="1007" t="s">
        <v>233</v>
      </c>
      <c r="G370" s="1008"/>
      <c r="H370" s="1009" t="s">
        <v>1399</v>
      </c>
      <c r="I370" s="1009"/>
      <c r="J370" s="1010"/>
      <c r="K370" s="1011" t="s">
        <v>295</v>
      </c>
      <c r="L370" s="1012"/>
      <c r="M370" s="1013"/>
      <c r="N370" s="1012"/>
      <c r="O370" s="1014"/>
      <c r="P370" s="1015"/>
      <c r="Q370" s="1016"/>
      <c r="R370" s="1506"/>
      <c r="S370" s="1448"/>
      <c r="T370" s="5539">
        <v>1</v>
      </c>
      <c r="U370" s="1449"/>
      <c r="V370" s="5540">
        <v>1</v>
      </c>
      <c r="W370" s="2095"/>
      <c r="X370" s="2832"/>
      <c r="Y370" s="2833"/>
      <c r="Z370" s="2834"/>
      <c r="AA370" s="2832"/>
      <c r="AB370" s="2837"/>
      <c r="AC370" s="2833"/>
      <c r="AD370" s="2835"/>
      <c r="AE370" s="2836"/>
      <c r="AF370" s="2832"/>
      <c r="AG370" s="2835"/>
      <c r="AH370" s="2833"/>
      <c r="AI370" s="2835"/>
      <c r="AJ370" s="2836"/>
      <c r="AK370" s="2832"/>
      <c r="AL370" s="2838"/>
      <c r="AM370" s="2833"/>
      <c r="AN370" s="2837"/>
      <c r="AO370" s="2836"/>
      <c r="AP370" s="2832"/>
      <c r="AQ370" s="2835"/>
      <c r="AR370" s="2833"/>
      <c r="AS370" s="2835"/>
      <c r="AT370" s="2836"/>
      <c r="AU370" s="1021" t="s">
        <v>1400</v>
      </c>
      <c r="AV370" s="1021" t="s">
        <v>1401</v>
      </c>
      <c r="AW370" s="758" t="s">
        <v>189</v>
      </c>
      <c r="AX370" s="534"/>
      <c r="AY370" s="534"/>
      <c r="AZ370" s="299" t="s">
        <v>193</v>
      </c>
      <c r="BA370" s="277" t="s">
        <v>1402</v>
      </c>
      <c r="BB370" s="277"/>
      <c r="BC370" s="982"/>
      <c r="BD370" s="18"/>
    </row>
    <row r="371" spans="1:57" ht="20.100000000000001" customHeight="1">
      <c r="B371" s="1360" t="b">
        <f t="shared" si="96"/>
        <v>0</v>
      </c>
      <c r="C371" s="1355" t="s">
        <v>1403</v>
      </c>
      <c r="D371" s="1022"/>
      <c r="E371" s="1023"/>
      <c r="F371" s="1007" t="s">
        <v>1404</v>
      </c>
      <c r="G371" s="358"/>
      <c r="H371" s="359" t="s">
        <v>1405</v>
      </c>
      <c r="I371" s="359"/>
      <c r="J371" s="385"/>
      <c r="K371" s="1024" t="s">
        <v>1406</v>
      </c>
      <c r="L371" s="1025">
        <v>500000001.58999997</v>
      </c>
      <c r="M371" s="1026"/>
      <c r="N371" s="1025">
        <v>2.86</v>
      </c>
      <c r="O371" s="1027"/>
      <c r="P371" s="876"/>
      <c r="Q371" s="874"/>
      <c r="R371" s="1488">
        <v>1.59</v>
      </c>
      <c r="S371" s="1450">
        <v>0</v>
      </c>
      <c r="T371" s="1488">
        <v>2.86</v>
      </c>
      <c r="U371" s="1451">
        <v>0</v>
      </c>
      <c r="V371" s="1514">
        <v>5.07</v>
      </c>
      <c r="W371" s="2089"/>
      <c r="X371" s="2591">
        <f>'4DPLEX'!R341</f>
        <v>0</v>
      </c>
      <c r="Y371" s="2593">
        <f>'4DPLEX'!T341</f>
        <v>0</v>
      </c>
      <c r="Z371" s="2728">
        <f>'4DPLEX'!V341</f>
        <v>0</v>
      </c>
      <c r="AA371" s="2813">
        <f>China!AO372</f>
        <v>0</v>
      </c>
      <c r="AB371" s="2840">
        <f>China!AP371</f>
        <v>0</v>
      </c>
      <c r="AC371" s="2814">
        <f>China!AQ372</f>
        <v>0</v>
      </c>
      <c r="AD371" s="2839">
        <f>China!AR371</f>
        <v>0</v>
      </c>
      <c r="AE371" s="2817">
        <f>China!AS372</f>
        <v>0</v>
      </c>
      <c r="AF371" s="2813"/>
      <c r="AG371" s="2839"/>
      <c r="AH371" s="2814"/>
      <c r="AI371" s="2839"/>
      <c r="AJ371" s="2817"/>
      <c r="AK371" s="2813"/>
      <c r="AL371" s="2841"/>
      <c r="AM371" s="2814"/>
      <c r="AN371" s="2840"/>
      <c r="AO371" s="2817"/>
      <c r="AP371" s="2813"/>
      <c r="AQ371" s="2839"/>
      <c r="AR371" s="2814"/>
      <c r="AS371" s="2839"/>
      <c r="AT371" s="2817"/>
      <c r="AU371" s="1033" t="s">
        <v>1407</v>
      </c>
      <c r="AV371" s="1033" t="s">
        <v>1408</v>
      </c>
      <c r="AW371" s="1034" t="s">
        <v>189</v>
      </c>
      <c r="AX371" s="878"/>
      <c r="AY371" s="878"/>
      <c r="AZ371" s="1034"/>
      <c r="BA371" s="277" t="s">
        <v>1409</v>
      </c>
      <c r="BB371" s="265"/>
      <c r="BC371" s="982"/>
      <c r="BD371" s="18"/>
    </row>
    <row r="372" spans="1:57" ht="20.100000000000001" customHeight="1">
      <c r="B372" s="1360" t="b">
        <f t="shared" si="96"/>
        <v>0</v>
      </c>
      <c r="C372" s="491" t="s">
        <v>1413</v>
      </c>
      <c r="D372" s="491"/>
      <c r="E372" s="491"/>
      <c r="F372" s="1007" t="s">
        <v>1595</v>
      </c>
      <c r="G372" s="358"/>
      <c r="H372" s="359" t="s">
        <v>1414</v>
      </c>
      <c r="I372" s="359"/>
      <c r="J372" s="643"/>
      <c r="K372" s="109" t="s">
        <v>1597</v>
      </c>
      <c r="L372" s="1035"/>
      <c r="M372" s="1036"/>
      <c r="N372" s="1035"/>
      <c r="O372" s="1037"/>
      <c r="P372" s="1035"/>
      <c r="Q372" s="1038"/>
      <c r="R372" s="1463">
        <v>0</v>
      </c>
      <c r="S372" s="1522"/>
      <c r="T372" s="1463">
        <v>0</v>
      </c>
      <c r="U372" s="1538"/>
      <c r="V372" s="5479">
        <v>0</v>
      </c>
      <c r="W372" s="2096"/>
      <c r="X372" s="2557"/>
      <c r="Y372" s="2558"/>
      <c r="Z372" s="2559"/>
      <c r="AA372" s="2553"/>
      <c r="AB372" s="2560"/>
      <c r="AC372" s="2554"/>
      <c r="AD372" s="2560"/>
      <c r="AE372" s="2655"/>
      <c r="AF372" s="2553"/>
      <c r="AG372" s="2560"/>
      <c r="AH372" s="2554"/>
      <c r="AI372" s="2560"/>
      <c r="AJ372" s="2655"/>
      <c r="AK372" s="2553"/>
      <c r="AL372" s="2560"/>
      <c r="AM372" s="2554"/>
      <c r="AN372" s="2560"/>
      <c r="AO372" s="2655"/>
      <c r="AP372" s="2553"/>
      <c r="AQ372" s="2560"/>
      <c r="AR372" s="2554"/>
      <c r="AS372" s="2560"/>
      <c r="AT372" s="2655"/>
      <c r="AU372" s="2468"/>
      <c r="AV372" s="276"/>
      <c r="AW372" s="162" t="s">
        <v>1415</v>
      </c>
      <c r="AX372" s="547"/>
      <c r="AY372" s="547"/>
      <c r="AZ372" s="162"/>
      <c r="BA372" s="277"/>
      <c r="BB372" s="277" t="s">
        <v>1416</v>
      </c>
      <c r="BC372" s="982"/>
      <c r="BD372" s="18"/>
    </row>
    <row r="373" spans="1:57" ht="20.100000000000001" customHeight="1">
      <c r="B373" s="1353" t="str">
        <f>C373</f>
        <v>자원봉사</v>
      </c>
      <c r="C373" s="728" t="s">
        <v>1419</v>
      </c>
      <c r="D373" s="728"/>
      <c r="E373" s="728"/>
      <c r="F373" s="1593"/>
      <c r="G373" s="1577"/>
      <c r="H373" s="728" t="s">
        <v>1420</v>
      </c>
      <c r="I373" s="663"/>
      <c r="J373" s="655"/>
      <c r="K373" s="1040" t="s">
        <v>168</v>
      </c>
      <c r="L373" s="1041"/>
      <c r="M373" s="1041"/>
      <c r="N373" s="1041"/>
      <c r="O373" s="1041"/>
      <c r="P373" s="1041"/>
      <c r="Q373" s="1041"/>
      <c r="R373" s="1567"/>
      <c r="S373" s="1569"/>
      <c r="T373" s="1567"/>
      <c r="U373" s="1569"/>
      <c r="V373" s="1567"/>
      <c r="W373" s="2062"/>
      <c r="X373" s="2842"/>
      <c r="Y373" s="2843"/>
      <c r="Z373" s="2843"/>
      <c r="AA373" s="2571"/>
      <c r="AB373" s="2572"/>
      <c r="AC373" s="2573"/>
      <c r="AD373" s="2572"/>
      <c r="AE373" s="2844"/>
      <c r="AF373" s="2571"/>
      <c r="AG373" s="2572"/>
      <c r="AH373" s="2573"/>
      <c r="AI373" s="2572"/>
      <c r="AJ373" s="2844"/>
      <c r="AK373" s="2571"/>
      <c r="AL373" s="2572"/>
      <c r="AM373" s="2573"/>
      <c r="AN373" s="2572"/>
      <c r="AO373" s="2844"/>
      <c r="AP373" s="2571"/>
      <c r="AQ373" s="2572"/>
      <c r="AR373" s="2573"/>
      <c r="AS373" s="2572"/>
      <c r="AT373" s="2844"/>
      <c r="AU373" s="1564"/>
      <c r="AW373" s="162" t="s">
        <v>189</v>
      </c>
      <c r="AX373" s="547"/>
      <c r="AY373" s="547"/>
      <c r="AZ373" s="162"/>
      <c r="BA373" s="1043"/>
      <c r="BB373" s="1043"/>
      <c r="BC373" s="1044"/>
      <c r="BD373" s="18"/>
    </row>
    <row r="374" spans="1:57" ht="20.100000000000001" customHeight="1">
      <c r="B374" s="1360" t="b">
        <f t="shared" ref="B374:B376" si="97">OR(ISBLANK(R374),ISBLANK(T374),ISBLANK(V374))</f>
        <v>0</v>
      </c>
      <c r="C374" s="1374"/>
      <c r="D374" s="787" t="s">
        <v>1018</v>
      </c>
      <c r="E374" s="781"/>
      <c r="F374" s="1007" t="s">
        <v>1018</v>
      </c>
      <c r="G374" s="347"/>
      <c r="H374" s="348"/>
      <c r="I374" s="495" t="s">
        <v>1421</v>
      </c>
      <c r="J374" s="684"/>
      <c r="K374" s="162" t="s">
        <v>1831</v>
      </c>
      <c r="L374" s="298">
        <v>890</v>
      </c>
      <c r="M374" s="92"/>
      <c r="N374" s="298">
        <v>404</v>
      </c>
      <c r="O374" s="95"/>
      <c r="P374" s="228"/>
      <c r="Q374" s="1045"/>
      <c r="R374" s="1488">
        <v>890</v>
      </c>
      <c r="S374" s="1202">
        <v>0</v>
      </c>
      <c r="T374" s="1488">
        <v>598</v>
      </c>
      <c r="U374" s="1347">
        <v>0</v>
      </c>
      <c r="V374" s="1490">
        <v>917</v>
      </c>
      <c r="W374" s="2097"/>
      <c r="X374" s="2557">
        <f>'4DPLEX'!R343</f>
        <v>0</v>
      </c>
      <c r="Y374" s="2558">
        <f>'4DPLEX'!T343</f>
        <v>0</v>
      </c>
      <c r="Z374" s="2559">
        <f>'4DPLEX'!V343</f>
        <v>0</v>
      </c>
      <c r="AA374" s="2553">
        <f>China!AO375</f>
        <v>0</v>
      </c>
      <c r="AB374" s="2651">
        <f>China!AP374</f>
        <v>0</v>
      </c>
      <c r="AC374" s="2554">
        <f>China!AQ375</f>
        <v>0</v>
      </c>
      <c r="AD374" s="2651">
        <f>China!AR374</f>
        <v>0</v>
      </c>
      <c r="AE374" s="2655">
        <f>China!AS375</f>
        <v>0</v>
      </c>
      <c r="AF374" s="2553"/>
      <c r="AG374" s="2651"/>
      <c r="AH374" s="2554"/>
      <c r="AI374" s="2651"/>
      <c r="AJ374" s="2655"/>
      <c r="AK374" s="2553"/>
      <c r="AL374" s="2845"/>
      <c r="AM374" s="2554"/>
      <c r="AN374" s="2845"/>
      <c r="AO374" s="2655"/>
      <c r="AP374" s="2553"/>
      <c r="AQ374" s="2651"/>
      <c r="AR374" s="2554"/>
      <c r="AS374" s="2651"/>
      <c r="AT374" s="2655"/>
      <c r="AU374" s="498" t="s">
        <v>1422</v>
      </c>
      <c r="AV374" s="498" t="s">
        <v>1423</v>
      </c>
      <c r="AW374" s="162" t="s">
        <v>189</v>
      </c>
      <c r="AX374" s="547"/>
      <c r="AY374" s="1047" t="s">
        <v>1424</v>
      </c>
      <c r="AZ374" s="162"/>
      <c r="BA374" s="277" t="s">
        <v>1425</v>
      </c>
      <c r="BB374" s="265"/>
      <c r="BC374" s="982"/>
      <c r="BD374" s="18"/>
    </row>
    <row r="375" spans="1:57" ht="20.100000000000001" customHeight="1">
      <c r="B375" s="1360" t="b">
        <f t="shared" si="97"/>
        <v>0</v>
      </c>
      <c r="C375" s="871"/>
      <c r="D375" s="787" t="s">
        <v>1428</v>
      </c>
      <c r="E375" s="781"/>
      <c r="F375" s="1007" t="s">
        <v>742</v>
      </c>
      <c r="G375" s="384"/>
      <c r="H375" s="385"/>
      <c r="I375" s="495" t="s">
        <v>1429</v>
      </c>
      <c r="J375" s="684"/>
      <c r="K375" s="162" t="s">
        <v>734</v>
      </c>
      <c r="L375" s="298">
        <v>196</v>
      </c>
      <c r="M375" s="92"/>
      <c r="N375" s="298">
        <v>129</v>
      </c>
      <c r="O375" s="95"/>
      <c r="P375" s="228"/>
      <c r="Q375" s="1045"/>
      <c r="R375" s="1463">
        <v>196</v>
      </c>
      <c r="S375" s="1526">
        <v>0</v>
      </c>
      <c r="T375" s="1463">
        <v>154</v>
      </c>
      <c r="U375" s="1524">
        <v>0</v>
      </c>
      <c r="V375" s="1464">
        <v>175</v>
      </c>
      <c r="W375" s="2097"/>
      <c r="X375" s="2557">
        <f>'4DPLEX'!R344</f>
        <v>0</v>
      </c>
      <c r="Y375" s="2558">
        <f>'4DPLEX'!T344</f>
        <v>0</v>
      </c>
      <c r="Z375" s="2559">
        <f>'4DPLEX'!V344</f>
        <v>0</v>
      </c>
      <c r="AA375" s="2553">
        <f>China!AO376</f>
        <v>0</v>
      </c>
      <c r="AB375" s="2651">
        <f>China!AP375</f>
        <v>0</v>
      </c>
      <c r="AC375" s="2554">
        <f>China!AQ376</f>
        <v>0</v>
      </c>
      <c r="AD375" s="2651">
        <f>China!AR375</f>
        <v>0</v>
      </c>
      <c r="AE375" s="2655">
        <f>China!AS376</f>
        <v>0</v>
      </c>
      <c r="AF375" s="2553"/>
      <c r="AG375" s="2651"/>
      <c r="AH375" s="2554"/>
      <c r="AI375" s="2651"/>
      <c r="AJ375" s="2655"/>
      <c r="AK375" s="2553"/>
      <c r="AL375" s="2845"/>
      <c r="AM375" s="2554"/>
      <c r="AN375" s="2845"/>
      <c r="AO375" s="2655"/>
      <c r="AP375" s="2553"/>
      <c r="AQ375" s="2651"/>
      <c r="AR375" s="2554"/>
      <c r="AS375" s="2651"/>
      <c r="AT375" s="2655"/>
      <c r="AU375" s="498" t="s">
        <v>1430</v>
      </c>
      <c r="AV375" s="498" t="s">
        <v>1429</v>
      </c>
      <c r="AW375" s="162" t="s">
        <v>189</v>
      </c>
      <c r="AX375" s="547"/>
      <c r="AY375" s="1047" t="s">
        <v>1424</v>
      </c>
      <c r="AZ375" s="162"/>
      <c r="BA375" s="981" t="s">
        <v>1431</v>
      </c>
      <c r="BB375" s="427"/>
      <c r="BC375" s="974"/>
      <c r="BD375" s="18"/>
    </row>
    <row r="376" spans="1:57" ht="20.100000000000001" customHeight="1" thickBot="1">
      <c r="B376" s="1361" t="b">
        <f t="shared" si="97"/>
        <v>1</v>
      </c>
      <c r="C376" s="1048" t="s">
        <v>1433</v>
      </c>
      <c r="D376" s="1048"/>
      <c r="E376" s="1048"/>
      <c r="F376" s="285" t="s">
        <v>156</v>
      </c>
      <c r="G376" s="1049"/>
      <c r="H376" s="1050" t="s">
        <v>1434</v>
      </c>
      <c r="I376" s="1051"/>
      <c r="J376" s="1052"/>
      <c r="K376" s="109" t="s">
        <v>156</v>
      </c>
      <c r="L376" s="562"/>
      <c r="M376" s="92"/>
      <c r="N376" s="562"/>
      <c r="O376" s="92"/>
      <c r="P376" s="228"/>
      <c r="Q376" s="1045"/>
      <c r="R376" s="1490"/>
      <c r="S376" s="1202"/>
      <c r="T376" s="1490"/>
      <c r="U376" s="935"/>
      <c r="V376" s="1490"/>
      <c r="W376" s="2097"/>
      <c r="X376" s="2553"/>
      <c r="Y376" s="2554"/>
      <c r="Z376" s="2815"/>
      <c r="AA376" s="2553"/>
      <c r="AB376" s="2560"/>
      <c r="AC376" s="2554"/>
      <c r="AD376" s="2560"/>
      <c r="AE376" s="2655"/>
      <c r="AF376" s="2553"/>
      <c r="AG376" s="2560"/>
      <c r="AH376" s="2554"/>
      <c r="AI376" s="2560"/>
      <c r="AJ376" s="2655"/>
      <c r="AK376" s="2553"/>
      <c r="AL376" s="2560"/>
      <c r="AM376" s="2554"/>
      <c r="AN376" s="2560"/>
      <c r="AO376" s="2655"/>
      <c r="AP376" s="2553"/>
      <c r="AQ376" s="2560"/>
      <c r="AR376" s="2554"/>
      <c r="AS376" s="2560"/>
      <c r="AT376" s="2655"/>
      <c r="AU376" s="2468"/>
      <c r="AV376" s="276"/>
      <c r="AW376" s="109" t="s">
        <v>189</v>
      </c>
      <c r="AX376" s="547"/>
      <c r="AY376" s="547"/>
      <c r="AZ376" s="299" t="s">
        <v>193</v>
      </c>
      <c r="BA376" s="277"/>
      <c r="BB376" s="277" t="s">
        <v>1436</v>
      </c>
      <c r="BC376" s="982"/>
      <c r="BD376" s="18"/>
    </row>
    <row r="377" spans="1:57" ht="27.75" thickTop="1" thickBot="1">
      <c r="A377" s="50"/>
      <c r="B377" s="65" t="s">
        <v>1437</v>
      </c>
      <c r="C377" s="629"/>
      <c r="D377" s="629"/>
      <c r="E377" s="629"/>
      <c r="F377" s="630"/>
      <c r="G377" s="631" t="s">
        <v>1438</v>
      </c>
      <c r="H377" s="629"/>
      <c r="I377" s="632"/>
      <c r="J377" s="632"/>
      <c r="K377" s="630"/>
      <c r="L377" s="1053"/>
      <c r="M377" s="1053"/>
      <c r="N377" s="1053"/>
      <c r="O377" s="1053"/>
      <c r="P377" s="1053"/>
      <c r="Q377" s="1053"/>
      <c r="R377" s="1507"/>
      <c r="S377" s="1452"/>
      <c r="T377" s="1507"/>
      <c r="U377" s="1452"/>
      <c r="V377" s="1507"/>
      <c r="W377" s="1053"/>
      <c r="X377" s="2846"/>
      <c r="Y377" s="2847"/>
      <c r="Z377" s="2847"/>
      <c r="AA377" s="2848"/>
      <c r="AB377" s="2849"/>
      <c r="AC377" s="2849"/>
      <c r="AD377" s="2849"/>
      <c r="AE377" s="2850"/>
      <c r="AF377" s="2848"/>
      <c r="AG377" s="2849"/>
      <c r="AH377" s="2849"/>
      <c r="AI377" s="2849"/>
      <c r="AJ377" s="2850"/>
      <c r="AK377" s="2848"/>
      <c r="AL377" s="2849"/>
      <c r="AM377" s="2849"/>
      <c r="AN377" s="2849"/>
      <c r="AO377" s="2850"/>
      <c r="AP377" s="2848"/>
      <c r="AQ377" s="2849"/>
      <c r="AR377" s="2849"/>
      <c r="AS377" s="2849"/>
      <c r="AT377" s="2850"/>
      <c r="AU377" s="634"/>
      <c r="AV377" s="634"/>
      <c r="AW377" s="633"/>
      <c r="AX377" s="633"/>
      <c r="AY377" s="633"/>
      <c r="AZ377" s="633"/>
      <c r="BA377" s="1055"/>
      <c r="BB377" s="1055"/>
      <c r="BC377" s="635"/>
      <c r="BD377" s="18"/>
      <c r="BE377" s="54"/>
    </row>
    <row r="378" spans="1:57" ht="27" thickBot="1">
      <c r="B378" s="123" t="s">
        <v>1439</v>
      </c>
      <c r="C378" s="124"/>
      <c r="D378" s="124"/>
      <c r="E378" s="124"/>
      <c r="F378" s="78"/>
      <c r="G378" s="1272" t="s">
        <v>1440</v>
      </c>
      <c r="H378" s="1132"/>
      <c r="I378" s="1132"/>
      <c r="J378" s="1273"/>
      <c r="K378" s="518"/>
      <c r="L378" s="600"/>
      <c r="M378" s="600"/>
      <c r="N378" s="600"/>
      <c r="O378" s="600"/>
      <c r="P378" s="600"/>
      <c r="Q378" s="1004"/>
      <c r="R378" s="1485"/>
      <c r="S378" s="1447"/>
      <c r="T378" s="1485"/>
      <c r="U378" s="1447"/>
      <c r="V378" s="1485"/>
      <c r="W378" s="1004"/>
      <c r="X378" s="2851"/>
      <c r="Y378" s="2852"/>
      <c r="Z378" s="2852"/>
      <c r="AA378" s="2853"/>
      <c r="AB378" s="2854"/>
      <c r="AC378" s="2854"/>
      <c r="AD378" s="2854"/>
      <c r="AE378" s="2855"/>
      <c r="AF378" s="2853"/>
      <c r="AG378" s="2854"/>
      <c r="AH378" s="2854"/>
      <c r="AI378" s="2854"/>
      <c r="AJ378" s="2855"/>
      <c r="AK378" s="2853"/>
      <c r="AL378" s="2854"/>
      <c r="AM378" s="2854"/>
      <c r="AN378" s="2854"/>
      <c r="AO378" s="2855"/>
      <c r="AP378" s="2853"/>
      <c r="AQ378" s="2854"/>
      <c r="AR378" s="2854"/>
      <c r="AS378" s="2854"/>
      <c r="AT378" s="2855"/>
      <c r="AU378" s="80"/>
      <c r="AV378" s="1133"/>
      <c r="AW378" s="1274"/>
      <c r="AX378" s="129"/>
      <c r="AY378" s="129"/>
      <c r="AZ378" s="1274"/>
      <c r="BA378" s="328"/>
      <c r="BB378" s="328"/>
      <c r="BC378" s="1006"/>
      <c r="BD378" s="18"/>
    </row>
    <row r="379" spans="1:57" ht="20.100000000000001" customHeight="1">
      <c r="B379" s="1395"/>
      <c r="C379" s="167" t="s">
        <v>1441</v>
      </c>
      <c r="D379" s="167"/>
      <c r="E379" s="167"/>
      <c r="F379" s="1568"/>
      <c r="G379" s="1056"/>
      <c r="H379" s="698" t="s">
        <v>1442</v>
      </c>
      <c r="I379" s="698"/>
      <c r="J379" s="655"/>
      <c r="K379" s="956" t="s">
        <v>734</v>
      </c>
      <c r="L379" s="1057"/>
      <c r="M379" s="1057"/>
      <c r="N379" s="1057"/>
      <c r="O379" s="1057"/>
      <c r="P379" s="1057"/>
      <c r="Q379" s="1057"/>
      <c r="R379" s="1594"/>
      <c r="S379" s="1595"/>
      <c r="T379" s="1596"/>
      <c r="U379" s="1595"/>
      <c r="V379" s="1596"/>
      <c r="W379" s="2098"/>
      <c r="X379" s="2856"/>
      <c r="Y379" s="2857"/>
      <c r="Z379" s="2858"/>
      <c r="AA379" s="2859"/>
      <c r="AB379" s="2860"/>
      <c r="AC379" s="2861"/>
      <c r="AD379" s="2860"/>
      <c r="AE379" s="2862"/>
      <c r="AF379" s="2859"/>
      <c r="AG379" s="2860"/>
      <c r="AH379" s="2861"/>
      <c r="AI379" s="2860"/>
      <c r="AJ379" s="2862"/>
      <c r="AK379" s="2859"/>
      <c r="AL379" s="2860"/>
      <c r="AM379" s="2861"/>
      <c r="AN379" s="2860"/>
      <c r="AO379" s="2862"/>
      <c r="AP379" s="2859"/>
      <c r="AQ379" s="2860"/>
      <c r="AR379" s="2861"/>
      <c r="AS379" s="2860"/>
      <c r="AT379" s="2862"/>
      <c r="AU379" s="1564"/>
      <c r="AV379" s="533"/>
      <c r="AW379" s="873" t="s">
        <v>1444</v>
      </c>
      <c r="AX379" s="547"/>
      <c r="AY379" s="547"/>
      <c r="AZ379" s="299" t="s">
        <v>1435</v>
      </c>
      <c r="BA379" s="1043"/>
      <c r="BB379" s="1043"/>
      <c r="BC379" s="1044"/>
      <c r="BD379" s="18"/>
    </row>
    <row r="380" spans="1:57" ht="20.100000000000001" customHeight="1">
      <c r="B380" s="1360" t="b">
        <f t="shared" ref="B380:B382" si="98">OR(ISBLANK(R380),ISBLANK(T380),ISBLANK(V380))</f>
        <v>0</v>
      </c>
      <c r="C380" s="1391"/>
      <c r="D380" s="787" t="s">
        <v>1445</v>
      </c>
      <c r="E380" s="781"/>
      <c r="F380" s="105" t="s">
        <v>732</v>
      </c>
      <c r="G380" s="106"/>
      <c r="H380" s="353"/>
      <c r="I380" s="945" t="s">
        <v>1446</v>
      </c>
      <c r="J380" s="945"/>
      <c r="K380" s="873" t="s">
        <v>734</v>
      </c>
      <c r="L380" s="1058">
        <v>5</v>
      </c>
      <c r="M380" s="1058"/>
      <c r="N380" s="1058">
        <v>7</v>
      </c>
      <c r="O380" s="1059"/>
      <c r="P380" s="799"/>
      <c r="Q380" s="1045"/>
      <c r="R380" s="1463">
        <v>5</v>
      </c>
      <c r="S380" s="1539">
        <v>0</v>
      </c>
      <c r="T380" s="1463">
        <v>7</v>
      </c>
      <c r="U380" s="1540">
        <v>0</v>
      </c>
      <c r="V380" s="1477">
        <v>7</v>
      </c>
      <c r="W380" s="2097"/>
      <c r="X380" s="2863"/>
      <c r="Y380" s="2864"/>
      <c r="Z380" s="2865"/>
      <c r="AA380" s="2863"/>
      <c r="AB380" s="2866"/>
      <c r="AC380" s="2864"/>
      <c r="AD380" s="2866"/>
      <c r="AE380" s="2867"/>
      <c r="AF380" s="2863"/>
      <c r="AG380" s="2866"/>
      <c r="AH380" s="2864"/>
      <c r="AI380" s="2866"/>
      <c r="AJ380" s="2867"/>
      <c r="AK380" s="2863"/>
      <c r="AL380" s="2866"/>
      <c r="AM380" s="2864"/>
      <c r="AN380" s="2866"/>
      <c r="AO380" s="2867"/>
      <c r="AP380" s="2863"/>
      <c r="AQ380" s="2866"/>
      <c r="AR380" s="2864"/>
      <c r="AS380" s="2866"/>
      <c r="AT380" s="2867"/>
      <c r="AU380" s="2483" t="s">
        <v>1447</v>
      </c>
      <c r="AV380" s="276" t="s">
        <v>1448</v>
      </c>
      <c r="AW380" s="873" t="s">
        <v>1444</v>
      </c>
      <c r="AX380" s="547"/>
      <c r="AY380" s="547"/>
      <c r="AZ380" s="299" t="s">
        <v>1435</v>
      </c>
      <c r="BA380" s="277" t="s">
        <v>1449</v>
      </c>
      <c r="BB380" s="277" t="s">
        <v>1450</v>
      </c>
      <c r="BC380" s="982"/>
      <c r="BD380" s="18"/>
    </row>
    <row r="381" spans="1:57" ht="20.100000000000001" customHeight="1">
      <c r="B381" s="1360" t="b">
        <f t="shared" si="98"/>
        <v>0</v>
      </c>
      <c r="C381" s="1392"/>
      <c r="D381" s="787" t="s">
        <v>1451</v>
      </c>
      <c r="E381" s="781"/>
      <c r="F381" s="105" t="s">
        <v>732</v>
      </c>
      <c r="G381" s="106"/>
      <c r="H381" s="353"/>
      <c r="I381" s="735" t="s">
        <v>1452</v>
      </c>
      <c r="J381" s="735"/>
      <c r="K381" s="109" t="s">
        <v>734</v>
      </c>
      <c r="L381" s="1060">
        <v>3</v>
      </c>
      <c r="M381" s="1060"/>
      <c r="N381" s="1060">
        <v>4</v>
      </c>
      <c r="O381" s="1061"/>
      <c r="P381" s="644"/>
      <c r="Q381" s="1045"/>
      <c r="R381" s="1463">
        <v>3</v>
      </c>
      <c r="S381" s="1526">
        <v>0</v>
      </c>
      <c r="T381" s="1463">
        <v>4</v>
      </c>
      <c r="U381" s="1524">
        <v>0</v>
      </c>
      <c r="V381" s="1464">
        <v>4</v>
      </c>
      <c r="W381" s="2097"/>
      <c r="X381" s="2868"/>
      <c r="Y381" s="2869"/>
      <c r="Z381" s="2870"/>
      <c r="AA381" s="2868"/>
      <c r="AB381" s="2871"/>
      <c r="AC381" s="2869"/>
      <c r="AD381" s="2871"/>
      <c r="AE381" s="2872"/>
      <c r="AF381" s="2868"/>
      <c r="AG381" s="2871"/>
      <c r="AH381" s="2869"/>
      <c r="AI381" s="2871"/>
      <c r="AJ381" s="2872"/>
      <c r="AK381" s="2873"/>
      <c r="AL381" s="2874"/>
      <c r="AM381" s="2875"/>
      <c r="AN381" s="2871"/>
      <c r="AO381" s="2872"/>
      <c r="AP381" s="2868"/>
      <c r="AQ381" s="2871"/>
      <c r="AR381" s="2869"/>
      <c r="AS381" s="2871"/>
      <c r="AT381" s="2872"/>
      <c r="AU381" s="2468" t="s">
        <v>1453</v>
      </c>
      <c r="AV381" s="276" t="s">
        <v>1454</v>
      </c>
      <c r="AW381" s="109" t="s">
        <v>37</v>
      </c>
      <c r="AX381" s="547"/>
      <c r="AY381" s="547"/>
      <c r="AZ381" s="299" t="s">
        <v>193</v>
      </c>
      <c r="BA381" s="277" t="s">
        <v>1455</v>
      </c>
      <c r="BB381" s="277" t="s">
        <v>1450</v>
      </c>
      <c r="BC381" s="982"/>
      <c r="BD381" s="18"/>
    </row>
    <row r="382" spans="1:57" ht="20.100000000000001" customHeight="1">
      <c r="B382" s="1360" t="b">
        <f t="shared" si="98"/>
        <v>0</v>
      </c>
      <c r="C382" s="1384"/>
      <c r="D382" s="787" t="s">
        <v>1456</v>
      </c>
      <c r="E382" s="781"/>
      <c r="F382" s="105" t="s">
        <v>732</v>
      </c>
      <c r="G382" s="384"/>
      <c r="H382" s="385"/>
      <c r="I382" s="1065" t="s">
        <v>1457</v>
      </c>
      <c r="J382" s="1066"/>
      <c r="K382" s="109" t="s">
        <v>734</v>
      </c>
      <c r="L382" s="1060">
        <v>0</v>
      </c>
      <c r="M382" s="1060"/>
      <c r="N382" s="1060">
        <v>1</v>
      </c>
      <c r="O382" s="1061"/>
      <c r="P382" s="644"/>
      <c r="Q382" s="1045"/>
      <c r="R382" s="1463">
        <v>0</v>
      </c>
      <c r="S382" s="1526">
        <v>0</v>
      </c>
      <c r="T382" s="1463">
        <v>1</v>
      </c>
      <c r="U382" s="1524">
        <v>0</v>
      </c>
      <c r="V382" s="1464">
        <v>1</v>
      </c>
      <c r="W382" s="2097"/>
      <c r="X382" s="2868"/>
      <c r="Y382" s="2869"/>
      <c r="Z382" s="2870"/>
      <c r="AA382" s="2868"/>
      <c r="AB382" s="2871"/>
      <c r="AC382" s="2869"/>
      <c r="AD382" s="2871"/>
      <c r="AE382" s="2872"/>
      <c r="AF382" s="2868"/>
      <c r="AG382" s="2871"/>
      <c r="AH382" s="2869"/>
      <c r="AI382" s="2871"/>
      <c r="AJ382" s="2872"/>
      <c r="AK382" s="2873"/>
      <c r="AL382" s="2874"/>
      <c r="AM382" s="2875"/>
      <c r="AN382" s="2871"/>
      <c r="AO382" s="2872"/>
      <c r="AP382" s="2868"/>
      <c r="AQ382" s="2871"/>
      <c r="AR382" s="2869"/>
      <c r="AS382" s="2871"/>
      <c r="AT382" s="2872"/>
      <c r="AU382" s="2468" t="s">
        <v>1458</v>
      </c>
      <c r="AV382" s="276" t="s">
        <v>1459</v>
      </c>
      <c r="AW382" s="109" t="s">
        <v>37</v>
      </c>
      <c r="AX382" s="547"/>
      <c r="AY382" s="547"/>
      <c r="AZ382" s="299" t="s">
        <v>193</v>
      </c>
      <c r="BA382" s="277" t="s">
        <v>1460</v>
      </c>
      <c r="BB382" s="277" t="s">
        <v>1450</v>
      </c>
      <c r="BC382" s="982"/>
      <c r="BD382" s="18"/>
    </row>
    <row r="383" spans="1:57" ht="20.100000000000001" customHeight="1">
      <c r="B383" s="1396"/>
      <c r="C383" s="1598" t="s">
        <v>1461</v>
      </c>
      <c r="D383" s="1599"/>
      <c r="E383" s="1599"/>
      <c r="F383" s="1568"/>
      <c r="G383" s="685"/>
      <c r="H383" s="686" t="s">
        <v>1462</v>
      </c>
      <c r="I383" s="739"/>
      <c r="J383" s="739"/>
      <c r="K383" s="315" t="s">
        <v>168</v>
      </c>
      <c r="L383" s="1067"/>
      <c r="M383" s="1068"/>
      <c r="N383" s="1067"/>
      <c r="O383" s="1068"/>
      <c r="P383" s="661"/>
      <c r="Q383" s="661"/>
      <c r="R383" s="1600"/>
      <c r="S383" s="1601"/>
      <c r="T383" s="1602"/>
      <c r="U383" s="1601"/>
      <c r="V383" s="1602"/>
      <c r="W383" s="2099"/>
      <c r="X383" s="2868"/>
      <c r="Y383" s="2869"/>
      <c r="Z383" s="2870"/>
      <c r="AA383" s="2868"/>
      <c r="AB383" s="2871"/>
      <c r="AC383" s="2869"/>
      <c r="AD383" s="2871"/>
      <c r="AE383" s="2872"/>
      <c r="AF383" s="2868"/>
      <c r="AG383" s="2871"/>
      <c r="AH383" s="2869"/>
      <c r="AI383" s="2871"/>
      <c r="AJ383" s="2872"/>
      <c r="AK383" s="2868"/>
      <c r="AL383" s="2871"/>
      <c r="AM383" s="2869"/>
      <c r="AN383" s="2871"/>
      <c r="AO383" s="2872"/>
      <c r="AP383" s="2868"/>
      <c r="AQ383" s="2871"/>
      <c r="AR383" s="2869"/>
      <c r="AS383" s="2871"/>
      <c r="AT383" s="2872"/>
      <c r="AU383" s="1564"/>
      <c r="AV383" s="276"/>
      <c r="AW383" s="873" t="s">
        <v>1444</v>
      </c>
      <c r="AX383" s="547"/>
      <c r="AY383" s="547"/>
      <c r="AZ383" s="299" t="s">
        <v>1435</v>
      </c>
      <c r="BA383" s="1043"/>
      <c r="BB383" s="1043"/>
      <c r="BC383" s="1044"/>
      <c r="BD383" s="18"/>
    </row>
    <row r="384" spans="1:57" ht="20.100000000000001" customHeight="1">
      <c r="B384" s="1360" t="b">
        <f t="shared" ref="B384:B385" si="99">OR(ISBLANK(R384),ISBLANK(T384),ISBLANK(V384))</f>
        <v>0</v>
      </c>
      <c r="C384" s="1393"/>
      <c r="D384" s="787" t="s">
        <v>1445</v>
      </c>
      <c r="E384" s="781"/>
      <c r="F384" s="105" t="s">
        <v>154</v>
      </c>
      <c r="G384" s="347"/>
      <c r="H384" s="1069"/>
      <c r="I384" s="735" t="s">
        <v>1454</v>
      </c>
      <c r="J384" s="735"/>
      <c r="K384" s="109" t="s">
        <v>154</v>
      </c>
      <c r="L384" s="1060">
        <v>60</v>
      </c>
      <c r="M384" s="1060"/>
      <c r="N384" s="1060">
        <v>57.142857142857139</v>
      </c>
      <c r="O384" s="1061"/>
      <c r="P384" s="644"/>
      <c r="Q384" s="1045"/>
      <c r="R384" s="1488">
        <v>60</v>
      </c>
      <c r="S384" s="1062"/>
      <c r="T384" s="1488">
        <v>57.142857142857139</v>
      </c>
      <c r="U384" s="1063"/>
      <c r="V384" s="1490">
        <v>57</v>
      </c>
      <c r="W384" s="2097"/>
      <c r="X384" s="2868"/>
      <c r="Y384" s="2869"/>
      <c r="Z384" s="2870"/>
      <c r="AA384" s="2868"/>
      <c r="AB384" s="2871"/>
      <c r="AC384" s="2869"/>
      <c r="AD384" s="2871"/>
      <c r="AE384" s="2872"/>
      <c r="AF384" s="2868"/>
      <c r="AG384" s="2871"/>
      <c r="AH384" s="2869"/>
      <c r="AI384" s="2871"/>
      <c r="AJ384" s="2872"/>
      <c r="AK384" s="2873"/>
      <c r="AL384" s="2874"/>
      <c r="AM384" s="2875"/>
      <c r="AN384" s="2871"/>
      <c r="AO384" s="2872"/>
      <c r="AP384" s="2868"/>
      <c r="AQ384" s="2871"/>
      <c r="AR384" s="2869"/>
      <c r="AS384" s="2871"/>
      <c r="AT384" s="2872"/>
      <c r="AU384" s="2468" t="s">
        <v>1463</v>
      </c>
      <c r="AV384" s="276" t="s">
        <v>1464</v>
      </c>
      <c r="AW384" s="109" t="s">
        <v>37</v>
      </c>
      <c r="AX384" s="547"/>
      <c r="AY384" s="547"/>
      <c r="AZ384" s="299" t="s">
        <v>193</v>
      </c>
      <c r="BA384" s="277" t="s">
        <v>1465</v>
      </c>
      <c r="BB384" s="277" t="s">
        <v>1450</v>
      </c>
      <c r="BC384" s="982"/>
      <c r="BD384" s="18"/>
    </row>
    <row r="385" spans="2:56" ht="20.100000000000001" customHeight="1" thickBot="1">
      <c r="B385" s="1361" t="b">
        <f t="shared" si="99"/>
        <v>0</v>
      </c>
      <c r="C385" s="1394"/>
      <c r="D385" s="787" t="s">
        <v>1466</v>
      </c>
      <c r="E385" s="781"/>
      <c r="F385" s="706" t="s">
        <v>154</v>
      </c>
      <c r="G385" s="1070"/>
      <c r="H385" s="1071"/>
      <c r="I385" s="1072" t="s">
        <v>1467</v>
      </c>
      <c r="J385" s="1072"/>
      <c r="K385" s="711" t="s">
        <v>154</v>
      </c>
      <c r="L385" s="644"/>
      <c r="M385" s="1073"/>
      <c r="N385" s="644"/>
      <c r="O385" s="1074"/>
      <c r="P385" s="819"/>
      <c r="Q385" s="1045"/>
      <c r="R385" s="1488">
        <v>100</v>
      </c>
      <c r="S385" s="1075"/>
      <c r="T385" s="1488">
        <v>100</v>
      </c>
      <c r="U385" s="1076"/>
      <c r="V385" s="1501">
        <v>100</v>
      </c>
      <c r="W385" s="2097"/>
      <c r="X385" s="2876"/>
      <c r="Y385" s="2877"/>
      <c r="Z385" s="2878"/>
      <c r="AA385" s="2876"/>
      <c r="AB385" s="2879"/>
      <c r="AC385" s="2877"/>
      <c r="AD385" s="2879"/>
      <c r="AE385" s="2880"/>
      <c r="AF385" s="2876"/>
      <c r="AG385" s="2879"/>
      <c r="AH385" s="2877"/>
      <c r="AI385" s="2879"/>
      <c r="AJ385" s="2880"/>
      <c r="AK385" s="2881"/>
      <c r="AL385" s="2882"/>
      <c r="AM385" s="2883"/>
      <c r="AN385" s="2879"/>
      <c r="AO385" s="2880"/>
      <c r="AP385" s="2876"/>
      <c r="AQ385" s="2879"/>
      <c r="AR385" s="2877"/>
      <c r="AS385" s="2879"/>
      <c r="AT385" s="2880"/>
      <c r="AU385" s="2477"/>
      <c r="AV385" s="595"/>
      <c r="AW385" s="711" t="s">
        <v>37</v>
      </c>
      <c r="AX385" s="547"/>
      <c r="AY385" s="547"/>
      <c r="AZ385" s="299" t="s">
        <v>193</v>
      </c>
      <c r="BA385" s="277" t="s">
        <v>1465</v>
      </c>
      <c r="BB385" s="277" t="s">
        <v>1450</v>
      </c>
      <c r="BC385" s="982"/>
      <c r="BD385" s="18"/>
    </row>
    <row r="386" spans="2:56" ht="27" thickBot="1">
      <c r="B386" s="123" t="s">
        <v>1468</v>
      </c>
      <c r="C386" s="124"/>
      <c r="D386" s="124"/>
      <c r="E386" s="124"/>
      <c r="F386" s="78"/>
      <c r="G386" s="1272" t="s">
        <v>1440</v>
      </c>
      <c r="H386" s="1132"/>
      <c r="I386" s="1132"/>
      <c r="J386" s="1273"/>
      <c r="K386" s="518"/>
      <c r="L386" s="600"/>
      <c r="M386" s="600"/>
      <c r="N386" s="600"/>
      <c r="O386" s="600"/>
      <c r="P386" s="600"/>
      <c r="Q386" s="1004"/>
      <c r="R386" s="1485"/>
      <c r="S386" s="1447"/>
      <c r="T386" s="1485"/>
      <c r="U386" s="1447"/>
      <c r="V386" s="1485"/>
      <c r="W386" s="1004"/>
      <c r="X386" s="2851"/>
      <c r="Y386" s="2852"/>
      <c r="Z386" s="2852"/>
      <c r="AA386" s="2853"/>
      <c r="AB386" s="2854"/>
      <c r="AC386" s="2854"/>
      <c r="AD386" s="2854"/>
      <c r="AE386" s="2855"/>
      <c r="AF386" s="2853"/>
      <c r="AG386" s="2854"/>
      <c r="AH386" s="2854"/>
      <c r="AI386" s="2854"/>
      <c r="AJ386" s="2855"/>
      <c r="AK386" s="2853"/>
      <c r="AL386" s="2854"/>
      <c r="AM386" s="2854"/>
      <c r="AN386" s="2854"/>
      <c r="AO386" s="2855"/>
      <c r="AP386" s="2853"/>
      <c r="AQ386" s="2854"/>
      <c r="AR386" s="2854"/>
      <c r="AS386" s="2854"/>
      <c r="AT386" s="2855"/>
      <c r="AU386" s="80"/>
      <c r="AV386" s="1133"/>
      <c r="AW386" s="1274"/>
      <c r="AX386" s="129"/>
      <c r="AY386" s="129"/>
      <c r="AZ386" s="1274"/>
      <c r="BA386" s="328"/>
      <c r="BB386" s="328"/>
      <c r="BC386" s="1006"/>
      <c r="BD386" s="18"/>
    </row>
    <row r="387" spans="2:56" ht="20.100000000000001" customHeight="1" thickBot="1">
      <c r="B387" s="1398"/>
      <c r="C387" s="728" t="s">
        <v>1469</v>
      </c>
      <c r="D387" s="728"/>
      <c r="E387" s="728"/>
      <c r="F387" s="1560"/>
      <c r="G387" s="739"/>
      <c r="H387" s="698" t="s">
        <v>1470</v>
      </c>
      <c r="I387" s="698"/>
      <c r="J387" s="655"/>
      <c r="K387" s="881" t="s">
        <v>168</v>
      </c>
      <c r="L387" s="1079"/>
      <c r="M387" s="1079"/>
      <c r="N387" s="1079"/>
      <c r="O387" s="1079"/>
      <c r="P387" s="1079"/>
      <c r="Q387" s="1079"/>
      <c r="R387" s="1594"/>
      <c r="S387" s="1595"/>
      <c r="T387" s="1596"/>
      <c r="U387" s="1595"/>
      <c r="V387" s="1596"/>
      <c r="W387" s="2098"/>
      <c r="X387" s="2884"/>
      <c r="Y387" s="2885"/>
      <c r="Z387" s="2886"/>
      <c r="AA387" s="2887"/>
      <c r="AB387" s="2888"/>
      <c r="AC387" s="2889"/>
      <c r="AD387" s="2888"/>
      <c r="AE387" s="2890"/>
      <c r="AF387" s="2887"/>
      <c r="AG387" s="2888"/>
      <c r="AH387" s="2889"/>
      <c r="AI387" s="2888"/>
      <c r="AJ387" s="2890"/>
      <c r="AK387" s="2891"/>
      <c r="AL387" s="2892"/>
      <c r="AM387" s="2893"/>
      <c r="AN387" s="2888"/>
      <c r="AO387" s="2890"/>
      <c r="AP387" s="2887"/>
      <c r="AQ387" s="2888"/>
      <c r="AR387" s="2889"/>
      <c r="AS387" s="2888"/>
      <c r="AT387" s="2890"/>
      <c r="AU387" s="1564"/>
      <c r="AV387" s="262"/>
      <c r="AW387" s="162" t="s">
        <v>37</v>
      </c>
      <c r="AX387" s="534"/>
      <c r="AY387" s="534"/>
      <c r="AZ387" s="299" t="s">
        <v>1435</v>
      </c>
      <c r="BA387" s="1043"/>
      <c r="BB387" s="1043"/>
      <c r="BC387" s="1044"/>
      <c r="BD387" s="18"/>
    </row>
    <row r="388" spans="2:56" ht="20.100000000000001" customHeight="1">
      <c r="B388" s="1360" t="b">
        <f t="shared" ref="B388:B389" si="100">OR(ISBLANK(R388),ISBLANK(T388),ISBLANK(V388))</f>
        <v>0</v>
      </c>
      <c r="C388" s="1392"/>
      <c r="D388" s="787" t="s">
        <v>1445</v>
      </c>
      <c r="E388" s="781"/>
      <c r="F388" s="105" t="s">
        <v>1471</v>
      </c>
      <c r="G388" s="106"/>
      <c r="H388" s="353"/>
      <c r="I388" s="384" t="s">
        <v>1472</v>
      </c>
      <c r="J388" s="384"/>
      <c r="K388" s="1034" t="s">
        <v>559</v>
      </c>
      <c r="L388" s="1060">
        <v>15</v>
      </c>
      <c r="M388" s="1084"/>
      <c r="N388" s="1060">
        <v>11</v>
      </c>
      <c r="O388" s="652"/>
      <c r="P388" s="644"/>
      <c r="Q388" s="1045"/>
      <c r="R388" s="1463">
        <v>15</v>
      </c>
      <c r="S388" s="1526">
        <v>0</v>
      </c>
      <c r="T388" s="1463">
        <v>11</v>
      </c>
      <c r="U388" s="1524">
        <v>0</v>
      </c>
      <c r="V388" s="1464">
        <v>12</v>
      </c>
      <c r="W388" s="2097"/>
      <c r="X388" s="2868"/>
      <c r="Y388" s="2869"/>
      <c r="Z388" s="2870"/>
      <c r="AA388" s="2868"/>
      <c r="AB388" s="2871"/>
      <c r="AC388" s="2869"/>
      <c r="AD388" s="2871"/>
      <c r="AE388" s="2872"/>
      <c r="AF388" s="2868"/>
      <c r="AG388" s="2871"/>
      <c r="AH388" s="2869"/>
      <c r="AI388" s="2871"/>
      <c r="AJ388" s="2872"/>
      <c r="AK388" s="2873"/>
      <c r="AL388" s="2874"/>
      <c r="AM388" s="2875"/>
      <c r="AN388" s="2871"/>
      <c r="AO388" s="2872"/>
      <c r="AP388" s="2868"/>
      <c r="AQ388" s="2871"/>
      <c r="AR388" s="2869"/>
      <c r="AS388" s="2871"/>
      <c r="AT388" s="2872"/>
      <c r="AU388" s="1033" t="s">
        <v>1473</v>
      </c>
      <c r="AV388" s="262" t="s">
        <v>1474</v>
      </c>
      <c r="AW388" s="1034" t="s">
        <v>1444</v>
      </c>
      <c r="AX388" s="878"/>
      <c r="AY388" s="878"/>
      <c r="AZ388" s="299" t="s">
        <v>1435</v>
      </c>
      <c r="BA388" s="277" t="s">
        <v>1475</v>
      </c>
      <c r="BB388" s="277" t="s">
        <v>1450</v>
      </c>
      <c r="BC388" s="982"/>
      <c r="BD388" s="18"/>
    </row>
    <row r="389" spans="2:56" ht="20.100000000000001" customHeight="1">
      <c r="B389" s="1360" t="b">
        <f t="shared" si="100"/>
        <v>0</v>
      </c>
      <c r="C389" s="915"/>
      <c r="D389" s="787" t="s">
        <v>1466</v>
      </c>
      <c r="E389" s="781"/>
      <c r="F389" s="105" t="s">
        <v>1476</v>
      </c>
      <c r="G389" s="384"/>
      <c r="H389" s="385"/>
      <c r="I389" s="358" t="s">
        <v>1477</v>
      </c>
      <c r="J389" s="358"/>
      <c r="K389" s="162" t="s">
        <v>1013</v>
      </c>
      <c r="L389" s="1060">
        <v>6</v>
      </c>
      <c r="M389" s="1084"/>
      <c r="N389" s="1060">
        <v>6</v>
      </c>
      <c r="O389" s="652"/>
      <c r="P389" s="644"/>
      <c r="Q389" s="1045"/>
      <c r="R389" s="1463">
        <v>6</v>
      </c>
      <c r="S389" s="1526">
        <v>0</v>
      </c>
      <c r="T389" s="1463">
        <v>6</v>
      </c>
      <c r="U389" s="1524">
        <v>0</v>
      </c>
      <c r="V389" s="1464">
        <v>5</v>
      </c>
      <c r="W389" s="2097"/>
      <c r="X389" s="2868"/>
      <c r="Y389" s="2869"/>
      <c r="Z389" s="2870"/>
      <c r="AA389" s="2868"/>
      <c r="AB389" s="2871"/>
      <c r="AC389" s="2869"/>
      <c r="AD389" s="2871"/>
      <c r="AE389" s="2872"/>
      <c r="AF389" s="2868"/>
      <c r="AG389" s="2871"/>
      <c r="AH389" s="2869"/>
      <c r="AI389" s="2871"/>
      <c r="AJ389" s="2872"/>
      <c r="AK389" s="2873"/>
      <c r="AL389" s="2874"/>
      <c r="AM389" s="2875"/>
      <c r="AN389" s="2871"/>
      <c r="AO389" s="2872"/>
      <c r="AP389" s="2868"/>
      <c r="AQ389" s="2871"/>
      <c r="AR389" s="2869"/>
      <c r="AS389" s="2871"/>
      <c r="AT389" s="2872"/>
      <c r="AU389" s="498" t="s">
        <v>1478</v>
      </c>
      <c r="AV389" s="367" t="s">
        <v>1479</v>
      </c>
      <c r="AW389" s="162" t="s">
        <v>37</v>
      </c>
      <c r="AX389" s="547"/>
      <c r="AY389" s="547"/>
      <c r="AZ389" s="299" t="s">
        <v>193</v>
      </c>
      <c r="BA389" s="277" t="s">
        <v>1480</v>
      </c>
      <c r="BB389" s="265"/>
      <c r="BC389" s="982"/>
      <c r="BD389" s="18"/>
    </row>
    <row r="390" spans="2:56" ht="20.100000000000001" customHeight="1">
      <c r="B390" s="1399"/>
      <c r="C390" s="728" t="s">
        <v>1481</v>
      </c>
      <c r="D390" s="728"/>
      <c r="E390" s="728"/>
      <c r="F390" s="1560"/>
      <c r="G390" s="739"/>
      <c r="H390" s="698" t="s">
        <v>1482</v>
      </c>
      <c r="I390" s="698"/>
      <c r="J390" s="655"/>
      <c r="K390" s="881" t="s">
        <v>168</v>
      </c>
      <c r="L390" s="1085"/>
      <c r="M390" s="1085"/>
      <c r="N390" s="1085"/>
      <c r="O390" s="1085"/>
      <c r="P390" s="1085"/>
      <c r="Q390" s="1085"/>
      <c r="R390" s="1594"/>
      <c r="S390" s="1595"/>
      <c r="T390" s="1596"/>
      <c r="U390" s="1595"/>
      <c r="V390" s="1596"/>
      <c r="W390" s="2098"/>
      <c r="X390" s="2894"/>
      <c r="Y390" s="2895"/>
      <c r="Z390" s="2896"/>
      <c r="AA390" s="2897"/>
      <c r="AB390" s="2898"/>
      <c r="AC390" s="2899"/>
      <c r="AD390" s="2898"/>
      <c r="AE390" s="2900"/>
      <c r="AF390" s="2897"/>
      <c r="AG390" s="2898"/>
      <c r="AH390" s="2899"/>
      <c r="AI390" s="2898"/>
      <c r="AJ390" s="2900"/>
      <c r="AK390" s="2901"/>
      <c r="AL390" s="2902"/>
      <c r="AM390" s="2903"/>
      <c r="AN390" s="2898"/>
      <c r="AO390" s="2900"/>
      <c r="AP390" s="2897"/>
      <c r="AQ390" s="2898"/>
      <c r="AR390" s="2899"/>
      <c r="AS390" s="2898"/>
      <c r="AT390" s="2900"/>
      <c r="AU390" s="1564"/>
      <c r="AV390" s="1088"/>
      <c r="AW390" s="162" t="s">
        <v>37</v>
      </c>
      <c r="AX390" s="547"/>
      <c r="AY390" s="547"/>
      <c r="AZ390" s="299" t="s">
        <v>1435</v>
      </c>
      <c r="BA390" s="1043"/>
      <c r="BB390" s="691"/>
      <c r="BC390" s="1044"/>
      <c r="BD390" s="18"/>
    </row>
    <row r="391" spans="2:56" ht="20.100000000000001" customHeight="1">
      <c r="B391" s="1360" t="b">
        <f t="shared" ref="B391:B392" si="101">OR(ISBLANK(R391),ISBLANK(T391),ISBLANK(V391))</f>
        <v>0</v>
      </c>
      <c r="C391" s="1376"/>
      <c r="D391" s="787" t="s">
        <v>1483</v>
      </c>
      <c r="E391" s="781"/>
      <c r="F391" s="105" t="s">
        <v>1476</v>
      </c>
      <c r="G391" s="347"/>
      <c r="H391" s="348"/>
      <c r="I391" s="358" t="s">
        <v>1484</v>
      </c>
      <c r="J391" s="358"/>
      <c r="K391" s="162" t="s">
        <v>559</v>
      </c>
      <c r="L391" s="1060">
        <v>34</v>
      </c>
      <c r="M391" s="1084"/>
      <c r="N391" s="1060">
        <v>24</v>
      </c>
      <c r="O391" s="652"/>
      <c r="P391" s="644"/>
      <c r="Q391" s="1045"/>
      <c r="R391" s="1463">
        <v>34</v>
      </c>
      <c r="S391" s="1526">
        <v>0</v>
      </c>
      <c r="T391" s="1463">
        <v>24</v>
      </c>
      <c r="U391" s="1524">
        <v>0</v>
      </c>
      <c r="V391" s="1464">
        <v>33</v>
      </c>
      <c r="W391" s="2097"/>
      <c r="X391" s="2868"/>
      <c r="Y391" s="2869"/>
      <c r="Z391" s="2870"/>
      <c r="AA391" s="2868"/>
      <c r="AB391" s="2871"/>
      <c r="AC391" s="2869"/>
      <c r="AD391" s="2871"/>
      <c r="AE391" s="2872"/>
      <c r="AF391" s="2868"/>
      <c r="AG391" s="2871"/>
      <c r="AH391" s="2869"/>
      <c r="AI391" s="2871"/>
      <c r="AJ391" s="2872"/>
      <c r="AK391" s="2873"/>
      <c r="AL391" s="2874"/>
      <c r="AM391" s="2875"/>
      <c r="AN391" s="2871"/>
      <c r="AO391" s="2872"/>
      <c r="AP391" s="2868"/>
      <c r="AQ391" s="2871"/>
      <c r="AR391" s="2869"/>
      <c r="AS391" s="2871"/>
      <c r="AT391" s="2872"/>
      <c r="AU391" s="498" t="s">
        <v>1485</v>
      </c>
      <c r="AV391" s="1089" t="s">
        <v>1486</v>
      </c>
      <c r="AW391" s="162" t="s">
        <v>37</v>
      </c>
      <c r="AX391" s="547"/>
      <c r="AY391" s="547"/>
      <c r="AZ391" s="299" t="s">
        <v>193</v>
      </c>
      <c r="BA391" s="277" t="s">
        <v>1487</v>
      </c>
      <c r="BB391" s="265"/>
      <c r="BC391" s="982"/>
      <c r="BD391" s="18"/>
    </row>
    <row r="392" spans="2:56" ht="20.100000000000001" customHeight="1">
      <c r="B392" s="1360" t="b">
        <f t="shared" si="101"/>
        <v>0</v>
      </c>
      <c r="C392" s="915"/>
      <c r="D392" s="787" t="s">
        <v>1488</v>
      </c>
      <c r="E392" s="781"/>
      <c r="F392" s="105" t="s">
        <v>1476</v>
      </c>
      <c r="G392" s="384"/>
      <c r="H392" s="385"/>
      <c r="I392" s="358" t="s">
        <v>1489</v>
      </c>
      <c r="J392" s="358"/>
      <c r="K392" s="162" t="s">
        <v>559</v>
      </c>
      <c r="L392" s="1090"/>
      <c r="M392" s="1084"/>
      <c r="N392" s="1090"/>
      <c r="O392" s="652"/>
      <c r="P392" s="644"/>
      <c r="Q392" s="1045"/>
      <c r="R392" s="1463">
        <v>0</v>
      </c>
      <c r="S392" s="1526"/>
      <c r="T392" s="1463">
        <v>0</v>
      </c>
      <c r="U392" s="1524"/>
      <c r="V392" s="1464">
        <v>0</v>
      </c>
      <c r="W392" s="2097"/>
      <c r="X392" s="2868"/>
      <c r="Y392" s="2869"/>
      <c r="Z392" s="2870"/>
      <c r="AA392" s="2868"/>
      <c r="AB392" s="2871"/>
      <c r="AC392" s="2869"/>
      <c r="AD392" s="2871"/>
      <c r="AE392" s="2872"/>
      <c r="AF392" s="2868"/>
      <c r="AG392" s="2871"/>
      <c r="AH392" s="2869"/>
      <c r="AI392" s="2871"/>
      <c r="AJ392" s="2872"/>
      <c r="AK392" s="2873"/>
      <c r="AL392" s="2874"/>
      <c r="AM392" s="2875"/>
      <c r="AN392" s="2904"/>
      <c r="AO392" s="2872"/>
      <c r="AP392" s="2868"/>
      <c r="AQ392" s="2871"/>
      <c r="AR392" s="2869"/>
      <c r="AS392" s="2871"/>
      <c r="AT392" s="2872"/>
      <c r="AU392" s="498" t="s">
        <v>1490</v>
      </c>
      <c r="AV392" s="1089" t="s">
        <v>1491</v>
      </c>
      <c r="AW392" s="162" t="s">
        <v>37</v>
      </c>
      <c r="AX392" s="547"/>
      <c r="AY392" s="547"/>
      <c r="AZ392" s="299" t="s">
        <v>193</v>
      </c>
      <c r="BA392" s="277" t="s">
        <v>1492</v>
      </c>
      <c r="BB392" s="265"/>
      <c r="BC392" s="982"/>
      <c r="BD392" s="18"/>
    </row>
    <row r="393" spans="2:56" ht="20.100000000000001" customHeight="1">
      <c r="B393" s="1353" t="str">
        <f>C393</f>
        <v>참석율</v>
      </c>
      <c r="C393" s="698" t="s">
        <v>1493</v>
      </c>
      <c r="D393" s="698"/>
      <c r="E393" s="698"/>
      <c r="F393" s="1560"/>
      <c r="G393" s="739"/>
      <c r="H393" s="698" t="s">
        <v>1494</v>
      </c>
      <c r="I393" s="698"/>
      <c r="J393" s="655"/>
      <c r="K393" s="881" t="s">
        <v>168</v>
      </c>
      <c r="L393" s="1085"/>
      <c r="M393" s="1085"/>
      <c r="N393" s="1085"/>
      <c r="O393" s="1085"/>
      <c r="P393" s="1085"/>
      <c r="Q393" s="1085"/>
      <c r="R393" s="1594"/>
      <c r="S393" s="1595"/>
      <c r="T393" s="1596"/>
      <c r="U393" s="1595"/>
      <c r="V393" s="1596"/>
      <c r="W393" s="2098"/>
      <c r="X393" s="2894"/>
      <c r="Y393" s="2895"/>
      <c r="Z393" s="2896"/>
      <c r="AA393" s="2897"/>
      <c r="AB393" s="2898"/>
      <c r="AC393" s="2899"/>
      <c r="AD393" s="2898"/>
      <c r="AE393" s="2900"/>
      <c r="AF393" s="2897"/>
      <c r="AG393" s="2898"/>
      <c r="AH393" s="2899"/>
      <c r="AI393" s="2898"/>
      <c r="AJ393" s="2900"/>
      <c r="AK393" s="2901"/>
      <c r="AL393" s="2902"/>
      <c r="AM393" s="2903"/>
      <c r="AN393" s="2905"/>
      <c r="AO393" s="2900"/>
      <c r="AP393" s="2897"/>
      <c r="AQ393" s="2898"/>
      <c r="AR393" s="2899"/>
      <c r="AS393" s="2898"/>
      <c r="AT393" s="2900"/>
      <c r="AU393" s="1564"/>
      <c r="AV393" s="1088"/>
      <c r="AW393" s="162" t="s">
        <v>37</v>
      </c>
      <c r="AX393" s="547"/>
      <c r="AY393" s="547"/>
      <c r="AZ393" s="299" t="s">
        <v>1435</v>
      </c>
      <c r="BA393" s="1043"/>
      <c r="BB393" s="691"/>
      <c r="BC393" s="1044"/>
      <c r="BD393" s="18"/>
    </row>
    <row r="394" spans="2:56" s="139" customFormat="1" ht="20.100000000000001" customHeight="1">
      <c r="B394" s="1360" t="b">
        <f t="shared" ref="B394:B403" si="102">OR(ISBLANK(R394),ISBLANK(T394),ISBLANK(V394))</f>
        <v>0</v>
      </c>
      <c r="C394" s="11"/>
      <c r="D394" s="787" t="s">
        <v>1495</v>
      </c>
      <c r="E394" s="781"/>
      <c r="F394" s="105" t="s">
        <v>154</v>
      </c>
      <c r="G394" s="347"/>
      <c r="H394" s="1069"/>
      <c r="I394" s="735" t="s">
        <v>1496</v>
      </c>
      <c r="J394" s="735"/>
      <c r="K394" s="109" t="s">
        <v>154</v>
      </c>
      <c r="L394" s="1092">
        <v>90</v>
      </c>
      <c r="M394" s="1093"/>
      <c r="N394" s="1092">
        <v>93.55</v>
      </c>
      <c r="O394" s="580"/>
      <c r="P394" s="1094"/>
      <c r="Q394" s="1045"/>
      <c r="R394" s="1488">
        <v>90</v>
      </c>
      <c r="S394" s="1202">
        <v>0</v>
      </c>
      <c r="T394" s="1488">
        <v>93.55</v>
      </c>
      <c r="U394" s="1347">
        <v>0</v>
      </c>
      <c r="V394" s="1490">
        <v>100</v>
      </c>
      <c r="W394" s="2097"/>
      <c r="X394" s="2868"/>
      <c r="Y394" s="2869"/>
      <c r="Z394" s="2870"/>
      <c r="AA394" s="2868"/>
      <c r="AB394" s="2871"/>
      <c r="AC394" s="2869"/>
      <c r="AD394" s="2871"/>
      <c r="AE394" s="2872"/>
      <c r="AF394" s="2868"/>
      <c r="AG394" s="2871"/>
      <c r="AH394" s="2869"/>
      <c r="AI394" s="2871"/>
      <c r="AJ394" s="2872"/>
      <c r="AK394" s="2873"/>
      <c r="AL394" s="2874"/>
      <c r="AM394" s="2875"/>
      <c r="AN394" s="2871"/>
      <c r="AO394" s="2872"/>
      <c r="AP394" s="2868"/>
      <c r="AQ394" s="2871"/>
      <c r="AR394" s="2869"/>
      <c r="AS394" s="2871"/>
      <c r="AT394" s="2872"/>
      <c r="AU394" s="2468" t="s">
        <v>1497</v>
      </c>
      <c r="AV394" s="1089" t="s">
        <v>1498</v>
      </c>
      <c r="AW394" s="162" t="s">
        <v>37</v>
      </c>
      <c r="AX394" s="547"/>
      <c r="AY394" s="547"/>
      <c r="AZ394" s="299" t="s">
        <v>193</v>
      </c>
      <c r="BA394" s="277" t="s">
        <v>1499</v>
      </c>
      <c r="BB394" s="265"/>
      <c r="BC394" s="982"/>
      <c r="BD394" s="18"/>
    </row>
    <row r="395" spans="2:56" s="139" customFormat="1" ht="20.100000000000001" customHeight="1">
      <c r="B395" s="1360" t="b">
        <f t="shared" si="102"/>
        <v>0</v>
      </c>
      <c r="C395" s="27"/>
      <c r="D395" s="787" t="s">
        <v>1500</v>
      </c>
      <c r="E395" s="781"/>
      <c r="F395" s="105" t="s">
        <v>154</v>
      </c>
      <c r="G395" s="106"/>
      <c r="H395" s="1098"/>
      <c r="I395" s="735" t="s">
        <v>1501</v>
      </c>
      <c r="J395" s="735"/>
      <c r="K395" s="109" t="s">
        <v>154</v>
      </c>
      <c r="L395" s="1092">
        <v>97.77</v>
      </c>
      <c r="M395" s="1093"/>
      <c r="N395" s="1092">
        <v>100</v>
      </c>
      <c r="O395" s="580"/>
      <c r="P395" s="1094"/>
      <c r="Q395" s="1045"/>
      <c r="R395" s="1488">
        <v>97.77</v>
      </c>
      <c r="S395" s="1202">
        <v>0</v>
      </c>
      <c r="T395" s="1488">
        <v>100</v>
      </c>
      <c r="U395" s="1347">
        <v>0</v>
      </c>
      <c r="V395" s="1490">
        <v>96</v>
      </c>
      <c r="W395" s="2097"/>
      <c r="X395" s="2868"/>
      <c r="Y395" s="2869"/>
      <c r="Z395" s="2870"/>
      <c r="AA395" s="2868"/>
      <c r="AB395" s="2871"/>
      <c r="AC395" s="2869"/>
      <c r="AD395" s="2871"/>
      <c r="AE395" s="2872"/>
      <c r="AF395" s="2868"/>
      <c r="AG395" s="2871"/>
      <c r="AH395" s="2869"/>
      <c r="AI395" s="2871"/>
      <c r="AJ395" s="2872"/>
      <c r="AK395" s="2873"/>
      <c r="AL395" s="2874"/>
      <c r="AM395" s="2875"/>
      <c r="AN395" s="2871"/>
      <c r="AO395" s="2872"/>
      <c r="AP395" s="2868"/>
      <c r="AQ395" s="2871"/>
      <c r="AR395" s="2869"/>
      <c r="AS395" s="2871"/>
      <c r="AT395" s="2872"/>
      <c r="AU395" s="2468" t="s">
        <v>1502</v>
      </c>
      <c r="AV395" s="1089" t="s">
        <v>1503</v>
      </c>
      <c r="AW395" s="162" t="s">
        <v>37</v>
      </c>
      <c r="AX395" s="547"/>
      <c r="AY395" s="547"/>
      <c r="AZ395" s="299" t="s">
        <v>193</v>
      </c>
      <c r="BA395" s="277" t="s">
        <v>1504</v>
      </c>
      <c r="BB395" s="265"/>
      <c r="BC395" s="982"/>
      <c r="BD395" s="18"/>
    </row>
    <row r="396" spans="2:56" s="139" customFormat="1" ht="20.100000000000001" customHeight="1">
      <c r="B396" s="1360" t="b">
        <f t="shared" si="102"/>
        <v>0</v>
      </c>
      <c r="C396" s="27"/>
      <c r="D396" s="787" t="s">
        <v>1505</v>
      </c>
      <c r="E396" s="781"/>
      <c r="F396" s="105" t="s">
        <v>154</v>
      </c>
      <c r="G396" s="106"/>
      <c r="H396" s="1098"/>
      <c r="I396" s="735" t="s">
        <v>1506</v>
      </c>
      <c r="J396" s="735"/>
      <c r="K396" s="109" t="s">
        <v>154</v>
      </c>
      <c r="L396" s="1092">
        <v>100</v>
      </c>
      <c r="M396" s="1093"/>
      <c r="N396" s="1092">
        <v>100</v>
      </c>
      <c r="O396" s="580"/>
      <c r="P396" s="1094"/>
      <c r="Q396" s="1045"/>
      <c r="R396" s="1488">
        <v>100</v>
      </c>
      <c r="S396" s="1202">
        <v>0</v>
      </c>
      <c r="T396" s="1488">
        <v>100</v>
      </c>
      <c r="U396" s="1347">
        <v>0</v>
      </c>
      <c r="V396" s="1490">
        <v>0</v>
      </c>
      <c r="W396" s="2097"/>
      <c r="X396" s="2868"/>
      <c r="Y396" s="2869"/>
      <c r="Z396" s="2870"/>
      <c r="AA396" s="2868"/>
      <c r="AB396" s="2871"/>
      <c r="AC396" s="2869"/>
      <c r="AD396" s="2871"/>
      <c r="AE396" s="2872"/>
      <c r="AF396" s="2868"/>
      <c r="AG396" s="2871"/>
      <c r="AH396" s="2869"/>
      <c r="AI396" s="2871"/>
      <c r="AJ396" s="2872"/>
      <c r="AK396" s="2873"/>
      <c r="AL396" s="2874"/>
      <c r="AM396" s="2875"/>
      <c r="AN396" s="2871"/>
      <c r="AO396" s="2872"/>
      <c r="AP396" s="2868"/>
      <c r="AQ396" s="2871"/>
      <c r="AR396" s="2869"/>
      <c r="AS396" s="2871"/>
      <c r="AT396" s="2872"/>
      <c r="AU396" s="2468" t="s">
        <v>1507</v>
      </c>
      <c r="AV396" s="1089" t="s">
        <v>1508</v>
      </c>
      <c r="AW396" s="162" t="s">
        <v>37</v>
      </c>
      <c r="AX396" s="547"/>
      <c r="AY396" s="547"/>
      <c r="AZ396" s="299" t="s">
        <v>193</v>
      </c>
      <c r="BA396" s="277" t="s">
        <v>1509</v>
      </c>
      <c r="BB396" s="265"/>
      <c r="BC396" s="982"/>
      <c r="BD396" s="18"/>
    </row>
    <row r="397" spans="2:56" s="139" customFormat="1" ht="20.100000000000001" customHeight="1">
      <c r="B397" s="1360" t="b">
        <f t="shared" si="102"/>
        <v>0</v>
      </c>
      <c r="C397" s="27"/>
      <c r="D397" s="787" t="s">
        <v>1510</v>
      </c>
      <c r="E397" s="781"/>
      <c r="F397" s="105" t="s">
        <v>154</v>
      </c>
      <c r="G397" s="106"/>
      <c r="H397" s="1098"/>
      <c r="I397" s="735" t="s">
        <v>1511</v>
      </c>
      <c r="J397" s="735"/>
      <c r="K397" s="109" t="s">
        <v>154</v>
      </c>
      <c r="L397" s="1092">
        <v>100</v>
      </c>
      <c r="M397" s="1093"/>
      <c r="N397" s="1092">
        <v>100</v>
      </c>
      <c r="O397" s="580"/>
      <c r="P397" s="1094"/>
      <c r="Q397" s="1045"/>
      <c r="R397" s="1488">
        <v>100</v>
      </c>
      <c r="S397" s="1202">
        <v>0</v>
      </c>
      <c r="T397" s="1488">
        <v>100</v>
      </c>
      <c r="U397" s="1347">
        <v>0</v>
      </c>
      <c r="V397" s="1490">
        <v>100</v>
      </c>
      <c r="W397" s="2097"/>
      <c r="X397" s="2868"/>
      <c r="Y397" s="2869"/>
      <c r="Z397" s="2870"/>
      <c r="AA397" s="2868"/>
      <c r="AB397" s="2871"/>
      <c r="AC397" s="2869"/>
      <c r="AD397" s="2871"/>
      <c r="AE397" s="2872"/>
      <c r="AF397" s="2868"/>
      <c r="AG397" s="2871"/>
      <c r="AH397" s="2869"/>
      <c r="AI397" s="2871"/>
      <c r="AJ397" s="2872"/>
      <c r="AK397" s="2873"/>
      <c r="AL397" s="2874"/>
      <c r="AM397" s="2875"/>
      <c r="AN397" s="2871"/>
      <c r="AO397" s="2872"/>
      <c r="AP397" s="2868"/>
      <c r="AQ397" s="2871"/>
      <c r="AR397" s="2869"/>
      <c r="AS397" s="2871"/>
      <c r="AT397" s="2872"/>
      <c r="AU397" s="2468" t="s">
        <v>1512</v>
      </c>
      <c r="AV397" s="1089" t="s">
        <v>1513</v>
      </c>
      <c r="AW397" s="162" t="s">
        <v>37</v>
      </c>
      <c r="AX397" s="547"/>
      <c r="AY397" s="547"/>
      <c r="AZ397" s="299" t="s">
        <v>193</v>
      </c>
      <c r="BA397" s="277" t="s">
        <v>1514</v>
      </c>
      <c r="BB397" s="265"/>
      <c r="BC397" s="982"/>
      <c r="BD397" s="18"/>
    </row>
    <row r="398" spans="2:56" s="139" customFormat="1" ht="20.100000000000001" customHeight="1">
      <c r="B398" s="1360" t="b">
        <f t="shared" si="102"/>
        <v>0</v>
      </c>
      <c r="C398" s="1397"/>
      <c r="D398" s="787" t="s">
        <v>1515</v>
      </c>
      <c r="E398" s="781"/>
      <c r="F398" s="105" t="s">
        <v>154</v>
      </c>
      <c r="G398" s="384"/>
      <c r="H398" s="1099"/>
      <c r="I398" s="735" t="s">
        <v>1516</v>
      </c>
      <c r="J398" s="735"/>
      <c r="K398" s="109" t="s">
        <v>154</v>
      </c>
      <c r="L398" s="1092">
        <v>94.44</v>
      </c>
      <c r="M398" s="1093"/>
      <c r="N398" s="1092">
        <v>100</v>
      </c>
      <c r="O398" s="580"/>
      <c r="P398" s="1094"/>
      <c r="Q398" s="1045"/>
      <c r="R398" s="1488">
        <v>94.44</v>
      </c>
      <c r="S398" s="1202">
        <v>0</v>
      </c>
      <c r="T398" s="1488">
        <v>100</v>
      </c>
      <c r="U398" s="1347">
        <v>0</v>
      </c>
      <c r="V398" s="1490">
        <v>100</v>
      </c>
      <c r="W398" s="2097"/>
      <c r="X398" s="2868"/>
      <c r="Y398" s="2869"/>
      <c r="Z398" s="2870"/>
      <c r="AA398" s="2868"/>
      <c r="AB398" s="2871"/>
      <c r="AC398" s="2869"/>
      <c r="AD398" s="2871"/>
      <c r="AE398" s="2872"/>
      <c r="AF398" s="2868"/>
      <c r="AG398" s="2871"/>
      <c r="AH398" s="2869"/>
      <c r="AI398" s="2871"/>
      <c r="AJ398" s="2872"/>
      <c r="AK398" s="2873"/>
      <c r="AL398" s="2874"/>
      <c r="AM398" s="2875"/>
      <c r="AN398" s="2871"/>
      <c r="AO398" s="2872"/>
      <c r="AP398" s="2868"/>
      <c r="AQ398" s="2871"/>
      <c r="AR398" s="2869"/>
      <c r="AS398" s="2871"/>
      <c r="AT398" s="2872"/>
      <c r="AU398" s="2468" t="s">
        <v>1517</v>
      </c>
      <c r="AV398" s="1089" t="s">
        <v>1518</v>
      </c>
      <c r="AW398" s="162" t="s">
        <v>37</v>
      </c>
      <c r="AX398" s="547"/>
      <c r="AY398" s="547"/>
      <c r="AZ398" s="299" t="s">
        <v>193</v>
      </c>
      <c r="BA398" s="277" t="s">
        <v>1519</v>
      </c>
      <c r="BB398" s="265"/>
      <c r="BC398" s="982"/>
      <c r="BD398" s="18"/>
    </row>
    <row r="399" spans="2:56" s="139" customFormat="1" ht="20.100000000000001" customHeight="1">
      <c r="B399" s="1360" t="b">
        <f t="shared" si="102"/>
        <v>0</v>
      </c>
      <c r="C399" s="924" t="s">
        <v>1520</v>
      </c>
      <c r="D399" s="924"/>
      <c r="E399" s="924"/>
      <c r="F399" s="105" t="s">
        <v>742</v>
      </c>
      <c r="G399" s="358"/>
      <c r="H399" s="359" t="s">
        <v>1521</v>
      </c>
      <c r="I399" s="359"/>
      <c r="J399" s="643"/>
      <c r="K399" s="109" t="s">
        <v>734</v>
      </c>
      <c r="L399" s="1060">
        <v>3</v>
      </c>
      <c r="M399" s="1084"/>
      <c r="N399" s="1060">
        <v>4</v>
      </c>
      <c r="O399" s="652"/>
      <c r="P399" s="644"/>
      <c r="Q399" s="1045"/>
      <c r="R399" s="1463">
        <v>3</v>
      </c>
      <c r="S399" s="1526">
        <v>0</v>
      </c>
      <c r="T399" s="1463">
        <v>4</v>
      </c>
      <c r="U399" s="1524">
        <v>0</v>
      </c>
      <c r="V399" s="1464">
        <v>4</v>
      </c>
      <c r="W399" s="2097"/>
      <c r="X399" s="2868"/>
      <c r="Y399" s="2869"/>
      <c r="Z399" s="2870"/>
      <c r="AA399" s="2868"/>
      <c r="AB399" s="2871"/>
      <c r="AC399" s="2869"/>
      <c r="AD399" s="2871"/>
      <c r="AE399" s="2872"/>
      <c r="AF399" s="2868"/>
      <c r="AG399" s="2871"/>
      <c r="AH399" s="2869"/>
      <c r="AI399" s="2871"/>
      <c r="AJ399" s="2872"/>
      <c r="AK399" s="2873"/>
      <c r="AL399" s="2874"/>
      <c r="AM399" s="2875"/>
      <c r="AN399" s="2871"/>
      <c r="AO399" s="2872"/>
      <c r="AP399" s="2868"/>
      <c r="AQ399" s="2871"/>
      <c r="AR399" s="2869"/>
      <c r="AS399" s="2871"/>
      <c r="AT399" s="2872"/>
      <c r="AU399" s="2468" t="s">
        <v>1520</v>
      </c>
      <c r="AV399" s="1089" t="s">
        <v>1521</v>
      </c>
      <c r="AW399" s="162" t="s">
        <v>37</v>
      </c>
      <c r="AX399" s="547"/>
      <c r="AY399" s="547"/>
      <c r="AZ399" s="299" t="s">
        <v>193</v>
      </c>
      <c r="BA399" s="981" t="s">
        <v>1522</v>
      </c>
      <c r="BB399" s="427"/>
      <c r="BC399" s="974"/>
      <c r="BD399" s="18"/>
    </row>
    <row r="400" spans="2:56" s="139" customFormat="1" ht="20.100000000000001" customHeight="1">
      <c r="B400" s="1360" t="b">
        <f t="shared" si="102"/>
        <v>0</v>
      </c>
      <c r="C400" s="924" t="s">
        <v>1523</v>
      </c>
      <c r="D400" s="924"/>
      <c r="E400" s="924"/>
      <c r="F400" s="105" t="s">
        <v>742</v>
      </c>
      <c r="G400" s="358"/>
      <c r="H400" s="359" t="s">
        <v>1524</v>
      </c>
      <c r="I400" s="359"/>
      <c r="J400" s="643"/>
      <c r="K400" s="109" t="s">
        <v>734</v>
      </c>
      <c r="L400" s="1060">
        <v>3</v>
      </c>
      <c r="M400" s="1084"/>
      <c r="N400" s="1060">
        <v>4</v>
      </c>
      <c r="O400" s="652"/>
      <c r="P400" s="644"/>
      <c r="Q400" s="1045"/>
      <c r="R400" s="1463">
        <v>3</v>
      </c>
      <c r="S400" s="1526">
        <v>0</v>
      </c>
      <c r="T400" s="1463">
        <v>4</v>
      </c>
      <c r="U400" s="1524">
        <v>0</v>
      </c>
      <c r="V400" s="1464">
        <v>4</v>
      </c>
      <c r="W400" s="2097"/>
      <c r="X400" s="2868"/>
      <c r="Y400" s="2869"/>
      <c r="Z400" s="2870"/>
      <c r="AA400" s="2868"/>
      <c r="AB400" s="2871"/>
      <c r="AC400" s="2869"/>
      <c r="AD400" s="2871"/>
      <c r="AE400" s="2872"/>
      <c r="AF400" s="2868"/>
      <c r="AG400" s="2871"/>
      <c r="AH400" s="2869"/>
      <c r="AI400" s="2871"/>
      <c r="AJ400" s="2872"/>
      <c r="AK400" s="2873"/>
      <c r="AL400" s="2874"/>
      <c r="AM400" s="2875"/>
      <c r="AN400" s="2871"/>
      <c r="AO400" s="2872"/>
      <c r="AP400" s="2868"/>
      <c r="AQ400" s="2871"/>
      <c r="AR400" s="2869"/>
      <c r="AS400" s="2871"/>
      <c r="AT400" s="2872"/>
      <c r="AU400" s="2468" t="s">
        <v>1523</v>
      </c>
      <c r="AV400" s="1100" t="s">
        <v>1524</v>
      </c>
      <c r="AW400" s="165" t="s">
        <v>37</v>
      </c>
      <c r="AX400" s="1101"/>
      <c r="AY400" s="1102"/>
      <c r="AZ400" s="299" t="s">
        <v>193</v>
      </c>
      <c r="BA400" s="1103" t="s">
        <v>1525</v>
      </c>
      <c r="BB400" s="427"/>
      <c r="BC400" s="974"/>
      <c r="BD400" s="18"/>
    </row>
    <row r="401" spans="2:56" s="139" customFormat="1" ht="20.100000000000001" customHeight="1">
      <c r="B401" s="5493" t="b">
        <f t="shared" si="102"/>
        <v>1</v>
      </c>
      <c r="C401" s="5494" t="s">
        <v>1526</v>
      </c>
      <c r="D401" s="5494"/>
      <c r="E401" s="5494"/>
      <c r="F401" s="5466" t="s">
        <v>156</v>
      </c>
      <c r="G401" s="5495"/>
      <c r="H401" s="5496" t="s">
        <v>1527</v>
      </c>
      <c r="I401" s="5496"/>
      <c r="J401" s="5497"/>
      <c r="K401" s="5498" t="s">
        <v>156</v>
      </c>
      <c r="L401" s="5499"/>
      <c r="M401" s="5499"/>
      <c r="N401" s="5499"/>
      <c r="O401" s="5500"/>
      <c r="P401" s="5500"/>
      <c r="Q401" s="5501"/>
      <c r="R401" s="5491"/>
      <c r="S401" s="5502" t="s">
        <v>1780</v>
      </c>
      <c r="T401" s="5491"/>
      <c r="U401" s="5502" t="s">
        <v>1780</v>
      </c>
      <c r="V401" s="5503" t="s">
        <v>1780</v>
      </c>
      <c r="W401" s="2097"/>
      <c r="X401" s="2906"/>
      <c r="Y401" s="2907"/>
      <c r="Z401" s="2908"/>
      <c r="AA401" s="2906"/>
      <c r="AB401" s="2909"/>
      <c r="AC401" s="2907"/>
      <c r="AD401" s="2909"/>
      <c r="AE401" s="2910"/>
      <c r="AF401" s="2906"/>
      <c r="AG401" s="2909"/>
      <c r="AH401" s="2907"/>
      <c r="AI401" s="2909"/>
      <c r="AJ401" s="2910"/>
      <c r="AK401" s="2911"/>
      <c r="AL401" s="2912"/>
      <c r="AM401" s="2913"/>
      <c r="AN401" s="2909"/>
      <c r="AO401" s="2910"/>
      <c r="AP401" s="2906"/>
      <c r="AQ401" s="2909"/>
      <c r="AR401" s="2907"/>
      <c r="AS401" s="2909"/>
      <c r="AT401" s="2910"/>
      <c r="AU401" s="2488" t="s">
        <v>1528</v>
      </c>
      <c r="AV401" s="1113"/>
      <c r="AW401" s="1114" t="s">
        <v>37</v>
      </c>
      <c r="AX401" s="1115"/>
      <c r="AY401" s="773"/>
      <c r="AZ401" s="299" t="s">
        <v>193</v>
      </c>
      <c r="BA401" s="1116" t="s">
        <v>1529</v>
      </c>
      <c r="BB401" s="427"/>
      <c r="BC401" s="974"/>
      <c r="BD401" s="18"/>
    </row>
    <row r="402" spans="2:56" s="139" customFormat="1" ht="20.100000000000001" customHeight="1">
      <c r="B402" s="5493" t="b">
        <f t="shared" si="102"/>
        <v>1</v>
      </c>
      <c r="C402" s="5504"/>
      <c r="D402" s="5505" t="s">
        <v>1530</v>
      </c>
      <c r="E402" s="5494"/>
      <c r="F402" s="5466" t="s">
        <v>742</v>
      </c>
      <c r="G402" s="5506"/>
      <c r="H402" s="5507"/>
      <c r="I402" s="5508" t="s">
        <v>1531</v>
      </c>
      <c r="J402" s="5509"/>
      <c r="K402" s="5510" t="s">
        <v>734</v>
      </c>
      <c r="L402" s="5511"/>
      <c r="M402" s="5511"/>
      <c r="N402" s="5511"/>
      <c r="O402" s="5512"/>
      <c r="P402" s="5512"/>
      <c r="Q402" s="5501"/>
      <c r="R402" s="5513"/>
      <c r="S402" s="5514" t="s">
        <v>1780</v>
      </c>
      <c r="T402" s="5513"/>
      <c r="U402" s="5514" t="s">
        <v>1780</v>
      </c>
      <c r="V402" s="5458" t="s">
        <v>1780</v>
      </c>
      <c r="W402" s="2097"/>
      <c r="X402" s="2868"/>
      <c r="Y402" s="2869"/>
      <c r="Z402" s="2870"/>
      <c r="AA402" s="2868"/>
      <c r="AB402" s="2871"/>
      <c r="AC402" s="2869"/>
      <c r="AD402" s="2871"/>
      <c r="AE402" s="2872"/>
      <c r="AF402" s="2868"/>
      <c r="AG402" s="2871"/>
      <c r="AH402" s="2869"/>
      <c r="AI402" s="2871"/>
      <c r="AJ402" s="2872"/>
      <c r="AK402" s="2873"/>
      <c r="AL402" s="2874"/>
      <c r="AM402" s="2875"/>
      <c r="AN402" s="2871"/>
      <c r="AO402" s="2872"/>
      <c r="AP402" s="2868"/>
      <c r="AQ402" s="2871"/>
      <c r="AR402" s="2869"/>
      <c r="AS402" s="2871"/>
      <c r="AT402" s="2872"/>
      <c r="AU402" s="2489"/>
      <c r="AV402" s="1118"/>
      <c r="AW402" s="1119" t="s">
        <v>37</v>
      </c>
      <c r="AX402" s="1115"/>
      <c r="AY402" s="773"/>
      <c r="AZ402" s="299" t="s">
        <v>193</v>
      </c>
      <c r="BA402" s="1120" t="s">
        <v>1529</v>
      </c>
      <c r="BB402" s="265"/>
      <c r="BC402" s="982"/>
      <c r="BD402" s="18"/>
    </row>
    <row r="403" spans="2:56" s="139" customFormat="1" ht="20.100000000000001" customHeight="1" thickBot="1">
      <c r="B403" s="5515" t="b">
        <f t="shared" si="102"/>
        <v>0</v>
      </c>
      <c r="C403" s="5516"/>
      <c r="D403" s="5517" t="s">
        <v>1532</v>
      </c>
      <c r="E403" s="5518"/>
      <c r="F403" s="5519" t="s">
        <v>742</v>
      </c>
      <c r="G403" s="5520"/>
      <c r="H403" s="5521"/>
      <c r="I403" s="5522" t="s">
        <v>1533</v>
      </c>
      <c r="J403" s="5523"/>
      <c r="K403" s="5524" t="s">
        <v>734</v>
      </c>
      <c r="L403" s="5525">
        <f>L399</f>
        <v>3</v>
      </c>
      <c r="M403" s="5526"/>
      <c r="N403" s="5525">
        <f>N399</f>
        <v>4</v>
      </c>
      <c r="O403" s="5527"/>
      <c r="P403" s="5527"/>
      <c r="Q403" s="5501"/>
      <c r="R403" s="5528">
        <f>R399</f>
        <v>3</v>
      </c>
      <c r="S403" s="5514" t="s">
        <v>1780</v>
      </c>
      <c r="T403" s="5528">
        <f>T399</f>
        <v>4</v>
      </c>
      <c r="U403" s="5514" t="s">
        <v>1780</v>
      </c>
      <c r="V403" s="5528">
        <f>V399</f>
        <v>4</v>
      </c>
      <c r="W403" s="2100"/>
      <c r="X403" s="2914"/>
      <c r="Y403" s="2879"/>
      <c r="Z403" s="2878"/>
      <c r="AA403" s="2876"/>
      <c r="AB403" s="2879"/>
      <c r="AC403" s="2877"/>
      <c r="AD403" s="2879"/>
      <c r="AE403" s="2880"/>
      <c r="AF403" s="2914"/>
      <c r="AG403" s="2879"/>
      <c r="AH403" s="2879"/>
      <c r="AI403" s="2879"/>
      <c r="AJ403" s="2880"/>
      <c r="AK403" s="2876"/>
      <c r="AL403" s="2879"/>
      <c r="AM403" s="2877"/>
      <c r="AN403" s="2879"/>
      <c r="AO403" s="2880"/>
      <c r="AP403" s="2876"/>
      <c r="AQ403" s="2879"/>
      <c r="AR403" s="2877"/>
      <c r="AS403" s="2879"/>
      <c r="AT403" s="2880"/>
      <c r="AU403" s="2488"/>
      <c r="AV403" s="1128"/>
      <c r="AW403" s="1119" t="s">
        <v>37</v>
      </c>
      <c r="AX403" s="1550"/>
      <c r="AY403" s="1102"/>
      <c r="AZ403" s="1551" t="s">
        <v>193</v>
      </c>
      <c r="BA403" s="1552" t="s">
        <v>1529</v>
      </c>
      <c r="BB403" s="427"/>
      <c r="BC403" s="974"/>
      <c r="BD403" s="18"/>
    </row>
    <row r="404" spans="2:56" ht="27" thickBot="1">
      <c r="B404" s="123" t="s">
        <v>1534</v>
      </c>
      <c r="C404" s="124"/>
      <c r="D404" s="124"/>
      <c r="E404" s="124"/>
      <c r="F404" s="78"/>
      <c r="G404" s="1272" t="s">
        <v>1440</v>
      </c>
      <c r="H404" s="1132"/>
      <c r="I404" s="1132"/>
      <c r="J404" s="1273"/>
      <c r="K404" s="518"/>
      <c r="L404" s="600"/>
      <c r="M404" s="600"/>
      <c r="N404" s="600"/>
      <c r="O404" s="600"/>
      <c r="P404" s="600"/>
      <c r="Q404" s="1004"/>
      <c r="R404" s="1485"/>
      <c r="S404" s="1447"/>
      <c r="T404" s="1485"/>
      <c r="U404" s="1447"/>
      <c r="V404" s="1485"/>
      <c r="W404" s="1004"/>
      <c r="X404" s="2851"/>
      <c r="Y404" s="2852"/>
      <c r="Z404" s="2852"/>
      <c r="AA404" s="2853"/>
      <c r="AB404" s="2854"/>
      <c r="AC404" s="2854"/>
      <c r="AD404" s="2854"/>
      <c r="AE404" s="2855"/>
      <c r="AF404" s="2853"/>
      <c r="AG404" s="2854"/>
      <c r="AH404" s="2854"/>
      <c r="AI404" s="2854"/>
      <c r="AJ404" s="2855"/>
      <c r="AK404" s="2853"/>
      <c r="AL404" s="2854"/>
      <c r="AM404" s="2854"/>
      <c r="AN404" s="2854"/>
      <c r="AO404" s="2855"/>
      <c r="AP404" s="2853"/>
      <c r="AQ404" s="2854"/>
      <c r="AR404" s="2854"/>
      <c r="AS404" s="2854"/>
      <c r="AT404" s="2855"/>
      <c r="AU404" s="80"/>
      <c r="AV404" s="1133"/>
      <c r="AW404" s="1274"/>
      <c r="AX404" s="129"/>
      <c r="AY404" s="129"/>
      <c r="AZ404" s="1274"/>
      <c r="BA404" s="328"/>
      <c r="BB404" s="328"/>
      <c r="BC404" s="1006"/>
      <c r="BD404" s="18"/>
    </row>
    <row r="405" spans="2:56" ht="20.100000000000001" customHeight="1" thickBot="1">
      <c r="B405" s="1553"/>
      <c r="C405" s="1603" t="s">
        <v>1468</v>
      </c>
      <c r="D405" s="1603"/>
      <c r="E405" s="1603"/>
      <c r="F405" s="1560"/>
      <c r="G405" s="1056"/>
      <c r="H405" s="1138" t="s">
        <v>1867</v>
      </c>
      <c r="I405" s="1138"/>
      <c r="J405" s="1138"/>
      <c r="K405" s="1139" t="s">
        <v>168</v>
      </c>
      <c r="L405" s="1140"/>
      <c r="M405" s="1140"/>
      <c r="N405" s="1140"/>
      <c r="O405" s="1140"/>
      <c r="P405" s="1140"/>
      <c r="Q405" s="1045"/>
      <c r="R405" s="1594"/>
      <c r="S405" s="1595"/>
      <c r="T405" s="1596"/>
      <c r="U405" s="1595"/>
      <c r="V405" s="1596"/>
      <c r="W405" s="2054"/>
      <c r="X405" s="2915"/>
      <c r="Y405" s="2916"/>
      <c r="Z405" s="2917"/>
      <c r="AA405" s="2859"/>
      <c r="AB405" s="2860"/>
      <c r="AC405" s="2861"/>
      <c r="AD405" s="2860"/>
      <c r="AE405" s="2862"/>
      <c r="AF405" s="2859"/>
      <c r="AG405" s="2860"/>
      <c r="AH405" s="2861"/>
      <c r="AI405" s="2860"/>
      <c r="AJ405" s="2862"/>
      <c r="AK405" s="2859"/>
      <c r="AL405" s="2860"/>
      <c r="AM405" s="2861"/>
      <c r="AN405" s="2860"/>
      <c r="AO405" s="2862"/>
      <c r="AP405" s="2859"/>
      <c r="AQ405" s="2860"/>
      <c r="AR405" s="2861"/>
      <c r="AS405" s="2860"/>
      <c r="AT405" s="2862"/>
      <c r="AU405" s="1564"/>
      <c r="AV405" s="1141"/>
      <c r="AW405" s="1034" t="s">
        <v>37</v>
      </c>
      <c r="AX405" s="1554"/>
      <c r="AY405" s="1555"/>
      <c r="AZ405" s="1556"/>
      <c r="BA405" s="1557"/>
      <c r="BB405" s="1558"/>
      <c r="BC405" s="1559"/>
      <c r="BD405" s="18"/>
    </row>
    <row r="406" spans="2:56" ht="20.100000000000001" customHeight="1">
      <c r="B406" s="1360" t="b">
        <f t="shared" ref="B406:B425" si="103">OR(ISBLANK(R406),ISBLANK(T406),ISBLANK(V406))</f>
        <v>0</v>
      </c>
      <c r="C406" s="1392"/>
      <c r="D406" s="1142" t="s">
        <v>1536</v>
      </c>
      <c r="E406" s="915"/>
      <c r="F406" s="1143" t="s">
        <v>33</v>
      </c>
      <c r="G406" s="106"/>
      <c r="H406" s="353"/>
      <c r="I406" s="384" t="s">
        <v>1537</v>
      </c>
      <c r="J406" s="384"/>
      <c r="K406" s="1034" t="s">
        <v>35</v>
      </c>
      <c r="L406" s="1144">
        <v>975</v>
      </c>
      <c r="M406" s="1145"/>
      <c r="N406" s="1144">
        <v>2044</v>
      </c>
      <c r="O406" s="1146"/>
      <c r="P406" s="1147"/>
      <c r="Q406" s="1045"/>
      <c r="R406" s="1488">
        <v>975</v>
      </c>
      <c r="S406" s="1453">
        <v>0</v>
      </c>
      <c r="T406" s="1488">
        <v>2044</v>
      </c>
      <c r="U406" s="1454">
        <v>0</v>
      </c>
      <c r="V406" s="1521">
        <v>1303</v>
      </c>
      <c r="W406" s="2097"/>
      <c r="X406" s="2918"/>
      <c r="Y406" s="2919"/>
      <c r="Z406" s="2920"/>
      <c r="AA406" s="2918"/>
      <c r="AB406" s="2921"/>
      <c r="AC406" s="2919"/>
      <c r="AD406" s="2921"/>
      <c r="AE406" s="2922"/>
      <c r="AF406" s="2918"/>
      <c r="AG406" s="2921"/>
      <c r="AH406" s="2919"/>
      <c r="AI406" s="2921"/>
      <c r="AJ406" s="2922"/>
      <c r="AK406" s="2918"/>
      <c r="AL406" s="2921"/>
      <c r="AM406" s="2919"/>
      <c r="AN406" s="2921"/>
      <c r="AO406" s="2922"/>
      <c r="AP406" s="2918"/>
      <c r="AQ406" s="2921"/>
      <c r="AR406" s="2919"/>
      <c r="AS406" s="2921"/>
      <c r="AT406" s="2922"/>
      <c r="AU406" s="1033" t="s">
        <v>1538</v>
      </c>
      <c r="AV406" s="1152" t="s">
        <v>1539</v>
      </c>
      <c r="AW406" s="1153" t="s">
        <v>37</v>
      </c>
      <c r="AX406" s="1154"/>
      <c r="AY406" s="1155"/>
      <c r="AZ406" s="299" t="s">
        <v>193</v>
      </c>
      <c r="BA406" s="981" t="s">
        <v>1540</v>
      </c>
      <c r="BB406" s="427"/>
      <c r="BC406" s="974"/>
      <c r="BD406" s="18"/>
    </row>
    <row r="407" spans="2:56" ht="20.100000000000001" customHeight="1">
      <c r="B407" s="1360" t="b">
        <f t="shared" si="103"/>
        <v>0</v>
      </c>
      <c r="C407" s="1384"/>
      <c r="D407" s="787" t="s">
        <v>1451</v>
      </c>
      <c r="E407" s="781"/>
      <c r="F407" s="285" t="s">
        <v>33</v>
      </c>
      <c r="G407" s="384"/>
      <c r="H407" s="385"/>
      <c r="I407" s="347" t="s">
        <v>1541</v>
      </c>
      <c r="J407" s="347"/>
      <c r="K407" s="165" t="s">
        <v>35</v>
      </c>
      <c r="L407" s="1156">
        <v>181</v>
      </c>
      <c r="M407" s="1157"/>
      <c r="N407" s="1156">
        <v>227</v>
      </c>
      <c r="O407" s="1158"/>
      <c r="P407" s="1159"/>
      <c r="Q407" s="1045"/>
      <c r="R407" s="1488">
        <v>181</v>
      </c>
      <c r="S407" s="1455">
        <v>0</v>
      </c>
      <c r="T407" s="1488">
        <v>227</v>
      </c>
      <c r="U407" s="1456">
        <v>0</v>
      </c>
      <c r="V407" s="1491">
        <v>240</v>
      </c>
      <c r="W407" s="2097"/>
      <c r="X407" s="2923"/>
      <c r="Y407" s="2924"/>
      <c r="Z407" s="2925"/>
      <c r="AA407" s="2923"/>
      <c r="AB407" s="2926"/>
      <c r="AC407" s="2924"/>
      <c r="AD407" s="2926"/>
      <c r="AE407" s="2927"/>
      <c r="AF407" s="2923"/>
      <c r="AG407" s="2926"/>
      <c r="AH407" s="2924"/>
      <c r="AI407" s="2926"/>
      <c r="AJ407" s="2927"/>
      <c r="AK407" s="2923"/>
      <c r="AL407" s="2926"/>
      <c r="AM407" s="2924"/>
      <c r="AN407" s="2926"/>
      <c r="AO407" s="2927"/>
      <c r="AP407" s="2923"/>
      <c r="AQ407" s="2926"/>
      <c r="AR407" s="2924"/>
      <c r="AS407" s="2926"/>
      <c r="AT407" s="2927"/>
      <c r="AU407" s="2487" t="s">
        <v>1542</v>
      </c>
      <c r="AV407" s="1164" t="s">
        <v>1543</v>
      </c>
      <c r="AW407" s="165" t="s">
        <v>37</v>
      </c>
      <c r="AX407" s="1102"/>
      <c r="AY407" s="1101"/>
      <c r="AZ407" s="299" t="s">
        <v>193</v>
      </c>
      <c r="BA407" s="277" t="s">
        <v>1544</v>
      </c>
      <c r="BB407" s="265"/>
      <c r="BC407" s="982"/>
      <c r="BD407" s="18"/>
    </row>
    <row r="408" spans="2:56" ht="20.100000000000001" customHeight="1">
      <c r="B408" s="1360" t="b">
        <f t="shared" si="103"/>
        <v>0</v>
      </c>
      <c r="C408" s="753" t="s">
        <v>1545</v>
      </c>
      <c r="D408" s="753"/>
      <c r="E408" s="753"/>
      <c r="F408" s="105" t="s">
        <v>156</v>
      </c>
      <c r="G408" s="358"/>
      <c r="H408" s="359" t="s">
        <v>1546</v>
      </c>
      <c r="I408" s="359"/>
      <c r="J408" s="643"/>
      <c r="K408" s="162" t="s">
        <v>154</v>
      </c>
      <c r="L408" s="1165">
        <v>0</v>
      </c>
      <c r="M408" s="1166"/>
      <c r="N408" s="1165">
        <v>0</v>
      </c>
      <c r="O408" s="1167"/>
      <c r="P408" s="274"/>
      <c r="Q408" s="1045"/>
      <c r="R408" s="1488">
        <v>0</v>
      </c>
      <c r="S408" s="979"/>
      <c r="T408" s="1488">
        <v>0</v>
      </c>
      <c r="U408" s="1418"/>
      <c r="V408" s="1488">
        <v>0</v>
      </c>
      <c r="W408" s="2097"/>
      <c r="X408" s="2897"/>
      <c r="Y408" s="2899"/>
      <c r="Z408" s="2928"/>
      <c r="AA408" s="2897"/>
      <c r="AB408" s="2898"/>
      <c r="AC408" s="2899"/>
      <c r="AD408" s="2898"/>
      <c r="AE408" s="2900"/>
      <c r="AF408" s="2897"/>
      <c r="AG408" s="2898"/>
      <c r="AH408" s="2899"/>
      <c r="AI408" s="2898"/>
      <c r="AJ408" s="2900"/>
      <c r="AK408" s="2897"/>
      <c r="AL408" s="2898"/>
      <c r="AM408" s="2899"/>
      <c r="AN408" s="2898"/>
      <c r="AO408" s="2900"/>
      <c r="AP408" s="2897"/>
      <c r="AQ408" s="2898"/>
      <c r="AR408" s="2899"/>
      <c r="AS408" s="2898"/>
      <c r="AT408" s="2900"/>
      <c r="AU408" s="498" t="s">
        <v>1547</v>
      </c>
      <c r="AV408" s="367" t="s">
        <v>1548</v>
      </c>
      <c r="AW408" s="162" t="s">
        <v>37</v>
      </c>
      <c r="AX408" s="773"/>
      <c r="AY408" s="547"/>
      <c r="AZ408" s="299" t="s">
        <v>193</v>
      </c>
      <c r="BA408" s="277" t="s">
        <v>1549</v>
      </c>
      <c r="BB408" s="265"/>
      <c r="BC408" s="982"/>
      <c r="BD408" s="18"/>
    </row>
    <row r="409" spans="2:56" ht="20.100000000000001" customHeight="1">
      <c r="B409" s="1360" t="b">
        <f t="shared" si="103"/>
        <v>0</v>
      </c>
      <c r="C409" s="1383"/>
      <c r="D409" s="936" t="s">
        <v>1550</v>
      </c>
      <c r="E409" s="924"/>
      <c r="F409" s="105" t="s">
        <v>33</v>
      </c>
      <c r="G409" s="347"/>
      <c r="H409" s="348"/>
      <c r="I409" s="358" t="s">
        <v>1551</v>
      </c>
      <c r="J409" s="358"/>
      <c r="K409" s="162" t="s">
        <v>35</v>
      </c>
      <c r="L409" s="1165">
        <v>0</v>
      </c>
      <c r="M409" s="1166"/>
      <c r="N409" s="1165">
        <v>0</v>
      </c>
      <c r="O409" s="1167"/>
      <c r="P409" s="274"/>
      <c r="Q409" s="1045"/>
      <c r="R409" s="1488">
        <v>0</v>
      </c>
      <c r="S409" s="979">
        <v>0</v>
      </c>
      <c r="T409" s="1488">
        <v>0</v>
      </c>
      <c r="U409" s="1418">
        <v>0</v>
      </c>
      <c r="V409" s="1488">
        <v>0</v>
      </c>
      <c r="W409" s="2097"/>
      <c r="X409" s="2897"/>
      <c r="Y409" s="2899"/>
      <c r="Z409" s="2928"/>
      <c r="AA409" s="2897"/>
      <c r="AB409" s="2898"/>
      <c r="AC409" s="2899"/>
      <c r="AD409" s="2898"/>
      <c r="AE409" s="2900"/>
      <c r="AF409" s="2897"/>
      <c r="AG409" s="2898"/>
      <c r="AH409" s="2899"/>
      <c r="AI409" s="2898"/>
      <c r="AJ409" s="2900"/>
      <c r="AK409" s="2897"/>
      <c r="AL409" s="2898"/>
      <c r="AM409" s="2899"/>
      <c r="AN409" s="2898"/>
      <c r="AO409" s="2900"/>
      <c r="AP409" s="2897"/>
      <c r="AQ409" s="2898"/>
      <c r="AR409" s="2899"/>
      <c r="AS409" s="2898"/>
      <c r="AT409" s="2900"/>
      <c r="AU409" s="498"/>
      <c r="AV409" s="1164"/>
      <c r="AW409" s="165" t="s">
        <v>37</v>
      </c>
      <c r="AX409" s="773"/>
      <c r="AY409" s="1101"/>
      <c r="AZ409" s="299" t="s">
        <v>193</v>
      </c>
      <c r="BA409" s="427" t="s">
        <v>1549</v>
      </c>
      <c r="BB409" s="427"/>
      <c r="BC409" s="982"/>
      <c r="BD409" s="18"/>
    </row>
    <row r="410" spans="2:56" ht="20.100000000000001" customHeight="1" thickBot="1">
      <c r="B410" s="1361" t="b">
        <f t="shared" si="103"/>
        <v>0</v>
      </c>
      <c r="C410" s="1394"/>
      <c r="D410" s="1168" t="s">
        <v>1552</v>
      </c>
      <c r="E410" s="1169"/>
      <c r="F410" s="1170" t="s">
        <v>33</v>
      </c>
      <c r="G410" s="1070"/>
      <c r="H410" s="1171"/>
      <c r="I410" s="707" t="s">
        <v>1553</v>
      </c>
      <c r="J410" s="707"/>
      <c r="K410" s="1172" t="s">
        <v>35</v>
      </c>
      <c r="L410" s="1173">
        <v>650</v>
      </c>
      <c r="M410" s="1174"/>
      <c r="N410" s="1173">
        <v>690</v>
      </c>
      <c r="O410" s="1175"/>
      <c r="P410" s="1176"/>
      <c r="Q410" s="1045"/>
      <c r="R410" s="1508">
        <v>650</v>
      </c>
      <c r="S410" s="1457" t="s">
        <v>1554</v>
      </c>
      <c r="T410" s="1508">
        <v>690</v>
      </c>
      <c r="U410" s="1458" t="s">
        <v>1554</v>
      </c>
      <c r="V410" s="1508">
        <v>720</v>
      </c>
      <c r="W410" s="2097"/>
      <c r="X410" s="2929"/>
      <c r="Y410" s="2930"/>
      <c r="Z410" s="2931"/>
      <c r="AA410" s="2929"/>
      <c r="AB410" s="2932"/>
      <c r="AC410" s="2930"/>
      <c r="AD410" s="2932"/>
      <c r="AE410" s="2933"/>
      <c r="AF410" s="2929"/>
      <c r="AG410" s="2932"/>
      <c r="AH410" s="2930"/>
      <c r="AI410" s="2932"/>
      <c r="AJ410" s="2933"/>
      <c r="AK410" s="2929"/>
      <c r="AL410" s="2932"/>
      <c r="AM410" s="2930"/>
      <c r="AN410" s="2932"/>
      <c r="AO410" s="2933"/>
      <c r="AP410" s="2929"/>
      <c r="AQ410" s="2932"/>
      <c r="AR410" s="2930"/>
      <c r="AS410" s="2932"/>
      <c r="AT410" s="2933"/>
      <c r="AU410" s="2490"/>
      <c r="AV410" s="1180"/>
      <c r="AW410" s="1181" t="s">
        <v>37</v>
      </c>
      <c r="AX410" s="1182"/>
      <c r="AY410" s="597"/>
      <c r="AZ410" s="1130" t="s">
        <v>193</v>
      </c>
      <c r="BA410" s="1183" t="s">
        <v>1549</v>
      </c>
      <c r="BB410" s="1131"/>
      <c r="BC410" s="1184"/>
      <c r="BD410" s="18"/>
    </row>
    <row r="411" spans="2:56" ht="27" thickBot="1">
      <c r="B411" s="123" t="s">
        <v>1555</v>
      </c>
      <c r="C411" s="1132"/>
      <c r="D411" s="1132"/>
      <c r="E411" s="1132"/>
      <c r="F411" s="1132"/>
      <c r="G411" s="519" t="s">
        <v>1556</v>
      </c>
      <c r="H411" s="521"/>
      <c r="I411" s="521"/>
      <c r="J411" s="521"/>
      <c r="K411" s="518"/>
      <c r="L411" s="600"/>
      <c r="M411" s="600"/>
      <c r="N411" s="600"/>
      <c r="O411" s="600"/>
      <c r="P411" s="600"/>
      <c r="Q411" s="1004"/>
      <c r="R411" s="1502"/>
      <c r="S411" s="1428"/>
      <c r="T411" s="1502"/>
      <c r="U411" s="1428"/>
      <c r="V411" s="1502"/>
      <c r="W411" s="1004"/>
      <c r="X411" s="2851"/>
      <c r="Y411" s="2852"/>
      <c r="Z411" s="2852"/>
      <c r="AA411" s="2853"/>
      <c r="AB411" s="2854"/>
      <c r="AC411" s="2854"/>
      <c r="AD411" s="2854"/>
      <c r="AE411" s="2855"/>
      <c r="AF411" s="2853"/>
      <c r="AG411" s="2854"/>
      <c r="AH411" s="2854"/>
      <c r="AI411" s="2854"/>
      <c r="AJ411" s="2855"/>
      <c r="AK411" s="2853"/>
      <c r="AL411" s="2854"/>
      <c r="AM411" s="2854"/>
      <c r="AN411" s="2854"/>
      <c r="AO411" s="2855"/>
      <c r="AP411" s="2853"/>
      <c r="AQ411" s="2854"/>
      <c r="AR411" s="2854"/>
      <c r="AS411" s="2854"/>
      <c r="AT411" s="2855"/>
      <c r="AU411" s="1133"/>
      <c r="AV411" s="1185"/>
      <c r="AW411" s="1185"/>
      <c r="AX411" s="1135"/>
      <c r="AY411" s="1135"/>
      <c r="AZ411" s="1185"/>
      <c r="BA411" s="1136"/>
      <c r="BB411" s="1136"/>
      <c r="BC411" s="1137"/>
      <c r="BD411" s="18"/>
    </row>
    <row r="412" spans="2:56" s="139" customFormat="1" ht="20.100000000000001" customHeight="1" thickBot="1">
      <c r="B412" s="1359" t="b">
        <f t="shared" si="103"/>
        <v>0</v>
      </c>
      <c r="C412" s="1186" t="s">
        <v>1557</v>
      </c>
      <c r="D412" s="1186"/>
      <c r="E412" s="1186"/>
      <c r="F412" s="755" t="s">
        <v>156</v>
      </c>
      <c r="G412" s="1008"/>
      <c r="H412" s="1009" t="s">
        <v>1558</v>
      </c>
      <c r="I412" s="1009"/>
      <c r="J412" s="1187"/>
      <c r="K412" s="758" t="s">
        <v>156</v>
      </c>
      <c r="L412" s="1188">
        <f>IFERROR(L413/L414*100,"-")</f>
        <v>40.019095388033222</v>
      </c>
      <c r="M412" s="1189"/>
      <c r="N412" s="1188">
        <f>IFERROR(N413/N414*100,"-")</f>
        <v>48.507536747687816</v>
      </c>
      <c r="O412" s="1189"/>
      <c r="P412" s="1190" t="str">
        <f>IFERROR(P413/P414*100,"-")</f>
        <v>-</v>
      </c>
      <c r="Q412" s="1045"/>
      <c r="R412" s="1509">
        <f>IFERROR(R413/R414*100,"-")</f>
        <v>40.019095388033222</v>
      </c>
      <c r="S412" s="1449"/>
      <c r="T412" s="1509">
        <f>IFERROR(T413/T414*100,"-")</f>
        <v>48.507536747687816</v>
      </c>
      <c r="U412" s="1449"/>
      <c r="V412" s="1509">
        <v>33.621514197458332</v>
      </c>
      <c r="W412" s="2097"/>
      <c r="X412" s="2859"/>
      <c r="Y412" s="2861"/>
      <c r="Z412" s="2934"/>
      <c r="AA412" s="2859"/>
      <c r="AB412" s="2935"/>
      <c r="AC412" s="2861"/>
      <c r="AD412" s="2935"/>
      <c r="AE412" s="2862"/>
      <c r="AF412" s="2859"/>
      <c r="AG412" s="2935"/>
      <c r="AH412" s="2861"/>
      <c r="AI412" s="2932"/>
      <c r="AJ412" s="2862"/>
      <c r="AK412" s="2859"/>
      <c r="AL412" s="2936"/>
      <c r="AM412" s="2861"/>
      <c r="AN412" s="2936"/>
      <c r="AO412" s="2862"/>
      <c r="AP412" s="2859"/>
      <c r="AQ412" s="2860"/>
      <c r="AR412" s="2861"/>
      <c r="AS412" s="2860"/>
      <c r="AT412" s="2862"/>
      <c r="AU412" s="2491" t="s">
        <v>1559</v>
      </c>
      <c r="AV412" s="1194" t="s">
        <v>1560</v>
      </c>
      <c r="AW412" s="758" t="s">
        <v>37</v>
      </c>
      <c r="AX412" s="534"/>
      <c r="AY412" s="534"/>
      <c r="AZ412" s="299" t="s">
        <v>193</v>
      </c>
      <c r="BA412" s="277" t="s">
        <v>1561</v>
      </c>
      <c r="BB412" s="154"/>
      <c r="BC412" s="1195"/>
      <c r="BD412" s="10"/>
    </row>
    <row r="413" spans="2:56" s="139" customFormat="1" ht="20.100000000000001" customHeight="1">
      <c r="B413" s="1360" t="b">
        <f t="shared" si="103"/>
        <v>0</v>
      </c>
      <c r="C413" s="1388"/>
      <c r="D413" s="1196" t="s">
        <v>1562</v>
      </c>
      <c r="E413" s="1197"/>
      <c r="F413" s="105" t="s">
        <v>1563</v>
      </c>
      <c r="G413" s="743"/>
      <c r="H413" s="1069"/>
      <c r="I413" s="457" t="s">
        <v>1564</v>
      </c>
      <c r="J413" s="457"/>
      <c r="K413" s="109" t="s">
        <v>1868</v>
      </c>
      <c r="L413" s="1198">
        <v>16330477</v>
      </c>
      <c r="M413" s="1199"/>
      <c r="N413" s="1198">
        <v>23148659</v>
      </c>
      <c r="O413" s="1200"/>
      <c r="P413" s="94"/>
      <c r="Q413" s="1045"/>
      <c r="R413" s="1461">
        <v>16330477</v>
      </c>
      <c r="S413" s="1522">
        <v>0.40019095388033221</v>
      </c>
      <c r="T413" s="1461">
        <v>23148659</v>
      </c>
      <c r="U413" s="1538">
        <v>0.48507536747687818</v>
      </c>
      <c r="V413" s="1461">
        <v>41163345</v>
      </c>
      <c r="W413" s="2097"/>
      <c r="X413" s="2897"/>
      <c r="Y413" s="2899"/>
      <c r="Z413" s="2928"/>
      <c r="AA413" s="2897"/>
      <c r="AB413" s="2898"/>
      <c r="AC413" s="2899"/>
      <c r="AD413" s="2898"/>
      <c r="AE413" s="2900"/>
      <c r="AF413" s="2897"/>
      <c r="AG413" s="2898"/>
      <c r="AH413" s="2899"/>
      <c r="AI413" s="2898"/>
      <c r="AJ413" s="2900"/>
      <c r="AK413" s="2897"/>
      <c r="AL413" s="2937"/>
      <c r="AM413" s="2899"/>
      <c r="AN413" s="2937"/>
      <c r="AO413" s="2900"/>
      <c r="AP413" s="2897"/>
      <c r="AQ413" s="2898"/>
      <c r="AR413" s="2899"/>
      <c r="AS413" s="2898"/>
      <c r="AT413" s="2900"/>
      <c r="AU413" s="2492"/>
      <c r="AV413" s="1202"/>
      <c r="AW413" s="162" t="s">
        <v>37</v>
      </c>
      <c r="AX413" s="547"/>
      <c r="AY413" s="547"/>
      <c r="AZ413" s="299" t="s">
        <v>193</v>
      </c>
      <c r="BA413" s="277" t="s">
        <v>1561</v>
      </c>
      <c r="BB413" s="154"/>
      <c r="BC413" s="1195"/>
      <c r="BD413" s="10"/>
    </row>
    <row r="414" spans="2:56" s="139" customFormat="1" ht="20.100000000000001" customHeight="1">
      <c r="B414" s="1360" t="b">
        <f t="shared" si="103"/>
        <v>0</v>
      </c>
      <c r="C414" s="1389"/>
      <c r="D414" s="1196" t="s">
        <v>1567</v>
      </c>
      <c r="E414" s="1203"/>
      <c r="F414" s="105" t="s">
        <v>1563</v>
      </c>
      <c r="G414" s="945"/>
      <c r="H414" s="1099"/>
      <c r="I414" s="457" t="s">
        <v>1568</v>
      </c>
      <c r="J414" s="457"/>
      <c r="K414" s="109" t="s">
        <v>1868</v>
      </c>
      <c r="L414" s="1198">
        <v>40806712</v>
      </c>
      <c r="M414" s="1199"/>
      <c r="N414" s="1198">
        <v>47721778</v>
      </c>
      <c r="O414" s="1204"/>
      <c r="P414" s="94"/>
      <c r="Q414" s="1045"/>
      <c r="R414" s="1461">
        <v>40806712</v>
      </c>
      <c r="S414" s="1522">
        <v>0</v>
      </c>
      <c r="T414" s="1461">
        <v>47721778</v>
      </c>
      <c r="U414" s="1538">
        <v>0</v>
      </c>
      <c r="V414" s="1461">
        <v>122431562</v>
      </c>
      <c r="W414" s="2097"/>
      <c r="X414" s="2897"/>
      <c r="Y414" s="2899"/>
      <c r="Z414" s="2928"/>
      <c r="AA414" s="2897"/>
      <c r="AB414" s="2898"/>
      <c r="AC414" s="2899"/>
      <c r="AD414" s="2898"/>
      <c r="AE414" s="2900"/>
      <c r="AF414" s="2897"/>
      <c r="AG414" s="2898"/>
      <c r="AH414" s="2899"/>
      <c r="AI414" s="2898"/>
      <c r="AJ414" s="2900"/>
      <c r="AK414" s="2897"/>
      <c r="AL414" s="2937"/>
      <c r="AM414" s="2899"/>
      <c r="AN414" s="2937"/>
      <c r="AO414" s="2900"/>
      <c r="AP414" s="2897"/>
      <c r="AQ414" s="2898"/>
      <c r="AR414" s="2899"/>
      <c r="AS414" s="2898"/>
      <c r="AT414" s="2900"/>
      <c r="AU414" s="2468"/>
      <c r="AV414" s="276"/>
      <c r="AW414" s="162" t="s">
        <v>37</v>
      </c>
      <c r="AX414" s="547"/>
      <c r="AY414" s="547"/>
      <c r="AZ414" s="299" t="s">
        <v>193</v>
      </c>
      <c r="BA414" s="277" t="s">
        <v>1561</v>
      </c>
      <c r="BB414" s="154"/>
      <c r="BC414" s="1195"/>
      <c r="BD414" s="10"/>
    </row>
    <row r="415" spans="2:56" s="139" customFormat="1" ht="20.100000000000001" customHeight="1">
      <c r="B415" s="1360" t="b">
        <f t="shared" si="103"/>
        <v>0</v>
      </c>
      <c r="C415" s="924" t="s">
        <v>1569</v>
      </c>
      <c r="D415" s="924"/>
      <c r="E415" s="924"/>
      <c r="F415" s="105" t="s">
        <v>156</v>
      </c>
      <c r="G415" s="358"/>
      <c r="H415" s="359" t="s">
        <v>1570</v>
      </c>
      <c r="I415" s="359"/>
      <c r="J415" s="684"/>
      <c r="K415" s="109" t="s">
        <v>156</v>
      </c>
      <c r="L415" s="1205">
        <f>IFERROR(L416/L417*100,"-")</f>
        <v>0</v>
      </c>
      <c r="M415" s="1206"/>
      <c r="N415" s="1205">
        <f>IFERROR(N416/N417*100,"-")</f>
        <v>0</v>
      </c>
      <c r="O415" s="1204"/>
      <c r="P415" s="1205" t="str">
        <f>IFERROR(P416/P417*100,"-")</f>
        <v>-</v>
      </c>
      <c r="Q415" s="1045"/>
      <c r="R415" s="1510">
        <f>IFERROR(R416/R417*100,"-")</f>
        <v>0</v>
      </c>
      <c r="S415" s="1668"/>
      <c r="T415" s="1510">
        <f>IFERROR(T416/T417*100,"-")</f>
        <v>0</v>
      </c>
      <c r="U415" s="1668"/>
      <c r="V415" s="1510">
        <v>0</v>
      </c>
      <c r="W415" s="2097"/>
      <c r="X415" s="2938"/>
      <c r="Y415" s="2939"/>
      <c r="Z415" s="2940"/>
      <c r="AA415" s="2938"/>
      <c r="AB415" s="2941"/>
      <c r="AC415" s="2939"/>
      <c r="AD415" s="2941"/>
      <c r="AE415" s="2942"/>
      <c r="AF415" s="2938"/>
      <c r="AG415" s="2941"/>
      <c r="AH415" s="2939"/>
      <c r="AI415" s="2941"/>
      <c r="AJ415" s="2942"/>
      <c r="AK415" s="2938"/>
      <c r="AL415" s="2943"/>
      <c r="AM415" s="2939"/>
      <c r="AN415" s="2943"/>
      <c r="AO415" s="2942"/>
      <c r="AP415" s="2938"/>
      <c r="AQ415" s="2898"/>
      <c r="AR415" s="2939"/>
      <c r="AS415" s="2898"/>
      <c r="AT415" s="2942"/>
      <c r="AU415" s="2492" t="s">
        <v>1571</v>
      </c>
      <c r="AV415" s="1202" t="s">
        <v>1572</v>
      </c>
      <c r="AW415" s="162" t="s">
        <v>37</v>
      </c>
      <c r="AX415" s="547"/>
      <c r="AY415" s="547"/>
      <c r="AZ415" s="299" t="s">
        <v>193</v>
      </c>
      <c r="BA415" s="277" t="s">
        <v>1573</v>
      </c>
      <c r="BB415" s="154"/>
      <c r="BC415" s="1195"/>
      <c r="BD415" s="10"/>
    </row>
    <row r="416" spans="2:56" s="139" customFormat="1" ht="20.100000000000001" customHeight="1">
      <c r="B416" s="1360" t="b">
        <f t="shared" si="103"/>
        <v>0</v>
      </c>
      <c r="C416" s="1210"/>
      <c r="D416" s="936" t="s">
        <v>1574</v>
      </c>
      <c r="E416" s="924"/>
      <c r="F416" s="105" t="s">
        <v>1563</v>
      </c>
      <c r="G416" s="1211"/>
      <c r="H416" s="963"/>
      <c r="I416" s="932" t="s">
        <v>1575</v>
      </c>
      <c r="J416" s="993"/>
      <c r="K416" s="109" t="s">
        <v>1868</v>
      </c>
      <c r="L416" s="1204">
        <v>0</v>
      </c>
      <c r="M416" s="1204"/>
      <c r="N416" s="1204">
        <v>0</v>
      </c>
      <c r="O416" s="1204"/>
      <c r="P416" s="1212"/>
      <c r="Q416" s="1045"/>
      <c r="R416" s="1461">
        <v>0</v>
      </c>
      <c r="S416" s="1522">
        <v>0</v>
      </c>
      <c r="T416" s="1461">
        <v>0</v>
      </c>
      <c r="U416" s="1538">
        <v>0</v>
      </c>
      <c r="V416" s="1461">
        <v>0</v>
      </c>
      <c r="W416" s="2097"/>
      <c r="X416" s="2938"/>
      <c r="Y416" s="2939"/>
      <c r="Z416" s="2940"/>
      <c r="AA416" s="2938"/>
      <c r="AB416" s="2943"/>
      <c r="AC416" s="2939"/>
      <c r="AD416" s="2943"/>
      <c r="AE416" s="2942"/>
      <c r="AF416" s="2938"/>
      <c r="AG416" s="2943"/>
      <c r="AH416" s="2939"/>
      <c r="AI416" s="2943"/>
      <c r="AJ416" s="2942"/>
      <c r="AK416" s="2938"/>
      <c r="AL416" s="2943"/>
      <c r="AM416" s="2939"/>
      <c r="AN416" s="2943"/>
      <c r="AO416" s="2942"/>
      <c r="AP416" s="2938"/>
      <c r="AQ416" s="2898"/>
      <c r="AR416" s="2939"/>
      <c r="AS416" s="2898"/>
      <c r="AT416" s="2900"/>
      <c r="AU416" s="2492"/>
      <c r="AV416" s="1202"/>
      <c r="AW416" s="162" t="s">
        <v>37</v>
      </c>
      <c r="AX416" s="547"/>
      <c r="AY416" s="547"/>
      <c r="AZ416" s="299" t="s">
        <v>193</v>
      </c>
      <c r="BA416" s="277" t="s">
        <v>1573</v>
      </c>
      <c r="BB416" s="154"/>
      <c r="BC416" s="1195"/>
      <c r="BD416" s="10"/>
    </row>
    <row r="417" spans="2:56" s="139" customFormat="1" ht="20.100000000000001" customHeight="1">
      <c r="B417" s="1360" t="b">
        <f t="shared" si="103"/>
        <v>0</v>
      </c>
      <c r="C417" s="1210"/>
      <c r="D417" s="1216" t="s">
        <v>1567</v>
      </c>
      <c r="E417" s="1217"/>
      <c r="F417" s="105" t="s">
        <v>1563</v>
      </c>
      <c r="G417" s="1218"/>
      <c r="H417" s="964"/>
      <c r="I417" s="1219" t="s">
        <v>1576</v>
      </c>
      <c r="J417" s="1220"/>
      <c r="K417" s="109" t="s">
        <v>1868</v>
      </c>
      <c r="L417" s="1198">
        <v>40806712</v>
      </c>
      <c r="M417" s="1204"/>
      <c r="N417" s="1198">
        <v>47721778</v>
      </c>
      <c r="O417" s="1204"/>
      <c r="P417" s="94"/>
      <c r="Q417" s="1045"/>
      <c r="R417" s="1461">
        <v>40806712</v>
      </c>
      <c r="S417" s="1522">
        <v>0</v>
      </c>
      <c r="T417" s="1461">
        <v>47721778</v>
      </c>
      <c r="U417" s="1538">
        <v>0</v>
      </c>
      <c r="V417" s="1461">
        <v>122431562</v>
      </c>
      <c r="W417" s="2097"/>
      <c r="X417" s="2897"/>
      <c r="Y417" s="2899"/>
      <c r="Z417" s="2928"/>
      <c r="AA417" s="2897"/>
      <c r="AB417" s="2898"/>
      <c r="AC417" s="2899"/>
      <c r="AD417" s="2898"/>
      <c r="AE417" s="2900"/>
      <c r="AF417" s="2897"/>
      <c r="AG417" s="2898"/>
      <c r="AH417" s="2899"/>
      <c r="AI417" s="2898"/>
      <c r="AJ417" s="2900"/>
      <c r="AK417" s="2897"/>
      <c r="AL417" s="2937"/>
      <c r="AM417" s="2899"/>
      <c r="AN417" s="2944"/>
      <c r="AO417" s="2900"/>
      <c r="AP417" s="2897"/>
      <c r="AQ417" s="2898"/>
      <c r="AR417" s="2899"/>
      <c r="AS417" s="2898"/>
      <c r="AT417" s="2900"/>
      <c r="AU417" s="2468"/>
      <c r="AV417" s="276"/>
      <c r="AW417" s="162" t="s">
        <v>37</v>
      </c>
      <c r="AX417" s="547"/>
      <c r="AY417" s="547"/>
      <c r="AZ417" s="299" t="s">
        <v>193</v>
      </c>
      <c r="BA417" s="277" t="s">
        <v>1573</v>
      </c>
      <c r="BB417" s="154"/>
      <c r="BC417" s="1195"/>
      <c r="BD417" s="10"/>
    </row>
    <row r="418" spans="2:56" s="139" customFormat="1" ht="20.100000000000001" customHeight="1">
      <c r="B418" s="1360" t="b">
        <f t="shared" si="103"/>
        <v>0</v>
      </c>
      <c r="C418" s="924" t="s">
        <v>1577</v>
      </c>
      <c r="D418" s="924"/>
      <c r="E418" s="924"/>
      <c r="F418" s="1222" t="s">
        <v>156</v>
      </c>
      <c r="G418" s="1223"/>
      <c r="H418" s="925" t="s">
        <v>1578</v>
      </c>
      <c r="I418" s="926"/>
      <c r="J418" s="1224"/>
      <c r="K418" s="873" t="s">
        <v>156</v>
      </c>
      <c r="L418" s="1225">
        <f>IFERROR(L419/L420*100,"-")</f>
        <v>0</v>
      </c>
      <c r="M418" s="1204"/>
      <c r="N418" s="1225">
        <f>IFERROR(N419/N420*100,"-")</f>
        <v>0</v>
      </c>
      <c r="O418" s="1204"/>
      <c r="P418" s="1225" t="str">
        <f>IFERROR(P419/P420*100,"-")</f>
        <v>-</v>
      </c>
      <c r="Q418" s="1045"/>
      <c r="R418" s="1511">
        <f>IFERROR(R419/R420*100,"-")</f>
        <v>0</v>
      </c>
      <c r="S418" s="1669"/>
      <c r="T418" s="1511">
        <f>IFERROR(T419/T420*100,"-")</f>
        <v>0</v>
      </c>
      <c r="U418" s="1669"/>
      <c r="V418" s="1511" t="s">
        <v>169</v>
      </c>
      <c r="W418" s="2097"/>
      <c r="X418" s="2945"/>
      <c r="Y418" s="2946"/>
      <c r="Z418" s="2947"/>
      <c r="AA418" s="2945"/>
      <c r="AB418" s="2948"/>
      <c r="AC418" s="2946"/>
      <c r="AD418" s="2948"/>
      <c r="AE418" s="2949"/>
      <c r="AF418" s="2945"/>
      <c r="AG418" s="2948"/>
      <c r="AH418" s="2946"/>
      <c r="AI418" s="2948"/>
      <c r="AJ418" s="2949"/>
      <c r="AK418" s="2945"/>
      <c r="AL418" s="2950"/>
      <c r="AM418" s="2946"/>
      <c r="AN418" s="2950"/>
      <c r="AO418" s="2949"/>
      <c r="AP418" s="2945"/>
      <c r="AQ418" s="2921"/>
      <c r="AR418" s="2946"/>
      <c r="AS418" s="2921"/>
      <c r="AT418" s="2949"/>
      <c r="AU418" s="2493" t="s">
        <v>1579</v>
      </c>
      <c r="AV418" s="1230" t="s">
        <v>1580</v>
      </c>
      <c r="AW418" s="1034" t="s">
        <v>37</v>
      </c>
      <c r="AX418" s="878"/>
      <c r="AY418" s="878"/>
      <c r="AZ418" s="299" t="s">
        <v>193</v>
      </c>
      <c r="BA418" s="277" t="s">
        <v>1581</v>
      </c>
      <c r="BB418" s="154"/>
      <c r="BC418" s="1195"/>
      <c r="BD418" s="10"/>
    </row>
    <row r="419" spans="2:56" s="139" customFormat="1" ht="20.100000000000001" customHeight="1">
      <c r="B419" s="1360" t="b">
        <f t="shared" si="103"/>
        <v>0</v>
      </c>
      <c r="C419" s="1210"/>
      <c r="D419" s="936" t="s">
        <v>1582</v>
      </c>
      <c r="E419" s="924"/>
      <c r="F419" s="105" t="s">
        <v>1563</v>
      </c>
      <c r="G419" s="1211"/>
      <c r="H419" s="963"/>
      <c r="I419" s="932" t="s">
        <v>1583</v>
      </c>
      <c r="J419" s="993"/>
      <c r="K419" s="109" t="s">
        <v>1868</v>
      </c>
      <c r="L419" s="1204">
        <v>0</v>
      </c>
      <c r="M419" s="1204"/>
      <c r="N419" s="1204">
        <v>0</v>
      </c>
      <c r="O419" s="1204"/>
      <c r="P419" s="1212"/>
      <c r="Q419" s="1045"/>
      <c r="R419" s="1461">
        <v>0</v>
      </c>
      <c r="S419" s="1522"/>
      <c r="T419" s="1461">
        <v>0</v>
      </c>
      <c r="U419" s="1538"/>
      <c r="V419" s="1461">
        <v>0</v>
      </c>
      <c r="W419" s="2097"/>
      <c r="X419" s="2938"/>
      <c r="Y419" s="2939"/>
      <c r="Z419" s="2940"/>
      <c r="AA419" s="2938"/>
      <c r="AB419" s="2943"/>
      <c r="AC419" s="2939"/>
      <c r="AD419" s="2943"/>
      <c r="AE419" s="2942"/>
      <c r="AF419" s="2938"/>
      <c r="AG419" s="2943"/>
      <c r="AH419" s="2939"/>
      <c r="AI419" s="2943"/>
      <c r="AJ419" s="2942"/>
      <c r="AK419" s="2938"/>
      <c r="AL419" s="2943"/>
      <c r="AM419" s="2939"/>
      <c r="AN419" s="2943"/>
      <c r="AO419" s="2942"/>
      <c r="AP419" s="2938"/>
      <c r="AQ419" s="2898"/>
      <c r="AR419" s="2939"/>
      <c r="AS419" s="2898"/>
      <c r="AT419" s="2900"/>
      <c r="AU419" s="2492"/>
      <c r="AV419" s="1202"/>
      <c r="AW419" s="162" t="s">
        <v>37</v>
      </c>
      <c r="AX419" s="547"/>
      <c r="AY419" s="547"/>
      <c r="AZ419" s="299" t="s">
        <v>193</v>
      </c>
      <c r="BA419" s="277" t="s">
        <v>1581</v>
      </c>
      <c r="BB419" s="154"/>
      <c r="BC419" s="1195"/>
      <c r="BD419" s="10"/>
    </row>
    <row r="420" spans="2:56" s="139" customFormat="1" ht="20.100000000000001" customHeight="1">
      <c r="B420" s="1360" t="b">
        <f t="shared" si="103"/>
        <v>0</v>
      </c>
      <c r="C420" s="1210"/>
      <c r="D420" s="1216" t="s">
        <v>1584</v>
      </c>
      <c r="E420" s="1217"/>
      <c r="F420" s="105" t="s">
        <v>1563</v>
      </c>
      <c r="G420" s="1218"/>
      <c r="H420" s="964"/>
      <c r="I420" s="1219" t="s">
        <v>1585</v>
      </c>
      <c r="J420" s="1220"/>
      <c r="K420" s="109" t="s">
        <v>1868</v>
      </c>
      <c r="L420" s="1198">
        <v>29176998</v>
      </c>
      <c r="M420" s="1204"/>
      <c r="N420" s="1198">
        <v>29176998</v>
      </c>
      <c r="O420" s="1204"/>
      <c r="P420" s="94"/>
      <c r="Q420" s="1045"/>
      <c r="R420" s="1474">
        <v>29176998</v>
      </c>
      <c r="S420" s="1537"/>
      <c r="T420" s="1474">
        <v>29176998</v>
      </c>
      <c r="U420" s="1541"/>
      <c r="V420" s="1474">
        <v>41134270</v>
      </c>
      <c r="W420" s="2097"/>
      <c r="X420" s="2923"/>
      <c r="Y420" s="2924"/>
      <c r="Z420" s="2925"/>
      <c r="AA420" s="2923"/>
      <c r="AB420" s="2926"/>
      <c r="AC420" s="2924"/>
      <c r="AD420" s="2926"/>
      <c r="AE420" s="2927"/>
      <c r="AF420" s="2923"/>
      <c r="AG420" s="2926"/>
      <c r="AH420" s="2924"/>
      <c r="AI420" s="2926"/>
      <c r="AJ420" s="2927"/>
      <c r="AK420" s="2897"/>
      <c r="AL420" s="2937"/>
      <c r="AM420" s="2899"/>
      <c r="AN420" s="2944"/>
      <c r="AO420" s="2900"/>
      <c r="AP420" s="2923"/>
      <c r="AQ420" s="2926"/>
      <c r="AR420" s="2924"/>
      <c r="AS420" s="2926"/>
      <c r="AT420" s="2927"/>
      <c r="AU420" s="1052"/>
      <c r="AV420" s="714"/>
      <c r="AW420" s="165" t="s">
        <v>37</v>
      </c>
      <c r="AX420" s="1101"/>
      <c r="AY420" s="1101"/>
      <c r="AZ420" s="299" t="s">
        <v>193</v>
      </c>
      <c r="BA420" s="277" t="s">
        <v>1581</v>
      </c>
      <c r="BB420" s="1231"/>
      <c r="BC420" s="1232"/>
      <c r="BD420" s="10"/>
    </row>
    <row r="421" spans="2:56" s="139" customFormat="1" ht="20.100000000000001" customHeight="1">
      <c r="B421" s="1360" t="b">
        <f t="shared" si="103"/>
        <v>0</v>
      </c>
      <c r="C421" s="924" t="s">
        <v>1586</v>
      </c>
      <c r="D421" s="1233"/>
      <c r="E421" s="1233"/>
      <c r="F421" s="1234" t="s">
        <v>156</v>
      </c>
      <c r="G421" s="1223"/>
      <c r="H421" s="925" t="s">
        <v>1587</v>
      </c>
      <c r="I421" s="926"/>
      <c r="J421" s="992"/>
      <c r="K421" s="109" t="s">
        <v>156</v>
      </c>
      <c r="L421" s="1235" t="s">
        <v>169</v>
      </c>
      <c r="M421" s="1204"/>
      <c r="N421" s="1235" t="s">
        <v>169</v>
      </c>
      <c r="O421" s="1204"/>
      <c r="P421" s="1236"/>
      <c r="Q421" s="1045"/>
      <c r="R421" s="1513" t="s">
        <v>169</v>
      </c>
      <c r="S421" s="1213" t="s">
        <v>1869</v>
      </c>
      <c r="T421" s="1513" t="s">
        <v>169</v>
      </c>
      <c r="U421" s="1214" t="s">
        <v>1869</v>
      </c>
      <c r="V421" s="1513" t="s">
        <v>169</v>
      </c>
      <c r="W421" s="2097"/>
      <c r="X421" s="2897"/>
      <c r="Y421" s="2899"/>
      <c r="Z421" s="2928"/>
      <c r="AA421" s="2897"/>
      <c r="AB421" s="2898"/>
      <c r="AC421" s="2899"/>
      <c r="AD421" s="2898"/>
      <c r="AE421" s="2900"/>
      <c r="AF421" s="2897"/>
      <c r="AG421" s="2898"/>
      <c r="AH421" s="2899"/>
      <c r="AI421" s="2898"/>
      <c r="AJ421" s="2900"/>
      <c r="AK421" s="2897"/>
      <c r="AL421" s="2937"/>
      <c r="AM421" s="2899"/>
      <c r="AN421" s="2944"/>
      <c r="AO421" s="2951"/>
      <c r="AP421" s="2897"/>
      <c r="AQ421" s="2952"/>
      <c r="AR421" s="2953"/>
      <c r="AS421" s="2954"/>
      <c r="AT421" s="2900"/>
      <c r="AU421" s="2468"/>
      <c r="AV421" s="1242"/>
      <c r="AW421" s="285" t="s">
        <v>37</v>
      </c>
      <c r="AX421" s="547"/>
      <c r="AY421" s="546"/>
      <c r="AZ421" s="299" t="s">
        <v>193</v>
      </c>
      <c r="BA421" s="1243" t="s">
        <v>1588</v>
      </c>
      <c r="BB421" s="265"/>
      <c r="BC421" s="1244"/>
      <c r="BD421" s="10"/>
    </row>
    <row r="422" spans="2:56" s="139" customFormat="1" ht="20.100000000000001" customHeight="1">
      <c r="B422" s="1360" t="b">
        <f t="shared" si="103"/>
        <v>0</v>
      </c>
      <c r="C422" s="924" t="s">
        <v>1589</v>
      </c>
      <c r="D422" s="924"/>
      <c r="E422" s="924"/>
      <c r="F422" s="105" t="s">
        <v>156</v>
      </c>
      <c r="G422" s="1211"/>
      <c r="H422" s="1245" t="s">
        <v>1590</v>
      </c>
      <c r="I422" s="1246"/>
      <c r="J422" s="1247"/>
      <c r="K422" s="109" t="s">
        <v>156</v>
      </c>
      <c r="L422" s="1248">
        <f>IFERROR(((L423-L424+L425)/L423)*100,"-")</f>
        <v>0.59523809523809523</v>
      </c>
      <c r="M422" s="1204"/>
      <c r="N422" s="1248">
        <f>IFERROR(((N423-N424+N425)/N423)*100,"-")</f>
        <v>32.335329341317362</v>
      </c>
      <c r="O422" s="1204"/>
      <c r="P422" s="1205" t="str">
        <f>IFERROR(((P423-P424+P425)/P423)*100,"-")</f>
        <v>-</v>
      </c>
      <c r="Q422" s="1045"/>
      <c r="R422" s="1510">
        <f>IFERROR(((R423-R424+R425)/R423)*100,"-")</f>
        <v>0.59523809523809523</v>
      </c>
      <c r="S422" s="1669"/>
      <c r="T422" s="1511">
        <f>IFERROR(((T423-T424+T425)/T423)*100,"-")</f>
        <v>32.335329341317362</v>
      </c>
      <c r="U422" s="1669"/>
      <c r="V422" s="1511">
        <v>-333.39100346020763</v>
      </c>
      <c r="W422" s="2097"/>
      <c r="X422" s="2945"/>
      <c r="Y422" s="2946"/>
      <c r="Z422" s="2947"/>
      <c r="AA422" s="2945"/>
      <c r="AB422" s="2948"/>
      <c r="AC422" s="2946"/>
      <c r="AD422" s="2948"/>
      <c r="AE422" s="2949"/>
      <c r="AF422" s="2945"/>
      <c r="AG422" s="2948"/>
      <c r="AH422" s="2946"/>
      <c r="AI422" s="2948"/>
      <c r="AJ422" s="2949"/>
      <c r="AK422" s="2938"/>
      <c r="AL422" s="2943"/>
      <c r="AM422" s="2939"/>
      <c r="AN422" s="2943"/>
      <c r="AO422" s="2942"/>
      <c r="AP422" s="2945"/>
      <c r="AQ422" s="2921"/>
      <c r="AR422" s="2946"/>
      <c r="AS422" s="2921"/>
      <c r="AT422" s="2949"/>
      <c r="AU422" s="2493" t="s">
        <v>1591</v>
      </c>
      <c r="AV422" s="1230" t="s">
        <v>1592</v>
      </c>
      <c r="AW422" s="1034" t="s">
        <v>37</v>
      </c>
      <c r="AX422" s="878"/>
      <c r="AY422" s="878"/>
      <c r="AZ422" s="299" t="s">
        <v>193</v>
      </c>
      <c r="BA422" s="277" t="s">
        <v>1593</v>
      </c>
      <c r="BB422" s="154"/>
      <c r="BC422" s="982"/>
      <c r="BD422" s="10"/>
    </row>
    <row r="423" spans="2:56" s="139" customFormat="1" ht="20.100000000000001" customHeight="1">
      <c r="B423" s="1360" t="b">
        <f t="shared" si="103"/>
        <v>0</v>
      </c>
      <c r="C423" s="1400"/>
      <c r="D423" s="932" t="s">
        <v>1594</v>
      </c>
      <c r="E423" s="926"/>
      <c r="F423" s="105" t="s">
        <v>1595</v>
      </c>
      <c r="G423" s="1249"/>
      <c r="H423" s="1250"/>
      <c r="I423" s="932" t="s">
        <v>1596</v>
      </c>
      <c r="J423" s="993"/>
      <c r="K423" s="109" t="s">
        <v>1597</v>
      </c>
      <c r="L423" s="1198">
        <v>25200</v>
      </c>
      <c r="M423" s="1204"/>
      <c r="N423" s="1198">
        <v>25050</v>
      </c>
      <c r="O423" s="1204"/>
      <c r="P423" s="1212"/>
      <c r="Q423" s="1045"/>
      <c r="R423" s="1464">
        <v>25200</v>
      </c>
      <c r="S423" s="1522"/>
      <c r="T423" s="1464">
        <v>25050</v>
      </c>
      <c r="U423" s="1538"/>
      <c r="V423" s="1464">
        <v>5780</v>
      </c>
      <c r="W423" s="2097"/>
      <c r="X423" s="2938"/>
      <c r="Y423" s="2939"/>
      <c r="Z423" s="2940"/>
      <c r="AA423" s="2938"/>
      <c r="AB423" s="2943"/>
      <c r="AC423" s="2939"/>
      <c r="AD423" s="2943"/>
      <c r="AE423" s="2942"/>
      <c r="AF423" s="2938"/>
      <c r="AG423" s="2943"/>
      <c r="AH423" s="2939"/>
      <c r="AI423" s="2943"/>
      <c r="AJ423" s="2942"/>
      <c r="AK423" s="2938"/>
      <c r="AL423" s="2943"/>
      <c r="AM423" s="2939"/>
      <c r="AN423" s="2943"/>
      <c r="AO423" s="2942"/>
      <c r="AP423" s="2938"/>
      <c r="AQ423" s="2898"/>
      <c r="AR423" s="2939"/>
      <c r="AS423" s="2898"/>
      <c r="AT423" s="2900"/>
      <c r="AU423" s="2492"/>
      <c r="AV423" s="1202"/>
      <c r="AW423" s="162" t="s">
        <v>37</v>
      </c>
      <c r="AX423" s="547"/>
      <c r="AY423" s="547"/>
      <c r="AZ423" s="299" t="s">
        <v>193</v>
      </c>
      <c r="BA423" s="277" t="s">
        <v>1598</v>
      </c>
      <c r="BB423" s="154"/>
      <c r="BC423" s="1195"/>
      <c r="BD423" s="10"/>
    </row>
    <row r="424" spans="2:56" s="139" customFormat="1" ht="20.100000000000001" customHeight="1">
      <c r="B424" s="1360" t="b">
        <f t="shared" si="103"/>
        <v>0</v>
      </c>
      <c r="C424" s="1401"/>
      <c r="D424" s="1219" t="s">
        <v>1600</v>
      </c>
      <c r="E424" s="1251"/>
      <c r="F424" s="105" t="s">
        <v>1595</v>
      </c>
      <c r="G424" s="1252"/>
      <c r="H424" s="1253"/>
      <c r="I424" s="1254" t="s">
        <v>1601</v>
      </c>
      <c r="J424" s="1255"/>
      <c r="K424" s="109" t="s">
        <v>1597</v>
      </c>
      <c r="L424" s="1198">
        <v>25050</v>
      </c>
      <c r="M424" s="1199"/>
      <c r="N424" s="1198">
        <v>16950</v>
      </c>
      <c r="O424" s="1200"/>
      <c r="P424" s="94"/>
      <c r="Q424" s="1045"/>
      <c r="R424" s="1464">
        <v>25050</v>
      </c>
      <c r="S424" s="1522"/>
      <c r="T424" s="1464">
        <v>16950</v>
      </c>
      <c r="U424" s="1538"/>
      <c r="V424" s="1464">
        <v>25050</v>
      </c>
      <c r="W424" s="2097"/>
      <c r="X424" s="2897"/>
      <c r="Y424" s="2899"/>
      <c r="Z424" s="2928"/>
      <c r="AA424" s="2897"/>
      <c r="AB424" s="2898"/>
      <c r="AC424" s="2899"/>
      <c r="AD424" s="2898"/>
      <c r="AE424" s="2900"/>
      <c r="AF424" s="2897"/>
      <c r="AG424" s="2898"/>
      <c r="AH424" s="2899"/>
      <c r="AI424" s="2898"/>
      <c r="AJ424" s="2900"/>
      <c r="AK424" s="2897"/>
      <c r="AL424" s="2937"/>
      <c r="AM424" s="2899"/>
      <c r="AN424" s="2944"/>
      <c r="AO424" s="2900"/>
      <c r="AP424" s="2897"/>
      <c r="AQ424" s="2898"/>
      <c r="AR424" s="2899"/>
      <c r="AS424" s="2898"/>
      <c r="AT424" s="2900"/>
      <c r="AU424" s="2468"/>
      <c r="AV424" s="276"/>
      <c r="AW424" s="162" t="s">
        <v>37</v>
      </c>
      <c r="AX424" s="547"/>
      <c r="AY424" s="547"/>
      <c r="AZ424" s="299" t="s">
        <v>193</v>
      </c>
      <c r="BA424" s="277" t="s">
        <v>1598</v>
      </c>
      <c r="BB424" s="154"/>
      <c r="BC424" s="1195"/>
      <c r="BD424" s="10"/>
    </row>
    <row r="425" spans="2:56" s="139" customFormat="1" ht="20.100000000000001" customHeight="1" thickBot="1">
      <c r="B425" s="1361" t="b">
        <f t="shared" si="103"/>
        <v>0</v>
      </c>
      <c r="C425" s="1402"/>
      <c r="D425" s="1256" t="s">
        <v>1602</v>
      </c>
      <c r="E425" s="1257"/>
      <c r="F425" s="1258" t="s">
        <v>1595</v>
      </c>
      <c r="G425" s="1259"/>
      <c r="H425" s="1260"/>
      <c r="I425" s="1256" t="s">
        <v>1603</v>
      </c>
      <c r="J425" s="1257"/>
      <c r="K425" s="1261" t="s">
        <v>1597</v>
      </c>
      <c r="L425" s="1262">
        <v>0</v>
      </c>
      <c r="M425" s="1263"/>
      <c r="N425" s="1262">
        <v>0</v>
      </c>
      <c r="O425" s="1264"/>
      <c r="P425" s="1265"/>
      <c r="Q425" s="1161"/>
      <c r="R425" s="1467">
        <v>0</v>
      </c>
      <c r="S425" s="1542"/>
      <c r="T425" s="1467">
        <v>0</v>
      </c>
      <c r="U425" s="1543"/>
      <c r="V425" s="1467">
        <v>0</v>
      </c>
      <c r="W425" s="2100"/>
      <c r="X425" s="2929"/>
      <c r="Y425" s="2930"/>
      <c r="Z425" s="2931"/>
      <c r="AA425" s="2929"/>
      <c r="AB425" s="2932"/>
      <c r="AC425" s="2930"/>
      <c r="AD425" s="2932"/>
      <c r="AE425" s="2933"/>
      <c r="AF425" s="2929"/>
      <c r="AG425" s="2932"/>
      <c r="AH425" s="2930"/>
      <c r="AI425" s="2932"/>
      <c r="AJ425" s="2933"/>
      <c r="AK425" s="2929"/>
      <c r="AL425" s="2955"/>
      <c r="AM425" s="2930"/>
      <c r="AN425" s="2956"/>
      <c r="AO425" s="2933"/>
      <c r="AP425" s="2929"/>
      <c r="AQ425" s="2932"/>
      <c r="AR425" s="2930"/>
      <c r="AS425" s="2932"/>
      <c r="AT425" s="2933"/>
      <c r="AU425" s="2477"/>
      <c r="AV425" s="1271"/>
      <c r="AW425" s="165" t="s">
        <v>37</v>
      </c>
      <c r="AX425" s="1101"/>
      <c r="AY425" s="1101"/>
      <c r="AZ425" s="299" t="s">
        <v>193</v>
      </c>
      <c r="BA425" s="981" t="s">
        <v>1598</v>
      </c>
      <c r="BB425" s="1231"/>
      <c r="BC425" s="1232"/>
      <c r="BD425" s="10"/>
    </row>
    <row r="426" spans="2:56" ht="27" thickBot="1">
      <c r="B426" s="123" t="s">
        <v>1604</v>
      </c>
      <c r="C426" s="124"/>
      <c r="D426" s="124"/>
      <c r="E426" s="124"/>
      <c r="F426" s="78"/>
      <c r="G426" s="1272" t="s">
        <v>1440</v>
      </c>
      <c r="H426" s="1132"/>
      <c r="I426" s="1132"/>
      <c r="J426" s="1273"/>
      <c r="K426" s="518"/>
      <c r="L426" s="600"/>
      <c r="M426" s="600"/>
      <c r="N426" s="600"/>
      <c r="O426" s="600"/>
      <c r="P426" s="600"/>
      <c r="Q426" s="1004"/>
      <c r="R426" s="1485"/>
      <c r="S426" s="1447"/>
      <c r="T426" s="1485"/>
      <c r="U426" s="1447"/>
      <c r="V426" s="1485"/>
      <c r="W426" s="1004"/>
      <c r="X426" s="2851"/>
      <c r="Y426" s="2852"/>
      <c r="Z426" s="2852"/>
      <c r="AA426" s="2853"/>
      <c r="AB426" s="2854"/>
      <c r="AC426" s="2854"/>
      <c r="AD426" s="2854"/>
      <c r="AE426" s="2855"/>
      <c r="AF426" s="2853"/>
      <c r="AG426" s="2854"/>
      <c r="AH426" s="2854"/>
      <c r="AI426" s="2854"/>
      <c r="AJ426" s="2855"/>
      <c r="AK426" s="2853"/>
      <c r="AL426" s="2854"/>
      <c r="AM426" s="2854"/>
      <c r="AN426" s="2854"/>
      <c r="AO426" s="2855"/>
      <c r="AP426" s="2853"/>
      <c r="AQ426" s="2854"/>
      <c r="AR426" s="2854"/>
      <c r="AS426" s="2854"/>
      <c r="AT426" s="2855"/>
      <c r="AU426" s="80"/>
      <c r="AV426" s="1133"/>
      <c r="AW426" s="1274"/>
      <c r="AX426" s="129"/>
      <c r="AY426" s="129"/>
      <c r="AZ426" s="1274"/>
      <c r="BA426" s="328"/>
      <c r="BB426" s="328"/>
      <c r="BC426" s="1006"/>
      <c r="BD426" s="18"/>
    </row>
    <row r="427" spans="2:56" s="139" customFormat="1" ht="20.100000000000001" customHeight="1">
      <c r="B427" s="1662" t="str">
        <f>C427</f>
        <v>순자산 대비 관계사 우발채무 비율</v>
      </c>
      <c r="C427" s="1186" t="s">
        <v>1605</v>
      </c>
      <c r="D427" s="1186"/>
      <c r="E427" s="1186"/>
      <c r="F427" s="755" t="s">
        <v>156</v>
      </c>
      <c r="G427" s="1275"/>
      <c r="H427" s="1276" t="s">
        <v>1606</v>
      </c>
      <c r="I427" s="1277"/>
      <c r="J427" s="1278"/>
      <c r="K427" s="758" t="s">
        <v>156</v>
      </c>
      <c r="L427" s="1279">
        <f>IFERROR(L428/L429*100,"-")</f>
        <v>0</v>
      </c>
      <c r="M427" s="1280"/>
      <c r="N427" s="1279">
        <f>IFERROR(N428/N429*100,"-")</f>
        <v>0</v>
      </c>
      <c r="O427" s="1280"/>
      <c r="P427" s="1279" t="str">
        <f>IFERROR(P428/P429*100,"-")</f>
        <v>-</v>
      </c>
      <c r="Q427" s="1045"/>
      <c r="R427" s="1509">
        <f>IFERROR(R428/R429*100,"-")</f>
        <v>0</v>
      </c>
      <c r="S427" s="1670"/>
      <c r="T427" s="1509">
        <f>IFERROR(T428/T429*100,"-")</f>
        <v>0</v>
      </c>
      <c r="U427" s="1670"/>
      <c r="V427" s="1509">
        <f>IFERROR(V428/V429*100,"-")</f>
        <v>0</v>
      </c>
      <c r="W427" s="2097"/>
      <c r="X427" s="2859"/>
      <c r="Y427" s="2861"/>
      <c r="Z427" s="2934"/>
      <c r="AA427" s="2859"/>
      <c r="AB427" s="2935"/>
      <c r="AC427" s="2861"/>
      <c r="AD427" s="2935"/>
      <c r="AE427" s="2862"/>
      <c r="AF427" s="2859"/>
      <c r="AG427" s="2935"/>
      <c r="AH427" s="2861"/>
      <c r="AI427" s="2860"/>
      <c r="AJ427" s="2862"/>
      <c r="AK427" s="2859"/>
      <c r="AL427" s="2936"/>
      <c r="AM427" s="2861"/>
      <c r="AN427" s="2936"/>
      <c r="AO427" s="2862"/>
      <c r="AP427" s="2859"/>
      <c r="AQ427" s="2860"/>
      <c r="AR427" s="2861"/>
      <c r="AS427" s="2860"/>
      <c r="AT427" s="2862"/>
      <c r="AU427" s="2491" t="s">
        <v>1607</v>
      </c>
      <c r="AV427" s="1284" t="s">
        <v>1608</v>
      </c>
      <c r="AW427" s="162" t="s">
        <v>37</v>
      </c>
      <c r="AX427" s="534"/>
      <c r="AY427" s="534"/>
      <c r="AZ427" s="299" t="s">
        <v>193</v>
      </c>
      <c r="BA427" s="277" t="s">
        <v>1609</v>
      </c>
      <c r="BB427" s="154"/>
      <c r="BC427" s="1195"/>
      <c r="BD427" s="10"/>
    </row>
    <row r="428" spans="2:56" s="139" customFormat="1" ht="20.100000000000001" customHeight="1">
      <c r="B428" s="1360" t="b">
        <f t="shared" ref="B428:B429" si="104">OR(ISBLANK(R428),ISBLANK(T428),ISBLANK(V428))</f>
        <v>0</v>
      </c>
      <c r="C428" s="1388"/>
      <c r="D428" s="1216" t="s">
        <v>1610</v>
      </c>
      <c r="E428" s="1217"/>
      <c r="F428" s="105" t="s">
        <v>33</v>
      </c>
      <c r="G428" s="475"/>
      <c r="H428" s="1285"/>
      <c r="I428" s="1219" t="s">
        <v>1611</v>
      </c>
      <c r="J428" s="1285"/>
      <c r="K428" s="109" t="s">
        <v>35</v>
      </c>
      <c r="L428" s="93">
        <v>0</v>
      </c>
      <c r="M428" s="1199"/>
      <c r="N428" s="93">
        <v>0</v>
      </c>
      <c r="O428" s="1200"/>
      <c r="P428" s="94"/>
      <c r="Q428" s="1045"/>
      <c r="R428" s="1461">
        <v>0</v>
      </c>
      <c r="S428" s="1538"/>
      <c r="T428" s="1461">
        <v>0</v>
      </c>
      <c r="U428" s="1538"/>
      <c r="V428" s="1461">
        <v>0</v>
      </c>
      <c r="W428" s="2097"/>
      <c r="X428" s="2897"/>
      <c r="Y428" s="2899"/>
      <c r="Z428" s="2928"/>
      <c r="AA428" s="2897"/>
      <c r="AB428" s="2898"/>
      <c r="AC428" s="2899"/>
      <c r="AD428" s="2898"/>
      <c r="AE428" s="2900"/>
      <c r="AF428" s="2897"/>
      <c r="AG428" s="2898"/>
      <c r="AH428" s="2899"/>
      <c r="AI428" s="2898"/>
      <c r="AJ428" s="2900"/>
      <c r="AK428" s="2897"/>
      <c r="AL428" s="2937"/>
      <c r="AM428" s="2899"/>
      <c r="AN428" s="2937"/>
      <c r="AO428" s="2900"/>
      <c r="AP428" s="2897"/>
      <c r="AQ428" s="2898"/>
      <c r="AR428" s="2899"/>
      <c r="AS428" s="2898"/>
      <c r="AT428" s="2900"/>
      <c r="AU428" s="2492"/>
      <c r="AV428" s="1202"/>
      <c r="AW428" s="162" t="s">
        <v>37</v>
      </c>
      <c r="AX428" s="547"/>
      <c r="AY428" s="547"/>
      <c r="AZ428" s="299" t="s">
        <v>193</v>
      </c>
      <c r="BA428" s="277" t="s">
        <v>1609</v>
      </c>
      <c r="BB428" s="154"/>
      <c r="BC428" s="1195"/>
      <c r="BD428" s="10"/>
    </row>
    <row r="429" spans="2:56" s="139" customFormat="1" ht="20.100000000000001" customHeight="1">
      <c r="B429" s="1360" t="b">
        <f t="shared" si="104"/>
        <v>0</v>
      </c>
      <c r="C429" s="1389"/>
      <c r="D429" s="1216" t="s">
        <v>1612</v>
      </c>
      <c r="E429" s="1217"/>
      <c r="F429" s="105" t="s">
        <v>33</v>
      </c>
      <c r="G429" s="475"/>
      <c r="H429" s="1285"/>
      <c r="I429" s="1219" t="s">
        <v>1613</v>
      </c>
      <c r="J429" s="1285"/>
      <c r="K429" s="109" t="s">
        <v>35</v>
      </c>
      <c r="L429" s="1198">
        <v>396981</v>
      </c>
      <c r="M429" s="1199"/>
      <c r="N429" s="1198">
        <v>569297</v>
      </c>
      <c r="O429" s="1200"/>
      <c r="P429" s="94"/>
      <c r="Q429" s="1045"/>
      <c r="R429" s="1461">
        <v>396981</v>
      </c>
      <c r="S429" s="1538"/>
      <c r="T429" s="1461">
        <v>569297</v>
      </c>
      <c r="U429" s="1538"/>
      <c r="V429" s="1461">
        <v>628458</v>
      </c>
      <c r="W429" s="2097"/>
      <c r="X429" s="2897"/>
      <c r="Y429" s="2899"/>
      <c r="Z429" s="2928"/>
      <c r="AA429" s="2897"/>
      <c r="AB429" s="2898"/>
      <c r="AC429" s="2899"/>
      <c r="AD429" s="2898"/>
      <c r="AE429" s="2900"/>
      <c r="AF429" s="2897"/>
      <c r="AG429" s="2898"/>
      <c r="AH429" s="2899"/>
      <c r="AI429" s="2898"/>
      <c r="AJ429" s="2900"/>
      <c r="AK429" s="2897"/>
      <c r="AL429" s="2937"/>
      <c r="AM429" s="2899"/>
      <c r="AN429" s="2937"/>
      <c r="AO429" s="2900"/>
      <c r="AP429" s="2897"/>
      <c r="AQ429" s="2898"/>
      <c r="AR429" s="2899"/>
      <c r="AS429" s="2898"/>
      <c r="AT429" s="2900"/>
      <c r="AU429" s="2468"/>
      <c r="AV429" s="276"/>
      <c r="AW429" s="162" t="s">
        <v>37</v>
      </c>
      <c r="AX429" s="547"/>
      <c r="AY429" s="547"/>
      <c r="AZ429" s="299" t="s">
        <v>193</v>
      </c>
      <c r="BA429" s="154" t="s">
        <v>1609</v>
      </c>
      <c r="BB429" s="154"/>
      <c r="BC429" s="1195"/>
      <c r="BD429" s="10"/>
    </row>
    <row r="430" spans="2:56" s="139" customFormat="1" ht="20.100000000000001" customHeight="1">
      <c r="B430" s="1662" t="str">
        <f>C430</f>
        <v>관계사 매출 거래 비율</v>
      </c>
      <c r="C430" s="924" t="s">
        <v>1614</v>
      </c>
      <c r="D430" s="924"/>
      <c r="E430" s="924"/>
      <c r="F430" s="285" t="s">
        <v>156</v>
      </c>
      <c r="G430" s="1286"/>
      <c r="H430" s="991" t="s">
        <v>1615</v>
      </c>
      <c r="I430" s="992"/>
      <c r="J430" s="1287"/>
      <c r="K430" s="162" t="s">
        <v>156</v>
      </c>
      <c r="L430" s="1288">
        <f>IFERROR(L431/L432*100,"-")</f>
        <v>7.2726885424496288</v>
      </c>
      <c r="M430" s="1289"/>
      <c r="N430" s="1288">
        <f>IFERROR(N431/N432*100,"-")</f>
        <v>3.880341856150396</v>
      </c>
      <c r="O430" s="1289"/>
      <c r="P430" s="1290" t="str">
        <f>IFERROR(P431/P432*100,"-")</f>
        <v>-</v>
      </c>
      <c r="Q430" s="1045"/>
      <c r="R430" s="1510">
        <f>IFERROR(R431/R432*100,"-")</f>
        <v>7.2726885424496288</v>
      </c>
      <c r="S430" s="1671"/>
      <c r="T430" s="1510">
        <f>IFERROR(T431/T432*100,"-")</f>
        <v>3.880341856150396</v>
      </c>
      <c r="U430" s="1671"/>
      <c r="V430" s="1510">
        <f>IFERROR(V431/V432*100,"-")</f>
        <v>4.6157765289153607</v>
      </c>
      <c r="W430" s="2097"/>
      <c r="X430" s="2897"/>
      <c r="Y430" s="2899"/>
      <c r="Z430" s="2928"/>
      <c r="AA430" s="2897"/>
      <c r="AB430" s="2941"/>
      <c r="AC430" s="2899"/>
      <c r="AD430" s="2941"/>
      <c r="AE430" s="2900"/>
      <c r="AF430" s="2897"/>
      <c r="AG430" s="2941"/>
      <c r="AH430" s="2899"/>
      <c r="AI430" s="2941"/>
      <c r="AJ430" s="2900"/>
      <c r="AK430" s="2897"/>
      <c r="AL430" s="2943"/>
      <c r="AM430" s="2899"/>
      <c r="AN430" s="2943"/>
      <c r="AO430" s="2900"/>
      <c r="AP430" s="2897"/>
      <c r="AQ430" s="2898"/>
      <c r="AR430" s="2899"/>
      <c r="AS430" s="2898"/>
      <c r="AT430" s="2900"/>
      <c r="AU430" s="2492" t="s">
        <v>1616</v>
      </c>
      <c r="AV430" s="1230" t="s">
        <v>1617</v>
      </c>
      <c r="AW430" s="1034" t="s">
        <v>37</v>
      </c>
      <c r="AX430" s="547"/>
      <c r="AY430" s="547"/>
      <c r="AZ430" s="299" t="s">
        <v>193</v>
      </c>
      <c r="BA430" s="154" t="s">
        <v>1618</v>
      </c>
      <c r="BB430" s="154"/>
      <c r="BC430" s="1195"/>
      <c r="BD430" s="10"/>
    </row>
    <row r="431" spans="2:56" s="139" customFormat="1" ht="20.100000000000001" customHeight="1">
      <c r="B431" s="1360" t="b">
        <f t="shared" ref="B431:B432" si="105">OR(ISBLANK(R431),ISBLANK(T431),ISBLANK(V431))</f>
        <v>0</v>
      </c>
      <c r="C431" s="1210"/>
      <c r="D431" s="936" t="s">
        <v>1619</v>
      </c>
      <c r="E431" s="924"/>
      <c r="F431" s="105" t="s">
        <v>33</v>
      </c>
      <c r="G431" s="1286"/>
      <c r="H431" s="1292"/>
      <c r="I431" s="995" t="s">
        <v>1620</v>
      </c>
      <c r="J431" s="993"/>
      <c r="K431" s="109" t="s">
        <v>35</v>
      </c>
      <c r="L431" s="1198">
        <v>23899</v>
      </c>
      <c r="M431" s="1204"/>
      <c r="N431" s="1198">
        <v>27419</v>
      </c>
      <c r="O431" s="1289"/>
      <c r="P431" s="1212"/>
      <c r="Q431" s="1045"/>
      <c r="R431" s="1461">
        <v>23899</v>
      </c>
      <c r="S431" s="1538"/>
      <c r="T431" s="1461">
        <v>27419</v>
      </c>
      <c r="U431" s="1538"/>
      <c r="V431" s="1461">
        <v>35695</v>
      </c>
      <c r="W431" s="2097"/>
      <c r="X431" s="2938"/>
      <c r="Y431" s="2898"/>
      <c r="Z431" s="2940"/>
      <c r="AA431" s="2938"/>
      <c r="AB431" s="2943"/>
      <c r="AC431" s="2939"/>
      <c r="AD431" s="2943"/>
      <c r="AE431" s="2942"/>
      <c r="AF431" s="2938"/>
      <c r="AG431" s="2957"/>
      <c r="AH431" s="2939"/>
      <c r="AI431" s="2957"/>
      <c r="AJ431" s="2942"/>
      <c r="AK431" s="2938"/>
      <c r="AL431" s="2943"/>
      <c r="AM431" s="2939"/>
      <c r="AN431" s="2943"/>
      <c r="AO431" s="2942"/>
      <c r="AP431" s="2938"/>
      <c r="AQ431" s="2898"/>
      <c r="AR431" s="2939"/>
      <c r="AS431" s="2898"/>
      <c r="AT431" s="2900"/>
      <c r="AU431" s="2492"/>
      <c r="AV431" s="1230"/>
      <c r="AW431" s="1034" t="s">
        <v>37</v>
      </c>
      <c r="AX431" s="547"/>
      <c r="AY431" s="547"/>
      <c r="AZ431" s="299" t="s">
        <v>193</v>
      </c>
      <c r="BA431" s="154" t="s">
        <v>1618</v>
      </c>
      <c r="BB431" s="154"/>
      <c r="BC431" s="1195"/>
      <c r="BD431" s="10"/>
    </row>
    <row r="432" spans="2:56" s="139" customFormat="1" ht="20.100000000000001" customHeight="1">
      <c r="B432" s="1360" t="b">
        <f t="shared" si="105"/>
        <v>0</v>
      </c>
      <c r="C432" s="1210"/>
      <c r="D432" s="1216" t="s">
        <v>1621</v>
      </c>
      <c r="E432" s="1217"/>
      <c r="F432" s="105" t="s">
        <v>33</v>
      </c>
      <c r="G432" s="475"/>
      <c r="H432" s="1285"/>
      <c r="I432" s="726" t="s">
        <v>1622</v>
      </c>
      <c r="J432" s="1293"/>
      <c r="K432" s="109" t="s">
        <v>35</v>
      </c>
      <c r="L432" s="1198">
        <v>328613</v>
      </c>
      <c r="M432" s="1199"/>
      <c r="N432" s="1198">
        <v>706613</v>
      </c>
      <c r="O432" s="1200"/>
      <c r="P432" s="94"/>
      <c r="Q432" s="1045"/>
      <c r="R432" s="1461">
        <v>328613</v>
      </c>
      <c r="S432" s="1538"/>
      <c r="T432" s="1461">
        <v>706613</v>
      </c>
      <c r="U432" s="1538"/>
      <c r="V432" s="1461">
        <v>773326</v>
      </c>
      <c r="W432" s="2097"/>
      <c r="X432" s="2897"/>
      <c r="Y432" s="2899"/>
      <c r="Z432" s="2928"/>
      <c r="AA432" s="2897"/>
      <c r="AB432" s="2898"/>
      <c r="AC432" s="2899"/>
      <c r="AD432" s="2898"/>
      <c r="AE432" s="2900"/>
      <c r="AF432" s="2897"/>
      <c r="AG432" s="2898"/>
      <c r="AH432" s="2899"/>
      <c r="AI432" s="2898"/>
      <c r="AJ432" s="2900"/>
      <c r="AK432" s="2897"/>
      <c r="AL432" s="2937"/>
      <c r="AM432" s="2899"/>
      <c r="AN432" s="2944"/>
      <c r="AO432" s="2900"/>
      <c r="AP432" s="2897"/>
      <c r="AQ432" s="2898"/>
      <c r="AR432" s="2899"/>
      <c r="AS432" s="2898"/>
      <c r="AT432" s="2900"/>
      <c r="AU432" s="2468"/>
      <c r="AV432" s="544"/>
      <c r="AW432" s="1034" t="s">
        <v>37</v>
      </c>
      <c r="AX432" s="547"/>
      <c r="AY432" s="547"/>
      <c r="AZ432" s="299" t="s">
        <v>193</v>
      </c>
      <c r="BA432" s="154" t="s">
        <v>1618</v>
      </c>
      <c r="BB432" s="154"/>
      <c r="BC432" s="1195"/>
      <c r="BD432" s="10"/>
    </row>
    <row r="433" spans="2:56" s="139" customFormat="1" ht="20.100000000000001" customHeight="1">
      <c r="B433" s="1662" t="str">
        <f>C433</f>
        <v>관계사 매입 거래 비율</v>
      </c>
      <c r="C433" s="924" t="s">
        <v>1623</v>
      </c>
      <c r="D433" s="924"/>
      <c r="E433" s="924"/>
      <c r="F433" s="285" t="s">
        <v>156</v>
      </c>
      <c r="G433" s="1223"/>
      <c r="H433" s="925" t="s">
        <v>1624</v>
      </c>
      <c r="I433" s="926"/>
      <c r="J433" s="993"/>
      <c r="K433" s="162" t="s">
        <v>156</v>
      </c>
      <c r="L433" s="1288">
        <f>IFERROR(L434/L435*100,"-")</f>
        <v>10.767786647595091</v>
      </c>
      <c r="M433" s="1289"/>
      <c r="N433" s="1288">
        <f>IFERROR(N434/N435*100,"-")</f>
        <v>14.159225569556872</v>
      </c>
      <c r="O433" s="1289"/>
      <c r="P433" s="1290" t="str">
        <f>IFERROR(P434/P435*100,"-")</f>
        <v>-</v>
      </c>
      <c r="Q433" s="1045"/>
      <c r="R433" s="1510">
        <f>IFERROR(R434/R435*100,"-")</f>
        <v>10.767786647595091</v>
      </c>
      <c r="S433" s="1671"/>
      <c r="T433" s="1510">
        <f>IFERROR(T434/T435*100,"-")</f>
        <v>14.159225569556872</v>
      </c>
      <c r="U433" s="1671"/>
      <c r="V433" s="1510">
        <f>IFERROR(V434/V435*100,"-")</f>
        <v>13.541782443881015</v>
      </c>
      <c r="W433" s="2097"/>
      <c r="X433" s="2897"/>
      <c r="Y433" s="2899"/>
      <c r="Z433" s="2928"/>
      <c r="AA433" s="2897"/>
      <c r="AB433" s="2941"/>
      <c r="AC433" s="2899"/>
      <c r="AD433" s="2941"/>
      <c r="AE433" s="2900"/>
      <c r="AF433" s="2897"/>
      <c r="AG433" s="2941"/>
      <c r="AH433" s="2899"/>
      <c r="AI433" s="2941"/>
      <c r="AJ433" s="2900"/>
      <c r="AK433" s="2897"/>
      <c r="AL433" s="2943"/>
      <c r="AM433" s="2899"/>
      <c r="AN433" s="2943"/>
      <c r="AO433" s="2900"/>
      <c r="AP433" s="2897"/>
      <c r="AQ433" s="2898"/>
      <c r="AR433" s="2899"/>
      <c r="AS433" s="2898"/>
      <c r="AT433" s="2900"/>
      <c r="AU433" s="2492" t="s">
        <v>1625</v>
      </c>
      <c r="AV433" s="1230" t="s">
        <v>1626</v>
      </c>
      <c r="AW433" s="1034" t="s">
        <v>37</v>
      </c>
      <c r="AX433" s="547"/>
      <c r="AY433" s="547"/>
      <c r="AZ433" s="299" t="s">
        <v>193</v>
      </c>
      <c r="BA433" s="154" t="s">
        <v>1627</v>
      </c>
      <c r="BB433" s="154"/>
      <c r="BC433" s="1195"/>
      <c r="BD433" s="10"/>
    </row>
    <row r="434" spans="2:56" s="139" customFormat="1" ht="20.100000000000001" customHeight="1">
      <c r="B434" s="1360" t="b">
        <f t="shared" ref="B434:B435" si="106">OR(ISBLANK(R434),ISBLANK(T434),ISBLANK(V434))</f>
        <v>0</v>
      </c>
      <c r="C434" s="1210"/>
      <c r="D434" s="936" t="s">
        <v>1628</v>
      </c>
      <c r="E434" s="924"/>
      <c r="F434" s="105" t="s">
        <v>33</v>
      </c>
      <c r="G434" s="1286"/>
      <c r="H434" s="1292"/>
      <c r="I434" s="995" t="s">
        <v>1629</v>
      </c>
      <c r="J434" s="993"/>
      <c r="K434" s="109" t="s">
        <v>35</v>
      </c>
      <c r="L434" s="1198">
        <v>52997</v>
      </c>
      <c r="M434" s="1204"/>
      <c r="N434" s="1198">
        <v>101802</v>
      </c>
      <c r="O434" s="1289"/>
      <c r="P434" s="1212"/>
      <c r="Q434" s="1045"/>
      <c r="R434" s="1461">
        <v>52997</v>
      </c>
      <c r="S434" s="1538"/>
      <c r="T434" s="1461">
        <v>101802</v>
      </c>
      <c r="U434" s="1538"/>
      <c r="V434" s="1486">
        <v>103562</v>
      </c>
      <c r="W434" s="2097"/>
      <c r="X434" s="2938"/>
      <c r="Y434" s="2939"/>
      <c r="Z434" s="2940"/>
      <c r="AA434" s="2938"/>
      <c r="AB434" s="2943"/>
      <c r="AC434" s="2939"/>
      <c r="AD434" s="2943"/>
      <c r="AE434" s="2942"/>
      <c r="AF434" s="2938"/>
      <c r="AG434" s="2943"/>
      <c r="AH434" s="2939"/>
      <c r="AI434" s="2943"/>
      <c r="AJ434" s="2942"/>
      <c r="AK434" s="2938"/>
      <c r="AL434" s="2943"/>
      <c r="AM434" s="2939"/>
      <c r="AN434" s="2943"/>
      <c r="AO434" s="2942"/>
      <c r="AP434" s="2938"/>
      <c r="AQ434" s="2898"/>
      <c r="AR434" s="2939"/>
      <c r="AS434" s="2898"/>
      <c r="AT434" s="2900"/>
      <c r="AU434" s="2492"/>
      <c r="AV434" s="1230"/>
      <c r="AW434" s="1034" t="s">
        <v>37</v>
      </c>
      <c r="AX434" s="547"/>
      <c r="AY434" s="547"/>
      <c r="AZ434" s="299" t="s">
        <v>193</v>
      </c>
      <c r="BA434" s="277" t="s">
        <v>1627</v>
      </c>
      <c r="BB434" s="154"/>
      <c r="BC434" s="1195"/>
      <c r="BD434" s="10"/>
    </row>
    <row r="435" spans="2:56" s="139" customFormat="1" ht="20.100000000000001" customHeight="1" thickBot="1">
      <c r="B435" s="1361" t="b">
        <f t="shared" si="106"/>
        <v>0</v>
      </c>
      <c r="C435" s="1388"/>
      <c r="D435" s="1295" t="s">
        <v>1630</v>
      </c>
      <c r="E435" s="1296"/>
      <c r="F435" s="105" t="s">
        <v>33</v>
      </c>
      <c r="G435" s="1297"/>
      <c r="H435" s="1298"/>
      <c r="I435" s="1299" t="s">
        <v>1631</v>
      </c>
      <c r="J435" s="1255"/>
      <c r="K435" s="109" t="s">
        <v>35</v>
      </c>
      <c r="L435" s="1156">
        <v>492181</v>
      </c>
      <c r="M435" s="1157"/>
      <c r="N435" s="1156">
        <v>718980</v>
      </c>
      <c r="O435" s="1158"/>
      <c r="P435" s="1159"/>
      <c r="Q435" s="1045"/>
      <c r="R435" s="1474">
        <v>492181</v>
      </c>
      <c r="S435" s="1541"/>
      <c r="T435" s="1474">
        <v>718980</v>
      </c>
      <c r="U435" s="1541"/>
      <c r="V435" s="1512">
        <v>764759</v>
      </c>
      <c r="W435" s="2097"/>
      <c r="X435" s="2923"/>
      <c r="Y435" s="2924"/>
      <c r="Z435" s="2925"/>
      <c r="AA435" s="2923"/>
      <c r="AB435" s="2926"/>
      <c r="AC435" s="2924"/>
      <c r="AD435" s="2926"/>
      <c r="AE435" s="2927"/>
      <c r="AF435" s="2923"/>
      <c r="AG435" s="2926"/>
      <c r="AH435" s="2924"/>
      <c r="AI435" s="2926"/>
      <c r="AJ435" s="2927"/>
      <c r="AK435" s="2923"/>
      <c r="AL435" s="2958"/>
      <c r="AM435" s="2924"/>
      <c r="AN435" s="2959"/>
      <c r="AO435" s="2927"/>
      <c r="AP435" s="2923"/>
      <c r="AQ435" s="2926"/>
      <c r="AR435" s="2924"/>
      <c r="AS435" s="2926"/>
      <c r="AT435" s="2927"/>
      <c r="AU435" s="1052"/>
      <c r="AV435" s="596"/>
      <c r="AW435" s="1153" t="s">
        <v>37</v>
      </c>
      <c r="AX435" s="1101"/>
      <c r="AY435" s="1101"/>
      <c r="AZ435" s="1551" t="s">
        <v>193</v>
      </c>
      <c r="BA435" s="981" t="s">
        <v>1627</v>
      </c>
      <c r="BB435" s="1231"/>
      <c r="BC435" s="1232"/>
      <c r="BD435" s="10"/>
    </row>
    <row r="436" spans="2:56" ht="27" thickBot="1">
      <c r="B436" s="123" t="s">
        <v>1632</v>
      </c>
      <c r="C436" s="124"/>
      <c r="D436" s="124"/>
      <c r="E436" s="124"/>
      <c r="F436" s="78"/>
      <c r="G436" s="1272" t="s">
        <v>1440</v>
      </c>
      <c r="H436" s="1132"/>
      <c r="I436" s="1132"/>
      <c r="J436" s="1273"/>
      <c r="K436" s="518"/>
      <c r="L436" s="600"/>
      <c r="M436" s="600"/>
      <c r="N436" s="600"/>
      <c r="O436" s="600"/>
      <c r="P436" s="600"/>
      <c r="Q436" s="1004"/>
      <c r="R436" s="1485"/>
      <c r="S436" s="1447"/>
      <c r="T436" s="1485"/>
      <c r="U436" s="1447"/>
      <c r="V436" s="1485"/>
      <c r="W436" s="1004"/>
      <c r="X436" s="2960"/>
      <c r="Y436" s="2961"/>
      <c r="Z436" s="2828"/>
      <c r="AA436" s="2962"/>
      <c r="AB436" s="2963"/>
      <c r="AC436" s="2963"/>
      <c r="AD436" s="2963"/>
      <c r="AE436" s="2964"/>
      <c r="AF436" s="2962"/>
      <c r="AG436" s="2963"/>
      <c r="AH436" s="2963"/>
      <c r="AI436" s="2963"/>
      <c r="AJ436" s="2964"/>
      <c r="AK436" s="2962"/>
      <c r="AL436" s="2963"/>
      <c r="AM436" s="2963"/>
      <c r="AN436" s="2963"/>
      <c r="AO436" s="2964"/>
      <c r="AP436" s="2962"/>
      <c r="AQ436" s="2963"/>
      <c r="AR436" s="2963"/>
      <c r="AS436" s="2963"/>
      <c r="AT436" s="2964"/>
      <c r="AU436" s="2506"/>
      <c r="AV436" s="2507"/>
      <c r="AW436" s="2508"/>
      <c r="AX436" s="2509"/>
      <c r="AY436" s="2509"/>
      <c r="AZ436" s="2508"/>
      <c r="BA436" s="2510"/>
      <c r="BB436" s="2510"/>
      <c r="BC436" s="2511"/>
      <c r="BD436" s="18"/>
    </row>
    <row r="437" spans="2:56" ht="20.100000000000001" customHeight="1">
      <c r="B437" s="1353" t="str">
        <f>C437</f>
        <v>윤리경영 교육</v>
      </c>
      <c r="C437" s="947" t="s">
        <v>1633</v>
      </c>
      <c r="D437" s="947"/>
      <c r="E437" s="947"/>
      <c r="F437" s="1560"/>
      <c r="G437" s="168"/>
      <c r="H437" s="949" t="s">
        <v>1634</v>
      </c>
      <c r="I437" s="949"/>
      <c r="J437" s="949"/>
      <c r="K437" s="1139"/>
      <c r="L437" s="1140"/>
      <c r="M437" s="1140"/>
      <c r="N437" s="1140"/>
      <c r="O437" s="1140"/>
      <c r="P437" s="1140"/>
      <c r="Q437" s="1140"/>
      <c r="R437" s="1594"/>
      <c r="S437" s="1595"/>
      <c r="T437" s="1596"/>
      <c r="U437" s="1595"/>
      <c r="V437" s="1596"/>
      <c r="W437" s="2098"/>
      <c r="X437" s="2965"/>
      <c r="Y437" s="2966"/>
      <c r="Z437" s="2967"/>
      <c r="AA437" s="2968"/>
      <c r="AB437" s="2969"/>
      <c r="AC437" s="2970"/>
      <c r="AD437" s="2969"/>
      <c r="AE437" s="2971"/>
      <c r="AF437" s="2968"/>
      <c r="AG437" s="2969"/>
      <c r="AH437" s="2970"/>
      <c r="AI437" s="2969"/>
      <c r="AJ437" s="2971"/>
      <c r="AK437" s="2968"/>
      <c r="AL437" s="2969"/>
      <c r="AM437" s="2970"/>
      <c r="AN437" s="2969"/>
      <c r="AO437" s="2971"/>
      <c r="AP437" s="2972"/>
      <c r="AQ437" s="2973"/>
      <c r="AR437" s="2973"/>
      <c r="AS437" s="2973"/>
      <c r="AT437" s="2971"/>
      <c r="AU437" s="2505"/>
      <c r="AW437" s="1034" t="s">
        <v>1635</v>
      </c>
      <c r="AX437" s="878"/>
      <c r="AY437" s="878"/>
      <c r="AZ437" s="1034"/>
      <c r="BA437" s="690"/>
      <c r="BB437" s="690"/>
      <c r="BC437" s="1306"/>
      <c r="BD437" s="18"/>
    </row>
    <row r="438" spans="2:56" ht="20.100000000000001" customHeight="1">
      <c r="B438" s="1360" t="b">
        <f t="shared" ref="B438:B439" si="107">OR(ISBLANK(R438),ISBLANK(T438),ISBLANK(V438))</f>
        <v>1</v>
      </c>
      <c r="C438" s="1392"/>
      <c r="D438" s="787" t="s">
        <v>1018</v>
      </c>
      <c r="E438" s="781"/>
      <c r="F438" s="285" t="s">
        <v>1636</v>
      </c>
      <c r="G438" s="106"/>
      <c r="H438" s="353"/>
      <c r="I438" s="384" t="s">
        <v>1637</v>
      </c>
      <c r="J438" s="384"/>
      <c r="K438" s="1034" t="s">
        <v>1831</v>
      </c>
      <c r="L438" s="1148">
        <v>4945.55</v>
      </c>
      <c r="M438" s="1148"/>
      <c r="N438" s="1148">
        <v>5592</v>
      </c>
      <c r="O438" s="1151"/>
      <c r="P438" s="1147"/>
      <c r="Q438" s="1045"/>
      <c r="R438" s="1514">
        <v>2892.3</v>
      </c>
      <c r="S438" s="1454" t="s">
        <v>1641</v>
      </c>
      <c r="T438" s="1514">
        <v>4113</v>
      </c>
      <c r="U438" s="1454" t="s">
        <v>1642</v>
      </c>
      <c r="V438" s="1514"/>
      <c r="W438" s="2097"/>
      <c r="X438" s="2591">
        <f>'4DPLEX'!R400</f>
        <v>244</v>
      </c>
      <c r="Y438" s="2739">
        <f>'4DPLEX'!T400</f>
        <v>288</v>
      </c>
      <c r="Z438" s="2728">
        <f>'4DPLEX'!V400</f>
        <v>236.75</v>
      </c>
      <c r="AA438" s="2974">
        <f>China!AO439</f>
        <v>0</v>
      </c>
      <c r="AB438" s="2975" t="str">
        <f>China!AP438</f>
        <v>그룹 주관 교육 참여 확인 부탁드립니다. 참고로 CGV의 경우 하기와 같이 실적을 산출함. 
* 모두가 실천해야할 '정직' 교육: 1시간
* [2020] 함께 존중하는 건강한 CJ 만들기: 0.5시간
* [2020] 함께 존중하는 건강한 CJ 만들기(leader): 0.5시간
* 준법경영위원회 이원 대상 공정거래법 주요 개정 사항 특강:1시간
* CJ그룹 행동강령(CJ인의 약속): 1시간
* CJ글로벌 경제제제 컴플라이언스 정책: 0.3시간
* 정보교환행위금지가이드: 0.1시간</v>
      </c>
      <c r="AC438" s="2976">
        <f>China!AQ439</f>
        <v>0</v>
      </c>
      <c r="AD438" s="2975" t="str">
        <f>China!AR438</f>
        <v>그룹 주관 교육 참여 확인 부탁드립니다. 참고로 한국CGV의 경우 하기와 같이 실적을 산출함.
* 모두가 실천해야할 '정직' 교육: 1시간
* 안전을 만나는시간 - 중대재해처벌법: 1시간
* [2022] 강재준, 이은형과 함께하는 직장 내 괴롭힘 예방교육: 1시간
* 기술자료 제공 요구 준수사항(카드러닝): 0.5시간
* 신입사원 오프라인 '정직의 의미와 실천' 교육 수강 인원: 1시간
* CGV컴플라이언스 교육 (법무·컴플라이언스팀 주관): 0.5시간
※ 카드러닝 형식은 0.5시간 반영</v>
      </c>
      <c r="AE438" s="2817">
        <f>China!AS439</f>
        <v>750</v>
      </c>
      <c r="AF438" s="2974"/>
      <c r="AG438" s="2975"/>
      <c r="AH438" s="2976"/>
      <c r="AI438" s="2975"/>
      <c r="AJ438" s="2817"/>
      <c r="AK438" s="2974"/>
      <c r="AL438" s="2975"/>
      <c r="AM438" s="2976"/>
      <c r="AN438" s="2840"/>
      <c r="AO438" s="2817"/>
      <c r="AP438" s="2813"/>
      <c r="AQ438" s="2839"/>
      <c r="AR438" s="2814"/>
      <c r="AS438" s="2839"/>
      <c r="AT438" s="2817"/>
      <c r="AU438" s="1033" t="s">
        <v>1638</v>
      </c>
      <c r="AV438" s="367" t="s">
        <v>1639</v>
      </c>
      <c r="AW438" s="1034" t="s">
        <v>1635</v>
      </c>
      <c r="AX438" s="878"/>
      <c r="AY438" s="878"/>
      <c r="AZ438" s="1034"/>
      <c r="BA438" s="620" t="s">
        <v>1640</v>
      </c>
      <c r="BB438" s="277" t="s">
        <v>1024</v>
      </c>
      <c r="BC438" s="1195"/>
      <c r="BD438" s="18"/>
    </row>
    <row r="439" spans="2:56" ht="20.100000000000001" customHeight="1">
      <c r="B439" s="1360" t="b">
        <f t="shared" si="107"/>
        <v>1</v>
      </c>
      <c r="C439" s="1384"/>
      <c r="D439" s="787" t="s">
        <v>1428</v>
      </c>
      <c r="E439" s="781"/>
      <c r="F439" s="285" t="s">
        <v>732</v>
      </c>
      <c r="G439" s="384"/>
      <c r="H439" s="385"/>
      <c r="I439" s="358" t="s">
        <v>1643</v>
      </c>
      <c r="J439" s="358"/>
      <c r="K439" s="162" t="s">
        <v>734</v>
      </c>
      <c r="L439" s="93">
        <v>1627</v>
      </c>
      <c r="M439" s="93"/>
      <c r="N439" s="93">
        <v>1875</v>
      </c>
      <c r="O439" s="227"/>
      <c r="P439" s="94"/>
      <c r="Q439" s="1045"/>
      <c r="R439" s="1461">
        <v>1031</v>
      </c>
      <c r="S439" s="1538" t="s">
        <v>1646</v>
      </c>
      <c r="T439" s="1461">
        <v>1186</v>
      </c>
      <c r="U439" s="1538" t="s">
        <v>1646</v>
      </c>
      <c r="V439" s="1461"/>
      <c r="W439" s="2097"/>
      <c r="X439" s="2591">
        <f>'4DPLEX'!R401</f>
        <v>123</v>
      </c>
      <c r="Y439" s="2739">
        <f>'4DPLEX'!T401</f>
        <v>161</v>
      </c>
      <c r="Z439" s="2728">
        <f>'4DPLEX'!V401</f>
        <v>231</v>
      </c>
      <c r="AA439" s="2820">
        <f>China!AO440</f>
        <v>0</v>
      </c>
      <c r="AB439" s="2977" t="str">
        <f>China!AP439</f>
        <v>그룹 주관 교육 참여 확인 부탁드립니다. 참고로 한국 CGV의 경우 하기와 같이 실적을 산출함.
* 모두가 실천해야할 '정직' 교육: 1,004명
* [2021] 함께 존중하는 건강한 CJ 만들기: 881명
* [2021] 함께 존중하는 건강한 CJ 만들기(leader): 174명
* 준법경영위원회 위원 대상 공정거래법 주요 개정 사항 특강 1건(오프라인): 7명
* CJ그룹 행동강령(CJ인의 약속), CJ 글로벌 경제제재 컴플라이언스 정책, 정보교환행위 금지 가이드: 967명
※ 최종 수료 인원 기준</v>
      </c>
      <c r="AC439" s="2822">
        <f>China!AQ440</f>
        <v>0</v>
      </c>
      <c r="AD439" s="2977" t="str">
        <f>China!AR439</f>
        <v>그룹 주관 교육 참여 확인 부탁드립니다. 한국CGV의 경우 하기와 같이 실적을 실적을 산출함. 
* 모두가 실천해야할 '정직' 교육: 997명
* 안전을 만나는시간 - 중대재해처벌법: 1,074명
* [2022] 강재준, 이은형과 함께하는 직장 내 괴롭힘 예방교육: 1,008명
* 기술자료 제공 요구 준수사항(카드러닝): 993명
* [CGV] 신입사원 오프라인 '정직의 의미와 실천' 교육 수강 인원: 39명
* [CGV] 컴플라이언스 필수 교육 (법무·컴플라이언스팀 주관 부서별 맞춤교육): 총 997명
※ 최종 수료 인원 기준</v>
      </c>
      <c r="AE439" s="2655">
        <f>China!AS440</f>
        <v>0</v>
      </c>
      <c r="AF439" s="2820"/>
      <c r="AG439" s="2977"/>
      <c r="AH439" s="2822"/>
      <c r="AI439" s="2977"/>
      <c r="AJ439" s="2655"/>
      <c r="AK439" s="2820"/>
      <c r="AL439" s="2977"/>
      <c r="AM439" s="2822"/>
      <c r="AN439" s="2845"/>
      <c r="AO439" s="2655"/>
      <c r="AP439" s="2553"/>
      <c r="AQ439" s="2651"/>
      <c r="AR439" s="2554"/>
      <c r="AS439" s="2651"/>
      <c r="AT439" s="2655"/>
      <c r="AU439" s="498" t="s">
        <v>1644</v>
      </c>
      <c r="AV439" s="367" t="s">
        <v>1643</v>
      </c>
      <c r="AW439" s="162" t="s">
        <v>758</v>
      </c>
      <c r="AX439" s="547"/>
      <c r="AY439" s="547"/>
      <c r="AZ439" s="162"/>
      <c r="BA439" s="620" t="s">
        <v>1645</v>
      </c>
      <c r="BB439" s="277" t="s">
        <v>1024</v>
      </c>
      <c r="BC439" s="982"/>
      <c r="BD439" s="18"/>
    </row>
    <row r="440" spans="2:56" ht="20.100000000000001" customHeight="1">
      <c r="B440" s="1353" t="str">
        <f>C440</f>
        <v>법규 위반 등</v>
      </c>
      <c r="C440" s="695" t="s">
        <v>1647</v>
      </c>
      <c r="D440" s="1599"/>
      <c r="E440" s="1599"/>
      <c r="F440" s="1560"/>
      <c r="G440" s="685"/>
      <c r="H440" s="686" t="s">
        <v>1648</v>
      </c>
      <c r="I440" s="654"/>
      <c r="J440" s="655"/>
      <c r="K440" s="881"/>
      <c r="L440" s="1085"/>
      <c r="M440" s="1085"/>
      <c r="N440" s="1085"/>
      <c r="O440" s="1085"/>
      <c r="P440" s="1085"/>
      <c r="Q440" s="1085"/>
      <c r="R440" s="1604"/>
      <c r="S440" s="1605"/>
      <c r="T440" s="1606"/>
      <c r="U440" s="1605"/>
      <c r="V440" s="1606"/>
      <c r="W440" s="2098"/>
      <c r="X440" s="2978"/>
      <c r="Y440" s="2979"/>
      <c r="Z440" s="2980"/>
      <c r="AA440" s="2978"/>
      <c r="AB440" s="2979"/>
      <c r="AC440" s="2979"/>
      <c r="AD440" s="2979"/>
      <c r="AE440" s="2981"/>
      <c r="AF440" s="2978"/>
      <c r="AG440" s="2979"/>
      <c r="AH440" s="2979"/>
      <c r="AI440" s="2979"/>
      <c r="AJ440" s="2981"/>
      <c r="AK440" s="2978"/>
      <c r="AL440" s="2979"/>
      <c r="AM440" s="2979"/>
      <c r="AN440" s="2979"/>
      <c r="AO440" s="2981"/>
      <c r="AP440" s="2978"/>
      <c r="AQ440" s="2979"/>
      <c r="AR440" s="2979"/>
      <c r="AS440" s="2979"/>
      <c r="AT440" s="2981"/>
      <c r="AU440" s="1564"/>
      <c r="AV440" s="1310"/>
      <c r="AW440" s="162" t="s">
        <v>1649</v>
      </c>
      <c r="AX440" s="547"/>
      <c r="AY440" s="547"/>
      <c r="AZ440" s="162"/>
      <c r="BA440" s="690"/>
      <c r="BB440" s="1043"/>
      <c r="BC440" s="1044"/>
      <c r="BD440" s="18"/>
    </row>
    <row r="441" spans="2:56" ht="20.100000000000001" customHeight="1">
      <c r="B441" s="1360" t="b">
        <f t="shared" ref="B441:B449" si="108">OR(ISBLANK(R441),ISBLANK(T441),ISBLANK(V441))</f>
        <v>0</v>
      </c>
      <c r="C441" s="1372"/>
      <c r="D441" s="787" t="s">
        <v>1650</v>
      </c>
      <c r="E441" s="781"/>
      <c r="F441" s="285" t="s">
        <v>1476</v>
      </c>
      <c r="G441" s="347"/>
      <c r="H441" s="348"/>
      <c r="I441" s="495" t="s">
        <v>1651</v>
      </c>
      <c r="J441" s="360"/>
      <c r="K441" s="162" t="s">
        <v>559</v>
      </c>
      <c r="L441" s="304">
        <v>0</v>
      </c>
      <c r="M441" s="304"/>
      <c r="N441" s="304">
        <v>0</v>
      </c>
      <c r="O441" s="404"/>
      <c r="P441" s="274"/>
      <c r="Q441" s="1045"/>
      <c r="R441" s="1475">
        <v>0</v>
      </c>
      <c r="S441" s="1524">
        <v>0</v>
      </c>
      <c r="T441" s="1475">
        <v>0</v>
      </c>
      <c r="U441" s="1524">
        <v>0</v>
      </c>
      <c r="V441" s="1464">
        <v>0</v>
      </c>
      <c r="W441" s="2097"/>
      <c r="X441" s="2557">
        <f>'4DPLEX'!R402</f>
        <v>0</v>
      </c>
      <c r="Y441" s="2558">
        <f>'4DPLEX'!T402</f>
        <v>0</v>
      </c>
      <c r="Z441" s="2559">
        <f>'4DPLEX'!V402</f>
        <v>0</v>
      </c>
      <c r="AA441" s="2982">
        <f>China!AO442</f>
        <v>0</v>
      </c>
      <c r="AB441" s="2985">
        <f>China!AP441</f>
        <v>0</v>
      </c>
      <c r="AC441" s="2983">
        <f>China!AQ442</f>
        <v>0</v>
      </c>
      <c r="AD441" s="2985">
        <f>China!AR441</f>
        <v>0</v>
      </c>
      <c r="AE441" s="2984">
        <f>China!AS442</f>
        <v>0</v>
      </c>
      <c r="AF441" s="2982"/>
      <c r="AG441" s="2983"/>
      <c r="AH441" s="2983"/>
      <c r="AI441" s="2983"/>
      <c r="AJ441" s="2984"/>
      <c r="AK441" s="2982"/>
      <c r="AL441" s="2983"/>
      <c r="AM441" s="2983"/>
      <c r="AN441" s="2651"/>
      <c r="AO441" s="2986"/>
      <c r="AP441" s="2611"/>
      <c r="AQ441" s="2651"/>
      <c r="AR441" s="2612"/>
      <c r="AS441" s="2651"/>
      <c r="AT441" s="2986"/>
      <c r="AU441" s="498" t="s">
        <v>1652</v>
      </c>
      <c r="AV441" s="367" t="s">
        <v>1653</v>
      </c>
      <c r="AW441" s="162" t="s">
        <v>1649</v>
      </c>
      <c r="AX441" s="547"/>
      <c r="AY441" s="547"/>
      <c r="AZ441" s="162"/>
      <c r="BA441" s="277" t="s">
        <v>1654</v>
      </c>
      <c r="BB441" s="277" t="s">
        <v>1655</v>
      </c>
      <c r="BC441" s="982"/>
      <c r="BD441" s="18"/>
    </row>
    <row r="442" spans="2:56" ht="20.100000000000001" customHeight="1">
      <c r="B442" s="1360" t="b">
        <f t="shared" si="108"/>
        <v>0</v>
      </c>
      <c r="C442" s="28"/>
      <c r="D442" s="787" t="s">
        <v>1656</v>
      </c>
      <c r="E442" s="781"/>
      <c r="F442" s="285" t="s">
        <v>1476</v>
      </c>
      <c r="G442" s="106"/>
      <c r="H442" s="353"/>
      <c r="I442" s="495" t="s">
        <v>1657</v>
      </c>
      <c r="J442" s="360"/>
      <c r="K442" s="162" t="s">
        <v>559</v>
      </c>
      <c r="L442" s="304">
        <v>0</v>
      </c>
      <c r="M442" s="304"/>
      <c r="N442" s="304">
        <v>0</v>
      </c>
      <c r="O442" s="404"/>
      <c r="P442" s="274"/>
      <c r="Q442" s="1045"/>
      <c r="R442" s="1461">
        <v>0</v>
      </c>
      <c r="S442" s="1524">
        <v>0</v>
      </c>
      <c r="T442" s="1461">
        <v>0</v>
      </c>
      <c r="U442" s="1524">
        <v>0</v>
      </c>
      <c r="V442" s="1464">
        <v>0</v>
      </c>
      <c r="W442" s="2097"/>
      <c r="X442" s="2557">
        <f>'4DPLEX'!R403</f>
        <v>0</v>
      </c>
      <c r="Y442" s="2558">
        <f>'4DPLEX'!T403</f>
        <v>0</v>
      </c>
      <c r="Z442" s="2559">
        <f>'4DPLEX'!V403</f>
        <v>0</v>
      </c>
      <c r="AA442" s="2982">
        <f>China!AO443</f>
        <v>0</v>
      </c>
      <c r="AB442" s="2985">
        <f>China!AP442</f>
        <v>0</v>
      </c>
      <c r="AC442" s="2983">
        <f>China!AQ443</f>
        <v>0</v>
      </c>
      <c r="AD442" s="2985">
        <f>China!AR442</f>
        <v>0</v>
      </c>
      <c r="AE442" s="2984">
        <f>China!AS443</f>
        <v>0</v>
      </c>
      <c r="AF442" s="2982"/>
      <c r="AG442" s="2983"/>
      <c r="AH442" s="2983"/>
      <c r="AI442" s="2983"/>
      <c r="AJ442" s="2984"/>
      <c r="AK442" s="2982"/>
      <c r="AL442" s="2983"/>
      <c r="AM442" s="2983"/>
      <c r="AN442" s="2651"/>
      <c r="AO442" s="2986"/>
      <c r="AP442" s="2611"/>
      <c r="AQ442" s="2651"/>
      <c r="AR442" s="2612"/>
      <c r="AS442" s="2651"/>
      <c r="AT442" s="2986"/>
      <c r="AU442" s="498" t="s">
        <v>1658</v>
      </c>
      <c r="AV442" s="367" t="s">
        <v>1659</v>
      </c>
      <c r="AW442" s="162" t="s">
        <v>1649</v>
      </c>
      <c r="AX442" s="547"/>
      <c r="AY442" s="547"/>
      <c r="AZ442" s="162"/>
      <c r="BA442" s="277" t="s">
        <v>1660</v>
      </c>
      <c r="BB442" s="265"/>
      <c r="BC442" s="982"/>
      <c r="BD442" s="18"/>
    </row>
    <row r="443" spans="2:56" ht="20.100000000000001" customHeight="1">
      <c r="B443" s="1360" t="b">
        <f t="shared" si="108"/>
        <v>0</v>
      </c>
      <c r="C443" s="28"/>
      <c r="D443" s="787" t="s">
        <v>1661</v>
      </c>
      <c r="E443" s="781"/>
      <c r="F443" s="285" t="s">
        <v>1476</v>
      </c>
      <c r="G443" s="106"/>
      <c r="H443" s="353"/>
      <c r="I443" s="495" t="s">
        <v>1662</v>
      </c>
      <c r="J443" s="360"/>
      <c r="K443" s="162" t="s">
        <v>559</v>
      </c>
      <c r="L443" s="304">
        <v>0</v>
      </c>
      <c r="M443" s="304"/>
      <c r="N443" s="304">
        <v>0</v>
      </c>
      <c r="O443" s="404"/>
      <c r="P443" s="274"/>
      <c r="Q443" s="1045"/>
      <c r="R443" s="1475">
        <v>0</v>
      </c>
      <c r="S443" s="1524">
        <v>0</v>
      </c>
      <c r="T443" s="1475">
        <v>0</v>
      </c>
      <c r="U443" s="1524">
        <v>0</v>
      </c>
      <c r="V443" s="1464">
        <v>0</v>
      </c>
      <c r="W443" s="2097"/>
      <c r="X443" s="2557">
        <f>'4DPLEX'!R404</f>
        <v>0</v>
      </c>
      <c r="Y443" s="2558">
        <f>'4DPLEX'!T404</f>
        <v>0</v>
      </c>
      <c r="Z443" s="2559">
        <f>'4DPLEX'!V404</f>
        <v>0</v>
      </c>
      <c r="AA443" s="2982">
        <f>China!AO444</f>
        <v>0</v>
      </c>
      <c r="AB443" s="2985">
        <f>China!AP443</f>
        <v>0</v>
      </c>
      <c r="AC443" s="2983">
        <f>China!AQ444</f>
        <v>0</v>
      </c>
      <c r="AD443" s="2985">
        <f>China!AR443</f>
        <v>0</v>
      </c>
      <c r="AE443" s="2984">
        <f>China!AS444</f>
        <v>0</v>
      </c>
      <c r="AF443" s="2982"/>
      <c r="AG443" s="2983"/>
      <c r="AH443" s="2983"/>
      <c r="AI443" s="2983"/>
      <c r="AJ443" s="2984"/>
      <c r="AK443" s="2982"/>
      <c r="AL443" s="2983"/>
      <c r="AM443" s="2983"/>
      <c r="AN443" s="2651"/>
      <c r="AO443" s="2986"/>
      <c r="AP443" s="2611"/>
      <c r="AQ443" s="2651"/>
      <c r="AR443" s="2612"/>
      <c r="AS443" s="2651"/>
      <c r="AT443" s="2986"/>
      <c r="AU443" s="498" t="s">
        <v>1663</v>
      </c>
      <c r="AV443" s="367" t="s">
        <v>1664</v>
      </c>
      <c r="AW443" s="162" t="s">
        <v>1649</v>
      </c>
      <c r="AX443" s="547"/>
      <c r="AY443" s="547"/>
      <c r="AZ443" s="162"/>
      <c r="BA443" s="277" t="s">
        <v>1665</v>
      </c>
      <c r="BB443" s="346" t="s">
        <v>1666</v>
      </c>
      <c r="BC443" s="982" t="s">
        <v>1667</v>
      </c>
      <c r="BD443" s="18"/>
    </row>
    <row r="444" spans="2:56" ht="20.100000000000001" customHeight="1">
      <c r="B444" s="1360" t="b">
        <f t="shared" si="108"/>
        <v>0</v>
      </c>
      <c r="C444" s="28"/>
      <c r="D444" s="787" t="s">
        <v>1668</v>
      </c>
      <c r="E444" s="781"/>
      <c r="F444" s="285" t="s">
        <v>557</v>
      </c>
      <c r="G444" s="106"/>
      <c r="H444" s="353"/>
      <c r="I444" s="495" t="s">
        <v>1669</v>
      </c>
      <c r="J444" s="360"/>
      <c r="K444" s="162" t="s">
        <v>559</v>
      </c>
      <c r="L444" s="1003"/>
      <c r="M444" s="304"/>
      <c r="N444" s="1003"/>
      <c r="O444" s="404"/>
      <c r="P444" s="274"/>
      <c r="Q444" s="1045"/>
      <c r="R444" s="1461">
        <v>0</v>
      </c>
      <c r="S444" s="1524"/>
      <c r="T444" s="1461">
        <v>0</v>
      </c>
      <c r="U444" s="1524"/>
      <c r="V444" s="1464">
        <v>0</v>
      </c>
      <c r="W444" s="2097"/>
      <c r="X444" s="2557"/>
      <c r="Y444" s="2558"/>
      <c r="Z444" s="2559"/>
      <c r="AA444" s="2982">
        <f>China!AO445</f>
        <v>0</v>
      </c>
      <c r="AB444" s="2985">
        <f>China!AP444</f>
        <v>0</v>
      </c>
      <c r="AC444" s="2983">
        <f>China!AQ445</f>
        <v>0</v>
      </c>
      <c r="AD444" s="2983">
        <f>China!AR444</f>
        <v>0</v>
      </c>
      <c r="AE444" s="2984">
        <f>China!AS445</f>
        <v>0</v>
      </c>
      <c r="AF444" s="2982"/>
      <c r="AG444" s="2983"/>
      <c r="AH444" s="2983"/>
      <c r="AI444" s="2983"/>
      <c r="AJ444" s="2984"/>
      <c r="AK444" s="2982"/>
      <c r="AL444" s="2983"/>
      <c r="AM444" s="2983"/>
      <c r="AN444" s="2651"/>
      <c r="AO444" s="2986"/>
      <c r="AP444" s="2611"/>
      <c r="AQ444" s="2651"/>
      <c r="AR444" s="2612"/>
      <c r="AS444" s="2651"/>
      <c r="AT444" s="2986"/>
      <c r="AU444" s="498" t="s">
        <v>1670</v>
      </c>
      <c r="AV444" s="367" t="s">
        <v>1671</v>
      </c>
      <c r="AW444" s="162" t="s">
        <v>1649</v>
      </c>
      <c r="AX444" s="547"/>
      <c r="AY444" s="547"/>
      <c r="AZ444" s="162"/>
      <c r="BA444" s="277"/>
      <c r="BB444" s="265" t="s">
        <v>1672</v>
      </c>
      <c r="BC444" s="982"/>
      <c r="BD444" s="18"/>
    </row>
    <row r="445" spans="2:56" ht="20.100000000000001" customHeight="1">
      <c r="B445" s="1360" t="b">
        <f t="shared" si="108"/>
        <v>0</v>
      </c>
      <c r="C445" s="28"/>
      <c r="D445" s="936" t="s">
        <v>1673</v>
      </c>
      <c r="E445" s="924"/>
      <c r="F445" s="285" t="s">
        <v>557</v>
      </c>
      <c r="G445" s="106"/>
      <c r="H445" s="353"/>
      <c r="I445" s="495" t="s">
        <v>1674</v>
      </c>
      <c r="J445" s="360"/>
      <c r="K445" s="162" t="s">
        <v>559</v>
      </c>
      <c r="L445" s="403">
        <v>0</v>
      </c>
      <c r="M445" s="379"/>
      <c r="N445" s="403">
        <v>0</v>
      </c>
      <c r="O445" s="1311"/>
      <c r="P445" s="274"/>
      <c r="Q445" s="1045"/>
      <c r="R445" s="1475">
        <v>0</v>
      </c>
      <c r="S445" s="1524">
        <v>0</v>
      </c>
      <c r="T445" s="1475">
        <v>0</v>
      </c>
      <c r="U445" s="1524">
        <v>0</v>
      </c>
      <c r="V445" s="1464">
        <v>0</v>
      </c>
      <c r="W445" s="2097"/>
      <c r="X445" s="2557">
        <f>'4DPLEX'!R406</f>
        <v>0</v>
      </c>
      <c r="Y445" s="2558">
        <f>'4DPLEX'!T406</f>
        <v>0</v>
      </c>
      <c r="Z445" s="2559">
        <f>'4DPLEX'!V406</f>
        <v>0</v>
      </c>
      <c r="AA445" s="2982">
        <f>China!AO446</f>
        <v>0</v>
      </c>
      <c r="AB445" s="2985">
        <f>China!AP445</f>
        <v>0</v>
      </c>
      <c r="AC445" s="2983">
        <f>China!AQ446</f>
        <v>0</v>
      </c>
      <c r="AD445" s="2985">
        <f>China!AR445</f>
        <v>0</v>
      </c>
      <c r="AE445" s="2984">
        <f>China!AS446</f>
        <v>0</v>
      </c>
      <c r="AF445" s="2982"/>
      <c r="AG445" s="2983"/>
      <c r="AH445" s="2983"/>
      <c r="AI445" s="2983"/>
      <c r="AJ445" s="2984"/>
      <c r="AK445" s="2982"/>
      <c r="AL445" s="2983"/>
      <c r="AM445" s="2983"/>
      <c r="AN445" s="2651"/>
      <c r="AO445" s="2986"/>
      <c r="AP445" s="2611"/>
      <c r="AQ445" s="2651"/>
      <c r="AR445" s="2612"/>
      <c r="AS445" s="2651"/>
      <c r="AT445" s="2986"/>
      <c r="AU445" s="498" t="s">
        <v>1663</v>
      </c>
      <c r="AV445" s="367" t="s">
        <v>1675</v>
      </c>
      <c r="AW445" s="508" t="s">
        <v>1676</v>
      </c>
      <c r="AX445" s="547"/>
      <c r="AY445" s="547"/>
      <c r="AZ445" s="162"/>
      <c r="BA445" s="277" t="s">
        <v>1677</v>
      </c>
      <c r="BB445" s="265" t="s">
        <v>1678</v>
      </c>
      <c r="BC445" s="982"/>
      <c r="BD445" s="18"/>
    </row>
    <row r="446" spans="2:56" ht="20.100000000000001" customHeight="1">
      <c r="B446" s="1360" t="b">
        <f t="shared" si="108"/>
        <v>0</v>
      </c>
      <c r="C446" s="28"/>
      <c r="D446" s="936" t="s">
        <v>1679</v>
      </c>
      <c r="E446" s="924"/>
      <c r="F446" s="285" t="s">
        <v>233</v>
      </c>
      <c r="G446" s="106"/>
      <c r="H446" s="353"/>
      <c r="I446" s="495" t="s">
        <v>1353</v>
      </c>
      <c r="J446" s="360"/>
      <c r="K446" s="162" t="s">
        <v>295</v>
      </c>
      <c r="L446" s="304">
        <v>0</v>
      </c>
      <c r="M446" s="304"/>
      <c r="N446" s="304">
        <v>0</v>
      </c>
      <c r="O446" s="404"/>
      <c r="P446" s="274"/>
      <c r="Q446" s="1045"/>
      <c r="R446" s="1486">
        <v>0</v>
      </c>
      <c r="S446" s="1347">
        <v>0</v>
      </c>
      <c r="T446" s="1486">
        <v>0</v>
      </c>
      <c r="U446" s="1347">
        <v>0</v>
      </c>
      <c r="V446" s="1490">
        <v>0</v>
      </c>
      <c r="W446" s="2097"/>
      <c r="X446" s="2557">
        <f>'4DPLEX'!R407</f>
        <v>0</v>
      </c>
      <c r="Y446" s="2558">
        <f>'4DPLEX'!T407</f>
        <v>0</v>
      </c>
      <c r="Z446" s="2559">
        <f>'4DPLEX'!V407</f>
        <v>0</v>
      </c>
      <c r="AA446" s="2982">
        <f>China!AO447</f>
        <v>1</v>
      </c>
      <c r="AB446" s="2985">
        <f>China!AP446</f>
        <v>0</v>
      </c>
      <c r="AC446" s="2983">
        <f>China!AQ447</f>
        <v>1</v>
      </c>
      <c r="AD446" s="2985">
        <f>China!AR446</f>
        <v>0</v>
      </c>
      <c r="AE446" s="2984">
        <f>China!AS447</f>
        <v>1</v>
      </c>
      <c r="AF446" s="2982"/>
      <c r="AG446" s="2983"/>
      <c r="AH446" s="2983"/>
      <c r="AI446" s="2983"/>
      <c r="AJ446" s="2984"/>
      <c r="AK446" s="2982"/>
      <c r="AL446" s="2983"/>
      <c r="AM446" s="2983"/>
      <c r="AN446" s="2651"/>
      <c r="AO446" s="2986"/>
      <c r="AP446" s="2611"/>
      <c r="AQ446" s="2651"/>
      <c r="AR446" s="2612"/>
      <c r="AS446" s="2651"/>
      <c r="AT446" s="2986"/>
      <c r="AU446" s="498" t="s">
        <v>1680</v>
      </c>
      <c r="AV446" s="367" t="s">
        <v>1681</v>
      </c>
      <c r="AW446" s="162" t="s">
        <v>1649</v>
      </c>
      <c r="AX446" s="547"/>
      <c r="AY446" s="547"/>
      <c r="AZ446" s="162"/>
      <c r="BA446" s="277" t="s">
        <v>1357</v>
      </c>
      <c r="BB446" s="265"/>
      <c r="BC446" s="982"/>
      <c r="BD446" s="18"/>
    </row>
    <row r="447" spans="2:56" ht="20.100000000000001" customHeight="1">
      <c r="B447" s="1360" t="b">
        <f t="shared" si="108"/>
        <v>1</v>
      </c>
      <c r="C447" s="28"/>
      <c r="D447" s="936" t="s">
        <v>1683</v>
      </c>
      <c r="E447" s="924"/>
      <c r="F447" s="285" t="s">
        <v>156</v>
      </c>
      <c r="G447" s="106"/>
      <c r="H447" s="353"/>
      <c r="I447" s="495" t="s">
        <v>1684</v>
      </c>
      <c r="J447" s="360"/>
      <c r="K447" s="162" t="s">
        <v>156</v>
      </c>
      <c r="L447" s="274"/>
      <c r="M447" s="304"/>
      <c r="N447" s="274"/>
      <c r="O447" s="404"/>
      <c r="P447" s="274"/>
      <c r="Q447" s="1045"/>
      <c r="R447" s="1486"/>
      <c r="S447" s="1403"/>
      <c r="T447" s="1486"/>
      <c r="U447" s="1403"/>
      <c r="V447" s="1486"/>
      <c r="W447" s="2097"/>
      <c r="X447" s="2557"/>
      <c r="Y447" s="2558"/>
      <c r="Z447" s="2559"/>
      <c r="AA447" s="5128">
        <f>China!AO448</f>
        <v>0</v>
      </c>
      <c r="AB447" s="5393">
        <f>China!AP447</f>
        <v>0</v>
      </c>
      <c r="AC447" s="5394">
        <f>China!AQ448</f>
        <v>0</v>
      </c>
      <c r="AD447" s="5393">
        <f>China!AR447</f>
        <v>0</v>
      </c>
      <c r="AE447" s="5395">
        <f>China!AS448</f>
        <v>0</v>
      </c>
      <c r="AF447" s="2611"/>
      <c r="AG447" s="2651"/>
      <c r="AH447" s="2612"/>
      <c r="AI447" s="2651"/>
      <c r="AJ447" s="2986"/>
      <c r="AK447" s="2611"/>
      <c r="AL447" s="2651"/>
      <c r="AM447" s="2612"/>
      <c r="AN447" s="2651"/>
      <c r="AO447" s="2986"/>
      <c r="AP447" s="2611"/>
      <c r="AQ447" s="2651"/>
      <c r="AR447" s="2612"/>
      <c r="AS447" s="2651"/>
      <c r="AT447" s="2986"/>
      <c r="AU447" s="498" t="s">
        <v>1685</v>
      </c>
      <c r="AV447" s="367" t="s">
        <v>1686</v>
      </c>
      <c r="AW447" s="162" t="s">
        <v>206</v>
      </c>
      <c r="AX447" s="547"/>
      <c r="AY447" s="547"/>
      <c r="AZ447" s="162"/>
      <c r="BA447" s="277"/>
      <c r="BB447" s="265" t="s">
        <v>1687</v>
      </c>
      <c r="BC447" s="982"/>
      <c r="BD447" s="18"/>
    </row>
    <row r="448" spans="2:56" ht="20.100000000000001" customHeight="1">
      <c r="B448" s="1360" t="b">
        <f t="shared" si="108"/>
        <v>0</v>
      </c>
      <c r="C448" s="28"/>
      <c r="D448" s="936" t="s">
        <v>1688</v>
      </c>
      <c r="E448" s="924"/>
      <c r="F448" s="285" t="s">
        <v>557</v>
      </c>
      <c r="G448" s="106"/>
      <c r="H448" s="353"/>
      <c r="I448" s="495" t="s">
        <v>1689</v>
      </c>
      <c r="J448" s="360"/>
      <c r="K448" s="162" t="s">
        <v>559</v>
      </c>
      <c r="L448" s="1003"/>
      <c r="M448" s="304"/>
      <c r="N448" s="1003"/>
      <c r="O448" s="404"/>
      <c r="P448" s="274"/>
      <c r="Q448" s="1045"/>
      <c r="R448" s="1472">
        <v>0</v>
      </c>
      <c r="S448" s="1538"/>
      <c r="T448" s="1472">
        <v>0</v>
      </c>
      <c r="U448" s="1538"/>
      <c r="V448" s="1461">
        <v>0</v>
      </c>
      <c r="W448" s="2097"/>
      <c r="X448" s="2557"/>
      <c r="Y448" s="2558"/>
      <c r="Z448" s="2559"/>
      <c r="AA448" s="2611">
        <f>China!AO449</f>
        <v>0</v>
      </c>
      <c r="AB448" s="2845">
        <f>China!AP448</f>
        <v>0</v>
      </c>
      <c r="AC448" s="2612">
        <f>China!AQ449</f>
        <v>0</v>
      </c>
      <c r="AD448" s="2651">
        <f>China!AR448</f>
        <v>0</v>
      </c>
      <c r="AE448" s="2986">
        <f>China!AS449</f>
        <v>0</v>
      </c>
      <c r="AF448" s="2611"/>
      <c r="AG448" s="2651"/>
      <c r="AH448" s="2612"/>
      <c r="AI448" s="2651"/>
      <c r="AJ448" s="2986"/>
      <c r="AK448" s="2611"/>
      <c r="AL448" s="2651"/>
      <c r="AM448" s="2612"/>
      <c r="AN448" s="2651"/>
      <c r="AO448" s="2986"/>
      <c r="AP448" s="2611"/>
      <c r="AQ448" s="2651"/>
      <c r="AR448" s="2612"/>
      <c r="AS448" s="2651"/>
      <c r="AT448" s="2986"/>
      <c r="AU448" s="498" t="s">
        <v>1690</v>
      </c>
      <c r="AV448" s="367" t="s">
        <v>1691</v>
      </c>
      <c r="AW448" s="162" t="s">
        <v>1649</v>
      </c>
      <c r="AX448" s="547"/>
      <c r="AY448" s="547"/>
      <c r="AZ448" s="162"/>
      <c r="BA448" s="265"/>
      <c r="BB448" s="265" t="s">
        <v>1692</v>
      </c>
      <c r="BC448" s="982"/>
      <c r="BD448" s="18"/>
    </row>
    <row r="449" spans="1:56" ht="20.100000000000001" customHeight="1">
      <c r="B449" s="1360" t="b">
        <f t="shared" si="108"/>
        <v>0</v>
      </c>
      <c r="C449" s="1373"/>
      <c r="D449" s="936" t="s">
        <v>1693</v>
      </c>
      <c r="E449" s="924"/>
      <c r="F449" s="285" t="s">
        <v>557</v>
      </c>
      <c r="G449" s="384"/>
      <c r="H449" s="385"/>
      <c r="I449" s="495" t="s">
        <v>1694</v>
      </c>
      <c r="J449" s="360"/>
      <c r="K449" s="162" t="s">
        <v>559</v>
      </c>
      <c r="L449" s="1003"/>
      <c r="M449" s="304"/>
      <c r="N449" s="1003"/>
      <c r="O449" s="404"/>
      <c r="P449" s="274"/>
      <c r="Q449" s="1045"/>
      <c r="R449" s="1472">
        <v>0</v>
      </c>
      <c r="S449" s="1538"/>
      <c r="T449" s="1472">
        <v>0</v>
      </c>
      <c r="U449" s="1538"/>
      <c r="V449" s="1461">
        <v>0</v>
      </c>
      <c r="W449" s="2097"/>
      <c r="X449" s="2557"/>
      <c r="Y449" s="2558"/>
      <c r="Z449" s="2559"/>
      <c r="AA449" s="2611">
        <f>China!AO450</f>
        <v>0</v>
      </c>
      <c r="AB449" s="2845">
        <f>China!AP449</f>
        <v>0</v>
      </c>
      <c r="AC449" s="2612">
        <f>China!AQ450</f>
        <v>0</v>
      </c>
      <c r="AD449" s="2651">
        <f>China!AR449</f>
        <v>0</v>
      </c>
      <c r="AE449" s="2986">
        <f>China!AS450</f>
        <v>0</v>
      </c>
      <c r="AF449" s="2611"/>
      <c r="AG449" s="2651"/>
      <c r="AH449" s="2612"/>
      <c r="AI449" s="2651"/>
      <c r="AJ449" s="2986"/>
      <c r="AK449" s="2611"/>
      <c r="AL449" s="2651"/>
      <c r="AM449" s="2612"/>
      <c r="AN449" s="2651"/>
      <c r="AO449" s="2986"/>
      <c r="AP449" s="2611"/>
      <c r="AQ449" s="2651"/>
      <c r="AR449" s="2612"/>
      <c r="AS449" s="2651"/>
      <c r="AT449" s="2986"/>
      <c r="AU449" s="498" t="s">
        <v>1695</v>
      </c>
      <c r="AV449" s="367" t="s">
        <v>1696</v>
      </c>
      <c r="AW449" s="162" t="s">
        <v>1649</v>
      </c>
      <c r="AX449" s="547"/>
      <c r="AY449" s="547"/>
      <c r="AZ449" s="162"/>
      <c r="BA449" s="265"/>
      <c r="BB449" s="265" t="s">
        <v>1697</v>
      </c>
      <c r="BC449" s="982"/>
      <c r="BD449" s="18"/>
    </row>
    <row r="450" spans="1:56" s="139" customFormat="1" ht="19.149999999999999" customHeight="1">
      <c r="A450" s="11"/>
      <c r="B450" s="1353" t="str">
        <f>C450</f>
        <v>윤리경영 관련 제보</v>
      </c>
      <c r="C450" s="947" t="s">
        <v>1698</v>
      </c>
      <c r="D450" s="695"/>
      <c r="E450" s="695"/>
      <c r="F450" s="1560"/>
      <c r="G450" s="685"/>
      <c r="H450" s="686" t="s">
        <v>1699</v>
      </c>
      <c r="I450" s="729"/>
      <c r="J450" s="730"/>
      <c r="K450" s="881"/>
      <c r="L450" s="1085"/>
      <c r="M450" s="1085"/>
      <c r="N450" s="1085"/>
      <c r="O450" s="1085"/>
      <c r="P450" s="1085"/>
      <c r="Q450" s="1085"/>
      <c r="R450" s="1594"/>
      <c r="S450" s="1595"/>
      <c r="T450" s="1596"/>
      <c r="U450" s="1595"/>
      <c r="V450" s="1596"/>
      <c r="W450" s="2098"/>
      <c r="X450" s="2978"/>
      <c r="Y450" s="2979"/>
      <c r="Z450" s="2980"/>
      <c r="AA450" s="2624"/>
      <c r="AB450" s="2988"/>
      <c r="AC450" s="2572"/>
      <c r="AD450" s="2572"/>
      <c r="AE450" s="2987"/>
      <c r="AF450" s="2624"/>
      <c r="AG450" s="2572"/>
      <c r="AH450" s="2572"/>
      <c r="AI450" s="2572"/>
      <c r="AJ450" s="2987"/>
      <c r="AK450" s="2624"/>
      <c r="AL450" s="2572"/>
      <c r="AM450" s="2572"/>
      <c r="AN450" s="2572"/>
      <c r="AO450" s="2987"/>
      <c r="AP450" s="2624"/>
      <c r="AQ450" s="2572"/>
      <c r="AR450" s="2572"/>
      <c r="AS450" s="2572"/>
      <c r="AT450" s="2987"/>
      <c r="AU450" s="2486"/>
      <c r="AV450" s="1309"/>
      <c r="AW450" s="162" t="s">
        <v>1415</v>
      </c>
      <c r="AX450" s="547"/>
      <c r="AY450" s="547"/>
      <c r="AZ450" s="162"/>
      <c r="BA450" s="691"/>
      <c r="BB450" s="691"/>
      <c r="BC450" s="1044"/>
      <c r="BD450" s="18"/>
    </row>
    <row r="451" spans="1:56" ht="20.100000000000001" customHeight="1">
      <c r="B451" s="1360" t="b">
        <f t="shared" ref="B451:B457" si="109">OR(ISBLANK(R451),ISBLANK(T451),ISBLANK(V451))</f>
        <v>1</v>
      </c>
      <c r="C451" s="1383"/>
      <c r="D451" s="936" t="s">
        <v>1700</v>
      </c>
      <c r="E451" s="924"/>
      <c r="F451" s="285" t="s">
        <v>1476</v>
      </c>
      <c r="G451" s="347"/>
      <c r="H451" s="348"/>
      <c r="I451" s="358" t="s">
        <v>1701</v>
      </c>
      <c r="J451" s="358"/>
      <c r="K451" s="162" t="s">
        <v>559</v>
      </c>
      <c r="L451" s="304">
        <v>19</v>
      </c>
      <c r="M451" s="304"/>
      <c r="N451" s="304">
        <v>20</v>
      </c>
      <c r="O451" s="404"/>
      <c r="P451" s="274"/>
      <c r="Q451" s="1045"/>
      <c r="R451" s="1461">
        <v>19</v>
      </c>
      <c r="S451" s="1538" t="s">
        <v>1870</v>
      </c>
      <c r="T451" s="1461">
        <v>20</v>
      </c>
      <c r="U451" s="1538" t="s">
        <v>1871</v>
      </c>
      <c r="V451" s="1461"/>
      <c r="W451" s="2097"/>
      <c r="X451" s="2557">
        <f>'4DPLEX'!R411</f>
        <v>0</v>
      </c>
      <c r="Y451" s="2558">
        <f>'4DPLEX'!T411</f>
        <v>0</v>
      </c>
      <c r="Z451" s="2559">
        <f>'4DPLEX'!V411</f>
        <v>0</v>
      </c>
      <c r="AA451" s="2611"/>
      <c r="AB451" s="2845"/>
      <c r="AC451" s="2612"/>
      <c r="AD451" s="2845"/>
      <c r="AE451" s="2986"/>
      <c r="AF451" s="2611"/>
      <c r="AG451" s="2651"/>
      <c r="AH451" s="2612"/>
      <c r="AI451" s="2651"/>
      <c r="AJ451" s="2986"/>
      <c r="AK451" s="2611"/>
      <c r="AL451" s="2845"/>
      <c r="AM451" s="2612"/>
      <c r="AN451" s="2845"/>
      <c r="AO451" s="2986"/>
      <c r="AP451" s="2611"/>
      <c r="AQ451" s="2651"/>
      <c r="AR451" s="2612"/>
      <c r="AS451" s="2651"/>
      <c r="AT451" s="2986"/>
      <c r="AU451" s="498" t="s">
        <v>1702</v>
      </c>
      <c r="AV451" s="367" t="s">
        <v>1703</v>
      </c>
      <c r="AW451" s="162" t="s">
        <v>1415</v>
      </c>
      <c r="AX451" s="547"/>
      <c r="AY451" s="547"/>
      <c r="AZ451" s="162"/>
      <c r="BA451" s="265" t="s">
        <v>1704</v>
      </c>
      <c r="BB451" s="265"/>
      <c r="BC451" s="982"/>
      <c r="BD451" s="18"/>
    </row>
    <row r="452" spans="1:56" ht="20.100000000000001" customHeight="1">
      <c r="B452" s="1360" t="b">
        <f t="shared" si="109"/>
        <v>1</v>
      </c>
      <c r="C452" s="1384"/>
      <c r="D452" s="936" t="s">
        <v>1706</v>
      </c>
      <c r="E452" s="924"/>
      <c r="F452" s="285" t="s">
        <v>1476</v>
      </c>
      <c r="G452" s="384"/>
      <c r="H452" s="385"/>
      <c r="I452" s="358" t="s">
        <v>1707</v>
      </c>
      <c r="J452" s="358"/>
      <c r="K452" s="162" t="s">
        <v>559</v>
      </c>
      <c r="L452" s="304">
        <v>15</v>
      </c>
      <c r="M452" s="304"/>
      <c r="N452" s="304">
        <v>13</v>
      </c>
      <c r="O452" s="227"/>
      <c r="P452" s="274"/>
      <c r="Q452" s="1045"/>
      <c r="R452" s="1461">
        <v>15</v>
      </c>
      <c r="S452" s="1538" t="s">
        <v>1872</v>
      </c>
      <c r="T452" s="1461">
        <v>13</v>
      </c>
      <c r="U452" s="1538" t="s">
        <v>1872</v>
      </c>
      <c r="V452" s="1461"/>
      <c r="W452" s="2097"/>
      <c r="X452" s="2557">
        <f>'4DPLEX'!R412</f>
        <v>0</v>
      </c>
      <c r="Y452" s="2558">
        <f>'4DPLEX'!T412</f>
        <v>0</v>
      </c>
      <c r="Z452" s="2559">
        <f>'4DPLEX'!V412</f>
        <v>0</v>
      </c>
      <c r="AA452" s="2611"/>
      <c r="AB452" s="2651"/>
      <c r="AC452" s="2612"/>
      <c r="AD452" s="2651"/>
      <c r="AE452" s="2986"/>
      <c r="AF452" s="2611"/>
      <c r="AG452" s="2651"/>
      <c r="AH452" s="2612"/>
      <c r="AI452" s="2651"/>
      <c r="AJ452" s="2986"/>
      <c r="AK452" s="2611"/>
      <c r="AL452" s="2651"/>
      <c r="AM452" s="2612"/>
      <c r="AN452" s="2651"/>
      <c r="AO452" s="2986"/>
      <c r="AP452" s="2611"/>
      <c r="AQ452" s="2651"/>
      <c r="AR452" s="2612"/>
      <c r="AS452" s="2651"/>
      <c r="AT452" s="2986"/>
      <c r="AU452" s="498" t="s">
        <v>1708</v>
      </c>
      <c r="AV452" s="367" t="s">
        <v>1709</v>
      </c>
      <c r="AW452" s="162" t="s">
        <v>1415</v>
      </c>
      <c r="AX452" s="547"/>
      <c r="AY452" s="547"/>
      <c r="AZ452" s="162"/>
      <c r="BA452" s="265" t="s">
        <v>1710</v>
      </c>
      <c r="BB452" s="265" t="s">
        <v>1711</v>
      </c>
      <c r="BC452" s="982"/>
      <c r="BD452" s="18"/>
    </row>
    <row r="453" spans="1:56" ht="20.100000000000001" customHeight="1">
      <c r="B453" s="1360" t="b">
        <f t="shared" si="109"/>
        <v>1</v>
      </c>
      <c r="C453" s="359" t="s">
        <v>1712</v>
      </c>
      <c r="D453" s="497"/>
      <c r="E453" s="360"/>
      <c r="F453" s="285" t="s">
        <v>557</v>
      </c>
      <c r="G453" s="358"/>
      <c r="H453" s="359" t="s">
        <v>1713</v>
      </c>
      <c r="I453" s="497"/>
      <c r="J453" s="360"/>
      <c r="K453" s="109" t="s">
        <v>559</v>
      </c>
      <c r="L453" s="94"/>
      <c r="M453" s="93"/>
      <c r="N453" s="94"/>
      <c r="O453" s="227"/>
      <c r="P453" s="94"/>
      <c r="Q453" s="1045"/>
      <c r="R453" s="1461"/>
      <c r="S453" s="1538"/>
      <c r="T453" s="1461"/>
      <c r="U453" s="1538"/>
      <c r="V453" s="1461"/>
      <c r="W453" s="2097"/>
      <c r="X453" s="2557"/>
      <c r="Y453" s="2558"/>
      <c r="Z453" s="2559"/>
      <c r="AA453" s="2553"/>
      <c r="AB453" s="2560"/>
      <c r="AC453" s="2554"/>
      <c r="AD453" s="2560"/>
      <c r="AE453" s="2655"/>
      <c r="AF453" s="2553"/>
      <c r="AG453" s="2560"/>
      <c r="AH453" s="2554"/>
      <c r="AI453" s="2560"/>
      <c r="AJ453" s="2655"/>
      <c r="AK453" s="2553"/>
      <c r="AL453" s="2560"/>
      <c r="AM453" s="2554"/>
      <c r="AN453" s="2560"/>
      <c r="AO453" s="2655"/>
      <c r="AP453" s="2553"/>
      <c r="AQ453" s="2560"/>
      <c r="AR453" s="2554"/>
      <c r="AS453" s="2560"/>
      <c r="AT453" s="2655"/>
      <c r="AU453" s="2468" t="s">
        <v>1714</v>
      </c>
      <c r="AV453" s="276" t="s">
        <v>1715</v>
      </c>
      <c r="AW453" s="162" t="s">
        <v>1415</v>
      </c>
      <c r="AX453" s="547"/>
      <c r="AY453" s="547"/>
      <c r="AZ453" s="162"/>
      <c r="BA453" s="265"/>
      <c r="BB453" s="265" t="s">
        <v>1711</v>
      </c>
      <c r="BC453" s="982"/>
      <c r="BD453" s="18"/>
    </row>
    <row r="454" spans="1:56" ht="20.100000000000001" customHeight="1">
      <c r="B454" s="1360" t="b">
        <f t="shared" si="109"/>
        <v>0</v>
      </c>
      <c r="C454" s="491" t="s">
        <v>1722</v>
      </c>
      <c r="D454" s="497"/>
      <c r="E454" s="360"/>
      <c r="F454" s="285" t="s">
        <v>557</v>
      </c>
      <c r="G454" s="358"/>
      <c r="H454" s="359" t="s">
        <v>1723</v>
      </c>
      <c r="I454" s="497"/>
      <c r="J454" s="360"/>
      <c r="K454" s="109" t="s">
        <v>559</v>
      </c>
      <c r="L454" s="94"/>
      <c r="M454" s="93"/>
      <c r="N454" s="94"/>
      <c r="O454" s="227"/>
      <c r="P454" s="94"/>
      <c r="Q454" s="1312"/>
      <c r="R454" s="1461">
        <v>0</v>
      </c>
      <c r="S454" s="1538"/>
      <c r="T454" s="1461">
        <v>0</v>
      </c>
      <c r="U454" s="1538"/>
      <c r="V454" s="1461">
        <v>0</v>
      </c>
      <c r="W454" s="2101"/>
      <c r="X454" s="2557"/>
      <c r="Y454" s="2558"/>
      <c r="Z454" s="2559"/>
      <c r="AA454" s="2553" t="str">
        <f>China!AO455</f>
        <v>-</v>
      </c>
      <c r="AB454" s="2560">
        <f>China!AP454</f>
        <v>0</v>
      </c>
      <c r="AC454" s="2554" t="str">
        <f>China!AQ455</f>
        <v>-</v>
      </c>
      <c r="AD454" s="2560">
        <f>China!AR454</f>
        <v>0</v>
      </c>
      <c r="AE454" s="2655">
        <f>China!AS455</f>
        <v>100</v>
      </c>
      <c r="AF454" s="2553"/>
      <c r="AG454" s="2560"/>
      <c r="AH454" s="2554"/>
      <c r="AI454" s="2560"/>
      <c r="AJ454" s="2655"/>
      <c r="AK454" s="2553"/>
      <c r="AL454" s="2560"/>
      <c r="AM454" s="2554"/>
      <c r="AN454" s="2560"/>
      <c r="AO454" s="2655"/>
      <c r="AP454" s="2553"/>
      <c r="AQ454" s="2560"/>
      <c r="AR454" s="2554"/>
      <c r="AS454" s="2560"/>
      <c r="AT454" s="2655"/>
      <c r="AU454" s="2468" t="s">
        <v>1724</v>
      </c>
      <c r="AV454" s="276" t="s">
        <v>1725</v>
      </c>
      <c r="AW454" s="162" t="s">
        <v>1726</v>
      </c>
      <c r="AX454" s="547"/>
      <c r="AY454" s="547"/>
      <c r="AZ454" s="162"/>
      <c r="BA454" s="265"/>
      <c r="BB454" s="265" t="s">
        <v>1678</v>
      </c>
      <c r="BC454" s="982"/>
      <c r="BD454" s="18"/>
    </row>
    <row r="455" spans="1:56" s="139" customFormat="1" ht="20.100000000000001" customHeight="1">
      <c r="B455" s="1360" t="b">
        <f t="shared" si="109"/>
        <v>0</v>
      </c>
      <c r="C455" s="924" t="s">
        <v>1727</v>
      </c>
      <c r="D455" s="1313"/>
      <c r="E455" s="1313"/>
      <c r="F455" s="285" t="s">
        <v>156</v>
      </c>
      <c r="G455" s="1223"/>
      <c r="H455" s="925" t="s">
        <v>1728</v>
      </c>
      <c r="I455" s="926"/>
      <c r="J455" s="927"/>
      <c r="K455" s="109" t="s">
        <v>156</v>
      </c>
      <c r="L455" s="1314">
        <f>IFERROR(L456/L457*100,"-")</f>
        <v>58.624031007751945</v>
      </c>
      <c r="M455" s="1289"/>
      <c r="N455" s="1314">
        <f>IFERROR(N456/N457*100,"-")</f>
        <v>61.320316132031614</v>
      </c>
      <c r="O455" s="227" t="str">
        <f t="shared" ref="O455:P455" si="110">IFERROR(O456/O457*100,"-")</f>
        <v>-</v>
      </c>
      <c r="P455" s="1314" t="str">
        <f t="shared" si="110"/>
        <v>-</v>
      </c>
      <c r="Q455" s="1315"/>
      <c r="R455" s="1510">
        <f>IFERROR(R456/R457*100,"-")</f>
        <v>99.899193548387103</v>
      </c>
      <c r="S455" s="1214"/>
      <c r="T455" s="1510">
        <f>IFERROR(T456/T457*100,"-")</f>
        <v>100</v>
      </c>
      <c r="U455" s="1459"/>
      <c r="V455" s="1510">
        <f>IFERROR(V456/V457*100,"-")</f>
        <v>100</v>
      </c>
      <c r="W455" s="2102"/>
      <c r="X455" s="2669">
        <f>IFERROR(X456/X457*100,"-")</f>
        <v>96.899224806201545</v>
      </c>
      <c r="Y455" s="2670">
        <f t="shared" ref="Y455:Z455" si="111">IFERROR(Y456/Y457*100,"-")</f>
        <v>99.375</v>
      </c>
      <c r="Z455" s="2671">
        <f t="shared" si="111"/>
        <v>98.958333333333343</v>
      </c>
      <c r="AA455" s="2989"/>
      <c r="AB455" s="2990"/>
      <c r="AC455" s="2991"/>
      <c r="AD455" s="2990"/>
      <c r="AE455" s="2992"/>
      <c r="AF455" s="2989"/>
      <c r="AG455" s="2990"/>
      <c r="AH455" s="2991"/>
      <c r="AI455" s="2990"/>
      <c r="AJ455" s="2992"/>
      <c r="AK455" s="2989"/>
      <c r="AL455" s="2819"/>
      <c r="AM455" s="2991"/>
      <c r="AN455" s="2819"/>
      <c r="AO455" s="2992"/>
      <c r="AP455" s="2989"/>
      <c r="AQ455" s="2560"/>
      <c r="AR455" s="2991"/>
      <c r="AS455" s="2560"/>
      <c r="AT455" s="2992"/>
      <c r="AU455" s="2492" t="s">
        <v>1729</v>
      </c>
      <c r="AV455" s="1202" t="s">
        <v>1730</v>
      </c>
      <c r="AW455" s="508" t="s">
        <v>1731</v>
      </c>
      <c r="AX455" s="547"/>
      <c r="AY455" s="547"/>
      <c r="AZ455" s="162"/>
      <c r="BA455" s="265" t="s">
        <v>1732</v>
      </c>
      <c r="BB455" s="265"/>
      <c r="BC455" s="982"/>
      <c r="BD455" s="10"/>
    </row>
    <row r="456" spans="1:56" s="139" customFormat="1" ht="20.100000000000001" customHeight="1">
      <c r="B456" s="1360" t="b">
        <f t="shared" si="109"/>
        <v>0</v>
      </c>
      <c r="C456" s="1352"/>
      <c r="D456" s="1317" t="s">
        <v>1733</v>
      </c>
      <c r="E456" s="1318"/>
      <c r="F456" s="285" t="s">
        <v>742</v>
      </c>
      <c r="G456" s="1319"/>
      <c r="H456" s="1320"/>
      <c r="I456" s="1321" t="s">
        <v>1734</v>
      </c>
      <c r="J456" s="1322"/>
      <c r="K456" s="109" t="s">
        <v>734</v>
      </c>
      <c r="L456" s="1204">
        <v>1210</v>
      </c>
      <c r="M456" s="1204"/>
      <c r="N456" s="1204">
        <v>1319</v>
      </c>
      <c r="O456" s="227"/>
      <c r="P456" s="1212"/>
      <c r="Q456" s="1045"/>
      <c r="R456" s="1461">
        <v>991</v>
      </c>
      <c r="S456" s="1538" t="s">
        <v>1873</v>
      </c>
      <c r="T456" s="1461">
        <v>1023</v>
      </c>
      <c r="U456" s="1538" t="s">
        <v>1874</v>
      </c>
      <c r="V456" s="1461">
        <v>1035</v>
      </c>
      <c r="W456" s="2097"/>
      <c r="X456" s="2637">
        <f>'4DPLEX'!R416</f>
        <v>125</v>
      </c>
      <c r="Y456" s="2639">
        <f>'4DPLEX'!T416</f>
        <v>159</v>
      </c>
      <c r="Z456" s="2993">
        <f>'4DPLEX'!V416</f>
        <v>190</v>
      </c>
      <c r="AA456" s="2660"/>
      <c r="AB456" s="2824"/>
      <c r="AC456" s="2661"/>
      <c r="AD456" s="2824"/>
      <c r="AE456" s="2663"/>
      <c r="AF456" s="2660"/>
      <c r="AG456" s="2819"/>
      <c r="AH456" s="2661"/>
      <c r="AI456" s="2819"/>
      <c r="AJ456" s="2663"/>
      <c r="AK456" s="2660"/>
      <c r="AL456" s="2819"/>
      <c r="AM456" s="2661"/>
      <c r="AN456" s="2819"/>
      <c r="AO456" s="2663"/>
      <c r="AP456" s="2660"/>
      <c r="AQ456" s="2560"/>
      <c r="AR456" s="2661"/>
      <c r="AS456" s="2560"/>
      <c r="AT456" s="2655"/>
      <c r="AU456" s="2492" t="s">
        <v>1735</v>
      </c>
      <c r="AV456" s="367" t="s">
        <v>1736</v>
      </c>
      <c r="AW456" s="508" t="s">
        <v>1731</v>
      </c>
      <c r="AX456" s="547"/>
      <c r="AY456" s="547"/>
      <c r="AZ456" s="162"/>
      <c r="BA456" s="265" t="s">
        <v>1732</v>
      </c>
      <c r="BB456" s="265" t="s">
        <v>527</v>
      </c>
      <c r="BC456" s="1325"/>
      <c r="BD456" s="10"/>
    </row>
    <row r="457" spans="1:56" s="139" customFormat="1" ht="22.9" customHeight="1" thickBot="1">
      <c r="B457" s="1361" t="b">
        <f t="shared" si="109"/>
        <v>0</v>
      </c>
      <c r="C457" s="1326"/>
      <c r="D457" s="1327" t="s">
        <v>1737</v>
      </c>
      <c r="E457" s="1328"/>
      <c r="F457" s="706" t="s">
        <v>742</v>
      </c>
      <c r="G457" s="1329"/>
      <c r="H457" s="1330"/>
      <c r="I457" s="1327" t="s">
        <v>1738</v>
      </c>
      <c r="J457" s="1331"/>
      <c r="K457" s="711" t="s">
        <v>734</v>
      </c>
      <c r="L457" s="1332">
        <v>2064</v>
      </c>
      <c r="M457" s="1332"/>
      <c r="N457" s="1332">
        <v>2151</v>
      </c>
      <c r="O457" s="1333"/>
      <c r="P457" s="1334"/>
      <c r="Q457" s="1267"/>
      <c r="R457" s="1473">
        <v>992</v>
      </c>
      <c r="S457" s="1543" t="s">
        <v>1875</v>
      </c>
      <c r="T457" s="1473">
        <v>1023</v>
      </c>
      <c r="U457" s="1543" t="s">
        <v>1875</v>
      </c>
      <c r="V457" s="1473">
        <v>1035</v>
      </c>
      <c r="W457" s="2103"/>
      <c r="X457" s="2690">
        <f>'4DPLEX'!R417</f>
        <v>129</v>
      </c>
      <c r="Y457" s="2691">
        <f>'4DPLEX'!T417</f>
        <v>160</v>
      </c>
      <c r="Z457" s="2692">
        <f>'4DPLEX'!V417</f>
        <v>192</v>
      </c>
      <c r="AA457" s="2994"/>
      <c r="AB457" s="2995"/>
      <c r="AC457" s="2996"/>
      <c r="AD457" s="2995"/>
      <c r="AE457" s="2997"/>
      <c r="AF457" s="2994"/>
      <c r="AG457" s="2995"/>
      <c r="AH457" s="2996"/>
      <c r="AI457" s="2995"/>
      <c r="AJ457" s="2997"/>
      <c r="AK457" s="2994"/>
      <c r="AL457" s="2998"/>
      <c r="AM457" s="2996"/>
      <c r="AN457" s="2999"/>
      <c r="AO457" s="2997"/>
      <c r="AP457" s="2994"/>
      <c r="AQ457" s="2995"/>
      <c r="AR457" s="2996"/>
      <c r="AS457" s="2995"/>
      <c r="AT457" s="2997"/>
      <c r="AU457" s="2477" t="s">
        <v>1739</v>
      </c>
      <c r="AV457" s="1180" t="s">
        <v>1740</v>
      </c>
      <c r="AW457" s="1337" t="s">
        <v>1731</v>
      </c>
      <c r="AX457" s="597"/>
      <c r="AY457" s="1129"/>
      <c r="AZ457" s="1338"/>
      <c r="BA457" s="1339" t="s">
        <v>1732</v>
      </c>
      <c r="BB457" s="1340"/>
      <c r="BC457" s="1341"/>
      <c r="BD457" s="10"/>
    </row>
    <row r="458" spans="1:56">
      <c r="C458" s="481"/>
      <c r="D458" s="481"/>
      <c r="E458" s="481"/>
      <c r="G458" s="1342"/>
      <c r="H458" s="1342"/>
      <c r="I458" s="1342"/>
      <c r="J458" s="1342"/>
      <c r="L458" s="1343"/>
      <c r="M458" s="1343"/>
      <c r="N458" s="1343"/>
      <c r="O458" s="1343"/>
      <c r="P458" s="1343"/>
      <c r="Q458" s="1343"/>
      <c r="R458" s="1515"/>
      <c r="S458" s="1459"/>
      <c r="T458" s="1515"/>
      <c r="U458" s="1459"/>
      <c r="V458" s="1515"/>
      <c r="W458" s="1343"/>
      <c r="X458" s="1344"/>
      <c r="Y458" s="1344"/>
      <c r="Z458" s="1344"/>
      <c r="AA458" s="1344"/>
      <c r="AB458" s="1344"/>
      <c r="AC458" s="1344"/>
      <c r="AD458" s="1344"/>
      <c r="AE458" s="1344"/>
      <c r="AF458" s="1344"/>
      <c r="AG458" s="1344"/>
      <c r="AH458" s="1344"/>
      <c r="AI458" s="1344"/>
      <c r="AJ458" s="1344"/>
      <c r="AK458" s="1344"/>
      <c r="AL458" s="1344"/>
      <c r="AM458" s="1344"/>
      <c r="AN458" s="1344"/>
      <c r="AO458" s="1344"/>
      <c r="AP458" s="1344"/>
      <c r="AQ458" s="1344"/>
      <c r="AR458" s="1344"/>
      <c r="AS458" s="1344"/>
      <c r="AT458" s="1344"/>
    </row>
    <row r="459" spans="1:56">
      <c r="L459" s="1343"/>
      <c r="M459" s="1343"/>
      <c r="N459" s="1343"/>
      <c r="O459" s="1343"/>
      <c r="P459" s="1343"/>
      <c r="Q459" s="1343"/>
      <c r="R459" s="1515"/>
      <c r="S459" s="1459"/>
      <c r="T459" s="1515"/>
      <c r="U459" s="1459"/>
      <c r="V459" s="1515"/>
      <c r="W459" s="1343"/>
      <c r="X459" s="1344"/>
      <c r="Y459" s="1344"/>
      <c r="Z459" s="1344"/>
      <c r="AA459" s="1344"/>
      <c r="AB459" s="1344"/>
      <c r="AC459" s="1344"/>
      <c r="AD459" s="1344"/>
      <c r="AE459" s="1344"/>
      <c r="AF459" s="1344"/>
      <c r="AG459" s="1344"/>
      <c r="AH459" s="1344"/>
      <c r="AI459" s="1344"/>
      <c r="AJ459" s="1344"/>
      <c r="AK459" s="1344"/>
      <c r="AL459" s="1344"/>
      <c r="AM459" s="1344"/>
      <c r="AN459" s="1344"/>
      <c r="AO459" s="1344"/>
      <c r="AP459" s="1344"/>
      <c r="AQ459" s="1344"/>
      <c r="AR459" s="1344"/>
      <c r="AS459" s="1344"/>
      <c r="AT459" s="1344"/>
    </row>
    <row r="460" spans="1:56">
      <c r="L460" s="1343"/>
      <c r="M460" s="1343"/>
      <c r="N460" s="1343"/>
      <c r="O460" s="1343"/>
      <c r="P460" s="1343"/>
      <c r="Q460" s="1343"/>
      <c r="R460" s="1515"/>
      <c r="S460" s="1459"/>
      <c r="T460" s="1515"/>
      <c r="U460" s="1459"/>
      <c r="V460" s="1515"/>
      <c r="W460" s="1343"/>
      <c r="X460" s="1344"/>
      <c r="Y460" s="1344"/>
      <c r="Z460" s="1344"/>
      <c r="AA460" s="1344"/>
      <c r="AB460" s="1344"/>
      <c r="AC460" s="1344"/>
      <c r="AD460" s="1344"/>
      <c r="AE460" s="1344"/>
      <c r="AF460" s="1344"/>
      <c r="AG460" s="1344"/>
      <c r="AH460" s="1344"/>
      <c r="AI460" s="1344"/>
      <c r="AJ460" s="1344"/>
      <c r="AK460" s="1344"/>
      <c r="AL460" s="1344"/>
      <c r="AM460" s="1344"/>
      <c r="AN460" s="1344"/>
      <c r="AO460" s="1344"/>
      <c r="AP460" s="1344"/>
      <c r="AQ460" s="1344"/>
      <c r="AR460" s="1344"/>
      <c r="AS460" s="1344"/>
      <c r="AT460" s="1344"/>
    </row>
    <row r="461" spans="1:56">
      <c r="L461" s="1343"/>
      <c r="M461" s="1343"/>
      <c r="N461" s="1343"/>
      <c r="O461" s="1343"/>
      <c r="P461" s="1343"/>
      <c r="Q461" s="1343"/>
      <c r="R461" s="1515"/>
      <c r="S461" s="1459"/>
      <c r="T461" s="1515"/>
      <c r="U461" s="1459"/>
      <c r="V461" s="1515"/>
      <c r="W461" s="1343"/>
      <c r="X461" s="1344"/>
      <c r="Y461" s="1344"/>
      <c r="Z461" s="1344"/>
      <c r="AA461" s="1344"/>
      <c r="AB461" s="1344"/>
      <c r="AC461" s="1344"/>
      <c r="AD461" s="1344"/>
      <c r="AE461" s="1344"/>
      <c r="AF461" s="1344"/>
      <c r="AG461" s="1344"/>
      <c r="AH461" s="1344"/>
      <c r="AI461" s="1344"/>
      <c r="AJ461" s="1344"/>
      <c r="AK461" s="1344"/>
      <c r="AL461" s="1344"/>
      <c r="AM461" s="1344"/>
      <c r="AN461" s="1344"/>
      <c r="AO461" s="1344"/>
      <c r="AP461" s="1344"/>
      <c r="AQ461" s="1344"/>
      <c r="AR461" s="1344"/>
      <c r="AS461" s="1344"/>
      <c r="AT461" s="1344"/>
    </row>
    <row r="462" spans="1:56">
      <c r="L462" s="1343"/>
      <c r="M462" s="1343"/>
      <c r="N462" s="1343"/>
      <c r="O462" s="1343"/>
      <c r="P462" s="1343"/>
      <c r="Q462" s="1343"/>
      <c r="R462" s="1515"/>
      <c r="S462" s="1459"/>
      <c r="T462" s="1515"/>
      <c r="U462" s="1459"/>
      <c r="V462" s="1515"/>
      <c r="W462" s="1343"/>
      <c r="X462" s="1344"/>
      <c r="Y462" s="1344"/>
      <c r="Z462" s="1344"/>
      <c r="AA462" s="1344"/>
      <c r="AB462" s="1344"/>
      <c r="AC462" s="1344"/>
      <c r="AD462" s="1344"/>
      <c r="AE462" s="1344"/>
      <c r="AF462" s="1344"/>
      <c r="AG462" s="1344"/>
      <c r="AH462" s="1344"/>
      <c r="AI462" s="1344"/>
      <c r="AJ462" s="1344"/>
      <c r="AK462" s="1344"/>
      <c r="AL462" s="1344"/>
      <c r="AM462" s="1344"/>
      <c r="AN462" s="1344"/>
      <c r="AO462" s="1344"/>
      <c r="AP462" s="1344"/>
      <c r="AQ462" s="1344"/>
      <c r="AR462" s="1344"/>
      <c r="AS462" s="1344"/>
      <c r="AT462" s="1344"/>
    </row>
  </sheetData>
  <autoFilter ref="B13:BC457" xr:uid="{FDB2BDD2-2031-47AA-A13F-87F135309858}"/>
  <mergeCells count="85">
    <mergeCell ref="AU310:AU311"/>
    <mergeCell ref="C206:E206"/>
    <mergeCell ref="C207:C210"/>
    <mergeCell ref="D208:E208"/>
    <mergeCell ref="D210:E210"/>
    <mergeCell ref="D281:E281"/>
    <mergeCell ref="D282:E282"/>
    <mergeCell ref="D284:E284"/>
    <mergeCell ref="D286:E286"/>
    <mergeCell ref="U301:U302"/>
    <mergeCell ref="U304:U308"/>
    <mergeCell ref="U310:U311"/>
    <mergeCell ref="D203:E203"/>
    <mergeCell ref="C183:E183"/>
    <mergeCell ref="C184:E184"/>
    <mergeCell ref="D185:E185"/>
    <mergeCell ref="D186:E186"/>
    <mergeCell ref="D187:E187"/>
    <mergeCell ref="D188:E188"/>
    <mergeCell ref="D189:E189"/>
    <mergeCell ref="C190:E190"/>
    <mergeCell ref="D191:E191"/>
    <mergeCell ref="D192:E192"/>
    <mergeCell ref="C193:E193"/>
    <mergeCell ref="C182:E182"/>
    <mergeCell ref="C133:E133"/>
    <mergeCell ref="C134:E134"/>
    <mergeCell ref="C135:E135"/>
    <mergeCell ref="C136:C137"/>
    <mergeCell ref="C138:E138"/>
    <mergeCell ref="C141:E141"/>
    <mergeCell ref="C142:C147"/>
    <mergeCell ref="D145:E145"/>
    <mergeCell ref="D146:E146"/>
    <mergeCell ref="D147:E147"/>
    <mergeCell ref="C149:E149"/>
    <mergeCell ref="C125:E125"/>
    <mergeCell ref="C126:C129"/>
    <mergeCell ref="C130:E130"/>
    <mergeCell ref="C131:C132"/>
    <mergeCell ref="D131:E131"/>
    <mergeCell ref="D132:E132"/>
    <mergeCell ref="C118:C119"/>
    <mergeCell ref="C109:E109"/>
    <mergeCell ref="C110:C111"/>
    <mergeCell ref="D110:E110"/>
    <mergeCell ref="D111:E111"/>
    <mergeCell ref="C112:E112"/>
    <mergeCell ref="C113:E113"/>
    <mergeCell ref="C114:E114"/>
    <mergeCell ref="C115:C116"/>
    <mergeCell ref="D115:E115"/>
    <mergeCell ref="D116:E116"/>
    <mergeCell ref="C117:E117"/>
    <mergeCell ref="C103:C104"/>
    <mergeCell ref="D103:E103"/>
    <mergeCell ref="D104:E104"/>
    <mergeCell ref="C106:C108"/>
    <mergeCell ref="D107:E107"/>
    <mergeCell ref="D108:E108"/>
    <mergeCell ref="C97:C98"/>
    <mergeCell ref="D97:E97"/>
    <mergeCell ref="D98:E98"/>
    <mergeCell ref="C99:E99"/>
    <mergeCell ref="C100:C101"/>
    <mergeCell ref="D100:E100"/>
    <mergeCell ref="D101:E101"/>
    <mergeCell ref="D66:E66"/>
    <mergeCell ref="C81:E81"/>
    <mergeCell ref="C82:C83"/>
    <mergeCell ref="C85:C86"/>
    <mergeCell ref="C96:E96"/>
    <mergeCell ref="H96:J96"/>
    <mergeCell ref="AF12:AJ12"/>
    <mergeCell ref="AK12:AO12"/>
    <mergeCell ref="AP12:AT12"/>
    <mergeCell ref="BA12:BC12"/>
    <mergeCell ref="R12:W12"/>
    <mergeCell ref="X12:Z12"/>
    <mergeCell ref="AA12:AE12"/>
    <mergeCell ref="D64:E64"/>
    <mergeCell ref="D65:E65"/>
    <mergeCell ref="B12:F12"/>
    <mergeCell ref="G12:J12"/>
    <mergeCell ref="L12:Q12"/>
  </mergeCells>
  <phoneticPr fontId="3" type="noConversion"/>
  <pageMargins left="0.25" right="0.25" top="0.75" bottom="0.75" header="0" footer="0"/>
  <pageSetup paperSize="8" scale="19" fitToHeight="0"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0A7D8-C698-4685-97C2-58BE111F0927}">
  <sheetPr>
    <tabColor rgb="FFFFFF00"/>
    <pageSetUpPr fitToPage="1"/>
  </sheetPr>
  <dimension ref="A1:BL748"/>
  <sheetViews>
    <sheetView showGridLines="0" view="pageBreakPreview" zoomScale="85" zoomScaleNormal="80" zoomScaleSheetLayoutView="85" workbookViewId="0">
      <pane xSplit="11" ySplit="14" topLeftCell="L15" activePane="bottomRight" state="frozen"/>
      <selection pane="topRight" activeCell="L1" sqref="L1"/>
      <selection pane="bottomLeft" activeCell="A15" sqref="A15"/>
      <selection pane="bottomRight" activeCell="E371" sqref="E371"/>
    </sheetView>
  </sheetViews>
  <sheetFormatPr defaultColWidth="0" defaultRowHeight="15"/>
  <cols>
    <col min="1" max="1" width="1.125" style="7887" customWidth="1"/>
    <col min="2" max="2" width="4" style="7887" customWidth="1"/>
    <col min="3" max="3" width="13" style="7887" customWidth="1"/>
    <col min="4" max="4" width="17" style="7887" customWidth="1"/>
    <col min="5" max="5" width="49.625" style="7887" customWidth="1"/>
    <col min="6" max="6" width="16.5" style="7887" customWidth="1"/>
    <col min="7" max="7" width="6.125" style="7887" hidden="1" customWidth="1"/>
    <col min="8" max="8" width="9.75" style="7887" hidden="1" customWidth="1"/>
    <col min="9" max="9" width="25.5" style="7887" hidden="1" customWidth="1"/>
    <col min="10" max="10" width="20.875" style="7887" hidden="1" customWidth="1"/>
    <col min="11" max="11" width="16.5" style="7887" hidden="1" customWidth="1"/>
    <col min="12" max="14" width="15.625" style="8058" customWidth="1"/>
    <col min="15" max="15" width="60.125" style="8465" customWidth="1"/>
    <col min="16" max="16" width="12.25" style="8055" hidden="1" customWidth="1"/>
    <col min="17" max="17" width="14.875" style="8055" hidden="1" customWidth="1"/>
    <col min="18" max="18" width="13.875" style="8055" hidden="1" customWidth="1"/>
    <col min="19" max="49" width="0" style="7887" hidden="1" customWidth="1"/>
    <col min="50" max="64" width="0" style="7872" hidden="1" customWidth="1"/>
    <col min="65" max="16384" width="13" style="7872" hidden="1"/>
  </cols>
  <sheetData>
    <row r="1" spans="1:50" ht="10.9" customHeight="1">
      <c r="A1" s="7881"/>
      <c r="B1" s="8059"/>
      <c r="C1" s="8059"/>
      <c r="D1" s="8059"/>
      <c r="E1" s="8059"/>
      <c r="F1" s="8060"/>
      <c r="G1" s="8467"/>
      <c r="H1" s="8468"/>
      <c r="I1" s="8468"/>
      <c r="J1" s="8468"/>
      <c r="K1" s="8060"/>
      <c r="L1" s="8061"/>
      <c r="M1" s="8061"/>
      <c r="N1" s="8061"/>
      <c r="O1" s="8464"/>
      <c r="P1" s="8062"/>
      <c r="Q1" s="8062"/>
      <c r="R1" s="8062"/>
    </row>
    <row r="2" spans="1:50" s="7894" customFormat="1" ht="33" customHeight="1">
      <c r="A2" s="7888"/>
      <c r="B2" s="8063" t="s">
        <v>3674</v>
      </c>
      <c r="C2" s="8064"/>
      <c r="D2" s="8059"/>
      <c r="E2" s="8059"/>
      <c r="F2" s="8060"/>
      <c r="G2" s="8467"/>
      <c r="H2" s="8065"/>
      <c r="I2" s="8468"/>
      <c r="J2" s="8060"/>
      <c r="K2" s="8060"/>
      <c r="L2" s="8061"/>
      <c r="M2" s="8469"/>
      <c r="N2" s="8061"/>
      <c r="O2" s="8464"/>
      <c r="P2" s="8066"/>
      <c r="Q2" s="8066"/>
      <c r="R2" s="8066"/>
      <c r="S2" s="7893"/>
      <c r="T2" s="7893"/>
      <c r="U2" s="7893"/>
      <c r="V2" s="7893"/>
      <c r="W2" s="7893"/>
      <c r="X2" s="7893"/>
      <c r="Y2" s="7893"/>
      <c r="Z2" s="7893"/>
      <c r="AA2" s="7893"/>
      <c r="AB2" s="7893"/>
      <c r="AC2" s="7893"/>
      <c r="AD2" s="7893"/>
      <c r="AE2" s="7893"/>
      <c r="AF2" s="7893"/>
      <c r="AG2" s="7893"/>
      <c r="AH2" s="7893"/>
      <c r="AI2" s="7893"/>
      <c r="AJ2" s="7893"/>
      <c r="AK2" s="7893"/>
      <c r="AL2" s="7893"/>
      <c r="AM2" s="7893"/>
      <c r="AN2" s="7893"/>
      <c r="AO2" s="7893"/>
      <c r="AP2" s="7893"/>
      <c r="AQ2" s="7893"/>
      <c r="AR2" s="7893"/>
      <c r="AS2" s="7893"/>
      <c r="AT2" s="7893"/>
      <c r="AU2" s="7893"/>
      <c r="AV2" s="7893"/>
      <c r="AW2" s="7893"/>
    </row>
    <row r="3" spans="1:50" ht="11.45" customHeight="1">
      <c r="A3" s="7872"/>
      <c r="B3" s="8470"/>
      <c r="C3" s="8470"/>
      <c r="D3" s="8470"/>
      <c r="E3" s="8470"/>
      <c r="F3" s="8060"/>
      <c r="G3" s="8467"/>
      <c r="H3" s="8468"/>
      <c r="I3" s="8468"/>
      <c r="J3" s="8468"/>
      <c r="K3" s="8060"/>
      <c r="L3" s="8061"/>
      <c r="M3" s="8061"/>
      <c r="N3" s="8061"/>
      <c r="O3" s="8464"/>
      <c r="P3" s="8062"/>
      <c r="Q3" s="8062"/>
      <c r="R3" s="8062"/>
    </row>
    <row r="4" spans="1:50" ht="10.15" customHeight="1">
      <c r="A4" s="7872"/>
      <c r="B4" s="7872"/>
      <c r="C4" s="7872"/>
      <c r="D4" s="7872"/>
      <c r="E4" s="7872"/>
      <c r="F4" s="7896"/>
      <c r="G4" s="7872"/>
      <c r="H4" s="7872"/>
      <c r="I4" s="7872"/>
      <c r="J4" s="7872"/>
      <c r="K4" s="7896"/>
      <c r="L4" s="8471"/>
      <c r="M4" s="8471"/>
      <c r="N4" s="8471"/>
      <c r="P4" s="7896"/>
      <c r="Q4" s="7896"/>
      <c r="R4" s="7896"/>
    </row>
    <row r="5" spans="1:50" ht="20.65" hidden="1" customHeight="1">
      <c r="A5" s="7872"/>
      <c r="B5" s="8472" t="s">
        <v>111</v>
      </c>
      <c r="C5" s="8473"/>
      <c r="D5" s="8473"/>
      <c r="E5" s="8473"/>
      <c r="F5" s="8474"/>
      <c r="G5" s="8474"/>
      <c r="H5" s="7872"/>
      <c r="I5" s="8475"/>
      <c r="J5" s="8475"/>
      <c r="K5" s="7897"/>
      <c r="L5" s="8476"/>
      <c r="M5" s="8476"/>
      <c r="N5" s="8476"/>
      <c r="P5" s="7899"/>
      <c r="Q5" s="7899"/>
      <c r="R5" s="7899"/>
    </row>
    <row r="6" spans="1:50" ht="20.65" hidden="1" customHeight="1" thickBot="1">
      <c r="A6" s="7872"/>
      <c r="B6" s="8477" t="s">
        <v>112</v>
      </c>
      <c r="C6" s="7872"/>
      <c r="D6" s="7872"/>
      <c r="E6" s="8475"/>
      <c r="F6" s="8478"/>
      <c r="G6" s="8478"/>
      <c r="H6" s="8475"/>
      <c r="I6" s="8475"/>
      <c r="J6" s="8475"/>
      <c r="K6" s="7897"/>
      <c r="L6" s="8476"/>
      <c r="M6" s="8479"/>
      <c r="N6" s="8476"/>
      <c r="P6" s="7899"/>
      <c r="Q6" s="7899"/>
      <c r="R6" s="7899"/>
    </row>
    <row r="7" spans="1:50" ht="20.65" hidden="1" customHeight="1" thickBot="1">
      <c r="A7" s="7872"/>
      <c r="B7" s="8477" t="s">
        <v>3534</v>
      </c>
      <c r="C7" s="7872"/>
      <c r="D7" s="7872"/>
      <c r="E7" s="8475"/>
      <c r="F7" s="8478"/>
      <c r="G7" s="8478"/>
      <c r="H7" s="8475"/>
      <c r="I7" s="8475"/>
      <c r="J7" s="8475"/>
      <c r="K7" s="7900"/>
      <c r="L7" s="8476"/>
      <c r="M7" s="8480"/>
      <c r="N7" s="8476"/>
      <c r="P7" s="7899"/>
      <c r="Q7" s="7899"/>
      <c r="R7" s="7899"/>
    </row>
    <row r="8" spans="1:50" ht="20.65" hidden="1" customHeight="1" thickBot="1">
      <c r="A8" s="7872"/>
      <c r="B8" s="8477" t="s">
        <v>3535</v>
      </c>
      <c r="C8" s="7872"/>
      <c r="D8" s="7872"/>
      <c r="E8" s="8475"/>
      <c r="F8" s="8478"/>
      <c r="G8" s="8478"/>
      <c r="H8" s="7901"/>
      <c r="I8" s="7902"/>
      <c r="J8" s="8481"/>
      <c r="K8" s="7904"/>
      <c r="L8" s="7905"/>
      <c r="M8" s="7905"/>
      <c r="N8" s="8476"/>
      <c r="P8" s="7899"/>
      <c r="Q8" s="7899"/>
      <c r="R8" s="7899"/>
    </row>
    <row r="9" spans="1:50" ht="20.65" hidden="1" customHeight="1" thickBot="1">
      <c r="A9" s="7872"/>
      <c r="B9" s="8477" t="s">
        <v>115</v>
      </c>
      <c r="C9" s="7872"/>
      <c r="D9" s="7872"/>
      <c r="E9" s="8475"/>
      <c r="F9" s="8478"/>
      <c r="G9" s="8478"/>
      <c r="H9" s="8482"/>
      <c r="I9" s="7902" t="s">
        <v>116</v>
      </c>
      <c r="J9" s="8481"/>
      <c r="K9" s="7904"/>
      <c r="L9" s="7905"/>
      <c r="M9" s="7905"/>
      <c r="N9" s="8476"/>
      <c r="P9" s="7899"/>
      <c r="Q9" s="7899"/>
      <c r="R9" s="7899"/>
    </row>
    <row r="10" spans="1:50" ht="20.65" hidden="1" customHeight="1" thickBot="1">
      <c r="A10" s="7872"/>
      <c r="B10" s="8483" t="s">
        <v>117</v>
      </c>
      <c r="C10" s="8484"/>
      <c r="D10" s="8484"/>
      <c r="E10" s="8485"/>
      <c r="F10" s="8486"/>
      <c r="G10" s="8486"/>
      <c r="H10" s="8487"/>
      <c r="I10" s="7902" t="s">
        <v>118</v>
      </c>
      <c r="J10" s="8481"/>
      <c r="K10" s="7904"/>
      <c r="L10" s="7905"/>
      <c r="M10" s="7905"/>
      <c r="N10" s="8476"/>
      <c r="P10" s="7899"/>
      <c r="Q10" s="7899"/>
      <c r="R10" s="7899"/>
    </row>
    <row r="11" spans="1:50" ht="17.25" customHeight="1" thickBot="1">
      <c r="A11" s="7872"/>
      <c r="B11" s="8747" t="s">
        <v>119</v>
      </c>
      <c r="C11" s="7906"/>
      <c r="D11" s="8067"/>
      <c r="E11" s="8067"/>
      <c r="F11" s="7907"/>
      <c r="G11" s="7906"/>
      <c r="H11" s="8067"/>
      <c r="I11" s="8067"/>
      <c r="J11" s="8067"/>
      <c r="K11" s="7907"/>
      <c r="L11" s="7908"/>
      <c r="M11" s="8471"/>
      <c r="N11" s="8488"/>
      <c r="O11" s="8466"/>
      <c r="P11" s="7907"/>
      <c r="Q11" s="7907"/>
      <c r="R11" s="7907"/>
    </row>
    <row r="12" spans="1:50" ht="26.65" customHeight="1" thickTop="1">
      <c r="A12" s="7910"/>
      <c r="B12" s="9464" t="s">
        <v>1</v>
      </c>
      <c r="C12" s="9464"/>
      <c r="D12" s="9464"/>
      <c r="E12" s="9464"/>
      <c r="F12" s="9464"/>
      <c r="G12" s="9515" t="s">
        <v>2</v>
      </c>
      <c r="H12" s="9515"/>
      <c r="I12" s="9515"/>
      <c r="J12" s="9515"/>
      <c r="K12" s="8489"/>
      <c r="L12" s="9464" t="s">
        <v>3</v>
      </c>
      <c r="M12" s="9464"/>
      <c r="N12" s="9814"/>
      <c r="O12" s="9815" t="s">
        <v>3588</v>
      </c>
      <c r="P12" s="9466" t="s">
        <v>11</v>
      </c>
      <c r="Q12" s="9467"/>
      <c r="R12" s="9468"/>
    </row>
    <row r="13" spans="1:50" ht="21.6" customHeight="1" thickBot="1">
      <c r="A13" s="7910"/>
      <c r="B13" s="7911"/>
      <c r="C13" s="7912" t="s">
        <v>12</v>
      </c>
      <c r="D13" s="7912" t="s">
        <v>13</v>
      </c>
      <c r="E13" s="7912" t="s">
        <v>14</v>
      </c>
      <c r="F13" s="7912" t="s">
        <v>15</v>
      </c>
      <c r="G13" s="7913" t="s">
        <v>16</v>
      </c>
      <c r="H13" s="7913" t="s">
        <v>12</v>
      </c>
      <c r="I13" s="7913" t="s">
        <v>13</v>
      </c>
      <c r="J13" s="7913" t="s">
        <v>14</v>
      </c>
      <c r="K13" s="7914" t="s">
        <v>17</v>
      </c>
      <c r="L13" s="7915" t="s">
        <v>18</v>
      </c>
      <c r="M13" s="7916" t="s">
        <v>20</v>
      </c>
      <c r="N13" s="9228" t="s">
        <v>21</v>
      </c>
      <c r="O13" s="9816"/>
      <c r="P13" s="8929" t="s">
        <v>23</v>
      </c>
      <c r="Q13" s="8068" t="s">
        <v>24</v>
      </c>
      <c r="R13" s="8069" t="s">
        <v>25</v>
      </c>
    </row>
    <row r="14" spans="1:50" s="7887" customFormat="1" ht="21.75" thickBot="1">
      <c r="A14" s="7910"/>
      <c r="B14" s="8070" t="s">
        <v>727</v>
      </c>
      <c r="C14" s="8071"/>
      <c r="D14" s="8071"/>
      <c r="E14" s="8071"/>
      <c r="F14" s="8072"/>
      <c r="G14" s="8490" t="s">
        <v>728</v>
      </c>
      <c r="H14" s="8071"/>
      <c r="I14" s="8071"/>
      <c r="J14" s="8071"/>
      <c r="K14" s="8072"/>
      <c r="L14" s="8491"/>
      <c r="M14" s="8492"/>
      <c r="N14" s="9229"/>
      <c r="O14" s="8992"/>
      <c r="P14" s="8493"/>
      <c r="Q14" s="8493"/>
      <c r="R14" s="8494"/>
      <c r="AX14" s="7872"/>
    </row>
    <row r="15" spans="1:50" s="7930" customFormat="1" ht="21.75" thickBot="1">
      <c r="A15" s="7872"/>
      <c r="B15" s="8073" t="s">
        <v>729</v>
      </c>
      <c r="C15" s="8074"/>
      <c r="D15" s="8074"/>
      <c r="E15" s="8074"/>
      <c r="F15" s="8075"/>
      <c r="G15" s="8495" t="s">
        <v>730</v>
      </c>
      <c r="H15" s="8074"/>
      <c r="I15" s="8074"/>
      <c r="J15" s="8074"/>
      <c r="K15" s="8075"/>
      <c r="L15" s="8078"/>
      <c r="M15" s="8079"/>
      <c r="N15" s="9230"/>
      <c r="O15" s="8993"/>
      <c r="P15" s="8080"/>
      <c r="Q15" s="8080"/>
      <c r="R15" s="8496"/>
      <c r="S15" s="7887"/>
      <c r="T15" s="7887"/>
      <c r="U15" s="7887"/>
      <c r="V15" s="7887"/>
      <c r="W15" s="7887"/>
      <c r="X15" s="7887"/>
      <c r="Y15" s="7887"/>
      <c r="Z15" s="7887"/>
      <c r="AA15" s="7887"/>
      <c r="AB15" s="7887"/>
      <c r="AC15" s="7887"/>
      <c r="AD15" s="7887"/>
      <c r="AE15" s="7887"/>
      <c r="AF15" s="7887"/>
      <c r="AG15" s="7887"/>
      <c r="AH15" s="7887"/>
      <c r="AI15" s="7887"/>
      <c r="AJ15" s="7887"/>
      <c r="AK15" s="7887"/>
      <c r="AL15" s="7887"/>
      <c r="AM15" s="7887"/>
      <c r="AN15" s="7887"/>
      <c r="AO15" s="7887"/>
      <c r="AP15" s="7887"/>
      <c r="AQ15" s="7887"/>
      <c r="AR15" s="7887"/>
      <c r="AS15" s="7887"/>
      <c r="AT15" s="7887"/>
      <c r="AU15" s="7887"/>
      <c r="AV15" s="7887"/>
      <c r="AW15" s="7887"/>
      <c r="AX15" s="7872"/>
    </row>
    <row r="16" spans="1:50" s="7930" customFormat="1" ht="20.100000000000001" customHeight="1">
      <c r="A16" s="7872"/>
      <c r="B16" s="8497"/>
      <c r="C16" s="8892" t="s">
        <v>731</v>
      </c>
      <c r="D16" s="8498"/>
      <c r="E16" s="8498"/>
      <c r="F16" s="8082" t="s">
        <v>732</v>
      </c>
      <c r="G16" s="8499"/>
      <c r="H16" s="8498" t="s">
        <v>733</v>
      </c>
      <c r="I16" s="8498"/>
      <c r="J16" s="8498"/>
      <c r="K16" s="8082" t="s">
        <v>734</v>
      </c>
      <c r="L16" s="8012">
        <f>SUM(L23,L30,L37)</f>
        <v>7609</v>
      </c>
      <c r="M16" s="8013">
        <f>SUM(M23,M30,M37)</f>
        <v>9630</v>
      </c>
      <c r="N16" s="9231">
        <f>SUM(N23,N30,N37)</f>
        <v>9635</v>
      </c>
      <c r="O16" s="9204"/>
      <c r="P16" s="8015" t="s">
        <v>739</v>
      </c>
      <c r="Q16" s="8015" t="s">
        <v>740</v>
      </c>
      <c r="R16" s="8500" t="s">
        <v>741</v>
      </c>
      <c r="S16" s="7887"/>
      <c r="T16" s="7887"/>
      <c r="U16" s="7887"/>
      <c r="V16" s="7887"/>
      <c r="W16" s="7887"/>
      <c r="X16" s="7887"/>
      <c r="Y16" s="7887"/>
      <c r="Z16" s="7887"/>
      <c r="AA16" s="7887"/>
      <c r="AB16" s="7887"/>
      <c r="AC16" s="7887"/>
      <c r="AD16" s="7887"/>
      <c r="AE16" s="7887"/>
      <c r="AF16" s="7887"/>
      <c r="AG16" s="7887"/>
      <c r="AH16" s="7887"/>
      <c r="AI16" s="7887"/>
      <c r="AJ16" s="7887"/>
      <c r="AK16" s="7887"/>
      <c r="AL16" s="7887"/>
      <c r="AM16" s="7887"/>
      <c r="AN16" s="7887"/>
      <c r="AO16" s="7887"/>
      <c r="AP16" s="7887"/>
      <c r="AQ16" s="7887"/>
      <c r="AR16" s="7887"/>
      <c r="AS16" s="7887"/>
      <c r="AT16" s="7887"/>
      <c r="AU16" s="7887"/>
      <c r="AV16" s="7887"/>
      <c r="AW16" s="7887"/>
      <c r="AX16" s="7872"/>
    </row>
    <row r="17" spans="1:50" s="7930" customFormat="1" ht="20.100000000000001" customHeight="1">
      <c r="A17" s="7872"/>
      <c r="B17" s="8501"/>
      <c r="C17" s="8824" t="s">
        <v>134</v>
      </c>
      <c r="D17" s="8503"/>
      <c r="E17" s="8504"/>
      <c r="F17" s="7953" t="s">
        <v>742</v>
      </c>
      <c r="G17" s="8505"/>
      <c r="H17" s="8506" t="s">
        <v>135</v>
      </c>
      <c r="I17" s="8507"/>
      <c r="J17" s="8508"/>
      <c r="K17" s="8084" t="s">
        <v>734</v>
      </c>
      <c r="L17" s="8085">
        <f t="shared" ref="L17:L22" si="0">L24+L31+L38</f>
        <v>3601</v>
      </c>
      <c r="M17" s="8086">
        <f t="shared" ref="M17:M22" si="1">M24+M31+M38</f>
        <v>4502</v>
      </c>
      <c r="N17" s="9232">
        <f>N24+N31+N38</f>
        <v>4682</v>
      </c>
      <c r="O17" s="8994" t="s">
        <v>3684</v>
      </c>
      <c r="P17" s="8088"/>
      <c r="Q17" s="7932"/>
      <c r="R17" s="8509"/>
      <c r="S17" s="7887"/>
      <c r="T17" s="7887"/>
      <c r="U17" s="7887"/>
      <c r="V17" s="7887"/>
      <c r="W17" s="7887"/>
      <c r="X17" s="7887"/>
      <c r="Y17" s="7887"/>
      <c r="Z17" s="7887"/>
      <c r="AA17" s="7887"/>
      <c r="AB17" s="7887"/>
      <c r="AC17" s="7887"/>
      <c r="AD17" s="7887"/>
      <c r="AE17" s="7887"/>
      <c r="AF17" s="7887"/>
      <c r="AG17" s="7887"/>
      <c r="AH17" s="7887"/>
      <c r="AI17" s="7887"/>
      <c r="AJ17" s="7887"/>
      <c r="AK17" s="7887"/>
      <c r="AL17" s="7887"/>
      <c r="AM17" s="7887"/>
      <c r="AN17" s="7887"/>
      <c r="AO17" s="7887"/>
      <c r="AP17" s="7887"/>
      <c r="AQ17" s="7887"/>
      <c r="AR17" s="7887"/>
      <c r="AS17" s="7887"/>
      <c r="AT17" s="7887"/>
      <c r="AU17" s="7887"/>
      <c r="AV17" s="7887"/>
      <c r="AW17" s="7887"/>
      <c r="AX17" s="7872"/>
    </row>
    <row r="18" spans="1:50" s="7930" customFormat="1" ht="20.100000000000001" customHeight="1">
      <c r="A18" s="7872"/>
      <c r="B18" s="8501"/>
      <c r="C18" s="8824" t="s">
        <v>137</v>
      </c>
      <c r="D18" s="8503"/>
      <c r="E18" s="8504"/>
      <c r="F18" s="7953" t="s">
        <v>742</v>
      </c>
      <c r="G18" s="8505"/>
      <c r="H18" s="8506" t="s">
        <v>138</v>
      </c>
      <c r="I18" s="8507"/>
      <c r="J18" s="8508"/>
      <c r="K18" s="8084" t="s">
        <v>734</v>
      </c>
      <c r="L18" s="8085">
        <f t="shared" si="0"/>
        <v>183</v>
      </c>
      <c r="M18" s="8086">
        <f t="shared" si="1"/>
        <v>231</v>
      </c>
      <c r="N18" s="9232">
        <f>N25+N32+N39</f>
        <v>249</v>
      </c>
      <c r="O18" s="8994" t="s">
        <v>3596</v>
      </c>
      <c r="P18" s="8088"/>
      <c r="Q18" s="7932"/>
      <c r="R18" s="8509"/>
      <c r="S18" s="7887"/>
      <c r="T18" s="7887"/>
      <c r="U18" s="7887"/>
      <c r="V18" s="7887"/>
      <c r="W18" s="7887"/>
      <c r="X18" s="7887"/>
      <c r="Y18" s="7887"/>
      <c r="Z18" s="7887"/>
      <c r="AA18" s="7887"/>
      <c r="AB18" s="7887"/>
      <c r="AC18" s="7887"/>
      <c r="AD18" s="7887"/>
      <c r="AE18" s="7887"/>
      <c r="AF18" s="7887"/>
      <c r="AG18" s="7887"/>
      <c r="AH18" s="7887"/>
      <c r="AI18" s="7887"/>
      <c r="AJ18" s="7887"/>
      <c r="AK18" s="7887"/>
      <c r="AL18" s="7887"/>
      <c r="AM18" s="7887"/>
      <c r="AN18" s="7887"/>
      <c r="AO18" s="7887"/>
      <c r="AP18" s="7887"/>
      <c r="AQ18" s="7887"/>
      <c r="AR18" s="7887"/>
      <c r="AS18" s="7887"/>
      <c r="AT18" s="7887"/>
      <c r="AU18" s="7887"/>
      <c r="AV18" s="7887"/>
      <c r="AW18" s="7887"/>
      <c r="AX18" s="7872"/>
    </row>
    <row r="19" spans="1:50" s="7930" customFormat="1" ht="20.100000000000001" customHeight="1">
      <c r="A19" s="7872"/>
      <c r="B19" s="8501"/>
      <c r="C19" s="8824" t="s">
        <v>140</v>
      </c>
      <c r="D19" s="8503"/>
      <c r="E19" s="8504"/>
      <c r="F19" s="7953" t="s">
        <v>742</v>
      </c>
      <c r="G19" s="8505"/>
      <c r="H19" s="8506" t="s">
        <v>141</v>
      </c>
      <c r="I19" s="8507"/>
      <c r="J19" s="8508"/>
      <c r="K19" s="8084" t="s">
        <v>734</v>
      </c>
      <c r="L19" s="8085">
        <f t="shared" si="0"/>
        <v>1054</v>
      </c>
      <c r="M19" s="8086">
        <f t="shared" si="1"/>
        <v>909</v>
      </c>
      <c r="N19" s="9232">
        <f t="shared" ref="N19:N22" si="2">N26+N33+N40</f>
        <v>750</v>
      </c>
      <c r="O19" s="8994" t="s">
        <v>3543</v>
      </c>
      <c r="P19" s="8088"/>
      <c r="Q19" s="7932"/>
      <c r="R19" s="8509"/>
      <c r="S19" s="7887"/>
      <c r="T19" s="7887"/>
      <c r="U19" s="7887"/>
      <c r="V19" s="7887"/>
      <c r="W19" s="7887"/>
      <c r="X19" s="7887"/>
      <c r="Y19" s="7887"/>
      <c r="Z19" s="7887"/>
      <c r="AA19" s="7887"/>
      <c r="AB19" s="7887"/>
      <c r="AC19" s="7887"/>
      <c r="AD19" s="7887"/>
      <c r="AE19" s="7887"/>
      <c r="AF19" s="7887"/>
      <c r="AG19" s="7887"/>
      <c r="AH19" s="7887"/>
      <c r="AI19" s="7887"/>
      <c r="AJ19" s="7887"/>
      <c r="AK19" s="7887"/>
      <c r="AL19" s="7887"/>
      <c r="AM19" s="7887"/>
      <c r="AN19" s="7887"/>
      <c r="AO19" s="7887"/>
      <c r="AP19" s="7887"/>
      <c r="AQ19" s="7887"/>
      <c r="AR19" s="7887"/>
      <c r="AS19" s="7887"/>
      <c r="AT19" s="7887"/>
      <c r="AU19" s="7887"/>
      <c r="AV19" s="7887"/>
      <c r="AW19" s="7887"/>
      <c r="AX19" s="7872"/>
    </row>
    <row r="20" spans="1:50" s="7930" customFormat="1" ht="20.100000000000001" customHeight="1">
      <c r="A20" s="7872"/>
      <c r="B20" s="8501"/>
      <c r="C20" s="8824" t="s">
        <v>143</v>
      </c>
      <c r="D20" s="8503"/>
      <c r="E20" s="8504"/>
      <c r="F20" s="7953" t="s">
        <v>742</v>
      </c>
      <c r="G20" s="8505"/>
      <c r="H20" s="8506" t="s">
        <v>144</v>
      </c>
      <c r="I20" s="8507"/>
      <c r="J20" s="8508"/>
      <c r="K20" s="8084" t="s">
        <v>734</v>
      </c>
      <c r="L20" s="8085">
        <f t="shared" si="0"/>
        <v>1110</v>
      </c>
      <c r="M20" s="8086">
        <f t="shared" si="1"/>
        <v>2451</v>
      </c>
      <c r="N20" s="9232">
        <f t="shared" si="2"/>
        <v>2483</v>
      </c>
      <c r="O20" s="8994" t="s">
        <v>3549</v>
      </c>
      <c r="P20" s="8088"/>
      <c r="Q20" s="7932"/>
      <c r="R20" s="8509"/>
      <c r="S20" s="7887"/>
      <c r="T20" s="7887"/>
      <c r="U20" s="7887"/>
      <c r="V20" s="7887"/>
      <c r="W20" s="7887"/>
      <c r="X20" s="7887"/>
      <c r="Y20" s="7887"/>
      <c r="Z20" s="7887"/>
      <c r="AA20" s="7887"/>
      <c r="AB20" s="7887"/>
      <c r="AC20" s="7887"/>
      <c r="AD20" s="7887"/>
      <c r="AE20" s="7887"/>
      <c r="AF20" s="7887"/>
      <c r="AG20" s="7887"/>
      <c r="AH20" s="7887"/>
      <c r="AI20" s="7887"/>
      <c r="AJ20" s="7887"/>
      <c r="AK20" s="7887"/>
      <c r="AL20" s="7887"/>
      <c r="AM20" s="7887"/>
      <c r="AN20" s="7887"/>
      <c r="AO20" s="7887"/>
      <c r="AP20" s="7887"/>
      <c r="AQ20" s="7887"/>
      <c r="AR20" s="7887"/>
      <c r="AS20" s="7887"/>
      <c r="AT20" s="7887"/>
      <c r="AU20" s="7887"/>
      <c r="AV20" s="7887"/>
      <c r="AW20" s="7887"/>
      <c r="AX20" s="7872"/>
    </row>
    <row r="21" spans="1:50" s="7930" customFormat="1" ht="20.100000000000001" customHeight="1">
      <c r="A21" s="7872"/>
      <c r="B21" s="8501"/>
      <c r="C21" s="8824" t="s">
        <v>146</v>
      </c>
      <c r="D21" s="8503"/>
      <c r="E21" s="8504"/>
      <c r="F21" s="7953" t="s">
        <v>742</v>
      </c>
      <c r="G21" s="8505"/>
      <c r="H21" s="8506" t="s">
        <v>147</v>
      </c>
      <c r="I21" s="8507"/>
      <c r="J21" s="8508"/>
      <c r="K21" s="8084" t="s">
        <v>734</v>
      </c>
      <c r="L21" s="8085">
        <f t="shared" si="0"/>
        <v>381</v>
      </c>
      <c r="M21" s="8086">
        <f t="shared" si="1"/>
        <v>393</v>
      </c>
      <c r="N21" s="9232">
        <f t="shared" si="2"/>
        <v>412</v>
      </c>
      <c r="O21" s="8994" t="s">
        <v>3543</v>
      </c>
      <c r="P21" s="8088"/>
      <c r="Q21" s="7932"/>
      <c r="R21" s="8509"/>
      <c r="S21" s="7887"/>
      <c r="T21" s="7887"/>
      <c r="U21" s="7887"/>
      <c r="V21" s="7887"/>
      <c r="W21" s="7887"/>
      <c r="X21" s="7887"/>
      <c r="Y21" s="7887"/>
      <c r="Z21" s="7887"/>
      <c r="AA21" s="7887"/>
      <c r="AB21" s="7887"/>
      <c r="AC21" s="7887"/>
      <c r="AD21" s="7887"/>
      <c r="AE21" s="7887"/>
      <c r="AF21" s="7887"/>
      <c r="AG21" s="7887"/>
      <c r="AH21" s="7887"/>
      <c r="AI21" s="7887"/>
      <c r="AJ21" s="7887"/>
      <c r="AK21" s="7887"/>
      <c r="AL21" s="7887"/>
      <c r="AM21" s="7887"/>
      <c r="AN21" s="7887"/>
      <c r="AO21" s="7887"/>
      <c r="AP21" s="7887"/>
      <c r="AQ21" s="7887"/>
      <c r="AR21" s="7887"/>
      <c r="AS21" s="7887"/>
      <c r="AT21" s="7887"/>
      <c r="AU21" s="7887"/>
      <c r="AV21" s="7887"/>
      <c r="AW21" s="7887"/>
      <c r="AX21" s="7872"/>
    </row>
    <row r="22" spans="1:50" s="7930" customFormat="1" ht="20.100000000000001" customHeight="1">
      <c r="A22" s="7872"/>
      <c r="B22" s="8501"/>
      <c r="C22" s="8502" t="s">
        <v>149</v>
      </c>
      <c r="D22" s="8503"/>
      <c r="E22" s="8504"/>
      <c r="F22" s="7953" t="s">
        <v>742</v>
      </c>
      <c r="G22" s="8505"/>
      <c r="H22" s="8506" t="s">
        <v>150</v>
      </c>
      <c r="I22" s="8507"/>
      <c r="J22" s="8508"/>
      <c r="K22" s="8084" t="s">
        <v>734</v>
      </c>
      <c r="L22" s="8085">
        <f t="shared" si="0"/>
        <v>1280</v>
      </c>
      <c r="M22" s="8086">
        <f t="shared" si="1"/>
        <v>1144</v>
      </c>
      <c r="N22" s="9232">
        <f t="shared" si="2"/>
        <v>1059</v>
      </c>
      <c r="O22" s="8994" t="s">
        <v>3549</v>
      </c>
      <c r="P22" s="8088"/>
      <c r="Q22" s="7932"/>
      <c r="R22" s="8509"/>
      <c r="S22" s="7887"/>
      <c r="T22" s="7887"/>
      <c r="U22" s="7887"/>
      <c r="V22" s="7887"/>
      <c r="W22" s="7887"/>
      <c r="X22" s="7887"/>
      <c r="Y22" s="7887"/>
      <c r="Z22" s="7887"/>
      <c r="AA22" s="7887"/>
      <c r="AB22" s="7887"/>
      <c r="AC22" s="7887"/>
      <c r="AD22" s="7887"/>
      <c r="AE22" s="7887"/>
      <c r="AF22" s="7887"/>
      <c r="AG22" s="7887"/>
      <c r="AH22" s="7887"/>
      <c r="AI22" s="7887"/>
      <c r="AJ22" s="7887"/>
      <c r="AK22" s="7887"/>
      <c r="AL22" s="7887"/>
      <c r="AM22" s="7887"/>
      <c r="AN22" s="7887"/>
      <c r="AO22" s="7887"/>
      <c r="AP22" s="7887"/>
      <c r="AQ22" s="7887"/>
      <c r="AR22" s="7887"/>
      <c r="AS22" s="7887"/>
      <c r="AT22" s="7887"/>
      <c r="AU22" s="7887"/>
      <c r="AV22" s="7887"/>
      <c r="AW22" s="7887"/>
      <c r="AX22" s="7872"/>
    </row>
    <row r="23" spans="1:50" s="7930" customFormat="1" ht="20.100000000000001" customHeight="1">
      <c r="A23" s="7872"/>
      <c r="B23" s="8510"/>
      <c r="C23" s="7939"/>
      <c r="D23" s="8511" t="s">
        <v>743</v>
      </c>
      <c r="E23" s="8512"/>
      <c r="F23" s="8089" t="s">
        <v>732</v>
      </c>
      <c r="G23" s="8513"/>
      <c r="H23" s="8513"/>
      <c r="I23" s="8511" t="s">
        <v>744</v>
      </c>
      <c r="J23" s="8512"/>
      <c r="K23" s="8089" t="s">
        <v>734</v>
      </c>
      <c r="L23" s="8012">
        <f>SUM(L24:L29)</f>
        <v>5373</v>
      </c>
      <c r="M23" s="8013">
        <f>SUM(M24:M29)</f>
        <v>5804</v>
      </c>
      <c r="N23" s="9231">
        <f>SUM(N24:N29)</f>
        <v>5815</v>
      </c>
      <c r="O23" s="8995"/>
      <c r="P23" s="8015" t="s">
        <v>739</v>
      </c>
      <c r="Q23" s="8015" t="s">
        <v>740</v>
      </c>
      <c r="R23" s="8500"/>
      <c r="S23" s="7887"/>
      <c r="T23" s="7887"/>
      <c r="U23" s="7887"/>
      <c r="V23" s="7887"/>
      <c r="W23" s="7887"/>
      <c r="X23" s="7887"/>
      <c r="Y23" s="7887"/>
      <c r="Z23" s="7887"/>
      <c r="AA23" s="7887"/>
      <c r="AB23" s="7887"/>
      <c r="AC23" s="7887"/>
      <c r="AD23" s="7887"/>
      <c r="AE23" s="7887"/>
      <c r="AF23" s="7887"/>
      <c r="AG23" s="7887"/>
      <c r="AH23" s="7887"/>
      <c r="AI23" s="7887"/>
      <c r="AJ23" s="7887"/>
      <c r="AK23" s="7887"/>
      <c r="AL23" s="7887"/>
      <c r="AM23" s="7887"/>
      <c r="AN23" s="7887"/>
      <c r="AO23" s="7887"/>
      <c r="AP23" s="7887"/>
      <c r="AQ23" s="7887"/>
      <c r="AR23" s="7887"/>
      <c r="AS23" s="7887"/>
      <c r="AT23" s="7887"/>
      <c r="AU23" s="7887"/>
      <c r="AV23" s="7887"/>
      <c r="AW23" s="7887"/>
      <c r="AX23" s="7872"/>
    </row>
    <row r="24" spans="1:50" s="7930" customFormat="1" ht="20.100000000000001" customHeight="1">
      <c r="A24" s="7872"/>
      <c r="B24" s="8510"/>
      <c r="C24" s="7939"/>
      <c r="D24" s="8821" t="s">
        <v>134</v>
      </c>
      <c r="E24" s="8017"/>
      <c r="F24" s="8090" t="s">
        <v>732</v>
      </c>
      <c r="G24" s="8514"/>
      <c r="H24" s="8514"/>
      <c r="I24" s="8506" t="s">
        <v>135</v>
      </c>
      <c r="J24" s="8508"/>
      <c r="K24" s="8090" t="s">
        <v>734</v>
      </c>
      <c r="L24" s="7935">
        <v>3031</v>
      </c>
      <c r="M24" s="7936">
        <v>3629</v>
      </c>
      <c r="N24" s="9233">
        <v>3726</v>
      </c>
      <c r="O24" s="8994" t="s">
        <v>3549</v>
      </c>
      <c r="P24" s="7932"/>
      <c r="Q24" s="7932"/>
      <c r="R24" s="8509"/>
      <c r="S24" s="7887"/>
      <c r="T24" s="7887"/>
      <c r="U24" s="7887"/>
      <c r="V24" s="7887"/>
      <c r="W24" s="7887"/>
      <c r="X24" s="7887"/>
      <c r="Y24" s="7887"/>
      <c r="Z24" s="7887"/>
      <c r="AA24" s="7887"/>
      <c r="AB24" s="7887"/>
      <c r="AC24" s="7887"/>
      <c r="AD24" s="7887"/>
      <c r="AE24" s="7887"/>
      <c r="AF24" s="7887"/>
      <c r="AG24" s="7887"/>
      <c r="AH24" s="7887"/>
      <c r="AI24" s="7887"/>
      <c r="AJ24" s="7887"/>
      <c r="AK24" s="7887"/>
      <c r="AL24" s="7887"/>
      <c r="AM24" s="7887"/>
      <c r="AN24" s="7887"/>
      <c r="AO24" s="7887"/>
      <c r="AP24" s="7887"/>
      <c r="AQ24" s="7887"/>
      <c r="AR24" s="7887"/>
      <c r="AS24" s="7887"/>
      <c r="AT24" s="7887"/>
      <c r="AU24" s="7887"/>
      <c r="AV24" s="7887"/>
      <c r="AW24" s="7887"/>
      <c r="AX24" s="7872"/>
    </row>
    <row r="25" spans="1:50" s="7930" customFormat="1" ht="20.100000000000001" customHeight="1">
      <c r="A25" s="7872"/>
      <c r="B25" s="8510"/>
      <c r="C25" s="7939"/>
      <c r="D25" s="8821" t="s">
        <v>137</v>
      </c>
      <c r="E25" s="8017"/>
      <c r="F25" s="8090" t="s">
        <v>732</v>
      </c>
      <c r="G25" s="8514"/>
      <c r="H25" s="8514"/>
      <c r="I25" s="8506" t="s">
        <v>138</v>
      </c>
      <c r="J25" s="8508"/>
      <c r="K25" s="8090" t="s">
        <v>734</v>
      </c>
      <c r="L25" s="7935">
        <v>174</v>
      </c>
      <c r="M25" s="7936">
        <v>215</v>
      </c>
      <c r="N25" s="9234">
        <v>236</v>
      </c>
      <c r="O25" s="8996"/>
      <c r="P25" s="7932"/>
      <c r="Q25" s="7932"/>
      <c r="R25" s="8509"/>
      <c r="S25" s="7887"/>
      <c r="T25" s="7887"/>
      <c r="U25" s="7887"/>
      <c r="V25" s="7887"/>
      <c r="W25" s="7887"/>
      <c r="X25" s="7887"/>
      <c r="Y25" s="7887"/>
      <c r="Z25" s="7887"/>
      <c r="AA25" s="7887"/>
      <c r="AB25" s="7887"/>
      <c r="AC25" s="7887"/>
      <c r="AD25" s="7887"/>
      <c r="AE25" s="7887"/>
      <c r="AF25" s="7887"/>
      <c r="AG25" s="7887"/>
      <c r="AH25" s="7887"/>
      <c r="AI25" s="7887"/>
      <c r="AJ25" s="7887"/>
      <c r="AK25" s="7887"/>
      <c r="AL25" s="7887"/>
      <c r="AM25" s="7887"/>
      <c r="AN25" s="7887"/>
      <c r="AO25" s="7887"/>
      <c r="AP25" s="7887"/>
      <c r="AQ25" s="7887"/>
      <c r="AR25" s="7887"/>
      <c r="AS25" s="7887"/>
      <c r="AT25" s="7887"/>
      <c r="AU25" s="7887"/>
      <c r="AV25" s="7887"/>
      <c r="AW25" s="7887"/>
      <c r="AX25" s="7872"/>
    </row>
    <row r="26" spans="1:50" s="7930" customFormat="1" ht="20.100000000000001" customHeight="1">
      <c r="A26" s="7872"/>
      <c r="B26" s="8510"/>
      <c r="C26" s="7939"/>
      <c r="D26" s="8821" t="s">
        <v>140</v>
      </c>
      <c r="E26" s="8017"/>
      <c r="F26" s="8090" t="s">
        <v>732</v>
      </c>
      <c r="G26" s="8514"/>
      <c r="H26" s="8514"/>
      <c r="I26" s="8515" t="s">
        <v>141</v>
      </c>
      <c r="J26" s="8516"/>
      <c r="K26" s="8090" t="s">
        <v>734</v>
      </c>
      <c r="L26" s="7935">
        <v>52</v>
      </c>
      <c r="M26" s="7936">
        <v>77</v>
      </c>
      <c r="N26" s="9235">
        <v>100</v>
      </c>
      <c r="O26" s="8996" t="s">
        <v>3541</v>
      </c>
      <c r="P26" s="7932"/>
      <c r="Q26" s="7932"/>
      <c r="R26" s="8509"/>
      <c r="S26" s="7887"/>
      <c r="T26" s="7887"/>
      <c r="U26" s="7887"/>
      <c r="V26" s="7887"/>
      <c r="W26" s="7887"/>
      <c r="X26" s="7887"/>
      <c r="Y26" s="7887"/>
      <c r="Z26" s="7887"/>
      <c r="AA26" s="7887"/>
      <c r="AB26" s="7887"/>
      <c r="AC26" s="7887"/>
      <c r="AD26" s="7887"/>
      <c r="AE26" s="7887"/>
      <c r="AF26" s="7887"/>
      <c r="AG26" s="7887"/>
      <c r="AH26" s="7887"/>
      <c r="AI26" s="7887"/>
      <c r="AJ26" s="7887"/>
      <c r="AK26" s="7887"/>
      <c r="AL26" s="7887"/>
      <c r="AM26" s="7887"/>
      <c r="AN26" s="7887"/>
      <c r="AO26" s="7887"/>
      <c r="AP26" s="7887"/>
      <c r="AQ26" s="7887"/>
      <c r="AR26" s="7887"/>
      <c r="AS26" s="7887"/>
      <c r="AT26" s="7887"/>
      <c r="AU26" s="7887"/>
      <c r="AV26" s="7887"/>
      <c r="AW26" s="7887"/>
      <c r="AX26" s="7872"/>
    </row>
    <row r="27" spans="1:50" s="7930" customFormat="1" ht="20.100000000000001" customHeight="1">
      <c r="A27" s="7872"/>
      <c r="B27" s="8510"/>
      <c r="C27" s="7939"/>
      <c r="D27" s="8821" t="s">
        <v>143</v>
      </c>
      <c r="E27" s="8017"/>
      <c r="F27" s="8090" t="s">
        <v>732</v>
      </c>
      <c r="G27" s="8514"/>
      <c r="H27" s="8514"/>
      <c r="I27" s="8515" t="s">
        <v>144</v>
      </c>
      <c r="J27" s="8516"/>
      <c r="K27" s="8090" t="s">
        <v>734</v>
      </c>
      <c r="L27" s="7935">
        <v>476</v>
      </c>
      <c r="M27" s="7936">
        <v>407</v>
      </c>
      <c r="N27" s="9235">
        <v>352</v>
      </c>
      <c r="O27" s="8996" t="s">
        <v>3541</v>
      </c>
      <c r="P27" s="7932"/>
      <c r="Q27" s="7932"/>
      <c r="R27" s="8509"/>
      <c r="S27" s="7887"/>
      <c r="T27" s="7887"/>
      <c r="U27" s="7887"/>
      <c r="V27" s="7887"/>
      <c r="W27" s="7887"/>
      <c r="X27" s="7887"/>
      <c r="Y27" s="7887"/>
      <c r="Z27" s="7887"/>
      <c r="AA27" s="7887"/>
      <c r="AB27" s="7887"/>
      <c r="AC27" s="7887"/>
      <c r="AD27" s="7887"/>
      <c r="AE27" s="7887"/>
      <c r="AF27" s="7887"/>
      <c r="AG27" s="7887"/>
      <c r="AH27" s="7887"/>
      <c r="AI27" s="7887"/>
      <c r="AJ27" s="7887"/>
      <c r="AK27" s="7887"/>
      <c r="AL27" s="7887"/>
      <c r="AM27" s="7887"/>
      <c r="AN27" s="7887"/>
      <c r="AO27" s="7887"/>
      <c r="AP27" s="7887"/>
      <c r="AQ27" s="7887"/>
      <c r="AR27" s="7887"/>
      <c r="AS27" s="7887"/>
      <c r="AT27" s="7887"/>
      <c r="AU27" s="7887"/>
      <c r="AV27" s="7887"/>
      <c r="AW27" s="7887"/>
      <c r="AX27" s="7872"/>
    </row>
    <row r="28" spans="1:50" s="7930" customFormat="1" ht="20.100000000000001" customHeight="1">
      <c r="A28" s="7872"/>
      <c r="B28" s="8510"/>
      <c r="C28" s="7939"/>
      <c r="D28" s="8821" t="s">
        <v>146</v>
      </c>
      <c r="E28" s="8017"/>
      <c r="F28" s="8090" t="s">
        <v>732</v>
      </c>
      <c r="G28" s="8514"/>
      <c r="H28" s="8514"/>
      <c r="I28" s="8515" t="s">
        <v>147</v>
      </c>
      <c r="J28" s="8516"/>
      <c r="K28" s="8090" t="s">
        <v>734</v>
      </c>
      <c r="L28" s="7935">
        <v>365</v>
      </c>
      <c r="M28" s="7936">
        <v>337</v>
      </c>
      <c r="N28" s="9235">
        <v>347</v>
      </c>
      <c r="O28" s="8996" t="s">
        <v>3559</v>
      </c>
      <c r="P28" s="7932"/>
      <c r="Q28" s="7932"/>
      <c r="R28" s="8509"/>
      <c r="S28" s="7887"/>
      <c r="T28" s="7887"/>
      <c r="U28" s="7887"/>
      <c r="V28" s="7887"/>
      <c r="W28" s="7887"/>
      <c r="X28" s="7887"/>
      <c r="Y28" s="7887"/>
      <c r="Z28" s="7887"/>
      <c r="AA28" s="7887"/>
      <c r="AB28" s="7887"/>
      <c r="AC28" s="7887"/>
      <c r="AD28" s="7887"/>
      <c r="AE28" s="7887"/>
      <c r="AF28" s="7887"/>
      <c r="AG28" s="7887"/>
      <c r="AH28" s="7887"/>
      <c r="AI28" s="7887"/>
      <c r="AJ28" s="7887"/>
      <c r="AK28" s="7887"/>
      <c r="AL28" s="7887"/>
      <c r="AM28" s="7887"/>
      <c r="AN28" s="7887"/>
      <c r="AO28" s="7887"/>
      <c r="AP28" s="7887"/>
      <c r="AQ28" s="7887"/>
      <c r="AR28" s="7887"/>
      <c r="AS28" s="7887"/>
      <c r="AT28" s="7887"/>
      <c r="AU28" s="7887"/>
      <c r="AV28" s="7887"/>
      <c r="AW28" s="7887"/>
      <c r="AX28" s="7872"/>
    </row>
    <row r="29" spans="1:50" s="7930" customFormat="1" ht="20.100000000000001" customHeight="1">
      <c r="A29" s="7872"/>
      <c r="B29" s="8510"/>
      <c r="C29" s="7939"/>
      <c r="D29" s="8821" t="s">
        <v>149</v>
      </c>
      <c r="E29" s="8017"/>
      <c r="F29" s="8090" t="s">
        <v>732</v>
      </c>
      <c r="G29" s="8514"/>
      <c r="H29" s="8514"/>
      <c r="I29" s="8515" t="s">
        <v>150</v>
      </c>
      <c r="J29" s="8516"/>
      <c r="K29" s="8090" t="s">
        <v>734</v>
      </c>
      <c r="L29" s="7935">
        <v>1275</v>
      </c>
      <c r="M29" s="8001">
        <v>1139</v>
      </c>
      <c r="N29" s="9235">
        <v>1054</v>
      </c>
      <c r="O29" s="8996"/>
      <c r="P29" s="7932"/>
      <c r="Q29" s="7932"/>
      <c r="R29" s="8509"/>
      <c r="S29" s="7887"/>
      <c r="T29" s="7887"/>
      <c r="U29" s="7887"/>
      <c r="V29" s="7887"/>
      <c r="W29" s="7887"/>
      <c r="X29" s="7887"/>
      <c r="Y29" s="7887"/>
      <c r="Z29" s="7887"/>
      <c r="AA29" s="7887"/>
      <c r="AB29" s="7887"/>
      <c r="AC29" s="7887"/>
      <c r="AD29" s="7887"/>
      <c r="AE29" s="7887"/>
      <c r="AF29" s="7887"/>
      <c r="AG29" s="7887"/>
      <c r="AH29" s="7887"/>
      <c r="AI29" s="7887"/>
      <c r="AJ29" s="7887"/>
      <c r="AK29" s="7887"/>
      <c r="AL29" s="7887"/>
      <c r="AM29" s="7887"/>
      <c r="AN29" s="7887"/>
      <c r="AO29" s="7887"/>
      <c r="AP29" s="7887"/>
      <c r="AQ29" s="7887"/>
      <c r="AR29" s="7887"/>
      <c r="AS29" s="7887"/>
      <c r="AT29" s="7887"/>
      <c r="AU29" s="7887"/>
      <c r="AV29" s="7887"/>
      <c r="AW29" s="7887"/>
      <c r="AX29" s="7872"/>
    </row>
    <row r="30" spans="1:50" s="7930" customFormat="1" ht="20.100000000000001" customHeight="1">
      <c r="A30" s="7872"/>
      <c r="B30" s="8510"/>
      <c r="C30" s="7939"/>
      <c r="D30" s="8885" t="s">
        <v>752</v>
      </c>
      <c r="E30" s="8512"/>
      <c r="F30" s="8089" t="s">
        <v>732</v>
      </c>
      <c r="G30" s="8513"/>
      <c r="H30" s="8513"/>
      <c r="I30" s="8511" t="s">
        <v>753</v>
      </c>
      <c r="J30" s="8512"/>
      <c r="K30" s="8089" t="s">
        <v>734</v>
      </c>
      <c r="L30" s="8012">
        <f>SUM(L31:L36)</f>
        <v>2212</v>
      </c>
      <c r="M30" s="8013">
        <f>SUM(M31:M36)</f>
        <v>3799</v>
      </c>
      <c r="N30" s="9231">
        <f>SUM(N31:N36)</f>
        <v>3795</v>
      </c>
      <c r="O30" s="8995"/>
      <c r="P30" s="8015" t="s">
        <v>739</v>
      </c>
      <c r="Q30" s="8015" t="s">
        <v>740</v>
      </c>
      <c r="R30" s="8500"/>
      <c r="S30" s="7887"/>
      <c r="T30" s="7887"/>
      <c r="U30" s="7887"/>
      <c r="V30" s="7887"/>
      <c r="W30" s="7887"/>
      <c r="X30" s="7887"/>
      <c r="Y30" s="7887"/>
      <c r="Z30" s="7887"/>
      <c r="AA30" s="7887"/>
      <c r="AB30" s="7887"/>
      <c r="AC30" s="7887"/>
      <c r="AD30" s="7887"/>
      <c r="AE30" s="7887"/>
      <c r="AF30" s="7887"/>
      <c r="AG30" s="7887"/>
      <c r="AH30" s="7887"/>
      <c r="AI30" s="7887"/>
      <c r="AJ30" s="7887"/>
      <c r="AK30" s="7887"/>
      <c r="AL30" s="7887"/>
      <c r="AM30" s="7887"/>
      <c r="AN30" s="7887"/>
      <c r="AO30" s="7887"/>
      <c r="AP30" s="7887"/>
      <c r="AQ30" s="7887"/>
      <c r="AR30" s="7887"/>
      <c r="AS30" s="7887"/>
      <c r="AT30" s="7887"/>
      <c r="AU30" s="7887"/>
      <c r="AV30" s="7887"/>
      <c r="AW30" s="7887"/>
      <c r="AX30" s="7872"/>
    </row>
    <row r="31" spans="1:50" s="7930" customFormat="1" ht="20.100000000000001" customHeight="1">
      <c r="A31" s="7872"/>
      <c r="B31" s="8510"/>
      <c r="C31" s="7939"/>
      <c r="D31" s="8821" t="s">
        <v>134</v>
      </c>
      <c r="E31" s="8017"/>
      <c r="F31" s="8090" t="s">
        <v>732</v>
      </c>
      <c r="G31" s="8514"/>
      <c r="H31" s="8514"/>
      <c r="I31" s="8506" t="s">
        <v>135</v>
      </c>
      <c r="J31" s="8508"/>
      <c r="K31" s="8090" t="s">
        <v>734</v>
      </c>
      <c r="L31" s="7935">
        <v>565</v>
      </c>
      <c r="M31" s="7936">
        <v>865</v>
      </c>
      <c r="N31" s="9233">
        <v>950</v>
      </c>
      <c r="O31" s="8994" t="s">
        <v>3549</v>
      </c>
      <c r="P31" s="7932"/>
      <c r="Q31" s="7932"/>
      <c r="R31" s="8509"/>
      <c r="S31" s="7887"/>
      <c r="T31" s="7887"/>
      <c r="U31" s="7887"/>
      <c r="V31" s="7887"/>
      <c r="W31" s="7887"/>
      <c r="X31" s="7887"/>
      <c r="Y31" s="7887"/>
      <c r="Z31" s="7887"/>
      <c r="AA31" s="7887"/>
      <c r="AB31" s="7887"/>
      <c r="AC31" s="7887"/>
      <c r="AD31" s="7887"/>
      <c r="AE31" s="7887"/>
      <c r="AF31" s="7887"/>
      <c r="AG31" s="7887"/>
      <c r="AH31" s="7887"/>
      <c r="AI31" s="7887"/>
      <c r="AJ31" s="7887"/>
      <c r="AK31" s="7887"/>
      <c r="AL31" s="7887"/>
      <c r="AM31" s="7887"/>
      <c r="AN31" s="7887"/>
      <c r="AO31" s="7887"/>
      <c r="AP31" s="7887"/>
      <c r="AQ31" s="7887"/>
      <c r="AR31" s="7887"/>
      <c r="AS31" s="7887"/>
      <c r="AT31" s="7887"/>
      <c r="AU31" s="7887"/>
      <c r="AV31" s="7887"/>
      <c r="AW31" s="7887"/>
      <c r="AX31" s="7872"/>
    </row>
    <row r="32" spans="1:50" s="7930" customFormat="1" ht="20.100000000000001" customHeight="1">
      <c r="A32" s="7872"/>
      <c r="B32" s="8510"/>
      <c r="C32" s="7939"/>
      <c r="D32" s="8821" t="s">
        <v>137</v>
      </c>
      <c r="E32" s="8017"/>
      <c r="F32" s="8090" t="s">
        <v>732</v>
      </c>
      <c r="G32" s="8514"/>
      <c r="H32" s="8514"/>
      <c r="I32" s="8506" t="s">
        <v>138</v>
      </c>
      <c r="J32" s="8508"/>
      <c r="K32" s="8090" t="s">
        <v>734</v>
      </c>
      <c r="L32" s="7935">
        <v>8</v>
      </c>
      <c r="M32" s="7936">
        <v>15</v>
      </c>
      <c r="N32" s="9234">
        <v>12</v>
      </c>
      <c r="O32" s="8996"/>
      <c r="P32" s="7932"/>
      <c r="Q32" s="7932"/>
      <c r="R32" s="8509"/>
      <c r="S32" s="7887"/>
      <c r="T32" s="7887"/>
      <c r="U32" s="7887"/>
      <c r="V32" s="7887"/>
      <c r="W32" s="7887"/>
      <c r="X32" s="7887"/>
      <c r="Y32" s="7887"/>
      <c r="Z32" s="7887"/>
      <c r="AA32" s="7887"/>
      <c r="AB32" s="7887"/>
      <c r="AC32" s="7887"/>
      <c r="AD32" s="7887"/>
      <c r="AE32" s="7887"/>
      <c r="AF32" s="7887"/>
      <c r="AG32" s="7887"/>
      <c r="AH32" s="7887"/>
      <c r="AI32" s="7887"/>
      <c r="AJ32" s="7887"/>
      <c r="AK32" s="7887"/>
      <c r="AL32" s="7887"/>
      <c r="AM32" s="7887"/>
      <c r="AN32" s="7887"/>
      <c r="AO32" s="7887"/>
      <c r="AP32" s="7887"/>
      <c r="AQ32" s="7887"/>
      <c r="AR32" s="7887"/>
      <c r="AS32" s="7887"/>
      <c r="AT32" s="7887"/>
      <c r="AU32" s="7887"/>
      <c r="AV32" s="7887"/>
      <c r="AW32" s="7887"/>
      <c r="AX32" s="7872"/>
    </row>
    <row r="33" spans="1:50" s="7930" customFormat="1" ht="20.100000000000001" customHeight="1">
      <c r="A33" s="7872"/>
      <c r="B33" s="8510"/>
      <c r="C33" s="7939"/>
      <c r="D33" s="8821" t="s">
        <v>140</v>
      </c>
      <c r="E33" s="8017"/>
      <c r="F33" s="8090" t="s">
        <v>732</v>
      </c>
      <c r="G33" s="8514"/>
      <c r="H33" s="8514"/>
      <c r="I33" s="8515" t="s">
        <v>141</v>
      </c>
      <c r="J33" s="8516"/>
      <c r="K33" s="8090" t="s">
        <v>734</v>
      </c>
      <c r="L33" s="7935">
        <v>1001</v>
      </c>
      <c r="M33" s="7936">
        <v>831</v>
      </c>
      <c r="N33" s="9234">
        <v>649</v>
      </c>
      <c r="O33" s="8996" t="s">
        <v>3541</v>
      </c>
      <c r="P33" s="7932"/>
      <c r="Q33" s="7932"/>
      <c r="R33" s="8509"/>
      <c r="S33" s="7887"/>
      <c r="T33" s="7887"/>
      <c r="U33" s="7887"/>
      <c r="V33" s="7887"/>
      <c r="W33" s="7887"/>
      <c r="X33" s="7887"/>
      <c r="Y33" s="7887"/>
      <c r="Z33" s="7887"/>
      <c r="AA33" s="7887"/>
      <c r="AB33" s="7887"/>
      <c r="AC33" s="7887"/>
      <c r="AD33" s="7887"/>
      <c r="AE33" s="7887"/>
      <c r="AF33" s="7887"/>
      <c r="AG33" s="7887"/>
      <c r="AH33" s="7887"/>
      <c r="AI33" s="7887"/>
      <c r="AJ33" s="7887"/>
      <c r="AK33" s="7887"/>
      <c r="AL33" s="7887"/>
      <c r="AM33" s="7887"/>
      <c r="AN33" s="7887"/>
      <c r="AO33" s="7887"/>
      <c r="AP33" s="7887"/>
      <c r="AQ33" s="7887"/>
      <c r="AR33" s="7887"/>
      <c r="AS33" s="7887"/>
      <c r="AT33" s="7887"/>
      <c r="AU33" s="7887"/>
      <c r="AV33" s="7887"/>
      <c r="AW33" s="7887"/>
      <c r="AX33" s="7872"/>
    </row>
    <row r="34" spans="1:50" s="7930" customFormat="1" ht="20.100000000000001" customHeight="1">
      <c r="A34" s="7872"/>
      <c r="B34" s="8510"/>
      <c r="C34" s="7939"/>
      <c r="D34" s="8016" t="s">
        <v>143</v>
      </c>
      <c r="E34" s="8017"/>
      <c r="F34" s="8090" t="s">
        <v>732</v>
      </c>
      <c r="G34" s="8514"/>
      <c r="H34" s="8514"/>
      <c r="I34" s="8515" t="s">
        <v>144</v>
      </c>
      <c r="J34" s="8516"/>
      <c r="K34" s="8090" t="s">
        <v>734</v>
      </c>
      <c r="L34" s="7935">
        <v>629</v>
      </c>
      <c r="M34" s="7936">
        <v>2039</v>
      </c>
      <c r="N34" s="9234">
        <v>2126</v>
      </c>
      <c r="O34" s="8996" t="s">
        <v>3541</v>
      </c>
      <c r="P34" s="7932"/>
      <c r="Q34" s="7932"/>
      <c r="R34" s="8509"/>
      <c r="S34" s="7887"/>
      <c r="T34" s="7887"/>
      <c r="U34" s="7887"/>
      <c r="V34" s="7887"/>
      <c r="W34" s="7887"/>
      <c r="X34" s="7887"/>
      <c r="Y34" s="7887"/>
      <c r="Z34" s="7887"/>
      <c r="AA34" s="7887"/>
      <c r="AB34" s="7887"/>
      <c r="AC34" s="7887"/>
      <c r="AD34" s="7887"/>
      <c r="AE34" s="7887"/>
      <c r="AF34" s="7887"/>
      <c r="AG34" s="7887"/>
      <c r="AH34" s="7887"/>
      <c r="AI34" s="7887"/>
      <c r="AJ34" s="7887"/>
      <c r="AK34" s="7887"/>
      <c r="AL34" s="7887"/>
      <c r="AM34" s="7887"/>
      <c r="AN34" s="7887"/>
      <c r="AO34" s="7887"/>
      <c r="AP34" s="7887"/>
      <c r="AQ34" s="7887"/>
      <c r="AR34" s="7887"/>
      <c r="AS34" s="7887"/>
      <c r="AT34" s="7887"/>
      <c r="AU34" s="7887"/>
      <c r="AV34" s="7887"/>
      <c r="AW34" s="7887"/>
      <c r="AX34" s="7872"/>
    </row>
    <row r="35" spans="1:50" s="7930" customFormat="1" ht="20.100000000000001" customHeight="1">
      <c r="A35" s="7872"/>
      <c r="B35" s="8510"/>
      <c r="C35" s="7939"/>
      <c r="D35" s="8016" t="s">
        <v>146</v>
      </c>
      <c r="E35" s="8017"/>
      <c r="F35" s="8090" t="s">
        <v>732</v>
      </c>
      <c r="G35" s="8514"/>
      <c r="H35" s="8514"/>
      <c r="I35" s="8515" t="s">
        <v>147</v>
      </c>
      <c r="J35" s="8516"/>
      <c r="K35" s="8090" t="s">
        <v>734</v>
      </c>
      <c r="L35" s="7935">
        <v>9</v>
      </c>
      <c r="M35" s="7936">
        <v>49</v>
      </c>
      <c r="N35" s="9234">
        <v>58</v>
      </c>
      <c r="O35" s="8996" t="s">
        <v>3559</v>
      </c>
      <c r="P35" s="7932"/>
      <c r="Q35" s="7932"/>
      <c r="R35" s="8509"/>
      <c r="S35" s="7887"/>
      <c r="T35" s="7887"/>
      <c r="U35" s="7887"/>
      <c r="V35" s="7887"/>
      <c r="W35" s="7887"/>
      <c r="X35" s="7887"/>
      <c r="Y35" s="7887"/>
      <c r="Z35" s="7887"/>
      <c r="AA35" s="7887"/>
      <c r="AB35" s="7887"/>
      <c r="AC35" s="7887"/>
      <c r="AD35" s="7887"/>
      <c r="AE35" s="7887"/>
      <c r="AF35" s="7887"/>
      <c r="AG35" s="7887"/>
      <c r="AH35" s="7887"/>
      <c r="AI35" s="7887"/>
      <c r="AJ35" s="7887"/>
      <c r="AK35" s="7887"/>
      <c r="AL35" s="7887"/>
      <c r="AM35" s="7887"/>
      <c r="AN35" s="7887"/>
      <c r="AO35" s="7887"/>
      <c r="AP35" s="7887"/>
      <c r="AQ35" s="7887"/>
      <c r="AR35" s="7887"/>
      <c r="AS35" s="7887"/>
      <c r="AT35" s="7887"/>
      <c r="AU35" s="7887"/>
      <c r="AV35" s="7887"/>
      <c r="AW35" s="7887"/>
      <c r="AX35" s="7872"/>
    </row>
    <row r="36" spans="1:50" s="7930" customFormat="1" ht="20.100000000000001" customHeight="1">
      <c r="A36" s="7872"/>
      <c r="B36" s="8510"/>
      <c r="C36" s="7939"/>
      <c r="D36" s="8016" t="s">
        <v>149</v>
      </c>
      <c r="E36" s="8017"/>
      <c r="F36" s="8090" t="s">
        <v>732</v>
      </c>
      <c r="G36" s="8514"/>
      <c r="H36" s="8514"/>
      <c r="I36" s="8515" t="s">
        <v>150</v>
      </c>
      <c r="J36" s="8516"/>
      <c r="K36" s="8090" t="s">
        <v>734</v>
      </c>
      <c r="L36" s="7935">
        <v>0</v>
      </c>
      <c r="M36" s="7936">
        <v>0</v>
      </c>
      <c r="N36" s="9234">
        <v>0</v>
      </c>
      <c r="O36" s="8996"/>
      <c r="P36" s="7932"/>
      <c r="Q36" s="7932"/>
      <c r="R36" s="8509"/>
      <c r="S36" s="7887"/>
      <c r="T36" s="7887"/>
      <c r="U36" s="7887"/>
      <c r="V36" s="7887"/>
      <c r="W36" s="7887"/>
      <c r="X36" s="7887"/>
      <c r="Y36" s="7887"/>
      <c r="Z36" s="7887"/>
      <c r="AA36" s="7887"/>
      <c r="AB36" s="7887"/>
      <c r="AC36" s="7887"/>
      <c r="AD36" s="7887"/>
      <c r="AE36" s="7887"/>
      <c r="AF36" s="7887"/>
      <c r="AG36" s="7887"/>
      <c r="AH36" s="7887"/>
      <c r="AI36" s="7887"/>
      <c r="AJ36" s="7887"/>
      <c r="AK36" s="7887"/>
      <c r="AL36" s="7887"/>
      <c r="AM36" s="7887"/>
      <c r="AN36" s="7887"/>
      <c r="AO36" s="7887"/>
      <c r="AP36" s="7887"/>
      <c r="AQ36" s="7887"/>
      <c r="AR36" s="7887"/>
      <c r="AS36" s="7887"/>
      <c r="AT36" s="7887"/>
      <c r="AU36" s="7887"/>
      <c r="AV36" s="7887"/>
      <c r="AW36" s="7887"/>
      <c r="AX36" s="7872"/>
    </row>
    <row r="37" spans="1:50" s="7930" customFormat="1" ht="20.100000000000001" customHeight="1">
      <c r="A37" s="7872"/>
      <c r="B37" s="8510"/>
      <c r="C37" s="7939"/>
      <c r="D37" s="8511" t="s">
        <v>756</v>
      </c>
      <c r="E37" s="8512"/>
      <c r="F37" s="8093" t="s">
        <v>732</v>
      </c>
      <c r="G37" s="8513"/>
      <c r="H37" s="8513"/>
      <c r="I37" s="8511" t="s">
        <v>757</v>
      </c>
      <c r="J37" s="8512"/>
      <c r="K37" s="8093" t="s">
        <v>734</v>
      </c>
      <c r="L37" s="8012">
        <f>SUM(L38:L43)</f>
        <v>24</v>
      </c>
      <c r="M37" s="8013">
        <f>SUM(M38:M43)</f>
        <v>27</v>
      </c>
      <c r="N37" s="9231">
        <f>SUM(N38:N43)</f>
        <v>25</v>
      </c>
      <c r="O37" s="8995"/>
      <c r="P37" s="8015" t="s">
        <v>739</v>
      </c>
      <c r="Q37" s="8015" t="s">
        <v>740</v>
      </c>
      <c r="R37" s="8500"/>
      <c r="S37" s="7887"/>
      <c r="T37" s="7887"/>
      <c r="U37" s="7887"/>
      <c r="V37" s="7887"/>
      <c r="W37" s="7887"/>
      <c r="X37" s="7887"/>
      <c r="Y37" s="7887"/>
      <c r="Z37" s="7887"/>
      <c r="AA37" s="7887"/>
      <c r="AB37" s="7887"/>
      <c r="AC37" s="7887"/>
      <c r="AD37" s="7887"/>
      <c r="AE37" s="7887"/>
      <c r="AF37" s="7887"/>
      <c r="AG37" s="7887"/>
      <c r="AH37" s="7887"/>
      <c r="AI37" s="7887"/>
      <c r="AJ37" s="7887"/>
      <c r="AK37" s="7887"/>
      <c r="AL37" s="7887"/>
      <c r="AM37" s="7887"/>
      <c r="AN37" s="7887"/>
      <c r="AO37" s="7887"/>
      <c r="AP37" s="7887"/>
      <c r="AQ37" s="7887"/>
      <c r="AR37" s="7887"/>
      <c r="AS37" s="7887"/>
      <c r="AT37" s="7887"/>
      <c r="AU37" s="7887"/>
      <c r="AV37" s="7887"/>
      <c r="AW37" s="7887"/>
      <c r="AX37" s="7872"/>
    </row>
    <row r="38" spans="1:50" s="7930" customFormat="1" ht="20.100000000000001" customHeight="1">
      <c r="A38" s="7872"/>
      <c r="B38" s="8510"/>
      <c r="C38" s="7939"/>
      <c r="D38" s="8016" t="s">
        <v>134</v>
      </c>
      <c r="E38" s="8017"/>
      <c r="F38" s="8090" t="s">
        <v>732</v>
      </c>
      <c r="G38" s="8514"/>
      <c r="H38" s="8514"/>
      <c r="I38" s="8506" t="s">
        <v>135</v>
      </c>
      <c r="J38" s="8508"/>
      <c r="K38" s="8090" t="s">
        <v>734</v>
      </c>
      <c r="L38" s="7935">
        <v>5</v>
      </c>
      <c r="M38" s="7936">
        <v>8</v>
      </c>
      <c r="N38" s="9234">
        <v>6</v>
      </c>
      <c r="O38" s="8996"/>
      <c r="P38" s="7932"/>
      <c r="Q38" s="7932"/>
      <c r="R38" s="8509"/>
      <c r="S38" s="7887"/>
      <c r="T38" s="7887"/>
      <c r="U38" s="7887"/>
      <c r="V38" s="7887"/>
      <c r="W38" s="7887"/>
      <c r="X38" s="7887"/>
      <c r="Y38" s="7887"/>
      <c r="Z38" s="7887"/>
      <c r="AA38" s="7887"/>
      <c r="AB38" s="7887"/>
      <c r="AC38" s="7887"/>
      <c r="AD38" s="7887"/>
      <c r="AE38" s="7887"/>
      <c r="AF38" s="7887"/>
      <c r="AG38" s="7887"/>
      <c r="AH38" s="7887"/>
      <c r="AI38" s="7887"/>
      <c r="AJ38" s="7887"/>
      <c r="AK38" s="7887"/>
      <c r="AL38" s="7887"/>
      <c r="AM38" s="7887"/>
      <c r="AN38" s="7887"/>
      <c r="AO38" s="7887"/>
      <c r="AP38" s="7887"/>
      <c r="AQ38" s="7887"/>
      <c r="AR38" s="7887"/>
      <c r="AS38" s="7887"/>
      <c r="AT38" s="7887"/>
      <c r="AU38" s="7887"/>
      <c r="AV38" s="7887"/>
      <c r="AW38" s="7887"/>
      <c r="AX38" s="7872"/>
    </row>
    <row r="39" spans="1:50" s="7930" customFormat="1" ht="20.100000000000001" customHeight="1">
      <c r="A39" s="7872"/>
      <c r="B39" s="8510"/>
      <c r="C39" s="7939"/>
      <c r="D39" s="8016" t="s">
        <v>137</v>
      </c>
      <c r="E39" s="8017"/>
      <c r="F39" s="8090" t="s">
        <v>732</v>
      </c>
      <c r="G39" s="8514"/>
      <c r="H39" s="8514"/>
      <c r="I39" s="8506" t="s">
        <v>138</v>
      </c>
      <c r="J39" s="8508"/>
      <c r="K39" s="8090" t="s">
        <v>734</v>
      </c>
      <c r="L39" s="7935">
        <v>1</v>
      </c>
      <c r="M39" s="7936">
        <v>1</v>
      </c>
      <c r="N39" s="9234">
        <v>1</v>
      </c>
      <c r="O39" s="8996"/>
      <c r="P39" s="7932"/>
      <c r="Q39" s="7932"/>
      <c r="R39" s="8509"/>
      <c r="S39" s="7887"/>
      <c r="T39" s="7887"/>
      <c r="U39" s="7887"/>
      <c r="V39" s="7887"/>
      <c r="W39" s="7887"/>
      <c r="X39" s="7887"/>
      <c r="Y39" s="7887"/>
      <c r="Z39" s="7887"/>
      <c r="AA39" s="7887"/>
      <c r="AB39" s="7887"/>
      <c r="AC39" s="7887"/>
      <c r="AD39" s="7887"/>
      <c r="AE39" s="7887"/>
      <c r="AF39" s="7887"/>
      <c r="AG39" s="7887"/>
      <c r="AH39" s="7887"/>
      <c r="AI39" s="7887"/>
      <c r="AJ39" s="7887"/>
      <c r="AK39" s="7887"/>
      <c r="AL39" s="7887"/>
      <c r="AM39" s="7887"/>
      <c r="AN39" s="7887"/>
      <c r="AO39" s="7887"/>
      <c r="AP39" s="7887"/>
      <c r="AQ39" s="7887"/>
      <c r="AR39" s="7887"/>
      <c r="AS39" s="7887"/>
      <c r="AT39" s="7887"/>
      <c r="AU39" s="7887"/>
      <c r="AV39" s="7887"/>
      <c r="AW39" s="7887"/>
      <c r="AX39" s="7872"/>
    </row>
    <row r="40" spans="1:50" s="7930" customFormat="1" ht="20.100000000000001" customHeight="1">
      <c r="A40" s="7872"/>
      <c r="B40" s="8510"/>
      <c r="C40" s="7939"/>
      <c r="D40" s="8016" t="s">
        <v>140</v>
      </c>
      <c r="E40" s="8017"/>
      <c r="F40" s="8090" t="s">
        <v>732</v>
      </c>
      <c r="G40" s="8514"/>
      <c r="H40" s="8514"/>
      <c r="I40" s="8515" t="s">
        <v>141</v>
      </c>
      <c r="J40" s="8516"/>
      <c r="K40" s="8090" t="s">
        <v>734</v>
      </c>
      <c r="L40" s="7935">
        <v>1</v>
      </c>
      <c r="M40" s="7936">
        <v>1</v>
      </c>
      <c r="N40" s="9234">
        <v>1</v>
      </c>
      <c r="P40" s="7932"/>
      <c r="Q40" s="7932"/>
      <c r="R40" s="8509"/>
      <c r="S40" s="7887"/>
      <c r="T40" s="7887"/>
      <c r="U40" s="7887"/>
      <c r="V40" s="7887"/>
      <c r="W40" s="7887"/>
      <c r="X40" s="7887"/>
      <c r="Y40" s="7887"/>
      <c r="Z40" s="7887"/>
      <c r="AA40" s="7887"/>
      <c r="AB40" s="7887"/>
      <c r="AC40" s="7887"/>
      <c r="AD40" s="7887"/>
      <c r="AE40" s="7887"/>
      <c r="AF40" s="7887"/>
      <c r="AG40" s="7887"/>
      <c r="AH40" s="7887"/>
      <c r="AI40" s="7887"/>
      <c r="AJ40" s="7887"/>
      <c r="AK40" s="7887"/>
      <c r="AL40" s="7887"/>
      <c r="AM40" s="7887"/>
      <c r="AN40" s="7887"/>
      <c r="AO40" s="7887"/>
      <c r="AP40" s="7887"/>
      <c r="AQ40" s="7887"/>
      <c r="AR40" s="7887"/>
      <c r="AS40" s="7887"/>
      <c r="AT40" s="7887"/>
      <c r="AU40" s="7887"/>
      <c r="AV40" s="7887"/>
      <c r="AW40" s="7887"/>
      <c r="AX40" s="7872"/>
    </row>
    <row r="41" spans="1:50" s="7930" customFormat="1" ht="20.100000000000001" customHeight="1">
      <c r="A41" s="7872"/>
      <c r="B41" s="8510"/>
      <c r="C41" s="7939"/>
      <c r="D41" s="8016" t="s">
        <v>143</v>
      </c>
      <c r="E41" s="8017"/>
      <c r="F41" s="8090" t="s">
        <v>732</v>
      </c>
      <c r="G41" s="8514"/>
      <c r="H41" s="8514"/>
      <c r="I41" s="8515" t="s">
        <v>144</v>
      </c>
      <c r="J41" s="8516"/>
      <c r="K41" s="8090" t="s">
        <v>734</v>
      </c>
      <c r="L41" s="7935">
        <v>5</v>
      </c>
      <c r="M41" s="7936">
        <v>5</v>
      </c>
      <c r="N41" s="9234">
        <v>5</v>
      </c>
      <c r="O41" s="8996"/>
      <c r="P41" s="7932"/>
      <c r="Q41" s="7932"/>
      <c r="R41" s="8509"/>
      <c r="S41" s="7887"/>
      <c r="T41" s="7887"/>
      <c r="U41" s="7887"/>
      <c r="V41" s="7887"/>
      <c r="W41" s="7887"/>
      <c r="X41" s="7887"/>
      <c r="Y41" s="7887"/>
      <c r="Z41" s="7887"/>
      <c r="AA41" s="7887"/>
      <c r="AB41" s="7887"/>
      <c r="AC41" s="7887"/>
      <c r="AD41" s="7887"/>
      <c r="AE41" s="7887"/>
      <c r="AF41" s="7887"/>
      <c r="AG41" s="7887"/>
      <c r="AH41" s="7887"/>
      <c r="AI41" s="7887"/>
      <c r="AJ41" s="7887"/>
      <c r="AK41" s="7887"/>
      <c r="AL41" s="7887"/>
      <c r="AM41" s="7887"/>
      <c r="AN41" s="7887"/>
      <c r="AO41" s="7887"/>
      <c r="AP41" s="7887"/>
      <c r="AQ41" s="7887"/>
      <c r="AR41" s="7887"/>
      <c r="AS41" s="7887"/>
      <c r="AT41" s="7887"/>
      <c r="AU41" s="7887"/>
      <c r="AV41" s="7887"/>
      <c r="AW41" s="7887"/>
      <c r="AX41" s="7872"/>
    </row>
    <row r="42" spans="1:50" s="7930" customFormat="1" ht="20.100000000000001" customHeight="1">
      <c r="A42" s="7872"/>
      <c r="B42" s="8510"/>
      <c r="C42" s="7939"/>
      <c r="D42" s="8016" t="s">
        <v>146</v>
      </c>
      <c r="E42" s="8017"/>
      <c r="F42" s="8090" t="s">
        <v>732</v>
      </c>
      <c r="G42" s="8514"/>
      <c r="H42" s="8514"/>
      <c r="I42" s="8515" t="s">
        <v>147</v>
      </c>
      <c r="J42" s="8516"/>
      <c r="K42" s="8090" t="s">
        <v>734</v>
      </c>
      <c r="L42" s="7935">
        <v>7</v>
      </c>
      <c r="M42" s="7936">
        <v>7</v>
      </c>
      <c r="N42" s="9234">
        <v>7</v>
      </c>
      <c r="O42" s="8996"/>
      <c r="P42" s="7932"/>
      <c r="Q42" s="7932"/>
      <c r="R42" s="8509"/>
      <c r="S42" s="7887"/>
      <c r="T42" s="7887"/>
      <c r="U42" s="7887"/>
      <c r="V42" s="7887"/>
      <c r="W42" s="7887"/>
      <c r="X42" s="7887"/>
      <c r="Y42" s="7887"/>
      <c r="Z42" s="7887"/>
      <c r="AA42" s="7887"/>
      <c r="AB42" s="7887"/>
      <c r="AC42" s="7887"/>
      <c r="AD42" s="7887"/>
      <c r="AE42" s="7887"/>
      <c r="AF42" s="7887"/>
      <c r="AG42" s="7887"/>
      <c r="AH42" s="7887"/>
      <c r="AI42" s="7887"/>
      <c r="AJ42" s="7887"/>
      <c r="AK42" s="7887"/>
      <c r="AL42" s="7887"/>
      <c r="AM42" s="7887"/>
      <c r="AN42" s="7887"/>
      <c r="AO42" s="7887"/>
      <c r="AP42" s="7887"/>
      <c r="AQ42" s="7887"/>
      <c r="AR42" s="7887"/>
      <c r="AS42" s="7887"/>
      <c r="AT42" s="7887"/>
      <c r="AU42" s="7887"/>
      <c r="AV42" s="7887"/>
      <c r="AW42" s="7887"/>
      <c r="AX42" s="7872"/>
    </row>
    <row r="43" spans="1:50" s="7930" customFormat="1" ht="20.100000000000001" customHeight="1">
      <c r="A43" s="7872"/>
      <c r="B43" s="8510"/>
      <c r="C43" s="7939"/>
      <c r="D43" s="8016" t="s">
        <v>149</v>
      </c>
      <c r="E43" s="8017"/>
      <c r="F43" s="8090" t="s">
        <v>732</v>
      </c>
      <c r="G43" s="8514"/>
      <c r="H43" s="8514"/>
      <c r="I43" s="8515" t="s">
        <v>150</v>
      </c>
      <c r="J43" s="8516"/>
      <c r="K43" s="8090" t="s">
        <v>734</v>
      </c>
      <c r="L43" s="7935">
        <v>5</v>
      </c>
      <c r="M43" s="8001">
        <v>5</v>
      </c>
      <c r="N43" s="9234">
        <v>5</v>
      </c>
      <c r="O43" s="9192"/>
      <c r="P43" s="7932"/>
      <c r="Q43" s="7932"/>
      <c r="R43" s="8509"/>
      <c r="S43" s="7887"/>
      <c r="T43" s="7887"/>
      <c r="U43" s="7887"/>
      <c r="V43" s="7887"/>
      <c r="W43" s="7887"/>
      <c r="X43" s="7887"/>
      <c r="Y43" s="7887"/>
      <c r="Z43" s="7887"/>
      <c r="AA43" s="7887"/>
      <c r="AB43" s="7887"/>
      <c r="AC43" s="7887"/>
      <c r="AD43" s="7887"/>
      <c r="AE43" s="7887"/>
      <c r="AF43" s="7887"/>
      <c r="AG43" s="7887"/>
      <c r="AH43" s="7887"/>
      <c r="AI43" s="7887"/>
      <c r="AJ43" s="7887"/>
      <c r="AK43" s="7887"/>
      <c r="AL43" s="7887"/>
      <c r="AM43" s="7887"/>
      <c r="AN43" s="7887"/>
      <c r="AO43" s="7887"/>
      <c r="AP43" s="7887"/>
      <c r="AQ43" s="7887"/>
      <c r="AR43" s="7887"/>
      <c r="AS43" s="7887"/>
      <c r="AT43" s="7887"/>
      <c r="AU43" s="7887"/>
      <c r="AV43" s="7887"/>
      <c r="AW43" s="7887"/>
      <c r="AX43" s="7872"/>
    </row>
    <row r="44" spans="1:50" s="7930" customFormat="1" ht="20.100000000000001" customHeight="1">
      <c r="A44" s="7872"/>
      <c r="B44" s="8510"/>
      <c r="C44" s="8517" t="s">
        <v>3550</v>
      </c>
      <c r="D44" s="8518"/>
      <c r="E44" s="8519"/>
      <c r="F44" s="8520"/>
      <c r="G44" s="8521"/>
      <c r="H44" s="8522" t="s">
        <v>792</v>
      </c>
      <c r="I44" s="8518"/>
      <c r="J44" s="8519"/>
      <c r="K44" s="8094"/>
      <c r="L44" s="8095">
        <f>SUM(L45,L52)</f>
        <v>7609</v>
      </c>
      <c r="M44" s="8096">
        <f>SUM(M45,M52)</f>
        <v>9630</v>
      </c>
      <c r="N44" s="9236">
        <f>SUM(N45,N52)</f>
        <v>9635</v>
      </c>
      <c r="O44" s="8999"/>
      <c r="P44" s="8015" t="s">
        <v>793</v>
      </c>
      <c r="Q44" s="8523" t="s">
        <v>794</v>
      </c>
      <c r="R44" s="8500" t="s">
        <v>795</v>
      </c>
      <c r="S44" s="7887"/>
      <c r="T44" s="7887"/>
      <c r="U44" s="7887"/>
      <c r="V44" s="7887"/>
      <c r="W44" s="7887"/>
      <c r="X44" s="7887"/>
      <c r="Y44" s="7887"/>
      <c r="Z44" s="7887"/>
      <c r="AA44" s="7887"/>
      <c r="AB44" s="7887"/>
      <c r="AC44" s="7887"/>
      <c r="AD44" s="7887"/>
      <c r="AE44" s="7887"/>
      <c r="AF44" s="7887"/>
      <c r="AG44" s="7887"/>
      <c r="AH44" s="7887"/>
      <c r="AI44" s="7887"/>
      <c r="AJ44" s="7887"/>
      <c r="AK44" s="7887"/>
      <c r="AL44" s="7887"/>
      <c r="AM44" s="7887"/>
      <c r="AN44" s="7887"/>
      <c r="AO44" s="7887"/>
      <c r="AP44" s="7887"/>
      <c r="AQ44" s="7887"/>
      <c r="AR44" s="7887"/>
      <c r="AS44" s="7887"/>
      <c r="AT44" s="7887"/>
      <c r="AU44" s="7887"/>
      <c r="AV44" s="7887"/>
      <c r="AW44" s="7887"/>
      <c r="AX44" s="7872"/>
    </row>
    <row r="45" spans="1:50" s="7930" customFormat="1" ht="20.100000000000001" customHeight="1">
      <c r="A45" s="7872"/>
      <c r="B45" s="8510"/>
      <c r="C45" s="7939"/>
      <c r="D45" s="8524" t="s">
        <v>796</v>
      </c>
      <c r="E45" s="8525"/>
      <c r="F45" s="7957" t="s">
        <v>732</v>
      </c>
      <c r="G45" s="8526"/>
      <c r="H45" s="8527"/>
      <c r="I45" s="8524" t="s">
        <v>797</v>
      </c>
      <c r="J45" s="8525"/>
      <c r="K45" s="7957" t="s">
        <v>734</v>
      </c>
      <c r="L45" s="8097">
        <f>SUM(L46:L51)</f>
        <v>3956</v>
      </c>
      <c r="M45" s="8013">
        <f>SUM(M46:M51)</f>
        <v>4857</v>
      </c>
      <c r="N45" s="9231">
        <f>SUM(N46:N51)</f>
        <v>4698</v>
      </c>
      <c r="O45" s="8995"/>
      <c r="P45" s="8015" t="s">
        <v>793</v>
      </c>
      <c r="Q45" s="8523" t="s">
        <v>794</v>
      </c>
      <c r="R45" s="8500" t="s">
        <v>795</v>
      </c>
      <c r="S45" s="7887"/>
      <c r="T45" s="7887"/>
      <c r="U45" s="7887"/>
      <c r="V45" s="7887"/>
      <c r="W45" s="7887"/>
      <c r="X45" s="7887"/>
      <c r="Y45" s="7887"/>
      <c r="Z45" s="7887"/>
      <c r="AA45" s="7887"/>
      <c r="AB45" s="7887"/>
      <c r="AC45" s="7887"/>
      <c r="AD45" s="7887"/>
      <c r="AE45" s="7887"/>
      <c r="AF45" s="7887"/>
      <c r="AG45" s="7887"/>
      <c r="AH45" s="7887"/>
      <c r="AI45" s="7887"/>
      <c r="AJ45" s="7887"/>
      <c r="AK45" s="7887"/>
      <c r="AL45" s="7887"/>
      <c r="AM45" s="7887"/>
      <c r="AN45" s="7887"/>
      <c r="AO45" s="7887"/>
      <c r="AP45" s="7887"/>
      <c r="AQ45" s="7887"/>
      <c r="AR45" s="7887"/>
      <c r="AS45" s="7887"/>
      <c r="AT45" s="7887"/>
      <c r="AU45" s="7887"/>
      <c r="AV45" s="7887"/>
      <c r="AW45" s="7887"/>
      <c r="AX45" s="7872"/>
    </row>
    <row r="46" spans="1:50" s="7930" customFormat="1" ht="20.100000000000001" customHeight="1">
      <c r="A46" s="7872"/>
      <c r="B46" s="8510"/>
      <c r="C46" s="7939"/>
      <c r="D46" s="8016" t="s">
        <v>134</v>
      </c>
      <c r="E46" s="8017"/>
      <c r="F46" s="8090" t="s">
        <v>732</v>
      </c>
      <c r="G46" s="8514"/>
      <c r="H46" s="8528"/>
      <c r="I46" s="8506" t="s">
        <v>135</v>
      </c>
      <c r="J46" s="8508"/>
      <c r="K46" s="7953" t="s">
        <v>734</v>
      </c>
      <c r="L46" s="7935">
        <v>1678</v>
      </c>
      <c r="M46" s="7936">
        <v>2124</v>
      </c>
      <c r="N46" s="9233">
        <v>2099</v>
      </c>
      <c r="O46" s="8996"/>
      <c r="P46" s="7932"/>
      <c r="Q46" s="7932"/>
      <c r="R46" s="8509"/>
      <c r="S46" s="7887"/>
      <c r="T46" s="7887"/>
      <c r="U46" s="7887"/>
      <c r="V46" s="7887"/>
      <c r="W46" s="7887"/>
      <c r="X46" s="7887"/>
      <c r="Y46" s="7887"/>
      <c r="Z46" s="7887"/>
      <c r="AA46" s="7887"/>
      <c r="AB46" s="7887"/>
      <c r="AC46" s="7887"/>
      <c r="AD46" s="7887"/>
      <c r="AE46" s="7887"/>
      <c r="AF46" s="7887"/>
      <c r="AG46" s="7887"/>
      <c r="AH46" s="7887"/>
      <c r="AI46" s="7887"/>
      <c r="AJ46" s="7887"/>
      <c r="AK46" s="7887"/>
      <c r="AL46" s="7887"/>
      <c r="AM46" s="7887"/>
      <c r="AN46" s="7887"/>
      <c r="AO46" s="7887"/>
      <c r="AP46" s="7887"/>
      <c r="AQ46" s="7887"/>
      <c r="AR46" s="7887"/>
      <c r="AS46" s="7887"/>
      <c r="AT46" s="7887"/>
      <c r="AU46" s="7887"/>
      <c r="AV46" s="7887"/>
      <c r="AW46" s="7887"/>
      <c r="AX46" s="7872"/>
    </row>
    <row r="47" spans="1:50" s="7887" customFormat="1" ht="20.100000000000001" customHeight="1">
      <c r="A47" s="7872"/>
      <c r="B47" s="8510"/>
      <c r="C47" s="7939"/>
      <c r="D47" s="8016" t="s">
        <v>137</v>
      </c>
      <c r="E47" s="8017"/>
      <c r="F47" s="8090" t="s">
        <v>732</v>
      </c>
      <c r="G47" s="8514"/>
      <c r="H47" s="8528"/>
      <c r="I47" s="8506" t="s">
        <v>138</v>
      </c>
      <c r="J47" s="8508"/>
      <c r="K47" s="7953" t="s">
        <v>734</v>
      </c>
      <c r="L47" s="7935">
        <v>134</v>
      </c>
      <c r="M47" s="7936">
        <v>154</v>
      </c>
      <c r="N47" s="9234">
        <v>147</v>
      </c>
      <c r="O47" s="8996"/>
      <c r="P47" s="7932"/>
      <c r="Q47" s="7932"/>
      <c r="R47" s="8509"/>
      <c r="AX47" s="7872"/>
    </row>
    <row r="48" spans="1:50" s="7887" customFormat="1" ht="20.100000000000001" customHeight="1">
      <c r="A48" s="7872"/>
      <c r="B48" s="8510"/>
      <c r="C48" s="7939"/>
      <c r="D48" s="8016" t="s">
        <v>140</v>
      </c>
      <c r="E48" s="8017"/>
      <c r="F48" s="8090" t="s">
        <v>732</v>
      </c>
      <c r="G48" s="8514"/>
      <c r="H48" s="8528"/>
      <c r="I48" s="8515" t="s">
        <v>141</v>
      </c>
      <c r="J48" s="8516"/>
      <c r="K48" s="7953" t="s">
        <v>734</v>
      </c>
      <c r="L48" s="7935">
        <v>541</v>
      </c>
      <c r="M48" s="7936">
        <v>452</v>
      </c>
      <c r="N48" s="9234">
        <v>372</v>
      </c>
      <c r="O48" s="8996"/>
      <c r="P48" s="7932"/>
      <c r="Q48" s="7932"/>
      <c r="R48" s="8509"/>
      <c r="AX48" s="7872"/>
    </row>
    <row r="49" spans="1:50" s="7887" customFormat="1" ht="20.100000000000001" customHeight="1">
      <c r="A49" s="7872"/>
      <c r="B49" s="8510"/>
      <c r="C49" s="7939"/>
      <c r="D49" s="8016" t="s">
        <v>143</v>
      </c>
      <c r="E49" s="8017"/>
      <c r="F49" s="8090" t="s">
        <v>732</v>
      </c>
      <c r="G49" s="8514"/>
      <c r="H49" s="8528"/>
      <c r="I49" s="8515" t="s">
        <v>144</v>
      </c>
      <c r="J49" s="8516"/>
      <c r="K49" s="7953" t="s">
        <v>734</v>
      </c>
      <c r="L49" s="7935">
        <v>573</v>
      </c>
      <c r="M49" s="7936">
        <v>1200</v>
      </c>
      <c r="N49" s="9234">
        <v>1195</v>
      </c>
      <c r="O49" s="8996"/>
      <c r="P49" s="7932"/>
      <c r="Q49" s="7932"/>
      <c r="R49" s="8509"/>
      <c r="AX49" s="7872"/>
    </row>
    <row r="50" spans="1:50" s="7887" customFormat="1" ht="20.100000000000001" customHeight="1">
      <c r="A50" s="7872"/>
      <c r="B50" s="8510"/>
      <c r="C50" s="7939"/>
      <c r="D50" s="8016" t="s">
        <v>146</v>
      </c>
      <c r="E50" s="8017"/>
      <c r="F50" s="8090" t="s">
        <v>732</v>
      </c>
      <c r="G50" s="8514"/>
      <c r="H50" s="8528"/>
      <c r="I50" s="8515" t="s">
        <v>147</v>
      </c>
      <c r="J50" s="8516"/>
      <c r="K50" s="7953" t="s">
        <v>734</v>
      </c>
      <c r="L50" s="7935">
        <v>293</v>
      </c>
      <c r="M50" s="7936">
        <v>281</v>
      </c>
      <c r="N50" s="9234">
        <v>288</v>
      </c>
      <c r="O50" s="8996"/>
      <c r="P50" s="7932"/>
      <c r="Q50" s="7932"/>
      <c r="R50" s="8509"/>
      <c r="AX50" s="7872"/>
    </row>
    <row r="51" spans="1:50" s="7887" customFormat="1" ht="20.100000000000001" customHeight="1">
      <c r="A51" s="7872"/>
      <c r="B51" s="8510"/>
      <c r="C51" s="7939"/>
      <c r="D51" s="8016" t="s">
        <v>149</v>
      </c>
      <c r="E51" s="8017"/>
      <c r="F51" s="8090" t="s">
        <v>732</v>
      </c>
      <c r="G51" s="8514"/>
      <c r="H51" s="8528"/>
      <c r="I51" s="8515" t="s">
        <v>150</v>
      </c>
      <c r="J51" s="8516"/>
      <c r="K51" s="7953" t="s">
        <v>734</v>
      </c>
      <c r="L51" s="7935">
        <v>737</v>
      </c>
      <c r="M51" s="7936">
        <v>646</v>
      </c>
      <c r="N51" s="9234">
        <v>597</v>
      </c>
      <c r="O51" s="8996"/>
      <c r="P51" s="7932"/>
      <c r="Q51" s="7932"/>
      <c r="R51" s="8509"/>
      <c r="AX51" s="7872"/>
    </row>
    <row r="52" spans="1:50" s="7887" customFormat="1" ht="19.899999999999999" customHeight="1">
      <c r="A52" s="7872"/>
      <c r="B52" s="8510"/>
      <c r="C52" s="7939"/>
      <c r="D52" s="8524" t="s">
        <v>802</v>
      </c>
      <c r="E52" s="8525"/>
      <c r="F52" s="7957" t="s">
        <v>732</v>
      </c>
      <c r="G52" s="8526"/>
      <c r="H52" s="8527"/>
      <c r="I52" s="8524" t="s">
        <v>803</v>
      </c>
      <c r="J52" s="8525"/>
      <c r="K52" s="7957" t="s">
        <v>734</v>
      </c>
      <c r="L52" s="8012">
        <f>SUM(L53:L58)</f>
        <v>3653</v>
      </c>
      <c r="M52" s="8013">
        <f>SUM(M53:M58)</f>
        <v>4773</v>
      </c>
      <c r="N52" s="9231">
        <f>SUM(N53:N58)</f>
        <v>4937</v>
      </c>
      <c r="O52" s="8997"/>
      <c r="P52" s="8015" t="s">
        <v>793</v>
      </c>
      <c r="Q52" s="8015" t="s">
        <v>740</v>
      </c>
      <c r="R52" s="8500" t="s">
        <v>795</v>
      </c>
      <c r="AX52" s="7872"/>
    </row>
    <row r="53" spans="1:50" s="7887" customFormat="1" ht="20.100000000000001" customHeight="1">
      <c r="A53" s="7872"/>
      <c r="B53" s="8510"/>
      <c r="C53" s="7939"/>
      <c r="D53" s="8016" t="s">
        <v>134</v>
      </c>
      <c r="E53" s="8017"/>
      <c r="F53" s="8090" t="s">
        <v>732</v>
      </c>
      <c r="G53" s="8514"/>
      <c r="H53" s="8528"/>
      <c r="I53" s="8506" t="s">
        <v>135</v>
      </c>
      <c r="J53" s="8508"/>
      <c r="K53" s="7953" t="s">
        <v>734</v>
      </c>
      <c r="L53" s="7935">
        <v>1923</v>
      </c>
      <c r="M53" s="7936">
        <v>2378</v>
      </c>
      <c r="N53" s="9233">
        <v>2583</v>
      </c>
      <c r="O53" s="8996"/>
      <c r="P53" s="7932"/>
      <c r="Q53" s="7932"/>
      <c r="R53" s="8509"/>
      <c r="AX53" s="7872"/>
    </row>
    <row r="54" spans="1:50" s="7887" customFormat="1" ht="20.100000000000001" customHeight="1">
      <c r="A54" s="7872"/>
      <c r="B54" s="8510"/>
      <c r="C54" s="7939"/>
      <c r="D54" s="8016" t="s">
        <v>137</v>
      </c>
      <c r="E54" s="8017"/>
      <c r="F54" s="8090" t="s">
        <v>732</v>
      </c>
      <c r="G54" s="8514"/>
      <c r="H54" s="8528"/>
      <c r="I54" s="8506" t="s">
        <v>138</v>
      </c>
      <c r="J54" s="8508"/>
      <c r="K54" s="7953" t="s">
        <v>734</v>
      </c>
      <c r="L54" s="7935">
        <v>49</v>
      </c>
      <c r="M54" s="7936">
        <v>77</v>
      </c>
      <c r="N54" s="9234">
        <v>102</v>
      </c>
      <c r="O54" s="8996"/>
      <c r="P54" s="7932"/>
      <c r="Q54" s="7932"/>
      <c r="R54" s="8509"/>
      <c r="AX54" s="7872"/>
    </row>
    <row r="55" spans="1:50" s="7887" customFormat="1" ht="20.100000000000001" customHeight="1">
      <c r="A55" s="7872"/>
      <c r="B55" s="8510"/>
      <c r="C55" s="7939"/>
      <c r="D55" s="8016" t="s">
        <v>140</v>
      </c>
      <c r="E55" s="8017"/>
      <c r="F55" s="8090" t="s">
        <v>732</v>
      </c>
      <c r="G55" s="8514"/>
      <c r="H55" s="8528"/>
      <c r="I55" s="8515" t="s">
        <v>141</v>
      </c>
      <c r="J55" s="8516"/>
      <c r="K55" s="7953" t="s">
        <v>734</v>
      </c>
      <c r="L55" s="7935">
        <v>513</v>
      </c>
      <c r="M55" s="7936">
        <v>457</v>
      </c>
      <c r="N55" s="9234">
        <v>378</v>
      </c>
      <c r="O55" s="8996"/>
      <c r="P55" s="7932"/>
      <c r="Q55" s="7932"/>
      <c r="R55" s="8509"/>
      <c r="AX55" s="7872"/>
    </row>
    <row r="56" spans="1:50" s="7887" customFormat="1" ht="20.100000000000001" customHeight="1">
      <c r="A56" s="7872"/>
      <c r="B56" s="8510"/>
      <c r="C56" s="7939"/>
      <c r="D56" s="8016" t="s">
        <v>143</v>
      </c>
      <c r="E56" s="8017"/>
      <c r="F56" s="8090" t="s">
        <v>732</v>
      </c>
      <c r="G56" s="8514"/>
      <c r="H56" s="8528"/>
      <c r="I56" s="8515" t="s">
        <v>144</v>
      </c>
      <c r="J56" s="8516"/>
      <c r="K56" s="7953" t="s">
        <v>734</v>
      </c>
      <c r="L56" s="7935">
        <v>537</v>
      </c>
      <c r="M56" s="7936">
        <v>1251</v>
      </c>
      <c r="N56" s="9234">
        <v>1288</v>
      </c>
      <c r="O56" s="8996"/>
      <c r="P56" s="7932"/>
      <c r="Q56" s="7932"/>
      <c r="R56" s="8509"/>
      <c r="AX56" s="7872"/>
    </row>
    <row r="57" spans="1:50" s="7887" customFormat="1" ht="20.100000000000001" customHeight="1">
      <c r="A57" s="7872"/>
      <c r="B57" s="8510"/>
      <c r="C57" s="7939"/>
      <c r="D57" s="8016" t="s">
        <v>146</v>
      </c>
      <c r="E57" s="8017"/>
      <c r="F57" s="8090" t="s">
        <v>732</v>
      </c>
      <c r="G57" s="8514"/>
      <c r="H57" s="8528"/>
      <c r="I57" s="8515" t="s">
        <v>147</v>
      </c>
      <c r="J57" s="8516"/>
      <c r="K57" s="7953" t="s">
        <v>734</v>
      </c>
      <c r="L57" s="8098">
        <v>88</v>
      </c>
      <c r="M57" s="8099">
        <v>112</v>
      </c>
      <c r="N57" s="9237">
        <v>124</v>
      </c>
      <c r="O57" s="8996"/>
      <c r="P57" s="7932"/>
      <c r="Q57" s="7932"/>
      <c r="R57" s="8509"/>
      <c r="AX57" s="7872"/>
    </row>
    <row r="58" spans="1:50" s="7887" customFormat="1" ht="20.100000000000001" customHeight="1">
      <c r="A58" s="7872"/>
      <c r="B58" s="8510"/>
      <c r="C58" s="7939"/>
      <c r="D58" s="8016" t="s">
        <v>149</v>
      </c>
      <c r="E58" s="8017"/>
      <c r="F58" s="8090" t="s">
        <v>732</v>
      </c>
      <c r="G58" s="8514"/>
      <c r="H58" s="8528"/>
      <c r="I58" s="8515" t="s">
        <v>150</v>
      </c>
      <c r="J58" s="8516"/>
      <c r="K58" s="7953" t="s">
        <v>734</v>
      </c>
      <c r="L58" s="7935">
        <v>543</v>
      </c>
      <c r="M58" s="7936">
        <v>498</v>
      </c>
      <c r="N58" s="9238">
        <v>462</v>
      </c>
      <c r="O58" s="8996"/>
      <c r="P58" s="7932"/>
      <c r="Q58" s="7932"/>
      <c r="R58" s="8509"/>
      <c r="AX58" s="7872"/>
    </row>
    <row r="59" spans="1:50" s="7887" customFormat="1" ht="20.100000000000001" customHeight="1">
      <c r="A59" s="7872"/>
      <c r="B59" s="8510"/>
      <c r="C59" s="8817" t="s">
        <v>3764</v>
      </c>
      <c r="D59" s="8529"/>
      <c r="E59" s="8101"/>
      <c r="F59" s="8102"/>
      <c r="G59" s="8530"/>
      <c r="H59" s="8531" t="s">
        <v>806</v>
      </c>
      <c r="I59" s="8532"/>
      <c r="J59" s="8118"/>
      <c r="K59" s="8094" t="s">
        <v>168</v>
      </c>
      <c r="L59" s="8104"/>
      <c r="M59" s="8105"/>
      <c r="N59" s="9239"/>
      <c r="O59" s="8998"/>
      <c r="P59" s="8015"/>
      <c r="Q59" s="7955" t="s">
        <v>807</v>
      </c>
      <c r="R59" s="8500" t="s">
        <v>795</v>
      </c>
      <c r="AX59" s="7872"/>
    </row>
    <row r="60" spans="1:50" s="7887" customFormat="1" ht="20.100000000000001" customHeight="1">
      <c r="A60" s="7872"/>
      <c r="B60" s="8510"/>
      <c r="C60" s="7939"/>
      <c r="D60" s="8524" t="s">
        <v>796</v>
      </c>
      <c r="E60" s="8525"/>
      <c r="F60" s="7957" t="s">
        <v>156</v>
      </c>
      <c r="G60" s="8513"/>
      <c r="H60" s="8533"/>
      <c r="I60" s="8524" t="s">
        <v>808</v>
      </c>
      <c r="J60" s="8525"/>
      <c r="K60" s="7957" t="s">
        <v>156</v>
      </c>
      <c r="L60" s="8097"/>
      <c r="M60" s="8013"/>
      <c r="N60" s="9231"/>
      <c r="O60" s="8997" t="s">
        <v>1879</v>
      </c>
      <c r="P60" s="8015"/>
      <c r="Q60" s="7955" t="s">
        <v>807</v>
      </c>
      <c r="R60" s="8500" t="s">
        <v>795</v>
      </c>
      <c r="AX60" s="7872"/>
    </row>
    <row r="61" spans="1:50" s="7887" customFormat="1" ht="20.100000000000001" customHeight="1">
      <c r="A61" s="7872"/>
      <c r="B61" s="8510"/>
      <c r="C61" s="7939"/>
      <c r="D61" s="8016" t="s">
        <v>134</v>
      </c>
      <c r="E61" s="8017"/>
      <c r="F61" s="7953" t="s">
        <v>156</v>
      </c>
      <c r="G61" s="8514"/>
      <c r="H61" s="8528"/>
      <c r="I61" s="8506" t="s">
        <v>135</v>
      </c>
      <c r="J61" s="8508"/>
      <c r="K61" s="7953" t="s">
        <v>156</v>
      </c>
      <c r="L61" s="8106">
        <v>80</v>
      </c>
      <c r="M61" s="8107">
        <v>100</v>
      </c>
      <c r="N61" s="9240">
        <v>100</v>
      </c>
      <c r="O61" s="8996"/>
      <c r="P61" s="7932"/>
      <c r="Q61" s="7932"/>
      <c r="R61" s="8509"/>
      <c r="AX61" s="7872"/>
    </row>
    <row r="62" spans="1:50" s="7887" customFormat="1" ht="20.100000000000001" customHeight="1">
      <c r="A62" s="7872"/>
      <c r="B62" s="8510"/>
      <c r="C62" s="7939"/>
      <c r="D62" s="8016" t="s">
        <v>137</v>
      </c>
      <c r="E62" s="8017"/>
      <c r="F62" s="7953" t="s">
        <v>156</v>
      </c>
      <c r="G62" s="8514"/>
      <c r="H62" s="8528"/>
      <c r="I62" s="8506" t="s">
        <v>138</v>
      </c>
      <c r="J62" s="8508"/>
      <c r="K62" s="7953" t="s">
        <v>156</v>
      </c>
      <c r="L62" s="8106">
        <v>100</v>
      </c>
      <c r="M62" s="8107">
        <v>100</v>
      </c>
      <c r="N62" s="9240">
        <v>100</v>
      </c>
      <c r="O62" s="8996"/>
      <c r="P62" s="7932"/>
      <c r="Q62" s="7932"/>
      <c r="R62" s="8509"/>
      <c r="AX62" s="7872"/>
    </row>
    <row r="63" spans="1:50" s="7887" customFormat="1" ht="20.100000000000001" customHeight="1">
      <c r="A63" s="7872"/>
      <c r="B63" s="8510"/>
      <c r="C63" s="7939"/>
      <c r="D63" s="8016" t="s">
        <v>140</v>
      </c>
      <c r="E63" s="8017"/>
      <c r="F63" s="7953" t="s">
        <v>156</v>
      </c>
      <c r="G63" s="8514"/>
      <c r="H63" s="8528"/>
      <c r="I63" s="8515" t="s">
        <v>141</v>
      </c>
      <c r="J63" s="8516"/>
      <c r="K63" s="7953" t="s">
        <v>156</v>
      </c>
      <c r="L63" s="8106">
        <v>100</v>
      </c>
      <c r="M63" s="8107">
        <v>100</v>
      </c>
      <c r="N63" s="9241">
        <v>100</v>
      </c>
      <c r="O63" s="8996"/>
      <c r="P63" s="7932"/>
      <c r="Q63" s="7932"/>
      <c r="R63" s="8509"/>
      <c r="AX63" s="7872"/>
    </row>
    <row r="64" spans="1:50" s="7887" customFormat="1" ht="20.100000000000001" customHeight="1">
      <c r="A64" s="7872"/>
      <c r="B64" s="8510"/>
      <c r="C64" s="7939"/>
      <c r="D64" s="8016" t="s">
        <v>143</v>
      </c>
      <c r="E64" s="8017"/>
      <c r="F64" s="7953" t="s">
        <v>156</v>
      </c>
      <c r="G64" s="8514"/>
      <c r="H64" s="8528"/>
      <c r="I64" s="8515" t="s">
        <v>144</v>
      </c>
      <c r="J64" s="8516"/>
      <c r="K64" s="7953" t="s">
        <v>156</v>
      </c>
      <c r="L64" s="8106">
        <v>100</v>
      </c>
      <c r="M64" s="8107">
        <v>100</v>
      </c>
      <c r="N64" s="9241">
        <v>100</v>
      </c>
      <c r="O64" s="8996"/>
      <c r="P64" s="7932"/>
      <c r="Q64" s="7932"/>
      <c r="R64" s="8509"/>
      <c r="AX64" s="7872"/>
    </row>
    <row r="65" spans="1:50" s="7887" customFormat="1" ht="20.100000000000001" customHeight="1">
      <c r="A65" s="7872"/>
      <c r="B65" s="8510"/>
      <c r="C65" s="7939"/>
      <c r="D65" s="8016" t="s">
        <v>146</v>
      </c>
      <c r="E65" s="8017"/>
      <c r="F65" s="7953" t="s">
        <v>156</v>
      </c>
      <c r="G65" s="8514"/>
      <c r="H65" s="8528"/>
      <c r="I65" s="8515" t="s">
        <v>147</v>
      </c>
      <c r="J65" s="8516"/>
      <c r="K65" s="7953" t="s">
        <v>156</v>
      </c>
      <c r="L65" s="8106">
        <f>5/L42*100</f>
        <v>71.428571428571431</v>
      </c>
      <c r="M65" s="8107">
        <f>5/M42*100</f>
        <v>71.428571428571431</v>
      </c>
      <c r="N65" s="9240">
        <f>5/N42*100</f>
        <v>71.428571428571431</v>
      </c>
      <c r="O65" s="8996"/>
      <c r="P65" s="7932"/>
      <c r="Q65" s="7932"/>
      <c r="R65" s="8509"/>
      <c r="AX65" s="7872"/>
    </row>
    <row r="66" spans="1:50" s="7887" customFormat="1" ht="20.100000000000001" customHeight="1">
      <c r="A66" s="7872"/>
      <c r="B66" s="8510"/>
      <c r="C66" s="7939"/>
      <c r="D66" s="8016" t="s">
        <v>149</v>
      </c>
      <c r="E66" s="8017"/>
      <c r="F66" s="7953" t="s">
        <v>156</v>
      </c>
      <c r="G66" s="8514"/>
      <c r="H66" s="8528"/>
      <c r="I66" s="8515" t="s">
        <v>150</v>
      </c>
      <c r="J66" s="8516"/>
      <c r="K66" s="7953" t="s">
        <v>156</v>
      </c>
      <c r="L66" s="8106">
        <v>100</v>
      </c>
      <c r="M66" s="8107">
        <v>100</v>
      </c>
      <c r="N66" s="9240">
        <v>100</v>
      </c>
      <c r="O66" s="8996"/>
      <c r="P66" s="7932"/>
      <c r="Q66" s="7932"/>
      <c r="R66" s="8509"/>
      <c r="AX66" s="7872"/>
    </row>
    <row r="67" spans="1:50" s="7887" customFormat="1" ht="20.100000000000001" customHeight="1">
      <c r="A67" s="7872"/>
      <c r="B67" s="8510"/>
      <c r="C67" s="7939"/>
      <c r="D67" s="8524" t="s">
        <v>802</v>
      </c>
      <c r="E67" s="8525"/>
      <c r="F67" s="7957" t="s">
        <v>156</v>
      </c>
      <c r="G67" s="8513"/>
      <c r="H67" s="8533"/>
      <c r="I67" s="8524" t="s">
        <v>811</v>
      </c>
      <c r="J67" s="8525"/>
      <c r="K67" s="7957" t="s">
        <v>156</v>
      </c>
      <c r="L67" s="8012"/>
      <c r="M67" s="8013"/>
      <c r="N67" s="9231"/>
      <c r="O67" s="8997" t="s">
        <v>1881</v>
      </c>
      <c r="P67" s="8015"/>
      <c r="Q67" s="7955" t="s">
        <v>807</v>
      </c>
      <c r="R67" s="8500" t="s">
        <v>795</v>
      </c>
      <c r="AX67" s="7872"/>
    </row>
    <row r="68" spans="1:50" s="7887" customFormat="1" ht="20.100000000000001" customHeight="1">
      <c r="A68" s="7872"/>
      <c r="B68" s="8510"/>
      <c r="C68" s="7939"/>
      <c r="D68" s="8016" t="s">
        <v>134</v>
      </c>
      <c r="E68" s="8017"/>
      <c r="F68" s="7953" t="s">
        <v>156</v>
      </c>
      <c r="G68" s="8514"/>
      <c r="H68" s="8528"/>
      <c r="I68" s="8506" t="s">
        <v>135</v>
      </c>
      <c r="J68" s="8508"/>
      <c r="K68" s="7953" t="s">
        <v>156</v>
      </c>
      <c r="L68" s="8106">
        <v>20</v>
      </c>
      <c r="M68" s="8109">
        <v>0</v>
      </c>
      <c r="N68" s="9242">
        <v>0</v>
      </c>
      <c r="O68" s="8996"/>
      <c r="P68" s="7932"/>
      <c r="Q68" s="7932"/>
      <c r="R68" s="8509"/>
      <c r="AX68" s="7872"/>
    </row>
    <row r="69" spans="1:50" s="7887" customFormat="1" ht="20.100000000000001" customHeight="1">
      <c r="A69" s="7872"/>
      <c r="B69" s="8510"/>
      <c r="C69" s="7939"/>
      <c r="D69" s="8016" t="s">
        <v>137</v>
      </c>
      <c r="E69" s="8017"/>
      <c r="F69" s="7953" t="s">
        <v>156</v>
      </c>
      <c r="G69" s="8514"/>
      <c r="H69" s="8528"/>
      <c r="I69" s="8506" t="s">
        <v>138</v>
      </c>
      <c r="J69" s="8508"/>
      <c r="K69" s="7953" t="s">
        <v>156</v>
      </c>
      <c r="L69" s="8106">
        <v>0</v>
      </c>
      <c r="M69" s="8110">
        <v>0</v>
      </c>
      <c r="N69" s="9240">
        <v>0</v>
      </c>
      <c r="O69" s="8996"/>
      <c r="P69" s="7932"/>
      <c r="Q69" s="7932"/>
      <c r="R69" s="8509"/>
      <c r="AX69" s="7872"/>
    </row>
    <row r="70" spans="1:50" s="7887" customFormat="1" ht="20.100000000000001" customHeight="1">
      <c r="A70" s="7872"/>
      <c r="B70" s="8510"/>
      <c r="C70" s="7939"/>
      <c r="D70" s="8016" t="s">
        <v>140</v>
      </c>
      <c r="E70" s="8017"/>
      <c r="F70" s="7953" t="s">
        <v>156</v>
      </c>
      <c r="G70" s="8514"/>
      <c r="H70" s="8528"/>
      <c r="I70" s="8515" t="s">
        <v>141</v>
      </c>
      <c r="J70" s="8516"/>
      <c r="K70" s="7953" t="s">
        <v>156</v>
      </c>
      <c r="L70" s="8106">
        <v>0</v>
      </c>
      <c r="M70" s="8107">
        <v>0</v>
      </c>
      <c r="N70" s="9241">
        <v>0</v>
      </c>
      <c r="O70" s="8996"/>
      <c r="P70" s="7932"/>
      <c r="Q70" s="7932"/>
      <c r="R70" s="8509"/>
      <c r="AX70" s="7872"/>
    </row>
    <row r="71" spans="1:50" s="7887" customFormat="1" ht="20.100000000000001" customHeight="1">
      <c r="A71" s="7872"/>
      <c r="B71" s="8510"/>
      <c r="C71" s="7939"/>
      <c r="D71" s="8016" t="s">
        <v>143</v>
      </c>
      <c r="E71" s="8017"/>
      <c r="F71" s="7953" t="s">
        <v>156</v>
      </c>
      <c r="G71" s="8514"/>
      <c r="H71" s="8528"/>
      <c r="I71" s="8515" t="s">
        <v>144</v>
      </c>
      <c r="J71" s="8516"/>
      <c r="K71" s="7953" t="s">
        <v>156</v>
      </c>
      <c r="L71" s="8106">
        <v>0</v>
      </c>
      <c r="M71" s="8107">
        <v>0</v>
      </c>
      <c r="N71" s="9241">
        <v>0</v>
      </c>
      <c r="O71" s="8996"/>
      <c r="P71" s="7932"/>
      <c r="Q71" s="7932"/>
      <c r="R71" s="8509"/>
      <c r="AX71" s="7872"/>
    </row>
    <row r="72" spans="1:50" s="7887" customFormat="1" ht="20.100000000000001" customHeight="1">
      <c r="A72" s="7872"/>
      <c r="B72" s="8510"/>
      <c r="C72" s="7939"/>
      <c r="D72" s="8016" t="s">
        <v>146</v>
      </c>
      <c r="E72" s="8017"/>
      <c r="F72" s="7953" t="s">
        <v>156</v>
      </c>
      <c r="G72" s="8514"/>
      <c r="H72" s="8528"/>
      <c r="I72" s="8515" t="s">
        <v>147</v>
      </c>
      <c r="J72" s="8516"/>
      <c r="K72" s="7953" t="s">
        <v>156</v>
      </c>
      <c r="L72" s="8106">
        <f>100-L65</f>
        <v>28.571428571428569</v>
      </c>
      <c r="M72" s="8107">
        <f>100-M65</f>
        <v>28.571428571428569</v>
      </c>
      <c r="N72" s="9240">
        <f>100-N65</f>
        <v>28.571428571428569</v>
      </c>
      <c r="O72" s="8996"/>
      <c r="P72" s="7932"/>
      <c r="Q72" s="7932"/>
      <c r="R72" s="8509"/>
      <c r="AX72" s="7872"/>
    </row>
    <row r="73" spans="1:50" s="7887" customFormat="1" ht="20.100000000000001" customHeight="1">
      <c r="A73" s="7872"/>
      <c r="B73" s="8510"/>
      <c r="C73" s="7939"/>
      <c r="D73" s="8016" t="s">
        <v>149</v>
      </c>
      <c r="E73" s="8017"/>
      <c r="F73" s="7953" t="s">
        <v>156</v>
      </c>
      <c r="G73" s="8514"/>
      <c r="H73" s="8528"/>
      <c r="I73" s="8515" t="s">
        <v>150</v>
      </c>
      <c r="J73" s="8516"/>
      <c r="K73" s="7953" t="s">
        <v>156</v>
      </c>
      <c r="L73" s="8106">
        <v>0</v>
      </c>
      <c r="M73" s="8107">
        <v>0</v>
      </c>
      <c r="N73" s="9241">
        <v>0</v>
      </c>
      <c r="O73" s="8996"/>
      <c r="P73" s="7932"/>
      <c r="Q73" s="7932"/>
      <c r="R73" s="8509"/>
      <c r="AX73" s="7872"/>
    </row>
    <row r="74" spans="1:50" s="7887" customFormat="1" ht="20.100000000000001" customHeight="1">
      <c r="A74" s="7872"/>
      <c r="B74" s="9366"/>
      <c r="C74" s="8817" t="s">
        <v>3614</v>
      </c>
      <c r="D74" s="8529"/>
      <c r="E74" s="8529"/>
      <c r="F74" s="8102"/>
      <c r="G74" s="8530"/>
      <c r="H74" s="9193" t="s">
        <v>815</v>
      </c>
      <c r="I74" s="8532"/>
      <c r="J74" s="8118"/>
      <c r="K74" s="8094" t="s">
        <v>168</v>
      </c>
      <c r="L74" s="8104"/>
      <c r="M74" s="8105"/>
      <c r="N74" s="9239"/>
      <c r="O74" s="8999" t="s">
        <v>3729</v>
      </c>
      <c r="P74" s="8015"/>
      <c r="Q74" s="7955"/>
      <c r="R74" s="8500"/>
      <c r="AX74" s="7872"/>
    </row>
    <row r="75" spans="1:50" s="7887" customFormat="1" ht="20.100000000000001" hidden="1" customHeight="1">
      <c r="A75" s="7872"/>
      <c r="B75" s="8510"/>
      <c r="C75" s="7939"/>
      <c r="D75" s="8524" t="s">
        <v>796</v>
      </c>
      <c r="E75" s="8525"/>
      <c r="F75" s="7957" t="s">
        <v>156</v>
      </c>
      <c r="G75" s="8513"/>
      <c r="H75" s="8533"/>
      <c r="I75" s="8524" t="s">
        <v>808</v>
      </c>
      <c r="J75" s="8525"/>
      <c r="K75" s="7957" t="s">
        <v>156</v>
      </c>
      <c r="L75" s="8035" t="s">
        <v>168</v>
      </c>
      <c r="M75" s="8036" t="s">
        <v>168</v>
      </c>
      <c r="N75" s="9243" t="s">
        <v>168</v>
      </c>
      <c r="O75" s="9000"/>
      <c r="P75" s="8015"/>
      <c r="Q75" s="8111"/>
      <c r="R75" s="8500" t="s">
        <v>795</v>
      </c>
      <c r="AX75" s="7872"/>
    </row>
    <row r="76" spans="1:50" s="7887" customFormat="1" ht="20.100000000000001" hidden="1" customHeight="1">
      <c r="A76" s="7872"/>
      <c r="B76" s="8510"/>
      <c r="C76" s="7939"/>
      <c r="D76" s="8016" t="s">
        <v>134</v>
      </c>
      <c r="E76" s="8017"/>
      <c r="F76" s="7953" t="s">
        <v>156</v>
      </c>
      <c r="G76" s="8514"/>
      <c r="H76" s="8528"/>
      <c r="I76" s="8506" t="s">
        <v>135</v>
      </c>
      <c r="J76" s="8508"/>
      <c r="K76" s="7953" t="s">
        <v>156</v>
      </c>
      <c r="L76" s="8112" t="s">
        <v>168</v>
      </c>
      <c r="M76" s="8018" t="s">
        <v>168</v>
      </c>
      <c r="N76" s="9244" t="s">
        <v>168</v>
      </c>
      <c r="O76" s="9001"/>
      <c r="P76" s="7932"/>
      <c r="Q76" s="7932"/>
      <c r="R76" s="8509"/>
      <c r="AX76" s="7872"/>
    </row>
    <row r="77" spans="1:50" s="7887" customFormat="1" ht="20.100000000000001" hidden="1" customHeight="1">
      <c r="A77" s="7872"/>
      <c r="B77" s="8510"/>
      <c r="C77" s="7939"/>
      <c r="D77" s="8016" t="s">
        <v>137</v>
      </c>
      <c r="E77" s="8017"/>
      <c r="F77" s="7953" t="s">
        <v>156</v>
      </c>
      <c r="G77" s="8514"/>
      <c r="H77" s="8528"/>
      <c r="I77" s="8506" t="s">
        <v>138</v>
      </c>
      <c r="J77" s="8508"/>
      <c r="K77" s="7953" t="s">
        <v>156</v>
      </c>
      <c r="L77" s="8112" t="s">
        <v>168</v>
      </c>
      <c r="M77" s="8018" t="s">
        <v>168</v>
      </c>
      <c r="N77" s="9244" t="s">
        <v>168</v>
      </c>
      <c r="O77" s="9001"/>
      <c r="P77" s="7932"/>
      <c r="Q77" s="7932"/>
      <c r="R77" s="8509"/>
      <c r="AX77" s="7872"/>
    </row>
    <row r="78" spans="1:50" s="7887" customFormat="1" ht="20.100000000000001" hidden="1" customHeight="1">
      <c r="A78" s="7872"/>
      <c r="B78" s="8510"/>
      <c r="C78" s="7939"/>
      <c r="D78" s="8016" t="s">
        <v>140</v>
      </c>
      <c r="E78" s="8017"/>
      <c r="F78" s="7953" t="s">
        <v>156</v>
      </c>
      <c r="G78" s="8514"/>
      <c r="H78" s="8528"/>
      <c r="I78" s="8515" t="s">
        <v>141</v>
      </c>
      <c r="J78" s="8516"/>
      <c r="K78" s="7953" t="s">
        <v>156</v>
      </c>
      <c r="L78" s="8112" t="s">
        <v>168</v>
      </c>
      <c r="M78" s="8018" t="s">
        <v>168</v>
      </c>
      <c r="N78" s="9244" t="s">
        <v>168</v>
      </c>
      <c r="O78" s="9001"/>
      <c r="P78" s="7932"/>
      <c r="Q78" s="7932"/>
      <c r="R78" s="8509"/>
      <c r="AX78" s="7872"/>
    </row>
    <row r="79" spans="1:50" s="7887" customFormat="1" ht="20.100000000000001" hidden="1" customHeight="1">
      <c r="A79" s="7872"/>
      <c r="B79" s="8510"/>
      <c r="C79" s="7939"/>
      <c r="D79" s="8016" t="s">
        <v>143</v>
      </c>
      <c r="E79" s="8017"/>
      <c r="F79" s="7953" t="s">
        <v>156</v>
      </c>
      <c r="G79" s="8514"/>
      <c r="H79" s="8528"/>
      <c r="I79" s="8515" t="s">
        <v>144</v>
      </c>
      <c r="J79" s="8516"/>
      <c r="K79" s="7953" t="s">
        <v>156</v>
      </c>
      <c r="L79" s="8112" t="s">
        <v>168</v>
      </c>
      <c r="M79" s="8018" t="s">
        <v>168</v>
      </c>
      <c r="N79" s="9244" t="s">
        <v>168</v>
      </c>
      <c r="O79" s="9001"/>
      <c r="P79" s="7932"/>
      <c r="Q79" s="7932"/>
      <c r="R79" s="8509"/>
      <c r="AX79" s="7872"/>
    </row>
    <row r="80" spans="1:50" s="7887" customFormat="1" ht="20.100000000000001" hidden="1" customHeight="1">
      <c r="A80" s="7872"/>
      <c r="B80" s="8510"/>
      <c r="C80" s="7939"/>
      <c r="D80" s="8016" t="s">
        <v>146</v>
      </c>
      <c r="E80" s="8017"/>
      <c r="F80" s="7953" t="s">
        <v>156</v>
      </c>
      <c r="G80" s="8514"/>
      <c r="H80" s="8528"/>
      <c r="I80" s="8515" t="s">
        <v>147</v>
      </c>
      <c r="J80" s="8516"/>
      <c r="K80" s="7953" t="s">
        <v>156</v>
      </c>
      <c r="L80" s="8112" t="s">
        <v>168</v>
      </c>
      <c r="M80" s="8018" t="s">
        <v>168</v>
      </c>
      <c r="N80" s="9244" t="s">
        <v>168</v>
      </c>
      <c r="O80" s="9001"/>
      <c r="P80" s="7932"/>
      <c r="Q80" s="7932"/>
      <c r="R80" s="8509"/>
      <c r="AX80" s="7872"/>
    </row>
    <row r="81" spans="1:50" s="7887" customFormat="1" ht="20.100000000000001" hidden="1" customHeight="1">
      <c r="A81" s="7872"/>
      <c r="B81" s="8510"/>
      <c r="C81" s="7939"/>
      <c r="D81" s="8016" t="s">
        <v>149</v>
      </c>
      <c r="E81" s="8017"/>
      <c r="F81" s="7953" t="s">
        <v>156</v>
      </c>
      <c r="G81" s="8514"/>
      <c r="H81" s="8528"/>
      <c r="I81" s="8515" t="s">
        <v>150</v>
      </c>
      <c r="J81" s="8516"/>
      <c r="K81" s="7953" t="s">
        <v>156</v>
      </c>
      <c r="L81" s="8112" t="s">
        <v>168</v>
      </c>
      <c r="M81" s="8018" t="s">
        <v>168</v>
      </c>
      <c r="N81" s="9244" t="s">
        <v>168</v>
      </c>
      <c r="O81" s="9001"/>
      <c r="P81" s="7932"/>
      <c r="Q81" s="7932"/>
      <c r="R81" s="8509"/>
      <c r="AX81" s="7872"/>
    </row>
    <row r="82" spans="1:50" s="7887" customFormat="1" ht="17.45" hidden="1" customHeight="1">
      <c r="A82" s="7872"/>
      <c r="B82" s="8510"/>
      <c r="C82" s="7939"/>
      <c r="D82" s="8524" t="s">
        <v>802</v>
      </c>
      <c r="E82" s="8525"/>
      <c r="F82" s="7957" t="s">
        <v>156</v>
      </c>
      <c r="G82" s="8513"/>
      <c r="H82" s="8533"/>
      <c r="I82" s="8524" t="s">
        <v>811</v>
      </c>
      <c r="J82" s="8525"/>
      <c r="K82" s="7957" t="s">
        <v>156</v>
      </c>
      <c r="L82" s="8035" t="s">
        <v>168</v>
      </c>
      <c r="M82" s="8036" t="s">
        <v>168</v>
      </c>
      <c r="N82" s="9243" t="s">
        <v>168</v>
      </c>
      <c r="O82" s="9000"/>
      <c r="P82" s="8015"/>
      <c r="Q82" s="8111"/>
      <c r="R82" s="8500" t="s">
        <v>795</v>
      </c>
      <c r="AX82" s="7872"/>
    </row>
    <row r="83" spans="1:50" s="7887" customFormat="1" ht="20.100000000000001" hidden="1" customHeight="1">
      <c r="A83" s="7872"/>
      <c r="B83" s="8510"/>
      <c r="C83" s="7939"/>
      <c r="D83" s="8016" t="s">
        <v>134</v>
      </c>
      <c r="E83" s="8017"/>
      <c r="F83" s="7953" t="s">
        <v>156</v>
      </c>
      <c r="G83" s="8514"/>
      <c r="H83" s="8528"/>
      <c r="I83" s="8506" t="s">
        <v>135</v>
      </c>
      <c r="J83" s="8508"/>
      <c r="K83" s="7953" t="s">
        <v>156</v>
      </c>
      <c r="L83" s="8112" t="s">
        <v>168</v>
      </c>
      <c r="M83" s="8018" t="s">
        <v>168</v>
      </c>
      <c r="N83" s="9245" t="s">
        <v>168</v>
      </c>
      <c r="O83" s="9001"/>
      <c r="P83" s="7932"/>
      <c r="Q83" s="7932"/>
      <c r="R83" s="8509"/>
      <c r="AX83" s="7872"/>
    </row>
    <row r="84" spans="1:50" s="7887" customFormat="1" ht="20.100000000000001" hidden="1" customHeight="1">
      <c r="A84" s="7872"/>
      <c r="B84" s="8510"/>
      <c r="C84" s="7939"/>
      <c r="D84" s="8016" t="s">
        <v>137</v>
      </c>
      <c r="E84" s="8017"/>
      <c r="F84" s="7953" t="s">
        <v>156</v>
      </c>
      <c r="G84" s="8514"/>
      <c r="H84" s="8528"/>
      <c r="I84" s="8506" t="s">
        <v>138</v>
      </c>
      <c r="J84" s="8508"/>
      <c r="K84" s="7953" t="s">
        <v>156</v>
      </c>
      <c r="L84" s="8112" t="s">
        <v>168</v>
      </c>
      <c r="M84" s="8018" t="s">
        <v>168</v>
      </c>
      <c r="N84" s="9245" t="s">
        <v>168</v>
      </c>
      <c r="O84" s="9001"/>
      <c r="P84" s="7932"/>
      <c r="Q84" s="7932"/>
      <c r="R84" s="8509"/>
      <c r="AX84" s="7872"/>
    </row>
    <row r="85" spans="1:50" s="7887" customFormat="1" ht="20.100000000000001" hidden="1" customHeight="1">
      <c r="A85" s="7872"/>
      <c r="B85" s="8510"/>
      <c r="C85" s="7939"/>
      <c r="D85" s="8016" t="s">
        <v>140</v>
      </c>
      <c r="E85" s="8017"/>
      <c r="F85" s="7953" t="s">
        <v>156</v>
      </c>
      <c r="G85" s="8514"/>
      <c r="H85" s="8528"/>
      <c r="I85" s="8515" t="s">
        <v>141</v>
      </c>
      <c r="J85" s="8516"/>
      <c r="K85" s="7953" t="s">
        <v>156</v>
      </c>
      <c r="L85" s="8112" t="s">
        <v>168</v>
      </c>
      <c r="M85" s="8018" t="s">
        <v>168</v>
      </c>
      <c r="N85" s="9245" t="s">
        <v>168</v>
      </c>
      <c r="O85" s="9001"/>
      <c r="P85" s="7932"/>
      <c r="Q85" s="7932"/>
      <c r="R85" s="8509"/>
      <c r="AX85" s="7872"/>
    </row>
    <row r="86" spans="1:50" s="7887" customFormat="1" ht="20.100000000000001" hidden="1" customHeight="1">
      <c r="A86" s="7872"/>
      <c r="B86" s="8510"/>
      <c r="C86" s="7939"/>
      <c r="D86" s="8016" t="s">
        <v>143</v>
      </c>
      <c r="E86" s="8017"/>
      <c r="F86" s="7953" t="s">
        <v>156</v>
      </c>
      <c r="G86" s="8514"/>
      <c r="H86" s="8528"/>
      <c r="I86" s="8515" t="s">
        <v>144</v>
      </c>
      <c r="J86" s="8516"/>
      <c r="K86" s="7953" t="s">
        <v>156</v>
      </c>
      <c r="L86" s="8112" t="s">
        <v>168</v>
      </c>
      <c r="M86" s="8018" t="s">
        <v>168</v>
      </c>
      <c r="N86" s="9245" t="s">
        <v>168</v>
      </c>
      <c r="O86" s="9001"/>
      <c r="P86" s="7932"/>
      <c r="Q86" s="7932"/>
      <c r="R86" s="8509"/>
      <c r="AX86" s="7872"/>
    </row>
    <row r="87" spans="1:50" s="7887" customFormat="1" ht="20.100000000000001" hidden="1" customHeight="1">
      <c r="A87" s="7872"/>
      <c r="B87" s="8510"/>
      <c r="C87" s="7939"/>
      <c r="D87" s="8016" t="s">
        <v>146</v>
      </c>
      <c r="E87" s="8017"/>
      <c r="F87" s="7953" t="s">
        <v>156</v>
      </c>
      <c r="G87" s="8514"/>
      <c r="H87" s="8528"/>
      <c r="I87" s="8515" t="s">
        <v>147</v>
      </c>
      <c r="J87" s="8516"/>
      <c r="K87" s="7953" t="s">
        <v>156</v>
      </c>
      <c r="L87" s="8112" t="s">
        <v>168</v>
      </c>
      <c r="M87" s="8018" t="s">
        <v>168</v>
      </c>
      <c r="N87" s="9245" t="s">
        <v>168</v>
      </c>
      <c r="O87" s="9001"/>
      <c r="P87" s="7932"/>
      <c r="Q87" s="7932"/>
      <c r="R87" s="8509"/>
      <c r="AX87" s="7872"/>
    </row>
    <row r="88" spans="1:50" s="7887" customFormat="1" ht="20.100000000000001" hidden="1" customHeight="1">
      <c r="A88" s="7872"/>
      <c r="B88" s="8510"/>
      <c r="C88" s="7939"/>
      <c r="D88" s="8016" t="s">
        <v>149</v>
      </c>
      <c r="E88" s="8017"/>
      <c r="F88" s="7953" t="s">
        <v>156</v>
      </c>
      <c r="G88" s="8514"/>
      <c r="H88" s="8528"/>
      <c r="I88" s="8515" t="s">
        <v>150</v>
      </c>
      <c r="J88" s="8516"/>
      <c r="K88" s="7953" t="s">
        <v>156</v>
      </c>
      <c r="L88" s="8112" t="s">
        <v>168</v>
      </c>
      <c r="M88" s="8018" t="s">
        <v>168</v>
      </c>
      <c r="N88" s="9245" t="s">
        <v>168</v>
      </c>
      <c r="O88" s="9001"/>
      <c r="P88" s="7932"/>
      <c r="Q88" s="7932"/>
      <c r="R88" s="8509"/>
      <c r="AX88" s="7872"/>
    </row>
    <row r="89" spans="1:50" s="7887" customFormat="1" ht="20.100000000000001" customHeight="1">
      <c r="A89" s="7872"/>
      <c r="B89" s="8536"/>
      <c r="C89" s="8537" t="s">
        <v>1883</v>
      </c>
      <c r="D89" s="8538"/>
      <c r="E89" s="8538"/>
      <c r="F89" s="8539"/>
      <c r="G89" s="8530"/>
      <c r="H89" s="8535" t="s">
        <v>821</v>
      </c>
      <c r="I89" s="8529"/>
      <c r="J89" s="8529"/>
      <c r="K89" s="8540"/>
      <c r="L89" s="8541"/>
      <c r="M89" s="8542"/>
      <c r="N89" s="9246"/>
      <c r="O89" s="9205"/>
      <c r="P89" s="8015" t="s">
        <v>822</v>
      </c>
      <c r="Q89" s="8015" t="s">
        <v>740</v>
      </c>
      <c r="R89" s="8500"/>
      <c r="AX89" s="7872"/>
    </row>
    <row r="90" spans="1:50" s="7887" customFormat="1" ht="20.100000000000001" customHeight="1">
      <c r="A90" s="7872"/>
      <c r="B90" s="8510"/>
      <c r="C90" s="8543"/>
      <c r="D90" s="8524" t="s">
        <v>823</v>
      </c>
      <c r="E90" s="8525"/>
      <c r="F90" s="7957" t="s">
        <v>732</v>
      </c>
      <c r="G90" s="8544"/>
      <c r="H90" s="8533"/>
      <c r="I90" s="8524" t="s">
        <v>824</v>
      </c>
      <c r="J90" s="8525"/>
      <c r="K90" s="7957" t="s">
        <v>734</v>
      </c>
      <c r="L90" s="8097">
        <f>IF(COUNTBLANK(L91:L96)&gt;0,"미취합법인有",SUM(L91:L96))</f>
        <v>4546</v>
      </c>
      <c r="M90" s="8013">
        <f>IF(COUNTBLANK(M91:M96)&gt;0,"미취합법인有",SUM(M91:M96))</f>
        <v>6620</v>
      </c>
      <c r="N90" s="9247">
        <f>IF(COUNTBLANK(N91:N96)&gt;0,"미취합법인有",SUM(N91:N96))</f>
        <v>6268</v>
      </c>
      <c r="O90" s="9002"/>
      <c r="P90" s="8015" t="s">
        <v>822</v>
      </c>
      <c r="Q90" s="8015" t="s">
        <v>740</v>
      </c>
      <c r="R90" s="8500"/>
      <c r="AX90" s="7872"/>
    </row>
    <row r="91" spans="1:50" s="7887" customFormat="1" ht="19.149999999999999" customHeight="1">
      <c r="A91" s="7872"/>
      <c r="B91" s="8510"/>
      <c r="C91" s="8543"/>
      <c r="D91" s="8016" t="s">
        <v>134</v>
      </c>
      <c r="E91" s="8017"/>
      <c r="F91" s="8090" t="s">
        <v>732</v>
      </c>
      <c r="G91" s="8514"/>
      <c r="H91" s="8545"/>
      <c r="I91" s="8506" t="s">
        <v>135</v>
      </c>
      <c r="J91" s="8508"/>
      <c r="K91" s="7953" t="s">
        <v>734</v>
      </c>
      <c r="L91" s="7935">
        <v>2437</v>
      </c>
      <c r="M91" s="7936">
        <v>3385</v>
      </c>
      <c r="N91" s="9233">
        <v>3115</v>
      </c>
      <c r="O91" s="8996" t="s">
        <v>3542</v>
      </c>
      <c r="P91" s="7932"/>
      <c r="Q91" s="7932"/>
      <c r="R91" s="8509"/>
      <c r="AX91" s="7872"/>
    </row>
    <row r="92" spans="1:50" s="7887" customFormat="1" ht="20.100000000000001" customHeight="1">
      <c r="A92" s="7872"/>
      <c r="B92" s="8510"/>
      <c r="C92" s="8543"/>
      <c r="D92" s="8016" t="s">
        <v>137</v>
      </c>
      <c r="E92" s="8017"/>
      <c r="F92" s="8090" t="s">
        <v>732</v>
      </c>
      <c r="G92" s="8514"/>
      <c r="H92" s="8545"/>
      <c r="I92" s="8506" t="s">
        <v>138</v>
      </c>
      <c r="J92" s="8508"/>
      <c r="K92" s="7953" t="s">
        <v>734</v>
      </c>
      <c r="L92" s="7935">
        <v>29</v>
      </c>
      <c r="M92" s="7936">
        <v>50</v>
      </c>
      <c r="N92" s="9234">
        <v>64</v>
      </c>
      <c r="O92" s="8996" t="s">
        <v>3543</v>
      </c>
      <c r="P92" s="7932"/>
      <c r="Q92" s="7932"/>
      <c r="R92" s="8509"/>
      <c r="AX92" s="7872"/>
    </row>
    <row r="93" spans="1:50" s="7887" customFormat="1" ht="20.100000000000001" customHeight="1">
      <c r="A93" s="7872"/>
      <c r="B93" s="8510"/>
      <c r="C93" s="8543"/>
      <c r="D93" s="8016" t="s">
        <v>140</v>
      </c>
      <c r="E93" s="8017"/>
      <c r="F93" s="8090" t="s">
        <v>732</v>
      </c>
      <c r="G93" s="8514"/>
      <c r="H93" s="8545"/>
      <c r="I93" s="8515" t="s">
        <v>141</v>
      </c>
      <c r="J93" s="8516"/>
      <c r="K93" s="7953" t="s">
        <v>734</v>
      </c>
      <c r="L93" s="7935">
        <v>272</v>
      </c>
      <c r="M93" s="7936">
        <v>209</v>
      </c>
      <c r="N93" s="9234">
        <v>122</v>
      </c>
      <c r="O93" s="8996" t="s">
        <v>3543</v>
      </c>
      <c r="P93" s="7932"/>
      <c r="Q93" s="7932"/>
      <c r="R93" s="8509"/>
      <c r="AX93" s="7872"/>
    </row>
    <row r="94" spans="1:50" s="7887" customFormat="1" ht="20.100000000000001" customHeight="1">
      <c r="A94" s="7872"/>
      <c r="B94" s="8510"/>
      <c r="C94" s="8543"/>
      <c r="D94" s="8016" t="s">
        <v>143</v>
      </c>
      <c r="E94" s="8017"/>
      <c r="F94" s="8090" t="s">
        <v>732</v>
      </c>
      <c r="G94" s="8514"/>
      <c r="H94" s="8545"/>
      <c r="I94" s="8515" t="s">
        <v>144</v>
      </c>
      <c r="J94" s="8516"/>
      <c r="K94" s="7953" t="s">
        <v>734</v>
      </c>
      <c r="L94" s="7935">
        <v>809</v>
      </c>
      <c r="M94" s="7936">
        <v>2118</v>
      </c>
      <c r="N94" s="9234">
        <v>2144</v>
      </c>
      <c r="O94" s="8996" t="s">
        <v>3542</v>
      </c>
      <c r="P94" s="7932"/>
      <c r="Q94" s="7932"/>
      <c r="R94" s="8509"/>
      <c r="AX94" s="7872"/>
    </row>
    <row r="95" spans="1:50" s="7887" customFormat="1" ht="20.100000000000001" customHeight="1">
      <c r="A95" s="7872"/>
      <c r="B95" s="8510"/>
      <c r="C95" s="8543"/>
      <c r="D95" s="8016" t="s">
        <v>146</v>
      </c>
      <c r="E95" s="8017"/>
      <c r="F95" s="8090" t="s">
        <v>732</v>
      </c>
      <c r="G95" s="8514"/>
      <c r="H95" s="8545"/>
      <c r="I95" s="8515" t="s">
        <v>147</v>
      </c>
      <c r="J95" s="8516"/>
      <c r="K95" s="7953" t="s">
        <v>734</v>
      </c>
      <c r="L95" s="7935">
        <v>116</v>
      </c>
      <c r="M95" s="7936">
        <v>114</v>
      </c>
      <c r="N95" s="9234">
        <v>139</v>
      </c>
      <c r="O95" s="8996" t="s">
        <v>3543</v>
      </c>
      <c r="P95" s="7932"/>
      <c r="Q95" s="7932"/>
      <c r="R95" s="8509"/>
      <c r="AX95" s="7872"/>
    </row>
    <row r="96" spans="1:50" s="7887" customFormat="1" ht="20.100000000000001" customHeight="1">
      <c r="A96" s="7872"/>
      <c r="B96" s="8510"/>
      <c r="C96" s="7939"/>
      <c r="D96" s="8016" t="s">
        <v>149</v>
      </c>
      <c r="E96" s="8017"/>
      <c r="F96" s="8090" t="s">
        <v>732</v>
      </c>
      <c r="G96" s="8514"/>
      <c r="H96" s="8528"/>
      <c r="I96" s="8515" t="s">
        <v>150</v>
      </c>
      <c r="J96" s="8516"/>
      <c r="K96" s="7953" t="s">
        <v>734</v>
      </c>
      <c r="L96" s="7935">
        <v>883</v>
      </c>
      <c r="M96" s="7936">
        <v>744</v>
      </c>
      <c r="N96" s="9234">
        <v>684</v>
      </c>
      <c r="O96" s="8996" t="s">
        <v>3542</v>
      </c>
      <c r="P96" s="7932"/>
      <c r="Q96" s="7932"/>
      <c r="R96" s="8509"/>
      <c r="AX96" s="7872"/>
    </row>
    <row r="97" spans="1:50" s="7887" customFormat="1" ht="20.100000000000001" customHeight="1">
      <c r="A97" s="7872"/>
      <c r="B97" s="8510"/>
      <c r="C97" s="7939"/>
      <c r="D97" s="8524" t="s">
        <v>827</v>
      </c>
      <c r="E97" s="8525"/>
      <c r="F97" s="7957" t="s">
        <v>732</v>
      </c>
      <c r="G97" s="8544"/>
      <c r="H97" s="8546"/>
      <c r="I97" s="8524" t="s">
        <v>828</v>
      </c>
      <c r="J97" s="8525"/>
      <c r="K97" s="7957" t="s">
        <v>734</v>
      </c>
      <c r="L97" s="8012">
        <f>IF(COUNTBLANK(L98:L103)&gt;0,"미취합법인有",SUM(L98:L103))</f>
        <v>2890</v>
      </c>
      <c r="M97" s="8013">
        <f>IF(COUNTBLANK(M98:M103)&gt;0,"미취합법인有",SUM(M98:M103))</f>
        <v>2871</v>
      </c>
      <c r="N97" s="9247">
        <f>IF(COUNTBLANK(N98:N103)&gt;0,"미취합법인有",SUM(N98:N103))</f>
        <v>3245</v>
      </c>
      <c r="O97" s="8995"/>
      <c r="P97" s="8015" t="s">
        <v>822</v>
      </c>
      <c r="Q97" s="8015" t="s">
        <v>740</v>
      </c>
      <c r="R97" s="8500"/>
      <c r="AX97" s="7872"/>
    </row>
    <row r="98" spans="1:50" s="7887" customFormat="1" ht="20.100000000000001" customHeight="1">
      <c r="A98" s="7872"/>
      <c r="B98" s="8510"/>
      <c r="C98" s="7939"/>
      <c r="D98" s="8016" t="s">
        <v>134</v>
      </c>
      <c r="E98" s="8017"/>
      <c r="F98" s="8090" t="s">
        <v>732</v>
      </c>
      <c r="G98" s="8514"/>
      <c r="H98" s="8528"/>
      <c r="I98" s="8506" t="s">
        <v>135</v>
      </c>
      <c r="J98" s="8508"/>
      <c r="K98" s="7953" t="s">
        <v>734</v>
      </c>
      <c r="L98" s="7935">
        <v>1027</v>
      </c>
      <c r="M98" s="7936">
        <v>1020</v>
      </c>
      <c r="N98" s="9233">
        <v>1490</v>
      </c>
      <c r="O98" s="8996" t="s">
        <v>3542</v>
      </c>
      <c r="P98" s="7932"/>
      <c r="Q98" s="7932"/>
      <c r="R98" s="8509"/>
      <c r="AX98" s="7872"/>
    </row>
    <row r="99" spans="1:50" s="7887" customFormat="1" ht="20.100000000000001" customHeight="1">
      <c r="A99" s="7872"/>
      <c r="B99" s="8510"/>
      <c r="C99" s="7939"/>
      <c r="D99" s="8016" t="s">
        <v>137</v>
      </c>
      <c r="E99" s="8017"/>
      <c r="F99" s="8090" t="s">
        <v>732</v>
      </c>
      <c r="G99" s="8514"/>
      <c r="H99" s="8528"/>
      <c r="I99" s="8506" t="s">
        <v>138</v>
      </c>
      <c r="J99" s="8508"/>
      <c r="K99" s="7953" t="s">
        <v>734</v>
      </c>
      <c r="L99" s="7935">
        <v>148</v>
      </c>
      <c r="M99" s="7936">
        <v>173</v>
      </c>
      <c r="N99" s="9234">
        <v>174</v>
      </c>
      <c r="O99" s="8996" t="s">
        <v>3543</v>
      </c>
      <c r="P99" s="7932"/>
      <c r="Q99" s="7932"/>
      <c r="R99" s="8509"/>
      <c r="AX99" s="7872"/>
    </row>
    <row r="100" spans="1:50" s="7887" customFormat="1" ht="20.100000000000001" customHeight="1">
      <c r="A100" s="7872"/>
      <c r="B100" s="8510"/>
      <c r="C100" s="7939"/>
      <c r="D100" s="8016" t="s">
        <v>140</v>
      </c>
      <c r="E100" s="8017"/>
      <c r="F100" s="8090" t="s">
        <v>732</v>
      </c>
      <c r="G100" s="8514"/>
      <c r="H100" s="8528"/>
      <c r="I100" s="8515" t="s">
        <v>141</v>
      </c>
      <c r="J100" s="8516"/>
      <c r="K100" s="7953" t="s">
        <v>734</v>
      </c>
      <c r="L100" s="7935">
        <v>778</v>
      </c>
      <c r="M100" s="7936">
        <v>694</v>
      </c>
      <c r="N100" s="9234">
        <v>623</v>
      </c>
      <c r="O100" s="8996" t="s">
        <v>3543</v>
      </c>
      <c r="P100" s="7932"/>
      <c r="Q100" s="7932"/>
      <c r="R100" s="8509"/>
      <c r="AX100" s="7872"/>
    </row>
    <row r="101" spans="1:50" s="7887" customFormat="1" ht="20.100000000000001" customHeight="1">
      <c r="A101" s="7872"/>
      <c r="B101" s="8510"/>
      <c r="C101" s="7939"/>
      <c r="D101" s="8016" t="s">
        <v>143</v>
      </c>
      <c r="E101" s="8017"/>
      <c r="F101" s="8090" t="s">
        <v>732</v>
      </c>
      <c r="G101" s="8514"/>
      <c r="H101" s="8528"/>
      <c r="I101" s="8515" t="s">
        <v>144</v>
      </c>
      <c r="J101" s="8516"/>
      <c r="K101" s="7953" t="s">
        <v>734</v>
      </c>
      <c r="L101" s="7935">
        <v>299</v>
      </c>
      <c r="M101" s="7936">
        <v>332</v>
      </c>
      <c r="N101" s="9234">
        <v>338</v>
      </c>
      <c r="O101" s="8996" t="s">
        <v>3542</v>
      </c>
      <c r="P101" s="7932"/>
      <c r="Q101" s="7932"/>
      <c r="R101" s="8509"/>
      <c r="AX101" s="7872"/>
    </row>
    <row r="102" spans="1:50" s="7887" customFormat="1" ht="20.100000000000001" customHeight="1">
      <c r="A102" s="7872"/>
      <c r="B102" s="8510"/>
      <c r="C102" s="7939"/>
      <c r="D102" s="8016" t="s">
        <v>146</v>
      </c>
      <c r="E102" s="8017"/>
      <c r="F102" s="8090" t="s">
        <v>732</v>
      </c>
      <c r="G102" s="8514"/>
      <c r="H102" s="8528"/>
      <c r="I102" s="8515" t="s">
        <v>147</v>
      </c>
      <c r="J102" s="8516"/>
      <c r="K102" s="7953" t="s">
        <v>734</v>
      </c>
      <c r="L102" s="7935">
        <v>257</v>
      </c>
      <c r="M102" s="7936">
        <v>270</v>
      </c>
      <c r="N102" s="9248">
        <v>267</v>
      </c>
      <c r="O102" s="8996" t="s">
        <v>3543</v>
      </c>
      <c r="P102" s="7932"/>
      <c r="Q102" s="7932"/>
      <c r="R102" s="8509"/>
      <c r="AX102" s="7872"/>
    </row>
    <row r="103" spans="1:50" s="7887" customFormat="1" ht="20.100000000000001" customHeight="1">
      <c r="A103" s="7872"/>
      <c r="B103" s="8510"/>
      <c r="C103" s="7939"/>
      <c r="D103" s="8016" t="s">
        <v>149</v>
      </c>
      <c r="E103" s="8017"/>
      <c r="F103" s="8090" t="s">
        <v>732</v>
      </c>
      <c r="G103" s="8514"/>
      <c r="H103" s="8528"/>
      <c r="I103" s="8515" t="s">
        <v>150</v>
      </c>
      <c r="J103" s="8516"/>
      <c r="K103" s="7953" t="s">
        <v>734</v>
      </c>
      <c r="L103" s="7935">
        <v>381</v>
      </c>
      <c r="M103" s="7936">
        <v>382</v>
      </c>
      <c r="N103" s="9248">
        <v>353</v>
      </c>
      <c r="O103" s="8996" t="s">
        <v>3542</v>
      </c>
      <c r="P103" s="7932"/>
      <c r="Q103" s="7932"/>
      <c r="R103" s="8509"/>
      <c r="AX103" s="7872"/>
    </row>
    <row r="104" spans="1:50" s="7930" customFormat="1" ht="20.100000000000001" customHeight="1">
      <c r="A104" s="7872"/>
      <c r="B104" s="8510"/>
      <c r="C104" s="8115"/>
      <c r="D104" s="8524" t="s">
        <v>830</v>
      </c>
      <c r="E104" s="8525"/>
      <c r="F104" s="7957" t="s">
        <v>732</v>
      </c>
      <c r="G104" s="8544"/>
      <c r="H104" s="8546"/>
      <c r="I104" s="8524" t="s">
        <v>831</v>
      </c>
      <c r="J104" s="8525"/>
      <c r="K104" s="7957" t="s">
        <v>734</v>
      </c>
      <c r="L104" s="8012">
        <f>IF(COUNTBLANK(L105:L110)&gt;0,"미취합법인有",SUM(L105:L110))</f>
        <v>173</v>
      </c>
      <c r="M104" s="8013">
        <f>IF(COUNTBLANK(M105:M110)&gt;0,"미취합법인有",SUM(M105:M110))</f>
        <v>139</v>
      </c>
      <c r="N104" s="9247">
        <f>IF(COUNTBLANK(N105:N110)&gt;0,"미취합법인有",SUM(N105:N110))</f>
        <v>122</v>
      </c>
      <c r="O104" s="8995"/>
      <c r="P104" s="8015" t="s">
        <v>822</v>
      </c>
      <c r="Q104" s="8015" t="s">
        <v>740</v>
      </c>
      <c r="R104" s="8500"/>
      <c r="S104" s="7887"/>
      <c r="T104" s="7887"/>
      <c r="U104" s="7887"/>
      <c r="V104" s="7887"/>
      <c r="W104" s="7887"/>
      <c r="X104" s="7887"/>
      <c r="Y104" s="7887"/>
      <c r="Z104" s="7887"/>
      <c r="AA104" s="7887"/>
      <c r="AB104" s="7887"/>
      <c r="AC104" s="7887"/>
      <c r="AD104" s="7887"/>
      <c r="AE104" s="7887"/>
      <c r="AF104" s="7887"/>
      <c r="AG104" s="7887"/>
      <c r="AH104" s="7887"/>
      <c r="AI104" s="7887"/>
      <c r="AJ104" s="7887"/>
      <c r="AK104" s="7887"/>
      <c r="AL104" s="7887"/>
      <c r="AM104" s="7887"/>
      <c r="AN104" s="7887"/>
      <c r="AO104" s="7887"/>
      <c r="AP104" s="7887"/>
      <c r="AQ104" s="7887"/>
      <c r="AR104" s="7887"/>
      <c r="AS104" s="7887"/>
      <c r="AT104" s="7887"/>
      <c r="AU104" s="7887"/>
      <c r="AV104" s="7887"/>
      <c r="AW104" s="7887"/>
      <c r="AX104" s="7872"/>
    </row>
    <row r="105" spans="1:50" s="7930" customFormat="1" ht="20.100000000000001" customHeight="1">
      <c r="A105" s="7872"/>
      <c r="B105" s="8510"/>
      <c r="C105" s="7939"/>
      <c r="D105" s="8016" t="s">
        <v>134</v>
      </c>
      <c r="E105" s="8017"/>
      <c r="F105" s="8090" t="s">
        <v>732</v>
      </c>
      <c r="G105" s="8514"/>
      <c r="H105" s="8528"/>
      <c r="I105" s="8506" t="s">
        <v>135</v>
      </c>
      <c r="J105" s="8508"/>
      <c r="K105" s="7953" t="s">
        <v>734</v>
      </c>
      <c r="L105" s="7935">
        <v>137</v>
      </c>
      <c r="M105" s="7936">
        <v>97</v>
      </c>
      <c r="N105" s="9249">
        <v>77</v>
      </c>
      <c r="O105" s="8996" t="s">
        <v>3542</v>
      </c>
      <c r="P105" s="7932"/>
      <c r="Q105" s="7932"/>
      <c r="R105" s="8509"/>
      <c r="S105" s="7887"/>
      <c r="T105" s="7887"/>
      <c r="U105" s="7887"/>
      <c r="V105" s="7887"/>
      <c r="W105" s="7887"/>
      <c r="X105" s="7887"/>
      <c r="Y105" s="7887"/>
      <c r="Z105" s="7887"/>
      <c r="AA105" s="7887"/>
      <c r="AB105" s="7887"/>
      <c r="AC105" s="7887"/>
      <c r="AD105" s="7887"/>
      <c r="AE105" s="7887"/>
      <c r="AF105" s="7887"/>
      <c r="AG105" s="7887"/>
      <c r="AH105" s="7887"/>
      <c r="AI105" s="7887"/>
      <c r="AJ105" s="7887"/>
      <c r="AK105" s="7887"/>
      <c r="AL105" s="7887"/>
      <c r="AM105" s="7887"/>
      <c r="AN105" s="7887"/>
      <c r="AO105" s="7887"/>
      <c r="AP105" s="7887"/>
      <c r="AQ105" s="7887"/>
      <c r="AR105" s="7887"/>
      <c r="AS105" s="7887"/>
      <c r="AT105" s="7887"/>
      <c r="AU105" s="7887"/>
      <c r="AV105" s="7887"/>
      <c r="AW105" s="7887"/>
      <c r="AX105" s="7872"/>
    </row>
    <row r="106" spans="1:50" s="7930" customFormat="1" ht="20.100000000000001" customHeight="1">
      <c r="A106" s="7872"/>
      <c r="B106" s="8510"/>
      <c r="C106" s="7939"/>
      <c r="D106" s="8016" t="s">
        <v>137</v>
      </c>
      <c r="E106" s="8017"/>
      <c r="F106" s="8090" t="s">
        <v>732</v>
      </c>
      <c r="G106" s="8514"/>
      <c r="H106" s="8528"/>
      <c r="I106" s="8506" t="s">
        <v>138</v>
      </c>
      <c r="J106" s="8508"/>
      <c r="K106" s="7953" t="s">
        <v>734</v>
      </c>
      <c r="L106" s="7935">
        <v>6</v>
      </c>
      <c r="M106" s="7936">
        <v>8</v>
      </c>
      <c r="N106" s="9248">
        <v>11</v>
      </c>
      <c r="O106" s="8996" t="s">
        <v>3543</v>
      </c>
      <c r="P106" s="7932"/>
      <c r="Q106" s="7932"/>
      <c r="R106" s="8509"/>
      <c r="S106" s="7887"/>
      <c r="T106" s="7887"/>
      <c r="U106" s="7887"/>
      <c r="V106" s="7887"/>
      <c r="W106" s="7887"/>
      <c r="X106" s="7887"/>
      <c r="Y106" s="7887"/>
      <c r="Z106" s="7887"/>
      <c r="AA106" s="7887"/>
      <c r="AB106" s="7887"/>
      <c r="AC106" s="7887"/>
      <c r="AD106" s="7887"/>
      <c r="AE106" s="7887"/>
      <c r="AF106" s="7887"/>
      <c r="AG106" s="7887"/>
      <c r="AH106" s="7887"/>
      <c r="AI106" s="7887"/>
      <c r="AJ106" s="7887"/>
      <c r="AK106" s="7887"/>
      <c r="AL106" s="7887"/>
      <c r="AM106" s="7887"/>
      <c r="AN106" s="7887"/>
      <c r="AO106" s="7887"/>
      <c r="AP106" s="7887"/>
      <c r="AQ106" s="7887"/>
      <c r="AR106" s="7887"/>
      <c r="AS106" s="7887"/>
      <c r="AT106" s="7887"/>
      <c r="AU106" s="7887"/>
      <c r="AV106" s="7887"/>
      <c r="AW106" s="7887"/>
      <c r="AX106" s="7872"/>
    </row>
    <row r="107" spans="1:50" s="7930" customFormat="1" ht="20.100000000000001" customHeight="1">
      <c r="A107" s="7872"/>
      <c r="B107" s="8510"/>
      <c r="C107" s="7939"/>
      <c r="D107" s="8016" t="s">
        <v>140</v>
      </c>
      <c r="E107" s="8017"/>
      <c r="F107" s="8090" t="s">
        <v>732</v>
      </c>
      <c r="G107" s="8514"/>
      <c r="H107" s="8528"/>
      <c r="I107" s="8515" t="s">
        <v>141</v>
      </c>
      <c r="J107" s="8516"/>
      <c r="K107" s="7953" t="s">
        <v>734</v>
      </c>
      <c r="L107" s="7935">
        <v>4</v>
      </c>
      <c r="M107" s="7936">
        <v>6</v>
      </c>
      <c r="N107" s="9248">
        <v>5</v>
      </c>
      <c r="O107" s="8996" t="s">
        <v>3543</v>
      </c>
      <c r="P107" s="7932"/>
      <c r="Q107" s="7932"/>
      <c r="R107" s="8509"/>
      <c r="S107" s="7887"/>
      <c r="T107" s="7887"/>
      <c r="U107" s="7887"/>
      <c r="V107" s="7887"/>
      <c r="W107" s="7887"/>
      <c r="X107" s="7887"/>
      <c r="Y107" s="7887"/>
      <c r="Z107" s="7887"/>
      <c r="AA107" s="7887"/>
      <c r="AB107" s="7887"/>
      <c r="AC107" s="7887"/>
      <c r="AD107" s="7887"/>
      <c r="AE107" s="7887"/>
      <c r="AF107" s="7887"/>
      <c r="AG107" s="7887"/>
      <c r="AH107" s="7887"/>
      <c r="AI107" s="7887"/>
      <c r="AJ107" s="7887"/>
      <c r="AK107" s="7887"/>
      <c r="AL107" s="7887"/>
      <c r="AM107" s="7887"/>
      <c r="AN107" s="7887"/>
      <c r="AO107" s="7887"/>
      <c r="AP107" s="7887"/>
      <c r="AQ107" s="7887"/>
      <c r="AR107" s="7887"/>
      <c r="AS107" s="7887"/>
      <c r="AT107" s="7887"/>
      <c r="AU107" s="7887"/>
      <c r="AV107" s="7887"/>
      <c r="AW107" s="7887"/>
      <c r="AX107" s="7872"/>
    </row>
    <row r="108" spans="1:50" s="7930" customFormat="1" ht="20.100000000000001" customHeight="1">
      <c r="A108" s="7872"/>
      <c r="B108" s="8510"/>
      <c r="C108" s="7939"/>
      <c r="D108" s="8016" t="s">
        <v>143</v>
      </c>
      <c r="E108" s="8017"/>
      <c r="F108" s="8090" t="s">
        <v>732</v>
      </c>
      <c r="G108" s="8514"/>
      <c r="H108" s="8528"/>
      <c r="I108" s="8515" t="s">
        <v>144</v>
      </c>
      <c r="J108" s="8516"/>
      <c r="K108" s="7953" t="s">
        <v>734</v>
      </c>
      <c r="L108" s="7935">
        <v>2</v>
      </c>
      <c r="M108" s="7936">
        <v>1</v>
      </c>
      <c r="N108" s="9248">
        <v>1</v>
      </c>
      <c r="O108" s="8996" t="s">
        <v>3542</v>
      </c>
      <c r="P108" s="7932"/>
      <c r="Q108" s="7932"/>
      <c r="R108" s="8509"/>
      <c r="S108" s="7887"/>
      <c r="T108" s="7887"/>
      <c r="U108" s="7887"/>
      <c r="V108" s="7887"/>
      <c r="W108" s="7887"/>
      <c r="X108" s="7887"/>
      <c r="Y108" s="7887"/>
      <c r="Z108" s="7887"/>
      <c r="AA108" s="7887"/>
      <c r="AB108" s="7887"/>
      <c r="AC108" s="7887"/>
      <c r="AD108" s="7887"/>
      <c r="AE108" s="7887"/>
      <c r="AF108" s="7887"/>
      <c r="AG108" s="7887"/>
      <c r="AH108" s="7887"/>
      <c r="AI108" s="7887"/>
      <c r="AJ108" s="7887"/>
      <c r="AK108" s="7887"/>
      <c r="AL108" s="7887"/>
      <c r="AM108" s="7887"/>
      <c r="AN108" s="7887"/>
      <c r="AO108" s="7887"/>
      <c r="AP108" s="7887"/>
      <c r="AQ108" s="7887"/>
      <c r="AR108" s="7887"/>
      <c r="AS108" s="7887"/>
      <c r="AT108" s="7887"/>
      <c r="AU108" s="7887"/>
      <c r="AV108" s="7887"/>
      <c r="AW108" s="7887"/>
      <c r="AX108" s="7872"/>
    </row>
    <row r="109" spans="1:50" s="7930" customFormat="1" ht="20.100000000000001" customHeight="1">
      <c r="A109" s="7872"/>
      <c r="B109" s="8510"/>
      <c r="C109" s="7939"/>
      <c r="D109" s="8016" t="s">
        <v>146</v>
      </c>
      <c r="E109" s="8017"/>
      <c r="F109" s="8090" t="s">
        <v>732</v>
      </c>
      <c r="G109" s="8514"/>
      <c r="H109" s="8528"/>
      <c r="I109" s="8515" t="s">
        <v>147</v>
      </c>
      <c r="J109" s="8516"/>
      <c r="K109" s="7953" t="s">
        <v>734</v>
      </c>
      <c r="L109" s="7935">
        <v>8</v>
      </c>
      <c r="M109" s="7936">
        <v>9</v>
      </c>
      <c r="N109" s="9248">
        <v>6</v>
      </c>
      <c r="O109" s="8996" t="s">
        <v>3543</v>
      </c>
      <c r="P109" s="7932"/>
      <c r="Q109" s="7932"/>
      <c r="R109" s="8509"/>
      <c r="S109" s="7887"/>
      <c r="T109" s="7887"/>
      <c r="U109" s="7887"/>
      <c r="V109" s="7887"/>
      <c r="W109" s="7887"/>
      <c r="X109" s="7887"/>
      <c r="Y109" s="7887"/>
      <c r="Z109" s="7887"/>
      <c r="AA109" s="7887"/>
      <c r="AB109" s="7887"/>
      <c r="AC109" s="7887"/>
      <c r="AD109" s="7887"/>
      <c r="AE109" s="7887"/>
      <c r="AF109" s="7887"/>
      <c r="AG109" s="7887"/>
      <c r="AH109" s="7887"/>
      <c r="AI109" s="7887"/>
      <c r="AJ109" s="7887"/>
      <c r="AK109" s="7887"/>
      <c r="AL109" s="7887"/>
      <c r="AM109" s="7887"/>
      <c r="AN109" s="7887"/>
      <c r="AO109" s="7887"/>
      <c r="AP109" s="7887"/>
      <c r="AQ109" s="7887"/>
      <c r="AR109" s="7887"/>
      <c r="AS109" s="7887"/>
      <c r="AT109" s="7887"/>
      <c r="AU109" s="7887"/>
      <c r="AV109" s="7887"/>
      <c r="AW109" s="7887"/>
      <c r="AX109" s="7872"/>
    </row>
    <row r="110" spans="1:50" s="7930" customFormat="1" ht="20.100000000000001" customHeight="1">
      <c r="A110" s="7872"/>
      <c r="B110" s="8510"/>
      <c r="C110" s="7939"/>
      <c r="D110" s="8016" t="s">
        <v>149</v>
      </c>
      <c r="E110" s="8017"/>
      <c r="F110" s="8090" t="s">
        <v>732</v>
      </c>
      <c r="G110" s="8514"/>
      <c r="H110" s="8528"/>
      <c r="I110" s="8515" t="s">
        <v>150</v>
      </c>
      <c r="J110" s="8516"/>
      <c r="K110" s="7953" t="s">
        <v>734</v>
      </c>
      <c r="L110" s="7935">
        <v>16</v>
      </c>
      <c r="M110" s="7996">
        <v>18</v>
      </c>
      <c r="N110" s="9248">
        <v>22</v>
      </c>
      <c r="O110" s="8996" t="s">
        <v>3542</v>
      </c>
      <c r="P110" s="7932"/>
      <c r="Q110" s="7932"/>
      <c r="R110" s="8509"/>
      <c r="S110" s="7887"/>
      <c r="T110" s="7887"/>
      <c r="U110" s="7887"/>
      <c r="V110" s="7887"/>
      <c r="W110" s="7887"/>
      <c r="X110" s="7887"/>
      <c r="Y110" s="7887"/>
      <c r="Z110" s="7887"/>
      <c r="AA110" s="7887"/>
      <c r="AB110" s="7887"/>
      <c r="AC110" s="7887"/>
      <c r="AD110" s="7887"/>
      <c r="AE110" s="7887"/>
      <c r="AF110" s="7887"/>
      <c r="AG110" s="7887"/>
      <c r="AH110" s="7887"/>
      <c r="AI110" s="7887"/>
      <c r="AJ110" s="7887"/>
      <c r="AK110" s="7887"/>
      <c r="AL110" s="7887"/>
      <c r="AM110" s="7887"/>
      <c r="AN110" s="7887"/>
      <c r="AO110" s="7887"/>
      <c r="AP110" s="7887"/>
      <c r="AQ110" s="7887"/>
      <c r="AR110" s="7887"/>
      <c r="AS110" s="7887"/>
      <c r="AT110" s="7887"/>
      <c r="AU110" s="7887"/>
      <c r="AV110" s="7887"/>
      <c r="AW110" s="7887"/>
      <c r="AX110" s="7872"/>
    </row>
    <row r="111" spans="1:50" s="7930" customFormat="1" ht="20.100000000000001" customHeight="1">
      <c r="A111" s="7872"/>
      <c r="B111" s="9346"/>
      <c r="C111" s="8537" t="s">
        <v>3765</v>
      </c>
      <c r="D111" s="9369"/>
      <c r="E111" s="9369"/>
      <c r="F111" s="9370"/>
      <c r="G111" s="9371"/>
      <c r="H111" s="9372" t="s">
        <v>844</v>
      </c>
      <c r="I111" s="9157"/>
      <c r="J111" s="9373"/>
      <c r="K111" s="9374" t="s">
        <v>168</v>
      </c>
      <c r="L111" s="9375"/>
      <c r="M111" s="9376"/>
      <c r="N111" s="9377"/>
      <c r="O111" s="8999" t="s">
        <v>3778</v>
      </c>
      <c r="P111" s="8088"/>
      <c r="Q111" s="7932"/>
      <c r="R111" s="8509"/>
      <c r="S111" s="7887"/>
      <c r="T111" s="7887"/>
      <c r="U111" s="7887"/>
      <c r="V111" s="7887"/>
      <c r="W111" s="7887"/>
      <c r="X111" s="7887"/>
      <c r="Y111" s="7887"/>
      <c r="Z111" s="7887"/>
      <c r="AA111" s="7887"/>
      <c r="AB111" s="7887"/>
      <c r="AC111" s="7887"/>
      <c r="AD111" s="7887"/>
      <c r="AE111" s="7887"/>
      <c r="AF111" s="7887"/>
      <c r="AG111" s="7887"/>
      <c r="AH111" s="7887"/>
      <c r="AI111" s="7887"/>
      <c r="AJ111" s="7887"/>
      <c r="AK111" s="7887"/>
      <c r="AL111" s="7887"/>
      <c r="AM111" s="7887"/>
      <c r="AN111" s="7887"/>
      <c r="AO111" s="7887"/>
      <c r="AP111" s="7887"/>
      <c r="AQ111" s="7887"/>
      <c r="AR111" s="7887"/>
      <c r="AS111" s="7887"/>
      <c r="AT111" s="7887"/>
      <c r="AU111" s="7887"/>
      <c r="AV111" s="7887"/>
      <c r="AW111" s="7887"/>
      <c r="AX111" s="7872"/>
    </row>
    <row r="112" spans="1:50" s="7930" customFormat="1" ht="20.100000000000001" customHeight="1">
      <c r="A112" s="7872"/>
      <c r="B112" s="8510"/>
      <c r="C112" s="9367"/>
      <c r="D112" s="8825" t="s">
        <v>823</v>
      </c>
      <c r="E112" s="9378"/>
      <c r="F112" s="8841" t="s">
        <v>3766</v>
      </c>
      <c r="G112" s="8887"/>
      <c r="H112" s="8869"/>
      <c r="I112" s="8825" t="s">
        <v>824</v>
      </c>
      <c r="J112" s="9378"/>
      <c r="K112" s="8841" t="s">
        <v>734</v>
      </c>
      <c r="L112" s="8097"/>
      <c r="M112" s="8117"/>
      <c r="N112" s="9247"/>
      <c r="O112" s="9379"/>
      <c r="P112" s="8015"/>
      <c r="Q112" s="7955" t="s">
        <v>807</v>
      </c>
      <c r="R112" s="8500"/>
      <c r="S112" s="7887"/>
      <c r="T112" s="7887"/>
      <c r="U112" s="7887"/>
      <c r="V112" s="7887"/>
      <c r="W112" s="7887"/>
      <c r="X112" s="7887"/>
      <c r="Y112" s="7887"/>
      <c r="Z112" s="7887"/>
      <c r="AA112" s="7887"/>
      <c r="AB112" s="7887"/>
      <c r="AC112" s="7887"/>
      <c r="AD112" s="7887"/>
      <c r="AE112" s="7887"/>
      <c r="AF112" s="7887"/>
      <c r="AG112" s="7887"/>
      <c r="AH112" s="7887"/>
      <c r="AI112" s="7887"/>
      <c r="AJ112" s="7887"/>
      <c r="AK112" s="7887"/>
      <c r="AL112" s="7887"/>
      <c r="AM112" s="7887"/>
      <c r="AN112" s="7887"/>
      <c r="AO112" s="7887"/>
      <c r="AP112" s="7887"/>
      <c r="AQ112" s="7887"/>
      <c r="AR112" s="7887"/>
      <c r="AS112" s="7887"/>
      <c r="AT112" s="7887"/>
      <c r="AU112" s="7887"/>
      <c r="AV112" s="7887"/>
      <c r="AW112" s="7887"/>
      <c r="AX112" s="7872"/>
    </row>
    <row r="113" spans="1:50" s="7930" customFormat="1" ht="20.100000000000001" customHeight="1">
      <c r="A113" s="7872"/>
      <c r="B113" s="8510"/>
      <c r="C113" s="9367"/>
      <c r="D113" s="8821" t="s">
        <v>134</v>
      </c>
      <c r="E113" s="9363"/>
      <c r="F113" s="9321" t="s">
        <v>3766</v>
      </c>
      <c r="G113" s="8843"/>
      <c r="H113" s="8844"/>
      <c r="I113" s="8861" t="s">
        <v>135</v>
      </c>
      <c r="J113" s="8846"/>
      <c r="K113" s="8835" t="s">
        <v>734</v>
      </c>
      <c r="L113" s="7942">
        <v>0</v>
      </c>
      <c r="M113" s="8018">
        <v>0</v>
      </c>
      <c r="N113" s="9245">
        <v>0</v>
      </c>
      <c r="O113" s="8996"/>
      <c r="P113" s="7932"/>
      <c r="Q113" s="7932"/>
      <c r="R113" s="8509"/>
      <c r="S113" s="7887"/>
      <c r="T113" s="7887"/>
      <c r="U113" s="7887"/>
      <c r="V113" s="7887"/>
      <c r="W113" s="7887"/>
      <c r="X113" s="7887"/>
      <c r="Y113" s="7887"/>
      <c r="Z113" s="7887"/>
      <c r="AA113" s="7887"/>
      <c r="AB113" s="7887"/>
      <c r="AC113" s="7887"/>
      <c r="AD113" s="7887"/>
      <c r="AE113" s="7887"/>
      <c r="AF113" s="7887"/>
      <c r="AG113" s="7887"/>
      <c r="AH113" s="7887"/>
      <c r="AI113" s="7887"/>
      <c r="AJ113" s="7887"/>
      <c r="AK113" s="7887"/>
      <c r="AL113" s="7887"/>
      <c r="AM113" s="7887"/>
      <c r="AN113" s="7887"/>
      <c r="AO113" s="7887"/>
      <c r="AP113" s="7887"/>
      <c r="AQ113" s="7887"/>
      <c r="AR113" s="7887"/>
      <c r="AS113" s="7887"/>
      <c r="AT113" s="7887"/>
      <c r="AU113" s="7887"/>
      <c r="AV113" s="7887"/>
      <c r="AW113" s="7887"/>
      <c r="AX113" s="7872"/>
    </row>
    <row r="114" spans="1:50" s="7930" customFormat="1" ht="20.100000000000001" customHeight="1">
      <c r="A114" s="7872"/>
      <c r="B114" s="8510"/>
      <c r="C114" s="9367"/>
      <c r="D114" s="8821" t="s">
        <v>137</v>
      </c>
      <c r="E114" s="9363"/>
      <c r="F114" s="9321" t="s">
        <v>3766</v>
      </c>
      <c r="G114" s="8843"/>
      <c r="H114" s="8844"/>
      <c r="I114" s="8861" t="s">
        <v>138</v>
      </c>
      <c r="J114" s="8846"/>
      <c r="K114" s="8835" t="s">
        <v>734</v>
      </c>
      <c r="L114" s="7942">
        <v>0</v>
      </c>
      <c r="M114" s="8018">
        <v>0</v>
      </c>
      <c r="N114" s="9314">
        <v>0</v>
      </c>
      <c r="O114" s="8996"/>
      <c r="P114" s="7932"/>
      <c r="Q114" s="7932"/>
      <c r="R114" s="8509"/>
      <c r="S114" s="7887"/>
      <c r="T114" s="7887"/>
      <c r="U114" s="7887"/>
      <c r="V114" s="7887"/>
      <c r="W114" s="7887"/>
      <c r="X114" s="7887"/>
      <c r="Y114" s="7887"/>
      <c r="Z114" s="7887"/>
      <c r="AA114" s="7887"/>
      <c r="AB114" s="7887"/>
      <c r="AC114" s="7887"/>
      <c r="AD114" s="7887"/>
      <c r="AE114" s="7887"/>
      <c r="AF114" s="7887"/>
      <c r="AG114" s="7887"/>
      <c r="AH114" s="7887"/>
      <c r="AI114" s="7887"/>
      <c r="AJ114" s="7887"/>
      <c r="AK114" s="7887"/>
      <c r="AL114" s="7887"/>
      <c r="AM114" s="7887"/>
      <c r="AN114" s="7887"/>
      <c r="AO114" s="7887"/>
      <c r="AP114" s="7887"/>
      <c r="AQ114" s="7887"/>
      <c r="AR114" s="7887"/>
      <c r="AS114" s="7887"/>
      <c r="AT114" s="7887"/>
      <c r="AU114" s="7887"/>
      <c r="AV114" s="7887"/>
      <c r="AW114" s="7887"/>
      <c r="AX114" s="7872"/>
    </row>
    <row r="115" spans="1:50" s="7930" customFormat="1" ht="20.100000000000001" customHeight="1">
      <c r="A115" s="7872"/>
      <c r="B115" s="8510"/>
      <c r="C115" s="9367"/>
      <c r="D115" s="8821" t="s">
        <v>140</v>
      </c>
      <c r="E115" s="9363"/>
      <c r="F115" s="9321" t="s">
        <v>3766</v>
      </c>
      <c r="G115" s="8843"/>
      <c r="H115" s="8844"/>
      <c r="I115" s="8863" t="s">
        <v>141</v>
      </c>
      <c r="J115" s="8849"/>
      <c r="K115" s="8835" t="s">
        <v>734</v>
      </c>
      <c r="L115" s="7942">
        <v>0</v>
      </c>
      <c r="M115" s="8018">
        <v>0</v>
      </c>
      <c r="N115" s="9314">
        <v>0</v>
      </c>
      <c r="O115" s="8996"/>
      <c r="P115" s="7932"/>
      <c r="Q115" s="7932"/>
      <c r="R115" s="8509"/>
      <c r="S115" s="7887"/>
      <c r="T115" s="7887"/>
      <c r="U115" s="7887"/>
      <c r="V115" s="7887"/>
      <c r="W115" s="7887"/>
      <c r="X115" s="7887"/>
      <c r="Y115" s="7887"/>
      <c r="Z115" s="7887"/>
      <c r="AA115" s="7887"/>
      <c r="AB115" s="7887"/>
      <c r="AC115" s="7887"/>
      <c r="AD115" s="7887"/>
      <c r="AE115" s="7887"/>
      <c r="AF115" s="7887"/>
      <c r="AG115" s="7887"/>
      <c r="AH115" s="7887"/>
      <c r="AI115" s="7887"/>
      <c r="AJ115" s="7887"/>
      <c r="AK115" s="7887"/>
      <c r="AL115" s="7887"/>
      <c r="AM115" s="7887"/>
      <c r="AN115" s="7887"/>
      <c r="AO115" s="7887"/>
      <c r="AP115" s="7887"/>
      <c r="AQ115" s="7887"/>
      <c r="AR115" s="7887"/>
      <c r="AS115" s="7887"/>
      <c r="AT115" s="7887"/>
      <c r="AU115" s="7887"/>
      <c r="AV115" s="7887"/>
      <c r="AW115" s="7887"/>
      <c r="AX115" s="7872"/>
    </row>
    <row r="116" spans="1:50" s="7930" customFormat="1" ht="20.100000000000001" customHeight="1">
      <c r="A116" s="7872"/>
      <c r="B116" s="8510"/>
      <c r="C116" s="9367"/>
      <c r="D116" s="8821" t="s">
        <v>143</v>
      </c>
      <c r="E116" s="9380"/>
      <c r="F116" s="9321" t="s">
        <v>3766</v>
      </c>
      <c r="G116" s="8843"/>
      <c r="H116" s="8844"/>
      <c r="I116" s="8863" t="s">
        <v>144</v>
      </c>
      <c r="J116" s="8849"/>
      <c r="K116" s="8835" t="s">
        <v>734</v>
      </c>
      <c r="L116" s="7942">
        <v>0</v>
      </c>
      <c r="M116" s="8018">
        <v>0</v>
      </c>
      <c r="N116" s="9314">
        <v>0</v>
      </c>
      <c r="O116" s="8996"/>
      <c r="P116" s="7932"/>
      <c r="Q116" s="7932"/>
      <c r="R116" s="8509"/>
      <c r="S116" s="7887"/>
      <c r="T116" s="7887"/>
      <c r="U116" s="7887"/>
      <c r="V116" s="7887"/>
      <c r="W116" s="7887"/>
      <c r="X116" s="7887"/>
      <c r="Y116" s="7887"/>
      <c r="Z116" s="7887"/>
      <c r="AA116" s="7887"/>
      <c r="AB116" s="7887"/>
      <c r="AC116" s="7887"/>
      <c r="AD116" s="7887"/>
      <c r="AE116" s="7887"/>
      <c r="AF116" s="7887"/>
      <c r="AG116" s="7887"/>
      <c r="AH116" s="7887"/>
      <c r="AI116" s="7887"/>
      <c r="AJ116" s="7887"/>
      <c r="AK116" s="7887"/>
      <c r="AL116" s="7887"/>
      <c r="AM116" s="7887"/>
      <c r="AN116" s="7887"/>
      <c r="AO116" s="7887"/>
      <c r="AP116" s="7887"/>
      <c r="AQ116" s="7887"/>
      <c r="AR116" s="7887"/>
      <c r="AS116" s="7887"/>
      <c r="AT116" s="7887"/>
      <c r="AU116" s="7887"/>
      <c r="AV116" s="7887"/>
      <c r="AW116" s="7887"/>
      <c r="AX116" s="7872"/>
    </row>
    <row r="117" spans="1:50" s="7930" customFormat="1" ht="20.100000000000001" customHeight="1">
      <c r="A117" s="7872"/>
      <c r="B117" s="8510"/>
      <c r="C117" s="9367"/>
      <c r="D117" s="8821" t="s">
        <v>146</v>
      </c>
      <c r="E117" s="9363"/>
      <c r="F117" s="9321" t="s">
        <v>3766</v>
      </c>
      <c r="G117" s="8843"/>
      <c r="H117" s="8844"/>
      <c r="I117" s="8863" t="s">
        <v>147</v>
      </c>
      <c r="J117" s="8849"/>
      <c r="K117" s="8835" t="s">
        <v>734</v>
      </c>
      <c r="L117" s="7942">
        <v>0</v>
      </c>
      <c r="M117" s="8018">
        <v>0</v>
      </c>
      <c r="N117" s="9314">
        <v>0</v>
      </c>
      <c r="O117" s="8996"/>
      <c r="P117" s="7932"/>
      <c r="Q117" s="7932"/>
      <c r="R117" s="8509"/>
      <c r="S117" s="7887"/>
      <c r="T117" s="7887"/>
      <c r="U117" s="7887"/>
      <c r="V117" s="7887"/>
      <c r="W117" s="7887"/>
      <c r="X117" s="7887"/>
      <c r="Y117" s="7887"/>
      <c r="Z117" s="7887"/>
      <c r="AA117" s="7887"/>
      <c r="AB117" s="7887"/>
      <c r="AC117" s="7887"/>
      <c r="AD117" s="7887"/>
      <c r="AE117" s="7887"/>
      <c r="AF117" s="7887"/>
      <c r="AG117" s="7887"/>
      <c r="AH117" s="7887"/>
      <c r="AI117" s="7887"/>
      <c r="AJ117" s="7887"/>
      <c r="AK117" s="7887"/>
      <c r="AL117" s="7887"/>
      <c r="AM117" s="7887"/>
      <c r="AN117" s="7887"/>
      <c r="AO117" s="7887"/>
      <c r="AP117" s="7887"/>
      <c r="AQ117" s="7887"/>
      <c r="AR117" s="7887"/>
      <c r="AS117" s="7887"/>
      <c r="AT117" s="7887"/>
      <c r="AU117" s="7887"/>
      <c r="AV117" s="7887"/>
      <c r="AW117" s="7887"/>
      <c r="AX117" s="7872"/>
    </row>
    <row r="118" spans="1:50" s="7930" customFormat="1" ht="20.100000000000001" customHeight="1">
      <c r="A118" s="7872"/>
      <c r="B118" s="8510"/>
      <c r="C118" s="9367"/>
      <c r="D118" s="8821" t="s">
        <v>149</v>
      </c>
      <c r="E118" s="9363"/>
      <c r="F118" s="9321" t="s">
        <v>3766</v>
      </c>
      <c r="G118" s="8843"/>
      <c r="H118" s="8844"/>
      <c r="I118" s="8863" t="s">
        <v>150</v>
      </c>
      <c r="J118" s="8849"/>
      <c r="K118" s="8835" t="s">
        <v>734</v>
      </c>
      <c r="L118" s="7942">
        <v>0</v>
      </c>
      <c r="M118" s="8018">
        <v>0</v>
      </c>
      <c r="N118" s="9314">
        <v>0</v>
      </c>
      <c r="O118" s="8996"/>
      <c r="P118" s="7932"/>
      <c r="Q118" s="7932"/>
      <c r="R118" s="8509"/>
      <c r="S118" s="7887"/>
      <c r="T118" s="7887"/>
      <c r="U118" s="7887"/>
      <c r="V118" s="7887"/>
      <c r="W118" s="7887"/>
      <c r="X118" s="7887"/>
      <c r="Y118" s="7887"/>
      <c r="Z118" s="7887"/>
      <c r="AA118" s="7887"/>
      <c r="AB118" s="7887"/>
      <c r="AC118" s="7887"/>
      <c r="AD118" s="7887"/>
      <c r="AE118" s="7887"/>
      <c r="AF118" s="7887"/>
      <c r="AG118" s="7887"/>
      <c r="AH118" s="7887"/>
      <c r="AI118" s="7887"/>
      <c r="AJ118" s="7887"/>
      <c r="AK118" s="7887"/>
      <c r="AL118" s="7887"/>
      <c r="AM118" s="7887"/>
      <c r="AN118" s="7887"/>
      <c r="AO118" s="7887"/>
      <c r="AP118" s="7887"/>
      <c r="AQ118" s="7887"/>
      <c r="AR118" s="7887"/>
      <c r="AS118" s="7887"/>
      <c r="AT118" s="7887"/>
      <c r="AU118" s="7887"/>
      <c r="AV118" s="7887"/>
      <c r="AW118" s="7887"/>
      <c r="AX118" s="7872"/>
    </row>
    <row r="119" spans="1:50" s="7930" customFormat="1" ht="20.100000000000001" customHeight="1">
      <c r="A119" s="7872"/>
      <c r="B119" s="8510"/>
      <c r="C119" s="9367"/>
      <c r="D119" s="8825" t="s">
        <v>827</v>
      </c>
      <c r="E119" s="9378"/>
      <c r="F119" s="8841" t="s">
        <v>3766</v>
      </c>
      <c r="G119" s="8887"/>
      <c r="H119" s="8869"/>
      <c r="I119" s="8825" t="s">
        <v>828</v>
      </c>
      <c r="J119" s="9378"/>
      <c r="K119" s="8841" t="s">
        <v>734</v>
      </c>
      <c r="L119" s="8042"/>
      <c r="M119" s="8241"/>
      <c r="N119" s="9243"/>
      <c r="O119" s="8995"/>
      <c r="P119" s="8015"/>
      <c r="Q119" s="7955" t="s">
        <v>807</v>
      </c>
      <c r="R119" s="8500"/>
      <c r="S119" s="7887"/>
      <c r="T119" s="7887"/>
      <c r="U119" s="7887"/>
      <c r="V119" s="7887"/>
      <c r="W119" s="7887"/>
      <c r="X119" s="7887"/>
      <c r="Y119" s="7887"/>
      <c r="Z119" s="7887"/>
      <c r="AA119" s="7887"/>
      <c r="AB119" s="7887"/>
      <c r="AC119" s="7887"/>
      <c r="AD119" s="7887"/>
      <c r="AE119" s="7887"/>
      <c r="AF119" s="7887"/>
      <c r="AG119" s="7887"/>
      <c r="AH119" s="7887"/>
      <c r="AI119" s="7887"/>
      <c r="AJ119" s="7887"/>
      <c r="AK119" s="7887"/>
      <c r="AL119" s="7887"/>
      <c r="AM119" s="7887"/>
      <c r="AN119" s="7887"/>
      <c r="AO119" s="7887"/>
      <c r="AP119" s="7887"/>
      <c r="AQ119" s="7887"/>
      <c r="AR119" s="7887"/>
      <c r="AS119" s="7887"/>
      <c r="AT119" s="7887"/>
      <c r="AU119" s="7887"/>
      <c r="AV119" s="7887"/>
      <c r="AW119" s="7887"/>
      <c r="AX119" s="7872"/>
    </row>
    <row r="120" spans="1:50" s="7887" customFormat="1" ht="20.100000000000001" customHeight="1">
      <c r="A120" s="7872"/>
      <c r="B120" s="8510"/>
      <c r="C120" s="9367"/>
      <c r="D120" s="8821" t="s">
        <v>134</v>
      </c>
      <c r="E120" s="9363"/>
      <c r="F120" s="9321" t="s">
        <v>3766</v>
      </c>
      <c r="G120" s="8843"/>
      <c r="H120" s="8844"/>
      <c r="I120" s="8861" t="s">
        <v>135</v>
      </c>
      <c r="J120" s="8846"/>
      <c r="K120" s="8835" t="s">
        <v>734</v>
      </c>
      <c r="L120" s="7942">
        <v>20</v>
      </c>
      <c r="M120" s="8018">
        <v>50</v>
      </c>
      <c r="N120" s="9245">
        <v>33.299999999999997</v>
      </c>
      <c r="O120" s="8996"/>
      <c r="P120" s="7932"/>
      <c r="Q120" s="7932"/>
      <c r="R120" s="8509"/>
      <c r="AX120" s="7872"/>
    </row>
    <row r="121" spans="1:50" s="7887" customFormat="1" ht="20.100000000000001" customHeight="1">
      <c r="A121" s="7872"/>
      <c r="B121" s="8510"/>
      <c r="C121" s="9367"/>
      <c r="D121" s="8821" t="s">
        <v>137</v>
      </c>
      <c r="E121" s="9363"/>
      <c r="F121" s="9321" t="s">
        <v>3766</v>
      </c>
      <c r="G121" s="8843"/>
      <c r="H121" s="8844"/>
      <c r="I121" s="8861" t="s">
        <v>138</v>
      </c>
      <c r="J121" s="8846"/>
      <c r="K121" s="8835" t="s">
        <v>734</v>
      </c>
      <c r="L121" s="7942">
        <v>0</v>
      </c>
      <c r="M121" s="8018">
        <v>0</v>
      </c>
      <c r="N121" s="9314">
        <v>0</v>
      </c>
      <c r="O121" s="8996"/>
      <c r="P121" s="7932"/>
      <c r="Q121" s="7932"/>
      <c r="R121" s="8509"/>
      <c r="AX121" s="7872"/>
    </row>
    <row r="122" spans="1:50" s="7887" customFormat="1" ht="20.100000000000001" customHeight="1">
      <c r="A122" s="7872"/>
      <c r="B122" s="8510"/>
      <c r="C122" s="9367"/>
      <c r="D122" s="8821" t="s">
        <v>140</v>
      </c>
      <c r="E122" s="9363"/>
      <c r="F122" s="9321" t="s">
        <v>3766</v>
      </c>
      <c r="G122" s="8843"/>
      <c r="H122" s="8844"/>
      <c r="I122" s="8863" t="s">
        <v>141</v>
      </c>
      <c r="J122" s="8849"/>
      <c r="K122" s="8835" t="s">
        <v>734</v>
      </c>
      <c r="L122" s="7942">
        <v>0</v>
      </c>
      <c r="M122" s="8018">
        <v>0</v>
      </c>
      <c r="N122" s="9314">
        <v>0</v>
      </c>
      <c r="O122" s="8996"/>
      <c r="P122" s="7932"/>
      <c r="Q122" s="7932"/>
      <c r="R122" s="8509"/>
      <c r="AX122" s="7872"/>
    </row>
    <row r="123" spans="1:50" s="7887" customFormat="1" ht="20.100000000000001" customHeight="1">
      <c r="A123" s="7872"/>
      <c r="B123" s="8510"/>
      <c r="C123" s="9367"/>
      <c r="D123" s="8821" t="s">
        <v>143</v>
      </c>
      <c r="E123" s="9363"/>
      <c r="F123" s="9321" t="s">
        <v>3766</v>
      </c>
      <c r="G123" s="8843"/>
      <c r="H123" s="8844"/>
      <c r="I123" s="8863" t="s">
        <v>144</v>
      </c>
      <c r="J123" s="8849"/>
      <c r="K123" s="8835" t="s">
        <v>734</v>
      </c>
      <c r="L123" s="7942">
        <v>100</v>
      </c>
      <c r="M123" s="8018">
        <v>100</v>
      </c>
      <c r="N123" s="9314">
        <v>100</v>
      </c>
      <c r="O123" s="8996"/>
      <c r="P123" s="7932"/>
      <c r="Q123" s="7932"/>
      <c r="R123" s="8509"/>
      <c r="AX123" s="7872"/>
    </row>
    <row r="124" spans="1:50" s="7887" customFormat="1" ht="20.100000000000001" customHeight="1">
      <c r="A124" s="7872"/>
      <c r="B124" s="8510"/>
      <c r="C124" s="9367"/>
      <c r="D124" s="8821" t="s">
        <v>146</v>
      </c>
      <c r="E124" s="9363"/>
      <c r="F124" s="9321" t="s">
        <v>3766</v>
      </c>
      <c r="G124" s="8843"/>
      <c r="H124" s="8844"/>
      <c r="I124" s="8863" t="s">
        <v>147</v>
      </c>
      <c r="J124" s="8849"/>
      <c r="K124" s="8835" t="s">
        <v>734</v>
      </c>
      <c r="L124" s="7942">
        <v>71.400000000000006</v>
      </c>
      <c r="M124" s="8217">
        <v>71.400000000000006</v>
      </c>
      <c r="N124" s="9314">
        <v>71.400000000000006</v>
      </c>
      <c r="O124" s="8996"/>
      <c r="P124" s="7932"/>
      <c r="Q124" s="7932"/>
      <c r="R124" s="8509"/>
      <c r="AX124" s="7872"/>
    </row>
    <row r="125" spans="1:50" s="7887" customFormat="1" ht="20.100000000000001" customHeight="1">
      <c r="A125" s="7872"/>
      <c r="B125" s="8510"/>
      <c r="C125" s="9367"/>
      <c r="D125" s="8821" t="s">
        <v>149</v>
      </c>
      <c r="E125" s="9363"/>
      <c r="F125" s="9321" t="s">
        <v>3766</v>
      </c>
      <c r="G125" s="8843"/>
      <c r="H125" s="8844"/>
      <c r="I125" s="8863" t="s">
        <v>150</v>
      </c>
      <c r="J125" s="8849"/>
      <c r="K125" s="8835" t="s">
        <v>734</v>
      </c>
      <c r="L125" s="7942">
        <v>80</v>
      </c>
      <c r="M125" s="8217">
        <v>80</v>
      </c>
      <c r="N125" s="9314">
        <v>80</v>
      </c>
      <c r="O125" s="8996"/>
      <c r="P125" s="7932"/>
      <c r="Q125" s="7932"/>
      <c r="R125" s="8509"/>
      <c r="AX125" s="7872"/>
    </row>
    <row r="126" spans="1:50" s="7887" customFormat="1" ht="20.100000000000001" customHeight="1">
      <c r="A126" s="7872"/>
      <c r="B126" s="8510"/>
      <c r="C126" s="9368"/>
      <c r="D126" s="8825" t="s">
        <v>830</v>
      </c>
      <c r="E126" s="9378"/>
      <c r="F126" s="8841" t="s">
        <v>3766</v>
      </c>
      <c r="G126" s="8887"/>
      <c r="H126" s="8869"/>
      <c r="I126" s="8825" t="s">
        <v>831</v>
      </c>
      <c r="J126" s="9378"/>
      <c r="K126" s="8841" t="s">
        <v>734</v>
      </c>
      <c r="L126" s="8042"/>
      <c r="M126" s="8241"/>
      <c r="N126" s="9243"/>
      <c r="O126" s="8995"/>
      <c r="P126" s="8015"/>
      <c r="Q126" s="7955" t="s">
        <v>807</v>
      </c>
      <c r="R126" s="8500"/>
      <c r="AX126" s="7872"/>
    </row>
    <row r="127" spans="1:50" s="7887" customFormat="1" ht="20.100000000000001" customHeight="1">
      <c r="A127" s="7872"/>
      <c r="B127" s="8510"/>
      <c r="C127" s="9367"/>
      <c r="D127" s="8821" t="s">
        <v>134</v>
      </c>
      <c r="E127" s="9363"/>
      <c r="F127" s="9321" t="s">
        <v>3766</v>
      </c>
      <c r="G127" s="8843"/>
      <c r="H127" s="8844"/>
      <c r="I127" s="8861" t="s">
        <v>135</v>
      </c>
      <c r="J127" s="8846"/>
      <c r="K127" s="8835" t="s">
        <v>734</v>
      </c>
      <c r="L127" s="7942">
        <v>80</v>
      </c>
      <c r="M127" s="8018">
        <v>50</v>
      </c>
      <c r="N127" s="9245">
        <v>66.7</v>
      </c>
      <c r="O127" s="8996"/>
      <c r="P127" s="7932"/>
      <c r="Q127" s="7932"/>
      <c r="R127" s="8509"/>
      <c r="AX127" s="7872"/>
    </row>
    <row r="128" spans="1:50" s="7887" customFormat="1" ht="20.100000000000001" customHeight="1">
      <c r="A128" s="7872"/>
      <c r="B128" s="8510"/>
      <c r="C128" s="9367"/>
      <c r="D128" s="8821" t="s">
        <v>137</v>
      </c>
      <c r="E128" s="9363"/>
      <c r="F128" s="9321" t="s">
        <v>3766</v>
      </c>
      <c r="G128" s="8843"/>
      <c r="H128" s="8844"/>
      <c r="I128" s="8861" t="s">
        <v>138</v>
      </c>
      <c r="J128" s="8846"/>
      <c r="K128" s="8835" t="s">
        <v>734</v>
      </c>
      <c r="L128" s="7942">
        <v>100</v>
      </c>
      <c r="M128" s="8018">
        <v>100</v>
      </c>
      <c r="N128" s="9313">
        <v>100</v>
      </c>
      <c r="O128" s="8996"/>
      <c r="P128" s="7932"/>
      <c r="Q128" s="7932"/>
      <c r="R128" s="8509"/>
      <c r="AX128" s="7872"/>
    </row>
    <row r="129" spans="1:50" s="7887" customFormat="1" ht="20.100000000000001" customHeight="1">
      <c r="A129" s="7872"/>
      <c r="B129" s="8510"/>
      <c r="C129" s="9367"/>
      <c r="D129" s="8821" t="s">
        <v>140</v>
      </c>
      <c r="E129" s="9363"/>
      <c r="F129" s="9321" t="s">
        <v>3766</v>
      </c>
      <c r="G129" s="8843"/>
      <c r="H129" s="8844"/>
      <c r="I129" s="8863" t="s">
        <v>141</v>
      </c>
      <c r="J129" s="8849"/>
      <c r="K129" s="8835" t="s">
        <v>734</v>
      </c>
      <c r="L129" s="7942">
        <v>100</v>
      </c>
      <c r="M129" s="8018">
        <v>100</v>
      </c>
      <c r="N129" s="9313">
        <v>100</v>
      </c>
      <c r="O129" s="8996"/>
      <c r="P129" s="7932"/>
      <c r="Q129" s="7932"/>
      <c r="R129" s="8509"/>
      <c r="AX129" s="7872"/>
    </row>
    <row r="130" spans="1:50" s="7887" customFormat="1" ht="20.100000000000001" customHeight="1">
      <c r="A130" s="7872"/>
      <c r="B130" s="8510"/>
      <c r="C130" s="9367"/>
      <c r="D130" s="8821" t="s">
        <v>143</v>
      </c>
      <c r="E130" s="9363"/>
      <c r="F130" s="9321" t="s">
        <v>3766</v>
      </c>
      <c r="G130" s="8843"/>
      <c r="H130" s="8844"/>
      <c r="I130" s="8863" t="s">
        <v>144</v>
      </c>
      <c r="J130" s="8849"/>
      <c r="K130" s="8835" t="s">
        <v>734</v>
      </c>
      <c r="L130" s="7942">
        <v>0</v>
      </c>
      <c r="M130" s="8018">
        <v>0</v>
      </c>
      <c r="N130" s="9313">
        <v>0</v>
      </c>
      <c r="O130" s="8996"/>
      <c r="P130" s="7932"/>
      <c r="Q130" s="7932"/>
      <c r="R130" s="8509"/>
      <c r="AX130" s="7872"/>
    </row>
    <row r="131" spans="1:50" s="7887" customFormat="1" ht="20.100000000000001" customHeight="1">
      <c r="A131" s="7872"/>
      <c r="B131" s="8510"/>
      <c r="C131" s="9367"/>
      <c r="D131" s="8821" t="s">
        <v>146</v>
      </c>
      <c r="E131" s="9363"/>
      <c r="F131" s="9321" t="s">
        <v>3766</v>
      </c>
      <c r="G131" s="8843"/>
      <c r="H131" s="8844"/>
      <c r="I131" s="8863" t="s">
        <v>147</v>
      </c>
      <c r="J131" s="8849"/>
      <c r="K131" s="8835" t="s">
        <v>734</v>
      </c>
      <c r="L131" s="7942">
        <v>28.6</v>
      </c>
      <c r="M131" s="8018">
        <v>28.6</v>
      </c>
      <c r="N131" s="9313">
        <v>28.6</v>
      </c>
      <c r="O131" s="8996"/>
      <c r="P131" s="7932"/>
      <c r="Q131" s="7932"/>
      <c r="R131" s="8509"/>
      <c r="AX131" s="7872"/>
    </row>
    <row r="132" spans="1:50" s="7887" customFormat="1" ht="20.100000000000001" customHeight="1">
      <c r="A132" s="7872"/>
      <c r="B132" s="8510"/>
      <c r="C132" s="9367"/>
      <c r="D132" s="8821" t="s">
        <v>149</v>
      </c>
      <c r="E132" s="9363"/>
      <c r="F132" s="9321" t="s">
        <v>3766</v>
      </c>
      <c r="G132" s="8843"/>
      <c r="H132" s="8844"/>
      <c r="I132" s="8863" t="s">
        <v>150</v>
      </c>
      <c r="J132" s="8849"/>
      <c r="K132" s="8835" t="s">
        <v>734</v>
      </c>
      <c r="L132" s="7942">
        <v>20</v>
      </c>
      <c r="M132" s="8217">
        <v>20</v>
      </c>
      <c r="N132" s="9301">
        <v>20</v>
      </c>
      <c r="O132" s="8996"/>
      <c r="P132" s="7932"/>
      <c r="Q132" s="7932"/>
      <c r="R132" s="8509"/>
      <c r="AX132" s="7872"/>
    </row>
    <row r="133" spans="1:50" s="7887" customFormat="1" ht="20.100000000000001" customHeight="1">
      <c r="A133" s="7872"/>
      <c r="B133" s="8510"/>
      <c r="C133" s="8537" t="s">
        <v>3551</v>
      </c>
      <c r="D133" s="8538"/>
      <c r="E133" s="8538"/>
      <c r="F133" s="8538"/>
      <c r="G133" s="8538"/>
      <c r="H133" s="8538"/>
      <c r="I133" s="8538"/>
      <c r="J133" s="8538"/>
      <c r="K133" s="8538"/>
      <c r="L133" s="8547"/>
      <c r="M133" s="8538"/>
      <c r="N133" s="9250"/>
      <c r="O133" s="9003"/>
      <c r="P133" s="8015" t="s">
        <v>770</v>
      </c>
      <c r="Q133" s="8015" t="s">
        <v>740</v>
      </c>
      <c r="R133" s="8500"/>
      <c r="AX133" s="7872"/>
    </row>
    <row r="134" spans="1:50" s="7887" customFormat="1" ht="19.899999999999999" customHeight="1">
      <c r="A134" s="7872"/>
      <c r="B134" s="8510"/>
      <c r="C134" s="7939"/>
      <c r="D134" s="8511" t="s">
        <v>781</v>
      </c>
      <c r="E134" s="8512"/>
      <c r="F134" s="7957" t="s">
        <v>732</v>
      </c>
      <c r="G134" s="8526"/>
      <c r="H134" s="8526"/>
      <c r="I134" s="8511" t="s">
        <v>782</v>
      </c>
      <c r="J134" s="8512"/>
      <c r="K134" s="7957" t="s">
        <v>734</v>
      </c>
      <c r="L134" s="8012">
        <f>IF(COUNTBLANK(L135:L140)&gt;0,"미취합법인有",SUM(L135:L140))</f>
        <v>4160</v>
      </c>
      <c r="M134" s="8013">
        <f>IF(COUNTBLANK(M135:M140)&gt;0,"미취합법인有",SUM(M135:M140))</f>
        <v>3942</v>
      </c>
      <c r="N134" s="9247">
        <f>IF(COUNTBLANK(N135:N140)&gt;0,"미취합법인有",SUM(N135:N140))</f>
        <v>3881</v>
      </c>
      <c r="O134" s="8995"/>
      <c r="P134" s="8015" t="s">
        <v>770</v>
      </c>
      <c r="Q134" s="8015" t="s">
        <v>740</v>
      </c>
      <c r="R134" s="8500"/>
      <c r="AX134" s="7872"/>
    </row>
    <row r="135" spans="1:50" s="7887" customFormat="1" ht="20.100000000000001" customHeight="1">
      <c r="A135" s="7872"/>
      <c r="B135" s="8510"/>
      <c r="C135" s="7939"/>
      <c r="D135" s="8016" t="s">
        <v>134</v>
      </c>
      <c r="E135" s="8017"/>
      <c r="F135" s="8090" t="s">
        <v>732</v>
      </c>
      <c r="G135" s="8514"/>
      <c r="H135" s="8514"/>
      <c r="I135" s="8506" t="s">
        <v>135</v>
      </c>
      <c r="J135" s="8508"/>
      <c r="K135" s="7953" t="s">
        <v>734</v>
      </c>
      <c r="L135" s="7935">
        <v>1135</v>
      </c>
      <c r="M135" s="7936">
        <v>1097</v>
      </c>
      <c r="N135" s="9233">
        <v>1208</v>
      </c>
      <c r="O135" s="8996"/>
      <c r="P135" s="7932"/>
      <c r="Q135" s="7932"/>
      <c r="R135" s="8509"/>
      <c r="AX135" s="7872"/>
    </row>
    <row r="136" spans="1:50" s="7887" customFormat="1" ht="20.100000000000001" customHeight="1">
      <c r="A136" s="7872"/>
      <c r="B136" s="8510"/>
      <c r="C136" s="7939"/>
      <c r="D136" s="8016" t="s">
        <v>137</v>
      </c>
      <c r="E136" s="8017"/>
      <c r="F136" s="8090" t="s">
        <v>732</v>
      </c>
      <c r="G136" s="8514"/>
      <c r="H136" s="8514"/>
      <c r="I136" s="8506" t="s">
        <v>138</v>
      </c>
      <c r="J136" s="8508"/>
      <c r="K136" s="7953" t="s">
        <v>734</v>
      </c>
      <c r="L136" s="7935">
        <v>183</v>
      </c>
      <c r="M136" s="7936">
        <v>231</v>
      </c>
      <c r="N136" s="9234">
        <v>249</v>
      </c>
      <c r="O136" s="8996"/>
      <c r="P136" s="7932"/>
      <c r="Q136" s="7932"/>
      <c r="R136" s="8509"/>
      <c r="AX136" s="7872"/>
    </row>
    <row r="137" spans="1:50" s="7887" customFormat="1" ht="20.100000000000001" customHeight="1">
      <c r="A137" s="7872"/>
      <c r="B137" s="8510"/>
      <c r="C137" s="7939"/>
      <c r="D137" s="8016" t="s">
        <v>140</v>
      </c>
      <c r="E137" s="8017"/>
      <c r="F137" s="8090" t="s">
        <v>732</v>
      </c>
      <c r="G137" s="8514"/>
      <c r="H137" s="8514"/>
      <c r="I137" s="8515" t="s">
        <v>141</v>
      </c>
      <c r="J137" s="8516"/>
      <c r="K137" s="7953" t="s">
        <v>734</v>
      </c>
      <c r="L137" s="7935">
        <v>1054</v>
      </c>
      <c r="M137" s="7936">
        <v>909</v>
      </c>
      <c r="N137" s="9234">
        <v>750</v>
      </c>
      <c r="O137" s="8996"/>
      <c r="P137" s="7932"/>
      <c r="Q137" s="7932"/>
      <c r="R137" s="8509"/>
      <c r="AX137" s="7872"/>
    </row>
    <row r="138" spans="1:50" s="7887" customFormat="1" ht="20.100000000000001" customHeight="1">
      <c r="A138" s="7872"/>
      <c r="B138" s="8510"/>
      <c r="C138" s="7939"/>
      <c r="D138" s="8016" t="s">
        <v>143</v>
      </c>
      <c r="E138" s="8017"/>
      <c r="F138" s="8090" t="s">
        <v>732</v>
      </c>
      <c r="G138" s="8514"/>
      <c r="H138" s="8514"/>
      <c r="I138" s="8515" t="s">
        <v>144</v>
      </c>
      <c r="J138" s="8516"/>
      <c r="K138" s="7953" t="s">
        <v>734</v>
      </c>
      <c r="L138" s="7935">
        <v>569</v>
      </c>
      <c r="M138" s="7936">
        <v>582</v>
      </c>
      <c r="N138" s="9234">
        <v>577</v>
      </c>
      <c r="O138" s="8996"/>
      <c r="P138" s="7932"/>
      <c r="Q138" s="7932"/>
      <c r="R138" s="8509"/>
      <c r="AX138" s="7872"/>
    </row>
    <row r="139" spans="1:50" s="7887" customFormat="1" ht="20.100000000000001" customHeight="1">
      <c r="A139" s="7872"/>
      <c r="B139" s="8510"/>
      <c r="C139" s="7939"/>
      <c r="D139" s="8016" t="s">
        <v>146</v>
      </c>
      <c r="E139" s="8017"/>
      <c r="F139" s="8090" t="s">
        <v>732</v>
      </c>
      <c r="G139" s="8514"/>
      <c r="H139" s="8514"/>
      <c r="I139" s="8515" t="s">
        <v>147</v>
      </c>
      <c r="J139" s="8516"/>
      <c r="K139" s="7953" t="s">
        <v>734</v>
      </c>
      <c r="L139" s="7935">
        <v>381</v>
      </c>
      <c r="M139" s="7936">
        <v>393</v>
      </c>
      <c r="N139" s="9234">
        <v>412</v>
      </c>
      <c r="O139" s="8996"/>
      <c r="P139" s="7932"/>
      <c r="Q139" s="7932"/>
      <c r="R139" s="8509"/>
      <c r="AX139" s="7872"/>
    </row>
    <row r="140" spans="1:50" s="7887" customFormat="1" ht="20.100000000000001" customHeight="1">
      <c r="A140" s="7872"/>
      <c r="B140" s="8510"/>
      <c r="C140" s="7939"/>
      <c r="D140" s="8016" t="s">
        <v>149</v>
      </c>
      <c r="E140" s="8017"/>
      <c r="F140" s="8090" t="s">
        <v>732</v>
      </c>
      <c r="G140" s="8514"/>
      <c r="H140" s="8514"/>
      <c r="I140" s="8515" t="s">
        <v>150</v>
      </c>
      <c r="J140" s="8516"/>
      <c r="K140" s="7953" t="s">
        <v>734</v>
      </c>
      <c r="L140" s="7935">
        <v>838</v>
      </c>
      <c r="M140" s="7936">
        <v>730</v>
      </c>
      <c r="N140" s="9234">
        <v>685</v>
      </c>
      <c r="O140" s="8996"/>
      <c r="P140" s="7932"/>
      <c r="Q140" s="7932"/>
      <c r="R140" s="8509"/>
      <c r="AX140" s="7872"/>
    </row>
    <row r="141" spans="1:50" s="7887" customFormat="1" ht="20.100000000000001" customHeight="1">
      <c r="A141" s="7872"/>
      <c r="B141" s="8510"/>
      <c r="C141" s="7939"/>
      <c r="D141" s="8511" t="s">
        <v>784</v>
      </c>
      <c r="E141" s="8512"/>
      <c r="F141" s="7957" t="s">
        <v>732</v>
      </c>
      <c r="G141" s="8526"/>
      <c r="H141" s="8526"/>
      <c r="I141" s="8511" t="s">
        <v>785</v>
      </c>
      <c r="J141" s="8512"/>
      <c r="K141" s="7957" t="s">
        <v>734</v>
      </c>
      <c r="L141" s="8012">
        <f>IF(COUNTBLANK(L142:L147)&gt;0,"미취합법인有",SUM(L142:L147))</f>
        <v>3449</v>
      </c>
      <c r="M141" s="8013">
        <f>IF(COUNTBLANK(M142:M147)&gt;0,"미취합법인有",SUM(M142:M147))</f>
        <v>5688</v>
      </c>
      <c r="N141" s="9247">
        <f>IF(COUNTBLANK(N142:N147)&gt;0,"미취합법인有",SUM(N142:N147))</f>
        <v>5754</v>
      </c>
      <c r="O141" s="8995"/>
      <c r="P141" s="8015" t="s">
        <v>770</v>
      </c>
      <c r="Q141" s="8015" t="s">
        <v>740</v>
      </c>
      <c r="R141" s="8500"/>
      <c r="AX141" s="7872"/>
    </row>
    <row r="142" spans="1:50" s="7887" customFormat="1" ht="20.100000000000001" customHeight="1">
      <c r="A142" s="7872"/>
      <c r="B142" s="8510"/>
      <c r="C142" s="7939"/>
      <c r="D142" s="8016" t="s">
        <v>134</v>
      </c>
      <c r="E142" s="8017"/>
      <c r="F142" s="8090" t="s">
        <v>732</v>
      </c>
      <c r="G142" s="8514"/>
      <c r="H142" s="8514"/>
      <c r="I142" s="8506" t="s">
        <v>135</v>
      </c>
      <c r="J142" s="8508"/>
      <c r="K142" s="7953" t="s">
        <v>734</v>
      </c>
      <c r="L142" s="7935">
        <v>2466</v>
      </c>
      <c r="M142" s="7936">
        <v>3405</v>
      </c>
      <c r="N142" s="9233">
        <v>3474</v>
      </c>
      <c r="O142" s="8996" t="s">
        <v>3700</v>
      </c>
      <c r="P142" s="7932"/>
      <c r="Q142" s="7932"/>
      <c r="R142" s="8509"/>
      <c r="AX142" s="7872"/>
    </row>
    <row r="143" spans="1:50" s="7887" customFormat="1" ht="20.100000000000001" customHeight="1">
      <c r="A143" s="7872"/>
      <c r="B143" s="8510"/>
      <c r="C143" s="7939"/>
      <c r="D143" s="8016" t="s">
        <v>137</v>
      </c>
      <c r="E143" s="8017"/>
      <c r="F143" s="8090" t="s">
        <v>732</v>
      </c>
      <c r="G143" s="8514"/>
      <c r="H143" s="8514"/>
      <c r="I143" s="8506" t="s">
        <v>138</v>
      </c>
      <c r="J143" s="8508"/>
      <c r="K143" s="7953" t="s">
        <v>734</v>
      </c>
      <c r="L143" s="7935">
        <v>0</v>
      </c>
      <c r="M143" s="7936">
        <v>0</v>
      </c>
      <c r="N143" s="9234">
        <v>0</v>
      </c>
      <c r="O143" s="8996" t="s">
        <v>525</v>
      </c>
      <c r="P143" s="7932"/>
      <c r="Q143" s="7932"/>
      <c r="R143" s="8509"/>
      <c r="AX143" s="7872"/>
    </row>
    <row r="144" spans="1:50" s="7887" customFormat="1" ht="20.100000000000001" customHeight="1">
      <c r="A144" s="7872"/>
      <c r="B144" s="8510"/>
      <c r="C144" s="7939"/>
      <c r="D144" s="8016" t="s">
        <v>140</v>
      </c>
      <c r="E144" s="8017"/>
      <c r="F144" s="8090" t="s">
        <v>732</v>
      </c>
      <c r="G144" s="8514"/>
      <c r="H144" s="8514"/>
      <c r="I144" s="8515" t="s">
        <v>141</v>
      </c>
      <c r="J144" s="8516"/>
      <c r="K144" s="7953" t="s">
        <v>734</v>
      </c>
      <c r="L144" s="7935">
        <v>0</v>
      </c>
      <c r="M144" s="7936">
        <v>0</v>
      </c>
      <c r="N144" s="9234">
        <v>0</v>
      </c>
      <c r="O144" s="8996" t="s">
        <v>525</v>
      </c>
      <c r="P144" s="7932"/>
      <c r="Q144" s="7932"/>
      <c r="R144" s="8509"/>
      <c r="AX144" s="7872"/>
    </row>
    <row r="145" spans="1:50" s="7887" customFormat="1" ht="20.100000000000001" customHeight="1">
      <c r="A145" s="7872"/>
      <c r="B145" s="8510"/>
      <c r="C145" s="7939"/>
      <c r="D145" s="8016" t="s">
        <v>143</v>
      </c>
      <c r="E145" s="8017"/>
      <c r="F145" s="8090" t="s">
        <v>732</v>
      </c>
      <c r="G145" s="8514"/>
      <c r="H145" s="8514"/>
      <c r="I145" s="8515" t="s">
        <v>144</v>
      </c>
      <c r="J145" s="8516"/>
      <c r="K145" s="7953" t="s">
        <v>734</v>
      </c>
      <c r="L145" s="7935">
        <v>541</v>
      </c>
      <c r="M145" s="7936">
        <v>1869</v>
      </c>
      <c r="N145" s="9234">
        <v>1906</v>
      </c>
      <c r="O145" s="8996" t="s">
        <v>3700</v>
      </c>
      <c r="P145" s="7932"/>
      <c r="Q145" s="7932"/>
      <c r="R145" s="8509"/>
      <c r="AX145" s="7872"/>
    </row>
    <row r="146" spans="1:50" s="7887" customFormat="1" ht="20.100000000000001" customHeight="1">
      <c r="A146" s="7872"/>
      <c r="B146" s="8510"/>
      <c r="C146" s="7939"/>
      <c r="D146" s="8016" t="s">
        <v>146</v>
      </c>
      <c r="E146" s="8017"/>
      <c r="F146" s="8090" t="s">
        <v>732</v>
      </c>
      <c r="G146" s="8514"/>
      <c r="H146" s="8514"/>
      <c r="I146" s="8515" t="s">
        <v>147</v>
      </c>
      <c r="J146" s="8516"/>
      <c r="K146" s="7953" t="s">
        <v>734</v>
      </c>
      <c r="L146" s="7935">
        <v>0</v>
      </c>
      <c r="M146" s="7936">
        <v>0</v>
      </c>
      <c r="N146" s="9234">
        <v>0</v>
      </c>
      <c r="O146" s="8996" t="s">
        <v>525</v>
      </c>
      <c r="P146" s="7932"/>
      <c r="Q146" s="7932"/>
      <c r="R146" s="8509"/>
      <c r="AX146" s="7872"/>
    </row>
    <row r="147" spans="1:50" s="7887" customFormat="1" ht="20.100000000000001" customHeight="1" thickBot="1">
      <c r="A147" s="7872"/>
      <c r="B147" s="8510"/>
      <c r="C147" s="7939"/>
      <c r="D147" s="8016" t="s">
        <v>149</v>
      </c>
      <c r="E147" s="8017"/>
      <c r="F147" s="8090" t="s">
        <v>732</v>
      </c>
      <c r="G147" s="8514"/>
      <c r="H147" s="8514"/>
      <c r="I147" s="8515" t="s">
        <v>150</v>
      </c>
      <c r="J147" s="8516"/>
      <c r="K147" s="7953" t="s">
        <v>734</v>
      </c>
      <c r="L147" s="7935">
        <v>442</v>
      </c>
      <c r="M147" s="7936">
        <v>414</v>
      </c>
      <c r="N147" s="9234">
        <v>374</v>
      </c>
      <c r="O147" s="8996" t="s">
        <v>3701</v>
      </c>
      <c r="P147" s="7932"/>
      <c r="Q147" s="7932"/>
      <c r="R147" s="8509"/>
      <c r="AX147" s="7872"/>
    </row>
    <row r="148" spans="1:50" s="7887" customFormat="1" ht="21.75" thickBot="1">
      <c r="A148" s="7872"/>
      <c r="B148" s="8073" t="s">
        <v>877</v>
      </c>
      <c r="C148" s="8074"/>
      <c r="D148" s="8074"/>
      <c r="E148" s="8074"/>
      <c r="F148" s="8075"/>
      <c r="G148" s="8495" t="s">
        <v>878</v>
      </c>
      <c r="H148" s="8074"/>
      <c r="I148" s="8074"/>
      <c r="J148" s="8074"/>
      <c r="K148" s="8075"/>
      <c r="L148" s="8078"/>
      <c r="M148" s="8079"/>
      <c r="N148" s="9251"/>
      <c r="O148" s="9004"/>
      <c r="P148" s="8984"/>
      <c r="Q148" s="8080"/>
      <c r="R148" s="8496"/>
      <c r="AX148" s="7872"/>
    </row>
    <row r="149" spans="1:50" s="7887" customFormat="1" ht="20.100000000000001" customHeight="1">
      <c r="A149" s="7872"/>
      <c r="B149" s="8497"/>
      <c r="C149" s="8831" t="s">
        <v>879</v>
      </c>
      <c r="D149" s="8549"/>
      <c r="E149" s="8512"/>
      <c r="F149" s="8120" t="s">
        <v>732</v>
      </c>
      <c r="G149" s="8513"/>
      <c r="H149" s="8550" t="s">
        <v>880</v>
      </c>
      <c r="I149" s="8498"/>
      <c r="J149" s="8551"/>
      <c r="K149" s="8121" t="s">
        <v>734</v>
      </c>
      <c r="L149" s="8012">
        <f>IF(COUNTBLANK(L150:L155)&gt;0,"미취합법인有",SUM(L150:L155))</f>
        <v>6332</v>
      </c>
      <c r="M149" s="8013">
        <f>IF(COUNTBLANK(M150:M155)&gt;0,"미취합법인有",SUM(M150:M155))</f>
        <v>9438</v>
      </c>
      <c r="N149" s="9247">
        <f>IF(COUNTBLANK(N150:N155)&gt;0,"미취합법인有",SUM(N150:N155))</f>
        <v>9059</v>
      </c>
      <c r="O149" s="9204"/>
      <c r="P149" s="8015" t="s">
        <v>883</v>
      </c>
      <c r="Q149" s="8015" t="s">
        <v>884</v>
      </c>
      <c r="R149" s="8500"/>
      <c r="AX149" s="7872"/>
    </row>
    <row r="150" spans="1:50" s="7887" customFormat="1" ht="20.100000000000001" customHeight="1">
      <c r="A150" s="7872"/>
      <c r="B150" s="8510"/>
      <c r="C150" s="8502" t="s">
        <v>134</v>
      </c>
      <c r="D150" s="8503"/>
      <c r="E150" s="8504"/>
      <c r="F150" s="8090" t="s">
        <v>732</v>
      </c>
      <c r="G150" s="8514"/>
      <c r="H150" s="8506" t="s">
        <v>135</v>
      </c>
      <c r="I150" s="8507"/>
      <c r="J150" s="8508"/>
      <c r="K150" s="8122" t="s">
        <v>734</v>
      </c>
      <c r="L150" s="7935">
        <v>4117</v>
      </c>
      <c r="M150" s="8123">
        <v>5824</v>
      </c>
      <c r="N150" s="9252">
        <v>5958</v>
      </c>
      <c r="O150" s="9005" t="s">
        <v>3544</v>
      </c>
      <c r="P150" s="7932"/>
      <c r="Q150" s="7932"/>
      <c r="R150" s="8509"/>
      <c r="AX150" s="7872"/>
    </row>
    <row r="151" spans="1:50" s="7887" customFormat="1" ht="20.100000000000001" customHeight="1">
      <c r="A151" s="7872"/>
      <c r="B151" s="8510"/>
      <c r="C151" s="8502" t="s">
        <v>137</v>
      </c>
      <c r="D151" s="8503"/>
      <c r="E151" s="8504"/>
      <c r="F151" s="8090" t="s">
        <v>732</v>
      </c>
      <c r="G151" s="8514"/>
      <c r="H151" s="8506" t="s">
        <v>138</v>
      </c>
      <c r="I151" s="8507"/>
      <c r="J151" s="8508"/>
      <c r="K151" s="8124" t="s">
        <v>734</v>
      </c>
      <c r="L151" s="7935">
        <v>28</v>
      </c>
      <c r="M151" s="8123">
        <v>92</v>
      </c>
      <c r="N151" s="9252">
        <v>63</v>
      </c>
      <c r="O151" s="9005" t="s">
        <v>3560</v>
      </c>
      <c r="P151" s="7932"/>
      <c r="Q151" s="7932"/>
      <c r="R151" s="8509"/>
      <c r="AX151" s="7872"/>
    </row>
    <row r="152" spans="1:50" s="7887" customFormat="1" ht="20.100000000000001" customHeight="1">
      <c r="A152" s="7872"/>
      <c r="B152" s="8510"/>
      <c r="C152" s="8502" t="s">
        <v>140</v>
      </c>
      <c r="D152" s="8503"/>
      <c r="E152" s="8504"/>
      <c r="F152" s="8090" t="s">
        <v>732</v>
      </c>
      <c r="G152" s="8514"/>
      <c r="H152" s="8506" t="s">
        <v>141</v>
      </c>
      <c r="I152" s="8507"/>
      <c r="J152" s="8508"/>
      <c r="K152" s="8124" t="s">
        <v>734</v>
      </c>
      <c r="L152" s="7935">
        <v>173</v>
      </c>
      <c r="M152" s="8123">
        <v>107</v>
      </c>
      <c r="N152" s="9252">
        <v>91</v>
      </c>
      <c r="O152" s="9005" t="s">
        <v>3560</v>
      </c>
      <c r="P152" s="7932"/>
      <c r="Q152" s="7932"/>
      <c r="R152" s="8509"/>
      <c r="AX152" s="7872"/>
    </row>
    <row r="153" spans="1:50" s="7887" customFormat="1" ht="20.100000000000001" customHeight="1">
      <c r="A153" s="7872"/>
      <c r="B153" s="8510"/>
      <c r="C153" s="8502" t="s">
        <v>143</v>
      </c>
      <c r="D153" s="8503"/>
      <c r="E153" s="8504"/>
      <c r="F153" s="8090" t="s">
        <v>732</v>
      </c>
      <c r="G153" s="8514"/>
      <c r="H153" s="8506" t="s">
        <v>144</v>
      </c>
      <c r="I153" s="8507"/>
      <c r="J153" s="8508"/>
      <c r="K153" s="8124" t="s">
        <v>734</v>
      </c>
      <c r="L153" s="7935">
        <v>1246</v>
      </c>
      <c r="M153" s="8123">
        <v>2548</v>
      </c>
      <c r="N153" s="9252">
        <v>2016</v>
      </c>
      <c r="O153" s="9005" t="s">
        <v>3544</v>
      </c>
      <c r="P153" s="7932"/>
      <c r="Q153" s="7932"/>
      <c r="R153" s="8509"/>
      <c r="AX153" s="7872"/>
    </row>
    <row r="154" spans="1:50" s="7887" customFormat="1" ht="20.100000000000001" customHeight="1">
      <c r="A154" s="7872"/>
      <c r="B154" s="8510"/>
      <c r="C154" s="8502" t="s">
        <v>146</v>
      </c>
      <c r="D154" s="8503"/>
      <c r="E154" s="8504"/>
      <c r="F154" s="8090" t="s">
        <v>732</v>
      </c>
      <c r="G154" s="8514"/>
      <c r="H154" s="8506" t="s">
        <v>147</v>
      </c>
      <c r="I154" s="8507"/>
      <c r="J154" s="8508"/>
      <c r="K154" s="8124" t="s">
        <v>734</v>
      </c>
      <c r="L154" s="7935">
        <v>16</v>
      </c>
      <c r="M154" s="8123">
        <v>86</v>
      </c>
      <c r="N154" s="9252">
        <v>95</v>
      </c>
      <c r="O154" s="9005" t="s">
        <v>3545</v>
      </c>
      <c r="P154" s="7932"/>
      <c r="Q154" s="7932"/>
      <c r="R154" s="8509"/>
      <c r="AX154" s="7872"/>
    </row>
    <row r="155" spans="1:50" s="7887" customFormat="1" ht="20.100000000000001" customHeight="1">
      <c r="A155" s="7872"/>
      <c r="B155" s="8510"/>
      <c r="C155" s="8502" t="s">
        <v>149</v>
      </c>
      <c r="D155" s="8503"/>
      <c r="E155" s="8504"/>
      <c r="F155" s="8090" t="s">
        <v>732</v>
      </c>
      <c r="G155" s="8514"/>
      <c r="H155" s="8506" t="s">
        <v>150</v>
      </c>
      <c r="I155" s="8507"/>
      <c r="J155" s="8508"/>
      <c r="K155" s="8124" t="s">
        <v>734</v>
      </c>
      <c r="L155" s="7935">
        <v>752</v>
      </c>
      <c r="M155" s="8123">
        <v>781</v>
      </c>
      <c r="N155" s="9252">
        <v>836</v>
      </c>
      <c r="O155" s="9005" t="s">
        <v>3544</v>
      </c>
      <c r="P155" s="7932"/>
      <c r="Q155" s="7932"/>
      <c r="R155" s="8509"/>
      <c r="AX155" s="7872"/>
    </row>
    <row r="156" spans="1:50" s="7887" customFormat="1" ht="20.100000000000001" customHeight="1">
      <c r="A156" s="7872"/>
      <c r="B156" s="8510"/>
      <c r="C156" s="8818" t="s">
        <v>3763</v>
      </c>
      <c r="D156" s="8518"/>
      <c r="E156" s="8518"/>
      <c r="F156" s="8518"/>
      <c r="G156" s="8518"/>
      <c r="H156" s="8518" t="s">
        <v>898</v>
      </c>
      <c r="I156" s="8518"/>
      <c r="J156" s="8518"/>
      <c r="K156" s="8518"/>
      <c r="L156" s="8552"/>
      <c r="M156" s="8553"/>
      <c r="N156" s="9254"/>
      <c r="O156" s="9007"/>
      <c r="P156" s="8015"/>
      <c r="Q156" s="8015"/>
      <c r="R156" s="8500"/>
      <c r="AX156" s="7872"/>
    </row>
    <row r="157" spans="1:50" s="7887" customFormat="1" ht="20.100000000000001" customHeight="1">
      <c r="A157" s="7872"/>
      <c r="B157" s="8510"/>
      <c r="C157" s="8017"/>
      <c r="D157" s="8511" t="s">
        <v>885</v>
      </c>
      <c r="E157" s="8512"/>
      <c r="F157" s="8089" t="s">
        <v>732</v>
      </c>
      <c r="G157" s="8513"/>
      <c r="H157" s="8513"/>
      <c r="I157" s="8511" t="s">
        <v>886</v>
      </c>
      <c r="J157" s="8512"/>
      <c r="K157" s="8089" t="s">
        <v>734</v>
      </c>
      <c r="L157" s="8012">
        <f>IF(COUNTBLANK(L158:L163)&gt;0,"미취합법인有",SUM(L158:L163))</f>
        <v>2656</v>
      </c>
      <c r="M157" s="8013">
        <f>IF(COUNTBLANK(M158:M163)&gt;0,"미취합법인有",SUM(M158:M163))</f>
        <v>4059</v>
      </c>
      <c r="N157" s="9247">
        <f>IF(COUNTBLANK(N158:N163)&gt;0,"미취합법인有",SUM(N158:N163))</f>
        <v>3803</v>
      </c>
      <c r="O157" s="8995"/>
      <c r="P157" s="8015" t="s">
        <v>883</v>
      </c>
      <c r="Q157" s="8015" t="s">
        <v>884</v>
      </c>
      <c r="R157" s="8500"/>
      <c r="AX157" s="7872"/>
    </row>
    <row r="158" spans="1:50" s="7887" customFormat="1" ht="20.100000000000001" customHeight="1">
      <c r="A158" s="7872"/>
      <c r="B158" s="8510"/>
      <c r="C158" s="7939"/>
      <c r="D158" s="8016" t="s">
        <v>134</v>
      </c>
      <c r="E158" s="8017"/>
      <c r="F158" s="8090" t="s">
        <v>732</v>
      </c>
      <c r="G158" s="8514"/>
      <c r="H158" s="8514"/>
      <c r="I158" s="8506" t="s">
        <v>135</v>
      </c>
      <c r="J158" s="8508"/>
      <c r="K158" s="8124" t="s">
        <v>734</v>
      </c>
      <c r="L158" s="7935">
        <v>1860</v>
      </c>
      <c r="M158" s="7936">
        <v>3100</v>
      </c>
      <c r="N158" s="9249">
        <v>2845</v>
      </c>
      <c r="O158" s="8994"/>
      <c r="P158" s="7932"/>
      <c r="Q158" s="7932"/>
      <c r="R158" s="8509"/>
      <c r="AX158" s="7872"/>
    </row>
    <row r="159" spans="1:50" s="7887" customFormat="1" ht="20.100000000000001" customHeight="1">
      <c r="A159" s="7872"/>
      <c r="B159" s="8510"/>
      <c r="C159" s="7939"/>
      <c r="D159" s="8016" t="s">
        <v>137</v>
      </c>
      <c r="E159" s="8017"/>
      <c r="F159" s="8090" t="s">
        <v>732</v>
      </c>
      <c r="G159" s="8514"/>
      <c r="H159" s="8514"/>
      <c r="I159" s="8506" t="s">
        <v>138</v>
      </c>
      <c r="J159" s="8508"/>
      <c r="K159" s="8124" t="s">
        <v>734</v>
      </c>
      <c r="L159" s="7935">
        <v>28</v>
      </c>
      <c r="M159" s="7936">
        <v>92</v>
      </c>
      <c r="N159" s="9253">
        <v>26</v>
      </c>
      <c r="O159" s="8994"/>
      <c r="P159" s="7932"/>
      <c r="Q159" s="7932"/>
      <c r="R159" s="8509"/>
      <c r="AX159" s="7872"/>
    </row>
    <row r="160" spans="1:50" s="7887" customFormat="1" ht="20.100000000000001" customHeight="1">
      <c r="A160" s="7872"/>
      <c r="B160" s="8510"/>
      <c r="C160" s="7939"/>
      <c r="D160" s="8016" t="s">
        <v>140</v>
      </c>
      <c r="E160" s="8017"/>
      <c r="F160" s="8090" t="s">
        <v>732</v>
      </c>
      <c r="G160" s="8514"/>
      <c r="H160" s="8514"/>
      <c r="I160" s="8515" t="s">
        <v>141</v>
      </c>
      <c r="J160" s="8516"/>
      <c r="K160" s="8124" t="s">
        <v>734</v>
      </c>
      <c r="L160" s="7935">
        <v>0</v>
      </c>
      <c r="M160" s="8001">
        <v>0</v>
      </c>
      <c r="N160" s="9253">
        <v>1</v>
      </c>
      <c r="O160" s="8994"/>
      <c r="P160" s="7932"/>
      <c r="Q160" s="7932"/>
      <c r="R160" s="8509"/>
      <c r="AX160" s="7872"/>
    </row>
    <row r="161" spans="1:50" s="7887" customFormat="1" ht="20.100000000000001" customHeight="1">
      <c r="A161" s="7872"/>
      <c r="B161" s="8510"/>
      <c r="C161" s="7939"/>
      <c r="D161" s="8016" t="s">
        <v>143</v>
      </c>
      <c r="E161" s="8017"/>
      <c r="F161" s="8090" t="s">
        <v>732</v>
      </c>
      <c r="G161" s="8514"/>
      <c r="H161" s="8514"/>
      <c r="I161" s="8515" t="s">
        <v>144</v>
      </c>
      <c r="J161" s="8516"/>
      <c r="K161" s="8124" t="s">
        <v>734</v>
      </c>
      <c r="L161" s="7935">
        <v>0</v>
      </c>
      <c r="M161" s="7936">
        <v>0</v>
      </c>
      <c r="N161" s="9253">
        <v>0</v>
      </c>
      <c r="O161" s="8994"/>
      <c r="P161" s="7932"/>
      <c r="Q161" s="7932"/>
      <c r="R161" s="8509"/>
      <c r="AX161" s="7872"/>
    </row>
    <row r="162" spans="1:50" s="7887" customFormat="1" ht="20.100000000000001" customHeight="1">
      <c r="A162" s="7872"/>
      <c r="B162" s="8510"/>
      <c r="C162" s="7939"/>
      <c r="D162" s="8016" t="s">
        <v>146</v>
      </c>
      <c r="E162" s="8017"/>
      <c r="F162" s="8090" t="s">
        <v>732</v>
      </c>
      <c r="G162" s="8514"/>
      <c r="H162" s="8514"/>
      <c r="I162" s="8515" t="s">
        <v>147</v>
      </c>
      <c r="J162" s="8516"/>
      <c r="K162" s="8124" t="s">
        <v>734</v>
      </c>
      <c r="L162" s="7935">
        <v>16</v>
      </c>
      <c r="M162" s="7936">
        <v>86</v>
      </c>
      <c r="N162" s="9253">
        <v>95</v>
      </c>
      <c r="O162" s="8994"/>
      <c r="P162" s="7932"/>
      <c r="Q162" s="7932"/>
      <c r="R162" s="8509"/>
      <c r="AX162" s="7872"/>
    </row>
    <row r="163" spans="1:50" s="7887" customFormat="1" ht="20.100000000000001" customHeight="1">
      <c r="A163" s="7872"/>
      <c r="B163" s="8510"/>
      <c r="C163" s="7939"/>
      <c r="D163" s="8016" t="s">
        <v>149</v>
      </c>
      <c r="E163" s="8017"/>
      <c r="F163" s="8090" t="s">
        <v>732</v>
      </c>
      <c r="G163" s="8514"/>
      <c r="H163" s="8514"/>
      <c r="I163" s="8515" t="s">
        <v>150</v>
      </c>
      <c r="J163" s="8516"/>
      <c r="K163" s="8124" t="s">
        <v>734</v>
      </c>
      <c r="L163" s="7935">
        <v>752</v>
      </c>
      <c r="M163" s="7936">
        <v>781</v>
      </c>
      <c r="N163" s="9253">
        <v>836</v>
      </c>
      <c r="O163" s="8996" t="s">
        <v>3542</v>
      </c>
      <c r="P163" s="7932"/>
      <c r="Q163" s="7932"/>
      <c r="R163" s="8509"/>
      <c r="AX163" s="7872"/>
    </row>
    <row r="164" spans="1:50" s="7887" customFormat="1" ht="20.100000000000001" customHeight="1">
      <c r="A164" s="7872"/>
      <c r="B164" s="8510"/>
      <c r="C164" s="8017"/>
      <c r="D164" s="8511" t="s">
        <v>889</v>
      </c>
      <c r="E164" s="8512"/>
      <c r="F164" s="8089" t="s">
        <v>732</v>
      </c>
      <c r="G164" s="8513"/>
      <c r="H164" s="8513"/>
      <c r="I164" s="8511" t="s">
        <v>890</v>
      </c>
      <c r="J164" s="8512"/>
      <c r="K164" s="8089" t="s">
        <v>734</v>
      </c>
      <c r="L164" s="8012">
        <f>IF(COUNTBLANK(L165:L170)&gt;0,"미취합법인有",SUM(L165:L170))</f>
        <v>3676</v>
      </c>
      <c r="M164" s="8013">
        <f>IF(COUNTBLANK(M165:M170)&gt;0,"미취합법인有",SUM(M165:M170))</f>
        <v>5379</v>
      </c>
      <c r="N164" s="9247">
        <f>IF(COUNTBLANK(N165:N170)&gt;0,"미취합법인有",SUM(N165:N170))</f>
        <v>5256</v>
      </c>
      <c r="O164" s="9002"/>
      <c r="P164" s="8015" t="s">
        <v>883</v>
      </c>
      <c r="Q164" s="8015" t="s">
        <v>884</v>
      </c>
      <c r="R164" s="8500"/>
      <c r="AX164" s="7872"/>
    </row>
    <row r="165" spans="1:50" s="7887" customFormat="1" ht="20.100000000000001" customHeight="1">
      <c r="A165" s="7872"/>
      <c r="B165" s="8510"/>
      <c r="C165" s="7939"/>
      <c r="D165" s="8016" t="s">
        <v>134</v>
      </c>
      <c r="E165" s="8017"/>
      <c r="F165" s="8090" t="s">
        <v>732</v>
      </c>
      <c r="G165" s="8514"/>
      <c r="H165" s="8514"/>
      <c r="I165" s="8506" t="s">
        <v>135</v>
      </c>
      <c r="J165" s="8508"/>
      <c r="K165" s="8124" t="s">
        <v>734</v>
      </c>
      <c r="L165" s="7935">
        <v>2257</v>
      </c>
      <c r="M165" s="7936">
        <v>2724</v>
      </c>
      <c r="N165" s="9249">
        <v>3113</v>
      </c>
      <c r="O165" s="9006"/>
      <c r="P165" s="7932"/>
      <c r="Q165" s="7932"/>
      <c r="R165" s="8509"/>
      <c r="AX165" s="7872"/>
    </row>
    <row r="166" spans="1:50" s="7887" customFormat="1" ht="20.100000000000001" customHeight="1">
      <c r="A166" s="7872"/>
      <c r="B166" s="8510"/>
      <c r="C166" s="7939"/>
      <c r="D166" s="8016" t="s">
        <v>137</v>
      </c>
      <c r="E166" s="8017"/>
      <c r="F166" s="8090" t="s">
        <v>732</v>
      </c>
      <c r="G166" s="8514"/>
      <c r="H166" s="8514"/>
      <c r="I166" s="8506" t="s">
        <v>138</v>
      </c>
      <c r="J166" s="8508"/>
      <c r="K166" s="8124" t="s">
        <v>734</v>
      </c>
      <c r="L166" s="7935">
        <v>0</v>
      </c>
      <c r="M166" s="7936">
        <v>0</v>
      </c>
      <c r="N166" s="9253">
        <v>37</v>
      </c>
      <c r="O166" s="9006"/>
      <c r="P166" s="7932"/>
      <c r="Q166" s="7932"/>
      <c r="R166" s="8509"/>
      <c r="AX166" s="7872"/>
    </row>
    <row r="167" spans="1:50" s="7887" customFormat="1" ht="20.100000000000001" customHeight="1">
      <c r="A167" s="7872"/>
      <c r="B167" s="8510"/>
      <c r="C167" s="7939"/>
      <c r="D167" s="8016" t="s">
        <v>140</v>
      </c>
      <c r="E167" s="8017"/>
      <c r="F167" s="8090" t="s">
        <v>732</v>
      </c>
      <c r="G167" s="8514"/>
      <c r="H167" s="8514"/>
      <c r="I167" s="8515" t="s">
        <v>141</v>
      </c>
      <c r="J167" s="8516"/>
      <c r="K167" s="8124" t="s">
        <v>734</v>
      </c>
      <c r="L167" s="7935">
        <v>173</v>
      </c>
      <c r="M167" s="8001">
        <v>107</v>
      </c>
      <c r="N167" s="9253">
        <v>90</v>
      </c>
      <c r="O167" s="9006"/>
      <c r="P167" s="7932"/>
      <c r="Q167" s="7932"/>
      <c r="R167" s="8509"/>
      <c r="AX167" s="7872"/>
    </row>
    <row r="168" spans="1:50" s="7887" customFormat="1" ht="20.100000000000001" customHeight="1">
      <c r="A168" s="7872"/>
      <c r="B168" s="8510"/>
      <c r="C168" s="7939"/>
      <c r="D168" s="8016" t="s">
        <v>143</v>
      </c>
      <c r="E168" s="8017"/>
      <c r="F168" s="8090" t="s">
        <v>732</v>
      </c>
      <c r="G168" s="8514"/>
      <c r="H168" s="8514"/>
      <c r="I168" s="8515" t="s">
        <v>144</v>
      </c>
      <c r="J168" s="8516"/>
      <c r="K168" s="8124" t="s">
        <v>734</v>
      </c>
      <c r="L168" s="7935">
        <v>1246</v>
      </c>
      <c r="M168" s="7936">
        <v>2548</v>
      </c>
      <c r="N168" s="9253">
        <v>2016</v>
      </c>
      <c r="O168" s="9006"/>
      <c r="P168" s="7932"/>
      <c r="Q168" s="7932"/>
      <c r="R168" s="8509"/>
      <c r="AX168" s="7872"/>
    </row>
    <row r="169" spans="1:50" s="7887" customFormat="1" ht="20.100000000000001" customHeight="1">
      <c r="A169" s="7872"/>
      <c r="B169" s="8510"/>
      <c r="C169" s="7939"/>
      <c r="D169" s="8016" t="s">
        <v>146</v>
      </c>
      <c r="E169" s="8017"/>
      <c r="F169" s="8090" t="s">
        <v>732</v>
      </c>
      <c r="G169" s="8514"/>
      <c r="H169" s="8514"/>
      <c r="I169" s="8515" t="s">
        <v>147</v>
      </c>
      <c r="J169" s="8516"/>
      <c r="K169" s="8124" t="s">
        <v>734</v>
      </c>
      <c r="L169" s="7935">
        <v>0</v>
      </c>
      <c r="M169" s="7936">
        <v>0</v>
      </c>
      <c r="N169" s="9253">
        <v>0</v>
      </c>
      <c r="O169" s="9006"/>
      <c r="P169" s="7932"/>
      <c r="Q169" s="7932"/>
      <c r="R169" s="8509"/>
      <c r="AX169" s="7872"/>
    </row>
    <row r="170" spans="1:50" s="7887" customFormat="1" ht="20.100000000000001" customHeight="1">
      <c r="A170" s="7872"/>
      <c r="B170" s="8510"/>
      <c r="C170" s="7939"/>
      <c r="D170" s="8016" t="s">
        <v>149</v>
      </c>
      <c r="E170" s="8017"/>
      <c r="F170" s="8090" t="s">
        <v>732</v>
      </c>
      <c r="G170" s="8514"/>
      <c r="H170" s="8514"/>
      <c r="I170" s="8515" t="s">
        <v>150</v>
      </c>
      <c r="J170" s="8516"/>
      <c r="K170" s="8124" t="s">
        <v>734</v>
      </c>
      <c r="L170" s="7935">
        <v>0</v>
      </c>
      <c r="M170" s="7936">
        <v>0</v>
      </c>
      <c r="N170" s="9253">
        <v>0</v>
      </c>
      <c r="O170" s="9006"/>
      <c r="P170" s="7932"/>
      <c r="Q170" s="7932"/>
      <c r="R170" s="8509"/>
      <c r="AX170" s="7872"/>
    </row>
    <row r="171" spans="1:50" s="7930" customFormat="1" ht="20.100000000000001" customHeight="1">
      <c r="A171" s="7872"/>
      <c r="B171" s="8510"/>
      <c r="C171" s="8818" t="s">
        <v>3615</v>
      </c>
      <c r="D171" s="8518"/>
      <c r="E171" s="8518"/>
      <c r="F171" s="8518"/>
      <c r="G171" s="8518"/>
      <c r="H171" s="8518" t="s">
        <v>898</v>
      </c>
      <c r="I171" s="8518"/>
      <c r="J171" s="8518"/>
      <c r="K171" s="8518"/>
      <c r="L171" s="8552"/>
      <c r="M171" s="8553"/>
      <c r="N171" s="9254"/>
      <c r="O171" s="9007"/>
      <c r="P171" s="8015" t="s">
        <v>899</v>
      </c>
      <c r="Q171" s="8015" t="s">
        <v>884</v>
      </c>
      <c r="R171" s="8500"/>
      <c r="S171" s="7887"/>
      <c r="T171" s="7887"/>
      <c r="U171" s="7887"/>
      <c r="V171" s="7887"/>
      <c r="W171" s="7887"/>
      <c r="X171" s="7887"/>
      <c r="Y171" s="7887"/>
      <c r="Z171" s="7887"/>
      <c r="AA171" s="7887"/>
      <c r="AB171" s="7887"/>
      <c r="AC171" s="7887"/>
      <c r="AD171" s="7887"/>
      <c r="AE171" s="7887"/>
      <c r="AF171" s="7887"/>
      <c r="AG171" s="7887"/>
      <c r="AH171" s="7887"/>
      <c r="AI171" s="7887"/>
      <c r="AJ171" s="7887"/>
      <c r="AK171" s="7887"/>
      <c r="AL171" s="7887"/>
      <c r="AM171" s="7887"/>
      <c r="AN171" s="7887"/>
      <c r="AO171" s="7887"/>
      <c r="AP171" s="7887"/>
      <c r="AQ171" s="7887"/>
      <c r="AR171" s="7887"/>
      <c r="AS171" s="7887"/>
      <c r="AT171" s="7887"/>
      <c r="AU171" s="7887"/>
      <c r="AV171" s="7887"/>
      <c r="AW171" s="7887"/>
      <c r="AX171" s="7872"/>
    </row>
    <row r="172" spans="1:50" s="7930" customFormat="1" ht="20.100000000000001" customHeight="1">
      <c r="A172" s="7872"/>
      <c r="B172" s="8510"/>
      <c r="C172" s="7939"/>
      <c r="D172" s="8524" t="s">
        <v>823</v>
      </c>
      <c r="E172" s="8525"/>
      <c r="F172" s="8089" t="s">
        <v>732</v>
      </c>
      <c r="G172" s="8513"/>
      <c r="H172" s="8513"/>
      <c r="I172" s="8524" t="s">
        <v>900</v>
      </c>
      <c r="J172" s="8525"/>
      <c r="K172" s="8089" t="s">
        <v>734</v>
      </c>
      <c r="L172" s="8012">
        <f>IF(COUNTBLANK(L173:L178)&gt;0,"미취합법인有",SUM(L173:L178))</f>
        <v>5996</v>
      </c>
      <c r="M172" s="8013">
        <f>IF(COUNTBLANK(M173:M178)&gt;0,"미취합법인有",SUM(M173:M178))</f>
        <v>9051</v>
      </c>
      <c r="N172" s="9247">
        <f>IF(COUNTBLANK(N173:N178)&gt;0,"미취합법인有",SUM(N173:N178))</f>
        <v>8683</v>
      </c>
      <c r="O172" s="9002"/>
      <c r="P172" s="8015" t="s">
        <v>899</v>
      </c>
      <c r="Q172" s="8015" t="s">
        <v>884</v>
      </c>
      <c r="R172" s="8500"/>
      <c r="S172" s="7887"/>
      <c r="T172" s="7887"/>
      <c r="U172" s="7887"/>
      <c r="V172" s="7887"/>
      <c r="W172" s="7887"/>
      <c r="X172" s="7887"/>
      <c r="Y172" s="7887"/>
      <c r="Z172" s="7887"/>
      <c r="AA172" s="7887"/>
      <c r="AB172" s="7887"/>
      <c r="AC172" s="7887"/>
      <c r="AD172" s="7887"/>
      <c r="AE172" s="7887"/>
      <c r="AF172" s="7887"/>
      <c r="AG172" s="7887"/>
      <c r="AH172" s="7887"/>
      <c r="AI172" s="7887"/>
      <c r="AJ172" s="7887"/>
      <c r="AK172" s="7887"/>
      <c r="AL172" s="7887"/>
      <c r="AM172" s="7887"/>
      <c r="AN172" s="7887"/>
      <c r="AO172" s="7887"/>
      <c r="AP172" s="7887"/>
      <c r="AQ172" s="7887"/>
      <c r="AR172" s="7887"/>
      <c r="AS172" s="7887"/>
      <c r="AT172" s="7887"/>
      <c r="AU172" s="7887"/>
      <c r="AV172" s="7887"/>
      <c r="AW172" s="7887"/>
      <c r="AX172" s="7872"/>
    </row>
    <row r="173" spans="1:50" s="7930" customFormat="1" ht="20.100000000000001" customHeight="1">
      <c r="A173" s="7872"/>
      <c r="B173" s="8510"/>
      <c r="C173" s="7939"/>
      <c r="D173" s="8016" t="s">
        <v>134</v>
      </c>
      <c r="E173" s="8017"/>
      <c r="F173" s="8090" t="s">
        <v>732</v>
      </c>
      <c r="G173" s="8514"/>
      <c r="H173" s="8514"/>
      <c r="I173" s="8506" t="s">
        <v>135</v>
      </c>
      <c r="J173" s="8508"/>
      <c r="K173" s="8124" t="s">
        <v>734</v>
      </c>
      <c r="L173" s="7935">
        <v>3931</v>
      </c>
      <c r="M173" s="7936">
        <v>5658</v>
      </c>
      <c r="N173" s="9249">
        <v>5796</v>
      </c>
      <c r="O173" s="8994" t="s">
        <v>3561</v>
      </c>
      <c r="P173" s="7932"/>
      <c r="Q173" s="7932"/>
      <c r="R173" s="8509"/>
      <c r="S173" s="7887"/>
      <c r="T173" s="7887"/>
      <c r="U173" s="7887"/>
      <c r="V173" s="7887"/>
      <c r="W173" s="7887"/>
      <c r="X173" s="7887"/>
      <c r="Y173" s="7887"/>
      <c r="Z173" s="7887"/>
      <c r="AA173" s="7887"/>
      <c r="AB173" s="7887"/>
      <c r="AC173" s="7887"/>
      <c r="AD173" s="7887"/>
      <c r="AE173" s="7887"/>
      <c r="AF173" s="7887"/>
      <c r="AG173" s="7887"/>
      <c r="AH173" s="7887"/>
      <c r="AI173" s="7887"/>
      <c r="AJ173" s="7887"/>
      <c r="AK173" s="7887"/>
      <c r="AL173" s="7887"/>
      <c r="AM173" s="7887"/>
      <c r="AN173" s="7887"/>
      <c r="AO173" s="7887"/>
      <c r="AP173" s="7887"/>
      <c r="AQ173" s="7887"/>
      <c r="AR173" s="7887"/>
      <c r="AS173" s="7887"/>
      <c r="AT173" s="7887"/>
      <c r="AU173" s="7887"/>
      <c r="AV173" s="7887"/>
      <c r="AW173" s="7887"/>
      <c r="AX173" s="7872"/>
    </row>
    <row r="174" spans="1:50" s="7930" customFormat="1" ht="20.100000000000001" customHeight="1">
      <c r="A174" s="7872"/>
      <c r="B174" s="8510"/>
      <c r="C174" s="7939"/>
      <c r="D174" s="8016" t="s">
        <v>137</v>
      </c>
      <c r="E174" s="8017"/>
      <c r="F174" s="8090" t="s">
        <v>732</v>
      </c>
      <c r="G174" s="8514"/>
      <c r="H174" s="8514"/>
      <c r="I174" s="8506" t="s">
        <v>138</v>
      </c>
      <c r="J174" s="8508"/>
      <c r="K174" s="8124" t="s">
        <v>734</v>
      </c>
      <c r="L174" s="7935">
        <v>13</v>
      </c>
      <c r="M174" s="7936">
        <v>35</v>
      </c>
      <c r="N174" s="9248">
        <v>30</v>
      </c>
      <c r="O174" s="8994" t="s">
        <v>3562</v>
      </c>
      <c r="P174" s="7932"/>
      <c r="Q174" s="7932"/>
      <c r="R174" s="8509"/>
      <c r="S174" s="7887"/>
      <c r="T174" s="7887"/>
      <c r="U174" s="7887"/>
      <c r="V174" s="7887"/>
      <c r="W174" s="7887"/>
      <c r="X174" s="7887"/>
      <c r="Y174" s="7887"/>
      <c r="Z174" s="7887"/>
      <c r="AA174" s="7887"/>
      <c r="AB174" s="7887"/>
      <c r="AC174" s="7887"/>
      <c r="AD174" s="7887"/>
      <c r="AE174" s="7887"/>
      <c r="AF174" s="7887"/>
      <c r="AG174" s="7887"/>
      <c r="AH174" s="7887"/>
      <c r="AI174" s="7887"/>
      <c r="AJ174" s="7887"/>
      <c r="AK174" s="7887"/>
      <c r="AL174" s="7887"/>
      <c r="AM174" s="7887"/>
      <c r="AN174" s="7887"/>
      <c r="AO174" s="7887"/>
      <c r="AP174" s="7887"/>
      <c r="AQ174" s="7887"/>
      <c r="AR174" s="7887"/>
      <c r="AS174" s="7887"/>
      <c r="AT174" s="7887"/>
      <c r="AU174" s="7887"/>
      <c r="AV174" s="7887"/>
      <c r="AW174" s="7887"/>
      <c r="AX174" s="7872"/>
    </row>
    <row r="175" spans="1:50" s="7930" customFormat="1" ht="20.100000000000001" customHeight="1">
      <c r="A175" s="7872"/>
      <c r="B175" s="8510"/>
      <c r="C175" s="7939"/>
      <c r="D175" s="8016" t="s">
        <v>140</v>
      </c>
      <c r="E175" s="8017"/>
      <c r="F175" s="8090" t="s">
        <v>732</v>
      </c>
      <c r="G175" s="8514"/>
      <c r="H175" s="8514"/>
      <c r="I175" s="8515" t="s">
        <v>141</v>
      </c>
      <c r="J175" s="8516"/>
      <c r="K175" s="8124" t="s">
        <v>734</v>
      </c>
      <c r="L175" s="7935">
        <v>97</v>
      </c>
      <c r="M175" s="7936">
        <v>46</v>
      </c>
      <c r="N175" s="9248">
        <v>38</v>
      </c>
      <c r="O175" s="8994" t="s">
        <v>3562</v>
      </c>
      <c r="P175" s="7932"/>
      <c r="Q175" s="7932"/>
      <c r="R175" s="8509"/>
      <c r="S175" s="7887"/>
      <c r="T175" s="7887"/>
      <c r="U175" s="7887"/>
      <c r="V175" s="7887"/>
      <c r="W175" s="7887"/>
      <c r="X175" s="7887"/>
      <c r="Y175" s="7887"/>
      <c r="Z175" s="7887"/>
      <c r="AA175" s="7887"/>
      <c r="AB175" s="7887"/>
      <c r="AC175" s="7887"/>
      <c r="AD175" s="7887"/>
      <c r="AE175" s="7887"/>
      <c r="AF175" s="7887"/>
      <c r="AG175" s="7887"/>
      <c r="AH175" s="7887"/>
      <c r="AI175" s="7887"/>
      <c r="AJ175" s="7887"/>
      <c r="AK175" s="7887"/>
      <c r="AL175" s="7887"/>
      <c r="AM175" s="7887"/>
      <c r="AN175" s="7887"/>
      <c r="AO175" s="7887"/>
      <c r="AP175" s="7887"/>
      <c r="AQ175" s="7887"/>
      <c r="AR175" s="7887"/>
      <c r="AS175" s="7887"/>
      <c r="AT175" s="7887"/>
      <c r="AU175" s="7887"/>
      <c r="AV175" s="7887"/>
      <c r="AW175" s="7887"/>
      <c r="AX175" s="7872"/>
    </row>
    <row r="176" spans="1:50" s="7930" customFormat="1" ht="20.100000000000001" customHeight="1">
      <c r="A176" s="7872"/>
      <c r="B176" s="8510"/>
      <c r="C176" s="7939"/>
      <c r="D176" s="8016" t="s">
        <v>143</v>
      </c>
      <c r="E176" s="8017"/>
      <c r="F176" s="8090" t="s">
        <v>732</v>
      </c>
      <c r="G176" s="8514"/>
      <c r="H176" s="8514"/>
      <c r="I176" s="8515" t="s">
        <v>144</v>
      </c>
      <c r="J176" s="8516"/>
      <c r="K176" s="8124" t="s">
        <v>734</v>
      </c>
      <c r="L176" s="7935">
        <v>1225</v>
      </c>
      <c r="M176" s="7936">
        <v>2512</v>
      </c>
      <c r="N176" s="9248">
        <v>1993</v>
      </c>
      <c r="O176" s="8994" t="s">
        <v>3563</v>
      </c>
      <c r="P176" s="7932"/>
      <c r="Q176" s="7932"/>
      <c r="R176" s="8509"/>
      <c r="S176" s="7887"/>
      <c r="T176" s="7887"/>
      <c r="U176" s="7887"/>
      <c r="V176" s="7887"/>
      <c r="W176" s="7887"/>
      <c r="X176" s="7887"/>
      <c r="Y176" s="7887"/>
      <c r="Z176" s="7887"/>
      <c r="AA176" s="7887"/>
      <c r="AB176" s="7887"/>
      <c r="AC176" s="7887"/>
      <c r="AD176" s="7887"/>
      <c r="AE176" s="7887"/>
      <c r="AF176" s="7887"/>
      <c r="AG176" s="7887"/>
      <c r="AH176" s="7887"/>
      <c r="AI176" s="7887"/>
      <c r="AJ176" s="7887"/>
      <c r="AK176" s="7887"/>
      <c r="AL176" s="7887"/>
      <c r="AM176" s="7887"/>
      <c r="AN176" s="7887"/>
      <c r="AO176" s="7887"/>
      <c r="AP176" s="7887"/>
      <c r="AQ176" s="7887"/>
      <c r="AR176" s="7887"/>
      <c r="AS176" s="7887"/>
      <c r="AT176" s="7887"/>
      <c r="AU176" s="7887"/>
      <c r="AV176" s="7887"/>
      <c r="AW176" s="7887"/>
      <c r="AX176" s="7872"/>
    </row>
    <row r="177" spans="1:50" s="7930" customFormat="1" ht="20.100000000000001" customHeight="1">
      <c r="A177" s="7872"/>
      <c r="B177" s="8510"/>
      <c r="C177" s="7939"/>
      <c r="D177" s="8016" t="s">
        <v>146</v>
      </c>
      <c r="E177" s="8017"/>
      <c r="F177" s="8090" t="s">
        <v>732</v>
      </c>
      <c r="G177" s="8554"/>
      <c r="H177" s="8514"/>
      <c r="I177" s="8515" t="s">
        <v>147</v>
      </c>
      <c r="J177" s="8516"/>
      <c r="K177" s="8124" t="s">
        <v>734</v>
      </c>
      <c r="L177" s="7935">
        <v>9</v>
      </c>
      <c r="M177" s="7936">
        <v>54</v>
      </c>
      <c r="N177" s="9248">
        <v>65</v>
      </c>
      <c r="O177" s="8994" t="s">
        <v>3562</v>
      </c>
      <c r="P177" s="7932"/>
      <c r="Q177" s="7932"/>
      <c r="R177" s="8509"/>
      <c r="S177" s="7887"/>
      <c r="T177" s="7887"/>
      <c r="U177" s="7887"/>
      <c r="V177" s="7887"/>
      <c r="W177" s="7887"/>
      <c r="X177" s="7887"/>
      <c r="Y177" s="7887"/>
      <c r="Z177" s="7887"/>
      <c r="AA177" s="7887"/>
      <c r="AB177" s="7887"/>
      <c r="AC177" s="7887"/>
      <c r="AD177" s="7887"/>
      <c r="AE177" s="7887"/>
      <c r="AF177" s="7887"/>
      <c r="AG177" s="7887"/>
      <c r="AH177" s="7887"/>
      <c r="AI177" s="7887"/>
      <c r="AJ177" s="7887"/>
      <c r="AK177" s="7887"/>
      <c r="AL177" s="7887"/>
      <c r="AM177" s="7887"/>
      <c r="AN177" s="7887"/>
      <c r="AO177" s="7887"/>
      <c r="AP177" s="7887"/>
      <c r="AQ177" s="7887"/>
      <c r="AR177" s="7887"/>
      <c r="AS177" s="7887"/>
      <c r="AT177" s="7887"/>
      <c r="AU177" s="7887"/>
      <c r="AV177" s="7887"/>
      <c r="AW177" s="7887"/>
      <c r="AX177" s="7872"/>
    </row>
    <row r="178" spans="1:50" s="7930" customFormat="1" ht="20.100000000000001" customHeight="1">
      <c r="A178" s="7872"/>
      <c r="B178" s="8510"/>
      <c r="C178" s="7939"/>
      <c r="D178" s="8016" t="s">
        <v>149</v>
      </c>
      <c r="E178" s="8017"/>
      <c r="F178" s="8090" t="s">
        <v>732</v>
      </c>
      <c r="G178" s="8514"/>
      <c r="H178" s="8514"/>
      <c r="I178" s="8515" t="s">
        <v>150</v>
      </c>
      <c r="J178" s="8516"/>
      <c r="K178" s="8124" t="s">
        <v>734</v>
      </c>
      <c r="L178" s="7935">
        <v>721</v>
      </c>
      <c r="M178" s="7936">
        <v>746</v>
      </c>
      <c r="N178" s="9248">
        <v>761</v>
      </c>
      <c r="O178" s="8994" t="s">
        <v>3563</v>
      </c>
      <c r="P178" s="7932"/>
      <c r="Q178" s="7932"/>
      <c r="R178" s="8509"/>
      <c r="S178" s="7887"/>
      <c r="T178" s="7887"/>
      <c r="U178" s="7887"/>
      <c r="V178" s="7887"/>
      <c r="W178" s="7887"/>
      <c r="X178" s="7887"/>
      <c r="Y178" s="7887"/>
      <c r="Z178" s="7887"/>
      <c r="AA178" s="7887"/>
      <c r="AB178" s="7887"/>
      <c r="AC178" s="7887"/>
      <c r="AD178" s="7887"/>
      <c r="AE178" s="7887"/>
      <c r="AF178" s="7887"/>
      <c r="AG178" s="7887"/>
      <c r="AH178" s="7887"/>
      <c r="AI178" s="7887"/>
      <c r="AJ178" s="7887"/>
      <c r="AK178" s="7887"/>
      <c r="AL178" s="7887"/>
      <c r="AM178" s="7887"/>
      <c r="AN178" s="7887"/>
      <c r="AO178" s="7887"/>
      <c r="AP178" s="7887"/>
      <c r="AQ178" s="7887"/>
      <c r="AR178" s="7887"/>
      <c r="AS178" s="7887"/>
      <c r="AT178" s="7887"/>
      <c r="AU178" s="7887"/>
      <c r="AV178" s="7887"/>
      <c r="AW178" s="7887"/>
      <c r="AX178" s="7872"/>
    </row>
    <row r="179" spans="1:50" s="7930" customFormat="1" ht="20.100000000000001" customHeight="1">
      <c r="A179" s="7872"/>
      <c r="B179" s="8510"/>
      <c r="C179" s="7939"/>
      <c r="D179" s="8524" t="s">
        <v>827</v>
      </c>
      <c r="E179" s="8525"/>
      <c r="F179" s="8089" t="s">
        <v>732</v>
      </c>
      <c r="G179" s="8513"/>
      <c r="H179" s="8513"/>
      <c r="I179" s="8524" t="s">
        <v>903</v>
      </c>
      <c r="J179" s="8525"/>
      <c r="K179" s="8089" t="s">
        <v>734</v>
      </c>
      <c r="L179" s="8012">
        <f>IF(COUNTBLANK(L180:L185)&gt;0,"미취합법인有",SUM(L180:L185))</f>
        <v>213</v>
      </c>
      <c r="M179" s="8013">
        <f>IF(COUNTBLANK(M180:M185)&gt;0,"미취합법인有",SUM(M180:M185))</f>
        <v>332</v>
      </c>
      <c r="N179" s="9247">
        <f>IF(COUNTBLANK(N180:N185)&gt;0,"미취합법인有",SUM(N180:N185))</f>
        <v>337</v>
      </c>
      <c r="O179" s="8995"/>
      <c r="P179" s="8015" t="s">
        <v>899</v>
      </c>
      <c r="Q179" s="8015" t="s">
        <v>884</v>
      </c>
      <c r="R179" s="8500"/>
      <c r="S179" s="7887"/>
      <c r="T179" s="7887"/>
      <c r="U179" s="7887"/>
      <c r="V179" s="7887"/>
      <c r="W179" s="7887"/>
      <c r="X179" s="7887"/>
      <c r="Y179" s="7887"/>
      <c r="Z179" s="7887"/>
      <c r="AA179" s="7887"/>
      <c r="AB179" s="7887"/>
      <c r="AC179" s="7887"/>
      <c r="AD179" s="7887"/>
      <c r="AE179" s="7887"/>
      <c r="AF179" s="7887"/>
      <c r="AG179" s="7887"/>
      <c r="AH179" s="7887"/>
      <c r="AI179" s="7887"/>
      <c r="AJ179" s="7887"/>
      <c r="AK179" s="7887"/>
      <c r="AL179" s="7887"/>
      <c r="AM179" s="7887"/>
      <c r="AN179" s="7887"/>
      <c r="AO179" s="7887"/>
      <c r="AP179" s="7887"/>
      <c r="AQ179" s="7887"/>
      <c r="AR179" s="7887"/>
      <c r="AS179" s="7887"/>
      <c r="AT179" s="7887"/>
      <c r="AU179" s="7887"/>
      <c r="AV179" s="7887"/>
      <c r="AW179" s="7887"/>
      <c r="AX179" s="7872"/>
    </row>
    <row r="180" spans="1:50" s="7930" customFormat="1" ht="20.100000000000001" customHeight="1">
      <c r="A180" s="7872"/>
      <c r="B180" s="8510"/>
      <c r="C180" s="7939"/>
      <c r="D180" s="8016" t="s">
        <v>134</v>
      </c>
      <c r="E180" s="8017"/>
      <c r="F180" s="8090" t="s">
        <v>732</v>
      </c>
      <c r="G180" s="8514"/>
      <c r="H180" s="8514"/>
      <c r="I180" s="8506" t="s">
        <v>135</v>
      </c>
      <c r="J180" s="8508"/>
      <c r="K180" s="8124" t="s">
        <v>734</v>
      </c>
      <c r="L180" s="7935">
        <v>65</v>
      </c>
      <c r="M180" s="7936">
        <v>117</v>
      </c>
      <c r="N180" s="9249">
        <v>131</v>
      </c>
      <c r="O180" s="8994" t="s">
        <v>3546</v>
      </c>
      <c r="P180" s="7932"/>
      <c r="Q180" s="7932"/>
      <c r="R180" s="8509"/>
      <c r="S180" s="7887"/>
      <c r="T180" s="7887"/>
      <c r="U180" s="7887"/>
      <c r="V180" s="7887"/>
      <c r="W180" s="7887"/>
      <c r="X180" s="7887"/>
      <c r="Y180" s="7887"/>
      <c r="Z180" s="7887"/>
      <c r="AA180" s="7887"/>
      <c r="AB180" s="7887"/>
      <c r="AC180" s="7887"/>
      <c r="AD180" s="7887"/>
      <c r="AE180" s="7887"/>
      <c r="AF180" s="7887"/>
      <c r="AG180" s="7887"/>
      <c r="AH180" s="7887"/>
      <c r="AI180" s="7887"/>
      <c r="AJ180" s="7887"/>
      <c r="AK180" s="7887"/>
      <c r="AL180" s="7887"/>
      <c r="AM180" s="7887"/>
      <c r="AN180" s="7887"/>
      <c r="AO180" s="7887"/>
      <c r="AP180" s="7887"/>
      <c r="AQ180" s="7887"/>
      <c r="AR180" s="7887"/>
      <c r="AS180" s="7887"/>
      <c r="AT180" s="7887"/>
      <c r="AU180" s="7887"/>
      <c r="AV180" s="7887"/>
      <c r="AW180" s="7887"/>
      <c r="AX180" s="7872"/>
    </row>
    <row r="181" spans="1:50" s="7930" customFormat="1" ht="20.100000000000001" customHeight="1">
      <c r="A181" s="7872"/>
      <c r="B181" s="8510"/>
      <c r="C181" s="7939"/>
      <c r="D181" s="8016" t="s">
        <v>137</v>
      </c>
      <c r="E181" s="8017"/>
      <c r="F181" s="8090" t="s">
        <v>732</v>
      </c>
      <c r="G181" s="8514"/>
      <c r="H181" s="8514"/>
      <c r="I181" s="8506" t="s">
        <v>138</v>
      </c>
      <c r="J181" s="8508"/>
      <c r="K181" s="8124" t="s">
        <v>734</v>
      </c>
      <c r="L181" s="7935">
        <v>14</v>
      </c>
      <c r="M181" s="7936">
        <v>54</v>
      </c>
      <c r="N181" s="9253">
        <v>32</v>
      </c>
      <c r="O181" s="8994" t="s">
        <v>3564</v>
      </c>
      <c r="P181" s="7932"/>
      <c r="Q181" s="7932"/>
      <c r="R181" s="8509"/>
      <c r="S181" s="7887"/>
      <c r="T181" s="7887"/>
      <c r="U181" s="7887"/>
      <c r="V181" s="7887"/>
      <c r="W181" s="7887"/>
      <c r="X181" s="7887"/>
      <c r="Y181" s="7887"/>
      <c r="Z181" s="7887"/>
      <c r="AA181" s="7887"/>
      <c r="AB181" s="7887"/>
      <c r="AC181" s="7887"/>
      <c r="AD181" s="7887"/>
      <c r="AE181" s="7887"/>
      <c r="AF181" s="7887"/>
      <c r="AG181" s="7887"/>
      <c r="AH181" s="7887"/>
      <c r="AI181" s="7887"/>
      <c r="AJ181" s="7887"/>
      <c r="AK181" s="7887"/>
      <c r="AL181" s="7887"/>
      <c r="AM181" s="7887"/>
      <c r="AN181" s="7887"/>
      <c r="AO181" s="7887"/>
      <c r="AP181" s="7887"/>
      <c r="AQ181" s="7887"/>
      <c r="AR181" s="7887"/>
      <c r="AS181" s="7887"/>
      <c r="AT181" s="7887"/>
      <c r="AU181" s="7887"/>
      <c r="AV181" s="7887"/>
      <c r="AW181" s="7887"/>
      <c r="AX181" s="7872"/>
    </row>
    <row r="182" spans="1:50" s="7930" customFormat="1" ht="20.100000000000001" customHeight="1">
      <c r="A182" s="7872"/>
      <c r="B182" s="8510"/>
      <c r="C182" s="7939"/>
      <c r="D182" s="8016" t="s">
        <v>140</v>
      </c>
      <c r="E182" s="8017"/>
      <c r="F182" s="8090" t="s">
        <v>732</v>
      </c>
      <c r="G182" s="8514"/>
      <c r="H182" s="8514"/>
      <c r="I182" s="8515" t="s">
        <v>141</v>
      </c>
      <c r="J182" s="8516"/>
      <c r="K182" s="8124" t="s">
        <v>734</v>
      </c>
      <c r="L182" s="7935">
        <v>76</v>
      </c>
      <c r="M182" s="7936">
        <v>61</v>
      </c>
      <c r="N182" s="9253">
        <v>53</v>
      </c>
      <c r="O182" s="8994" t="s">
        <v>3564</v>
      </c>
      <c r="P182" s="7932"/>
      <c r="Q182" s="7932"/>
      <c r="R182" s="8509"/>
      <c r="S182" s="7887"/>
      <c r="T182" s="7887"/>
      <c r="U182" s="7887"/>
      <c r="V182" s="7887"/>
      <c r="W182" s="7887"/>
      <c r="X182" s="7887"/>
      <c r="Y182" s="7887"/>
      <c r="Z182" s="7887"/>
      <c r="AA182" s="7887"/>
      <c r="AB182" s="7887"/>
      <c r="AC182" s="7887"/>
      <c r="AD182" s="7887"/>
      <c r="AE182" s="7887"/>
      <c r="AF182" s="7887"/>
      <c r="AG182" s="7887"/>
      <c r="AH182" s="7887"/>
      <c r="AI182" s="7887"/>
      <c r="AJ182" s="7887"/>
      <c r="AK182" s="7887"/>
      <c r="AL182" s="7887"/>
      <c r="AM182" s="7887"/>
      <c r="AN182" s="7887"/>
      <c r="AO182" s="7887"/>
      <c r="AP182" s="7887"/>
      <c r="AQ182" s="7887"/>
      <c r="AR182" s="7887"/>
      <c r="AS182" s="7887"/>
      <c r="AT182" s="7887"/>
      <c r="AU182" s="7887"/>
      <c r="AV182" s="7887"/>
      <c r="AW182" s="7887"/>
      <c r="AX182" s="7872"/>
    </row>
    <row r="183" spans="1:50" s="7930" customFormat="1" ht="20.100000000000001" customHeight="1">
      <c r="A183" s="7872"/>
      <c r="B183" s="8510"/>
      <c r="C183" s="7939"/>
      <c r="D183" s="8016" t="s">
        <v>143</v>
      </c>
      <c r="E183" s="8017"/>
      <c r="F183" s="8090" t="s">
        <v>732</v>
      </c>
      <c r="G183" s="8514"/>
      <c r="H183" s="8514"/>
      <c r="I183" s="8515" t="s">
        <v>144</v>
      </c>
      <c r="J183" s="8516"/>
      <c r="K183" s="8124" t="s">
        <v>734</v>
      </c>
      <c r="L183" s="7935">
        <v>21</v>
      </c>
      <c r="M183" s="7936">
        <v>36</v>
      </c>
      <c r="N183" s="9253">
        <v>23</v>
      </c>
      <c r="O183" s="8994" t="s">
        <v>3546</v>
      </c>
      <c r="P183" s="7932"/>
      <c r="Q183" s="7932"/>
      <c r="R183" s="8509"/>
      <c r="S183" s="7887"/>
      <c r="T183" s="7887"/>
      <c r="U183" s="7887"/>
      <c r="V183" s="7887"/>
      <c r="W183" s="7887"/>
      <c r="X183" s="7887"/>
      <c r="Y183" s="7887"/>
      <c r="Z183" s="7887"/>
      <c r="AA183" s="7887"/>
      <c r="AB183" s="7887"/>
      <c r="AC183" s="7887"/>
      <c r="AD183" s="7887"/>
      <c r="AE183" s="7887"/>
      <c r="AF183" s="7887"/>
      <c r="AG183" s="7887"/>
      <c r="AH183" s="7887"/>
      <c r="AI183" s="7887"/>
      <c r="AJ183" s="7887"/>
      <c r="AK183" s="7887"/>
      <c r="AL183" s="7887"/>
      <c r="AM183" s="7887"/>
      <c r="AN183" s="7887"/>
      <c r="AO183" s="7887"/>
      <c r="AP183" s="7887"/>
      <c r="AQ183" s="7887"/>
      <c r="AR183" s="7887"/>
      <c r="AS183" s="7887"/>
      <c r="AT183" s="7887"/>
      <c r="AU183" s="7887"/>
      <c r="AV183" s="7887"/>
      <c r="AW183" s="7887"/>
      <c r="AX183" s="7872"/>
    </row>
    <row r="184" spans="1:50" s="7930" customFormat="1" ht="20.100000000000001" customHeight="1">
      <c r="A184" s="7872"/>
      <c r="B184" s="8510"/>
      <c r="C184" s="7939"/>
      <c r="D184" s="8016" t="s">
        <v>146</v>
      </c>
      <c r="E184" s="8017"/>
      <c r="F184" s="8090" t="s">
        <v>732</v>
      </c>
      <c r="G184" s="8514"/>
      <c r="H184" s="8514"/>
      <c r="I184" s="8515" t="s">
        <v>147</v>
      </c>
      <c r="J184" s="8516"/>
      <c r="K184" s="8124" t="s">
        <v>734</v>
      </c>
      <c r="L184" s="7935">
        <v>7</v>
      </c>
      <c r="M184" s="7936">
        <v>30</v>
      </c>
      <c r="N184" s="9253">
        <v>30</v>
      </c>
      <c r="O184" s="8994" t="s">
        <v>3564</v>
      </c>
      <c r="P184" s="7932"/>
      <c r="Q184" s="7932"/>
      <c r="R184" s="8509"/>
      <c r="S184" s="7887"/>
      <c r="T184" s="7887"/>
      <c r="U184" s="7887"/>
      <c r="V184" s="7887"/>
      <c r="W184" s="7887"/>
      <c r="X184" s="7887"/>
      <c r="Y184" s="7887"/>
      <c r="Z184" s="7887"/>
      <c r="AA184" s="7887"/>
      <c r="AB184" s="7887"/>
      <c r="AC184" s="7887"/>
      <c r="AD184" s="7887"/>
      <c r="AE184" s="7887"/>
      <c r="AF184" s="7887"/>
      <c r="AG184" s="7887"/>
      <c r="AH184" s="7887"/>
      <c r="AI184" s="7887"/>
      <c r="AJ184" s="7887"/>
      <c r="AK184" s="7887"/>
      <c r="AL184" s="7887"/>
      <c r="AM184" s="7887"/>
      <c r="AN184" s="7887"/>
      <c r="AO184" s="7887"/>
      <c r="AP184" s="7887"/>
      <c r="AQ184" s="7887"/>
      <c r="AR184" s="7887"/>
      <c r="AS184" s="7887"/>
      <c r="AT184" s="7887"/>
      <c r="AU184" s="7887"/>
      <c r="AV184" s="7887"/>
      <c r="AW184" s="7887"/>
      <c r="AX184" s="7872"/>
    </row>
    <row r="185" spans="1:50" s="7930" customFormat="1" ht="20.100000000000001" customHeight="1">
      <c r="A185" s="7872"/>
      <c r="B185" s="8510"/>
      <c r="C185" s="7939"/>
      <c r="D185" s="8016" t="s">
        <v>149</v>
      </c>
      <c r="E185" s="8017"/>
      <c r="F185" s="8090" t="s">
        <v>732</v>
      </c>
      <c r="G185" s="8514"/>
      <c r="H185" s="8514"/>
      <c r="I185" s="8515" t="s">
        <v>150</v>
      </c>
      <c r="J185" s="8516"/>
      <c r="K185" s="8124" t="s">
        <v>734</v>
      </c>
      <c r="L185" s="7935">
        <v>30</v>
      </c>
      <c r="M185" s="7936">
        <v>34</v>
      </c>
      <c r="N185" s="9253">
        <v>68</v>
      </c>
      <c r="O185" s="8994" t="s">
        <v>3546</v>
      </c>
      <c r="P185" s="7932"/>
      <c r="Q185" s="7932"/>
      <c r="R185" s="8509"/>
      <c r="S185" s="7887"/>
      <c r="T185" s="7887"/>
      <c r="U185" s="7887"/>
      <c r="V185" s="7887"/>
      <c r="W185" s="7887"/>
      <c r="X185" s="7887"/>
      <c r="Y185" s="7887"/>
      <c r="Z185" s="7887"/>
      <c r="AA185" s="7887"/>
      <c r="AB185" s="7887"/>
      <c r="AC185" s="7887"/>
      <c r="AD185" s="7887"/>
      <c r="AE185" s="7887"/>
      <c r="AF185" s="7887"/>
      <c r="AG185" s="7887"/>
      <c r="AH185" s="7887"/>
      <c r="AI185" s="7887"/>
      <c r="AJ185" s="7887"/>
      <c r="AK185" s="7887"/>
      <c r="AL185" s="7887"/>
      <c r="AM185" s="7887"/>
      <c r="AN185" s="7887"/>
      <c r="AO185" s="7887"/>
      <c r="AP185" s="7887"/>
      <c r="AQ185" s="7887"/>
      <c r="AR185" s="7887"/>
      <c r="AS185" s="7887"/>
      <c r="AT185" s="7887"/>
      <c r="AU185" s="7887"/>
      <c r="AV185" s="7887"/>
      <c r="AW185" s="7887"/>
      <c r="AX185" s="7872"/>
    </row>
    <row r="186" spans="1:50" s="7930" customFormat="1" ht="20.100000000000001" customHeight="1">
      <c r="A186" s="7872"/>
      <c r="B186" s="8510"/>
      <c r="C186" s="8125"/>
      <c r="D186" s="8524" t="s">
        <v>830</v>
      </c>
      <c r="E186" s="8525"/>
      <c r="F186" s="8089" t="s">
        <v>732</v>
      </c>
      <c r="G186" s="8513"/>
      <c r="H186" s="8513"/>
      <c r="I186" s="8524" t="s">
        <v>905</v>
      </c>
      <c r="J186" s="8525"/>
      <c r="K186" s="8089" t="s">
        <v>734</v>
      </c>
      <c r="L186" s="8012">
        <f>IF(COUNTBLANK(L187:L192)&gt;0,"미취합법인有",SUM(L187:L192))</f>
        <v>123</v>
      </c>
      <c r="M186" s="8013">
        <f>IF(COUNTBLANK(M187:M192)&gt;0,"미취합법인有",SUM(M187:M192))</f>
        <v>55</v>
      </c>
      <c r="N186" s="9247">
        <f>IF(COUNTBLANK(N187:N192)&gt;0,"미취합법인有",SUM(N187:N192))</f>
        <v>39</v>
      </c>
      <c r="O186" s="8995"/>
      <c r="P186" s="8015" t="s">
        <v>899</v>
      </c>
      <c r="Q186" s="8015" t="s">
        <v>884</v>
      </c>
      <c r="R186" s="8500"/>
      <c r="S186" s="7887"/>
      <c r="T186" s="7887"/>
      <c r="U186" s="7887"/>
      <c r="V186" s="7887"/>
      <c r="W186" s="7887"/>
      <c r="X186" s="7887"/>
      <c r="Y186" s="7887"/>
      <c r="Z186" s="7887"/>
      <c r="AA186" s="7887"/>
      <c r="AB186" s="7887"/>
      <c r="AC186" s="7887"/>
      <c r="AD186" s="7887"/>
      <c r="AE186" s="7887"/>
      <c r="AF186" s="7887"/>
      <c r="AG186" s="7887"/>
      <c r="AH186" s="7887"/>
      <c r="AI186" s="7887"/>
      <c r="AJ186" s="7887"/>
      <c r="AK186" s="7887"/>
      <c r="AL186" s="7887"/>
      <c r="AM186" s="7887"/>
      <c r="AN186" s="7887"/>
      <c r="AO186" s="7887"/>
      <c r="AP186" s="7887"/>
      <c r="AQ186" s="7887"/>
      <c r="AR186" s="7887"/>
      <c r="AS186" s="7887"/>
      <c r="AT186" s="7887"/>
      <c r="AU186" s="7887"/>
      <c r="AV186" s="7887"/>
      <c r="AW186" s="7887"/>
      <c r="AX186" s="7872"/>
    </row>
    <row r="187" spans="1:50" s="7887" customFormat="1" ht="20.100000000000001" customHeight="1">
      <c r="A187" s="7872"/>
      <c r="B187" s="8510"/>
      <c r="C187" s="7939"/>
      <c r="D187" s="8016" t="s">
        <v>134</v>
      </c>
      <c r="E187" s="8017"/>
      <c r="F187" s="8090" t="s">
        <v>732</v>
      </c>
      <c r="G187" s="8514"/>
      <c r="H187" s="8514"/>
      <c r="I187" s="8506" t="s">
        <v>135</v>
      </c>
      <c r="J187" s="8508"/>
      <c r="K187" s="8124" t="s">
        <v>734</v>
      </c>
      <c r="L187" s="7935">
        <v>121</v>
      </c>
      <c r="M187" s="7936">
        <v>49</v>
      </c>
      <c r="N187" s="9249">
        <v>31</v>
      </c>
      <c r="O187" s="8994" t="s">
        <v>3565</v>
      </c>
      <c r="P187" s="7932"/>
      <c r="Q187" s="7932"/>
      <c r="R187" s="8509"/>
      <c r="AX187" s="7872"/>
    </row>
    <row r="188" spans="1:50" s="7887" customFormat="1" ht="20.100000000000001" customHeight="1">
      <c r="A188" s="7872"/>
      <c r="B188" s="8510"/>
      <c r="C188" s="7939"/>
      <c r="D188" s="8016" t="s">
        <v>137</v>
      </c>
      <c r="E188" s="8017"/>
      <c r="F188" s="8090" t="s">
        <v>732</v>
      </c>
      <c r="G188" s="8514"/>
      <c r="H188" s="8514"/>
      <c r="I188" s="8506" t="s">
        <v>138</v>
      </c>
      <c r="J188" s="8508"/>
      <c r="K188" s="8124" t="s">
        <v>734</v>
      </c>
      <c r="L188" s="7935">
        <v>1</v>
      </c>
      <c r="M188" s="7936">
        <v>3</v>
      </c>
      <c r="N188" s="9253">
        <v>1</v>
      </c>
      <c r="O188" s="8994" t="s">
        <v>3566</v>
      </c>
      <c r="P188" s="7932"/>
      <c r="Q188" s="7932"/>
      <c r="R188" s="8509"/>
      <c r="AX188" s="7872"/>
    </row>
    <row r="189" spans="1:50" s="7887" customFormat="1" ht="20.100000000000001" customHeight="1">
      <c r="A189" s="7872"/>
      <c r="B189" s="8510"/>
      <c r="C189" s="7939"/>
      <c r="D189" s="8016" t="s">
        <v>140</v>
      </c>
      <c r="E189" s="8017"/>
      <c r="F189" s="8090" t="s">
        <v>732</v>
      </c>
      <c r="G189" s="8514"/>
      <c r="H189" s="8514"/>
      <c r="I189" s="8515" t="s">
        <v>141</v>
      </c>
      <c r="J189" s="8516"/>
      <c r="K189" s="8124" t="s">
        <v>734</v>
      </c>
      <c r="L189" s="7935">
        <v>0</v>
      </c>
      <c r="M189" s="7936">
        <v>0</v>
      </c>
      <c r="N189" s="9253">
        <v>0</v>
      </c>
      <c r="O189" s="8994" t="s">
        <v>3566</v>
      </c>
      <c r="P189" s="7932"/>
      <c r="Q189" s="7932"/>
      <c r="R189" s="8509"/>
      <c r="AX189" s="7872"/>
    </row>
    <row r="190" spans="1:50" s="7887" customFormat="1" ht="20.100000000000001" customHeight="1">
      <c r="A190" s="7872"/>
      <c r="B190" s="8510"/>
      <c r="C190" s="7939"/>
      <c r="D190" s="8016" t="s">
        <v>143</v>
      </c>
      <c r="E190" s="8017"/>
      <c r="F190" s="8090" t="s">
        <v>732</v>
      </c>
      <c r="G190" s="8514"/>
      <c r="H190" s="8514"/>
      <c r="I190" s="8515" t="s">
        <v>144</v>
      </c>
      <c r="J190" s="8516"/>
      <c r="K190" s="8124" t="s">
        <v>734</v>
      </c>
      <c r="L190" s="7935">
        <v>0</v>
      </c>
      <c r="M190" s="7936">
        <v>0</v>
      </c>
      <c r="N190" s="9253">
        <v>0</v>
      </c>
      <c r="O190" s="8994" t="s">
        <v>3565</v>
      </c>
      <c r="P190" s="7932"/>
      <c r="Q190" s="7932"/>
      <c r="R190" s="8509"/>
      <c r="AX190" s="7872"/>
    </row>
    <row r="191" spans="1:50" s="7887" customFormat="1" ht="20.100000000000001" customHeight="1">
      <c r="A191" s="7872"/>
      <c r="B191" s="8510"/>
      <c r="C191" s="7939"/>
      <c r="D191" s="8016" t="s">
        <v>146</v>
      </c>
      <c r="E191" s="8017"/>
      <c r="F191" s="8090" t="s">
        <v>732</v>
      </c>
      <c r="G191" s="8514"/>
      <c r="H191" s="8514"/>
      <c r="I191" s="8515" t="s">
        <v>147</v>
      </c>
      <c r="J191" s="8516"/>
      <c r="K191" s="8124" t="s">
        <v>734</v>
      </c>
      <c r="L191" s="7935">
        <v>0</v>
      </c>
      <c r="M191" s="7936">
        <v>2</v>
      </c>
      <c r="N191" s="9253">
        <v>0</v>
      </c>
      <c r="O191" s="8994" t="s">
        <v>3566</v>
      </c>
      <c r="P191" s="7932"/>
      <c r="Q191" s="7932"/>
      <c r="R191" s="8509"/>
      <c r="AX191" s="7872"/>
    </row>
    <row r="192" spans="1:50" s="7887" customFormat="1" ht="20.100000000000001" customHeight="1">
      <c r="A192" s="7872"/>
      <c r="B192" s="8510"/>
      <c r="C192" s="7939"/>
      <c r="D192" s="8016" t="s">
        <v>149</v>
      </c>
      <c r="E192" s="8017"/>
      <c r="F192" s="8090" t="s">
        <v>732</v>
      </c>
      <c r="G192" s="8514"/>
      <c r="H192" s="8554"/>
      <c r="I192" s="8515" t="s">
        <v>150</v>
      </c>
      <c r="J192" s="8516"/>
      <c r="K192" s="8124" t="s">
        <v>734</v>
      </c>
      <c r="L192" s="7935">
        <v>1</v>
      </c>
      <c r="M192" s="7936">
        <v>1</v>
      </c>
      <c r="N192" s="9253">
        <v>7</v>
      </c>
      <c r="O192" s="8994" t="s">
        <v>3565</v>
      </c>
      <c r="P192" s="7932"/>
      <c r="Q192" s="7932"/>
      <c r="R192" s="8509"/>
      <c r="AX192" s="7872"/>
    </row>
    <row r="193" spans="1:50" s="7887" customFormat="1" ht="20.100000000000001" customHeight="1">
      <c r="A193" s="7872"/>
      <c r="B193" s="8510"/>
      <c r="C193" s="8818" t="s">
        <v>3616</v>
      </c>
      <c r="D193" s="8518"/>
      <c r="E193" s="8518"/>
      <c r="F193" s="8518"/>
      <c r="G193" s="8518"/>
      <c r="H193" s="9075" t="s">
        <v>1818</v>
      </c>
      <c r="I193" s="8518"/>
      <c r="J193" s="8518"/>
      <c r="K193" s="8518"/>
      <c r="L193" s="8552"/>
      <c r="M193" s="8553"/>
      <c r="N193" s="9254"/>
      <c r="O193" s="9008"/>
      <c r="P193" s="8015" t="s">
        <v>892</v>
      </c>
      <c r="Q193" s="8015" t="s">
        <v>884</v>
      </c>
      <c r="R193" s="8500"/>
      <c r="AX193" s="7872"/>
    </row>
    <row r="194" spans="1:50" s="7887" customFormat="1" ht="20.100000000000001" customHeight="1">
      <c r="A194" s="7872"/>
      <c r="B194" s="8510"/>
      <c r="C194" s="7939"/>
      <c r="D194" s="8524" t="s">
        <v>796</v>
      </c>
      <c r="E194" s="8525"/>
      <c r="F194" s="8089" t="s">
        <v>732</v>
      </c>
      <c r="G194" s="8513"/>
      <c r="H194" s="8533"/>
      <c r="I194" s="8524" t="s">
        <v>893</v>
      </c>
      <c r="J194" s="8525"/>
      <c r="K194" s="8089" t="s">
        <v>734</v>
      </c>
      <c r="L194" s="8012">
        <f>IF(COUNTBLANK(L195:L200)&gt;0,"미취합법인有",SUM(L195:L200))</f>
        <v>2968</v>
      </c>
      <c r="M194" s="8013">
        <f>IF(COUNTBLANK(M195:M200)&gt;0,"미취합법인有",SUM(M195:M200))</f>
        <v>4511</v>
      </c>
      <c r="N194" s="9247">
        <f>IF(COUNTBLANK(N195:N200)&gt;0,"미취합법인有",SUM(N195:N200))</f>
        <v>4162</v>
      </c>
      <c r="O194" s="8995"/>
      <c r="P194" s="8015" t="s">
        <v>892</v>
      </c>
      <c r="Q194" s="8015" t="s">
        <v>884</v>
      </c>
      <c r="R194" s="8500"/>
      <c r="AX194" s="7872"/>
    </row>
    <row r="195" spans="1:50" s="7887" customFormat="1" ht="20.100000000000001" customHeight="1">
      <c r="A195" s="7872"/>
      <c r="B195" s="8510"/>
      <c r="C195" s="7939"/>
      <c r="D195" s="8016" t="s">
        <v>134</v>
      </c>
      <c r="E195" s="8017"/>
      <c r="F195" s="8090" t="s">
        <v>732</v>
      </c>
      <c r="G195" s="8514"/>
      <c r="H195" s="8528"/>
      <c r="I195" s="8506" t="s">
        <v>135</v>
      </c>
      <c r="J195" s="8508"/>
      <c r="K195" s="8124" t="s">
        <v>734</v>
      </c>
      <c r="L195" s="7935">
        <v>1841</v>
      </c>
      <c r="M195" s="7936">
        <v>2690</v>
      </c>
      <c r="N195" s="9249">
        <v>2630</v>
      </c>
      <c r="O195" s="8994" t="s">
        <v>3547</v>
      </c>
      <c r="P195" s="7932"/>
      <c r="Q195" s="7932"/>
      <c r="R195" s="8509"/>
      <c r="AX195" s="7872"/>
    </row>
    <row r="196" spans="1:50" s="7887" customFormat="1" ht="20.100000000000001" customHeight="1">
      <c r="A196" s="7872"/>
      <c r="B196" s="8510"/>
      <c r="C196" s="7939"/>
      <c r="D196" s="8016" t="s">
        <v>137</v>
      </c>
      <c r="E196" s="8017"/>
      <c r="F196" s="8090" t="s">
        <v>732</v>
      </c>
      <c r="G196" s="8514"/>
      <c r="H196" s="8528"/>
      <c r="I196" s="8506" t="s">
        <v>138</v>
      </c>
      <c r="J196" s="8508"/>
      <c r="K196" s="8124" t="s">
        <v>734</v>
      </c>
      <c r="L196" s="7935">
        <v>19</v>
      </c>
      <c r="M196" s="7936">
        <v>57</v>
      </c>
      <c r="N196" s="9253">
        <v>23</v>
      </c>
      <c r="O196" s="8994" t="s">
        <v>3567</v>
      </c>
      <c r="P196" s="7932"/>
      <c r="Q196" s="7932"/>
      <c r="R196" s="8509"/>
      <c r="AX196" s="7872"/>
    </row>
    <row r="197" spans="1:50" s="7887" customFormat="1" ht="20.100000000000001" customHeight="1">
      <c r="A197" s="7872"/>
      <c r="B197" s="8510"/>
      <c r="C197" s="7939"/>
      <c r="D197" s="8016" t="s">
        <v>140</v>
      </c>
      <c r="E197" s="8017"/>
      <c r="F197" s="8090" t="s">
        <v>732</v>
      </c>
      <c r="G197" s="8514"/>
      <c r="H197" s="8528"/>
      <c r="I197" s="8515" t="s">
        <v>141</v>
      </c>
      <c r="J197" s="8516"/>
      <c r="K197" s="8124" t="s">
        <v>734</v>
      </c>
      <c r="L197" s="7935">
        <v>99</v>
      </c>
      <c r="M197" s="7936">
        <v>69</v>
      </c>
      <c r="N197" s="9253">
        <v>48</v>
      </c>
      <c r="O197" s="8994" t="s">
        <v>3567</v>
      </c>
      <c r="P197" s="7932"/>
      <c r="Q197" s="7932"/>
      <c r="R197" s="8509"/>
      <c r="AX197" s="7872"/>
    </row>
    <row r="198" spans="1:50" s="7887" customFormat="1" ht="20.100000000000001" customHeight="1">
      <c r="A198" s="7872"/>
      <c r="B198" s="8510"/>
      <c r="C198" s="7939"/>
      <c r="D198" s="8016" t="s">
        <v>143</v>
      </c>
      <c r="E198" s="8017"/>
      <c r="F198" s="8090" t="s">
        <v>732</v>
      </c>
      <c r="G198" s="8514"/>
      <c r="H198" s="8528"/>
      <c r="I198" s="8515" t="s">
        <v>144</v>
      </c>
      <c r="J198" s="8516"/>
      <c r="K198" s="8124" t="s">
        <v>734</v>
      </c>
      <c r="L198" s="7935">
        <v>566</v>
      </c>
      <c r="M198" s="7936">
        <v>1235</v>
      </c>
      <c r="N198" s="9253">
        <v>964</v>
      </c>
      <c r="O198" s="8994" t="s">
        <v>3547</v>
      </c>
      <c r="P198" s="7932"/>
      <c r="Q198" s="7932"/>
      <c r="R198" s="8509"/>
      <c r="AX198" s="7872"/>
    </row>
    <row r="199" spans="1:50" s="7887" customFormat="1" ht="20.100000000000001" customHeight="1">
      <c r="A199" s="7872"/>
      <c r="B199" s="8510"/>
      <c r="C199" s="7939"/>
      <c r="D199" s="8016" t="s">
        <v>146</v>
      </c>
      <c r="E199" s="8017"/>
      <c r="F199" s="8090" t="s">
        <v>732</v>
      </c>
      <c r="G199" s="8514"/>
      <c r="H199" s="8528"/>
      <c r="I199" s="8515" t="s">
        <v>147</v>
      </c>
      <c r="J199" s="8516"/>
      <c r="K199" s="8124" t="s">
        <v>734</v>
      </c>
      <c r="L199" s="7935">
        <v>7</v>
      </c>
      <c r="M199" s="7936">
        <v>41</v>
      </c>
      <c r="N199" s="9253">
        <v>60</v>
      </c>
      <c r="O199" s="8994" t="s">
        <v>3567</v>
      </c>
      <c r="P199" s="7932"/>
      <c r="Q199" s="7932"/>
      <c r="R199" s="8509"/>
      <c r="AX199" s="7872"/>
    </row>
    <row r="200" spans="1:50" s="7887" customFormat="1" ht="20.100000000000001" customHeight="1">
      <c r="A200" s="7872"/>
      <c r="B200" s="8510"/>
      <c r="C200" s="7939"/>
      <c r="D200" s="8016" t="s">
        <v>149</v>
      </c>
      <c r="E200" s="8017"/>
      <c r="F200" s="8090" t="s">
        <v>732</v>
      </c>
      <c r="G200" s="8514"/>
      <c r="H200" s="8528"/>
      <c r="I200" s="8515" t="s">
        <v>150</v>
      </c>
      <c r="J200" s="8516"/>
      <c r="K200" s="8124" t="s">
        <v>734</v>
      </c>
      <c r="L200" s="7935">
        <v>436</v>
      </c>
      <c r="M200" s="7936">
        <v>419</v>
      </c>
      <c r="N200" s="9253">
        <v>437</v>
      </c>
      <c r="O200" s="8994" t="s">
        <v>3547</v>
      </c>
      <c r="P200" s="7932"/>
      <c r="Q200" s="7932"/>
      <c r="R200" s="8509"/>
      <c r="AX200" s="7872"/>
    </row>
    <row r="201" spans="1:50" s="7887" customFormat="1" ht="20.100000000000001" customHeight="1">
      <c r="A201" s="7872"/>
      <c r="B201" s="8510"/>
      <c r="C201" s="8125"/>
      <c r="D201" s="8524" t="s">
        <v>802</v>
      </c>
      <c r="E201" s="8525"/>
      <c r="F201" s="8089" t="s">
        <v>732</v>
      </c>
      <c r="G201" s="8513"/>
      <c r="H201" s="8533"/>
      <c r="I201" s="8524" t="s">
        <v>896</v>
      </c>
      <c r="J201" s="8525"/>
      <c r="K201" s="8089" t="s">
        <v>734</v>
      </c>
      <c r="L201" s="8012">
        <f>IF(COUNTBLANK(L202:L207)&gt;0,"미취합법인有",SUM(L202:L207))</f>
        <v>3364</v>
      </c>
      <c r="M201" s="8013">
        <f>IF(COUNTBLANK(M202:M207)&gt;0,"미취합법인有",SUM(M202:M207))</f>
        <v>4927</v>
      </c>
      <c r="N201" s="9247">
        <f>IF(COUNTBLANK(N202:N207)&gt;0,"미취합법인有",SUM(N202:N207))</f>
        <v>4897</v>
      </c>
      <c r="O201" s="8995"/>
      <c r="P201" s="8015" t="s">
        <v>892</v>
      </c>
      <c r="Q201" s="8015" t="s">
        <v>884</v>
      </c>
      <c r="R201" s="8500"/>
      <c r="AX201" s="7872"/>
    </row>
    <row r="202" spans="1:50" s="7887" customFormat="1" ht="20.100000000000001" customHeight="1">
      <c r="A202" s="7872"/>
      <c r="B202" s="8510"/>
      <c r="C202" s="7939"/>
      <c r="D202" s="8016" t="s">
        <v>134</v>
      </c>
      <c r="E202" s="8017"/>
      <c r="F202" s="8090" t="s">
        <v>732</v>
      </c>
      <c r="G202" s="8514"/>
      <c r="H202" s="8528"/>
      <c r="I202" s="8506" t="s">
        <v>135</v>
      </c>
      <c r="J202" s="8508"/>
      <c r="K202" s="8124" t="s">
        <v>734</v>
      </c>
      <c r="L202" s="7935">
        <v>2276</v>
      </c>
      <c r="M202" s="7936">
        <v>3134</v>
      </c>
      <c r="N202" s="9249">
        <v>3328</v>
      </c>
      <c r="O202" s="8994" t="s">
        <v>3568</v>
      </c>
      <c r="P202" s="7932"/>
      <c r="Q202" s="7932"/>
      <c r="R202" s="8509"/>
      <c r="AX202" s="7872"/>
    </row>
    <row r="203" spans="1:50" s="7887" customFormat="1" ht="20.100000000000001" customHeight="1">
      <c r="A203" s="7872"/>
      <c r="B203" s="8510"/>
      <c r="C203" s="7939"/>
      <c r="D203" s="8016" t="s">
        <v>137</v>
      </c>
      <c r="E203" s="8017"/>
      <c r="F203" s="8090" t="s">
        <v>732</v>
      </c>
      <c r="G203" s="8514"/>
      <c r="H203" s="8528"/>
      <c r="I203" s="8506" t="s">
        <v>138</v>
      </c>
      <c r="J203" s="8508"/>
      <c r="K203" s="8124" t="s">
        <v>734</v>
      </c>
      <c r="L203" s="7935">
        <v>9</v>
      </c>
      <c r="M203" s="7936">
        <v>35</v>
      </c>
      <c r="N203" s="9253">
        <v>40</v>
      </c>
      <c r="O203" s="8994" t="s">
        <v>3569</v>
      </c>
      <c r="P203" s="7932"/>
      <c r="Q203" s="7932"/>
      <c r="R203" s="8509"/>
      <c r="AX203" s="7872"/>
    </row>
    <row r="204" spans="1:50" s="7887" customFormat="1" ht="20.100000000000001" customHeight="1">
      <c r="A204" s="7872"/>
      <c r="B204" s="8510"/>
      <c r="C204" s="7939"/>
      <c r="D204" s="8016" t="s">
        <v>140</v>
      </c>
      <c r="E204" s="8017"/>
      <c r="F204" s="8090" t="s">
        <v>732</v>
      </c>
      <c r="G204" s="8514"/>
      <c r="H204" s="8528"/>
      <c r="I204" s="8515" t="s">
        <v>141</v>
      </c>
      <c r="J204" s="8516"/>
      <c r="K204" s="8124" t="s">
        <v>734</v>
      </c>
      <c r="L204" s="7935">
        <v>74</v>
      </c>
      <c r="M204" s="7936">
        <v>38</v>
      </c>
      <c r="N204" s="9253">
        <v>43</v>
      </c>
      <c r="O204" s="8994" t="s">
        <v>3569</v>
      </c>
      <c r="P204" s="7932"/>
      <c r="Q204" s="7932"/>
      <c r="R204" s="8509"/>
      <c r="AX204" s="7872"/>
    </row>
    <row r="205" spans="1:50" s="7887" customFormat="1" ht="20.100000000000001" customHeight="1">
      <c r="A205" s="7872"/>
      <c r="B205" s="8510"/>
      <c r="C205" s="7939"/>
      <c r="D205" s="8016" t="s">
        <v>143</v>
      </c>
      <c r="E205" s="8017"/>
      <c r="F205" s="8090" t="s">
        <v>732</v>
      </c>
      <c r="G205" s="8514"/>
      <c r="H205" s="8528"/>
      <c r="I205" s="8515" t="s">
        <v>144</v>
      </c>
      <c r="J205" s="8516"/>
      <c r="K205" s="8124" t="s">
        <v>734</v>
      </c>
      <c r="L205" s="7935">
        <v>680</v>
      </c>
      <c r="M205" s="7936">
        <v>1313</v>
      </c>
      <c r="N205" s="9253">
        <v>1052</v>
      </c>
      <c r="O205" s="8994" t="s">
        <v>3568</v>
      </c>
      <c r="P205" s="7932"/>
      <c r="Q205" s="7932"/>
      <c r="R205" s="8509"/>
      <c r="AX205" s="7872"/>
    </row>
    <row r="206" spans="1:50" s="7887" customFormat="1" ht="20.100000000000001" customHeight="1">
      <c r="A206" s="7872"/>
      <c r="B206" s="8510"/>
      <c r="C206" s="7939"/>
      <c r="D206" s="8016" t="s">
        <v>146</v>
      </c>
      <c r="E206" s="8017"/>
      <c r="F206" s="8090" t="s">
        <v>732</v>
      </c>
      <c r="G206" s="8514"/>
      <c r="H206" s="8528"/>
      <c r="I206" s="8515" t="s">
        <v>147</v>
      </c>
      <c r="J206" s="8516"/>
      <c r="K206" s="8124" t="s">
        <v>734</v>
      </c>
      <c r="L206" s="7935">
        <v>9</v>
      </c>
      <c r="M206" s="7936">
        <v>45</v>
      </c>
      <c r="N206" s="9253">
        <v>35</v>
      </c>
      <c r="O206" s="8994" t="s">
        <v>3569</v>
      </c>
      <c r="P206" s="7932"/>
      <c r="Q206" s="7932"/>
      <c r="R206" s="8509"/>
      <c r="AX206" s="7872"/>
    </row>
    <row r="207" spans="1:50" s="7887" customFormat="1" ht="20.100000000000001" customHeight="1" thickBot="1">
      <c r="A207" s="7872"/>
      <c r="B207" s="8510"/>
      <c r="C207" s="7939"/>
      <c r="D207" s="8016" t="s">
        <v>149</v>
      </c>
      <c r="E207" s="8017"/>
      <c r="F207" s="8090" t="s">
        <v>732</v>
      </c>
      <c r="G207" s="8514"/>
      <c r="H207" s="8528"/>
      <c r="I207" s="8515" t="s">
        <v>150</v>
      </c>
      <c r="J207" s="8516"/>
      <c r="K207" s="8124" t="s">
        <v>734</v>
      </c>
      <c r="L207" s="7935">
        <v>316</v>
      </c>
      <c r="M207" s="7936">
        <v>362</v>
      </c>
      <c r="N207" s="9253">
        <v>399</v>
      </c>
      <c r="O207" s="8994" t="s">
        <v>3568</v>
      </c>
      <c r="P207" s="7932"/>
      <c r="Q207" s="7932"/>
      <c r="R207" s="8509"/>
      <c r="AX207" s="7872"/>
    </row>
    <row r="208" spans="1:50" s="7887" customFormat="1" ht="21.75" thickBot="1">
      <c r="A208" s="7872"/>
      <c r="B208" s="8073" t="s">
        <v>1910</v>
      </c>
      <c r="C208" s="8074"/>
      <c r="D208" s="8074"/>
      <c r="E208" s="8074"/>
      <c r="F208" s="8075"/>
      <c r="G208" s="8495" t="s">
        <v>730</v>
      </c>
      <c r="H208" s="8074"/>
      <c r="I208" s="8074"/>
      <c r="J208" s="8074"/>
      <c r="K208" s="8075"/>
      <c r="L208" s="8126"/>
      <c r="M208" s="8127"/>
      <c r="N208" s="9255"/>
      <c r="O208" s="8993"/>
      <c r="P208" s="8080"/>
      <c r="Q208" s="8080"/>
      <c r="R208" s="8496"/>
      <c r="AX208" s="7872"/>
    </row>
    <row r="209" spans="1:50" s="7887" customFormat="1" ht="20.100000000000001" customHeight="1">
      <c r="A209" s="7872"/>
      <c r="B209" s="8510"/>
      <c r="C209" s="8831" t="s">
        <v>915</v>
      </c>
      <c r="D209" s="8549"/>
      <c r="E209" s="8512"/>
      <c r="F209" s="7957" t="s">
        <v>742</v>
      </c>
      <c r="G209" s="8555"/>
      <c r="H209" s="8885" t="s">
        <v>3708</v>
      </c>
      <c r="I209" s="8556"/>
      <c r="J209" s="8557"/>
      <c r="K209" s="8089" t="s">
        <v>734</v>
      </c>
      <c r="L209" s="8012">
        <f>IF(COUNTBLANK(L210:L215)&gt;0,"미취합법인有",SUM(L210:L215))</f>
        <v>5826</v>
      </c>
      <c r="M209" s="8013">
        <f>IF(COUNTBLANK(M210:M215)&gt;0,"미취합법인有",SUM(M210:M215))</f>
        <v>8407</v>
      </c>
      <c r="N209" s="9247">
        <f>IF(COUNTBLANK(N210:N215)&gt;0,"미취합법인有",SUM(N210:N215))</f>
        <v>9160</v>
      </c>
      <c r="O209" s="9204"/>
      <c r="P209" s="8015" t="s">
        <v>919</v>
      </c>
      <c r="Q209" s="8015" t="s">
        <v>884</v>
      </c>
      <c r="R209" s="8500"/>
      <c r="AX209" s="7872"/>
    </row>
    <row r="210" spans="1:50" s="7887" customFormat="1" ht="20.100000000000001" customHeight="1">
      <c r="A210" s="7872"/>
      <c r="B210" s="8510"/>
      <c r="C210" s="8502" t="s">
        <v>134</v>
      </c>
      <c r="D210" s="8503"/>
      <c r="E210" s="8504"/>
      <c r="F210" s="8090" t="s">
        <v>732</v>
      </c>
      <c r="G210" s="8514"/>
      <c r="H210" s="8558" t="s">
        <v>135</v>
      </c>
      <c r="I210" s="8559"/>
      <c r="J210" s="8560"/>
      <c r="K210" s="8124" t="s">
        <v>734</v>
      </c>
      <c r="L210" s="7935">
        <f t="shared" ref="L210:L215" si="3">L217+L224</f>
        <v>3241</v>
      </c>
      <c r="M210" s="8123">
        <f t="shared" ref="M210:M215" si="4">M217+M224</f>
        <v>5079</v>
      </c>
      <c r="N210" s="9252">
        <f t="shared" ref="N210:N215" si="5">N217+N224</f>
        <v>5855</v>
      </c>
      <c r="O210" s="9005"/>
      <c r="P210" s="7932"/>
      <c r="Q210" s="7932"/>
      <c r="R210" s="8509"/>
      <c r="AX210" s="7872"/>
    </row>
    <row r="211" spans="1:50" s="7887" customFormat="1" ht="20.100000000000001" customHeight="1">
      <c r="A211" s="7872"/>
      <c r="B211" s="8510"/>
      <c r="C211" s="8502" t="s">
        <v>137</v>
      </c>
      <c r="D211" s="8503"/>
      <c r="E211" s="8504"/>
      <c r="F211" s="8090" t="s">
        <v>732</v>
      </c>
      <c r="G211" s="8514"/>
      <c r="H211" s="8506" t="s">
        <v>138</v>
      </c>
      <c r="I211" s="8507"/>
      <c r="J211" s="8508"/>
      <c r="K211" s="8124" t="s">
        <v>734</v>
      </c>
      <c r="L211" s="7935">
        <f t="shared" si="3"/>
        <v>71</v>
      </c>
      <c r="M211" s="8123">
        <f t="shared" si="4"/>
        <v>43</v>
      </c>
      <c r="N211" s="9252">
        <f t="shared" si="5"/>
        <v>48</v>
      </c>
      <c r="O211" s="9009"/>
      <c r="P211" s="7932"/>
      <c r="Q211" s="7932"/>
      <c r="R211" s="8509"/>
      <c r="AX211" s="7872"/>
    </row>
    <row r="212" spans="1:50" s="7887" customFormat="1" ht="20.100000000000001" customHeight="1">
      <c r="A212" s="7872"/>
      <c r="B212" s="8510"/>
      <c r="C212" s="8502" t="s">
        <v>140</v>
      </c>
      <c r="D212" s="8503"/>
      <c r="E212" s="8504"/>
      <c r="F212" s="8090" t="s">
        <v>732</v>
      </c>
      <c r="G212" s="8514"/>
      <c r="H212" s="8506" t="s">
        <v>141</v>
      </c>
      <c r="I212" s="8507"/>
      <c r="J212" s="8508"/>
      <c r="K212" s="8124" t="s">
        <v>734</v>
      </c>
      <c r="L212" s="7935">
        <f t="shared" si="3"/>
        <v>437</v>
      </c>
      <c r="M212" s="8123">
        <f t="shared" si="4"/>
        <v>231</v>
      </c>
      <c r="N212" s="9252">
        <f t="shared" si="5"/>
        <v>245</v>
      </c>
      <c r="O212" s="9009"/>
      <c r="P212" s="7932"/>
      <c r="Q212" s="7932"/>
      <c r="R212" s="8509"/>
      <c r="AX212" s="7872"/>
    </row>
    <row r="213" spans="1:50" s="7887" customFormat="1" ht="20.100000000000001" customHeight="1">
      <c r="A213" s="7872"/>
      <c r="B213" s="8510"/>
      <c r="C213" s="8502" t="s">
        <v>143</v>
      </c>
      <c r="D213" s="8503"/>
      <c r="E213" s="8504"/>
      <c r="F213" s="8090" t="s">
        <v>732</v>
      </c>
      <c r="G213" s="8514"/>
      <c r="H213" s="8506" t="s">
        <v>144</v>
      </c>
      <c r="I213" s="8507"/>
      <c r="J213" s="8508"/>
      <c r="K213" s="8124" t="s">
        <v>734</v>
      </c>
      <c r="L213" s="7935">
        <f t="shared" si="3"/>
        <v>1241</v>
      </c>
      <c r="M213" s="8123">
        <f t="shared" si="4"/>
        <v>2122</v>
      </c>
      <c r="N213" s="9252">
        <f t="shared" si="5"/>
        <v>2050</v>
      </c>
      <c r="O213" s="9009"/>
      <c r="P213" s="7932"/>
      <c r="Q213" s="7932"/>
      <c r="R213" s="8509"/>
      <c r="AX213" s="7872"/>
    </row>
    <row r="214" spans="1:50" s="7887" customFormat="1" ht="20.100000000000001" customHeight="1">
      <c r="A214" s="7872"/>
      <c r="B214" s="8510"/>
      <c r="C214" s="8502" t="s">
        <v>146</v>
      </c>
      <c r="D214" s="8503"/>
      <c r="E214" s="8504"/>
      <c r="F214" s="8090" t="s">
        <v>732</v>
      </c>
      <c r="G214" s="8514"/>
      <c r="H214" s="8506" t="s">
        <v>147</v>
      </c>
      <c r="I214" s="8507"/>
      <c r="J214" s="8508"/>
      <c r="K214" s="8124" t="s">
        <v>734</v>
      </c>
      <c r="L214" s="7935">
        <f t="shared" si="3"/>
        <v>103</v>
      </c>
      <c r="M214" s="8123">
        <f t="shared" si="4"/>
        <v>74</v>
      </c>
      <c r="N214" s="9252">
        <f t="shared" si="5"/>
        <v>75</v>
      </c>
      <c r="O214" s="9009"/>
      <c r="P214" s="7932"/>
      <c r="Q214" s="7932"/>
      <c r="R214" s="8509"/>
      <c r="AX214" s="7872"/>
    </row>
    <row r="215" spans="1:50" s="7887" customFormat="1" ht="20.100000000000001" customHeight="1">
      <c r="A215" s="7872"/>
      <c r="B215" s="8510"/>
      <c r="C215" s="8502" t="s">
        <v>149</v>
      </c>
      <c r="D215" s="8503"/>
      <c r="E215" s="8504"/>
      <c r="F215" s="8090" t="s">
        <v>732</v>
      </c>
      <c r="G215" s="8554"/>
      <c r="H215" s="8506" t="s">
        <v>150</v>
      </c>
      <c r="I215" s="8507"/>
      <c r="J215" s="8508"/>
      <c r="K215" s="8124" t="s">
        <v>734</v>
      </c>
      <c r="L215" s="7935">
        <f t="shared" si="3"/>
        <v>733</v>
      </c>
      <c r="M215" s="8123">
        <f t="shared" si="4"/>
        <v>858</v>
      </c>
      <c r="N215" s="9252">
        <f t="shared" si="5"/>
        <v>887</v>
      </c>
      <c r="O215" s="9009"/>
      <c r="P215" s="7932"/>
      <c r="Q215" s="7932"/>
      <c r="R215" s="8509"/>
      <c r="AX215" s="7872"/>
    </row>
    <row r="216" spans="1:50" s="7887" customFormat="1" ht="20.100000000000001" customHeight="1">
      <c r="A216" s="7872"/>
      <c r="B216" s="8510"/>
      <c r="C216" s="8128"/>
      <c r="D216" s="8524" t="s">
        <v>920</v>
      </c>
      <c r="E216" s="8525"/>
      <c r="F216" s="7957" t="s">
        <v>742</v>
      </c>
      <c r="G216" s="8513"/>
      <c r="H216" s="8533"/>
      <c r="I216" s="8825" t="s">
        <v>3709</v>
      </c>
      <c r="J216" s="8525"/>
      <c r="K216" s="8089" t="s">
        <v>734</v>
      </c>
      <c r="L216" s="8012">
        <f>IF(COUNTBLANK(L217:L222)&gt;0,"미취합법인有",SUM(L217:L222))</f>
        <v>3926</v>
      </c>
      <c r="M216" s="8013">
        <f>IF(COUNTBLANK(M217:M222)&gt;0,"미취합법인有",SUM(M217:M222))</f>
        <v>6679</v>
      </c>
      <c r="N216" s="9247">
        <f>IF(COUNTBLANK(N217:N222)&gt;0,"미취합법인有",SUM(N217:N222))</f>
        <v>7312</v>
      </c>
      <c r="O216" s="9002"/>
      <c r="P216" s="8015" t="s">
        <v>922</v>
      </c>
      <c r="Q216" s="8015" t="s">
        <v>884</v>
      </c>
      <c r="R216" s="8500"/>
      <c r="AX216" s="7872"/>
    </row>
    <row r="217" spans="1:50" s="7887" customFormat="1" ht="20.100000000000001" customHeight="1">
      <c r="A217" s="7872"/>
      <c r="B217" s="8510"/>
      <c r="C217" s="7939"/>
      <c r="D217" s="8016" t="s">
        <v>134</v>
      </c>
      <c r="E217" s="8017"/>
      <c r="F217" s="8090" t="s">
        <v>732</v>
      </c>
      <c r="G217" s="8514"/>
      <c r="H217" s="8528"/>
      <c r="I217" s="8506" t="s">
        <v>135</v>
      </c>
      <c r="J217" s="8508"/>
      <c r="K217" s="8124" t="s">
        <v>734</v>
      </c>
      <c r="L217" s="7935">
        <v>1683</v>
      </c>
      <c r="M217" s="7936">
        <v>3659</v>
      </c>
      <c r="N217" s="9249">
        <v>4274</v>
      </c>
      <c r="O217" s="8994" t="s">
        <v>3570</v>
      </c>
      <c r="P217" s="7932"/>
      <c r="Q217" s="7932"/>
      <c r="R217" s="8509"/>
      <c r="AX217" s="7872"/>
    </row>
    <row r="218" spans="1:50" s="7887" customFormat="1" ht="20.100000000000001" customHeight="1">
      <c r="A218" s="7872"/>
      <c r="B218" s="8510"/>
      <c r="C218" s="7939"/>
      <c r="D218" s="8016" t="s">
        <v>137</v>
      </c>
      <c r="E218" s="8017"/>
      <c r="F218" s="8090" t="s">
        <v>732</v>
      </c>
      <c r="G218" s="8514"/>
      <c r="H218" s="8528"/>
      <c r="I218" s="8506" t="s">
        <v>138</v>
      </c>
      <c r="J218" s="8508"/>
      <c r="K218" s="8124" t="s">
        <v>734</v>
      </c>
      <c r="L218" s="7935">
        <v>51</v>
      </c>
      <c r="M218" s="8561">
        <v>37</v>
      </c>
      <c r="N218" s="9256">
        <v>35</v>
      </c>
      <c r="O218" s="8994" t="s">
        <v>3571</v>
      </c>
      <c r="P218" s="7932"/>
      <c r="Q218" s="7932"/>
      <c r="R218" s="8509"/>
      <c r="AX218" s="7872"/>
    </row>
    <row r="219" spans="1:50" s="7887" customFormat="1" ht="20.100000000000001" customHeight="1">
      <c r="A219" s="7872"/>
      <c r="B219" s="8510"/>
      <c r="C219" s="7939"/>
      <c r="D219" s="8016" t="s">
        <v>140</v>
      </c>
      <c r="E219" s="8017"/>
      <c r="F219" s="8090" t="s">
        <v>732</v>
      </c>
      <c r="G219" s="8514"/>
      <c r="H219" s="8528"/>
      <c r="I219" s="8515" t="s">
        <v>141</v>
      </c>
      <c r="J219" s="8516"/>
      <c r="K219" s="8124" t="s">
        <v>734</v>
      </c>
      <c r="L219" s="7935">
        <v>202</v>
      </c>
      <c r="M219" s="7936">
        <v>84</v>
      </c>
      <c r="N219" s="9253">
        <v>97</v>
      </c>
      <c r="O219" s="8994" t="s">
        <v>3571</v>
      </c>
      <c r="P219" s="7932"/>
      <c r="Q219" s="7932"/>
      <c r="R219" s="8509"/>
      <c r="AX219" s="7872"/>
    </row>
    <row r="220" spans="1:50" s="7887" customFormat="1" ht="20.100000000000001" customHeight="1">
      <c r="A220" s="7872"/>
      <c r="B220" s="8510"/>
      <c r="C220" s="7939"/>
      <c r="D220" s="8016" t="s">
        <v>143</v>
      </c>
      <c r="E220" s="8017"/>
      <c r="F220" s="8090" t="s">
        <v>732</v>
      </c>
      <c r="G220" s="8514"/>
      <c r="H220" s="8528"/>
      <c r="I220" s="8515" t="s">
        <v>144</v>
      </c>
      <c r="J220" s="8516"/>
      <c r="K220" s="8124" t="s">
        <v>734</v>
      </c>
      <c r="L220" s="7935">
        <v>1212</v>
      </c>
      <c r="M220" s="7936">
        <v>2112</v>
      </c>
      <c r="N220" s="9253">
        <v>2038</v>
      </c>
      <c r="O220" s="8994" t="s">
        <v>3570</v>
      </c>
      <c r="P220" s="7932"/>
      <c r="Q220" s="7932"/>
      <c r="R220" s="8509"/>
      <c r="AX220" s="7872"/>
    </row>
    <row r="221" spans="1:50" s="7887" customFormat="1" ht="20.100000000000001" customHeight="1">
      <c r="A221" s="7872"/>
      <c r="B221" s="8510"/>
      <c r="C221" s="7939"/>
      <c r="D221" s="8016" t="s">
        <v>146</v>
      </c>
      <c r="E221" s="8017"/>
      <c r="F221" s="8090" t="s">
        <v>732</v>
      </c>
      <c r="G221" s="8514"/>
      <c r="H221" s="8528"/>
      <c r="I221" s="8515" t="s">
        <v>147</v>
      </c>
      <c r="J221" s="8516"/>
      <c r="K221" s="8124" t="s">
        <v>734</v>
      </c>
      <c r="L221" s="7935">
        <v>103</v>
      </c>
      <c r="M221" s="7936">
        <v>74</v>
      </c>
      <c r="N221" s="9253">
        <v>75</v>
      </c>
      <c r="O221" s="8994" t="s">
        <v>3571</v>
      </c>
      <c r="P221" s="7932"/>
      <c r="Q221" s="7932"/>
      <c r="R221" s="8509"/>
      <c r="AX221" s="7872"/>
    </row>
    <row r="222" spans="1:50" s="7887" customFormat="1" ht="20.100000000000001" customHeight="1">
      <c r="A222" s="7872"/>
      <c r="B222" s="8510"/>
      <c r="C222" s="7939"/>
      <c r="D222" s="8016" t="s">
        <v>149</v>
      </c>
      <c r="E222" s="8017"/>
      <c r="F222" s="8090" t="s">
        <v>732</v>
      </c>
      <c r="G222" s="8514"/>
      <c r="H222" s="8528"/>
      <c r="I222" s="8515" t="s">
        <v>150</v>
      </c>
      <c r="J222" s="8516"/>
      <c r="K222" s="8124" t="s">
        <v>734</v>
      </c>
      <c r="L222" s="7935">
        <v>675</v>
      </c>
      <c r="M222" s="7936">
        <v>713</v>
      </c>
      <c r="N222" s="9253">
        <v>793</v>
      </c>
      <c r="O222" s="8994" t="s">
        <v>3570</v>
      </c>
      <c r="P222" s="7932"/>
      <c r="Q222" s="7932"/>
      <c r="R222" s="8509"/>
      <c r="AX222" s="7872"/>
    </row>
    <row r="223" spans="1:50" s="7887" customFormat="1" ht="20.100000000000001" customHeight="1">
      <c r="A223" s="7872"/>
      <c r="B223" s="8510"/>
      <c r="C223" s="8128"/>
      <c r="D223" s="8524" t="s">
        <v>923</v>
      </c>
      <c r="E223" s="8525"/>
      <c r="F223" s="7957" t="s">
        <v>742</v>
      </c>
      <c r="G223" s="8513"/>
      <c r="H223" s="8533"/>
      <c r="I223" s="8867" t="s">
        <v>3710</v>
      </c>
      <c r="J223" s="8525"/>
      <c r="K223" s="8089" t="s">
        <v>734</v>
      </c>
      <c r="L223" s="8012">
        <f>IF(COUNTBLANK(L224:L229)&gt;0,"미취합법인有",SUM(L224:L229))</f>
        <v>1900</v>
      </c>
      <c r="M223" s="8013">
        <f>IF(COUNTBLANK(M224:M229)&gt;0,"미취합법인有",SUM(M224:M229))</f>
        <v>1728</v>
      </c>
      <c r="N223" s="9247">
        <f>IF(COUNTBLANK(N224:N229)&gt;0,"미취합법인有",SUM(N224:N229))</f>
        <v>1848</v>
      </c>
      <c r="O223" s="8995"/>
      <c r="P223" s="8015" t="s">
        <v>919</v>
      </c>
      <c r="Q223" s="8015" t="s">
        <v>884</v>
      </c>
      <c r="R223" s="8500"/>
      <c r="AX223" s="7872"/>
    </row>
    <row r="224" spans="1:50" s="7887" customFormat="1" ht="20.100000000000001" customHeight="1">
      <c r="A224" s="7872"/>
      <c r="B224" s="8510"/>
      <c r="C224" s="7939"/>
      <c r="D224" s="8016" t="s">
        <v>134</v>
      </c>
      <c r="E224" s="8017"/>
      <c r="F224" s="8090" t="s">
        <v>732</v>
      </c>
      <c r="G224" s="8514"/>
      <c r="H224" s="8528"/>
      <c r="I224" s="8506" t="s">
        <v>135</v>
      </c>
      <c r="J224" s="8508"/>
      <c r="K224" s="8124" t="s">
        <v>734</v>
      </c>
      <c r="L224" s="7935">
        <v>1558</v>
      </c>
      <c r="M224" s="7936">
        <v>1420</v>
      </c>
      <c r="N224" s="9249">
        <v>1581</v>
      </c>
      <c r="O224" s="8994" t="s">
        <v>3572</v>
      </c>
      <c r="P224" s="7932"/>
      <c r="Q224" s="7932"/>
      <c r="R224" s="8509"/>
      <c r="AX224" s="7872"/>
    </row>
    <row r="225" spans="1:50" s="7887" customFormat="1" ht="20.100000000000001" customHeight="1">
      <c r="A225" s="7872"/>
      <c r="B225" s="8510"/>
      <c r="C225" s="7939"/>
      <c r="D225" s="8016" t="s">
        <v>137</v>
      </c>
      <c r="E225" s="8017"/>
      <c r="F225" s="8090" t="s">
        <v>732</v>
      </c>
      <c r="G225" s="8514"/>
      <c r="H225" s="8528"/>
      <c r="I225" s="8506" t="s">
        <v>138</v>
      </c>
      <c r="J225" s="8508"/>
      <c r="K225" s="8124" t="s">
        <v>734</v>
      </c>
      <c r="L225" s="7935">
        <v>20</v>
      </c>
      <c r="M225" s="7936">
        <v>6</v>
      </c>
      <c r="N225" s="9253">
        <v>13</v>
      </c>
      <c r="O225" s="8994" t="s">
        <v>3573</v>
      </c>
      <c r="P225" s="7932"/>
      <c r="Q225" s="7932"/>
      <c r="R225" s="8509"/>
      <c r="AX225" s="7872"/>
    </row>
    <row r="226" spans="1:50" s="7887" customFormat="1" ht="20.100000000000001" customHeight="1">
      <c r="A226" s="7872"/>
      <c r="B226" s="8510"/>
      <c r="C226" s="7939"/>
      <c r="D226" s="8016" t="s">
        <v>140</v>
      </c>
      <c r="E226" s="8017"/>
      <c r="F226" s="8090" t="s">
        <v>732</v>
      </c>
      <c r="G226" s="8514"/>
      <c r="H226" s="8528"/>
      <c r="I226" s="8515" t="s">
        <v>141</v>
      </c>
      <c r="J226" s="8516"/>
      <c r="K226" s="8124" t="s">
        <v>734</v>
      </c>
      <c r="L226" s="7935">
        <v>235</v>
      </c>
      <c r="M226" s="7936">
        <v>147</v>
      </c>
      <c r="N226" s="9253">
        <v>148</v>
      </c>
      <c r="O226" s="8994" t="s">
        <v>3573</v>
      </c>
      <c r="P226" s="7932"/>
      <c r="Q226" s="7932"/>
      <c r="R226" s="8509"/>
      <c r="AX226" s="7872"/>
    </row>
    <row r="227" spans="1:50" s="7887" customFormat="1" ht="20.100000000000001" customHeight="1">
      <c r="A227" s="7872"/>
      <c r="B227" s="8510"/>
      <c r="C227" s="7939"/>
      <c r="D227" s="8016" t="s">
        <v>143</v>
      </c>
      <c r="E227" s="8017"/>
      <c r="F227" s="8090" t="s">
        <v>732</v>
      </c>
      <c r="G227" s="8514"/>
      <c r="H227" s="8528"/>
      <c r="I227" s="8515" t="s">
        <v>144</v>
      </c>
      <c r="J227" s="8516"/>
      <c r="K227" s="8124" t="s">
        <v>734</v>
      </c>
      <c r="L227" s="7935">
        <v>29</v>
      </c>
      <c r="M227" s="7936">
        <v>10</v>
      </c>
      <c r="N227" s="9253">
        <v>12</v>
      </c>
      <c r="O227" s="8994" t="s">
        <v>3572</v>
      </c>
      <c r="P227" s="7932"/>
      <c r="Q227" s="7932"/>
      <c r="R227" s="8509"/>
      <c r="AX227" s="7872"/>
    </row>
    <row r="228" spans="1:50" s="7887" customFormat="1" ht="20.100000000000001" customHeight="1">
      <c r="A228" s="7872"/>
      <c r="B228" s="8510"/>
      <c r="C228" s="7939"/>
      <c r="D228" s="8016" t="s">
        <v>146</v>
      </c>
      <c r="E228" s="8017"/>
      <c r="F228" s="8090" t="s">
        <v>732</v>
      </c>
      <c r="G228" s="8514"/>
      <c r="H228" s="8528"/>
      <c r="I228" s="8515" t="s">
        <v>147</v>
      </c>
      <c r="J228" s="8516"/>
      <c r="K228" s="8124" t="s">
        <v>734</v>
      </c>
      <c r="L228" s="7935">
        <v>0</v>
      </c>
      <c r="M228" s="7936">
        <v>0</v>
      </c>
      <c r="N228" s="9253">
        <v>0</v>
      </c>
      <c r="O228" s="8994" t="s">
        <v>3573</v>
      </c>
      <c r="P228" s="7932"/>
      <c r="Q228" s="7932"/>
      <c r="R228" s="8509"/>
      <c r="AX228" s="7872"/>
    </row>
    <row r="229" spans="1:50" s="7887" customFormat="1" ht="20.100000000000001" customHeight="1">
      <c r="A229" s="7872"/>
      <c r="B229" s="8510"/>
      <c r="C229" s="7939"/>
      <c r="D229" s="8016" t="s">
        <v>149</v>
      </c>
      <c r="E229" s="8017"/>
      <c r="F229" s="8090" t="s">
        <v>732</v>
      </c>
      <c r="G229" s="8554"/>
      <c r="H229" s="8562"/>
      <c r="I229" s="8515" t="s">
        <v>150</v>
      </c>
      <c r="J229" s="8516"/>
      <c r="K229" s="8124" t="s">
        <v>734</v>
      </c>
      <c r="L229" s="7935">
        <v>58</v>
      </c>
      <c r="M229" s="7936">
        <v>145</v>
      </c>
      <c r="N229" s="9253">
        <v>94</v>
      </c>
      <c r="O229" s="8994" t="s">
        <v>3572</v>
      </c>
      <c r="P229" s="7932"/>
      <c r="Q229" s="7932"/>
      <c r="R229" s="8509"/>
      <c r="AX229" s="7872"/>
    </row>
    <row r="230" spans="1:50" s="7887" customFormat="1" ht="30">
      <c r="A230" s="7872"/>
      <c r="B230" s="8510"/>
      <c r="C230" s="8818" t="s">
        <v>3597</v>
      </c>
      <c r="D230" s="8518"/>
      <c r="E230" s="8518"/>
      <c r="F230" s="8518"/>
      <c r="G230" s="8518"/>
      <c r="H230" s="9075" t="s">
        <v>3736</v>
      </c>
      <c r="I230" s="8518"/>
      <c r="J230" s="8518"/>
      <c r="K230" s="8518" t="s">
        <v>168</v>
      </c>
      <c r="L230" s="8563"/>
      <c r="M230" s="8518"/>
      <c r="N230" s="9257"/>
      <c r="O230" s="9010" t="s">
        <v>3779</v>
      </c>
      <c r="P230" s="8015" t="s">
        <v>927</v>
      </c>
      <c r="Q230" s="8015" t="s">
        <v>884</v>
      </c>
      <c r="R230" s="8500"/>
      <c r="AX230" s="7872"/>
    </row>
    <row r="231" spans="1:50" s="7887" customFormat="1" ht="20.100000000000001" customHeight="1">
      <c r="A231" s="7872"/>
      <c r="B231" s="8510"/>
      <c r="C231" s="7939"/>
      <c r="D231" s="8524" t="s">
        <v>823</v>
      </c>
      <c r="E231" s="8525"/>
      <c r="F231" s="7957" t="s">
        <v>156</v>
      </c>
      <c r="G231" s="8513"/>
      <c r="H231" s="8533"/>
      <c r="I231" s="8524" t="s">
        <v>936</v>
      </c>
      <c r="J231" s="8525"/>
      <c r="K231" s="7957" t="s">
        <v>156</v>
      </c>
      <c r="L231" s="8035">
        <f>IF(COUNTBLANK(L232:L237)&gt;0,"미취합법인有",AVERAGE(L232:L237))</f>
        <v>7.4188461032987236</v>
      </c>
      <c r="M231" s="8036">
        <f>IF(COUNTBLANK(M232:M237)&gt;0,"미취합법인有",AVERAGE(M232:M237))</f>
        <v>10.839390792661822</v>
      </c>
      <c r="N231" s="9243">
        <f>IF(COUNTBLANK(N232:N237)&gt;0,"미취합법인有",AVERAGE(N232:N237))</f>
        <v>11.866459090122817</v>
      </c>
      <c r="O231" s="8995"/>
      <c r="P231" s="8015" t="s">
        <v>927</v>
      </c>
      <c r="Q231" s="8015" t="s">
        <v>884</v>
      </c>
      <c r="R231" s="8500"/>
      <c r="AX231" s="7872"/>
    </row>
    <row r="232" spans="1:50" s="7887" customFormat="1" ht="20.100000000000001" customHeight="1">
      <c r="A232" s="7872"/>
      <c r="B232" s="8510"/>
      <c r="C232" s="7939"/>
      <c r="D232" s="8016" t="s">
        <v>134</v>
      </c>
      <c r="E232" s="8017"/>
      <c r="F232" s="7953" t="s">
        <v>156</v>
      </c>
      <c r="G232" s="8514"/>
      <c r="H232" s="8528"/>
      <c r="I232" s="8506" t="s">
        <v>135</v>
      </c>
      <c r="J232" s="8508"/>
      <c r="K232" s="7941" t="s">
        <v>156</v>
      </c>
      <c r="L232" s="8129">
        <f>1542/L16*100</f>
        <v>20.265475095281904</v>
      </c>
      <c r="M232" s="8130">
        <f>3492/M16*100</f>
        <v>36.261682242990659</v>
      </c>
      <c r="N232" s="9258">
        <f>4118/N16*100</f>
        <v>42.740010378827193</v>
      </c>
      <c r="O232" s="8994"/>
      <c r="P232" s="7932"/>
      <c r="Q232" s="7932"/>
      <c r="R232" s="8509"/>
      <c r="AX232" s="7872"/>
    </row>
    <row r="233" spans="1:50" s="7887" customFormat="1" ht="20.100000000000001" customHeight="1">
      <c r="A233" s="7872"/>
      <c r="B233" s="8510"/>
      <c r="C233" s="7939"/>
      <c r="D233" s="8016" t="s">
        <v>137</v>
      </c>
      <c r="E233" s="8017"/>
      <c r="F233" s="7953" t="s">
        <v>156</v>
      </c>
      <c r="G233" s="8514"/>
      <c r="H233" s="8528"/>
      <c r="I233" s="8506" t="s">
        <v>138</v>
      </c>
      <c r="J233" s="8508"/>
      <c r="K233" s="7941" t="s">
        <v>156</v>
      </c>
      <c r="L233" s="8129">
        <f>5/L16*100</f>
        <v>6.5711657247995797E-2</v>
      </c>
      <c r="M233" s="8130">
        <f>6/M16*100</f>
        <v>6.2305295950155763E-2</v>
      </c>
      <c r="N233" s="9258">
        <f>3/N16*100</f>
        <v>3.1136481577581736E-2</v>
      </c>
      <c r="O233" s="8994"/>
      <c r="P233" s="7932"/>
      <c r="Q233" s="7932"/>
      <c r="R233" s="8509"/>
      <c r="AX233" s="7872"/>
    </row>
    <row r="234" spans="1:50" s="7887" customFormat="1" ht="20.100000000000001" customHeight="1">
      <c r="A234" s="7872"/>
      <c r="B234" s="8510"/>
      <c r="C234" s="7939"/>
      <c r="D234" s="8016" t="s">
        <v>140</v>
      </c>
      <c r="E234" s="8017"/>
      <c r="F234" s="7953" t="s">
        <v>156</v>
      </c>
      <c r="G234" s="8514"/>
      <c r="H234" s="8528"/>
      <c r="I234" s="8515" t="s">
        <v>141</v>
      </c>
      <c r="J234" s="8516"/>
      <c r="K234" s="7941" t="s">
        <v>156</v>
      </c>
      <c r="L234" s="8129">
        <f>105/L16*100</f>
        <v>1.3799448022079117</v>
      </c>
      <c r="M234" s="8130">
        <f>25/M16*100</f>
        <v>0.25960539979231567</v>
      </c>
      <c r="N234" s="9258">
        <f>39/N16*100</f>
        <v>0.40477426050856258</v>
      </c>
      <c r="O234" s="8994"/>
      <c r="P234" s="7932"/>
      <c r="Q234" s="7932"/>
      <c r="R234" s="8509"/>
      <c r="AX234" s="7872"/>
    </row>
    <row r="235" spans="1:50" s="7887" customFormat="1" ht="20.100000000000001" customHeight="1">
      <c r="A235" s="7872"/>
      <c r="B235" s="8510"/>
      <c r="C235" s="7939"/>
      <c r="D235" s="8016" t="s">
        <v>143</v>
      </c>
      <c r="E235" s="8017"/>
      <c r="F235" s="7953" t="s">
        <v>156</v>
      </c>
      <c r="G235" s="8514"/>
      <c r="H235" s="8528"/>
      <c r="I235" s="8515" t="s">
        <v>144</v>
      </c>
      <c r="J235" s="8516"/>
      <c r="K235" s="7941" t="s">
        <v>156</v>
      </c>
      <c r="L235" s="8129">
        <f>1129/L16*100</f>
        <v>14.837692206597449</v>
      </c>
      <c r="M235" s="8130">
        <f>2056/M16*100</f>
        <v>21.349948078920043</v>
      </c>
      <c r="N235" s="9258">
        <f>1990/N16*100</f>
        <v>20.653866113129215</v>
      </c>
      <c r="O235" s="8994"/>
      <c r="P235" s="7932"/>
      <c r="Q235" s="7932"/>
      <c r="R235" s="8509"/>
      <c r="AX235" s="7872"/>
    </row>
    <row r="236" spans="1:50" s="7887" customFormat="1" ht="20.100000000000001" customHeight="1">
      <c r="A236" s="7872"/>
      <c r="B236" s="8510"/>
      <c r="C236" s="7939"/>
      <c r="D236" s="8016" t="s">
        <v>146</v>
      </c>
      <c r="E236" s="8017"/>
      <c r="F236" s="7953" t="s">
        <v>156</v>
      </c>
      <c r="G236" s="8514"/>
      <c r="H236" s="8528"/>
      <c r="I236" s="8515" t="s">
        <v>147</v>
      </c>
      <c r="J236" s="8516"/>
      <c r="K236" s="7941" t="s">
        <v>156</v>
      </c>
      <c r="L236" s="8129">
        <f>71/L16*100</f>
        <v>0.9331055329215403</v>
      </c>
      <c r="M236" s="8921">
        <f>28/M16*100</f>
        <v>0.29075804776739356</v>
      </c>
      <c r="N236" s="9259">
        <f>28/N16*100</f>
        <v>0.29060716139076281</v>
      </c>
      <c r="O236" s="8994"/>
      <c r="P236" s="7932"/>
      <c r="Q236" s="7932"/>
      <c r="R236" s="8509"/>
      <c r="AX236" s="7872"/>
    </row>
    <row r="237" spans="1:50" s="7887" customFormat="1" ht="20.100000000000001" customHeight="1">
      <c r="A237" s="7872"/>
      <c r="B237" s="8510"/>
      <c r="C237" s="7939"/>
      <c r="D237" s="8016" t="s">
        <v>149</v>
      </c>
      <c r="E237" s="8017"/>
      <c r="F237" s="7953" t="s">
        <v>156</v>
      </c>
      <c r="G237" s="8514"/>
      <c r="H237" s="8528"/>
      <c r="I237" s="8515" t="s">
        <v>150</v>
      </c>
      <c r="J237" s="8516"/>
      <c r="K237" s="7941" t="s">
        <v>156</v>
      </c>
      <c r="L237" s="8129">
        <f>535/L16*100</f>
        <v>7.0311473255355503</v>
      </c>
      <c r="M237" s="8109">
        <f>656/M16*100</f>
        <v>6.8120456905503639</v>
      </c>
      <c r="N237" s="9242">
        <f>682/N16*100</f>
        <v>7.0783601453035807</v>
      </c>
      <c r="O237" s="8994"/>
      <c r="P237" s="7932"/>
      <c r="Q237" s="7932"/>
      <c r="R237" s="8509"/>
      <c r="AX237" s="7872"/>
    </row>
    <row r="238" spans="1:50" s="7887" customFormat="1" ht="20.100000000000001" customHeight="1">
      <c r="A238" s="7872"/>
      <c r="B238" s="8510"/>
      <c r="C238" s="7939"/>
      <c r="D238" s="8524" t="s">
        <v>827</v>
      </c>
      <c r="E238" s="8525"/>
      <c r="F238" s="7957" t="s">
        <v>156</v>
      </c>
      <c r="G238" s="8513"/>
      <c r="H238" s="8533"/>
      <c r="I238" s="8524" t="s">
        <v>938</v>
      </c>
      <c r="J238" s="8525"/>
      <c r="K238" s="7957" t="s">
        <v>156</v>
      </c>
      <c r="L238" s="8035">
        <f>IF(COUNTBLANK(L239:L244)&gt;0,"미취합법인有",AVERAGE(L239:L244))</f>
        <v>1.0404345730932667</v>
      </c>
      <c r="M238" s="8036">
        <f>IF(COUNTBLANK(M239:M244)&gt;0,"미취합법인有",AVERAGE(M239:M244))</f>
        <v>0.66458982346832818</v>
      </c>
      <c r="N238" s="9243">
        <f>IF(COUNTBLANK(N239:N244)&gt;0,"미취합법인有",AVERAGE(N239:N244))</f>
        <v>0.7317073170731706</v>
      </c>
      <c r="O238" s="9002"/>
      <c r="P238" s="8015" t="s">
        <v>927</v>
      </c>
      <c r="Q238" s="8015" t="s">
        <v>884</v>
      </c>
      <c r="R238" s="8500"/>
      <c r="AX238" s="7872"/>
    </row>
    <row r="239" spans="1:50" s="7887" customFormat="1" ht="20.100000000000001" customHeight="1">
      <c r="A239" s="7872"/>
      <c r="B239" s="8510"/>
      <c r="C239" s="7939"/>
      <c r="D239" s="8016" t="s">
        <v>134</v>
      </c>
      <c r="E239" s="8017"/>
      <c r="F239" s="7953" t="s">
        <v>156</v>
      </c>
      <c r="G239" s="8514"/>
      <c r="H239" s="8528"/>
      <c r="I239" s="8506" t="s">
        <v>135</v>
      </c>
      <c r="J239" s="8508"/>
      <c r="K239" s="7941" t="s">
        <v>156</v>
      </c>
      <c r="L239" s="8129">
        <f>81/L16*100</f>
        <v>1.0645288474175318</v>
      </c>
      <c r="M239" s="8130">
        <f>141/M16*100</f>
        <v>1.4641744548286604</v>
      </c>
      <c r="N239" s="9258">
        <f>137/N16*100</f>
        <v>1.4218993253762324</v>
      </c>
      <c r="O239" s="8994"/>
      <c r="P239" s="7932"/>
      <c r="Q239" s="7932"/>
      <c r="R239" s="8509"/>
      <c r="AX239" s="7872"/>
    </row>
    <row r="240" spans="1:50" s="7887" customFormat="1" ht="20.100000000000001" customHeight="1">
      <c r="A240" s="7872"/>
      <c r="B240" s="8510"/>
      <c r="C240" s="7939"/>
      <c r="D240" s="8016" t="s">
        <v>137</v>
      </c>
      <c r="E240" s="8017"/>
      <c r="F240" s="7953" t="s">
        <v>156</v>
      </c>
      <c r="G240" s="8514"/>
      <c r="H240" s="8528"/>
      <c r="I240" s="8506" t="s">
        <v>138</v>
      </c>
      <c r="J240" s="8508"/>
      <c r="K240" s="7941" t="s">
        <v>156</v>
      </c>
      <c r="L240" s="8129">
        <f>45/L16*100</f>
        <v>0.59140491523196215</v>
      </c>
      <c r="M240" s="8130">
        <f>30/M16*100</f>
        <v>0.3115264797507788</v>
      </c>
      <c r="N240" s="9258">
        <f>32/N16*100</f>
        <v>0.33212247016087182</v>
      </c>
      <c r="O240" s="8994"/>
      <c r="P240" s="7932"/>
      <c r="Q240" s="7932"/>
      <c r="R240" s="8509"/>
      <c r="AX240" s="7872"/>
    </row>
    <row r="241" spans="1:50" s="7887" customFormat="1" ht="20.100000000000001" customHeight="1">
      <c r="A241" s="7872"/>
      <c r="B241" s="8510"/>
      <c r="C241" s="7939"/>
      <c r="D241" s="8016" t="s">
        <v>140</v>
      </c>
      <c r="E241" s="8017"/>
      <c r="F241" s="7953" t="s">
        <v>156</v>
      </c>
      <c r="G241" s="8514"/>
      <c r="H241" s="8528"/>
      <c r="I241" s="8515" t="s">
        <v>141</v>
      </c>
      <c r="J241" s="8516"/>
      <c r="K241" s="7941" t="s">
        <v>156</v>
      </c>
      <c r="L241" s="8129">
        <f>97/L16*100</f>
        <v>1.2748061506111183</v>
      </c>
      <c r="M241" s="8130">
        <f>59/M16*100</f>
        <v>0.612668743509865</v>
      </c>
      <c r="N241" s="9258">
        <f>58/N16*100</f>
        <v>0.60197197716658013</v>
      </c>
      <c r="O241" s="8994"/>
      <c r="P241" s="7932"/>
      <c r="Q241" s="7932"/>
      <c r="R241" s="8509"/>
      <c r="AX241" s="7872"/>
    </row>
    <row r="242" spans="1:50" s="7887" customFormat="1" ht="20.100000000000001" customHeight="1">
      <c r="A242" s="7872"/>
      <c r="B242" s="8510"/>
      <c r="C242" s="7939"/>
      <c r="D242" s="8016" t="s">
        <v>143</v>
      </c>
      <c r="E242" s="8017"/>
      <c r="F242" s="7953" t="s">
        <v>156</v>
      </c>
      <c r="G242" s="8514"/>
      <c r="H242" s="8528"/>
      <c r="I242" s="8515" t="s">
        <v>144</v>
      </c>
      <c r="J242" s="8516"/>
      <c r="K242" s="7941" t="s">
        <v>156</v>
      </c>
      <c r="L242" s="8129">
        <f>83/L16*100</f>
        <v>1.0908135103167302</v>
      </c>
      <c r="M242" s="8130">
        <f>55/M16*100</f>
        <v>0.57113187954309452</v>
      </c>
      <c r="N242" s="9258">
        <f>48/N16*100</f>
        <v>0.49818370524130778</v>
      </c>
      <c r="O242" s="8994"/>
      <c r="P242" s="7932"/>
      <c r="Q242" s="7932"/>
      <c r="R242" s="8509"/>
      <c r="AX242" s="7872"/>
    </row>
    <row r="243" spans="1:50" s="7887" customFormat="1" ht="20.100000000000001" customHeight="1">
      <c r="A243" s="7872"/>
      <c r="B243" s="8510"/>
      <c r="C243" s="7939"/>
      <c r="D243" s="8016" t="s">
        <v>146</v>
      </c>
      <c r="E243" s="8017"/>
      <c r="F243" s="7953" t="s">
        <v>156</v>
      </c>
      <c r="G243" s="8514"/>
      <c r="H243" s="8528"/>
      <c r="I243" s="8515" t="s">
        <v>147</v>
      </c>
      <c r="J243" s="8516"/>
      <c r="K243" s="7941" t="s">
        <v>156</v>
      </c>
      <c r="L243" s="8129">
        <f>32/L16*100</f>
        <v>0.42055460638717307</v>
      </c>
      <c r="M243" s="8921">
        <f>44/M16*100</f>
        <v>0.45690550363447557</v>
      </c>
      <c r="N243" s="9259">
        <f>44/N16*100</f>
        <v>0.45666839647119878</v>
      </c>
      <c r="O243" s="8994"/>
      <c r="P243" s="7932"/>
      <c r="Q243" s="7932"/>
      <c r="R243" s="8509"/>
      <c r="AX243" s="7872"/>
    </row>
    <row r="244" spans="1:50" s="7887" customFormat="1" ht="20.100000000000001" customHeight="1">
      <c r="A244" s="7872"/>
      <c r="B244" s="8510"/>
      <c r="C244" s="7939"/>
      <c r="D244" s="8016" t="s">
        <v>149</v>
      </c>
      <c r="E244" s="8017"/>
      <c r="F244" s="7953" t="s">
        <v>156</v>
      </c>
      <c r="G244" s="8514"/>
      <c r="H244" s="8528"/>
      <c r="I244" s="8515" t="s">
        <v>150</v>
      </c>
      <c r="J244" s="8516"/>
      <c r="K244" s="7941" t="s">
        <v>156</v>
      </c>
      <c r="L244" s="8129">
        <f>137/L16*100</f>
        <v>1.8004994085950847</v>
      </c>
      <c r="M244" s="8109">
        <f>55/M16*100</f>
        <v>0.57113187954309452</v>
      </c>
      <c r="N244" s="9242">
        <f>104/N16*100</f>
        <v>1.0793980280228332</v>
      </c>
      <c r="O244" s="9017"/>
      <c r="P244" s="7932"/>
      <c r="Q244" s="7932"/>
      <c r="R244" s="8509"/>
      <c r="AX244" s="7872"/>
    </row>
    <row r="245" spans="1:50" s="7887" customFormat="1" ht="20.100000000000001" customHeight="1">
      <c r="A245" s="7872"/>
      <c r="B245" s="8510"/>
      <c r="C245" s="8564"/>
      <c r="D245" s="8524" t="s">
        <v>830</v>
      </c>
      <c r="E245" s="8525"/>
      <c r="F245" s="7957" t="s">
        <v>156</v>
      </c>
      <c r="G245" s="8513"/>
      <c r="H245" s="8533"/>
      <c r="I245" s="8524" t="s">
        <v>940</v>
      </c>
      <c r="J245" s="8525"/>
      <c r="K245" s="7957" t="s">
        <v>156</v>
      </c>
      <c r="L245" s="8035">
        <f>IF(COUNTBLANK(L246:L251)&gt;0,"미취합법인有",AVERAGE(L246:L251))</f>
        <v>0.14018486879572437</v>
      </c>
      <c r="M245" s="8036">
        <f>IF(COUNTBLANK(M246:M251)&gt;0,"미취합법인有",AVERAGE(M246:M251))</f>
        <v>5.3651782623745252E-2</v>
      </c>
      <c r="N245" s="9243">
        <f>IF(COUNTBLANK(N246:N251)&gt;0,"미취합법인有",AVERAGE(N246:N251))</f>
        <v>5.0164331430548346E-2</v>
      </c>
      <c r="O245" s="8995"/>
      <c r="P245" s="8015" t="s">
        <v>927</v>
      </c>
      <c r="Q245" s="8015" t="s">
        <v>884</v>
      </c>
      <c r="R245" s="8500"/>
      <c r="AX245" s="7872"/>
    </row>
    <row r="246" spans="1:50" s="7887" customFormat="1" ht="20.100000000000001" customHeight="1">
      <c r="A246" s="7872"/>
      <c r="B246" s="8510"/>
      <c r="C246" s="7939"/>
      <c r="D246" s="8016" t="s">
        <v>134</v>
      </c>
      <c r="E246" s="8017"/>
      <c r="F246" s="7953" t="s">
        <v>156</v>
      </c>
      <c r="G246" s="8514"/>
      <c r="H246" s="8528"/>
      <c r="I246" s="8506" t="s">
        <v>135</v>
      </c>
      <c r="J246" s="8508"/>
      <c r="K246" s="7941" t="s">
        <v>156</v>
      </c>
      <c r="L246" s="8129">
        <f>60/L16*100</f>
        <v>0.78853988697594957</v>
      </c>
      <c r="M246" s="8130">
        <f>26/M16*100</f>
        <v>0.26998961578400832</v>
      </c>
      <c r="N246" s="9258">
        <f>19/N16*100</f>
        <v>0.19719771665801766</v>
      </c>
      <c r="O246" s="8994"/>
      <c r="P246" s="7932"/>
      <c r="Q246" s="7932"/>
      <c r="R246" s="8509"/>
      <c r="AX246" s="7872"/>
    </row>
    <row r="247" spans="1:50" s="7887" customFormat="1" ht="20.100000000000001" customHeight="1">
      <c r="A247" s="7872"/>
      <c r="B247" s="8510"/>
      <c r="C247" s="7939"/>
      <c r="D247" s="8016" t="s">
        <v>137</v>
      </c>
      <c r="E247" s="8017"/>
      <c r="F247" s="7953" t="s">
        <v>156</v>
      </c>
      <c r="G247" s="8514"/>
      <c r="H247" s="8528"/>
      <c r="I247" s="8506" t="s">
        <v>138</v>
      </c>
      <c r="J247" s="8508"/>
      <c r="K247" s="7941" t="s">
        <v>156</v>
      </c>
      <c r="L247" s="8129">
        <f>1/L16*100</f>
        <v>1.3142331449599158E-2</v>
      </c>
      <c r="M247" s="8130">
        <f>1/M16*100</f>
        <v>1.0384215991692628E-2</v>
      </c>
      <c r="N247" s="9258">
        <v>0</v>
      </c>
      <c r="O247" s="8994"/>
      <c r="P247" s="7932"/>
      <c r="Q247" s="7932"/>
      <c r="R247" s="8509"/>
      <c r="AX247" s="7872"/>
    </row>
    <row r="248" spans="1:50" s="7887" customFormat="1" ht="20.100000000000001" customHeight="1">
      <c r="A248" s="7872"/>
      <c r="B248" s="8510"/>
      <c r="C248" s="7939"/>
      <c r="D248" s="8016" t="s">
        <v>140</v>
      </c>
      <c r="E248" s="8017"/>
      <c r="F248" s="7953" t="s">
        <v>156</v>
      </c>
      <c r="G248" s="8514"/>
      <c r="H248" s="8528"/>
      <c r="I248" s="8515" t="s">
        <v>141</v>
      </c>
      <c r="J248" s="8516"/>
      <c r="K248" s="7941" t="s">
        <v>156</v>
      </c>
      <c r="L248" s="8129">
        <v>0</v>
      </c>
      <c r="M248" s="8130">
        <v>0</v>
      </c>
      <c r="N248" s="9258">
        <v>0</v>
      </c>
      <c r="O248" s="8994"/>
      <c r="P248" s="7932"/>
      <c r="Q248" s="7932"/>
      <c r="R248" s="8509"/>
      <c r="AX248" s="7872"/>
    </row>
    <row r="249" spans="1:50" s="7887" customFormat="1" ht="20.100000000000001" customHeight="1">
      <c r="A249" s="7872"/>
      <c r="B249" s="8510"/>
      <c r="C249" s="7939"/>
      <c r="D249" s="8016" t="s">
        <v>143</v>
      </c>
      <c r="E249" s="8017"/>
      <c r="F249" s="7953" t="s">
        <v>156</v>
      </c>
      <c r="G249" s="8514"/>
      <c r="H249" s="8528"/>
      <c r="I249" s="8515" t="s">
        <v>144</v>
      </c>
      <c r="J249" s="8516"/>
      <c r="K249" s="7941" t="s">
        <v>156</v>
      </c>
      <c r="L249" s="8129">
        <v>0</v>
      </c>
      <c r="M249" s="8130">
        <f>1/M16*100</f>
        <v>1.0384215991692628E-2</v>
      </c>
      <c r="N249" s="9258">
        <v>0</v>
      </c>
      <c r="O249" s="8994"/>
      <c r="P249" s="7932"/>
      <c r="Q249" s="7932"/>
      <c r="R249" s="8509"/>
      <c r="AX249" s="7872"/>
    </row>
    <row r="250" spans="1:50" s="7887" customFormat="1" ht="20.100000000000001" customHeight="1">
      <c r="A250" s="7872"/>
      <c r="B250" s="8510"/>
      <c r="C250" s="7939"/>
      <c r="D250" s="8016" t="s">
        <v>146</v>
      </c>
      <c r="E250" s="8017"/>
      <c r="F250" s="7953" t="s">
        <v>156</v>
      </c>
      <c r="G250" s="8514"/>
      <c r="H250" s="8528"/>
      <c r="I250" s="8515" t="s">
        <v>147</v>
      </c>
      <c r="J250" s="8516"/>
      <c r="K250" s="7941" t="s">
        <v>156</v>
      </c>
      <c r="L250" s="8129">
        <v>0</v>
      </c>
      <c r="M250" s="8921">
        <f>1/M16*100</f>
        <v>1.0384215991692628E-2</v>
      </c>
      <c r="N250" s="9259">
        <f>3/N16*100</f>
        <v>3.1136481577581736E-2</v>
      </c>
      <c r="O250" s="8994"/>
      <c r="P250" s="7932"/>
      <c r="Q250" s="7932"/>
      <c r="R250" s="8509"/>
      <c r="AX250" s="7872"/>
    </row>
    <row r="251" spans="1:50" s="7887" customFormat="1" ht="20.100000000000001" customHeight="1">
      <c r="A251" s="7872"/>
      <c r="B251" s="8510"/>
      <c r="C251" s="7939"/>
      <c r="D251" s="8016" t="s">
        <v>149</v>
      </c>
      <c r="E251" s="8017"/>
      <c r="F251" s="7953" t="s">
        <v>156</v>
      </c>
      <c r="G251" s="8514"/>
      <c r="H251" s="8528"/>
      <c r="I251" s="8515" t="s">
        <v>150</v>
      </c>
      <c r="J251" s="8516"/>
      <c r="K251" s="7941" t="s">
        <v>156</v>
      </c>
      <c r="L251" s="8129">
        <f>3/L16*100</f>
        <v>3.9426994348797477E-2</v>
      </c>
      <c r="M251" s="8109">
        <f>2/M16*100</f>
        <v>2.0768431983385256E-2</v>
      </c>
      <c r="N251" s="9242">
        <f>7/N16*100</f>
        <v>7.2651790347690703E-2</v>
      </c>
      <c r="O251" s="9017"/>
      <c r="P251" s="7932"/>
      <c r="Q251" s="7932"/>
      <c r="R251" s="8509"/>
      <c r="AX251" s="7872"/>
    </row>
    <row r="252" spans="1:50" s="7887" customFormat="1" ht="30">
      <c r="A252" s="7872"/>
      <c r="B252" s="8510"/>
      <c r="C252" s="8818" t="s">
        <v>3598</v>
      </c>
      <c r="D252" s="8518"/>
      <c r="E252" s="8518"/>
      <c r="F252" s="8518"/>
      <c r="G252" s="8518"/>
      <c r="H252" s="9075" t="s">
        <v>3711</v>
      </c>
      <c r="I252" s="8518"/>
      <c r="J252" s="8518"/>
      <c r="K252" s="8518" t="s">
        <v>168</v>
      </c>
      <c r="L252" s="8563"/>
      <c r="M252" s="8518"/>
      <c r="N252" s="9257"/>
      <c r="O252" s="9010" t="s">
        <v>3780</v>
      </c>
      <c r="P252" s="8015" t="s">
        <v>927</v>
      </c>
      <c r="Q252" s="8015" t="s">
        <v>884</v>
      </c>
      <c r="R252" s="8500"/>
      <c r="AX252" s="7872"/>
    </row>
    <row r="253" spans="1:50" s="7887" customFormat="1" ht="20.100000000000001" customHeight="1">
      <c r="A253" s="7872"/>
      <c r="B253" s="8510"/>
      <c r="C253" s="7939"/>
      <c r="D253" s="8524" t="s">
        <v>796</v>
      </c>
      <c r="E253" s="8525"/>
      <c r="F253" s="7957" t="s">
        <v>156</v>
      </c>
      <c r="G253" s="8513"/>
      <c r="H253" s="8533"/>
      <c r="I253" s="8524" t="s">
        <v>928</v>
      </c>
      <c r="J253" s="8525"/>
      <c r="K253" s="7957" t="s">
        <v>156</v>
      </c>
      <c r="L253" s="8035">
        <f>IF(COUNTBLANK(L254:L259)&gt;0,"미취합법인有",AVERAGE(L254:L259))</f>
        <v>4.2800192754194599</v>
      </c>
      <c r="M253" s="8036">
        <f>IF(COUNTBLANK(M254:M259)&gt;0,"미취합법인有",AVERAGE(M254:M259))</f>
        <v>5.5953617168570426</v>
      </c>
      <c r="N253" s="9243">
        <f>IF(COUNTBLANK(N254:N259)&gt;0,"미취합법인有",AVERAGE(N254:N259))</f>
        <v>6.1096696073343715</v>
      </c>
      <c r="O253" s="8995"/>
      <c r="P253" s="8015" t="s">
        <v>927</v>
      </c>
      <c r="Q253" s="8015" t="s">
        <v>884</v>
      </c>
      <c r="R253" s="8500"/>
      <c r="AX253" s="7872"/>
    </row>
    <row r="254" spans="1:50" s="7887" customFormat="1" ht="20.100000000000001" customHeight="1">
      <c r="A254" s="7872"/>
      <c r="B254" s="8510"/>
      <c r="C254" s="7939"/>
      <c r="D254" s="8016" t="s">
        <v>134</v>
      </c>
      <c r="E254" s="8017"/>
      <c r="F254" s="7953" t="s">
        <v>156</v>
      </c>
      <c r="G254" s="8514"/>
      <c r="H254" s="8528"/>
      <c r="I254" s="8506" t="s">
        <v>135</v>
      </c>
      <c r="J254" s="8508"/>
      <c r="K254" s="7941" t="s">
        <v>156</v>
      </c>
      <c r="L254" s="8129">
        <f>765/L16*100</f>
        <v>10.053883558943356</v>
      </c>
      <c r="M254" s="8109">
        <f>1710/M16*100</f>
        <v>17.75700934579439</v>
      </c>
      <c r="N254" s="9258">
        <f>1984/N16*100</f>
        <v>20.591593149974052</v>
      </c>
      <c r="O254" s="8994"/>
      <c r="P254" s="7932"/>
      <c r="Q254" s="7932"/>
      <c r="R254" s="8509"/>
      <c r="AX254" s="7872"/>
    </row>
    <row r="255" spans="1:50" s="7887" customFormat="1" ht="20.100000000000001" customHeight="1">
      <c r="A255" s="7872"/>
      <c r="B255" s="8510"/>
      <c r="C255" s="7939"/>
      <c r="D255" s="8016" t="s">
        <v>137</v>
      </c>
      <c r="E255" s="8017"/>
      <c r="F255" s="7953" t="s">
        <v>156</v>
      </c>
      <c r="G255" s="8514"/>
      <c r="H255" s="8528"/>
      <c r="I255" s="8506" t="s">
        <v>138</v>
      </c>
      <c r="J255" s="8508"/>
      <c r="K255" s="7941" t="s">
        <v>156</v>
      </c>
      <c r="L255" s="8129">
        <f>35/L16*100</f>
        <v>0.45998160073597055</v>
      </c>
      <c r="M255" s="8107">
        <f>30/M16*100</f>
        <v>0.3115264797507788</v>
      </c>
      <c r="N255" s="9258">
        <f>26/N16*100</f>
        <v>0.26984950700570831</v>
      </c>
      <c r="O255" s="8994"/>
      <c r="P255" s="7932"/>
      <c r="Q255" s="7932"/>
      <c r="R255" s="8509"/>
      <c r="AX255" s="7872"/>
    </row>
    <row r="256" spans="1:50" s="7887" customFormat="1" ht="20.100000000000001" customHeight="1">
      <c r="A256" s="7872"/>
      <c r="B256" s="8510"/>
      <c r="C256" s="7939"/>
      <c r="D256" s="8016" t="s">
        <v>140</v>
      </c>
      <c r="E256" s="8017"/>
      <c r="F256" s="7953" t="s">
        <v>156</v>
      </c>
      <c r="G256" s="8514"/>
      <c r="H256" s="8528"/>
      <c r="I256" s="8515" t="s">
        <v>141</v>
      </c>
      <c r="J256" s="8516"/>
      <c r="K256" s="7941" t="s">
        <v>156</v>
      </c>
      <c r="L256" s="8129">
        <f>104/L16*100</f>
        <v>1.3668024707583124</v>
      </c>
      <c r="M256" s="8109">
        <f>49/M16*100</f>
        <v>0.50882658359293875</v>
      </c>
      <c r="N256" s="9258">
        <f>62/N16*100</f>
        <v>0.64348728593668914</v>
      </c>
      <c r="O256" s="8994"/>
      <c r="P256" s="7932"/>
      <c r="Q256" s="7932"/>
      <c r="R256" s="8509"/>
      <c r="AX256" s="7872"/>
    </row>
    <row r="257" spans="1:50" s="7887" customFormat="1" ht="20.100000000000001" customHeight="1">
      <c r="A257" s="7872"/>
      <c r="B257" s="8510"/>
      <c r="C257" s="7939"/>
      <c r="D257" s="8016" t="s">
        <v>143</v>
      </c>
      <c r="E257" s="8017"/>
      <c r="F257" s="7953" t="s">
        <v>156</v>
      </c>
      <c r="G257" s="8514"/>
      <c r="H257" s="8528"/>
      <c r="I257" s="8515" t="s">
        <v>144</v>
      </c>
      <c r="J257" s="8516"/>
      <c r="K257" s="7941" t="s">
        <v>156</v>
      </c>
      <c r="L257" s="8129">
        <f>590/L16*100</f>
        <v>7.7539755552635032</v>
      </c>
      <c r="M257" s="8109">
        <f>1012/M16*100</f>
        <v>10.508826583592938</v>
      </c>
      <c r="N257" s="9258">
        <f>989/N16*100</f>
        <v>10.264660093409445</v>
      </c>
      <c r="O257" s="8994"/>
      <c r="P257" s="7932"/>
      <c r="Q257" s="7932"/>
      <c r="R257" s="8509"/>
      <c r="AX257" s="7872"/>
    </row>
    <row r="258" spans="1:50" s="7887" customFormat="1" ht="20.100000000000001" customHeight="1">
      <c r="A258" s="7872"/>
      <c r="B258" s="8510"/>
      <c r="C258" s="7939"/>
      <c r="D258" s="8016" t="s">
        <v>146</v>
      </c>
      <c r="E258" s="8017"/>
      <c r="F258" s="7953" t="s">
        <v>156</v>
      </c>
      <c r="G258" s="8514"/>
      <c r="H258" s="8528"/>
      <c r="I258" s="8515" t="s">
        <v>147</v>
      </c>
      <c r="J258" s="8516"/>
      <c r="K258" s="7941" t="s">
        <v>156</v>
      </c>
      <c r="L258" s="8131">
        <f>63/L16*100</f>
        <v>0.82796688132474694</v>
      </c>
      <c r="M258" s="8132">
        <f>43/M16*100</f>
        <v>0.44652128764278293</v>
      </c>
      <c r="N258" s="9259">
        <f>53/N16*100</f>
        <v>0.55007784120394398</v>
      </c>
      <c r="O258" s="8994"/>
      <c r="P258" s="7932"/>
      <c r="Q258" s="7932"/>
      <c r="R258" s="8509"/>
      <c r="AX258" s="7872"/>
    </row>
    <row r="259" spans="1:50" s="7887" customFormat="1" ht="20.100000000000001" customHeight="1">
      <c r="A259" s="7872"/>
      <c r="B259" s="8510"/>
      <c r="C259" s="7939"/>
      <c r="D259" s="8016" t="s">
        <v>149</v>
      </c>
      <c r="E259" s="8017"/>
      <c r="F259" s="7953" t="s">
        <v>156</v>
      </c>
      <c r="G259" s="8514"/>
      <c r="H259" s="8528"/>
      <c r="I259" s="8515" t="s">
        <v>150</v>
      </c>
      <c r="J259" s="8516"/>
      <c r="K259" s="7941" t="s">
        <v>156</v>
      </c>
      <c r="L259" s="8129">
        <f>397/L16*100</f>
        <v>5.2175055854908665</v>
      </c>
      <c r="M259" s="8109">
        <f>389/M16*100</f>
        <v>4.0394600207684315</v>
      </c>
      <c r="N259" s="9242">
        <f>418/N16*100</f>
        <v>4.3383497664763881</v>
      </c>
      <c r="O259" s="9017"/>
      <c r="P259" s="7932"/>
      <c r="Q259" s="7932"/>
      <c r="R259" s="8509"/>
      <c r="AX259" s="7872"/>
    </row>
    <row r="260" spans="1:50" s="7887" customFormat="1" ht="20.100000000000001" customHeight="1">
      <c r="A260" s="7872"/>
      <c r="B260" s="8510"/>
      <c r="C260" s="7939"/>
      <c r="D260" s="8524" t="s">
        <v>802</v>
      </c>
      <c r="E260" s="8525"/>
      <c r="F260" s="7957" t="s">
        <v>156</v>
      </c>
      <c r="G260" s="8513"/>
      <c r="H260" s="8533"/>
      <c r="I260" s="8524" t="s">
        <v>933</v>
      </c>
      <c r="J260" s="8525"/>
      <c r="K260" s="7957" t="s">
        <v>156</v>
      </c>
      <c r="L260" s="8035">
        <f>IF(COUNTBLANK(L261:L266)&gt;0,"미취합법인有",AVERAGE(L261:L266))</f>
        <v>4.3194462697682576</v>
      </c>
      <c r="M260" s="8036">
        <f>IF(COUNTBLANK(M261:M266)&gt;0,"미취합법인有",AVERAGE(M261:M266))</f>
        <v>5.9449636552440284</v>
      </c>
      <c r="N260" s="9243">
        <f>IF(COUNTBLANK(N261:N266)&gt;0,"미취합법인有",AVERAGE(N261:N266))</f>
        <v>6.538661131292165</v>
      </c>
      <c r="O260" s="8995"/>
      <c r="P260" s="8015" t="s">
        <v>927</v>
      </c>
      <c r="Q260" s="8015" t="s">
        <v>884</v>
      </c>
      <c r="R260" s="8500"/>
      <c r="AX260" s="7872"/>
    </row>
    <row r="261" spans="1:50" s="7887" customFormat="1" ht="20.100000000000001" customHeight="1">
      <c r="A261" s="7872"/>
      <c r="B261" s="8510"/>
      <c r="C261" s="7939"/>
      <c r="D261" s="8016" t="s">
        <v>134</v>
      </c>
      <c r="E261" s="8017"/>
      <c r="F261" s="7953" t="s">
        <v>156</v>
      </c>
      <c r="G261" s="8514"/>
      <c r="H261" s="8528"/>
      <c r="I261" s="8506" t="s">
        <v>135</v>
      </c>
      <c r="J261" s="8508"/>
      <c r="K261" s="7941" t="s">
        <v>156</v>
      </c>
      <c r="L261" s="8129">
        <f>918/L16*100</f>
        <v>12.064660270732027</v>
      </c>
      <c r="M261" s="8109">
        <f>1949/M16*100</f>
        <v>20.238836967808929</v>
      </c>
      <c r="N261" s="9258">
        <f>2290/N16*100</f>
        <v>23.767514270887389</v>
      </c>
      <c r="O261" s="8994"/>
      <c r="P261" s="7932"/>
      <c r="Q261" s="7932"/>
      <c r="R261" s="8509"/>
      <c r="AX261" s="7872"/>
    </row>
    <row r="262" spans="1:50" s="7887" customFormat="1" ht="20.100000000000001" customHeight="1">
      <c r="A262" s="7872"/>
      <c r="B262" s="8510"/>
      <c r="C262" s="7939"/>
      <c r="D262" s="8016" t="s">
        <v>137</v>
      </c>
      <c r="E262" s="8017"/>
      <c r="F262" s="7953" t="s">
        <v>156</v>
      </c>
      <c r="G262" s="8514"/>
      <c r="H262" s="8528"/>
      <c r="I262" s="8506" t="s">
        <v>138</v>
      </c>
      <c r="J262" s="8508"/>
      <c r="K262" s="7941" t="s">
        <v>156</v>
      </c>
      <c r="L262" s="8129">
        <f>16/L16*100</f>
        <v>0.21027730319358653</v>
      </c>
      <c r="M262" s="8107">
        <f>7/M16*100</f>
        <v>7.2689511941848389E-2</v>
      </c>
      <c r="N262" s="9258">
        <f>9/N16*100</f>
        <v>9.3409444732745206E-2</v>
      </c>
      <c r="O262" s="8994"/>
      <c r="P262" s="7932"/>
      <c r="Q262" s="7932"/>
      <c r="R262" s="8509"/>
      <c r="AX262" s="7872"/>
    </row>
    <row r="263" spans="1:50" s="7887" customFormat="1" ht="20.100000000000001" customHeight="1">
      <c r="A263" s="7872"/>
      <c r="B263" s="8510"/>
      <c r="C263" s="7939"/>
      <c r="D263" s="8016" t="s">
        <v>140</v>
      </c>
      <c r="E263" s="8017"/>
      <c r="F263" s="7953" t="s">
        <v>156</v>
      </c>
      <c r="G263" s="8514"/>
      <c r="H263" s="8528"/>
      <c r="I263" s="8515" t="s">
        <v>141</v>
      </c>
      <c r="J263" s="8516"/>
      <c r="K263" s="7941" t="s">
        <v>156</v>
      </c>
      <c r="L263" s="8129">
        <f>98/L16*100</f>
        <v>1.2879484820607177</v>
      </c>
      <c r="M263" s="8109">
        <f>35/M16*100</f>
        <v>0.36344755970924197</v>
      </c>
      <c r="N263" s="9258">
        <f>35/N16*100</f>
        <v>0.36325895173845357</v>
      </c>
      <c r="O263" s="8994"/>
      <c r="P263" s="7932"/>
      <c r="Q263" s="7932"/>
      <c r="R263" s="8509"/>
      <c r="AX263" s="7872"/>
    </row>
    <row r="264" spans="1:50" s="7887" customFormat="1" ht="20.100000000000001" customHeight="1">
      <c r="A264" s="7872"/>
      <c r="B264" s="8510"/>
      <c r="C264" s="7939"/>
      <c r="D264" s="8016" t="s">
        <v>143</v>
      </c>
      <c r="E264" s="8017"/>
      <c r="F264" s="7953" t="s">
        <v>156</v>
      </c>
      <c r="G264" s="8514"/>
      <c r="H264" s="8528"/>
      <c r="I264" s="8515" t="s">
        <v>144</v>
      </c>
      <c r="J264" s="8516"/>
      <c r="K264" s="7941" t="s">
        <v>156</v>
      </c>
      <c r="L264" s="8129">
        <f>622/L16*100</f>
        <v>8.1745301616506776</v>
      </c>
      <c r="M264" s="8109">
        <f>1100/M16*100</f>
        <v>11.422637590861889</v>
      </c>
      <c r="N264" s="9258">
        <f>1049/N16*100</f>
        <v>10.887389724961078</v>
      </c>
      <c r="O264" s="8994"/>
      <c r="P264" s="7932"/>
      <c r="Q264" s="7932"/>
      <c r="R264" s="8509"/>
      <c r="AX264" s="7872"/>
    </row>
    <row r="265" spans="1:50" s="7887" customFormat="1" ht="20.100000000000001" customHeight="1">
      <c r="A265" s="7872"/>
      <c r="B265" s="8510"/>
      <c r="C265" s="7939"/>
      <c r="D265" s="8016" t="s">
        <v>146</v>
      </c>
      <c r="E265" s="8017"/>
      <c r="F265" s="7953" t="s">
        <v>156</v>
      </c>
      <c r="G265" s="8514"/>
      <c r="H265" s="8528"/>
      <c r="I265" s="8515" t="s">
        <v>147</v>
      </c>
      <c r="J265" s="8516"/>
      <c r="K265" s="7941" t="s">
        <v>156</v>
      </c>
      <c r="L265" s="8131">
        <f>40/L16*100</f>
        <v>0.52569325798396638</v>
      </c>
      <c r="M265" s="8132">
        <f>20/M16*100</f>
        <v>0.20768431983385255</v>
      </c>
      <c r="N265" s="9259">
        <f>22/N16*100</f>
        <v>0.22833419823559939</v>
      </c>
      <c r="O265" s="8994"/>
      <c r="P265" s="7932"/>
      <c r="Q265" s="7932"/>
      <c r="R265" s="8509"/>
      <c r="AX265" s="7872"/>
    </row>
    <row r="266" spans="1:50" s="7887" customFormat="1" ht="20.100000000000001" customHeight="1">
      <c r="A266" s="7872"/>
      <c r="B266" s="8510"/>
      <c r="C266" s="7939"/>
      <c r="D266" s="8016" t="s">
        <v>149</v>
      </c>
      <c r="E266" s="8017"/>
      <c r="F266" s="7953" t="s">
        <v>156</v>
      </c>
      <c r="G266" s="8514"/>
      <c r="H266" s="8528"/>
      <c r="I266" s="8515" t="s">
        <v>150</v>
      </c>
      <c r="J266" s="8516"/>
      <c r="K266" s="7941" t="s">
        <v>156</v>
      </c>
      <c r="L266" s="8129">
        <f>278/L16*100</f>
        <v>3.6535681429885662</v>
      </c>
      <c r="M266" s="8109">
        <f>324/M16*100</f>
        <v>3.3644859813084111</v>
      </c>
      <c r="N266" s="9242">
        <f>375/N16*100</f>
        <v>3.8920601971977167</v>
      </c>
      <c r="O266" s="8994"/>
      <c r="P266" s="7932"/>
      <c r="Q266" s="7932"/>
      <c r="R266" s="8509"/>
      <c r="AX266" s="7872"/>
    </row>
    <row r="267" spans="1:50" s="7887" customFormat="1" ht="30">
      <c r="A267" s="7872"/>
      <c r="B267" s="8510"/>
      <c r="C267" s="8818" t="s">
        <v>3599</v>
      </c>
      <c r="D267" s="8518"/>
      <c r="E267" s="8518"/>
      <c r="F267" s="8518"/>
      <c r="G267" s="8518"/>
      <c r="H267" s="9075" t="s">
        <v>3712</v>
      </c>
      <c r="I267" s="8518"/>
      <c r="J267" s="8518"/>
      <c r="K267" s="8518" t="s">
        <v>168</v>
      </c>
      <c r="L267" s="9074"/>
      <c r="M267" s="9075"/>
      <c r="N267" s="9260"/>
      <c r="O267" s="9010" t="s">
        <v>3781</v>
      </c>
      <c r="P267" s="8015" t="s">
        <v>919</v>
      </c>
      <c r="Q267" s="8015" t="s">
        <v>884</v>
      </c>
      <c r="R267" s="8500"/>
      <c r="AX267" s="7872"/>
    </row>
    <row r="268" spans="1:50" s="7887" customFormat="1" ht="20.100000000000001" customHeight="1">
      <c r="A268" s="7872"/>
      <c r="B268" s="8510"/>
      <c r="C268" s="7939"/>
      <c r="D268" s="8524" t="s">
        <v>823</v>
      </c>
      <c r="E268" s="8525"/>
      <c r="F268" s="7957" t="s">
        <v>156</v>
      </c>
      <c r="G268" s="8513"/>
      <c r="H268" s="8533"/>
      <c r="I268" s="8524" t="s">
        <v>936</v>
      </c>
      <c r="J268" s="8525"/>
      <c r="K268" s="7957" t="s">
        <v>156</v>
      </c>
      <c r="L268" s="8035">
        <f>IF(COUNTBLANK(L269:L274)&gt;0,"미취합법인有",AVERAGE(L269:L274))</f>
        <v>3.1432076050291324</v>
      </c>
      <c r="M268" s="8036">
        <f>IF(COUNTBLANK(M269:M274)&gt;0,"미취합법인有",AVERAGE(M269:M274))</f>
        <v>2.4679820006922806</v>
      </c>
      <c r="N268" s="9243">
        <f>IF(COUNTBLANK(N269:N274)&gt;0,"미취합법인有",AVERAGE(N269:N274))</f>
        <v>2.790174710257741</v>
      </c>
      <c r="O268" s="8995"/>
      <c r="P268" s="8015" t="s">
        <v>919</v>
      </c>
      <c r="Q268" s="8015" t="s">
        <v>884</v>
      </c>
      <c r="R268" s="8500"/>
      <c r="AX268" s="7872"/>
    </row>
    <row r="269" spans="1:50" s="7887" customFormat="1" ht="20.100000000000001" customHeight="1">
      <c r="A269" s="7872"/>
      <c r="B269" s="8510"/>
      <c r="C269" s="7939"/>
      <c r="D269" s="8016" t="s">
        <v>134</v>
      </c>
      <c r="E269" s="8017"/>
      <c r="F269" s="7953" t="s">
        <v>156</v>
      </c>
      <c r="G269" s="8514"/>
      <c r="H269" s="8528"/>
      <c r="I269" s="8506" t="s">
        <v>135</v>
      </c>
      <c r="J269" s="8508"/>
      <c r="K269" s="7941" t="s">
        <v>156</v>
      </c>
      <c r="L269" s="8106">
        <f>1350/L16*100</f>
        <v>17.742147456958865</v>
      </c>
      <c r="M269" s="8109">
        <f>1290/M16*100</f>
        <v>13.395638629283487</v>
      </c>
      <c r="N269" s="9261">
        <f>1501/N16*100</f>
        <v>15.578619615983394</v>
      </c>
      <c r="O269" s="8994"/>
      <c r="P269" s="7932"/>
      <c r="Q269" s="7932"/>
      <c r="R269" s="8509"/>
      <c r="AX269" s="7872"/>
    </row>
    <row r="270" spans="1:50" s="7887" customFormat="1" ht="20.100000000000001" customHeight="1">
      <c r="A270" s="7872"/>
      <c r="B270" s="8510"/>
      <c r="C270" s="7939"/>
      <c r="D270" s="8016" t="s">
        <v>137</v>
      </c>
      <c r="E270" s="8017"/>
      <c r="F270" s="7953" t="s">
        <v>156</v>
      </c>
      <c r="G270" s="8514"/>
      <c r="H270" s="8528"/>
      <c r="I270" s="8506" t="s">
        <v>138</v>
      </c>
      <c r="J270" s="8508"/>
      <c r="K270" s="7941" t="s">
        <v>156</v>
      </c>
      <c r="L270" s="8133">
        <f>1/L16*100</f>
        <v>1.3142331449599158E-2</v>
      </c>
      <c r="M270" s="8109">
        <f>2/M16*100</f>
        <v>2.0768431983385256E-2</v>
      </c>
      <c r="N270" s="9261">
        <f>7/N16*100</f>
        <v>7.2651790347690703E-2</v>
      </c>
      <c r="O270" s="8994"/>
      <c r="P270" s="7932"/>
      <c r="Q270" s="7932"/>
      <c r="R270" s="8509"/>
      <c r="AX270" s="7872"/>
    </row>
    <row r="271" spans="1:50" s="7887" customFormat="1" ht="20.100000000000001" customHeight="1">
      <c r="A271" s="7872"/>
      <c r="B271" s="8510"/>
      <c r="C271" s="7939"/>
      <c r="D271" s="8016" t="s">
        <v>140</v>
      </c>
      <c r="E271" s="8017"/>
      <c r="F271" s="7953" t="s">
        <v>156</v>
      </c>
      <c r="G271" s="8514"/>
      <c r="H271" s="8528"/>
      <c r="I271" s="8515" t="s">
        <v>141</v>
      </c>
      <c r="J271" s="8516"/>
      <c r="K271" s="7941" t="s">
        <v>156</v>
      </c>
      <c r="L271" s="8106">
        <f>44/L16*100</f>
        <v>0.57826258378236295</v>
      </c>
      <c r="M271" s="8109">
        <f>28/M16*100</f>
        <v>0.29075804776739356</v>
      </c>
      <c r="N271" s="9261">
        <f>33/N16*100</f>
        <v>0.34250129735339907</v>
      </c>
      <c r="O271" s="8994"/>
      <c r="P271" s="7932"/>
      <c r="Q271" s="7932"/>
      <c r="R271" s="8509"/>
      <c r="AX271" s="7872"/>
    </row>
    <row r="272" spans="1:50" s="7887" customFormat="1" ht="20.100000000000001" customHeight="1">
      <c r="A272" s="7872"/>
      <c r="B272" s="8510"/>
      <c r="C272" s="7939"/>
      <c r="D272" s="8016" t="s">
        <v>143</v>
      </c>
      <c r="E272" s="8017"/>
      <c r="F272" s="7953" t="s">
        <v>156</v>
      </c>
      <c r="G272" s="8514"/>
      <c r="H272" s="8528"/>
      <c r="I272" s="8515" t="s">
        <v>144</v>
      </c>
      <c r="J272" s="8516"/>
      <c r="K272" s="7941" t="s">
        <v>156</v>
      </c>
      <c r="L272" s="8106">
        <f>15/L16*100</f>
        <v>0.19713497174398739</v>
      </c>
      <c r="M272" s="8109">
        <f>8/M16*100</f>
        <v>8.3073727933541022E-2</v>
      </c>
      <c r="N272" s="9261">
        <f>6/N16*100</f>
        <v>6.2272963155163473E-2</v>
      </c>
      <c r="O272" s="8994"/>
      <c r="P272" s="7932"/>
      <c r="Q272" s="7932"/>
      <c r="R272" s="8509"/>
      <c r="AX272" s="7872"/>
    </row>
    <row r="273" spans="1:50" s="7887" customFormat="1" ht="20.100000000000001" customHeight="1">
      <c r="A273" s="7872"/>
      <c r="B273" s="8510"/>
      <c r="C273" s="7939"/>
      <c r="D273" s="8016" t="s">
        <v>146</v>
      </c>
      <c r="E273" s="8017"/>
      <c r="F273" s="7953" t="s">
        <v>156</v>
      </c>
      <c r="G273" s="8514"/>
      <c r="H273" s="8528"/>
      <c r="I273" s="8515" t="s">
        <v>147</v>
      </c>
      <c r="J273" s="8516"/>
      <c r="K273" s="7941" t="s">
        <v>156</v>
      </c>
      <c r="L273" s="8106">
        <v>0</v>
      </c>
      <c r="M273" s="8109">
        <v>0</v>
      </c>
      <c r="N273" s="9261">
        <v>0</v>
      </c>
      <c r="O273" s="8994"/>
      <c r="P273" s="7932"/>
      <c r="Q273" s="7932"/>
      <c r="R273" s="8509"/>
      <c r="AX273" s="7872"/>
    </row>
    <row r="274" spans="1:50" s="7887" customFormat="1" ht="20.100000000000001" customHeight="1">
      <c r="A274" s="7872"/>
      <c r="B274" s="8510"/>
      <c r="C274" s="7939"/>
      <c r="D274" s="8016" t="s">
        <v>149</v>
      </c>
      <c r="E274" s="8017"/>
      <c r="F274" s="7953" t="s">
        <v>156</v>
      </c>
      <c r="G274" s="8514"/>
      <c r="H274" s="8528"/>
      <c r="I274" s="8515" t="s">
        <v>150</v>
      </c>
      <c r="J274" s="8516"/>
      <c r="K274" s="7941" t="s">
        <v>156</v>
      </c>
      <c r="L274" s="8106">
        <f>25/L16*100</f>
        <v>0.32855828623997896</v>
      </c>
      <c r="M274" s="8109">
        <f>98/M16*100</f>
        <v>1.0176531671858775</v>
      </c>
      <c r="N274" s="9242">
        <f>66/N16*100</f>
        <v>0.68500259470679814</v>
      </c>
      <c r="O274" s="8994"/>
      <c r="P274" s="7932"/>
      <c r="Q274" s="7932"/>
      <c r="R274" s="8509"/>
      <c r="AX274" s="7872"/>
    </row>
    <row r="275" spans="1:50" s="7887" customFormat="1" ht="20.100000000000001" customHeight="1">
      <c r="A275" s="7872"/>
      <c r="B275" s="8510"/>
      <c r="C275" s="7939"/>
      <c r="D275" s="8524" t="s">
        <v>827</v>
      </c>
      <c r="E275" s="8525"/>
      <c r="F275" s="7957" t="s">
        <v>156</v>
      </c>
      <c r="G275" s="8513"/>
      <c r="H275" s="8533"/>
      <c r="I275" s="8524" t="s">
        <v>938</v>
      </c>
      <c r="J275" s="8525"/>
      <c r="K275" s="7957" t="s">
        <v>156</v>
      </c>
      <c r="L275" s="8035">
        <f>IF(COUNTBLANK(L276:L281)&gt;0,"미취합법인有",AVERAGE(L276:L281))</f>
        <v>0.77101677837648408</v>
      </c>
      <c r="M275" s="8036">
        <f>IF(COUNTBLANK(M276:M281)&gt;0,"미취합법인有",AVERAGE(M276:M281))</f>
        <v>0.39633091034960194</v>
      </c>
      <c r="N275" s="9243">
        <f>IF(COUNTBLANK(N276:N281)&gt;0,"미취합법인有",AVERAGE(N276:N281))</f>
        <v>0.35115032001383839</v>
      </c>
      <c r="O275" s="9002"/>
      <c r="P275" s="8015" t="s">
        <v>919</v>
      </c>
      <c r="Q275" s="8015" t="s">
        <v>884</v>
      </c>
      <c r="R275" s="8500"/>
      <c r="AX275" s="7872"/>
    </row>
    <row r="276" spans="1:50" s="7887" customFormat="1" ht="20.100000000000001" customHeight="1">
      <c r="A276" s="7872"/>
      <c r="B276" s="8510"/>
      <c r="C276" s="7939"/>
      <c r="D276" s="8016" t="s">
        <v>134</v>
      </c>
      <c r="E276" s="8017"/>
      <c r="F276" s="7953" t="s">
        <v>156</v>
      </c>
      <c r="G276" s="8514"/>
      <c r="H276" s="8528"/>
      <c r="I276" s="8506" t="s">
        <v>135</v>
      </c>
      <c r="J276" s="8508"/>
      <c r="K276" s="7941" t="s">
        <v>156</v>
      </c>
      <c r="L276" s="8106">
        <f>100/L16*100</f>
        <v>1.3142331449599158</v>
      </c>
      <c r="M276" s="8109">
        <f>60/M16*100</f>
        <v>0.62305295950155759</v>
      </c>
      <c r="N276" s="9261">
        <f>52/N16*100</f>
        <v>0.53969901401141662</v>
      </c>
      <c r="O276" s="8994"/>
      <c r="P276" s="7932"/>
      <c r="Q276" s="7932"/>
      <c r="R276" s="8509"/>
      <c r="AX276" s="7872"/>
    </row>
    <row r="277" spans="1:50" s="7887" customFormat="1" ht="20.100000000000001" customHeight="1">
      <c r="A277" s="7872"/>
      <c r="B277" s="8510"/>
      <c r="C277" s="7939"/>
      <c r="D277" s="8016" t="s">
        <v>137</v>
      </c>
      <c r="E277" s="8017"/>
      <c r="F277" s="7953" t="s">
        <v>156</v>
      </c>
      <c r="G277" s="8514"/>
      <c r="H277" s="8528"/>
      <c r="I277" s="8506" t="s">
        <v>138</v>
      </c>
      <c r="J277" s="8508"/>
      <c r="K277" s="7941" t="s">
        <v>156</v>
      </c>
      <c r="L277" s="8133">
        <f>17/L16*100</f>
        <v>0.2234196346431857</v>
      </c>
      <c r="M277" s="8109">
        <f>3/M16*100</f>
        <v>3.1152647975077882E-2</v>
      </c>
      <c r="N277" s="9261">
        <f>5/N16*100</f>
        <v>5.1894135962636222E-2</v>
      </c>
      <c r="O277" s="8994"/>
      <c r="P277" s="7932"/>
      <c r="Q277" s="7932"/>
      <c r="R277" s="8509"/>
      <c r="AX277" s="7872"/>
    </row>
    <row r="278" spans="1:50" s="7887" customFormat="1" ht="20.100000000000001" customHeight="1">
      <c r="A278" s="7872"/>
      <c r="B278" s="8510"/>
      <c r="C278" s="7939"/>
      <c r="D278" s="8016" t="s">
        <v>140</v>
      </c>
      <c r="E278" s="8017"/>
      <c r="F278" s="7953" t="s">
        <v>156</v>
      </c>
      <c r="G278" s="8514"/>
      <c r="H278" s="8528"/>
      <c r="I278" s="8515" t="s">
        <v>141</v>
      </c>
      <c r="J278" s="8516"/>
      <c r="K278" s="7941" t="s">
        <v>156</v>
      </c>
      <c r="L278" s="8106">
        <f>189/L16*100</f>
        <v>2.4839006439742408</v>
      </c>
      <c r="M278" s="8109">
        <f>119/M16*100</f>
        <v>1.2357217030114225</v>
      </c>
      <c r="N278" s="9261">
        <f>112/N16*100</f>
        <v>1.1624286455630513</v>
      </c>
      <c r="O278" s="8994"/>
      <c r="P278" s="7932"/>
      <c r="Q278" s="7932"/>
      <c r="R278" s="8509"/>
      <c r="AX278" s="7872"/>
    </row>
    <row r="279" spans="1:50" s="7887" customFormat="1" ht="20.100000000000001" customHeight="1">
      <c r="A279" s="7872"/>
      <c r="B279" s="8510"/>
      <c r="C279" s="7939"/>
      <c r="D279" s="8016" t="s">
        <v>143</v>
      </c>
      <c r="E279" s="8017"/>
      <c r="F279" s="7953" t="s">
        <v>156</v>
      </c>
      <c r="G279" s="8514"/>
      <c r="H279" s="8528"/>
      <c r="I279" s="8515" t="s">
        <v>144</v>
      </c>
      <c r="J279" s="8516"/>
      <c r="K279" s="7941" t="s">
        <v>156</v>
      </c>
      <c r="L279" s="8106">
        <f>14/L16*100</f>
        <v>0.18399264029438822</v>
      </c>
      <c r="M279" s="8109">
        <f>2/M16*100</f>
        <v>2.0768431983385256E-2</v>
      </c>
      <c r="N279" s="9261">
        <f>6/N16*100</f>
        <v>6.2272963155163473E-2</v>
      </c>
      <c r="O279" s="8994"/>
      <c r="P279" s="7932"/>
      <c r="Q279" s="7932"/>
      <c r="R279" s="8509"/>
      <c r="AX279" s="7872"/>
    </row>
    <row r="280" spans="1:50" s="7887" customFormat="1" ht="20.100000000000001" customHeight="1">
      <c r="A280" s="7872"/>
      <c r="B280" s="8510"/>
      <c r="C280" s="7939"/>
      <c r="D280" s="8016" t="s">
        <v>146</v>
      </c>
      <c r="E280" s="8017"/>
      <c r="F280" s="7953" t="s">
        <v>156</v>
      </c>
      <c r="G280" s="8514"/>
      <c r="H280" s="8528"/>
      <c r="I280" s="8515" t="s">
        <v>147</v>
      </c>
      <c r="J280" s="8516"/>
      <c r="K280" s="7941" t="s">
        <v>156</v>
      </c>
      <c r="L280" s="8106">
        <v>0</v>
      </c>
      <c r="M280" s="8109">
        <v>0</v>
      </c>
      <c r="N280" s="9261">
        <v>0</v>
      </c>
      <c r="O280" s="8994"/>
      <c r="P280" s="7932"/>
      <c r="Q280" s="7932"/>
      <c r="R280" s="8509"/>
      <c r="AX280" s="7872"/>
    </row>
    <row r="281" spans="1:50" s="7887" customFormat="1" ht="20.100000000000001" customHeight="1">
      <c r="A281" s="7872"/>
      <c r="B281" s="8510"/>
      <c r="C281" s="7939"/>
      <c r="D281" s="8016" t="s">
        <v>149</v>
      </c>
      <c r="E281" s="8017"/>
      <c r="F281" s="7953" t="s">
        <v>156</v>
      </c>
      <c r="G281" s="8514"/>
      <c r="H281" s="8528"/>
      <c r="I281" s="8515" t="s">
        <v>150</v>
      </c>
      <c r="J281" s="8516"/>
      <c r="K281" s="7941" t="s">
        <v>156</v>
      </c>
      <c r="L281" s="8106">
        <f>32/L16*100</f>
        <v>0.42055460638717307</v>
      </c>
      <c r="M281" s="8109">
        <f>45/M16*100</f>
        <v>0.46728971962616817</v>
      </c>
      <c r="N281" s="9242">
        <f>28/N16*100</f>
        <v>0.29060716139076281</v>
      </c>
      <c r="O281" s="8994"/>
      <c r="P281" s="7932"/>
      <c r="Q281" s="7932"/>
      <c r="R281" s="8509"/>
      <c r="AX281" s="7872"/>
    </row>
    <row r="282" spans="1:50" s="7887" customFormat="1" ht="20.100000000000001" customHeight="1">
      <c r="A282" s="7872"/>
      <c r="B282" s="8510"/>
      <c r="C282" s="7939"/>
      <c r="D282" s="8524" t="s">
        <v>830</v>
      </c>
      <c r="E282" s="8525"/>
      <c r="F282" s="7957" t="s">
        <v>156</v>
      </c>
      <c r="G282" s="8513"/>
      <c r="H282" s="8533"/>
      <c r="I282" s="8524" t="s">
        <v>940</v>
      </c>
      <c r="J282" s="8525"/>
      <c r="K282" s="7957" t="s">
        <v>156</v>
      </c>
      <c r="L282" s="8035">
        <f>IF(COUNTBLANK(L283:L288)&gt;0,"미취합법인有",AVERAGE(L283:L288))</f>
        <v>0.24751390896745085</v>
      </c>
      <c r="M282" s="8036">
        <f>IF(COUNTBLANK(M283:M288)&gt;0,"미취합법인有",AVERAGE(M283:M288))</f>
        <v>0.12634129456559365</v>
      </c>
      <c r="N282" s="9243">
        <f>IF(COUNTBLANK(N283:N288)&gt;0,"미취합법인有",AVERAGE(N283:N288))</f>
        <v>5.5353745026811972E-2</v>
      </c>
      <c r="O282" s="9002"/>
      <c r="P282" s="8015" t="s">
        <v>919</v>
      </c>
      <c r="Q282" s="8015" t="s">
        <v>884</v>
      </c>
      <c r="R282" s="8500"/>
      <c r="AX282" s="7872"/>
    </row>
    <row r="283" spans="1:50" s="7887" customFormat="1" ht="20.100000000000001" customHeight="1">
      <c r="A283" s="7872"/>
      <c r="B283" s="8510"/>
      <c r="C283" s="7939"/>
      <c r="D283" s="8016" t="s">
        <v>134</v>
      </c>
      <c r="E283" s="8017"/>
      <c r="F283" s="7953" t="s">
        <v>156</v>
      </c>
      <c r="G283" s="8514"/>
      <c r="H283" s="8528"/>
      <c r="I283" s="8506" t="s">
        <v>135</v>
      </c>
      <c r="J283" s="8508"/>
      <c r="K283" s="7941" t="s">
        <v>156</v>
      </c>
      <c r="L283" s="8106">
        <f>108/L16*100</f>
        <v>1.4193717965567092</v>
      </c>
      <c r="M283" s="8107">
        <f>70/M16*100</f>
        <v>0.72689511941848395</v>
      </c>
      <c r="N283" s="9261">
        <f>28/N16*100</f>
        <v>0.29060716139076281</v>
      </c>
      <c r="O283" s="8994"/>
      <c r="P283" s="7932"/>
      <c r="Q283" s="7932"/>
      <c r="R283" s="8509"/>
      <c r="AX283" s="7872"/>
    </row>
    <row r="284" spans="1:50" s="7887" customFormat="1" ht="20.100000000000001" customHeight="1">
      <c r="A284" s="7872"/>
      <c r="B284" s="8510"/>
      <c r="C284" s="7939"/>
      <c r="D284" s="8016" t="s">
        <v>137</v>
      </c>
      <c r="E284" s="8017"/>
      <c r="F284" s="7953" t="s">
        <v>156</v>
      </c>
      <c r="G284" s="8514"/>
      <c r="H284" s="8528"/>
      <c r="I284" s="8506" t="s">
        <v>138</v>
      </c>
      <c r="J284" s="8508"/>
      <c r="K284" s="7941" t="s">
        <v>156</v>
      </c>
      <c r="L284" s="8133">
        <f>2/L16*100</f>
        <v>2.6284662899198317E-2</v>
      </c>
      <c r="M284" s="8107">
        <f>1/M16*100</f>
        <v>1.0384215991692628E-2</v>
      </c>
      <c r="N284" s="9261">
        <f>1/N16*100</f>
        <v>1.0378827192527244E-2</v>
      </c>
      <c r="O284" s="8994"/>
      <c r="P284" s="7932"/>
      <c r="Q284" s="7932"/>
      <c r="R284" s="8509"/>
      <c r="AX284" s="7872"/>
    </row>
    <row r="285" spans="1:50" s="7887" customFormat="1" ht="20.100000000000001" customHeight="1">
      <c r="A285" s="7872"/>
      <c r="B285" s="8510"/>
      <c r="C285" s="7939"/>
      <c r="D285" s="8016" t="s">
        <v>140</v>
      </c>
      <c r="E285" s="8017"/>
      <c r="F285" s="7953" t="s">
        <v>156</v>
      </c>
      <c r="G285" s="8514"/>
      <c r="H285" s="8528"/>
      <c r="I285" s="8515" t="s">
        <v>141</v>
      </c>
      <c r="J285" s="8516"/>
      <c r="K285" s="7941" t="s">
        <v>156</v>
      </c>
      <c r="L285" s="8106">
        <f>2/L16*100</f>
        <v>2.6284662899198317E-2</v>
      </c>
      <c r="M285" s="8107">
        <v>0</v>
      </c>
      <c r="N285" s="9261">
        <f>3/N16*100</f>
        <v>3.1136481577581736E-2</v>
      </c>
      <c r="O285" s="8994"/>
      <c r="P285" s="7932"/>
      <c r="Q285" s="7932"/>
      <c r="R285" s="8509"/>
      <c r="AX285" s="7872"/>
    </row>
    <row r="286" spans="1:50" s="7887" customFormat="1" ht="20.100000000000001" customHeight="1">
      <c r="A286" s="7872"/>
      <c r="B286" s="8510"/>
      <c r="C286" s="7939"/>
      <c r="D286" s="8016" t="s">
        <v>143</v>
      </c>
      <c r="E286" s="8017"/>
      <c r="F286" s="7953" t="s">
        <v>156</v>
      </c>
      <c r="G286" s="8514"/>
      <c r="H286" s="8528"/>
      <c r="I286" s="8515" t="s">
        <v>144</v>
      </c>
      <c r="J286" s="8516"/>
      <c r="K286" s="7941" t="s">
        <v>156</v>
      </c>
      <c r="L286" s="8106">
        <v>0</v>
      </c>
      <c r="M286" s="8107">
        <v>0</v>
      </c>
      <c r="N286" s="9261">
        <v>0</v>
      </c>
      <c r="O286" s="8994"/>
      <c r="P286" s="7932"/>
      <c r="Q286" s="7932"/>
      <c r="R286" s="8509"/>
      <c r="AX286" s="7872"/>
    </row>
    <row r="287" spans="1:50" s="7887" customFormat="1" ht="20.100000000000001" customHeight="1">
      <c r="A287" s="7872"/>
      <c r="B287" s="8510"/>
      <c r="C287" s="7939"/>
      <c r="D287" s="8016" t="s">
        <v>146</v>
      </c>
      <c r="E287" s="8017"/>
      <c r="F287" s="7953" t="s">
        <v>156</v>
      </c>
      <c r="G287" s="8514"/>
      <c r="H287" s="8528"/>
      <c r="I287" s="8515" t="s">
        <v>147</v>
      </c>
      <c r="J287" s="8516"/>
      <c r="K287" s="7941" t="s">
        <v>156</v>
      </c>
      <c r="L287" s="8106">
        <v>0</v>
      </c>
      <c r="M287" s="8107">
        <v>0</v>
      </c>
      <c r="N287" s="9261">
        <v>0</v>
      </c>
      <c r="O287" s="8994"/>
      <c r="P287" s="7932"/>
      <c r="Q287" s="7932"/>
      <c r="R287" s="8509"/>
      <c r="AX287" s="7872"/>
    </row>
    <row r="288" spans="1:50" s="7887" customFormat="1" ht="20.100000000000001" customHeight="1">
      <c r="A288" s="7872"/>
      <c r="B288" s="8510"/>
      <c r="C288" s="7939"/>
      <c r="D288" s="8016" t="s">
        <v>149</v>
      </c>
      <c r="E288" s="8017"/>
      <c r="F288" s="7976" t="s">
        <v>156</v>
      </c>
      <c r="G288" s="8554"/>
      <c r="H288" s="8562"/>
      <c r="I288" s="9167" t="s">
        <v>150</v>
      </c>
      <c r="J288" s="9194"/>
      <c r="K288" s="8200" t="s">
        <v>156</v>
      </c>
      <c r="L288" s="8106">
        <f>1/L16*100</f>
        <v>1.3142331449599158E-2</v>
      </c>
      <c r="M288" s="8107">
        <f>2/M16*100</f>
        <v>2.0768431983385256E-2</v>
      </c>
      <c r="N288" s="9241">
        <v>0</v>
      </c>
      <c r="O288" s="8994"/>
      <c r="P288" s="7932"/>
      <c r="Q288" s="7932"/>
      <c r="R288" s="8509"/>
      <c r="AX288" s="7872"/>
    </row>
    <row r="289" spans="1:50" s="7887" customFormat="1" ht="30">
      <c r="A289" s="7872"/>
      <c r="B289" s="8510"/>
      <c r="C289" s="8818" t="s">
        <v>3600</v>
      </c>
      <c r="D289" s="8518"/>
      <c r="E289" s="8518"/>
      <c r="F289" s="8518"/>
      <c r="G289" s="8518"/>
      <c r="H289" s="9075" t="s">
        <v>3713</v>
      </c>
      <c r="I289" s="8518"/>
      <c r="J289" s="8518"/>
      <c r="K289" s="9195" t="s">
        <v>168</v>
      </c>
      <c r="L289" s="8563"/>
      <c r="M289" s="8518"/>
      <c r="N289" s="9257"/>
      <c r="O289" s="9010" t="s">
        <v>3782</v>
      </c>
      <c r="P289" s="8015" t="s">
        <v>919</v>
      </c>
      <c r="Q289" s="8015" t="s">
        <v>884</v>
      </c>
      <c r="R289" s="8500"/>
      <c r="AX289" s="7872"/>
    </row>
    <row r="290" spans="1:50" s="7887" customFormat="1" ht="20.100000000000001" customHeight="1">
      <c r="A290" s="7872"/>
      <c r="B290" s="8510"/>
      <c r="C290" s="7939"/>
      <c r="D290" s="8524" t="s">
        <v>796</v>
      </c>
      <c r="E290" s="8525"/>
      <c r="F290" s="7957" t="s">
        <v>156</v>
      </c>
      <c r="G290" s="8513"/>
      <c r="H290" s="8533"/>
      <c r="I290" s="8524" t="s">
        <v>928</v>
      </c>
      <c r="J290" s="8525"/>
      <c r="K290" s="7957" t="s">
        <v>156</v>
      </c>
      <c r="L290" s="8035">
        <f>IF(COUNTBLANK(L291:L296)&gt;0,"미취합법인有",AVERAGE(L291:L296))</f>
        <v>1.8158321286196168</v>
      </c>
      <c r="M290" s="8036">
        <f>IF(COUNTBLANK(M291:M296)&gt;0,"미취합법인有",AVERAGE(M291:M296))</f>
        <v>1.3551401869158877</v>
      </c>
      <c r="N290" s="9243">
        <f>IF(COUNTBLANK(N291:N296)&gt;0,"미취합법인有",AVERAGE(N291:N296))</f>
        <v>1.4547656114859022</v>
      </c>
      <c r="O290" s="9002"/>
      <c r="P290" s="8015" t="s">
        <v>919</v>
      </c>
      <c r="Q290" s="8015" t="s">
        <v>884</v>
      </c>
      <c r="R290" s="8500"/>
      <c r="AX290" s="7872"/>
    </row>
    <row r="291" spans="1:50" s="7887" customFormat="1" ht="20.100000000000001" customHeight="1">
      <c r="A291" s="7872"/>
      <c r="B291" s="8510"/>
      <c r="C291" s="7939"/>
      <c r="D291" s="8016" t="s">
        <v>134</v>
      </c>
      <c r="E291" s="8017"/>
      <c r="F291" s="7953" t="s">
        <v>156</v>
      </c>
      <c r="G291" s="8514"/>
      <c r="H291" s="8528"/>
      <c r="I291" s="8506" t="s">
        <v>135</v>
      </c>
      <c r="J291" s="8508"/>
      <c r="K291" s="7941" t="s">
        <v>156</v>
      </c>
      <c r="L291" s="8106">
        <f>633/L16*100</f>
        <v>8.319095807596268</v>
      </c>
      <c r="M291" s="8109">
        <f>595/M16*100</f>
        <v>6.1786085150571131</v>
      </c>
      <c r="N291" s="9261">
        <f>710/N16*100</f>
        <v>7.3689673066943433</v>
      </c>
      <c r="O291" s="8994"/>
      <c r="P291" s="7932"/>
      <c r="Q291" s="7932"/>
      <c r="R291" s="8509"/>
      <c r="AX291" s="7872"/>
    </row>
    <row r="292" spans="1:50" s="7887" customFormat="1" ht="20.100000000000001" customHeight="1">
      <c r="A292" s="7872"/>
      <c r="B292" s="8510"/>
      <c r="C292" s="7939"/>
      <c r="D292" s="8016" t="s">
        <v>137</v>
      </c>
      <c r="E292" s="8017"/>
      <c r="F292" s="7953" t="s">
        <v>156</v>
      </c>
      <c r="G292" s="8514"/>
      <c r="H292" s="8528"/>
      <c r="I292" s="8506" t="s">
        <v>138</v>
      </c>
      <c r="J292" s="8508"/>
      <c r="K292" s="7941" t="s">
        <v>156</v>
      </c>
      <c r="L292" s="8133">
        <f>18/L16*100</f>
        <v>0.23656196609278488</v>
      </c>
      <c r="M292" s="8109">
        <f>6/M16*100</f>
        <v>6.2305295950155763E-2</v>
      </c>
      <c r="N292" s="9261">
        <f>7/N16*100</f>
        <v>7.2651790347690703E-2</v>
      </c>
      <c r="O292" s="8994"/>
      <c r="P292" s="7932"/>
      <c r="Q292" s="7932"/>
      <c r="R292" s="8509"/>
      <c r="AX292" s="7872"/>
    </row>
    <row r="293" spans="1:50" s="7887" customFormat="1" ht="20.100000000000001" customHeight="1">
      <c r="A293" s="7872"/>
      <c r="B293" s="8510"/>
      <c r="C293" s="7939"/>
      <c r="D293" s="8016" t="s">
        <v>140</v>
      </c>
      <c r="E293" s="8017"/>
      <c r="F293" s="7953" t="s">
        <v>156</v>
      </c>
      <c r="G293" s="8514"/>
      <c r="H293" s="8528"/>
      <c r="I293" s="8515" t="s">
        <v>141</v>
      </c>
      <c r="J293" s="8516"/>
      <c r="K293" s="7941" t="s">
        <v>156</v>
      </c>
      <c r="L293" s="8106">
        <f>125/L16*100</f>
        <v>1.642791431199895</v>
      </c>
      <c r="M293" s="8109">
        <f>100/M16*100</f>
        <v>1.0384215991692627</v>
      </c>
      <c r="N293" s="9261">
        <f>66/N16*100</f>
        <v>0.68500259470679814</v>
      </c>
      <c r="O293" s="8994"/>
      <c r="P293" s="7932"/>
      <c r="Q293" s="7932"/>
      <c r="R293" s="8509"/>
      <c r="AX293" s="7872"/>
    </row>
    <row r="294" spans="1:50" s="7887" customFormat="1" ht="20.100000000000001" customHeight="1">
      <c r="A294" s="7872"/>
      <c r="B294" s="8510"/>
      <c r="C294" s="7939"/>
      <c r="D294" s="8016" t="s">
        <v>143</v>
      </c>
      <c r="E294" s="8017"/>
      <c r="F294" s="7953" t="s">
        <v>156</v>
      </c>
      <c r="G294" s="8514"/>
      <c r="H294" s="8528"/>
      <c r="I294" s="8515" t="s">
        <v>144</v>
      </c>
      <c r="J294" s="8516"/>
      <c r="K294" s="7941" t="s">
        <v>156</v>
      </c>
      <c r="L294" s="8106">
        <f>15/L16*100</f>
        <v>0.19713497174398739</v>
      </c>
      <c r="M294" s="8109">
        <f>6/M16*100</f>
        <v>6.2305295950155763E-2</v>
      </c>
      <c r="N294" s="9261">
        <f>9/N16*100</f>
        <v>9.3409444732745206E-2</v>
      </c>
      <c r="O294" s="8994"/>
      <c r="P294" s="7932"/>
      <c r="Q294" s="7932"/>
      <c r="R294" s="8509"/>
      <c r="AX294" s="7872"/>
    </row>
    <row r="295" spans="1:50" s="7887" customFormat="1" ht="20.100000000000001" customHeight="1">
      <c r="A295" s="7872"/>
      <c r="B295" s="8510"/>
      <c r="C295" s="7939"/>
      <c r="D295" s="8016" t="s">
        <v>146</v>
      </c>
      <c r="E295" s="8017"/>
      <c r="F295" s="7953" t="s">
        <v>156</v>
      </c>
      <c r="G295" s="8514"/>
      <c r="H295" s="8528"/>
      <c r="I295" s="8515" t="s">
        <v>147</v>
      </c>
      <c r="J295" s="8516"/>
      <c r="K295" s="7941" t="s">
        <v>156</v>
      </c>
      <c r="L295" s="8106">
        <v>0</v>
      </c>
      <c r="M295" s="8109">
        <v>0</v>
      </c>
      <c r="N295" s="9261">
        <v>0</v>
      </c>
      <c r="O295" s="8994"/>
      <c r="P295" s="7932"/>
      <c r="Q295" s="7932"/>
      <c r="R295" s="8509"/>
      <c r="AX295" s="7872"/>
    </row>
    <row r="296" spans="1:50" s="7887" customFormat="1" ht="20.100000000000001" customHeight="1">
      <c r="A296" s="7872"/>
      <c r="B296" s="8510"/>
      <c r="C296" s="7939"/>
      <c r="D296" s="8016" t="s">
        <v>149</v>
      </c>
      <c r="E296" s="8017"/>
      <c r="F296" s="7953" t="s">
        <v>156</v>
      </c>
      <c r="G296" s="8514"/>
      <c r="H296" s="8528"/>
      <c r="I296" s="8515" t="s">
        <v>150</v>
      </c>
      <c r="J296" s="8516"/>
      <c r="K296" s="7941" t="s">
        <v>156</v>
      </c>
      <c r="L296" s="8106">
        <f>38/L16*100</f>
        <v>0.49940859508476809</v>
      </c>
      <c r="M296" s="8107">
        <f>76/M16*100</f>
        <v>0.78920041536863961</v>
      </c>
      <c r="N296" s="9241">
        <f>49/N16*100</f>
        <v>0.50856253243383498</v>
      </c>
      <c r="O296" s="8994" t="s">
        <v>2058</v>
      </c>
      <c r="P296" s="7932"/>
      <c r="Q296" s="7932"/>
      <c r="R296" s="8509"/>
      <c r="AX296" s="7872"/>
    </row>
    <row r="297" spans="1:50" s="7887" customFormat="1" ht="20.100000000000001" customHeight="1">
      <c r="A297" s="7872"/>
      <c r="B297" s="8510"/>
      <c r="C297" s="7939"/>
      <c r="D297" s="8524" t="s">
        <v>802</v>
      </c>
      <c r="E297" s="8525"/>
      <c r="F297" s="7957" t="s">
        <v>156</v>
      </c>
      <c r="G297" s="8513"/>
      <c r="H297" s="8533"/>
      <c r="I297" s="8524" t="s">
        <v>933</v>
      </c>
      <c r="J297" s="8525"/>
      <c r="K297" s="7957" t="s">
        <v>156</v>
      </c>
      <c r="L297" s="8035">
        <f>IF(COUNTBLANK(L298:L303)&gt;0,"미취합법인有",AVERAGE(L298:L303))</f>
        <v>2.3459061637534502</v>
      </c>
      <c r="M297" s="8036">
        <f>IF(COUNTBLANK(M298:M303)&gt;0,"미취합법인有",AVERAGE(M298:M303))</f>
        <v>1.6355140186915886</v>
      </c>
      <c r="N297" s="9243">
        <f>IF(COUNTBLANK(N298:N303)&gt;0,"미취합법인有",AVERAGE(N298:N303))</f>
        <v>1.7419131638124892</v>
      </c>
      <c r="O297" s="9002"/>
      <c r="P297" s="8015" t="s">
        <v>919</v>
      </c>
      <c r="Q297" s="8015" t="s">
        <v>884</v>
      </c>
      <c r="R297" s="8500"/>
      <c r="AX297" s="7872"/>
    </row>
    <row r="298" spans="1:50" s="7887" customFormat="1" ht="20.100000000000001" customHeight="1">
      <c r="A298" s="7872"/>
      <c r="B298" s="8510"/>
      <c r="C298" s="7939"/>
      <c r="D298" s="8016" t="s">
        <v>134</v>
      </c>
      <c r="E298" s="8017"/>
      <c r="F298" s="7953" t="s">
        <v>156</v>
      </c>
      <c r="G298" s="8514"/>
      <c r="H298" s="8528"/>
      <c r="I298" s="8506" t="s">
        <v>135</v>
      </c>
      <c r="J298" s="8508"/>
      <c r="K298" s="7941" t="s">
        <v>156</v>
      </c>
      <c r="L298" s="8106">
        <f>925/L16*100</f>
        <v>12.156656590879223</v>
      </c>
      <c r="M298" s="8109">
        <f>825/M16*100</f>
        <v>8.5669781931464168</v>
      </c>
      <c r="N298" s="9261">
        <f>871/N16*100</f>
        <v>9.0399584846912298</v>
      </c>
      <c r="O298" s="8994"/>
      <c r="P298" s="7932"/>
      <c r="Q298" s="7932"/>
      <c r="R298" s="8509"/>
      <c r="AX298" s="7872"/>
    </row>
    <row r="299" spans="1:50" s="7887" customFormat="1" ht="20.100000000000001" customHeight="1">
      <c r="A299" s="7872"/>
      <c r="B299" s="8510"/>
      <c r="C299" s="7939"/>
      <c r="D299" s="8016" t="s">
        <v>137</v>
      </c>
      <c r="E299" s="8017"/>
      <c r="F299" s="7953" t="s">
        <v>156</v>
      </c>
      <c r="G299" s="8514"/>
      <c r="H299" s="8528"/>
      <c r="I299" s="8506" t="s">
        <v>138</v>
      </c>
      <c r="J299" s="8508"/>
      <c r="K299" s="7941" t="s">
        <v>156</v>
      </c>
      <c r="L299" s="8133">
        <f>2/L16*100</f>
        <v>2.6284662899198317E-2</v>
      </c>
      <c r="M299" s="8109">
        <v>0</v>
      </c>
      <c r="N299" s="9261">
        <f>6/N16*100</f>
        <v>6.2272963155163473E-2</v>
      </c>
      <c r="O299" s="8994"/>
      <c r="P299" s="7932"/>
      <c r="Q299" s="7932"/>
      <c r="R299" s="8509"/>
      <c r="AX299" s="7872"/>
    </row>
    <row r="300" spans="1:50" s="7887" customFormat="1" ht="20.100000000000001" customHeight="1">
      <c r="A300" s="7872"/>
      <c r="B300" s="8510"/>
      <c r="C300" s="7939"/>
      <c r="D300" s="8016" t="s">
        <v>140</v>
      </c>
      <c r="E300" s="8017"/>
      <c r="F300" s="7953" t="s">
        <v>156</v>
      </c>
      <c r="G300" s="8514"/>
      <c r="H300" s="8528"/>
      <c r="I300" s="8515" t="s">
        <v>141</v>
      </c>
      <c r="J300" s="8516"/>
      <c r="K300" s="7941" t="s">
        <v>156</v>
      </c>
      <c r="L300" s="8106">
        <f>110/L16*100</f>
        <v>1.4456564594559076</v>
      </c>
      <c r="M300" s="8109">
        <f>47/M16*100</f>
        <v>0.48805815160955346</v>
      </c>
      <c r="N300" s="9261">
        <f>82/N16*100</f>
        <v>0.85106382978723405</v>
      </c>
      <c r="O300" s="8994"/>
      <c r="P300" s="7932"/>
      <c r="Q300" s="7932"/>
      <c r="R300" s="8509"/>
      <c r="AX300" s="7872"/>
    </row>
    <row r="301" spans="1:50" s="7887" customFormat="1" ht="20.100000000000001" customHeight="1">
      <c r="A301" s="7872"/>
      <c r="B301" s="8510"/>
      <c r="C301" s="7939"/>
      <c r="D301" s="8016" t="s">
        <v>143</v>
      </c>
      <c r="E301" s="8017"/>
      <c r="F301" s="7953" t="s">
        <v>156</v>
      </c>
      <c r="G301" s="8514"/>
      <c r="H301" s="8528"/>
      <c r="I301" s="8515" t="s">
        <v>144</v>
      </c>
      <c r="J301" s="8516"/>
      <c r="K301" s="7941" t="s">
        <v>156</v>
      </c>
      <c r="L301" s="8106">
        <f>14/L16*100</f>
        <v>0.18399264029438822</v>
      </c>
      <c r="M301" s="8109">
        <f>4/M16*100</f>
        <v>4.1536863966770511E-2</v>
      </c>
      <c r="N301" s="9261">
        <f>3/N16*100</f>
        <v>3.1136481577581736E-2</v>
      </c>
      <c r="O301" s="8994"/>
      <c r="P301" s="7932"/>
      <c r="Q301" s="7932"/>
      <c r="R301" s="8509"/>
      <c r="AX301" s="7872"/>
    </row>
    <row r="302" spans="1:50" s="7887" customFormat="1" ht="20.100000000000001" customHeight="1">
      <c r="A302" s="7872"/>
      <c r="B302" s="8510"/>
      <c r="C302" s="7939"/>
      <c r="D302" s="8016" t="s">
        <v>146</v>
      </c>
      <c r="E302" s="8017"/>
      <c r="F302" s="7953" t="s">
        <v>156</v>
      </c>
      <c r="G302" s="8514"/>
      <c r="H302" s="8528"/>
      <c r="I302" s="8515" t="s">
        <v>147</v>
      </c>
      <c r="J302" s="8516"/>
      <c r="K302" s="7941" t="s">
        <v>156</v>
      </c>
      <c r="L302" s="8106">
        <v>0</v>
      </c>
      <c r="M302" s="8109">
        <v>0</v>
      </c>
      <c r="N302" s="9261">
        <v>0</v>
      </c>
      <c r="O302" s="8994"/>
      <c r="P302" s="7932"/>
      <c r="Q302" s="7932"/>
      <c r="R302" s="8509"/>
      <c r="AX302" s="7872"/>
    </row>
    <row r="303" spans="1:50" s="7887" customFormat="1" ht="20.100000000000001" customHeight="1" thickBot="1">
      <c r="A303" s="7872"/>
      <c r="B303" s="8510"/>
      <c r="C303" s="7939"/>
      <c r="D303" s="8016" t="s">
        <v>149</v>
      </c>
      <c r="E303" s="8017"/>
      <c r="F303" s="7953" t="s">
        <v>156</v>
      </c>
      <c r="G303" s="8514"/>
      <c r="H303" s="8528"/>
      <c r="I303" s="8515" t="s">
        <v>150</v>
      </c>
      <c r="J303" s="8516"/>
      <c r="K303" s="7941" t="s">
        <v>156</v>
      </c>
      <c r="L303" s="8106">
        <f>20/L16*100</f>
        <v>0.26284662899198319</v>
      </c>
      <c r="M303" s="8109">
        <f>69/M16*100</f>
        <v>0.71651090342679125</v>
      </c>
      <c r="N303" s="9242">
        <f>45/N16*100</f>
        <v>0.46704722366372603</v>
      </c>
      <c r="O303" s="8994"/>
      <c r="P303" s="7932"/>
      <c r="Q303" s="7932"/>
      <c r="R303" s="8509"/>
      <c r="AX303" s="7872"/>
    </row>
    <row r="304" spans="1:50" s="7887" customFormat="1" ht="21.75" thickBot="1">
      <c r="A304" s="7872"/>
      <c r="B304" s="8073" t="s">
        <v>1918</v>
      </c>
      <c r="C304" s="8074"/>
      <c r="D304" s="8074"/>
      <c r="E304" s="8074"/>
      <c r="F304" s="8075"/>
      <c r="G304" s="9318" t="s">
        <v>3714</v>
      </c>
      <c r="H304" s="8074"/>
      <c r="I304" s="8074"/>
      <c r="J304" s="8074"/>
      <c r="K304" s="8075"/>
      <c r="L304" s="8078"/>
      <c r="M304" s="8079"/>
      <c r="N304" s="9251"/>
      <c r="O304" s="8993"/>
      <c r="P304" s="8080"/>
      <c r="Q304" s="8080"/>
      <c r="R304" s="8496"/>
      <c r="AX304" s="7872"/>
    </row>
    <row r="305" spans="1:50" s="7887" customFormat="1" ht="20.100000000000001" customHeight="1">
      <c r="A305" s="7872"/>
      <c r="B305" s="8534"/>
      <c r="C305" s="8517" t="s">
        <v>1919</v>
      </c>
      <c r="D305" s="8518"/>
      <c r="E305" s="8518"/>
      <c r="F305" s="8522"/>
      <c r="G305" s="8518"/>
      <c r="H305" s="8522" t="s">
        <v>1113</v>
      </c>
      <c r="I305" s="8518"/>
      <c r="J305" s="8519"/>
      <c r="K305" s="8522"/>
      <c r="L305" s="8569"/>
      <c r="M305" s="8570"/>
      <c r="N305" s="9262"/>
      <c r="O305" s="9011" t="s">
        <v>3792</v>
      </c>
      <c r="P305" s="7932"/>
      <c r="Q305" s="7955"/>
      <c r="R305" s="8509"/>
      <c r="AX305" s="7872"/>
    </row>
    <row r="306" spans="1:50" s="7887" customFormat="1" ht="20.100000000000001" customHeight="1">
      <c r="A306" s="7872"/>
      <c r="B306" s="8510"/>
      <c r="C306" s="8564"/>
      <c r="D306" s="8571" t="s">
        <v>1116</v>
      </c>
      <c r="E306" s="8571"/>
      <c r="F306" s="7957" t="s">
        <v>742</v>
      </c>
      <c r="G306" s="8513"/>
      <c r="H306" s="8533"/>
      <c r="I306" s="8572"/>
      <c r="J306" s="8571" t="s">
        <v>1117</v>
      </c>
      <c r="K306" s="7957" t="s">
        <v>734</v>
      </c>
      <c r="L306" s="8012">
        <f>SUM(L307:L308)</f>
        <v>213</v>
      </c>
      <c r="M306" s="8013">
        <f>SUM(M307:M308)</f>
        <v>203</v>
      </c>
      <c r="N306" s="9247">
        <f>SUM(N307:N308)</f>
        <v>179</v>
      </c>
      <c r="O306" s="8995"/>
      <c r="P306" s="7932" t="s">
        <v>1120</v>
      </c>
      <c r="Q306" s="7955" t="s">
        <v>1121</v>
      </c>
      <c r="R306" s="8509"/>
      <c r="AX306" s="7872"/>
    </row>
    <row r="307" spans="1:50" s="7887" customFormat="1" ht="20.100000000000001" customHeight="1">
      <c r="A307" s="7872"/>
      <c r="B307" s="8510"/>
      <c r="C307" s="7939"/>
      <c r="D307" s="8016" t="s">
        <v>134</v>
      </c>
      <c r="E307" s="8017"/>
      <c r="F307" s="7953" t="s">
        <v>742</v>
      </c>
      <c r="G307" s="8514"/>
      <c r="H307" s="8573"/>
      <c r="I307" s="8574"/>
      <c r="J307" s="8575" t="s">
        <v>431</v>
      </c>
      <c r="K307" s="7941" t="s">
        <v>734</v>
      </c>
      <c r="L307" s="7935">
        <v>171</v>
      </c>
      <c r="M307" s="7936">
        <v>163</v>
      </c>
      <c r="N307" s="9237">
        <v>145</v>
      </c>
      <c r="O307" s="8994" t="s">
        <v>3658</v>
      </c>
      <c r="P307" s="7932"/>
      <c r="Q307" s="7932"/>
      <c r="R307" s="8509"/>
      <c r="AX307" s="7872"/>
    </row>
    <row r="308" spans="1:50" s="7887" customFormat="1" ht="20.100000000000001" customHeight="1">
      <c r="A308" s="7872"/>
      <c r="B308" s="8510"/>
      <c r="C308" s="7939"/>
      <c r="D308" s="8016" t="s">
        <v>2079</v>
      </c>
      <c r="E308" s="8254"/>
      <c r="F308" s="7953" t="s">
        <v>742</v>
      </c>
      <c r="G308" s="8514"/>
      <c r="H308" s="8573"/>
      <c r="I308" s="8574"/>
      <c r="J308" s="8575" t="s">
        <v>449</v>
      </c>
      <c r="K308" s="7941" t="s">
        <v>734</v>
      </c>
      <c r="L308" s="7935">
        <v>42</v>
      </c>
      <c r="M308" s="7936">
        <v>40</v>
      </c>
      <c r="N308" s="9249">
        <v>34</v>
      </c>
      <c r="O308" s="8994"/>
      <c r="P308" s="7932"/>
      <c r="Q308" s="7932"/>
      <c r="R308" s="8509"/>
      <c r="AX308" s="7872"/>
    </row>
    <row r="309" spans="1:50" s="7887" customFormat="1" ht="20.100000000000001" customHeight="1">
      <c r="A309" s="7872"/>
      <c r="B309" s="8510"/>
      <c r="C309" s="7939"/>
      <c r="D309" s="8571" t="s">
        <v>1125</v>
      </c>
      <c r="E309" s="8571"/>
      <c r="F309" s="7957" t="s">
        <v>742</v>
      </c>
      <c r="G309" s="8513"/>
      <c r="H309" s="8533"/>
      <c r="I309" s="8572"/>
      <c r="J309" s="8571" t="s">
        <v>1126</v>
      </c>
      <c r="K309" s="7957" t="s">
        <v>734</v>
      </c>
      <c r="L309" s="8012">
        <f>SUM(L310:L311)</f>
        <v>127</v>
      </c>
      <c r="M309" s="8013">
        <f>SUM(M310:M311)</f>
        <v>132</v>
      </c>
      <c r="N309" s="9247">
        <f>SUM(N310:N311)</f>
        <v>138</v>
      </c>
      <c r="O309" s="8995"/>
      <c r="P309" s="7932" t="s">
        <v>1120</v>
      </c>
      <c r="Q309" s="7955" t="s">
        <v>1121</v>
      </c>
      <c r="R309" s="8509"/>
      <c r="AX309" s="7872"/>
    </row>
    <row r="310" spans="1:50" s="7887" customFormat="1" ht="20.100000000000001" customHeight="1">
      <c r="A310" s="7872"/>
      <c r="B310" s="8510"/>
      <c r="C310" s="7939"/>
      <c r="D310" s="8016" t="s">
        <v>134</v>
      </c>
      <c r="E310" s="8254"/>
      <c r="F310" s="7953" t="s">
        <v>742</v>
      </c>
      <c r="G310" s="8514"/>
      <c r="H310" s="8573"/>
      <c r="I310" s="8574"/>
      <c r="J310" s="8575" t="s">
        <v>431</v>
      </c>
      <c r="K310" s="7941" t="s">
        <v>734</v>
      </c>
      <c r="L310" s="7935">
        <v>122</v>
      </c>
      <c r="M310" s="7936">
        <v>126</v>
      </c>
      <c r="N310" s="9253">
        <v>133</v>
      </c>
      <c r="O310" s="8994" t="s">
        <v>3658</v>
      </c>
      <c r="P310" s="7932"/>
      <c r="Q310" s="7932"/>
      <c r="R310" s="8509"/>
      <c r="AX310" s="7872"/>
    </row>
    <row r="311" spans="1:50" s="7887" customFormat="1" ht="20.100000000000001" customHeight="1">
      <c r="A311" s="7872"/>
      <c r="B311" s="8510"/>
      <c r="C311" s="8503"/>
      <c r="D311" s="8016" t="s">
        <v>2079</v>
      </c>
      <c r="E311" s="8254"/>
      <c r="F311" s="7953" t="s">
        <v>742</v>
      </c>
      <c r="G311" s="8514"/>
      <c r="H311" s="8573"/>
      <c r="I311" s="8574"/>
      <c r="J311" s="8575" t="s">
        <v>449</v>
      </c>
      <c r="K311" s="7941" t="s">
        <v>734</v>
      </c>
      <c r="L311" s="7935">
        <v>5</v>
      </c>
      <c r="M311" s="7936">
        <v>6</v>
      </c>
      <c r="N311" s="9253">
        <v>5</v>
      </c>
      <c r="O311" s="9012"/>
      <c r="P311" s="7932"/>
      <c r="Q311" s="7932"/>
      <c r="R311" s="8509"/>
      <c r="AX311" s="7872"/>
    </row>
    <row r="312" spans="1:50" s="7887" customFormat="1" ht="20.100000000000001" customHeight="1">
      <c r="A312" s="7872"/>
      <c r="B312" s="8510"/>
      <c r="C312" s="8522" t="s">
        <v>1921</v>
      </c>
      <c r="D312" s="8518"/>
      <c r="E312" s="8518"/>
      <c r="F312" s="8518"/>
      <c r="G312" s="8576"/>
      <c r="H312" s="8576"/>
      <c r="I312" s="9319" t="s">
        <v>3715</v>
      </c>
      <c r="J312" s="8518"/>
      <c r="K312" s="8518" t="s">
        <v>734</v>
      </c>
      <c r="L312" s="8577"/>
      <c r="M312" s="8578"/>
      <c r="N312" s="9263"/>
      <c r="O312" s="9011" t="s">
        <v>3792</v>
      </c>
      <c r="P312" s="7932" t="s">
        <v>1129</v>
      </c>
      <c r="Q312" s="7955" t="s">
        <v>1121</v>
      </c>
      <c r="R312" s="8509"/>
      <c r="AX312" s="7872"/>
    </row>
    <row r="313" spans="1:50" s="7887" customFormat="1" ht="20.100000000000001" customHeight="1">
      <c r="A313" s="7872"/>
      <c r="B313" s="8510"/>
      <c r="C313" s="8579"/>
      <c r="D313" s="8571" t="s">
        <v>1130</v>
      </c>
      <c r="E313" s="8571"/>
      <c r="F313" s="7957" t="s">
        <v>732</v>
      </c>
      <c r="G313" s="8580"/>
      <c r="H313" s="8581"/>
      <c r="I313" s="9203"/>
      <c r="J313" s="8571" t="s">
        <v>1131</v>
      </c>
      <c r="K313" s="7957" t="s">
        <v>734</v>
      </c>
      <c r="L313" s="8012">
        <f>SUM(L314:L315)</f>
        <v>13</v>
      </c>
      <c r="M313" s="8013">
        <f>SUM(M314:M315)</f>
        <v>21</v>
      </c>
      <c r="N313" s="9247">
        <f>SUM(N314:N315)</f>
        <v>19</v>
      </c>
      <c r="O313" s="8995"/>
      <c r="P313" s="7932" t="s">
        <v>1129</v>
      </c>
      <c r="Q313" s="7932" t="s">
        <v>1121</v>
      </c>
      <c r="R313" s="8509"/>
      <c r="AX313" s="7872"/>
    </row>
    <row r="314" spans="1:50" s="7887" customFormat="1" ht="20.100000000000001" customHeight="1">
      <c r="A314" s="7872"/>
      <c r="B314" s="8510"/>
      <c r="C314" s="8084"/>
      <c r="D314" s="8016" t="s">
        <v>134</v>
      </c>
      <c r="E314" s="8254"/>
      <c r="F314" s="7953" t="s">
        <v>732</v>
      </c>
      <c r="G314" s="8514"/>
      <c r="H314" s="8573"/>
      <c r="I314" s="8574"/>
      <c r="J314" s="8575" t="s">
        <v>431</v>
      </c>
      <c r="K314" s="7941" t="s">
        <v>734</v>
      </c>
      <c r="L314" s="8134">
        <v>7</v>
      </c>
      <c r="M314" s="8135">
        <v>17</v>
      </c>
      <c r="N314" s="9264">
        <v>14</v>
      </c>
      <c r="O314" s="9013"/>
      <c r="P314" s="7932"/>
      <c r="Q314" s="7932"/>
      <c r="R314" s="8509"/>
      <c r="AX314" s="7872"/>
    </row>
    <row r="315" spans="1:50" s="7887" customFormat="1" ht="20.100000000000001" customHeight="1">
      <c r="A315" s="7872"/>
      <c r="B315" s="8510"/>
      <c r="C315" s="8084"/>
      <c r="D315" s="8016" t="s">
        <v>2079</v>
      </c>
      <c r="E315" s="8254"/>
      <c r="F315" s="7953" t="s">
        <v>732</v>
      </c>
      <c r="G315" s="8514"/>
      <c r="H315" s="8573"/>
      <c r="I315" s="8574"/>
      <c r="J315" s="8575" t="s">
        <v>449</v>
      </c>
      <c r="K315" s="7941" t="s">
        <v>734</v>
      </c>
      <c r="L315" s="7935">
        <v>6</v>
      </c>
      <c r="M315" s="7936">
        <v>4</v>
      </c>
      <c r="N315" s="9265">
        <f>'4DPLEX'!AA279</f>
        <v>5</v>
      </c>
      <c r="O315" s="9014"/>
      <c r="P315" s="7932"/>
      <c r="Q315" s="7932"/>
      <c r="R315" s="8509"/>
      <c r="AX315" s="7872"/>
    </row>
    <row r="316" spans="1:50" s="7887" customFormat="1" ht="20.100000000000001" customHeight="1">
      <c r="A316" s="7872"/>
      <c r="B316" s="8510"/>
      <c r="C316" s="8136"/>
      <c r="D316" s="8571" t="s">
        <v>1136</v>
      </c>
      <c r="E316" s="8571"/>
      <c r="F316" s="7957" t="s">
        <v>732</v>
      </c>
      <c r="G316" s="8513"/>
      <c r="H316" s="8533"/>
      <c r="I316" s="8572"/>
      <c r="J316" s="8571" t="s">
        <v>1137</v>
      </c>
      <c r="K316" s="7957" t="s">
        <v>734</v>
      </c>
      <c r="L316" s="8012">
        <f>SUM(L317:L318)</f>
        <v>37</v>
      </c>
      <c r="M316" s="8013">
        <f>SUM(M317:M318)</f>
        <v>40</v>
      </c>
      <c r="N316" s="9247">
        <f>SUM(N317:N318)</f>
        <v>47</v>
      </c>
      <c r="O316" s="9002"/>
      <c r="P316" s="8137" t="s">
        <v>1129</v>
      </c>
      <c r="Q316" s="8137" t="s">
        <v>1121</v>
      </c>
      <c r="R316" s="8509"/>
      <c r="AX316" s="7872"/>
    </row>
    <row r="317" spans="1:50" s="7930" customFormat="1" ht="20.100000000000001" customHeight="1">
      <c r="A317" s="7872"/>
      <c r="B317" s="8510"/>
      <c r="C317" s="8084"/>
      <c r="D317" s="8016" t="s">
        <v>134</v>
      </c>
      <c r="E317" s="8254"/>
      <c r="F317" s="7953" t="s">
        <v>732</v>
      </c>
      <c r="G317" s="8514"/>
      <c r="H317" s="8573"/>
      <c r="I317" s="8574"/>
      <c r="J317" s="8575" t="s">
        <v>431</v>
      </c>
      <c r="K317" s="7941" t="s">
        <v>734</v>
      </c>
      <c r="L317" s="7935">
        <v>35</v>
      </c>
      <c r="M317" s="7936">
        <v>38</v>
      </c>
      <c r="N317" s="9253">
        <v>46</v>
      </c>
      <c r="O317" s="9015" t="s">
        <v>3659</v>
      </c>
      <c r="P317" s="7932"/>
      <c r="Q317" s="7932"/>
      <c r="R317" s="8509"/>
      <c r="S317" s="7887"/>
      <c r="T317" s="7887"/>
      <c r="U317" s="7887"/>
      <c r="V317" s="7887"/>
      <c r="W317" s="7887"/>
      <c r="X317" s="7887"/>
      <c r="Y317" s="7887"/>
      <c r="Z317" s="7887"/>
      <c r="AA317" s="7887"/>
      <c r="AB317" s="7887"/>
      <c r="AC317" s="7887"/>
      <c r="AD317" s="7887"/>
      <c r="AE317" s="7887"/>
      <c r="AF317" s="7887"/>
      <c r="AG317" s="7887"/>
      <c r="AH317" s="7887"/>
      <c r="AI317" s="7887"/>
      <c r="AJ317" s="7887"/>
      <c r="AK317" s="7887"/>
      <c r="AL317" s="7887"/>
      <c r="AM317" s="7887"/>
      <c r="AN317" s="7887"/>
      <c r="AO317" s="7887"/>
      <c r="AP317" s="7887"/>
      <c r="AQ317" s="7887"/>
      <c r="AR317" s="7887"/>
      <c r="AS317" s="7887"/>
      <c r="AT317" s="7887"/>
      <c r="AU317" s="7887"/>
      <c r="AV317" s="7887"/>
      <c r="AW317" s="7887"/>
      <c r="AX317" s="7872"/>
    </row>
    <row r="318" spans="1:50" s="7930" customFormat="1" ht="20.100000000000001" customHeight="1">
      <c r="A318" s="7872"/>
      <c r="B318" s="8510"/>
      <c r="C318" s="8084"/>
      <c r="D318" s="8016" t="s">
        <v>2079</v>
      </c>
      <c r="E318" s="8254"/>
      <c r="F318" s="7953" t="s">
        <v>732</v>
      </c>
      <c r="G318" s="8514"/>
      <c r="H318" s="8573"/>
      <c r="I318" s="8574"/>
      <c r="J318" s="8575" t="s">
        <v>449</v>
      </c>
      <c r="K318" s="7941" t="s">
        <v>734</v>
      </c>
      <c r="L318" s="7935">
        <v>2</v>
      </c>
      <c r="M318" s="7936">
        <v>2</v>
      </c>
      <c r="N318" s="9253">
        <f>'4DPLEX'!AA280</f>
        <v>1</v>
      </c>
      <c r="O318" s="9014"/>
      <c r="P318" s="7932"/>
      <c r="Q318" s="7932"/>
      <c r="R318" s="8509"/>
      <c r="S318" s="7887"/>
      <c r="T318" s="7887"/>
      <c r="U318" s="7887"/>
      <c r="V318" s="7887"/>
      <c r="W318" s="7887"/>
      <c r="X318" s="7887"/>
      <c r="Y318" s="7887"/>
      <c r="Z318" s="7887"/>
      <c r="AA318" s="7887"/>
      <c r="AB318" s="7887"/>
      <c r="AC318" s="7887"/>
      <c r="AD318" s="7887"/>
      <c r="AE318" s="7887"/>
      <c r="AF318" s="7887"/>
      <c r="AG318" s="7887"/>
      <c r="AH318" s="7887"/>
      <c r="AI318" s="7887"/>
      <c r="AJ318" s="7887"/>
      <c r="AK318" s="7887"/>
      <c r="AL318" s="7887"/>
      <c r="AM318" s="7887"/>
      <c r="AN318" s="7887"/>
      <c r="AO318" s="7887"/>
      <c r="AP318" s="7887"/>
      <c r="AQ318" s="7887"/>
      <c r="AR318" s="7887"/>
      <c r="AS318" s="7887"/>
      <c r="AT318" s="7887"/>
      <c r="AU318" s="7887"/>
      <c r="AV318" s="7887"/>
      <c r="AW318" s="7887"/>
      <c r="AX318" s="7872"/>
    </row>
    <row r="319" spans="1:50" s="7930" customFormat="1" ht="20.100000000000001" customHeight="1">
      <c r="A319" s="7872"/>
      <c r="B319" s="8510"/>
      <c r="C319" s="8522" t="s">
        <v>1922</v>
      </c>
      <c r="D319" s="8518"/>
      <c r="E319" s="8518"/>
      <c r="F319" s="8518"/>
      <c r="G319" s="8576"/>
      <c r="H319" s="8576"/>
      <c r="I319" s="9075" t="s">
        <v>3716</v>
      </c>
      <c r="J319" s="8518"/>
      <c r="K319" s="8518" t="s">
        <v>734</v>
      </c>
      <c r="L319" s="8577"/>
      <c r="M319" s="8578"/>
      <c r="N319" s="9263"/>
      <c r="O319" s="9011" t="s">
        <v>3792</v>
      </c>
      <c r="P319" s="8137" t="s">
        <v>1143</v>
      </c>
      <c r="Q319" s="7955" t="s">
        <v>1121</v>
      </c>
      <c r="R319" s="8509"/>
      <c r="S319" s="7887"/>
      <c r="T319" s="7887"/>
      <c r="U319" s="7887"/>
      <c r="V319" s="7887"/>
      <c r="W319" s="7887"/>
      <c r="X319" s="7887"/>
      <c r="Y319" s="7887"/>
      <c r="Z319" s="7887"/>
      <c r="AA319" s="7887"/>
      <c r="AB319" s="7887"/>
      <c r="AC319" s="7887"/>
      <c r="AD319" s="7887"/>
      <c r="AE319" s="7887"/>
      <c r="AF319" s="7887"/>
      <c r="AG319" s="7887"/>
      <c r="AH319" s="7887"/>
      <c r="AI319" s="7887"/>
      <c r="AJ319" s="7887"/>
      <c r="AK319" s="7887"/>
      <c r="AL319" s="7887"/>
      <c r="AM319" s="7887"/>
      <c r="AN319" s="7887"/>
      <c r="AO319" s="7887"/>
      <c r="AP319" s="7887"/>
      <c r="AQ319" s="7887"/>
      <c r="AR319" s="7887"/>
      <c r="AS319" s="7887"/>
      <c r="AT319" s="7887"/>
      <c r="AU319" s="7887"/>
      <c r="AV319" s="7887"/>
      <c r="AW319" s="7887"/>
      <c r="AX319" s="7872"/>
    </row>
    <row r="320" spans="1:50" s="7930" customFormat="1" ht="20.100000000000001" customHeight="1">
      <c r="A320" s="7872"/>
      <c r="B320" s="8510"/>
      <c r="C320" s="7939"/>
      <c r="D320" s="8524" t="s">
        <v>1139</v>
      </c>
      <c r="E320" s="8525"/>
      <c r="F320" s="7957" t="s">
        <v>154</v>
      </c>
      <c r="G320" s="8513"/>
      <c r="H320" s="8533"/>
      <c r="I320" s="8524" t="s">
        <v>1140</v>
      </c>
      <c r="J320" s="8525"/>
      <c r="K320" s="7957" t="s">
        <v>154</v>
      </c>
      <c r="L320" s="8035"/>
      <c r="M320" s="8036"/>
      <c r="N320" s="9243"/>
      <c r="O320" s="8995" t="s">
        <v>3783</v>
      </c>
      <c r="P320" s="8137" t="s">
        <v>1143</v>
      </c>
      <c r="Q320" s="8137" t="s">
        <v>1121</v>
      </c>
      <c r="R320" s="8509"/>
      <c r="S320" s="7887"/>
      <c r="T320" s="7887"/>
      <c r="U320" s="7887"/>
      <c r="V320" s="7887"/>
      <c r="W320" s="7887"/>
      <c r="X320" s="7887"/>
      <c r="Y320" s="7887"/>
      <c r="Z320" s="7887"/>
      <c r="AA320" s="7887"/>
      <c r="AB320" s="7887"/>
      <c r="AC320" s="7887"/>
      <c r="AD320" s="7887"/>
      <c r="AE320" s="7887"/>
      <c r="AF320" s="7887"/>
      <c r="AG320" s="7887"/>
      <c r="AH320" s="7887"/>
      <c r="AI320" s="7887"/>
      <c r="AJ320" s="7887"/>
      <c r="AK320" s="7887"/>
      <c r="AL320" s="7887"/>
      <c r="AM320" s="7887"/>
      <c r="AN320" s="7887"/>
      <c r="AO320" s="7887"/>
      <c r="AP320" s="7887"/>
      <c r="AQ320" s="7887"/>
      <c r="AR320" s="7887"/>
      <c r="AS320" s="7887"/>
      <c r="AT320" s="7887"/>
      <c r="AU320" s="7887"/>
      <c r="AV320" s="7887"/>
      <c r="AW320" s="7887"/>
      <c r="AX320" s="7872"/>
    </row>
    <row r="321" spans="1:50" s="7930" customFormat="1" ht="20.100000000000001" customHeight="1">
      <c r="A321" s="7872"/>
      <c r="B321" s="8510"/>
      <c r="C321" s="8503"/>
      <c r="D321" s="8016" t="s">
        <v>134</v>
      </c>
      <c r="E321" s="8017"/>
      <c r="F321" s="7953" t="s">
        <v>156</v>
      </c>
      <c r="G321" s="8514"/>
      <c r="H321" s="8528"/>
      <c r="I321" s="8506" t="s">
        <v>135</v>
      </c>
      <c r="J321" s="8508"/>
      <c r="K321" s="7941" t="s">
        <v>154</v>
      </c>
      <c r="L321" s="8106">
        <v>100</v>
      </c>
      <c r="M321" s="8109">
        <v>82.35294117647058</v>
      </c>
      <c r="N321" s="9258">
        <v>71.428571428571431</v>
      </c>
      <c r="O321" s="9015" t="s">
        <v>3659</v>
      </c>
      <c r="P321" s="7932"/>
      <c r="Q321" s="7932"/>
      <c r="R321" s="8509"/>
      <c r="S321" s="7887"/>
      <c r="T321" s="7887"/>
      <c r="U321" s="7887"/>
      <c r="V321" s="7887"/>
      <c r="W321" s="7887"/>
      <c r="X321" s="7887"/>
      <c r="Y321" s="7887"/>
      <c r="Z321" s="7887"/>
      <c r="AA321" s="7887"/>
      <c r="AB321" s="7887"/>
      <c r="AC321" s="7887"/>
      <c r="AD321" s="7887"/>
      <c r="AE321" s="7887"/>
      <c r="AF321" s="7887"/>
      <c r="AG321" s="7887"/>
      <c r="AH321" s="7887"/>
      <c r="AI321" s="7887"/>
      <c r="AJ321" s="7887"/>
      <c r="AK321" s="7887"/>
      <c r="AL321" s="7887"/>
      <c r="AM321" s="7887"/>
      <c r="AN321" s="7887"/>
      <c r="AO321" s="7887"/>
      <c r="AP321" s="7887"/>
      <c r="AQ321" s="7887"/>
      <c r="AR321" s="7887"/>
      <c r="AS321" s="7887"/>
      <c r="AT321" s="7887"/>
      <c r="AU321" s="7887"/>
      <c r="AV321" s="7887"/>
      <c r="AW321" s="7887"/>
      <c r="AX321" s="7872"/>
    </row>
    <row r="322" spans="1:50" s="7930" customFormat="1" ht="20.100000000000001" customHeight="1">
      <c r="A322" s="7872"/>
      <c r="B322" s="8510"/>
      <c r="C322" s="7939"/>
      <c r="D322" s="8016" t="s">
        <v>2079</v>
      </c>
      <c r="E322" s="8017"/>
      <c r="F322" s="7953" t="s">
        <v>156</v>
      </c>
      <c r="G322" s="8514"/>
      <c r="H322" s="8528"/>
      <c r="I322" s="8506" t="s">
        <v>138</v>
      </c>
      <c r="J322" s="8508"/>
      <c r="K322" s="7941" t="s">
        <v>154</v>
      </c>
      <c r="L322" s="7942">
        <v>75</v>
      </c>
      <c r="M322" s="8018">
        <v>80</v>
      </c>
      <c r="N322" s="9266">
        <v>85.7</v>
      </c>
      <c r="O322" s="9012"/>
      <c r="P322" s="7932"/>
      <c r="Q322" s="7932"/>
      <c r="R322" s="8509"/>
      <c r="S322" s="7887"/>
      <c r="T322" s="7887"/>
      <c r="U322" s="7887"/>
      <c r="V322" s="7887"/>
      <c r="W322" s="7887"/>
      <c r="X322" s="7887"/>
      <c r="Y322" s="7887"/>
      <c r="Z322" s="7887"/>
      <c r="AA322" s="7887"/>
      <c r="AB322" s="7887"/>
      <c r="AC322" s="7887"/>
      <c r="AD322" s="7887"/>
      <c r="AE322" s="7887"/>
      <c r="AF322" s="7887"/>
      <c r="AG322" s="7887"/>
      <c r="AH322" s="7887"/>
      <c r="AI322" s="7887"/>
      <c r="AJ322" s="7887"/>
      <c r="AK322" s="7887"/>
      <c r="AL322" s="7887"/>
      <c r="AM322" s="7887"/>
      <c r="AN322" s="7887"/>
      <c r="AO322" s="7887"/>
      <c r="AP322" s="7887"/>
      <c r="AQ322" s="7887"/>
      <c r="AR322" s="7887"/>
      <c r="AS322" s="7887"/>
      <c r="AT322" s="7887"/>
      <c r="AU322" s="7887"/>
      <c r="AV322" s="7887"/>
      <c r="AW322" s="7887"/>
      <c r="AX322" s="7872"/>
    </row>
    <row r="323" spans="1:50" s="7930" customFormat="1" ht="20.100000000000001" customHeight="1">
      <c r="A323" s="7872"/>
      <c r="B323" s="8510"/>
      <c r="C323" s="8503"/>
      <c r="D323" s="8524" t="s">
        <v>1147</v>
      </c>
      <c r="E323" s="8525"/>
      <c r="F323" s="7957" t="s">
        <v>154</v>
      </c>
      <c r="G323" s="8513"/>
      <c r="H323" s="8533"/>
      <c r="I323" s="8524" t="s">
        <v>1148</v>
      </c>
      <c r="J323" s="8525"/>
      <c r="K323" s="7957" t="s">
        <v>154</v>
      </c>
      <c r="L323" s="8035"/>
      <c r="M323" s="8036"/>
      <c r="N323" s="9243"/>
      <c r="O323" s="8995" t="s">
        <v>3784</v>
      </c>
      <c r="P323" s="8137" t="s">
        <v>1143</v>
      </c>
      <c r="Q323" s="8137" t="s">
        <v>1121</v>
      </c>
      <c r="R323" s="8509"/>
      <c r="S323" s="7887"/>
      <c r="T323" s="7887"/>
      <c r="U323" s="7887"/>
      <c r="V323" s="7887"/>
      <c r="W323" s="7887"/>
      <c r="X323" s="7887"/>
      <c r="Y323" s="7887"/>
      <c r="Z323" s="7887"/>
      <c r="AA323" s="7887"/>
      <c r="AB323" s="7887"/>
      <c r="AC323" s="7887"/>
      <c r="AD323" s="7887"/>
      <c r="AE323" s="7887"/>
      <c r="AF323" s="7887"/>
      <c r="AG323" s="7887"/>
      <c r="AH323" s="7887"/>
      <c r="AI323" s="7887"/>
      <c r="AJ323" s="7887"/>
      <c r="AK323" s="7887"/>
      <c r="AL323" s="7887"/>
      <c r="AM323" s="7887"/>
      <c r="AN323" s="7887"/>
      <c r="AO323" s="7887"/>
      <c r="AP323" s="7887"/>
      <c r="AQ323" s="7887"/>
      <c r="AR323" s="7887"/>
      <c r="AS323" s="7887"/>
      <c r="AT323" s="7887"/>
      <c r="AU323" s="7887"/>
      <c r="AV323" s="7887"/>
      <c r="AW323" s="7887"/>
      <c r="AX323" s="7872"/>
    </row>
    <row r="324" spans="1:50" s="7930" customFormat="1" ht="20.100000000000001" customHeight="1">
      <c r="A324" s="7872"/>
      <c r="B324" s="8510"/>
      <c r="C324" s="7939"/>
      <c r="D324" s="8016" t="s">
        <v>134</v>
      </c>
      <c r="E324" s="8017"/>
      <c r="F324" s="7953" t="s">
        <v>156</v>
      </c>
      <c r="G324" s="8514"/>
      <c r="H324" s="8528"/>
      <c r="I324" s="8506" t="s">
        <v>135</v>
      </c>
      <c r="J324" s="8508"/>
      <c r="K324" s="7941" t="s">
        <v>154</v>
      </c>
      <c r="L324" s="8106">
        <v>100</v>
      </c>
      <c r="M324" s="8109">
        <v>82.35294117647058</v>
      </c>
      <c r="N324" s="9258">
        <v>72.727272727272734</v>
      </c>
      <c r="O324" s="9015" t="s">
        <v>3659</v>
      </c>
      <c r="P324" s="7932"/>
      <c r="Q324" s="7932"/>
      <c r="R324" s="8509"/>
      <c r="S324" s="7887"/>
      <c r="T324" s="7887"/>
      <c r="U324" s="7887"/>
      <c r="V324" s="7887"/>
      <c r="W324" s="7887"/>
      <c r="X324" s="7887"/>
      <c r="Y324" s="7887"/>
      <c r="Z324" s="7887"/>
      <c r="AA324" s="7887"/>
      <c r="AB324" s="7887"/>
      <c r="AC324" s="7887"/>
      <c r="AD324" s="7887"/>
      <c r="AE324" s="7887"/>
      <c r="AF324" s="7887"/>
      <c r="AG324" s="7887"/>
      <c r="AH324" s="7887"/>
      <c r="AI324" s="7887"/>
      <c r="AJ324" s="7887"/>
      <c r="AK324" s="7887"/>
      <c r="AL324" s="7887"/>
      <c r="AM324" s="7887"/>
      <c r="AN324" s="7887"/>
      <c r="AO324" s="7887"/>
      <c r="AP324" s="7887"/>
      <c r="AQ324" s="7887"/>
      <c r="AR324" s="7887"/>
      <c r="AS324" s="7887"/>
      <c r="AT324" s="7887"/>
      <c r="AU324" s="7887"/>
      <c r="AV324" s="7887"/>
      <c r="AW324" s="7887"/>
      <c r="AX324" s="7872"/>
    </row>
    <row r="325" spans="1:50" s="7930" customFormat="1" ht="20.100000000000001" customHeight="1">
      <c r="A325" s="7872"/>
      <c r="B325" s="8510"/>
      <c r="C325" s="7939"/>
      <c r="D325" s="8016" t="s">
        <v>2079</v>
      </c>
      <c r="E325" s="8017"/>
      <c r="F325" s="7953" t="s">
        <v>156</v>
      </c>
      <c r="G325" s="8514"/>
      <c r="H325" s="8528"/>
      <c r="I325" s="8506" t="s">
        <v>138</v>
      </c>
      <c r="J325" s="8508"/>
      <c r="K325" s="7941" t="s">
        <v>154</v>
      </c>
      <c r="L325" s="7942">
        <v>75</v>
      </c>
      <c r="M325" s="8018">
        <v>75</v>
      </c>
      <c r="N325" s="9266">
        <v>80</v>
      </c>
      <c r="O325" s="9014"/>
      <c r="P325" s="7932"/>
      <c r="Q325" s="7932"/>
      <c r="R325" s="8509"/>
      <c r="S325" s="7887"/>
      <c r="T325" s="7887"/>
      <c r="U325" s="7887"/>
      <c r="V325" s="7887"/>
      <c r="W325" s="7887"/>
      <c r="X325" s="7887"/>
      <c r="Y325" s="7887"/>
      <c r="Z325" s="7887"/>
      <c r="AA325" s="7887"/>
      <c r="AB325" s="7887"/>
      <c r="AC325" s="7887"/>
      <c r="AD325" s="7887"/>
      <c r="AE325" s="7887"/>
      <c r="AF325" s="7887"/>
      <c r="AG325" s="7887"/>
      <c r="AH325" s="7887"/>
      <c r="AI325" s="7887"/>
      <c r="AJ325" s="7887"/>
      <c r="AK325" s="7887"/>
      <c r="AL325" s="7887"/>
      <c r="AM325" s="7887"/>
      <c r="AN325" s="7887"/>
      <c r="AO325" s="7887"/>
      <c r="AP325" s="7887"/>
      <c r="AQ325" s="7887"/>
      <c r="AR325" s="7887"/>
      <c r="AS325" s="7887"/>
      <c r="AT325" s="7887"/>
      <c r="AU325" s="7887"/>
      <c r="AV325" s="7887"/>
      <c r="AW325" s="7887"/>
      <c r="AX325" s="7872"/>
    </row>
    <row r="326" spans="1:50" s="7930" customFormat="1" ht="64.5" customHeight="1">
      <c r="A326" s="7872"/>
      <c r="B326" s="8510"/>
      <c r="C326" s="7939"/>
      <c r="D326" s="8524" t="s">
        <v>1150</v>
      </c>
      <c r="E326" s="8525"/>
      <c r="F326" s="7957" t="s">
        <v>154</v>
      </c>
      <c r="G326" s="8513"/>
      <c r="H326" s="8533"/>
      <c r="I326" s="8524" t="s">
        <v>1151</v>
      </c>
      <c r="J326" s="8525"/>
      <c r="K326" s="7957" t="s">
        <v>154</v>
      </c>
      <c r="L326" s="8035"/>
      <c r="M326" s="8036"/>
      <c r="N326" s="9243"/>
      <c r="O326" s="8995" t="s">
        <v>3785</v>
      </c>
      <c r="P326" s="7932" t="s">
        <v>1154</v>
      </c>
      <c r="Q326" s="7932" t="s">
        <v>1121</v>
      </c>
      <c r="R326" s="8509"/>
      <c r="S326" s="7887"/>
      <c r="T326" s="7887"/>
      <c r="U326" s="7887"/>
      <c r="V326" s="7887"/>
      <c r="W326" s="7887"/>
      <c r="X326" s="7887"/>
      <c r="Y326" s="7887"/>
      <c r="Z326" s="7887"/>
      <c r="AA326" s="7887"/>
      <c r="AB326" s="7887"/>
      <c r="AC326" s="7887"/>
      <c r="AD326" s="7887"/>
      <c r="AE326" s="7887"/>
      <c r="AF326" s="7887"/>
      <c r="AG326" s="7887"/>
      <c r="AH326" s="7887"/>
      <c r="AI326" s="7887"/>
      <c r="AJ326" s="7887"/>
      <c r="AK326" s="7887"/>
      <c r="AL326" s="7887"/>
      <c r="AM326" s="7887"/>
      <c r="AN326" s="7887"/>
      <c r="AO326" s="7887"/>
      <c r="AP326" s="7887"/>
      <c r="AQ326" s="7887"/>
      <c r="AR326" s="7887"/>
      <c r="AS326" s="7887"/>
      <c r="AT326" s="7887"/>
      <c r="AU326" s="7887"/>
      <c r="AV326" s="7887"/>
      <c r="AW326" s="7887"/>
      <c r="AX326" s="7872"/>
    </row>
    <row r="327" spans="1:50" s="7930" customFormat="1" ht="20.100000000000001" customHeight="1">
      <c r="A327" s="7872"/>
      <c r="B327" s="8510"/>
      <c r="C327" s="7939"/>
      <c r="D327" s="8016" t="s">
        <v>134</v>
      </c>
      <c r="E327" s="8017"/>
      <c r="F327" s="7953" t="s">
        <v>156</v>
      </c>
      <c r="G327" s="8514"/>
      <c r="H327" s="8528"/>
      <c r="I327" s="8506" t="s">
        <v>135</v>
      </c>
      <c r="J327" s="8508"/>
      <c r="K327" s="7941" t="s">
        <v>154</v>
      </c>
      <c r="L327" s="8106">
        <v>69.230769230769226</v>
      </c>
      <c r="M327" s="8109">
        <v>84.210526315789465</v>
      </c>
      <c r="N327" s="9258">
        <v>76.744186046511629</v>
      </c>
      <c r="O327" s="9015" t="s">
        <v>3659</v>
      </c>
      <c r="P327" s="7932"/>
      <c r="Q327" s="7932"/>
      <c r="R327" s="8509"/>
      <c r="S327" s="7887"/>
      <c r="T327" s="7887"/>
      <c r="U327" s="7887"/>
      <c r="V327" s="7887"/>
      <c r="W327" s="7887"/>
      <c r="X327" s="7887"/>
      <c r="Y327" s="7887"/>
      <c r="Z327" s="7887"/>
      <c r="AA327" s="7887"/>
      <c r="AB327" s="7887"/>
      <c r="AC327" s="7887"/>
      <c r="AD327" s="7887"/>
      <c r="AE327" s="7887"/>
      <c r="AF327" s="7887"/>
      <c r="AG327" s="7887"/>
      <c r="AH327" s="7887"/>
      <c r="AI327" s="7887"/>
      <c r="AJ327" s="7887"/>
      <c r="AK327" s="7887"/>
      <c r="AL327" s="7887"/>
      <c r="AM327" s="7887"/>
      <c r="AN327" s="7887"/>
      <c r="AO327" s="7887"/>
      <c r="AP327" s="7887"/>
      <c r="AQ327" s="7887"/>
      <c r="AR327" s="7887"/>
      <c r="AS327" s="7887"/>
      <c r="AT327" s="7887"/>
      <c r="AU327" s="7887"/>
      <c r="AV327" s="7887"/>
      <c r="AW327" s="7887"/>
      <c r="AX327" s="7872"/>
    </row>
    <row r="328" spans="1:50" s="7930" customFormat="1" ht="20.100000000000001" customHeight="1">
      <c r="A328" s="7872"/>
      <c r="B328" s="8510"/>
      <c r="C328" s="8503"/>
      <c r="D328" s="8016" t="s">
        <v>2079</v>
      </c>
      <c r="E328" s="8017"/>
      <c r="F328" s="7953" t="s">
        <v>156</v>
      </c>
      <c r="G328" s="8514"/>
      <c r="H328" s="8528"/>
      <c r="I328" s="8506" t="s">
        <v>138</v>
      </c>
      <c r="J328" s="8508"/>
      <c r="K328" s="7941" t="s">
        <v>154</v>
      </c>
      <c r="L328" s="7942">
        <v>60</v>
      </c>
      <c r="M328" s="8018">
        <v>72</v>
      </c>
      <c r="N328" s="9266">
        <v>78</v>
      </c>
      <c r="O328" s="9016"/>
      <c r="P328" s="7932"/>
      <c r="Q328" s="7932"/>
      <c r="R328" s="8509"/>
      <c r="S328" s="7887"/>
      <c r="T328" s="7887"/>
      <c r="U328" s="7887"/>
      <c r="V328" s="7887"/>
      <c r="W328" s="7887"/>
      <c r="X328" s="7887"/>
      <c r="Y328" s="7887"/>
      <c r="Z328" s="7887"/>
      <c r="AA328" s="7887"/>
      <c r="AB328" s="7887"/>
      <c r="AC328" s="7887"/>
      <c r="AD328" s="7887"/>
      <c r="AE328" s="7887"/>
      <c r="AF328" s="7887"/>
      <c r="AG328" s="7887"/>
      <c r="AH328" s="7887"/>
      <c r="AI328" s="7887"/>
      <c r="AJ328" s="7887"/>
      <c r="AK328" s="7887"/>
      <c r="AL328" s="7887"/>
      <c r="AM328" s="7887"/>
      <c r="AN328" s="7887"/>
      <c r="AO328" s="7887"/>
      <c r="AP328" s="7887"/>
      <c r="AQ328" s="7887"/>
      <c r="AR328" s="7887"/>
      <c r="AS328" s="7887"/>
      <c r="AT328" s="7887"/>
      <c r="AU328" s="7887"/>
      <c r="AV328" s="7887"/>
      <c r="AW328" s="7887"/>
      <c r="AX328" s="7872"/>
    </row>
    <row r="329" spans="1:50" s="7930" customFormat="1" ht="20.100000000000001" customHeight="1">
      <c r="A329" s="7872"/>
      <c r="B329" s="8510"/>
      <c r="C329" s="8820" t="s">
        <v>3601</v>
      </c>
      <c r="D329" s="8518"/>
      <c r="E329" s="8518"/>
      <c r="F329" s="8576"/>
      <c r="G329" s="8576"/>
      <c r="H329" s="9320" t="s">
        <v>3717</v>
      </c>
      <c r="I329" s="8576"/>
      <c r="J329" s="8576"/>
      <c r="K329" s="8138"/>
      <c r="L329" s="8569"/>
      <c r="M329" s="8570"/>
      <c r="N329" s="9262"/>
      <c r="O329" s="9007"/>
      <c r="P329" s="7932"/>
      <c r="Q329" s="7932"/>
      <c r="R329" s="8509"/>
      <c r="S329" s="7887"/>
      <c r="T329" s="7887"/>
      <c r="U329" s="7887"/>
      <c r="V329" s="7887"/>
      <c r="W329" s="7887"/>
      <c r="X329" s="7887"/>
      <c r="Y329" s="7887"/>
      <c r="Z329" s="7887"/>
      <c r="AA329" s="7887"/>
      <c r="AB329" s="7887"/>
      <c r="AC329" s="7887"/>
      <c r="AD329" s="7887"/>
      <c r="AE329" s="7887"/>
      <c r="AF329" s="7887"/>
      <c r="AG329" s="7887"/>
      <c r="AH329" s="7887"/>
      <c r="AI329" s="7887"/>
      <c r="AJ329" s="7887"/>
      <c r="AK329" s="7887"/>
      <c r="AL329" s="7887"/>
      <c r="AM329" s="7887"/>
      <c r="AN329" s="7887"/>
      <c r="AO329" s="7887"/>
      <c r="AP329" s="7887"/>
      <c r="AQ329" s="7887"/>
      <c r="AR329" s="7887"/>
      <c r="AS329" s="7887"/>
      <c r="AT329" s="7887"/>
      <c r="AU329" s="7887"/>
      <c r="AV329" s="7887"/>
      <c r="AW329" s="7887"/>
      <c r="AX329" s="7872"/>
    </row>
    <row r="330" spans="1:50" s="7930" customFormat="1" ht="20.100000000000001" customHeight="1">
      <c r="A330" s="7872"/>
      <c r="B330" s="8510"/>
      <c r="C330" s="8139"/>
      <c r="D330" s="8524" t="s">
        <v>1166</v>
      </c>
      <c r="E330" s="8525"/>
      <c r="F330" s="7957" t="s">
        <v>732</v>
      </c>
      <c r="G330" s="8513"/>
      <c r="H330" s="8533"/>
      <c r="I330" s="8867" t="s">
        <v>3718</v>
      </c>
      <c r="J330" s="8525"/>
      <c r="K330" s="7957" t="s">
        <v>734</v>
      </c>
      <c r="L330" s="8012">
        <f>IF(COUNTBLANK(L331:L336)&gt;0,"미취합법인有",SUM(L331:L336))</f>
        <v>73</v>
      </c>
      <c r="M330" s="8013">
        <f>IF(COUNTBLANK(M331:M336)&gt;0,"미취합법인有",SUM(M331:M336))</f>
        <v>57</v>
      </c>
      <c r="N330" s="9247">
        <f>IF(COUNTBLANK(N331:N336)&gt;0,"미취합법인有",SUM(N331:N336))</f>
        <v>82</v>
      </c>
      <c r="O330" s="9002"/>
      <c r="P330" s="7932" t="s">
        <v>1163</v>
      </c>
      <c r="Q330" s="7955"/>
      <c r="R330" s="8509"/>
      <c r="S330" s="7887"/>
      <c r="T330" s="7887"/>
      <c r="U330" s="7887"/>
      <c r="V330" s="7887"/>
      <c r="W330" s="7887"/>
      <c r="X330" s="7887"/>
      <c r="Y330" s="7887"/>
      <c r="Z330" s="7887"/>
      <c r="AA330" s="7887"/>
      <c r="AB330" s="7887"/>
      <c r="AC330" s="7887"/>
      <c r="AD330" s="7887"/>
      <c r="AE330" s="7887"/>
      <c r="AF330" s="7887"/>
      <c r="AG330" s="7887"/>
      <c r="AH330" s="7887"/>
      <c r="AI330" s="7887"/>
      <c r="AJ330" s="7887"/>
      <c r="AK330" s="7887"/>
      <c r="AL330" s="7887"/>
      <c r="AM330" s="7887"/>
      <c r="AN330" s="7887"/>
      <c r="AO330" s="7887"/>
      <c r="AP330" s="7887"/>
      <c r="AQ330" s="7887"/>
      <c r="AR330" s="7887"/>
      <c r="AS330" s="7887"/>
      <c r="AT330" s="7887"/>
      <c r="AU330" s="7887"/>
      <c r="AV330" s="7887"/>
      <c r="AW330" s="7887"/>
      <c r="AX330" s="7872"/>
    </row>
    <row r="331" spans="1:50" s="7930" customFormat="1" ht="20.100000000000001" customHeight="1">
      <c r="A331" s="7872"/>
      <c r="B331" s="8510"/>
      <c r="C331" s="7939"/>
      <c r="D331" s="8016" t="s">
        <v>134</v>
      </c>
      <c r="E331" s="8017"/>
      <c r="F331" s="7953" t="s">
        <v>732</v>
      </c>
      <c r="G331" s="8514"/>
      <c r="H331" s="8528"/>
      <c r="I331" s="8506" t="s">
        <v>135</v>
      </c>
      <c r="J331" s="8508"/>
      <c r="K331" s="7941" t="s">
        <v>734</v>
      </c>
      <c r="L331" s="8140">
        <v>24</v>
      </c>
      <c r="M331" s="8219">
        <v>24</v>
      </c>
      <c r="N331" s="9267">
        <v>31</v>
      </c>
      <c r="O331" s="9017" t="s">
        <v>3554</v>
      </c>
      <c r="P331" s="7932"/>
      <c r="Q331" s="7932"/>
      <c r="R331" s="8509"/>
      <c r="S331" s="7887"/>
      <c r="T331" s="7887"/>
      <c r="U331" s="7887"/>
      <c r="V331" s="7887"/>
      <c r="W331" s="7887"/>
      <c r="X331" s="7887"/>
      <c r="Y331" s="7887"/>
      <c r="Z331" s="7887"/>
      <c r="AA331" s="7887"/>
      <c r="AB331" s="7887"/>
      <c r="AC331" s="7887"/>
      <c r="AD331" s="7887"/>
      <c r="AE331" s="7887"/>
      <c r="AF331" s="7887"/>
      <c r="AG331" s="7887"/>
      <c r="AH331" s="7887"/>
      <c r="AI331" s="7887"/>
      <c r="AJ331" s="7887"/>
      <c r="AK331" s="7887"/>
      <c r="AL331" s="7887"/>
      <c r="AM331" s="7887"/>
      <c r="AN331" s="7887"/>
      <c r="AO331" s="7887"/>
      <c r="AP331" s="7887"/>
      <c r="AQ331" s="7887"/>
      <c r="AR331" s="7887"/>
      <c r="AS331" s="7887"/>
      <c r="AT331" s="7887"/>
      <c r="AU331" s="7887"/>
      <c r="AV331" s="7887"/>
      <c r="AW331" s="7887"/>
      <c r="AX331" s="7872"/>
    </row>
    <row r="332" spans="1:50" s="7930" customFormat="1" ht="20.100000000000001" customHeight="1">
      <c r="A332" s="7872"/>
      <c r="B332" s="8510"/>
      <c r="C332" s="7939"/>
      <c r="D332" s="8016" t="s">
        <v>2079</v>
      </c>
      <c r="E332" s="8017"/>
      <c r="F332" s="7953" t="s">
        <v>732</v>
      </c>
      <c r="G332" s="8514"/>
      <c r="H332" s="8528"/>
      <c r="I332" s="8506" t="s">
        <v>138</v>
      </c>
      <c r="J332" s="8508"/>
      <c r="K332" s="7941" t="s">
        <v>734</v>
      </c>
      <c r="L332" s="7935">
        <v>0</v>
      </c>
      <c r="M332" s="7936">
        <v>0</v>
      </c>
      <c r="N332" s="9268">
        <f>'4DPLEX'!AA285</f>
        <v>2</v>
      </c>
      <c r="O332" s="9017" t="s">
        <v>3554</v>
      </c>
      <c r="P332" s="7932"/>
      <c r="Q332" s="7932"/>
      <c r="R332" s="8509"/>
      <c r="S332" s="7887"/>
      <c r="T332" s="7887"/>
      <c r="U332" s="7887"/>
      <c r="V332" s="7887"/>
      <c r="W332" s="7887"/>
      <c r="X332" s="7887"/>
      <c r="Y332" s="7887"/>
      <c r="Z332" s="7887"/>
      <c r="AA332" s="7887"/>
      <c r="AB332" s="7887"/>
      <c r="AC332" s="7887"/>
      <c r="AD332" s="7887"/>
      <c r="AE332" s="7887"/>
      <c r="AF332" s="7887"/>
      <c r="AG332" s="7887"/>
      <c r="AH332" s="7887"/>
      <c r="AI332" s="7887"/>
      <c r="AJ332" s="7887"/>
      <c r="AK332" s="7887"/>
      <c r="AL332" s="7887"/>
      <c r="AM332" s="7887"/>
      <c r="AN332" s="7887"/>
      <c r="AO332" s="7887"/>
      <c r="AP332" s="7887"/>
      <c r="AQ332" s="7887"/>
      <c r="AR332" s="7887"/>
      <c r="AS332" s="7887"/>
      <c r="AT332" s="7887"/>
      <c r="AU332" s="7887"/>
      <c r="AV332" s="7887"/>
      <c r="AW332" s="7887"/>
      <c r="AX332" s="7872"/>
    </row>
    <row r="333" spans="1:50" s="7930" customFormat="1" ht="20.100000000000001" customHeight="1">
      <c r="A333" s="7872"/>
      <c r="B333" s="8510"/>
      <c r="C333" s="7939"/>
      <c r="D333" s="8016" t="s">
        <v>140</v>
      </c>
      <c r="E333" s="8017"/>
      <c r="F333" s="7953" t="s">
        <v>732</v>
      </c>
      <c r="G333" s="8514"/>
      <c r="H333" s="8528"/>
      <c r="I333" s="8515" t="s">
        <v>141</v>
      </c>
      <c r="J333" s="8516"/>
      <c r="K333" s="7941" t="s">
        <v>734</v>
      </c>
      <c r="L333" s="8140">
        <f>China!AO310</f>
        <v>2</v>
      </c>
      <c r="M333" s="8219">
        <f>China!AQ310</f>
        <v>5</v>
      </c>
      <c r="N333" s="9267">
        <f>China!AS310</f>
        <v>28</v>
      </c>
      <c r="O333" s="9017" t="s">
        <v>3554</v>
      </c>
      <c r="P333" s="7932"/>
      <c r="Q333" s="7932"/>
      <c r="R333" s="8509"/>
      <c r="S333" s="7887"/>
      <c r="T333" s="7887"/>
      <c r="U333" s="7887"/>
      <c r="V333" s="7887"/>
      <c r="W333" s="7887"/>
      <c r="X333" s="7887"/>
      <c r="Y333" s="7887"/>
      <c r="Z333" s="7887"/>
      <c r="AA333" s="7887"/>
      <c r="AB333" s="7887"/>
      <c r="AC333" s="7887"/>
      <c r="AD333" s="7887"/>
      <c r="AE333" s="7887"/>
      <c r="AF333" s="7887"/>
      <c r="AG333" s="7887"/>
      <c r="AH333" s="7887"/>
      <c r="AI333" s="7887"/>
      <c r="AJ333" s="7887"/>
      <c r="AK333" s="7887"/>
      <c r="AL333" s="7887"/>
      <c r="AM333" s="7887"/>
      <c r="AN333" s="7887"/>
      <c r="AO333" s="7887"/>
      <c r="AP333" s="7887"/>
      <c r="AQ333" s="7887"/>
      <c r="AR333" s="7887"/>
      <c r="AS333" s="7887"/>
      <c r="AT333" s="7887"/>
      <c r="AU333" s="7887"/>
      <c r="AV333" s="7887"/>
      <c r="AW333" s="7887"/>
      <c r="AX333" s="7872"/>
    </row>
    <row r="334" spans="1:50" s="7930" customFormat="1" ht="20.100000000000001" customHeight="1">
      <c r="A334" s="7872"/>
      <c r="B334" s="8510"/>
      <c r="C334" s="8504"/>
      <c r="D334" s="8016" t="s">
        <v>143</v>
      </c>
      <c r="E334" s="8017"/>
      <c r="F334" s="7953" t="s">
        <v>732</v>
      </c>
      <c r="G334" s="8514"/>
      <c r="H334" s="8528"/>
      <c r="I334" s="8515" t="s">
        <v>144</v>
      </c>
      <c r="J334" s="8516"/>
      <c r="K334" s="7941" t="s">
        <v>734</v>
      </c>
      <c r="L334" s="8140">
        <f>Vietnam!Q310</f>
        <v>19</v>
      </c>
      <c r="M334" s="8219">
        <f>Vietnam!S310</f>
        <v>10</v>
      </c>
      <c r="N334" s="9267">
        <f>Vietnam!U310</f>
        <v>11</v>
      </c>
      <c r="O334" s="9017" t="s">
        <v>3554</v>
      </c>
      <c r="P334" s="7932"/>
      <c r="Q334" s="7932"/>
      <c r="R334" s="8509"/>
      <c r="S334" s="7887"/>
      <c r="T334" s="7887"/>
      <c r="U334" s="7887"/>
      <c r="V334" s="7887"/>
      <c r="W334" s="7887"/>
      <c r="X334" s="7887"/>
      <c r="Y334" s="7887"/>
      <c r="Z334" s="7887"/>
      <c r="AA334" s="7887"/>
      <c r="AB334" s="7887"/>
      <c r="AC334" s="7887"/>
      <c r="AD334" s="7887"/>
      <c r="AE334" s="7887"/>
      <c r="AF334" s="7887"/>
      <c r="AG334" s="7887"/>
      <c r="AH334" s="7887"/>
      <c r="AI334" s="7887"/>
      <c r="AJ334" s="7887"/>
      <c r="AK334" s="7887"/>
      <c r="AL334" s="7887"/>
      <c r="AM334" s="7887"/>
      <c r="AN334" s="7887"/>
      <c r="AO334" s="7887"/>
      <c r="AP334" s="7887"/>
      <c r="AQ334" s="7887"/>
      <c r="AR334" s="7887"/>
      <c r="AS334" s="7887"/>
      <c r="AT334" s="7887"/>
      <c r="AU334" s="7887"/>
      <c r="AV334" s="7887"/>
      <c r="AW334" s="7887"/>
      <c r="AX334" s="7872"/>
    </row>
    <row r="335" spans="1:50" s="7930" customFormat="1" ht="20.100000000000001" customHeight="1">
      <c r="A335" s="7872"/>
      <c r="B335" s="8510"/>
      <c r="C335" s="7939"/>
      <c r="D335" s="8016" t="s">
        <v>146</v>
      </c>
      <c r="E335" s="8017"/>
      <c r="F335" s="7953" t="s">
        <v>732</v>
      </c>
      <c r="G335" s="8514"/>
      <c r="H335" s="8528"/>
      <c r="I335" s="8515" t="s">
        <v>147</v>
      </c>
      <c r="J335" s="8516"/>
      <c r="K335" s="7941" t="s">
        <v>734</v>
      </c>
      <c r="L335" s="8140">
        <f>Indonesia!V310</f>
        <v>13</v>
      </c>
      <c r="M335" s="8219">
        <f>Indonesia!X310</f>
        <v>7</v>
      </c>
      <c r="N335" s="9267">
        <f>Indonesia!Z310</f>
        <v>2</v>
      </c>
      <c r="O335" s="9017" t="s">
        <v>3554</v>
      </c>
      <c r="P335" s="7932"/>
      <c r="Q335" s="7932"/>
      <c r="R335" s="8509"/>
      <c r="S335" s="7887"/>
      <c r="T335" s="7887"/>
      <c r="U335" s="7887"/>
      <c r="V335" s="7887"/>
      <c r="W335" s="7887"/>
      <c r="X335" s="7887"/>
      <c r="Y335" s="7887"/>
      <c r="Z335" s="7887"/>
      <c r="AA335" s="7887"/>
      <c r="AB335" s="7887"/>
      <c r="AC335" s="7887"/>
      <c r="AD335" s="7887"/>
      <c r="AE335" s="7887"/>
      <c r="AF335" s="7887"/>
      <c r="AG335" s="7887"/>
      <c r="AH335" s="7887"/>
      <c r="AI335" s="7887"/>
      <c r="AJ335" s="7887"/>
      <c r="AK335" s="7887"/>
      <c r="AL335" s="7887"/>
      <c r="AM335" s="7887"/>
      <c r="AN335" s="7887"/>
      <c r="AO335" s="7887"/>
      <c r="AP335" s="7887"/>
      <c r="AQ335" s="7887"/>
      <c r="AR335" s="7887"/>
      <c r="AS335" s="7887"/>
      <c r="AT335" s="7887"/>
      <c r="AU335" s="7887"/>
      <c r="AV335" s="7887"/>
      <c r="AW335" s="7887"/>
      <c r="AX335" s="7872"/>
    </row>
    <row r="336" spans="1:50" s="7930" customFormat="1" ht="20.100000000000001" customHeight="1">
      <c r="A336" s="7872"/>
      <c r="B336" s="8510"/>
      <c r="C336" s="7939"/>
      <c r="D336" s="8016" t="s">
        <v>149</v>
      </c>
      <c r="E336" s="8017"/>
      <c r="F336" s="7953" t="s">
        <v>732</v>
      </c>
      <c r="G336" s="8514"/>
      <c r="H336" s="8528"/>
      <c r="I336" s="8515" t="s">
        <v>150</v>
      </c>
      <c r="J336" s="8516"/>
      <c r="K336" s="7941" t="s">
        <v>734</v>
      </c>
      <c r="L336" s="8140">
        <v>15</v>
      </c>
      <c r="M336" s="8219">
        <v>11</v>
      </c>
      <c r="N336" s="9269">
        <v>8</v>
      </c>
      <c r="O336" s="8996" t="s">
        <v>3542</v>
      </c>
      <c r="P336" s="7932"/>
      <c r="Q336" s="7932"/>
      <c r="R336" s="8509"/>
      <c r="S336" s="7887"/>
      <c r="T336" s="7887"/>
      <c r="U336" s="7887"/>
      <c r="V336" s="7887"/>
      <c r="W336" s="7887"/>
      <c r="X336" s="7887"/>
      <c r="Y336" s="7887"/>
      <c r="Z336" s="7887"/>
      <c r="AA336" s="7887"/>
      <c r="AB336" s="7887"/>
      <c r="AC336" s="7887"/>
      <c r="AD336" s="7887"/>
      <c r="AE336" s="7887"/>
      <c r="AF336" s="7887"/>
      <c r="AG336" s="7887"/>
      <c r="AH336" s="7887"/>
      <c r="AI336" s="7887"/>
      <c r="AJ336" s="7887"/>
      <c r="AK336" s="7887"/>
      <c r="AL336" s="7887"/>
      <c r="AM336" s="7887"/>
      <c r="AN336" s="7887"/>
      <c r="AO336" s="7887"/>
      <c r="AP336" s="7887"/>
      <c r="AQ336" s="7887"/>
      <c r="AR336" s="7887"/>
      <c r="AS336" s="7887"/>
      <c r="AT336" s="7887"/>
      <c r="AU336" s="7887"/>
      <c r="AV336" s="7887"/>
      <c r="AW336" s="7887"/>
      <c r="AX336" s="7872"/>
    </row>
    <row r="337" spans="1:50" s="7930" customFormat="1" ht="20.100000000000001" customHeight="1">
      <c r="A337" s="7872"/>
      <c r="B337" s="8510"/>
      <c r="C337" s="8564"/>
      <c r="D337" s="8524" t="s">
        <v>1159</v>
      </c>
      <c r="E337" s="8525"/>
      <c r="F337" s="7957" t="s">
        <v>732</v>
      </c>
      <c r="G337" s="8513"/>
      <c r="H337" s="8533"/>
      <c r="I337" s="8867" t="s">
        <v>3719</v>
      </c>
      <c r="J337" s="8525"/>
      <c r="K337" s="7957" t="s">
        <v>734</v>
      </c>
      <c r="L337" s="8012">
        <f>IF(COUNTBLANK(L338:L343)&gt;0,"미취합법인有",SUM(L338:L343))</f>
        <v>102</v>
      </c>
      <c r="M337" s="8013">
        <f>IF(COUNTBLANK(M338:M343)&gt;0,"미취합법인有",SUM(M338:M343))</f>
        <v>84</v>
      </c>
      <c r="N337" s="9247">
        <f>IF(COUNTBLANK(N338:N343)&gt;0,"미취합법인有",SUM(N338:N343))</f>
        <v>56</v>
      </c>
      <c r="O337" s="8995"/>
      <c r="P337" s="7932" t="s">
        <v>1163</v>
      </c>
      <c r="Q337" s="7955"/>
      <c r="R337" s="8509"/>
      <c r="S337" s="7887"/>
      <c r="T337" s="7887"/>
      <c r="U337" s="7887"/>
      <c r="V337" s="7887"/>
      <c r="W337" s="7887"/>
      <c r="X337" s="7887"/>
      <c r="Y337" s="7887"/>
      <c r="Z337" s="7887"/>
      <c r="AA337" s="7887"/>
      <c r="AB337" s="7887"/>
      <c r="AC337" s="7887"/>
      <c r="AD337" s="7887"/>
      <c r="AE337" s="7887"/>
      <c r="AF337" s="7887"/>
      <c r="AG337" s="7887"/>
      <c r="AH337" s="7887"/>
      <c r="AI337" s="7887"/>
      <c r="AJ337" s="7887"/>
      <c r="AK337" s="7887"/>
      <c r="AL337" s="7887"/>
      <c r="AM337" s="7887"/>
      <c r="AN337" s="7887"/>
      <c r="AO337" s="7887"/>
      <c r="AP337" s="7887"/>
      <c r="AQ337" s="7887"/>
      <c r="AR337" s="7887"/>
      <c r="AS337" s="7887"/>
      <c r="AT337" s="7887"/>
      <c r="AU337" s="7887"/>
      <c r="AV337" s="7887"/>
      <c r="AW337" s="7887"/>
      <c r="AX337" s="7872"/>
    </row>
    <row r="338" spans="1:50" s="7930" customFormat="1" ht="20.100000000000001" customHeight="1">
      <c r="A338" s="7872"/>
      <c r="B338" s="8510"/>
      <c r="C338" s="7939"/>
      <c r="D338" s="8016" t="s">
        <v>134</v>
      </c>
      <c r="E338" s="8017"/>
      <c r="F338" s="7953" t="s">
        <v>732</v>
      </c>
      <c r="G338" s="8514"/>
      <c r="H338" s="8528"/>
      <c r="I338" s="8506" t="s">
        <v>135</v>
      </c>
      <c r="J338" s="8508"/>
      <c r="K338" s="7941" t="s">
        <v>734</v>
      </c>
      <c r="L338" s="8140">
        <v>40</v>
      </c>
      <c r="M338" s="8219">
        <v>46</v>
      </c>
      <c r="N338" s="9267">
        <v>13</v>
      </c>
      <c r="O338" s="9017" t="s">
        <v>3554</v>
      </c>
      <c r="P338" s="7932"/>
      <c r="Q338" s="7932"/>
      <c r="R338" s="8509"/>
      <c r="S338" s="7887"/>
      <c r="T338" s="7887"/>
      <c r="U338" s="7887"/>
      <c r="V338" s="7887"/>
      <c r="W338" s="7887"/>
      <c r="X338" s="7887"/>
      <c r="Y338" s="7887"/>
      <c r="Z338" s="7887"/>
      <c r="AA338" s="7887"/>
      <c r="AB338" s="7887"/>
      <c r="AC338" s="7887"/>
      <c r="AD338" s="7887"/>
      <c r="AE338" s="7887"/>
      <c r="AF338" s="7887"/>
      <c r="AG338" s="7887"/>
      <c r="AH338" s="7887"/>
      <c r="AI338" s="7887"/>
      <c r="AJ338" s="7887"/>
      <c r="AK338" s="7887"/>
      <c r="AL338" s="7887"/>
      <c r="AM338" s="7887"/>
      <c r="AN338" s="7887"/>
      <c r="AO338" s="7887"/>
      <c r="AP338" s="7887"/>
      <c r="AQ338" s="7887"/>
      <c r="AR338" s="7887"/>
      <c r="AS338" s="7887"/>
      <c r="AT338" s="7887"/>
      <c r="AU338" s="7887"/>
      <c r="AV338" s="7887"/>
      <c r="AW338" s="7887"/>
      <c r="AX338" s="7872"/>
    </row>
    <row r="339" spans="1:50" s="7930" customFormat="1" ht="20.100000000000001" customHeight="1">
      <c r="A339" s="7872"/>
      <c r="B339" s="8510"/>
      <c r="C339" s="7939"/>
      <c r="D339" s="8016" t="s">
        <v>2079</v>
      </c>
      <c r="E339" s="8017"/>
      <c r="F339" s="7953" t="s">
        <v>732</v>
      </c>
      <c r="G339" s="8514"/>
      <c r="H339" s="8528"/>
      <c r="I339" s="8506" t="s">
        <v>138</v>
      </c>
      <c r="J339" s="8508"/>
      <c r="K339" s="7941" t="s">
        <v>734</v>
      </c>
      <c r="L339" s="7935">
        <v>0</v>
      </c>
      <c r="M339" s="7936">
        <v>0</v>
      </c>
      <c r="N339" s="9253">
        <f>'4DPLEX'!AA284</f>
        <v>0</v>
      </c>
      <c r="O339" s="9017" t="s">
        <v>3554</v>
      </c>
      <c r="P339" s="7932"/>
      <c r="Q339" s="7932"/>
      <c r="R339" s="8509"/>
      <c r="S339" s="7887"/>
      <c r="T339" s="7887"/>
      <c r="U339" s="7887"/>
      <c r="V339" s="7887"/>
      <c r="W339" s="7887"/>
      <c r="X339" s="7887"/>
      <c r="Y339" s="7887"/>
      <c r="Z339" s="7887"/>
      <c r="AA339" s="7887"/>
      <c r="AB339" s="7887"/>
      <c r="AC339" s="7887"/>
      <c r="AD339" s="7887"/>
      <c r="AE339" s="7887"/>
      <c r="AF339" s="7887"/>
      <c r="AG339" s="7887"/>
      <c r="AH339" s="7887"/>
      <c r="AI339" s="7887"/>
      <c r="AJ339" s="7887"/>
      <c r="AK339" s="7887"/>
      <c r="AL339" s="7887"/>
      <c r="AM339" s="7887"/>
      <c r="AN339" s="7887"/>
      <c r="AO339" s="7887"/>
      <c r="AP339" s="7887"/>
      <c r="AQ339" s="7887"/>
      <c r="AR339" s="7887"/>
      <c r="AS339" s="7887"/>
      <c r="AT339" s="7887"/>
      <c r="AU339" s="7887"/>
      <c r="AV339" s="7887"/>
      <c r="AW339" s="7887"/>
      <c r="AX339" s="7872"/>
    </row>
    <row r="340" spans="1:50" s="7930" customFormat="1" ht="20.100000000000001" customHeight="1">
      <c r="A340" s="7872"/>
      <c r="B340" s="8510"/>
      <c r="C340" s="7939"/>
      <c r="D340" s="8016" t="s">
        <v>140</v>
      </c>
      <c r="E340" s="8017"/>
      <c r="F340" s="7953" t="s">
        <v>732</v>
      </c>
      <c r="G340" s="8514"/>
      <c r="H340" s="8528"/>
      <c r="I340" s="8515" t="s">
        <v>141</v>
      </c>
      <c r="J340" s="8516"/>
      <c r="K340" s="7941" t="s">
        <v>734</v>
      </c>
      <c r="L340" s="8140">
        <f>China!AO309</f>
        <v>1</v>
      </c>
      <c r="M340" s="8219">
        <f>China!AQ309</f>
        <v>4</v>
      </c>
      <c r="N340" s="9267">
        <f>China!AS309</f>
        <v>14</v>
      </c>
      <c r="O340" s="9017" t="s">
        <v>3554</v>
      </c>
      <c r="P340" s="7932"/>
      <c r="Q340" s="7932"/>
      <c r="R340" s="8509"/>
      <c r="S340" s="7887"/>
      <c r="T340" s="7887"/>
      <c r="U340" s="7887"/>
      <c r="V340" s="7887"/>
      <c r="W340" s="7887"/>
      <c r="X340" s="7887"/>
      <c r="Y340" s="7887"/>
      <c r="Z340" s="7887"/>
      <c r="AA340" s="7887"/>
      <c r="AB340" s="7887"/>
      <c r="AC340" s="7887"/>
      <c r="AD340" s="7887"/>
      <c r="AE340" s="7887"/>
      <c r="AF340" s="7887"/>
      <c r="AG340" s="7887"/>
      <c r="AH340" s="7887"/>
      <c r="AI340" s="7887"/>
      <c r="AJ340" s="7887"/>
      <c r="AK340" s="7887"/>
      <c r="AL340" s="7887"/>
      <c r="AM340" s="7887"/>
      <c r="AN340" s="7887"/>
      <c r="AO340" s="7887"/>
      <c r="AP340" s="7887"/>
      <c r="AQ340" s="7887"/>
      <c r="AR340" s="7887"/>
      <c r="AS340" s="7887"/>
      <c r="AT340" s="7887"/>
      <c r="AU340" s="7887"/>
      <c r="AV340" s="7887"/>
      <c r="AW340" s="7887"/>
      <c r="AX340" s="7872"/>
    </row>
    <row r="341" spans="1:50" s="7930" customFormat="1" ht="20.100000000000001" customHeight="1">
      <c r="A341" s="7872"/>
      <c r="B341" s="8510"/>
      <c r="C341" s="8504"/>
      <c r="D341" s="8016" t="s">
        <v>143</v>
      </c>
      <c r="E341" s="8017"/>
      <c r="F341" s="7953" t="s">
        <v>732</v>
      </c>
      <c r="G341" s="8514"/>
      <c r="H341" s="8528"/>
      <c r="I341" s="8515" t="s">
        <v>144</v>
      </c>
      <c r="J341" s="8516"/>
      <c r="K341" s="7941" t="s">
        <v>734</v>
      </c>
      <c r="L341" s="8140">
        <f>Vietnam!Q309</f>
        <v>34</v>
      </c>
      <c r="M341" s="8219">
        <f>Vietnam!S309</f>
        <v>4</v>
      </c>
      <c r="N341" s="9267">
        <f>Vietnam!U309</f>
        <v>13</v>
      </c>
      <c r="O341" s="9017" t="s">
        <v>3554</v>
      </c>
      <c r="P341" s="7932"/>
      <c r="Q341" s="7932"/>
      <c r="R341" s="8509"/>
      <c r="S341" s="7887"/>
      <c r="T341" s="7887"/>
      <c r="U341" s="7887"/>
      <c r="V341" s="7887"/>
      <c r="W341" s="7887"/>
      <c r="X341" s="7887"/>
      <c r="Y341" s="7887"/>
      <c r="Z341" s="7887"/>
      <c r="AA341" s="7887"/>
      <c r="AB341" s="7887"/>
      <c r="AC341" s="7887"/>
      <c r="AD341" s="7887"/>
      <c r="AE341" s="7887"/>
      <c r="AF341" s="7887"/>
      <c r="AG341" s="7887"/>
      <c r="AH341" s="7887"/>
      <c r="AI341" s="7887"/>
      <c r="AJ341" s="7887"/>
      <c r="AK341" s="7887"/>
      <c r="AL341" s="7887"/>
      <c r="AM341" s="7887"/>
      <c r="AN341" s="7887"/>
      <c r="AO341" s="7887"/>
      <c r="AP341" s="7887"/>
      <c r="AQ341" s="7887"/>
      <c r="AR341" s="7887"/>
      <c r="AS341" s="7887"/>
      <c r="AT341" s="7887"/>
      <c r="AU341" s="7887"/>
      <c r="AV341" s="7887"/>
      <c r="AW341" s="7887"/>
      <c r="AX341" s="7872"/>
    </row>
    <row r="342" spans="1:50" s="7930" customFormat="1" ht="20.100000000000001" customHeight="1">
      <c r="A342" s="7872"/>
      <c r="B342" s="8510"/>
      <c r="C342" s="7939"/>
      <c r="D342" s="8016" t="s">
        <v>146</v>
      </c>
      <c r="E342" s="8017"/>
      <c r="F342" s="7953" t="s">
        <v>732</v>
      </c>
      <c r="G342" s="8514"/>
      <c r="H342" s="8528"/>
      <c r="I342" s="8515" t="s">
        <v>147</v>
      </c>
      <c r="J342" s="8516"/>
      <c r="K342" s="7941" t="s">
        <v>734</v>
      </c>
      <c r="L342" s="8140">
        <f>Indonesia!V309</f>
        <v>19</v>
      </c>
      <c r="M342" s="8219">
        <f>Indonesia!X309</f>
        <v>12</v>
      </c>
      <c r="N342" s="9267">
        <f>Indonesia!Z309</f>
        <v>3</v>
      </c>
      <c r="O342" s="9017" t="s">
        <v>3554</v>
      </c>
      <c r="P342" s="7932"/>
      <c r="Q342" s="7932"/>
      <c r="R342" s="8509"/>
      <c r="S342" s="7887"/>
      <c r="T342" s="7887"/>
      <c r="U342" s="7887"/>
      <c r="V342" s="7887"/>
      <c r="W342" s="7887"/>
      <c r="X342" s="7887"/>
      <c r="Y342" s="7887"/>
      <c r="Z342" s="7887"/>
      <c r="AA342" s="7887"/>
      <c r="AB342" s="7887"/>
      <c r="AC342" s="7887"/>
      <c r="AD342" s="7887"/>
      <c r="AE342" s="7887"/>
      <c r="AF342" s="7887"/>
      <c r="AG342" s="7887"/>
      <c r="AH342" s="7887"/>
      <c r="AI342" s="7887"/>
      <c r="AJ342" s="7887"/>
      <c r="AK342" s="7887"/>
      <c r="AL342" s="7887"/>
      <c r="AM342" s="7887"/>
      <c r="AN342" s="7887"/>
      <c r="AO342" s="7887"/>
      <c r="AP342" s="7887"/>
      <c r="AQ342" s="7887"/>
      <c r="AR342" s="7887"/>
      <c r="AS342" s="7887"/>
      <c r="AT342" s="7887"/>
      <c r="AU342" s="7887"/>
      <c r="AV342" s="7887"/>
      <c r="AW342" s="7887"/>
      <c r="AX342" s="7872"/>
    </row>
    <row r="343" spans="1:50" s="7930" customFormat="1" ht="20.100000000000001" customHeight="1" thickBot="1">
      <c r="A343" s="7872"/>
      <c r="B343" s="8510"/>
      <c r="C343" s="7939"/>
      <c r="D343" s="8016" t="s">
        <v>149</v>
      </c>
      <c r="E343" s="8017"/>
      <c r="F343" s="7953" t="s">
        <v>732</v>
      </c>
      <c r="G343" s="8514"/>
      <c r="H343" s="8528"/>
      <c r="I343" s="8515" t="s">
        <v>150</v>
      </c>
      <c r="J343" s="8516"/>
      <c r="K343" s="7941" t="s">
        <v>734</v>
      </c>
      <c r="L343" s="8140">
        <v>8</v>
      </c>
      <c r="M343" s="8219">
        <v>18</v>
      </c>
      <c r="N343" s="9269">
        <v>13</v>
      </c>
      <c r="O343" s="8996" t="s">
        <v>3542</v>
      </c>
      <c r="P343" s="7932"/>
      <c r="Q343" s="7932"/>
      <c r="R343" s="8509"/>
      <c r="S343" s="7887"/>
      <c r="T343" s="7887"/>
      <c r="U343" s="7887"/>
      <c r="V343" s="7887"/>
      <c r="W343" s="7887"/>
      <c r="X343" s="7887"/>
      <c r="Y343" s="7887"/>
      <c r="Z343" s="7887"/>
      <c r="AA343" s="7887"/>
      <c r="AB343" s="7887"/>
      <c r="AC343" s="7887"/>
      <c r="AD343" s="7887"/>
      <c r="AE343" s="7887"/>
      <c r="AF343" s="7887"/>
      <c r="AG343" s="7887"/>
      <c r="AH343" s="7887"/>
      <c r="AI343" s="7887"/>
      <c r="AJ343" s="7887"/>
      <c r="AK343" s="7887"/>
      <c r="AL343" s="7887"/>
      <c r="AM343" s="7887"/>
      <c r="AN343" s="7887"/>
      <c r="AO343" s="7887"/>
      <c r="AP343" s="7887"/>
      <c r="AQ343" s="7887"/>
      <c r="AR343" s="7887"/>
      <c r="AS343" s="7887"/>
      <c r="AT343" s="7887"/>
      <c r="AU343" s="7887"/>
      <c r="AV343" s="7887"/>
      <c r="AW343" s="7887"/>
      <c r="AX343" s="7872"/>
    </row>
    <row r="344" spans="1:50" s="7930" customFormat="1" ht="21.75" thickBot="1">
      <c r="A344" s="7872"/>
      <c r="B344" s="8073" t="s">
        <v>1015</v>
      </c>
      <c r="C344" s="8074"/>
      <c r="D344" s="8074"/>
      <c r="E344" s="8074"/>
      <c r="F344" s="8075"/>
      <c r="G344" s="8495" t="s">
        <v>1016</v>
      </c>
      <c r="H344" s="8074"/>
      <c r="I344" s="8074"/>
      <c r="J344" s="8074"/>
      <c r="K344" s="8075"/>
      <c r="L344" s="8078"/>
      <c r="M344" s="8079"/>
      <c r="N344" s="9251"/>
      <c r="O344" s="9206"/>
      <c r="P344" s="8080"/>
      <c r="Q344" s="8080"/>
      <c r="R344" s="8496"/>
      <c r="S344" s="7887"/>
      <c r="T344" s="7887"/>
      <c r="U344" s="7887"/>
      <c r="V344" s="7887"/>
      <c r="W344" s="7887"/>
      <c r="X344" s="7887"/>
      <c r="Y344" s="7887"/>
      <c r="Z344" s="7887"/>
      <c r="AA344" s="7887"/>
      <c r="AB344" s="7887"/>
      <c r="AC344" s="7887"/>
      <c r="AD344" s="7887"/>
      <c r="AE344" s="7887"/>
      <c r="AF344" s="7887"/>
      <c r="AG344" s="7887"/>
      <c r="AH344" s="7887"/>
      <c r="AI344" s="7887"/>
      <c r="AJ344" s="7887"/>
      <c r="AK344" s="7887"/>
      <c r="AL344" s="7887"/>
      <c r="AM344" s="7887"/>
      <c r="AN344" s="7887"/>
      <c r="AO344" s="7887"/>
      <c r="AP344" s="7887"/>
      <c r="AQ344" s="7887"/>
      <c r="AR344" s="7887"/>
      <c r="AS344" s="7887"/>
      <c r="AT344" s="7887"/>
      <c r="AU344" s="7887"/>
      <c r="AV344" s="7887"/>
      <c r="AW344" s="7887"/>
      <c r="AX344" s="7872"/>
    </row>
    <row r="345" spans="1:50" s="7930" customFormat="1" ht="20.100000000000001" customHeight="1">
      <c r="A345" s="7872"/>
      <c r="B345" s="8536"/>
      <c r="C345" s="8548" t="s">
        <v>3625</v>
      </c>
      <c r="D345" s="8549"/>
      <c r="E345" s="8512"/>
      <c r="F345" s="8089" t="s">
        <v>1018</v>
      </c>
      <c r="G345" s="8499"/>
      <c r="H345" s="8550" t="s">
        <v>1019</v>
      </c>
      <c r="I345" s="8498"/>
      <c r="J345" s="8551"/>
      <c r="K345" s="8142" t="s">
        <v>1020</v>
      </c>
      <c r="L345" s="8042">
        <f>IF(COUNTBLANK(L346:L351)&gt;0,"미취합법인有",SUM(L346:L351))</f>
        <v>16.485439705765575</v>
      </c>
      <c r="M345" s="8036">
        <f>IF(COUNTBLANK(M346:M351)&gt;0,"미취합법인有",SUM(M346:M351))</f>
        <v>54.461954173813652</v>
      </c>
      <c r="N345" s="9243">
        <f>IF(COUNTBLANK(N346:N351)&gt;0,"미취합법인有",SUM(N346:N351))</f>
        <v>65.237309457491449</v>
      </c>
      <c r="O345" s="9207" t="s">
        <v>3688</v>
      </c>
      <c r="P345" s="8015" t="s">
        <v>1023</v>
      </c>
      <c r="Q345" s="8015" t="s">
        <v>1024</v>
      </c>
      <c r="R345" s="8500"/>
      <c r="S345" s="7887"/>
      <c r="T345" s="7887"/>
      <c r="U345" s="7887"/>
      <c r="V345" s="7887"/>
      <c r="W345" s="7887"/>
      <c r="X345" s="7887"/>
      <c r="Y345" s="7887"/>
      <c r="Z345" s="7887"/>
      <c r="AA345" s="7887"/>
      <c r="AB345" s="7887"/>
      <c r="AC345" s="7887"/>
      <c r="AD345" s="7887"/>
      <c r="AE345" s="7887"/>
      <c r="AF345" s="7887"/>
      <c r="AG345" s="7887"/>
      <c r="AH345" s="7887"/>
      <c r="AI345" s="7887"/>
      <c r="AJ345" s="7887"/>
      <c r="AK345" s="7887"/>
      <c r="AL345" s="7887"/>
      <c r="AM345" s="7887"/>
      <c r="AN345" s="7887"/>
      <c r="AO345" s="7887"/>
      <c r="AP345" s="7887"/>
      <c r="AQ345" s="7887"/>
      <c r="AR345" s="7887"/>
      <c r="AS345" s="7887"/>
      <c r="AT345" s="7887"/>
      <c r="AU345" s="7887"/>
      <c r="AV345" s="7887"/>
      <c r="AW345" s="7887"/>
      <c r="AX345" s="7872"/>
    </row>
    <row r="346" spans="1:50" s="7930" customFormat="1" ht="20.100000000000001" customHeight="1">
      <c r="A346" s="7872"/>
      <c r="B346" s="8510"/>
      <c r="C346" s="8502" t="s">
        <v>134</v>
      </c>
      <c r="D346" s="8503"/>
      <c r="E346" s="8504"/>
      <c r="F346" s="8090" t="s">
        <v>1018</v>
      </c>
      <c r="G346" s="8514"/>
      <c r="H346" s="8506" t="s">
        <v>135</v>
      </c>
      <c r="I346" s="8507"/>
      <c r="J346" s="8508"/>
      <c r="K346" s="8090" t="s">
        <v>1020</v>
      </c>
      <c r="L346" s="7942">
        <f>L353/L360</f>
        <v>4.2412422907488994</v>
      </c>
      <c r="M346" s="8143">
        <f>M353/M360</f>
        <v>14.481002734731085</v>
      </c>
      <c r="N346" s="9270">
        <f>N353/N360</f>
        <v>21.749039735099338</v>
      </c>
      <c r="O346" s="9017" t="s">
        <v>3554</v>
      </c>
      <c r="P346" s="7932"/>
      <c r="Q346" s="7932"/>
      <c r="R346" s="8509"/>
      <c r="S346" s="7887"/>
      <c r="T346" s="7887"/>
      <c r="U346" s="7887"/>
      <c r="V346" s="7887"/>
      <c r="W346" s="7887"/>
      <c r="X346" s="7887"/>
      <c r="Y346" s="7887"/>
      <c r="Z346" s="7887"/>
      <c r="AA346" s="7887"/>
      <c r="AB346" s="7887"/>
      <c r="AC346" s="7887"/>
      <c r="AD346" s="7887"/>
      <c r="AE346" s="7887"/>
      <c r="AF346" s="7887"/>
      <c r="AG346" s="7887"/>
      <c r="AH346" s="7887"/>
      <c r="AI346" s="7887"/>
      <c r="AJ346" s="7887"/>
      <c r="AK346" s="7887"/>
      <c r="AL346" s="7887"/>
      <c r="AM346" s="7887"/>
      <c r="AN346" s="7887"/>
      <c r="AO346" s="7887"/>
      <c r="AP346" s="7887"/>
      <c r="AQ346" s="7887"/>
      <c r="AR346" s="7887"/>
      <c r="AS346" s="7887"/>
      <c r="AT346" s="7887"/>
      <c r="AU346" s="7887"/>
      <c r="AV346" s="7887"/>
      <c r="AW346" s="7887"/>
      <c r="AX346" s="7872"/>
    </row>
    <row r="347" spans="1:50" s="7930" customFormat="1" ht="20.100000000000001" customHeight="1">
      <c r="A347" s="7872"/>
      <c r="B347" s="8510"/>
      <c r="C347" s="8016" t="s">
        <v>2079</v>
      </c>
      <c r="D347" s="8503"/>
      <c r="E347" s="8504"/>
      <c r="F347" s="8090" t="s">
        <v>1018</v>
      </c>
      <c r="G347" s="8514"/>
      <c r="H347" s="8506" t="s">
        <v>138</v>
      </c>
      <c r="I347" s="8507"/>
      <c r="J347" s="8508"/>
      <c r="K347" s="8090" t="s">
        <v>1020</v>
      </c>
      <c r="L347" s="7942">
        <f t="shared" ref="L347:N350" si="6">L354/L361</f>
        <v>6.1530054644808745</v>
      </c>
      <c r="M347" s="8144">
        <f t="shared" si="6"/>
        <v>29.473593073593072</v>
      </c>
      <c r="N347" s="9245">
        <f t="shared" si="6"/>
        <v>29.100401606425702</v>
      </c>
      <c r="O347" s="9015" t="s">
        <v>3554</v>
      </c>
      <c r="P347" s="7932"/>
      <c r="Q347" s="7932"/>
      <c r="R347" s="8509"/>
      <c r="S347" s="7887"/>
      <c r="T347" s="7887"/>
      <c r="U347" s="7887"/>
      <c r="V347" s="7887"/>
      <c r="W347" s="7887"/>
      <c r="X347" s="7887"/>
      <c r="Y347" s="7887"/>
      <c r="Z347" s="7887"/>
      <c r="AA347" s="7887"/>
      <c r="AB347" s="7887"/>
      <c r="AC347" s="7887"/>
      <c r="AD347" s="7887"/>
      <c r="AE347" s="7887"/>
      <c r="AF347" s="7887"/>
      <c r="AG347" s="7887"/>
      <c r="AH347" s="7887"/>
      <c r="AI347" s="7887"/>
      <c r="AJ347" s="7887"/>
      <c r="AK347" s="7887"/>
      <c r="AL347" s="7887"/>
      <c r="AM347" s="7887"/>
      <c r="AN347" s="7887"/>
      <c r="AO347" s="7887"/>
      <c r="AP347" s="7887"/>
      <c r="AQ347" s="7887"/>
      <c r="AR347" s="7887"/>
      <c r="AS347" s="7887"/>
      <c r="AT347" s="7887"/>
      <c r="AU347" s="7887"/>
      <c r="AV347" s="7887"/>
      <c r="AW347" s="7887"/>
      <c r="AX347" s="7872"/>
    </row>
    <row r="348" spans="1:50" s="7930" customFormat="1" ht="20.100000000000001" customHeight="1">
      <c r="A348" s="7872"/>
      <c r="B348" s="8510"/>
      <c r="C348" s="8502" t="s">
        <v>140</v>
      </c>
      <c r="D348" s="8503"/>
      <c r="E348" s="8504"/>
      <c r="F348" s="8090" t="s">
        <v>1018</v>
      </c>
      <c r="G348" s="8514"/>
      <c r="H348" s="8506" t="s">
        <v>141</v>
      </c>
      <c r="I348" s="8507"/>
      <c r="J348" s="8508"/>
      <c r="K348" s="8090" t="s">
        <v>1020</v>
      </c>
      <c r="L348" s="7942">
        <f t="shared" si="6"/>
        <v>2.8823529411764706</v>
      </c>
      <c r="M348" s="8144">
        <f t="shared" si="6"/>
        <v>1.2893289328932893</v>
      </c>
      <c r="N348" s="9271">
        <f t="shared" ref="N348:N350" si="7">N355/N362</f>
        <v>3.19</v>
      </c>
      <c r="O348" s="9017" t="s">
        <v>3554</v>
      </c>
      <c r="P348" s="7932"/>
      <c r="Q348" s="7932"/>
      <c r="R348" s="8509"/>
      <c r="S348" s="7887"/>
      <c r="T348" s="7887"/>
      <c r="U348" s="7887"/>
      <c r="V348" s="7887"/>
      <c r="W348" s="7887"/>
      <c r="X348" s="7887"/>
      <c r="Y348" s="7887"/>
      <c r="Z348" s="7887"/>
      <c r="AA348" s="7887"/>
      <c r="AB348" s="7887"/>
      <c r="AC348" s="7887"/>
      <c r="AD348" s="7887"/>
      <c r="AE348" s="7887"/>
      <c r="AF348" s="7887"/>
      <c r="AG348" s="7887"/>
      <c r="AH348" s="7887"/>
      <c r="AI348" s="7887"/>
      <c r="AJ348" s="7887"/>
      <c r="AK348" s="7887"/>
      <c r="AL348" s="7887"/>
      <c r="AM348" s="7887"/>
      <c r="AN348" s="7887"/>
      <c r="AO348" s="7887"/>
      <c r="AP348" s="7887"/>
      <c r="AQ348" s="7887"/>
      <c r="AR348" s="7887"/>
      <c r="AS348" s="7887"/>
      <c r="AT348" s="7887"/>
      <c r="AU348" s="7887"/>
      <c r="AV348" s="7887"/>
      <c r="AW348" s="7887"/>
      <c r="AX348" s="7872"/>
    </row>
    <row r="349" spans="1:50" s="7930" customFormat="1" ht="20.100000000000001" customHeight="1">
      <c r="A349" s="7872"/>
      <c r="B349" s="8510"/>
      <c r="C349" s="8502" t="s">
        <v>143</v>
      </c>
      <c r="D349" s="8503"/>
      <c r="E349" s="8504"/>
      <c r="F349" s="8090" t="s">
        <v>1018</v>
      </c>
      <c r="G349" s="8514"/>
      <c r="H349" s="8506" t="s">
        <v>144</v>
      </c>
      <c r="I349" s="8507"/>
      <c r="J349" s="8508"/>
      <c r="K349" s="8090" t="s">
        <v>1020</v>
      </c>
      <c r="L349" s="7942">
        <f t="shared" si="6"/>
        <v>1.1405975395430581</v>
      </c>
      <c r="M349" s="8144">
        <f t="shared" si="6"/>
        <v>1.070446735395189</v>
      </c>
      <c r="N349" s="9271">
        <f t="shared" si="7"/>
        <v>1.3483535528596187</v>
      </c>
      <c r="O349" s="9017" t="s">
        <v>3554</v>
      </c>
      <c r="P349" s="7932"/>
      <c r="Q349" s="7932"/>
      <c r="R349" s="8509"/>
      <c r="S349" s="7887"/>
      <c r="T349" s="7887"/>
      <c r="U349" s="7887"/>
      <c r="V349" s="7887"/>
      <c r="W349" s="7887"/>
      <c r="X349" s="7887"/>
      <c r="Y349" s="7887"/>
      <c r="Z349" s="7887"/>
      <c r="AA349" s="7887"/>
      <c r="AB349" s="7887"/>
      <c r="AC349" s="7887"/>
      <c r="AD349" s="7887"/>
      <c r="AE349" s="7887"/>
      <c r="AF349" s="7887"/>
      <c r="AG349" s="7887"/>
      <c r="AH349" s="7887"/>
      <c r="AI349" s="7887"/>
      <c r="AJ349" s="7887"/>
      <c r="AK349" s="7887"/>
      <c r="AL349" s="7887"/>
      <c r="AM349" s="7887"/>
      <c r="AN349" s="7887"/>
      <c r="AO349" s="7887"/>
      <c r="AP349" s="7887"/>
      <c r="AQ349" s="7887"/>
      <c r="AR349" s="7887"/>
      <c r="AS349" s="7887"/>
      <c r="AT349" s="7887"/>
      <c r="AU349" s="7887"/>
      <c r="AV349" s="7887"/>
      <c r="AW349" s="7887"/>
      <c r="AX349" s="7872"/>
    </row>
    <row r="350" spans="1:50" s="7930" customFormat="1" ht="20.100000000000001" customHeight="1">
      <c r="A350" s="7872"/>
      <c r="B350" s="8510"/>
      <c r="C350" s="8502" t="s">
        <v>146</v>
      </c>
      <c r="D350" s="8503"/>
      <c r="E350" s="8504"/>
      <c r="F350" s="8090" t="s">
        <v>1018</v>
      </c>
      <c r="G350" s="8514"/>
      <c r="H350" s="8506" t="s">
        <v>147</v>
      </c>
      <c r="I350" s="8507"/>
      <c r="J350" s="8508"/>
      <c r="K350" s="8090" t="s">
        <v>1020</v>
      </c>
      <c r="L350" s="7942">
        <f t="shared" si="6"/>
        <v>2.068241469816273</v>
      </c>
      <c r="M350" s="8144">
        <f t="shared" si="6"/>
        <v>8.1475826972010186</v>
      </c>
      <c r="N350" s="9271">
        <f t="shared" si="7"/>
        <v>9.849514563106796</v>
      </c>
      <c r="O350" s="9017" t="s">
        <v>3554</v>
      </c>
      <c r="P350" s="7932"/>
      <c r="Q350" s="7932"/>
      <c r="R350" s="8509"/>
      <c r="S350" s="7887"/>
      <c r="T350" s="7887"/>
      <c r="U350" s="7887"/>
      <c r="V350" s="7887"/>
      <c r="W350" s="7887"/>
      <c r="X350" s="7887"/>
      <c r="Y350" s="7887"/>
      <c r="Z350" s="7887"/>
      <c r="AA350" s="7887"/>
      <c r="AB350" s="7887"/>
      <c r="AC350" s="7887"/>
      <c r="AD350" s="7887"/>
      <c r="AE350" s="7887"/>
      <c r="AF350" s="7887"/>
      <c r="AG350" s="7887"/>
      <c r="AH350" s="7887"/>
      <c r="AI350" s="7887"/>
      <c r="AJ350" s="7887"/>
      <c r="AK350" s="7887"/>
      <c r="AL350" s="7887"/>
      <c r="AM350" s="7887"/>
      <c r="AN350" s="7887"/>
      <c r="AO350" s="7887"/>
      <c r="AP350" s="7887"/>
      <c r="AQ350" s="7887"/>
      <c r="AR350" s="7887"/>
      <c r="AS350" s="7887"/>
      <c r="AT350" s="7887"/>
      <c r="AU350" s="7887"/>
      <c r="AV350" s="7887"/>
      <c r="AW350" s="7887"/>
      <c r="AX350" s="7872"/>
    </row>
    <row r="351" spans="1:50" s="7930" customFormat="1" ht="20.100000000000001" customHeight="1">
      <c r="A351" s="7872"/>
      <c r="B351" s="8510"/>
      <c r="C351" s="8502" t="s">
        <v>149</v>
      </c>
      <c r="D351" s="8503"/>
      <c r="E351" s="8504"/>
      <c r="F351" s="8146" t="s">
        <v>1018</v>
      </c>
      <c r="G351" s="8514"/>
      <c r="H351" s="8506" t="s">
        <v>150</v>
      </c>
      <c r="I351" s="8507"/>
      <c r="J351" s="8508"/>
      <c r="K351" s="8090" t="s">
        <v>1020</v>
      </c>
      <c r="L351" s="8133" t="s">
        <v>168</v>
      </c>
      <c r="M351" s="8109" t="s">
        <v>168</v>
      </c>
      <c r="N351" s="9242" t="s">
        <v>168</v>
      </c>
      <c r="O351" s="8996" t="s">
        <v>3548</v>
      </c>
      <c r="P351" s="7932"/>
      <c r="Q351" s="7932"/>
      <c r="R351" s="8509"/>
      <c r="S351" s="7887"/>
      <c r="T351" s="7887"/>
      <c r="U351" s="7887"/>
      <c r="V351" s="7887"/>
      <c r="W351" s="7887"/>
      <c r="X351" s="7887"/>
      <c r="Y351" s="7887"/>
      <c r="Z351" s="7887"/>
      <c r="AA351" s="7887"/>
      <c r="AB351" s="7887"/>
      <c r="AC351" s="7887"/>
      <c r="AD351" s="7887"/>
      <c r="AE351" s="7887"/>
      <c r="AF351" s="7887"/>
      <c r="AG351" s="7887"/>
      <c r="AH351" s="7887"/>
      <c r="AI351" s="7887"/>
      <c r="AJ351" s="7887"/>
      <c r="AK351" s="7887"/>
      <c r="AL351" s="7887"/>
      <c r="AM351" s="7887"/>
      <c r="AN351" s="7887"/>
      <c r="AO351" s="7887"/>
      <c r="AP351" s="7887"/>
      <c r="AQ351" s="7887"/>
      <c r="AR351" s="7887"/>
      <c r="AS351" s="7887"/>
      <c r="AT351" s="7887"/>
      <c r="AU351" s="7887"/>
      <c r="AV351" s="7887"/>
      <c r="AW351" s="7887"/>
      <c r="AX351" s="7872"/>
    </row>
    <row r="352" spans="1:50" s="7930" customFormat="1" ht="20.100000000000001" hidden="1" customHeight="1">
      <c r="A352" s="7872"/>
      <c r="B352" s="8510"/>
      <c r="C352" s="8017"/>
      <c r="D352" s="8524" t="s">
        <v>1025</v>
      </c>
      <c r="E352" s="8525"/>
      <c r="F352" s="8147" t="s">
        <v>1018</v>
      </c>
      <c r="G352" s="8526"/>
      <c r="H352" s="8526"/>
      <c r="I352" s="8524" t="s">
        <v>1026</v>
      </c>
      <c r="J352" s="8525"/>
      <c r="K352" s="8147" t="s">
        <v>1020</v>
      </c>
      <c r="L352" s="8042">
        <f>IF(COUNTBLANK(L353:L358)&gt;0,"미취합법인有",SUM(L353:L358))</f>
        <v>10414.810000000001</v>
      </c>
      <c r="M352" s="8036">
        <f>IF(COUNTBLANK(M353:M358)&gt;0,"미취합법인有",SUM(M353:M358))</f>
        <v>27691.059999999998</v>
      </c>
      <c r="N352" s="9243">
        <f>IF(COUNTBLANK(N353:N358)&gt;0,"미취합법인有",SUM(N353:N358))</f>
        <v>40747.339999999997</v>
      </c>
      <c r="O352" s="8995"/>
      <c r="P352" s="8015" t="s">
        <v>1023</v>
      </c>
      <c r="Q352" s="8015" t="s">
        <v>1024</v>
      </c>
      <c r="R352" s="8500"/>
      <c r="S352" s="7887"/>
      <c r="T352" s="7887"/>
      <c r="U352" s="7887"/>
      <c r="V352" s="7887"/>
      <c r="W352" s="7887"/>
      <c r="X352" s="7887"/>
      <c r="Y352" s="7887"/>
      <c r="Z352" s="7887"/>
      <c r="AA352" s="7887"/>
      <c r="AB352" s="7887"/>
      <c r="AC352" s="7887"/>
      <c r="AD352" s="7887"/>
      <c r="AE352" s="7887"/>
      <c r="AF352" s="7887"/>
      <c r="AG352" s="7887"/>
      <c r="AH352" s="7887"/>
      <c r="AI352" s="7887"/>
      <c r="AJ352" s="7887"/>
      <c r="AK352" s="7887"/>
      <c r="AL352" s="7887"/>
      <c r="AM352" s="7887"/>
      <c r="AN352" s="7887"/>
      <c r="AO352" s="7887"/>
      <c r="AP352" s="7887"/>
      <c r="AQ352" s="7887"/>
      <c r="AR352" s="7887"/>
      <c r="AS352" s="7887"/>
      <c r="AT352" s="7887"/>
      <c r="AU352" s="7887"/>
      <c r="AV352" s="7887"/>
      <c r="AW352" s="7887"/>
      <c r="AX352" s="7872"/>
    </row>
    <row r="353" spans="1:50" s="7930" customFormat="1" ht="20.100000000000001" hidden="1" customHeight="1">
      <c r="A353" s="7872"/>
      <c r="B353" s="8510"/>
      <c r="C353" s="7939"/>
      <c r="D353" s="8016" t="s">
        <v>134</v>
      </c>
      <c r="E353" s="8017"/>
      <c r="F353" s="8146" t="s">
        <v>1018</v>
      </c>
      <c r="G353" s="8514"/>
      <c r="H353" s="8514"/>
      <c r="I353" s="8506" t="s">
        <v>135</v>
      </c>
      <c r="J353" s="8508"/>
      <c r="K353" s="8090" t="s">
        <v>1020</v>
      </c>
      <c r="L353" s="8148">
        <v>4813.8100000000004</v>
      </c>
      <c r="M353" s="8132">
        <v>15885.66</v>
      </c>
      <c r="N353" s="9259">
        <v>26272.84</v>
      </c>
      <c r="O353" s="9018" t="s">
        <v>3574</v>
      </c>
      <c r="P353" s="7932"/>
      <c r="Q353" s="7932"/>
      <c r="R353" s="8509"/>
      <c r="S353" s="7887"/>
      <c r="T353" s="7887"/>
      <c r="U353" s="7887"/>
      <c r="V353" s="7887"/>
      <c r="W353" s="7887"/>
      <c r="X353" s="7887"/>
      <c r="Y353" s="7887"/>
      <c r="Z353" s="7887"/>
      <c r="AA353" s="7887"/>
      <c r="AB353" s="7887"/>
      <c r="AC353" s="7887"/>
      <c r="AD353" s="7887"/>
      <c r="AE353" s="7887"/>
      <c r="AF353" s="7887"/>
      <c r="AG353" s="7887"/>
      <c r="AH353" s="7887"/>
      <c r="AI353" s="7887"/>
      <c r="AJ353" s="7887"/>
      <c r="AK353" s="7887"/>
      <c r="AL353" s="7887"/>
      <c r="AM353" s="7887"/>
      <c r="AN353" s="7887"/>
      <c r="AO353" s="7887"/>
      <c r="AP353" s="7887"/>
      <c r="AQ353" s="7887"/>
      <c r="AR353" s="7887"/>
      <c r="AS353" s="7887"/>
      <c r="AT353" s="7887"/>
      <c r="AU353" s="7887"/>
      <c r="AV353" s="7887"/>
      <c r="AW353" s="7887"/>
      <c r="AX353" s="7872"/>
    </row>
    <row r="354" spans="1:50" s="7930" customFormat="1" ht="20.100000000000001" hidden="1" customHeight="1">
      <c r="A354" s="7872"/>
      <c r="B354" s="8510"/>
      <c r="C354" s="7939"/>
      <c r="D354" s="8016" t="s">
        <v>137</v>
      </c>
      <c r="E354" s="8017"/>
      <c r="F354" s="8146" t="s">
        <v>1018</v>
      </c>
      <c r="G354" s="8514"/>
      <c r="H354" s="8514"/>
      <c r="I354" s="8506" t="s">
        <v>138</v>
      </c>
      <c r="J354" s="8508"/>
      <c r="K354" s="8090" t="s">
        <v>1020</v>
      </c>
      <c r="L354" s="8148">
        <v>1126</v>
      </c>
      <c r="M354" s="8132">
        <v>6808.4</v>
      </c>
      <c r="N354" s="9272">
        <v>7246</v>
      </c>
      <c r="O354" s="9018" t="s">
        <v>3574</v>
      </c>
      <c r="P354" s="7932"/>
      <c r="Q354" s="7932"/>
      <c r="R354" s="8509"/>
      <c r="S354" s="7887"/>
      <c r="T354" s="7887"/>
      <c r="U354" s="7887"/>
      <c r="V354" s="7887"/>
      <c r="W354" s="7887"/>
      <c r="X354" s="7887"/>
      <c r="Y354" s="7887"/>
      <c r="Z354" s="7887"/>
      <c r="AA354" s="7887"/>
      <c r="AB354" s="7887"/>
      <c r="AC354" s="7887"/>
      <c r="AD354" s="7887"/>
      <c r="AE354" s="7887"/>
      <c r="AF354" s="7887"/>
      <c r="AG354" s="7887"/>
      <c r="AH354" s="7887"/>
      <c r="AI354" s="7887"/>
      <c r="AJ354" s="7887"/>
      <c r="AK354" s="7887"/>
      <c r="AL354" s="7887"/>
      <c r="AM354" s="7887"/>
      <c r="AN354" s="7887"/>
      <c r="AO354" s="7887"/>
      <c r="AP354" s="7887"/>
      <c r="AQ354" s="7887"/>
      <c r="AR354" s="7887"/>
      <c r="AS354" s="7887"/>
      <c r="AT354" s="7887"/>
      <c r="AU354" s="7887"/>
      <c r="AV354" s="7887"/>
      <c r="AW354" s="7887"/>
      <c r="AX354" s="7872"/>
    </row>
    <row r="355" spans="1:50" s="7930" customFormat="1" ht="20.100000000000001" hidden="1" customHeight="1">
      <c r="A355" s="7872"/>
      <c r="B355" s="8510"/>
      <c r="C355" s="7939"/>
      <c r="D355" s="8016" t="s">
        <v>140</v>
      </c>
      <c r="E355" s="8017"/>
      <c r="F355" s="8146" t="s">
        <v>1018</v>
      </c>
      <c r="G355" s="8514"/>
      <c r="H355" s="8514"/>
      <c r="I355" s="8515" t="s">
        <v>141</v>
      </c>
      <c r="J355" s="8516"/>
      <c r="K355" s="8090" t="s">
        <v>1020</v>
      </c>
      <c r="L355" s="8148">
        <v>3038</v>
      </c>
      <c r="M355" s="8132">
        <v>1172</v>
      </c>
      <c r="N355" s="9245">
        <v>2392.5</v>
      </c>
      <c r="O355" s="9018" t="s">
        <v>3574</v>
      </c>
      <c r="P355" s="7932"/>
      <c r="Q355" s="7932"/>
      <c r="R355" s="8509"/>
      <c r="S355" s="7887"/>
      <c r="T355" s="7887"/>
      <c r="U355" s="7887"/>
      <c r="V355" s="7887"/>
      <c r="W355" s="7887"/>
      <c r="X355" s="7887"/>
      <c r="Y355" s="7887"/>
      <c r="Z355" s="7887"/>
      <c r="AA355" s="7887"/>
      <c r="AB355" s="7887"/>
      <c r="AC355" s="7887"/>
      <c r="AD355" s="7887"/>
      <c r="AE355" s="7887"/>
      <c r="AF355" s="7887"/>
      <c r="AG355" s="7887"/>
      <c r="AH355" s="7887"/>
      <c r="AI355" s="7887"/>
      <c r="AJ355" s="7887"/>
      <c r="AK355" s="7887"/>
      <c r="AL355" s="7887"/>
      <c r="AM355" s="7887"/>
      <c r="AN355" s="7887"/>
      <c r="AO355" s="7887"/>
      <c r="AP355" s="7887"/>
      <c r="AQ355" s="7887"/>
      <c r="AR355" s="7887"/>
      <c r="AS355" s="7887"/>
      <c r="AT355" s="7887"/>
      <c r="AU355" s="7887"/>
      <c r="AV355" s="7887"/>
      <c r="AW355" s="7887"/>
      <c r="AX355" s="7872"/>
    </row>
    <row r="356" spans="1:50" s="7930" customFormat="1" ht="20.100000000000001" hidden="1" customHeight="1">
      <c r="A356" s="7872"/>
      <c r="B356" s="8510"/>
      <c r="C356" s="7939"/>
      <c r="D356" s="8016" t="s">
        <v>143</v>
      </c>
      <c r="E356" s="8017"/>
      <c r="F356" s="8146" t="s">
        <v>1018</v>
      </c>
      <c r="G356" s="8514"/>
      <c r="H356" s="8514"/>
      <c r="I356" s="8515" t="s">
        <v>144</v>
      </c>
      <c r="J356" s="8516"/>
      <c r="K356" s="8090" t="s">
        <v>1020</v>
      </c>
      <c r="L356" s="8148">
        <v>649</v>
      </c>
      <c r="M356" s="8132">
        <v>623</v>
      </c>
      <c r="N356" s="9259">
        <v>778</v>
      </c>
      <c r="O356" s="9018" t="s">
        <v>3574</v>
      </c>
      <c r="P356" s="7932"/>
      <c r="Q356" s="7932"/>
      <c r="R356" s="8509"/>
      <c r="S356" s="7887"/>
      <c r="T356" s="7887"/>
      <c r="U356" s="7887"/>
      <c r="V356" s="7887"/>
      <c r="W356" s="7887"/>
      <c r="X356" s="7887"/>
      <c r="Y356" s="7887"/>
      <c r="Z356" s="7887"/>
      <c r="AA356" s="7887"/>
      <c r="AB356" s="7887"/>
      <c r="AC356" s="7887"/>
      <c r="AD356" s="7887"/>
      <c r="AE356" s="7887"/>
      <c r="AF356" s="7887"/>
      <c r="AG356" s="7887"/>
      <c r="AH356" s="7887"/>
      <c r="AI356" s="7887"/>
      <c r="AJ356" s="7887"/>
      <c r="AK356" s="7887"/>
      <c r="AL356" s="7887"/>
      <c r="AM356" s="7887"/>
      <c r="AN356" s="7887"/>
      <c r="AO356" s="7887"/>
      <c r="AP356" s="7887"/>
      <c r="AQ356" s="7887"/>
      <c r="AR356" s="7887"/>
      <c r="AS356" s="7887"/>
      <c r="AT356" s="7887"/>
      <c r="AU356" s="7887"/>
      <c r="AV356" s="7887"/>
      <c r="AW356" s="7887"/>
      <c r="AX356" s="7872"/>
    </row>
    <row r="357" spans="1:50" s="7930" customFormat="1" ht="20.100000000000001" hidden="1" customHeight="1">
      <c r="A357" s="7872"/>
      <c r="B357" s="8510"/>
      <c r="C357" s="7939"/>
      <c r="D357" s="8016" t="s">
        <v>146</v>
      </c>
      <c r="E357" s="8017"/>
      <c r="F357" s="8146" t="s">
        <v>1018</v>
      </c>
      <c r="G357" s="8514"/>
      <c r="H357" s="8514"/>
      <c r="I357" s="8515" t="s">
        <v>147</v>
      </c>
      <c r="J357" s="8516"/>
      <c r="K357" s="8090" t="s">
        <v>1020</v>
      </c>
      <c r="L357" s="8148">
        <v>788</v>
      </c>
      <c r="M357" s="8132">
        <v>3202</v>
      </c>
      <c r="N357" s="9259">
        <v>4058</v>
      </c>
      <c r="O357" s="9018" t="s">
        <v>3574</v>
      </c>
      <c r="P357" s="7932"/>
      <c r="Q357" s="7932"/>
      <c r="R357" s="8509"/>
      <c r="S357" s="7887"/>
      <c r="T357" s="7887"/>
      <c r="U357" s="7887"/>
      <c r="V357" s="7887"/>
      <c r="W357" s="7887"/>
      <c r="X357" s="7887"/>
      <c r="Y357" s="7887"/>
      <c r="Z357" s="7887"/>
      <c r="AA357" s="7887"/>
      <c r="AB357" s="7887"/>
      <c r="AC357" s="7887"/>
      <c r="AD357" s="7887"/>
      <c r="AE357" s="7887"/>
      <c r="AF357" s="7887"/>
      <c r="AG357" s="7887"/>
      <c r="AH357" s="7887"/>
      <c r="AI357" s="7887"/>
      <c r="AJ357" s="7887"/>
      <c r="AK357" s="7887"/>
      <c r="AL357" s="7887"/>
      <c r="AM357" s="7887"/>
      <c r="AN357" s="7887"/>
      <c r="AO357" s="7887"/>
      <c r="AP357" s="7887"/>
      <c r="AQ357" s="7887"/>
      <c r="AR357" s="7887"/>
      <c r="AS357" s="7887"/>
      <c r="AT357" s="7887"/>
      <c r="AU357" s="7887"/>
      <c r="AV357" s="7887"/>
      <c r="AW357" s="7887"/>
      <c r="AX357" s="7872"/>
    </row>
    <row r="358" spans="1:50" s="7930" customFormat="1" ht="20.100000000000001" hidden="1" customHeight="1">
      <c r="A358" s="7872"/>
      <c r="B358" s="8510"/>
      <c r="C358" s="7939"/>
      <c r="D358" s="8016" t="s">
        <v>149</v>
      </c>
      <c r="E358" s="8017"/>
      <c r="F358" s="8146" t="s">
        <v>1018</v>
      </c>
      <c r="G358" s="8514"/>
      <c r="H358" s="8514"/>
      <c r="I358" s="8515" t="s">
        <v>150</v>
      </c>
      <c r="J358" s="8516"/>
      <c r="K358" s="8090" t="s">
        <v>1020</v>
      </c>
      <c r="L358" s="8133" t="s">
        <v>168</v>
      </c>
      <c r="M358" s="8109" t="s">
        <v>168</v>
      </c>
      <c r="N358" s="9242" t="s">
        <v>168</v>
      </c>
      <c r="O358" s="8996" t="s">
        <v>3548</v>
      </c>
      <c r="P358" s="7932"/>
      <c r="Q358" s="7932"/>
      <c r="R358" s="8509"/>
      <c r="S358" s="7887"/>
      <c r="T358" s="7887"/>
      <c r="U358" s="7887"/>
      <c r="V358" s="7887"/>
      <c r="W358" s="7887"/>
      <c r="X358" s="7887"/>
      <c r="Y358" s="7887"/>
      <c r="Z358" s="7887"/>
      <c r="AA358" s="7887"/>
      <c r="AB358" s="7887"/>
      <c r="AC358" s="7887"/>
      <c r="AD358" s="7887"/>
      <c r="AE358" s="7887"/>
      <c r="AF358" s="7887"/>
      <c r="AG358" s="7887"/>
      <c r="AH358" s="7887"/>
      <c r="AI358" s="7887"/>
      <c r="AJ358" s="7887"/>
      <c r="AK358" s="7887"/>
      <c r="AL358" s="7887"/>
      <c r="AM358" s="7887"/>
      <c r="AN358" s="7887"/>
      <c r="AO358" s="7887"/>
      <c r="AP358" s="7887"/>
      <c r="AQ358" s="7887"/>
      <c r="AR358" s="7887"/>
      <c r="AS358" s="7887"/>
      <c r="AT358" s="7887"/>
      <c r="AU358" s="7887"/>
      <c r="AV358" s="7887"/>
      <c r="AW358" s="7887"/>
      <c r="AX358" s="7872"/>
    </row>
    <row r="359" spans="1:50" s="7930" customFormat="1" ht="20.100000000000001" hidden="1" customHeight="1">
      <c r="A359" s="7872"/>
      <c r="B359" s="8510"/>
      <c r="C359" s="8017"/>
      <c r="D359" s="8524" t="s">
        <v>1031</v>
      </c>
      <c r="E359" s="8525"/>
      <c r="F359" s="8147" t="s">
        <v>742</v>
      </c>
      <c r="G359" s="8526"/>
      <c r="H359" s="8526"/>
      <c r="I359" s="8524" t="s">
        <v>1032</v>
      </c>
      <c r="J359" s="8525"/>
      <c r="K359" s="8147" t="s">
        <v>734</v>
      </c>
      <c r="L359" s="8012">
        <f>IF(COUNTBLANK(L360:L365)&gt;0,"미취합법인有",SUM(L360:L365))</f>
        <v>4602</v>
      </c>
      <c r="M359" s="8013">
        <f>IF(COUNTBLANK(M360:M365)&gt;0,"미취합법인有",SUM(M360:M365))</f>
        <v>4356</v>
      </c>
      <c r="N359" s="9247">
        <f>IF(COUNTBLANK(N360:N365)&gt;0,"미취합법인有",SUM(N360:N365))</f>
        <v>4255</v>
      </c>
      <c r="O359" s="8995"/>
      <c r="P359" s="8015" t="s">
        <v>1023</v>
      </c>
      <c r="Q359" s="8015" t="s">
        <v>1024</v>
      </c>
      <c r="R359" s="8500"/>
      <c r="S359" s="7887"/>
      <c r="T359" s="7887"/>
      <c r="U359" s="7887"/>
      <c r="V359" s="7887"/>
      <c r="W359" s="7887"/>
      <c r="X359" s="7887"/>
      <c r="Y359" s="7887"/>
      <c r="Z359" s="7887"/>
      <c r="AA359" s="7887"/>
      <c r="AB359" s="7887"/>
      <c r="AC359" s="7887"/>
      <c r="AD359" s="7887"/>
      <c r="AE359" s="7887"/>
      <c r="AF359" s="7887"/>
      <c r="AG359" s="7887"/>
      <c r="AH359" s="7887"/>
      <c r="AI359" s="7887"/>
      <c r="AJ359" s="7887"/>
      <c r="AK359" s="7887"/>
      <c r="AL359" s="7887"/>
      <c r="AM359" s="7887"/>
      <c r="AN359" s="7887"/>
      <c r="AO359" s="7887"/>
      <c r="AP359" s="7887"/>
      <c r="AQ359" s="7887"/>
      <c r="AR359" s="7887"/>
      <c r="AS359" s="7887"/>
      <c r="AT359" s="7887"/>
      <c r="AU359" s="7887"/>
      <c r="AV359" s="7887"/>
      <c r="AW359" s="7887"/>
      <c r="AX359" s="7872"/>
    </row>
    <row r="360" spans="1:50" s="7930" customFormat="1" ht="20.100000000000001" hidden="1" customHeight="1">
      <c r="A360" s="7872"/>
      <c r="B360" s="8510"/>
      <c r="C360" s="7939"/>
      <c r="D360" s="8016" t="s">
        <v>134</v>
      </c>
      <c r="E360" s="8017"/>
      <c r="F360" s="7953" t="s">
        <v>742</v>
      </c>
      <c r="G360" s="8514"/>
      <c r="H360" s="8514"/>
      <c r="I360" s="8506" t="s">
        <v>135</v>
      </c>
      <c r="J360" s="8508"/>
      <c r="K360" s="8146" t="s">
        <v>734</v>
      </c>
      <c r="L360" s="8098">
        <f t="shared" ref="L360:N364" si="8">L135</f>
        <v>1135</v>
      </c>
      <c r="M360" s="8099">
        <f t="shared" si="8"/>
        <v>1097</v>
      </c>
      <c r="N360" s="9273">
        <f t="shared" si="8"/>
        <v>1208</v>
      </c>
      <c r="O360" s="9018" t="s">
        <v>3574</v>
      </c>
      <c r="P360" s="7932"/>
      <c r="Q360" s="7932"/>
      <c r="R360" s="8509"/>
      <c r="S360" s="7887"/>
      <c r="T360" s="7887"/>
      <c r="U360" s="7887"/>
      <c r="V360" s="7887"/>
      <c r="W360" s="7887"/>
      <c r="X360" s="7887"/>
      <c r="Y360" s="7887"/>
      <c r="Z360" s="7887"/>
      <c r="AA360" s="7887"/>
      <c r="AB360" s="7887"/>
      <c r="AC360" s="7887"/>
      <c r="AD360" s="7887"/>
      <c r="AE360" s="7887"/>
      <c r="AF360" s="7887"/>
      <c r="AG360" s="7887"/>
      <c r="AH360" s="7887"/>
      <c r="AI360" s="7887"/>
      <c r="AJ360" s="7887"/>
      <c r="AK360" s="7887"/>
      <c r="AL360" s="7887"/>
      <c r="AM360" s="7887"/>
      <c r="AN360" s="7887"/>
      <c r="AO360" s="7887"/>
      <c r="AP360" s="7887"/>
      <c r="AQ360" s="7887"/>
      <c r="AR360" s="7887"/>
      <c r="AS360" s="7887"/>
      <c r="AT360" s="7887"/>
      <c r="AU360" s="7887"/>
      <c r="AV360" s="7887"/>
      <c r="AW360" s="7887"/>
      <c r="AX360" s="7872"/>
    </row>
    <row r="361" spans="1:50" s="7930" customFormat="1" ht="20.100000000000001" hidden="1" customHeight="1">
      <c r="A361" s="7872"/>
      <c r="B361" s="8510"/>
      <c r="C361" s="7939"/>
      <c r="D361" s="8016" t="s">
        <v>137</v>
      </c>
      <c r="E361" s="8017"/>
      <c r="F361" s="7953" t="s">
        <v>742</v>
      </c>
      <c r="G361" s="8514"/>
      <c r="H361" s="8514"/>
      <c r="I361" s="8506" t="s">
        <v>138</v>
      </c>
      <c r="J361" s="8508"/>
      <c r="K361" s="8146" t="s">
        <v>734</v>
      </c>
      <c r="L361" s="8098">
        <f t="shared" si="8"/>
        <v>183</v>
      </c>
      <c r="M361" s="8099">
        <f t="shared" si="8"/>
        <v>231</v>
      </c>
      <c r="N361" s="9274">
        <f t="shared" si="8"/>
        <v>249</v>
      </c>
      <c r="O361" s="9018" t="s">
        <v>3574</v>
      </c>
      <c r="P361" s="7932"/>
      <c r="Q361" s="7932"/>
      <c r="R361" s="8509"/>
      <c r="S361" s="7887"/>
      <c r="T361" s="7887"/>
      <c r="U361" s="7887"/>
      <c r="V361" s="7887"/>
      <c r="W361" s="7887"/>
      <c r="X361" s="7887"/>
      <c r="Y361" s="7887"/>
      <c r="Z361" s="7887"/>
      <c r="AA361" s="7887"/>
      <c r="AB361" s="7887"/>
      <c r="AC361" s="7887"/>
      <c r="AD361" s="7887"/>
      <c r="AE361" s="7887"/>
      <c r="AF361" s="7887"/>
      <c r="AG361" s="7887"/>
      <c r="AH361" s="7887"/>
      <c r="AI361" s="7887"/>
      <c r="AJ361" s="7887"/>
      <c r="AK361" s="7887"/>
      <c r="AL361" s="7887"/>
      <c r="AM361" s="7887"/>
      <c r="AN361" s="7887"/>
      <c r="AO361" s="7887"/>
      <c r="AP361" s="7887"/>
      <c r="AQ361" s="7887"/>
      <c r="AR361" s="7887"/>
      <c r="AS361" s="7887"/>
      <c r="AT361" s="7887"/>
      <c r="AU361" s="7887"/>
      <c r="AV361" s="7887"/>
      <c r="AW361" s="7887"/>
      <c r="AX361" s="7872"/>
    </row>
    <row r="362" spans="1:50" s="7930" customFormat="1" ht="20.100000000000001" hidden="1" customHeight="1">
      <c r="A362" s="7872"/>
      <c r="B362" s="8510"/>
      <c r="C362" s="7939"/>
      <c r="D362" s="8016" t="s">
        <v>140</v>
      </c>
      <c r="E362" s="8017"/>
      <c r="F362" s="7953" t="s">
        <v>742</v>
      </c>
      <c r="G362" s="8514"/>
      <c r="H362" s="8514"/>
      <c r="I362" s="8515" t="s">
        <v>141</v>
      </c>
      <c r="J362" s="8516"/>
      <c r="K362" s="8146" t="s">
        <v>734</v>
      </c>
      <c r="L362" s="8098">
        <f t="shared" si="8"/>
        <v>1054</v>
      </c>
      <c r="M362" s="8099">
        <f t="shared" si="8"/>
        <v>909</v>
      </c>
      <c r="N362" s="9273">
        <f t="shared" si="8"/>
        <v>750</v>
      </c>
      <c r="O362" s="9018" t="s">
        <v>3574</v>
      </c>
      <c r="P362" s="7932"/>
      <c r="Q362" s="7932"/>
      <c r="R362" s="8509"/>
      <c r="S362" s="7887"/>
      <c r="T362" s="7887"/>
      <c r="U362" s="7887"/>
      <c r="V362" s="7887"/>
      <c r="W362" s="7887"/>
      <c r="X362" s="7887"/>
      <c r="Y362" s="7887"/>
      <c r="Z362" s="7887"/>
      <c r="AA362" s="7887"/>
      <c r="AB362" s="7887"/>
      <c r="AC362" s="7887"/>
      <c r="AD362" s="7887"/>
      <c r="AE362" s="7887"/>
      <c r="AF362" s="7887"/>
      <c r="AG362" s="7887"/>
      <c r="AH362" s="7887"/>
      <c r="AI362" s="7887"/>
      <c r="AJ362" s="7887"/>
      <c r="AK362" s="7887"/>
      <c r="AL362" s="7887"/>
      <c r="AM362" s="7887"/>
      <c r="AN362" s="7887"/>
      <c r="AO362" s="7887"/>
      <c r="AP362" s="7887"/>
      <c r="AQ362" s="7887"/>
      <c r="AR362" s="7887"/>
      <c r="AS362" s="7887"/>
      <c r="AT362" s="7887"/>
      <c r="AU362" s="7887"/>
      <c r="AV362" s="7887"/>
      <c r="AW362" s="7887"/>
      <c r="AX362" s="7872"/>
    </row>
    <row r="363" spans="1:50" s="7930" customFormat="1" ht="20.100000000000001" hidden="1" customHeight="1">
      <c r="A363" s="7872"/>
      <c r="B363" s="8510"/>
      <c r="C363" s="7939"/>
      <c r="D363" s="8016" t="s">
        <v>143</v>
      </c>
      <c r="E363" s="8017"/>
      <c r="F363" s="7953" t="s">
        <v>742</v>
      </c>
      <c r="G363" s="8514"/>
      <c r="H363" s="8514"/>
      <c r="I363" s="8515" t="s">
        <v>144</v>
      </c>
      <c r="J363" s="8516"/>
      <c r="K363" s="8146" t="s">
        <v>734</v>
      </c>
      <c r="L363" s="8098">
        <f t="shared" si="8"/>
        <v>569</v>
      </c>
      <c r="M363" s="8099">
        <f t="shared" si="8"/>
        <v>582</v>
      </c>
      <c r="N363" s="9273">
        <f t="shared" si="8"/>
        <v>577</v>
      </c>
      <c r="O363" s="9018" t="s">
        <v>3574</v>
      </c>
      <c r="P363" s="7932"/>
      <c r="Q363" s="7932"/>
      <c r="R363" s="8509"/>
      <c r="S363" s="7887"/>
      <c r="T363" s="7887"/>
      <c r="U363" s="7887"/>
      <c r="V363" s="7887"/>
      <c r="W363" s="7887"/>
      <c r="X363" s="7887"/>
      <c r="Y363" s="7887"/>
      <c r="Z363" s="7887"/>
      <c r="AA363" s="7887"/>
      <c r="AB363" s="7887"/>
      <c r="AC363" s="7887"/>
      <c r="AD363" s="7887"/>
      <c r="AE363" s="7887"/>
      <c r="AF363" s="7887"/>
      <c r="AG363" s="7887"/>
      <c r="AH363" s="7887"/>
      <c r="AI363" s="7887"/>
      <c r="AJ363" s="7887"/>
      <c r="AK363" s="7887"/>
      <c r="AL363" s="7887"/>
      <c r="AM363" s="7887"/>
      <c r="AN363" s="7887"/>
      <c r="AO363" s="7887"/>
      <c r="AP363" s="7887"/>
      <c r="AQ363" s="7887"/>
      <c r="AR363" s="7887"/>
      <c r="AS363" s="7887"/>
      <c r="AT363" s="7887"/>
      <c r="AU363" s="7887"/>
      <c r="AV363" s="7887"/>
      <c r="AW363" s="7887"/>
      <c r="AX363" s="7872"/>
    </row>
    <row r="364" spans="1:50" s="7930" customFormat="1" ht="20.100000000000001" hidden="1" customHeight="1">
      <c r="A364" s="7872"/>
      <c r="B364" s="8510"/>
      <c r="C364" s="7939"/>
      <c r="D364" s="8016" t="s">
        <v>146</v>
      </c>
      <c r="E364" s="8017"/>
      <c r="F364" s="7953" t="s">
        <v>742</v>
      </c>
      <c r="G364" s="8514"/>
      <c r="H364" s="8514"/>
      <c r="I364" s="8515" t="s">
        <v>147</v>
      </c>
      <c r="J364" s="8516"/>
      <c r="K364" s="8146" t="s">
        <v>734</v>
      </c>
      <c r="L364" s="8098">
        <f t="shared" si="8"/>
        <v>381</v>
      </c>
      <c r="M364" s="8099">
        <f t="shared" si="8"/>
        <v>393</v>
      </c>
      <c r="N364" s="9273">
        <f t="shared" si="8"/>
        <v>412</v>
      </c>
      <c r="O364" s="9018" t="s">
        <v>3574</v>
      </c>
      <c r="P364" s="7932"/>
      <c r="Q364" s="7932"/>
      <c r="R364" s="8509"/>
      <c r="S364" s="7887"/>
      <c r="T364" s="7887"/>
      <c r="U364" s="7887"/>
      <c r="V364" s="7887"/>
      <c r="W364" s="7887"/>
      <c r="X364" s="7887"/>
      <c r="Y364" s="7887"/>
      <c r="Z364" s="7887"/>
      <c r="AA364" s="7887"/>
      <c r="AB364" s="7887"/>
      <c r="AC364" s="7887"/>
      <c r="AD364" s="7887"/>
      <c r="AE364" s="7887"/>
      <c r="AF364" s="7887"/>
      <c r="AG364" s="7887"/>
      <c r="AH364" s="7887"/>
      <c r="AI364" s="7887"/>
      <c r="AJ364" s="7887"/>
      <c r="AK364" s="7887"/>
      <c r="AL364" s="7887"/>
      <c r="AM364" s="7887"/>
      <c r="AN364" s="7887"/>
      <c r="AO364" s="7887"/>
      <c r="AP364" s="7887"/>
      <c r="AQ364" s="7887"/>
      <c r="AR364" s="7887"/>
      <c r="AS364" s="7887"/>
      <c r="AT364" s="7887"/>
      <c r="AU364" s="7887"/>
      <c r="AV364" s="7887"/>
      <c r="AW364" s="7887"/>
      <c r="AX364" s="7872"/>
    </row>
    <row r="365" spans="1:50" ht="20.100000000000001" hidden="1" customHeight="1">
      <c r="A365" s="7872"/>
      <c r="B365" s="8510"/>
      <c r="C365" s="7939"/>
      <c r="D365" s="8821" t="s">
        <v>149</v>
      </c>
      <c r="E365" s="8017"/>
      <c r="F365" s="7953" t="s">
        <v>742</v>
      </c>
      <c r="G365" s="8514"/>
      <c r="H365" s="8514"/>
      <c r="I365" s="8515" t="s">
        <v>150</v>
      </c>
      <c r="J365" s="8516"/>
      <c r="K365" s="8146" t="s">
        <v>734</v>
      </c>
      <c r="L365" s="8149">
        <f>L22</f>
        <v>1280</v>
      </c>
      <c r="M365" s="8219">
        <f>M22</f>
        <v>1144</v>
      </c>
      <c r="N365" s="9269">
        <f>N22</f>
        <v>1059</v>
      </c>
      <c r="O365" s="8996" t="s">
        <v>3542</v>
      </c>
      <c r="P365" s="7932"/>
      <c r="Q365" s="7932"/>
      <c r="R365" s="8509"/>
    </row>
    <row r="366" spans="1:50" ht="30">
      <c r="A366" s="7872"/>
      <c r="B366" s="8536"/>
      <c r="C366" s="8548" t="s">
        <v>1036</v>
      </c>
      <c r="D366" s="8549"/>
      <c r="E366" s="8512"/>
      <c r="F366" s="8928" t="s">
        <v>1048</v>
      </c>
      <c r="G366" s="8805"/>
      <c r="H366" s="8511" t="s">
        <v>1037</v>
      </c>
      <c r="I366" s="8549"/>
      <c r="J366" s="8512"/>
      <c r="K366" s="8928" t="s">
        <v>128</v>
      </c>
      <c r="L366" s="8042">
        <f>IF(COUNTBLANK(L367:L372)&gt;0,"미취합법인有",SUM(L367:L372))</f>
        <v>44.484115225866098</v>
      </c>
      <c r="M366" s="8036">
        <f>IF(COUNTBLANK(M367:M372)&gt;0,"미취합법인有",SUM(M367:M372))</f>
        <v>87.544418547380289</v>
      </c>
      <c r="N366" s="9243">
        <f>IF(COUNTBLANK(N367:N372)&gt;0,"미취합법인有",SUM(N367:N372))</f>
        <v>98.387253835435104</v>
      </c>
      <c r="O366" s="9019" t="s">
        <v>3750</v>
      </c>
      <c r="P366" s="8015" t="s">
        <v>1040</v>
      </c>
      <c r="Q366" s="8015"/>
      <c r="R366" s="8500"/>
    </row>
    <row r="367" spans="1:50" ht="20.100000000000001" customHeight="1">
      <c r="A367" s="7872"/>
      <c r="B367" s="8510"/>
      <c r="C367" s="8502" t="s">
        <v>134</v>
      </c>
      <c r="D367" s="8503"/>
      <c r="E367" s="8504"/>
      <c r="F367" s="8151" t="s">
        <v>1048</v>
      </c>
      <c r="G367" s="8514"/>
      <c r="H367" s="8506" t="s">
        <v>135</v>
      </c>
      <c r="I367" s="8507"/>
      <c r="J367" s="8508"/>
      <c r="K367" s="7941" t="s">
        <v>1043</v>
      </c>
      <c r="L367" s="7942">
        <f>L374/L360</f>
        <v>33.206007577092507</v>
      </c>
      <c r="M367" s="8143">
        <f>M374/M360</f>
        <v>43.617138377392891</v>
      </c>
      <c r="N367" s="9270">
        <f>N374/N360</f>
        <v>40.010152566225166</v>
      </c>
      <c r="O367" s="9017" t="s">
        <v>3543</v>
      </c>
      <c r="P367" s="7932"/>
      <c r="Q367" s="7932"/>
      <c r="R367" s="8509"/>
    </row>
    <row r="368" spans="1:50" ht="20.100000000000001" customHeight="1">
      <c r="A368" s="7872"/>
      <c r="B368" s="8510"/>
      <c r="C368" s="8016" t="s">
        <v>2079</v>
      </c>
      <c r="D368" s="8503"/>
      <c r="E368" s="8504"/>
      <c r="F368" s="8151" t="s">
        <v>1048</v>
      </c>
      <c r="G368" s="8514"/>
      <c r="H368" s="8506" t="s">
        <v>138</v>
      </c>
      <c r="I368" s="8507"/>
      <c r="J368" s="8508"/>
      <c r="K368" s="7941" t="s">
        <v>1043</v>
      </c>
      <c r="L368" s="7942">
        <f t="shared" ref="L368:M372" si="9">L375/L361</f>
        <v>8.9756917923497266</v>
      </c>
      <c r="M368" s="8144">
        <f t="shared" si="9"/>
        <v>36.600854978354981</v>
      </c>
      <c r="N368" s="9271">
        <f t="shared" ref="N368:N372" si="10">N375/N361</f>
        <v>47.470816951807222</v>
      </c>
      <c r="O368" s="9015" t="s">
        <v>3543</v>
      </c>
      <c r="P368" s="7932"/>
      <c r="Q368" s="7932"/>
      <c r="R368" s="8509"/>
    </row>
    <row r="369" spans="1:49" ht="20.100000000000001" customHeight="1">
      <c r="A369" s="7872"/>
      <c r="B369" s="8510"/>
      <c r="C369" s="8502" t="s">
        <v>140</v>
      </c>
      <c r="D369" s="8503"/>
      <c r="E369" s="8504"/>
      <c r="F369" s="8151" t="s">
        <v>1048</v>
      </c>
      <c r="G369" s="8514"/>
      <c r="H369" s="8506" t="s">
        <v>141</v>
      </c>
      <c r="I369" s="8507"/>
      <c r="J369" s="8508"/>
      <c r="K369" s="7941" t="s">
        <v>1043</v>
      </c>
      <c r="L369" s="7942">
        <f t="shared" si="9"/>
        <v>1.0209876043643262</v>
      </c>
      <c r="M369" s="8144">
        <f t="shared" si="9"/>
        <v>0.96893824972497244</v>
      </c>
      <c r="N369" s="9271">
        <f t="shared" si="10"/>
        <v>2.1918878066666667</v>
      </c>
      <c r="O369" s="9017" t="s">
        <v>3543</v>
      </c>
      <c r="P369" s="7932"/>
      <c r="Q369" s="7932"/>
      <c r="R369" s="8509"/>
    </row>
    <row r="370" spans="1:49" ht="20.100000000000001" customHeight="1">
      <c r="A370" s="7872"/>
      <c r="B370" s="8510"/>
      <c r="C370" s="8502" t="s">
        <v>143</v>
      </c>
      <c r="D370" s="8503"/>
      <c r="E370" s="8504"/>
      <c r="F370" s="8151" t="s">
        <v>1048</v>
      </c>
      <c r="G370" s="8514"/>
      <c r="H370" s="8506" t="s">
        <v>144</v>
      </c>
      <c r="I370" s="8507"/>
      <c r="J370" s="8508"/>
      <c r="K370" s="9321" t="s">
        <v>3730</v>
      </c>
      <c r="L370" s="7942">
        <f t="shared" si="9"/>
        <v>0.96204145518453421</v>
      </c>
      <c r="M370" s="8144">
        <f t="shared" si="9"/>
        <v>2.2793778127147766</v>
      </c>
      <c r="N370" s="9271">
        <f t="shared" si="10"/>
        <v>2.3607996897746966</v>
      </c>
      <c r="O370" s="9017" t="s">
        <v>3543</v>
      </c>
      <c r="P370" s="7932"/>
      <c r="Q370" s="7932"/>
      <c r="R370" s="8509"/>
    </row>
    <row r="371" spans="1:49" ht="20.100000000000001" customHeight="1">
      <c r="A371" s="7872"/>
      <c r="B371" s="8510"/>
      <c r="C371" s="8502" t="s">
        <v>146</v>
      </c>
      <c r="D371" s="8503"/>
      <c r="E371" s="8504"/>
      <c r="F371" s="8151" t="s">
        <v>1048</v>
      </c>
      <c r="G371" s="8514"/>
      <c r="H371" s="8506" t="s">
        <v>147</v>
      </c>
      <c r="I371" s="8507"/>
      <c r="J371" s="8508"/>
      <c r="K371" s="9321" t="s">
        <v>3730</v>
      </c>
      <c r="L371" s="7942">
        <f t="shared" si="9"/>
        <v>0</v>
      </c>
      <c r="M371" s="8144">
        <f t="shared" si="9"/>
        <v>3.6000557201017815</v>
      </c>
      <c r="N371" s="9271">
        <f t="shared" si="10"/>
        <v>2.237928737864078</v>
      </c>
      <c r="O371" s="9017" t="s">
        <v>3543</v>
      </c>
      <c r="P371" s="7932"/>
      <c r="Q371" s="7932"/>
      <c r="R371" s="8509"/>
    </row>
    <row r="372" spans="1:49" ht="20.100000000000001" customHeight="1">
      <c r="A372" s="7872"/>
      <c r="B372" s="8510"/>
      <c r="C372" s="8824" t="s">
        <v>149</v>
      </c>
      <c r="D372" s="8503"/>
      <c r="E372" s="8504"/>
      <c r="F372" s="8151" t="s">
        <v>1048</v>
      </c>
      <c r="G372" s="8514"/>
      <c r="H372" s="8506" t="s">
        <v>150</v>
      </c>
      <c r="I372" s="8507"/>
      <c r="J372" s="8508"/>
      <c r="K372" s="8151" t="s">
        <v>1043</v>
      </c>
      <c r="L372" s="7942">
        <f t="shared" si="9"/>
        <v>0.31938679687499999</v>
      </c>
      <c r="M372" s="8144">
        <f t="shared" si="9"/>
        <v>0.4780534090909091</v>
      </c>
      <c r="N372" s="9271">
        <f t="shared" si="10"/>
        <v>4.1156680830972618</v>
      </c>
      <c r="O372" s="9017" t="s">
        <v>3604</v>
      </c>
      <c r="P372" s="7932"/>
      <c r="Q372" s="7932"/>
      <c r="R372" s="8509"/>
    </row>
    <row r="373" spans="1:49" ht="20.100000000000001" hidden="1" customHeight="1">
      <c r="A373" s="7872"/>
      <c r="B373" s="8510"/>
      <c r="C373" s="8017"/>
      <c r="D373" s="8825" t="s">
        <v>1045</v>
      </c>
      <c r="E373" s="8525"/>
      <c r="F373" s="8804"/>
      <c r="G373" s="8583"/>
      <c r="H373" s="8584"/>
      <c r="I373" s="8524" t="s">
        <v>1046</v>
      </c>
      <c r="J373" s="8525"/>
      <c r="K373" s="8150" t="s">
        <v>128</v>
      </c>
      <c r="L373" s="8042">
        <f>IF(COUNTBLANK(L374:L379)&gt;0,"미취합법인有",SUM(L374:L379))</f>
        <v>41363.707820999996</v>
      </c>
      <c r="M373" s="8036">
        <f>IF(COUNTBLANK(M374:M379)&gt;0,"미취합법인有",SUM(M374:M379))</f>
        <v>60471.876054</v>
      </c>
      <c r="N373" s="9243">
        <f>IF(COUNTBLANK(N374:N379)&gt;0,"미취합법인有",SUM(N374:N379))</f>
        <v>68439.114136999997</v>
      </c>
      <c r="O373" s="8995" t="s">
        <v>3556</v>
      </c>
      <c r="P373" s="8015" t="s">
        <v>1040</v>
      </c>
      <c r="Q373" s="8015"/>
      <c r="R373" s="8500"/>
    </row>
    <row r="374" spans="1:49" ht="20.100000000000001" hidden="1" customHeight="1">
      <c r="A374" s="7872"/>
      <c r="B374" s="8510"/>
      <c r="C374" s="7939"/>
      <c r="D374" s="8016" t="s">
        <v>134</v>
      </c>
      <c r="E374" s="8017"/>
      <c r="F374" s="8151" t="s">
        <v>1048</v>
      </c>
      <c r="G374" s="8514"/>
      <c r="H374" s="8514"/>
      <c r="I374" s="8506" t="s">
        <v>135</v>
      </c>
      <c r="J374" s="8508"/>
      <c r="K374" s="7941" t="s">
        <v>1043</v>
      </c>
      <c r="L374" s="8822">
        <v>37688.818599999999</v>
      </c>
      <c r="M374" s="8823">
        <v>47848.000800000002</v>
      </c>
      <c r="N374" s="9275">
        <v>48332.264300000003</v>
      </c>
      <c r="O374" s="9019" t="s">
        <v>3602</v>
      </c>
      <c r="P374" s="7932"/>
      <c r="Q374" s="7932"/>
      <c r="R374" s="8509"/>
    </row>
    <row r="375" spans="1:49" ht="20.100000000000001" hidden="1" customHeight="1">
      <c r="A375" s="7872"/>
      <c r="B375" s="8510"/>
      <c r="C375" s="7939"/>
      <c r="D375" s="8016" t="s">
        <v>137</v>
      </c>
      <c r="E375" s="8017"/>
      <c r="F375" s="8151" t="s">
        <v>1048</v>
      </c>
      <c r="G375" s="8514"/>
      <c r="H375" s="8514"/>
      <c r="I375" s="8506" t="s">
        <v>138</v>
      </c>
      <c r="J375" s="8508"/>
      <c r="K375" s="7941" t="s">
        <v>1043</v>
      </c>
      <c r="L375" s="8822">
        <v>1642.551598</v>
      </c>
      <c r="M375" s="8823">
        <v>8454.7975000000006</v>
      </c>
      <c r="N375" s="9276">
        <v>11820.233420999999</v>
      </c>
      <c r="O375" s="9019" t="s">
        <v>3602</v>
      </c>
      <c r="P375" s="7932"/>
      <c r="Q375" s="7932"/>
      <c r="R375" s="8509"/>
    </row>
    <row r="376" spans="1:49" ht="20.100000000000001" hidden="1" customHeight="1">
      <c r="A376" s="7872"/>
      <c r="B376" s="8510"/>
      <c r="C376" s="7939"/>
      <c r="D376" s="8016" t="s">
        <v>140</v>
      </c>
      <c r="E376" s="8017"/>
      <c r="F376" s="8151" t="s">
        <v>1048</v>
      </c>
      <c r="G376" s="8514"/>
      <c r="H376" s="8514"/>
      <c r="I376" s="8515" t="s">
        <v>141</v>
      </c>
      <c r="J376" s="8516"/>
      <c r="K376" s="7941" t="s">
        <v>1043</v>
      </c>
      <c r="L376" s="8822">
        <v>1076.1209349999999</v>
      </c>
      <c r="M376" s="8823">
        <v>880.76486899999998</v>
      </c>
      <c r="N376" s="9275">
        <v>1643.915855</v>
      </c>
      <c r="O376" s="9019" t="s">
        <v>3602</v>
      </c>
      <c r="P376" s="7932"/>
      <c r="Q376" s="7932"/>
      <c r="R376" s="8509"/>
    </row>
    <row r="377" spans="1:49" ht="20.100000000000001" hidden="1" customHeight="1">
      <c r="A377" s="7872"/>
      <c r="B377" s="8510"/>
      <c r="C377" s="7939"/>
      <c r="D377" s="8016" t="s">
        <v>143</v>
      </c>
      <c r="E377" s="8017"/>
      <c r="F377" s="8151" t="s">
        <v>1048</v>
      </c>
      <c r="G377" s="8514"/>
      <c r="H377" s="8514"/>
      <c r="I377" s="8515" t="s">
        <v>144</v>
      </c>
      <c r="J377" s="8516"/>
      <c r="K377" s="8090" t="s">
        <v>145</v>
      </c>
      <c r="L377" s="8822">
        <v>547.40158799999995</v>
      </c>
      <c r="M377" s="8823">
        <v>1326.5978869999999</v>
      </c>
      <c r="N377" s="9276">
        <v>1362.181421</v>
      </c>
      <c r="O377" s="9019" t="s">
        <v>3602</v>
      </c>
      <c r="P377" s="7932"/>
      <c r="Q377" s="7932"/>
      <c r="R377" s="8509"/>
    </row>
    <row r="378" spans="1:49" ht="20.100000000000001" hidden="1" customHeight="1">
      <c r="A378" s="7872"/>
      <c r="B378" s="8510"/>
      <c r="C378" s="7939"/>
      <c r="D378" s="8016" t="s">
        <v>146</v>
      </c>
      <c r="E378" s="8017"/>
      <c r="F378" s="8151" t="s">
        <v>1048</v>
      </c>
      <c r="G378" s="8514"/>
      <c r="H378" s="8514"/>
      <c r="I378" s="8515" t="s">
        <v>147</v>
      </c>
      <c r="J378" s="8516"/>
      <c r="K378" s="8090" t="s">
        <v>148</v>
      </c>
      <c r="L378" s="8822">
        <v>0</v>
      </c>
      <c r="M378" s="8823">
        <v>1414.8218980000001</v>
      </c>
      <c r="N378" s="9276">
        <v>922.02664000000004</v>
      </c>
      <c r="O378" s="9019" t="s">
        <v>3602</v>
      </c>
      <c r="P378" s="7932"/>
      <c r="Q378" s="7932"/>
      <c r="R378" s="8509"/>
    </row>
    <row r="379" spans="1:49" ht="20.100000000000001" hidden="1" customHeight="1">
      <c r="A379" s="7872"/>
      <c r="B379" s="8510"/>
      <c r="C379" s="7939"/>
      <c r="D379" s="8821" t="s">
        <v>149</v>
      </c>
      <c r="E379" s="8017"/>
      <c r="F379" s="8151" t="s">
        <v>1048</v>
      </c>
      <c r="G379" s="8514"/>
      <c r="H379" s="8514"/>
      <c r="I379" s="8515" t="s">
        <v>150</v>
      </c>
      <c r="J379" s="8516"/>
      <c r="K379" s="7941" t="s">
        <v>1043</v>
      </c>
      <c r="L379" s="8149">
        <v>408.81509999999997</v>
      </c>
      <c r="M379" s="8219">
        <v>546.8931</v>
      </c>
      <c r="N379" s="9269">
        <v>4358.4925000000003</v>
      </c>
      <c r="O379" s="9019" t="s">
        <v>3603</v>
      </c>
      <c r="P379" s="7932"/>
      <c r="Q379" s="7932"/>
      <c r="R379" s="8509"/>
    </row>
    <row r="380" spans="1:49" s="8152" customFormat="1" ht="45">
      <c r="B380" s="8536"/>
      <c r="C380" s="8831" t="s">
        <v>1050</v>
      </c>
      <c r="D380" s="8549"/>
      <c r="E380" s="8512"/>
      <c r="F380" s="8928" t="s">
        <v>156</v>
      </c>
      <c r="G380" s="8805"/>
      <c r="H380" s="9322" t="s">
        <v>1052</v>
      </c>
      <c r="I380" s="8806"/>
      <c r="J380" s="8807"/>
      <c r="K380" s="8803" t="s">
        <v>1053</v>
      </c>
      <c r="L380" s="8042">
        <f>IF(COUNTBLANK(L381:L382)&gt;0,"미취합법인有",SUM(L381:L382))</f>
        <v>0</v>
      </c>
      <c r="M380" s="8036">
        <f>AVERAGE(M381:M382)</f>
        <v>84.272130013831259</v>
      </c>
      <c r="N380" s="9277">
        <f>AVERAGE(N381:N382)</f>
        <v>90.217706821480405</v>
      </c>
      <c r="O380" s="9020" t="s">
        <v>3660</v>
      </c>
      <c r="P380" s="8985" t="s">
        <v>1056</v>
      </c>
      <c r="Q380" s="8153"/>
      <c r="R380" s="8586"/>
      <c r="S380" s="7904"/>
      <c r="T380" s="7904"/>
      <c r="U380" s="7904"/>
      <c r="V380" s="7904"/>
      <c r="W380" s="7904"/>
      <c r="X380" s="7904"/>
      <c r="Y380" s="7904"/>
      <c r="Z380" s="7904"/>
      <c r="AA380" s="7904"/>
      <c r="AB380" s="7904"/>
      <c r="AC380" s="7904"/>
      <c r="AD380" s="7904"/>
      <c r="AE380" s="7904"/>
      <c r="AF380" s="7904"/>
      <c r="AG380" s="7904"/>
      <c r="AH380" s="7904"/>
      <c r="AI380" s="7904"/>
      <c r="AJ380" s="7904"/>
      <c r="AK380" s="7904"/>
      <c r="AL380" s="7904"/>
      <c r="AM380" s="7904"/>
      <c r="AN380" s="7904"/>
      <c r="AO380" s="7904"/>
      <c r="AP380" s="7904"/>
      <c r="AQ380" s="7904"/>
      <c r="AR380" s="7904"/>
      <c r="AS380" s="7904"/>
      <c r="AT380" s="7904"/>
      <c r="AU380" s="7904"/>
      <c r="AV380" s="7904"/>
      <c r="AW380" s="7904"/>
    </row>
    <row r="381" spans="1:49" ht="20.100000000000001" customHeight="1">
      <c r="A381" s="7872"/>
      <c r="B381" s="8510"/>
      <c r="C381" s="8502" t="s">
        <v>134</v>
      </c>
      <c r="D381" s="8503"/>
      <c r="E381" s="8504"/>
      <c r="F381" s="8835" t="s">
        <v>156</v>
      </c>
      <c r="G381" s="8514"/>
      <c r="H381" s="8506" t="s">
        <v>135</v>
      </c>
      <c r="I381" s="8507"/>
      <c r="J381" s="8508"/>
      <c r="K381" s="7953" t="s">
        <v>1053</v>
      </c>
      <c r="L381" s="8154" t="s">
        <v>169</v>
      </c>
      <c r="M381" s="8143">
        <v>82.710926694329174</v>
      </c>
      <c r="N381" s="9270">
        <v>92.743105950653117</v>
      </c>
      <c r="O381" s="9019" t="s">
        <v>3516</v>
      </c>
      <c r="P381" s="7932"/>
      <c r="Q381" s="7932"/>
      <c r="R381" s="8509"/>
    </row>
    <row r="382" spans="1:49" ht="20.100000000000001" customHeight="1" thickBot="1">
      <c r="A382" s="7872"/>
      <c r="B382" s="8510"/>
      <c r="C382" s="8502" t="s">
        <v>2079</v>
      </c>
      <c r="D382" s="8503"/>
      <c r="E382" s="8504"/>
      <c r="F382" s="8835" t="s">
        <v>156</v>
      </c>
      <c r="G382" s="8514"/>
      <c r="H382" s="8506" t="s">
        <v>138</v>
      </c>
      <c r="I382" s="8507"/>
      <c r="J382" s="8508"/>
      <c r="K382" s="7953" t="s">
        <v>1053</v>
      </c>
      <c r="L382" s="8154" t="s">
        <v>169</v>
      </c>
      <c r="M382" s="8144">
        <v>85.833333333333329</v>
      </c>
      <c r="N382" s="9271">
        <v>87.692307692307693</v>
      </c>
      <c r="O382" s="9019" t="s">
        <v>3516</v>
      </c>
      <c r="P382" s="7932"/>
      <c r="Q382" s="7932"/>
      <c r="R382" s="8509"/>
    </row>
    <row r="383" spans="1:49" ht="21.75" thickBot="1">
      <c r="A383" s="7872"/>
      <c r="B383" s="8073" t="s">
        <v>1074</v>
      </c>
      <c r="C383" s="8074"/>
      <c r="D383" s="8074"/>
      <c r="E383" s="8074"/>
      <c r="F383" s="8075"/>
      <c r="G383" s="9324" t="s">
        <v>3731</v>
      </c>
      <c r="H383" s="9323"/>
      <c r="I383" s="8075"/>
      <c r="J383" s="8075"/>
      <c r="K383" s="8075"/>
      <c r="L383" s="8078"/>
      <c r="M383" s="8079"/>
      <c r="N383" s="9251"/>
      <c r="O383" s="8993"/>
      <c r="P383" s="8080"/>
      <c r="Q383" s="8080"/>
      <c r="R383" s="8496"/>
    </row>
    <row r="384" spans="1:49" ht="20.100000000000001" customHeight="1">
      <c r="A384" s="7872"/>
      <c r="B384" s="8534"/>
      <c r="C384" s="8893" t="s">
        <v>3552</v>
      </c>
      <c r="D384" s="8587"/>
      <c r="E384" s="8587"/>
      <c r="F384" s="8587"/>
      <c r="G384" s="8587"/>
      <c r="H384" s="9325" t="s">
        <v>3733</v>
      </c>
      <c r="I384" s="8587"/>
      <c r="J384" s="8587"/>
      <c r="K384" s="8587"/>
      <c r="L384" s="8588"/>
      <c r="M384" s="8589"/>
      <c r="N384" s="9278"/>
      <c r="O384" s="9021"/>
      <c r="P384" s="7932"/>
      <c r="Q384" s="8155"/>
      <c r="R384" s="8509"/>
    </row>
    <row r="385" spans="1:50" ht="30">
      <c r="A385" s="7872"/>
      <c r="B385" s="8510"/>
      <c r="C385" s="7939"/>
      <c r="D385" s="8524" t="s">
        <v>1090</v>
      </c>
      <c r="E385" s="8525"/>
      <c r="F385" s="7957" t="s">
        <v>154</v>
      </c>
      <c r="G385" s="8513"/>
      <c r="H385" s="8513"/>
      <c r="I385" s="8825" t="s">
        <v>3732</v>
      </c>
      <c r="J385" s="8525"/>
      <c r="K385" s="7957" t="s">
        <v>154</v>
      </c>
      <c r="L385" s="8035">
        <f>IF(COUNTBLANK(L386:L391)&gt;0,"미취합법인有",AVERAGE(L386:L391))</f>
        <v>25.649721031145486</v>
      </c>
      <c r="M385" s="8036">
        <f>IF(COUNTBLANK(M386:M391)&gt;0,"미취합법인有",AVERAGE(M386:M391))</f>
        <v>28.93087064676617</v>
      </c>
      <c r="N385" s="9243">
        <f>IF(COUNTBLANK(N386:N391)&gt;0,"미취합법인有",AVERAGE(N386:N391))</f>
        <v>27.565964912280702</v>
      </c>
      <c r="O385" s="9027" t="s">
        <v>3702</v>
      </c>
      <c r="P385" s="7932" t="s">
        <v>1094</v>
      </c>
      <c r="Q385" s="7955"/>
      <c r="R385" s="8509"/>
    </row>
    <row r="386" spans="1:50" ht="20.100000000000001" customHeight="1">
      <c r="A386" s="7872"/>
      <c r="B386" s="8510"/>
      <c r="C386" s="7939"/>
      <c r="D386" s="8016" t="s">
        <v>134</v>
      </c>
      <c r="E386" s="8017"/>
      <c r="F386" s="7953" t="s">
        <v>156</v>
      </c>
      <c r="G386" s="8514"/>
      <c r="H386" s="8514"/>
      <c r="I386" s="8506" t="s">
        <v>135</v>
      </c>
      <c r="J386" s="8508"/>
      <c r="K386" s="7941" t="s">
        <v>154</v>
      </c>
      <c r="L386" s="8106">
        <v>38.020833333333329</v>
      </c>
      <c r="M386" s="8109">
        <v>42.288557213930353</v>
      </c>
      <c r="N386" s="9258">
        <v>42.3</v>
      </c>
      <c r="O386" s="9022"/>
      <c r="P386" s="7932"/>
      <c r="Q386" s="7932"/>
      <c r="R386" s="8509"/>
    </row>
    <row r="387" spans="1:50" ht="20.100000000000001" customHeight="1">
      <c r="A387" s="7872"/>
      <c r="B387" s="8510"/>
      <c r="C387" s="7939"/>
      <c r="D387" s="8016" t="s">
        <v>137</v>
      </c>
      <c r="E387" s="8017"/>
      <c r="F387" s="7953" t="s">
        <v>156</v>
      </c>
      <c r="G387" s="8514"/>
      <c r="H387" s="8514"/>
      <c r="I387" s="8506" t="s">
        <v>138</v>
      </c>
      <c r="J387" s="8508"/>
      <c r="K387" s="7941" t="s">
        <v>154</v>
      </c>
      <c r="L387" s="7942">
        <v>7.1</v>
      </c>
      <c r="M387" s="8018">
        <v>13.3</v>
      </c>
      <c r="N387" s="9261">
        <v>14.3</v>
      </c>
      <c r="O387" s="9022"/>
      <c r="P387" s="7932"/>
      <c r="Q387" s="7932"/>
      <c r="R387" s="8509"/>
    </row>
    <row r="388" spans="1:50" ht="20.100000000000001" customHeight="1">
      <c r="A388" s="7872"/>
      <c r="B388" s="8510"/>
      <c r="C388" s="7939"/>
      <c r="D388" s="8016" t="s">
        <v>140</v>
      </c>
      <c r="E388" s="8017"/>
      <c r="F388" s="7953" t="s">
        <v>156</v>
      </c>
      <c r="G388" s="8514"/>
      <c r="H388" s="8514"/>
      <c r="I388" s="8515" t="s">
        <v>141</v>
      </c>
      <c r="J388" s="8516"/>
      <c r="K388" s="7941" t="s">
        <v>154</v>
      </c>
      <c r="L388" s="8106">
        <v>13.738019169329075</v>
      </c>
      <c r="M388" s="8109">
        <v>16</v>
      </c>
      <c r="N388" s="9258">
        <v>10</v>
      </c>
      <c r="O388" s="9022"/>
      <c r="P388" s="7932"/>
      <c r="Q388" s="7932"/>
      <c r="R388" s="8509"/>
    </row>
    <row r="389" spans="1:50" ht="20.100000000000001" customHeight="1">
      <c r="A389" s="7872"/>
      <c r="B389" s="8510"/>
      <c r="C389" s="8504"/>
      <c r="D389" s="8016" t="s">
        <v>143</v>
      </c>
      <c r="E389" s="8017"/>
      <c r="F389" s="7953" t="s">
        <v>156</v>
      </c>
      <c r="G389" s="8514"/>
      <c r="H389" s="8514"/>
      <c r="I389" s="8515" t="s">
        <v>144</v>
      </c>
      <c r="J389" s="8516"/>
      <c r="K389" s="7941" t="s">
        <v>154</v>
      </c>
      <c r="L389" s="8106">
        <v>46.55</v>
      </c>
      <c r="M389" s="8109">
        <v>44.83</v>
      </c>
      <c r="N389" s="9258">
        <v>46.88</v>
      </c>
      <c r="O389" s="9022"/>
      <c r="P389" s="7932"/>
      <c r="Q389" s="7932"/>
      <c r="R389" s="8509"/>
    </row>
    <row r="390" spans="1:50" ht="20.100000000000001" customHeight="1">
      <c r="A390" s="7872"/>
      <c r="B390" s="8510"/>
      <c r="C390" s="7939"/>
      <c r="D390" s="8016" t="s">
        <v>146</v>
      </c>
      <c r="E390" s="8017"/>
      <c r="F390" s="7953" t="s">
        <v>156</v>
      </c>
      <c r="G390" s="8514"/>
      <c r="H390" s="8514"/>
      <c r="I390" s="8515" t="s">
        <v>147</v>
      </c>
      <c r="J390" s="8516"/>
      <c r="K390" s="7941" t="s">
        <v>154</v>
      </c>
      <c r="L390" s="8106">
        <v>15.789473684210526</v>
      </c>
      <c r="M390" s="8109">
        <v>16.666666666666664</v>
      </c>
      <c r="N390" s="9258">
        <v>26.315789473684209</v>
      </c>
      <c r="O390" s="9022"/>
      <c r="P390" s="7932"/>
      <c r="Q390" s="7932"/>
      <c r="R390" s="8509"/>
    </row>
    <row r="391" spans="1:50" s="7887" customFormat="1" ht="20.100000000000001" customHeight="1">
      <c r="A391" s="7872"/>
      <c r="B391" s="8510"/>
      <c r="C391" s="7939"/>
      <c r="D391" s="8016" t="s">
        <v>149</v>
      </c>
      <c r="E391" s="8017"/>
      <c r="F391" s="7953" t="s">
        <v>156</v>
      </c>
      <c r="G391" s="8514"/>
      <c r="H391" s="8514"/>
      <c r="I391" s="8515" t="s">
        <v>150</v>
      </c>
      <c r="J391" s="8516"/>
      <c r="K391" s="7941" t="s">
        <v>154</v>
      </c>
      <c r="L391" s="8133">
        <v>32.700000000000003</v>
      </c>
      <c r="M391" s="8109">
        <v>40.5</v>
      </c>
      <c r="N391" s="9242">
        <v>25.6</v>
      </c>
      <c r="O391" s="9019"/>
      <c r="P391" s="7932"/>
      <c r="Q391" s="7932"/>
      <c r="R391" s="8509"/>
      <c r="AX391" s="7872"/>
    </row>
    <row r="392" spans="1:50" s="7887" customFormat="1" ht="20.100000000000001" hidden="1" customHeight="1">
      <c r="A392" s="7872"/>
      <c r="B392" s="8510"/>
      <c r="C392" s="8156"/>
      <c r="D392" s="8590"/>
      <c r="E392" s="8591" t="s">
        <v>849</v>
      </c>
      <c r="F392" s="7957" t="s">
        <v>742</v>
      </c>
      <c r="G392" s="8555"/>
      <c r="H392" s="8511" t="s">
        <v>850</v>
      </c>
      <c r="I392" s="8549"/>
      <c r="J392" s="8512"/>
      <c r="K392" s="7957" t="s">
        <v>734</v>
      </c>
      <c r="L392" s="8012">
        <f>IF(COUNTBLANK(L393:L398)&gt;0,"미취합법인有",SUM(L393:L398))</f>
        <v>350</v>
      </c>
      <c r="M392" s="8013">
        <f>IF(COUNTBLANK(M393:M398)&gt;0,"미취합법인有",SUM(M393:M398))</f>
        <v>352</v>
      </c>
      <c r="N392" s="9247">
        <f>IF(COUNTBLANK(N393:N398)&gt;0,"미취합법인有",SUM(N393:N398))</f>
        <v>375</v>
      </c>
      <c r="O392" s="9002"/>
      <c r="P392" s="8015" t="s">
        <v>852</v>
      </c>
      <c r="Q392" s="7992"/>
      <c r="R392" s="8500"/>
      <c r="AX392" s="7872"/>
    </row>
    <row r="393" spans="1:50" s="7887" customFormat="1" ht="20.100000000000001" hidden="1" customHeight="1">
      <c r="A393" s="7872"/>
      <c r="B393" s="8501"/>
      <c r="C393" s="8157"/>
      <c r="D393" s="8590"/>
      <c r="E393" s="8590" t="s">
        <v>134</v>
      </c>
      <c r="F393" s="7953" t="s">
        <v>742</v>
      </c>
      <c r="G393" s="8505"/>
      <c r="H393" s="8506" t="s">
        <v>135</v>
      </c>
      <c r="I393" s="8507"/>
      <c r="J393" s="8508"/>
      <c r="K393" s="7953" t="s">
        <v>734</v>
      </c>
      <c r="L393" s="8158">
        <v>192</v>
      </c>
      <c r="M393" s="8159">
        <v>201</v>
      </c>
      <c r="N393" s="9249">
        <v>201</v>
      </c>
      <c r="O393" s="9006"/>
      <c r="P393" s="8088"/>
      <c r="Q393" s="7932"/>
      <c r="R393" s="8509"/>
      <c r="AX393" s="7872"/>
    </row>
    <row r="394" spans="1:50" s="7887" customFormat="1" ht="20.100000000000001" hidden="1" customHeight="1">
      <c r="A394" s="7872"/>
      <c r="B394" s="8501"/>
      <c r="C394" s="8157"/>
      <c r="D394" s="8590"/>
      <c r="E394" s="8590" t="s">
        <v>137</v>
      </c>
      <c r="F394" s="7953" t="s">
        <v>742</v>
      </c>
      <c r="G394" s="8505"/>
      <c r="H394" s="8506" t="s">
        <v>138</v>
      </c>
      <c r="I394" s="8507"/>
      <c r="J394" s="8508"/>
      <c r="K394" s="7953" t="s">
        <v>734</v>
      </c>
      <c r="L394" s="8158">
        <v>28</v>
      </c>
      <c r="M394" s="8160">
        <v>30</v>
      </c>
      <c r="N394" s="9279">
        <v>35</v>
      </c>
      <c r="O394" s="9006"/>
      <c r="P394" s="8088"/>
      <c r="Q394" s="7932"/>
      <c r="R394" s="8509"/>
      <c r="AX394" s="7872"/>
    </row>
    <row r="395" spans="1:50" s="7887" customFormat="1" ht="20.100000000000001" hidden="1" customHeight="1">
      <c r="A395" s="7872"/>
      <c r="B395" s="8501"/>
      <c r="C395" s="8157"/>
      <c r="D395" s="8590"/>
      <c r="E395" s="8590" t="s">
        <v>140</v>
      </c>
      <c r="F395" s="7953" t="s">
        <v>742</v>
      </c>
      <c r="G395" s="8505"/>
      <c r="H395" s="8506" t="s">
        <v>141</v>
      </c>
      <c r="I395" s="8507"/>
      <c r="J395" s="8508"/>
      <c r="K395" s="7953" t="s">
        <v>734</v>
      </c>
      <c r="L395" s="8158">
        <v>20</v>
      </c>
      <c r="M395" s="8159">
        <v>23</v>
      </c>
      <c r="N395" s="9249">
        <v>36</v>
      </c>
      <c r="O395" s="9006"/>
      <c r="P395" s="8088"/>
      <c r="Q395" s="7932"/>
      <c r="R395" s="8509"/>
      <c r="AX395" s="7872"/>
    </row>
    <row r="396" spans="1:50" s="7887" customFormat="1" ht="20.100000000000001" hidden="1" customHeight="1">
      <c r="A396" s="7872"/>
      <c r="B396" s="8501"/>
      <c r="C396" s="8157"/>
      <c r="D396" s="8590"/>
      <c r="E396" s="8590" t="s">
        <v>143</v>
      </c>
      <c r="F396" s="7953" t="s">
        <v>742</v>
      </c>
      <c r="G396" s="8505"/>
      <c r="H396" s="8506" t="s">
        <v>144</v>
      </c>
      <c r="I396" s="8507"/>
      <c r="J396" s="8508"/>
      <c r="K396" s="7953" t="s">
        <v>734</v>
      </c>
      <c r="L396" s="8158">
        <v>58</v>
      </c>
      <c r="M396" s="8159">
        <v>58</v>
      </c>
      <c r="N396" s="9249">
        <v>64</v>
      </c>
      <c r="O396" s="9023"/>
      <c r="P396" s="8088"/>
      <c r="Q396" s="7932"/>
      <c r="R396" s="8509"/>
      <c r="AX396" s="7872"/>
    </row>
    <row r="397" spans="1:50" s="7887" customFormat="1" ht="20.100000000000001" hidden="1" customHeight="1">
      <c r="A397" s="7872"/>
      <c r="B397" s="8501"/>
      <c r="C397" s="8157"/>
      <c r="D397" s="8590"/>
      <c r="E397" s="8590" t="s">
        <v>146</v>
      </c>
      <c r="F397" s="7953" t="s">
        <v>742</v>
      </c>
      <c r="G397" s="8505"/>
      <c r="H397" s="8506" t="s">
        <v>147</v>
      </c>
      <c r="I397" s="8507"/>
      <c r="J397" s="8508"/>
      <c r="K397" s="7953" t="s">
        <v>734</v>
      </c>
      <c r="L397" s="8158">
        <v>5</v>
      </c>
      <c r="M397" s="8159">
        <v>3</v>
      </c>
      <c r="N397" s="9249">
        <v>5</v>
      </c>
      <c r="O397" s="9006"/>
      <c r="P397" s="8088"/>
      <c r="Q397" s="7932"/>
      <c r="R397" s="8509"/>
      <c r="AX397" s="7872"/>
    </row>
    <row r="398" spans="1:50" s="7887" customFormat="1" ht="20.100000000000001" hidden="1" customHeight="1">
      <c r="A398" s="7872"/>
      <c r="B398" s="8501"/>
      <c r="C398" s="8157"/>
      <c r="D398" s="8590"/>
      <c r="E398" s="8590" t="s">
        <v>149</v>
      </c>
      <c r="F398" s="7953" t="s">
        <v>742</v>
      </c>
      <c r="G398" s="8505"/>
      <c r="H398" s="8506" t="s">
        <v>150</v>
      </c>
      <c r="I398" s="8507"/>
      <c r="J398" s="8508"/>
      <c r="K398" s="7953" t="s">
        <v>734</v>
      </c>
      <c r="L398" s="8085">
        <v>47</v>
      </c>
      <c r="M398" s="8086">
        <v>37</v>
      </c>
      <c r="N398" s="9232">
        <v>34</v>
      </c>
      <c r="O398" s="9006"/>
      <c r="P398" s="8088"/>
      <c r="Q398" s="7932"/>
      <c r="R398" s="8509"/>
      <c r="AX398" s="7872"/>
    </row>
    <row r="399" spans="1:50" s="7887" customFormat="1" ht="20.100000000000001" customHeight="1">
      <c r="A399" s="7872"/>
      <c r="B399" s="8510"/>
      <c r="C399" s="8504"/>
      <c r="D399" s="8524" t="s">
        <v>1077</v>
      </c>
      <c r="E399" s="8525"/>
      <c r="F399" s="7957" t="s">
        <v>156</v>
      </c>
      <c r="G399" s="8513"/>
      <c r="H399" s="8533"/>
      <c r="I399" s="8524" t="s">
        <v>3705</v>
      </c>
      <c r="J399" s="8525"/>
      <c r="K399" s="7998" t="s">
        <v>154</v>
      </c>
      <c r="L399" s="8035">
        <f>IF(COUNTBLANK(L400:L405)&gt;0,"미취합법인有",AVERAGE(L400:L405))</f>
        <v>8.0952380952380949</v>
      </c>
      <c r="M399" s="8036">
        <f>IF(COUNTBLANK(M400:M405)&gt;0,"미취합법인有",AVERAGE(M400:M405))</f>
        <v>4.7619047619047619</v>
      </c>
      <c r="N399" s="9243">
        <f>IF(COUNTBLANK(N400:N405)&gt;0,"미취합법인有",AVERAGE(N400:N405))</f>
        <v>4.7619047619047619</v>
      </c>
      <c r="O399" s="9027" t="s">
        <v>3690</v>
      </c>
      <c r="P399" s="8015" t="s">
        <v>1930</v>
      </c>
      <c r="Q399" s="7955" t="s">
        <v>807</v>
      </c>
      <c r="R399" s="8509"/>
      <c r="AX399" s="7872"/>
    </row>
    <row r="400" spans="1:50" s="7887" customFormat="1" ht="20.100000000000001" customHeight="1">
      <c r="A400" s="7872"/>
      <c r="B400" s="8510"/>
      <c r="C400" s="7939"/>
      <c r="D400" s="8016" t="s">
        <v>134</v>
      </c>
      <c r="E400" s="8017"/>
      <c r="F400" s="7953" t="s">
        <v>156</v>
      </c>
      <c r="G400" s="8514"/>
      <c r="H400" s="8528"/>
      <c r="I400" s="8506" t="s">
        <v>135</v>
      </c>
      <c r="J400" s="8508"/>
      <c r="K400" s="7934" t="s">
        <v>154</v>
      </c>
      <c r="L400" s="8106">
        <f t="shared" ref="L400:N405" si="11">L68</f>
        <v>20</v>
      </c>
      <c r="M400" s="8109">
        <f t="shared" si="11"/>
        <v>0</v>
      </c>
      <c r="N400" s="9241">
        <f t="shared" si="11"/>
        <v>0</v>
      </c>
      <c r="O400" s="9016"/>
      <c r="P400" s="7932"/>
      <c r="Q400" s="7932"/>
      <c r="R400" s="8509"/>
      <c r="AX400" s="7872"/>
    </row>
    <row r="401" spans="1:50" s="7887" customFormat="1" ht="20.100000000000001" customHeight="1">
      <c r="A401" s="7872"/>
      <c r="B401" s="8510"/>
      <c r="C401" s="7939"/>
      <c r="D401" s="8016" t="s">
        <v>137</v>
      </c>
      <c r="E401" s="8017"/>
      <c r="F401" s="7953" t="s">
        <v>156</v>
      </c>
      <c r="G401" s="8514"/>
      <c r="H401" s="8528"/>
      <c r="I401" s="8506" t="s">
        <v>138</v>
      </c>
      <c r="J401" s="8508"/>
      <c r="K401" s="7934" t="s">
        <v>154</v>
      </c>
      <c r="L401" s="8106">
        <f t="shared" si="11"/>
        <v>0</v>
      </c>
      <c r="M401" s="8109">
        <f t="shared" si="11"/>
        <v>0</v>
      </c>
      <c r="N401" s="9241">
        <f t="shared" si="11"/>
        <v>0</v>
      </c>
      <c r="O401" s="9025"/>
      <c r="P401" s="7932"/>
      <c r="Q401" s="7932"/>
      <c r="R401" s="8509"/>
      <c r="AX401" s="7872"/>
    </row>
    <row r="402" spans="1:50" s="7887" customFormat="1" ht="20.100000000000001" customHeight="1">
      <c r="A402" s="7872"/>
      <c r="B402" s="8510"/>
      <c r="C402" s="7939"/>
      <c r="D402" s="8016" t="s">
        <v>140</v>
      </c>
      <c r="E402" s="8017"/>
      <c r="F402" s="7953" t="s">
        <v>156</v>
      </c>
      <c r="G402" s="8514"/>
      <c r="H402" s="8528"/>
      <c r="I402" s="8515" t="s">
        <v>141</v>
      </c>
      <c r="J402" s="8516"/>
      <c r="K402" s="7934" t="s">
        <v>154</v>
      </c>
      <c r="L402" s="8106">
        <f t="shared" si="11"/>
        <v>0</v>
      </c>
      <c r="M402" s="8109">
        <f t="shared" si="11"/>
        <v>0</v>
      </c>
      <c r="N402" s="9241">
        <f t="shared" si="11"/>
        <v>0</v>
      </c>
      <c r="O402" s="9016"/>
      <c r="P402" s="7932"/>
      <c r="Q402" s="7932"/>
      <c r="R402" s="8509"/>
      <c r="AX402" s="7872"/>
    </row>
    <row r="403" spans="1:50" s="7887" customFormat="1" ht="20.100000000000001" customHeight="1">
      <c r="A403" s="7872"/>
      <c r="B403" s="8510"/>
      <c r="C403" s="7939"/>
      <c r="D403" s="8016" t="s">
        <v>143</v>
      </c>
      <c r="E403" s="8017"/>
      <c r="F403" s="7953" t="s">
        <v>156</v>
      </c>
      <c r="G403" s="8514"/>
      <c r="H403" s="8528"/>
      <c r="I403" s="8515" t="s">
        <v>144</v>
      </c>
      <c r="J403" s="8516"/>
      <c r="K403" s="7934" t="s">
        <v>154</v>
      </c>
      <c r="L403" s="8106">
        <f t="shared" si="11"/>
        <v>0</v>
      </c>
      <c r="M403" s="8109">
        <f t="shared" si="11"/>
        <v>0</v>
      </c>
      <c r="N403" s="9241">
        <f t="shared" si="11"/>
        <v>0</v>
      </c>
      <c r="O403" s="9016"/>
      <c r="P403" s="7932"/>
      <c r="Q403" s="7932"/>
      <c r="R403" s="8509"/>
      <c r="AX403" s="7872"/>
    </row>
    <row r="404" spans="1:50" s="7887" customFormat="1" ht="20.100000000000001" customHeight="1">
      <c r="A404" s="7872"/>
      <c r="B404" s="8510"/>
      <c r="C404" s="7939"/>
      <c r="D404" s="8016" t="s">
        <v>146</v>
      </c>
      <c r="E404" s="8017"/>
      <c r="F404" s="7953" t="s">
        <v>156</v>
      </c>
      <c r="G404" s="8514"/>
      <c r="H404" s="8528"/>
      <c r="I404" s="8515" t="s">
        <v>147</v>
      </c>
      <c r="J404" s="8516"/>
      <c r="K404" s="7934" t="s">
        <v>154</v>
      </c>
      <c r="L404" s="8106">
        <f t="shared" si="11"/>
        <v>28.571428571428569</v>
      </c>
      <c r="M404" s="8109">
        <f t="shared" si="11"/>
        <v>28.571428571428569</v>
      </c>
      <c r="N404" s="9258">
        <f t="shared" si="11"/>
        <v>28.571428571428569</v>
      </c>
      <c r="O404" s="9026"/>
      <c r="P404" s="7932"/>
      <c r="Q404" s="7932"/>
      <c r="R404" s="8509"/>
      <c r="AX404" s="7872"/>
    </row>
    <row r="405" spans="1:50" s="7887" customFormat="1" ht="20.100000000000001" customHeight="1">
      <c r="A405" s="7872"/>
      <c r="B405" s="8510"/>
      <c r="C405" s="7939"/>
      <c r="D405" s="8016" t="s">
        <v>149</v>
      </c>
      <c r="E405" s="8017"/>
      <c r="F405" s="7953" t="s">
        <v>156</v>
      </c>
      <c r="G405" s="8514"/>
      <c r="H405" s="8528"/>
      <c r="I405" s="8515" t="s">
        <v>150</v>
      </c>
      <c r="J405" s="8516"/>
      <c r="K405" s="7934" t="s">
        <v>154</v>
      </c>
      <c r="L405" s="8133">
        <f t="shared" si="11"/>
        <v>0</v>
      </c>
      <c r="M405" s="8109">
        <f t="shared" si="11"/>
        <v>0</v>
      </c>
      <c r="N405" s="9242">
        <f t="shared" si="11"/>
        <v>0</v>
      </c>
      <c r="O405" s="9016"/>
      <c r="P405" s="7932"/>
      <c r="Q405" s="7932"/>
      <c r="R405" s="8509"/>
      <c r="AX405" s="7872"/>
    </row>
    <row r="406" spans="1:50" s="7887" customFormat="1" ht="20.100000000000001" customHeight="1">
      <c r="A406" s="7872"/>
      <c r="B406" s="8510"/>
      <c r="C406" s="7939"/>
      <c r="D406" s="8524" t="s">
        <v>1097</v>
      </c>
      <c r="E406" s="8525"/>
      <c r="F406" s="7957" t="s">
        <v>154</v>
      </c>
      <c r="G406" s="8513"/>
      <c r="H406" s="8513"/>
      <c r="I406" s="8825" t="s">
        <v>3706</v>
      </c>
      <c r="J406" s="8525"/>
      <c r="K406" s="7957" t="s">
        <v>154</v>
      </c>
      <c r="L406" s="8035">
        <f>IF(COUNTBLANK(L407:L412)&gt;0,"미취합법인有",AVERAGE(L407:L412))</f>
        <v>3.924133420536299</v>
      </c>
      <c r="M406" s="8036">
        <f>IF(COUNTBLANK(M407:M412)&gt;0,"미취합법인有",AVERAGE(M407:M412))</f>
        <v>4.2914979757085021</v>
      </c>
      <c r="N406" s="9243">
        <f>IF(COUNTBLANK(N407:N412)&gt;0,"미취합법인有",AVERAGE(N407:N412))</f>
        <v>4.76</v>
      </c>
      <c r="O406" s="9027" t="s">
        <v>3689</v>
      </c>
      <c r="P406" s="7932" t="s">
        <v>1101</v>
      </c>
      <c r="Q406" s="7955"/>
      <c r="R406" s="8509"/>
      <c r="AX406" s="7872"/>
    </row>
    <row r="407" spans="1:50" s="7887" customFormat="1" ht="20.100000000000001" customHeight="1">
      <c r="A407" s="7872"/>
      <c r="B407" s="8510"/>
      <c r="C407" s="7939"/>
      <c r="D407" s="8016" t="s">
        <v>134</v>
      </c>
      <c r="E407" s="8017"/>
      <c r="F407" s="7953" t="s">
        <v>156</v>
      </c>
      <c r="G407" s="8514"/>
      <c r="H407" s="8514"/>
      <c r="I407" s="8506" t="s">
        <v>135</v>
      </c>
      <c r="J407" s="8508"/>
      <c r="K407" s="7941" t="s">
        <v>154</v>
      </c>
      <c r="L407" s="8106">
        <v>18.181818181818183</v>
      </c>
      <c r="M407" s="8109">
        <v>17.948717948717949</v>
      </c>
      <c r="N407" s="9258">
        <v>20</v>
      </c>
      <c r="O407" s="9019" t="s">
        <v>3661</v>
      </c>
      <c r="P407" s="7932"/>
      <c r="Q407" s="7932"/>
      <c r="R407" s="8509"/>
      <c r="AX407" s="7872"/>
    </row>
    <row r="408" spans="1:50" s="7887" customFormat="1" ht="30">
      <c r="A408" s="7872"/>
      <c r="B408" s="8510"/>
      <c r="C408" s="7939"/>
      <c r="D408" s="8016" t="s">
        <v>137</v>
      </c>
      <c r="E408" s="8017"/>
      <c r="F408" s="7953" t="s">
        <v>156</v>
      </c>
      <c r="G408" s="8514"/>
      <c r="H408" s="8514"/>
      <c r="I408" s="8506" t="s">
        <v>138</v>
      </c>
      <c r="J408" s="8508"/>
      <c r="K408" s="7941" t="s">
        <v>154</v>
      </c>
      <c r="L408" s="7942">
        <v>0</v>
      </c>
      <c r="M408" s="8018">
        <v>0</v>
      </c>
      <c r="N408" s="9261">
        <v>0</v>
      </c>
      <c r="O408" s="9019" t="s">
        <v>3662</v>
      </c>
      <c r="P408" s="7932"/>
      <c r="Q408" s="7932"/>
      <c r="R408" s="8509"/>
      <c r="AX408" s="7872"/>
    </row>
    <row r="409" spans="1:50" s="7887" customFormat="1" ht="20.100000000000001" customHeight="1">
      <c r="A409" s="7872"/>
      <c r="B409" s="8510"/>
      <c r="C409" s="7939"/>
      <c r="D409" s="8016" t="s">
        <v>140</v>
      </c>
      <c r="E409" s="8017"/>
      <c r="F409" s="7953" t="s">
        <v>156</v>
      </c>
      <c r="G409" s="8514"/>
      <c r="H409" s="8514"/>
      <c r="I409" s="8515" t="s">
        <v>141</v>
      </c>
      <c r="J409" s="8516"/>
      <c r="K409" s="7941" t="s">
        <v>154</v>
      </c>
      <c r="L409" s="8106">
        <v>1.4388489208633095</v>
      </c>
      <c r="M409" s="8109">
        <v>3.5087719298245612</v>
      </c>
      <c r="N409" s="9258">
        <v>3.8</v>
      </c>
      <c r="O409" s="9019" t="s">
        <v>3663</v>
      </c>
      <c r="P409" s="7932"/>
      <c r="Q409" s="7932"/>
      <c r="R409" s="8509"/>
      <c r="AX409" s="7872"/>
    </row>
    <row r="410" spans="1:50" s="7887" customFormat="1" ht="20.100000000000001" customHeight="1">
      <c r="A410" s="7872"/>
      <c r="B410" s="8510"/>
      <c r="C410" s="8504"/>
      <c r="D410" s="8016" t="s">
        <v>143</v>
      </c>
      <c r="E410" s="8017"/>
      <c r="F410" s="7953" t="s">
        <v>156</v>
      </c>
      <c r="G410" s="8514"/>
      <c r="H410" s="8514"/>
      <c r="I410" s="8515" t="s">
        <v>144</v>
      </c>
      <c r="J410" s="8516"/>
      <c r="K410" s="7941" t="s">
        <v>154</v>
      </c>
      <c r="L410" s="8106">
        <v>0</v>
      </c>
      <c r="M410" s="8109">
        <v>0</v>
      </c>
      <c r="N410" s="9242">
        <v>0</v>
      </c>
      <c r="O410" s="9019" t="s">
        <v>3664</v>
      </c>
      <c r="P410" s="7932"/>
      <c r="Q410" s="7932"/>
      <c r="R410" s="8509"/>
      <c r="AX410" s="7872"/>
    </row>
    <row r="411" spans="1:50" s="7887" customFormat="1" ht="20.100000000000001" customHeight="1">
      <c r="A411" s="7872"/>
      <c r="B411" s="8510"/>
      <c r="C411" s="7939"/>
      <c r="D411" s="8016" t="s">
        <v>146</v>
      </c>
      <c r="E411" s="8017"/>
      <c r="F411" s="7953" t="s">
        <v>156</v>
      </c>
      <c r="G411" s="8592"/>
      <c r="H411" s="8514"/>
      <c r="I411" s="8515" t="s">
        <v>147</v>
      </c>
      <c r="J411" s="8516"/>
      <c r="K411" s="7941" t="s">
        <v>154</v>
      </c>
      <c r="L411" s="8133" t="s">
        <v>168</v>
      </c>
      <c r="M411" s="8109" t="s">
        <v>168</v>
      </c>
      <c r="N411" s="9242" t="s">
        <v>168</v>
      </c>
      <c r="O411" s="9019" t="s">
        <v>3553</v>
      </c>
      <c r="P411" s="7932"/>
      <c r="Q411" s="7932"/>
      <c r="R411" s="8509"/>
      <c r="AX411" s="7872"/>
    </row>
    <row r="412" spans="1:50" s="7887" customFormat="1" ht="20.100000000000001" customHeight="1">
      <c r="A412" s="7872"/>
      <c r="B412" s="8510"/>
      <c r="C412" s="7939"/>
      <c r="D412" s="8016" t="s">
        <v>149</v>
      </c>
      <c r="E412" s="8017"/>
      <c r="F412" s="7953" t="s">
        <v>156</v>
      </c>
      <c r="G412" s="8514"/>
      <c r="H412" s="8592"/>
      <c r="I412" s="8515" t="s">
        <v>150</v>
      </c>
      <c r="J412" s="8516"/>
      <c r="K412" s="7941" t="s">
        <v>154</v>
      </c>
      <c r="L412" s="8133">
        <v>0</v>
      </c>
      <c r="M412" s="8109">
        <v>0</v>
      </c>
      <c r="N412" s="9242">
        <v>0</v>
      </c>
      <c r="O412" s="9019"/>
      <c r="P412" s="7932"/>
      <c r="Q412" s="7932"/>
      <c r="R412" s="8509"/>
      <c r="AX412" s="7872"/>
    </row>
    <row r="413" spans="1:50" s="7887" customFormat="1" ht="19.350000000000001" customHeight="1">
      <c r="A413" s="7872"/>
      <c r="B413" s="8510"/>
      <c r="C413" s="7939"/>
      <c r="D413" s="8524" t="s">
        <v>1103</v>
      </c>
      <c r="E413" s="8525"/>
      <c r="F413" s="7957" t="s">
        <v>154</v>
      </c>
      <c r="G413" s="8513"/>
      <c r="H413" s="8513"/>
      <c r="I413" s="8524" t="s">
        <v>1104</v>
      </c>
      <c r="J413" s="8525"/>
      <c r="K413" s="7957" t="s">
        <v>154</v>
      </c>
      <c r="L413" s="8035">
        <f>IF(COUNTBLANK(L414:L419)&gt;0,"미취합법인有",AVERAGE(L414:L419))</f>
        <v>81.766054286008668</v>
      </c>
      <c r="M413" s="8036">
        <f>IF(COUNTBLANK(M414:M419)&gt;0,"미취합법인有",AVERAGE(M414:M419))</f>
        <v>70.465898837173413</v>
      </c>
      <c r="N413" s="9243">
        <f>IF(COUNTBLANK(N414:N419)&gt;0,"미취합법인有",AVERAGE(N414:N419))</f>
        <v>68.505878649471967</v>
      </c>
      <c r="O413" s="9028"/>
      <c r="P413" s="7932" t="s">
        <v>1107</v>
      </c>
      <c r="Q413" s="7955" t="s">
        <v>1108</v>
      </c>
      <c r="R413" s="8509"/>
      <c r="AX413" s="7872"/>
    </row>
    <row r="414" spans="1:50" s="7887" customFormat="1" ht="20.100000000000001" customHeight="1">
      <c r="A414" s="7872"/>
      <c r="B414" s="8510"/>
      <c r="C414" s="7939"/>
      <c r="D414" s="8016" t="s">
        <v>134</v>
      </c>
      <c r="F414" s="7953" t="s">
        <v>156</v>
      </c>
      <c r="G414" s="8514"/>
      <c r="H414" s="8514"/>
      <c r="I414" s="8506" t="s">
        <v>135</v>
      </c>
      <c r="J414" s="8508"/>
      <c r="K414" s="7941" t="s">
        <v>154</v>
      </c>
      <c r="L414" s="8106">
        <v>87.231196663517778</v>
      </c>
      <c r="M414" s="8109">
        <v>80.672398847835211</v>
      </c>
      <c r="N414" s="9261">
        <v>82.45</v>
      </c>
      <c r="O414" s="9016"/>
      <c r="P414" s="7932"/>
      <c r="Q414" s="7932"/>
      <c r="R414" s="8509"/>
      <c r="AX414" s="7872"/>
    </row>
    <row r="415" spans="1:50" s="7887" customFormat="1" ht="20.100000000000001" customHeight="1">
      <c r="A415" s="7872"/>
      <c r="B415" s="8510"/>
      <c r="C415" s="7939"/>
      <c r="D415" s="8016" t="s">
        <v>137</v>
      </c>
      <c r="E415" s="8017"/>
      <c r="F415" s="7953" t="s">
        <v>156</v>
      </c>
      <c r="G415" s="8514"/>
      <c r="H415" s="8514"/>
      <c r="I415" s="8506" t="s">
        <v>138</v>
      </c>
      <c r="J415" s="8508"/>
      <c r="K415" s="7941" t="s">
        <v>154</v>
      </c>
      <c r="L415" s="7942">
        <v>72.7</v>
      </c>
      <c r="M415" s="8018">
        <v>73.524451939291737</v>
      </c>
      <c r="N415" s="9266">
        <v>74.7</v>
      </c>
      <c r="O415" s="9016"/>
      <c r="P415" s="7932"/>
      <c r="Q415" s="7932"/>
      <c r="R415" s="8509"/>
      <c r="AX415" s="7872"/>
    </row>
    <row r="416" spans="1:50" s="7887" customFormat="1" ht="20.100000000000001" customHeight="1">
      <c r="A416" s="7872"/>
      <c r="B416" s="8510"/>
      <c r="C416" s="7939"/>
      <c r="D416" s="8016" t="s">
        <v>140</v>
      </c>
      <c r="E416" s="8017"/>
      <c r="F416" s="7953" t="s">
        <v>156</v>
      </c>
      <c r="G416" s="8514"/>
      <c r="H416" s="8514"/>
      <c r="I416" s="8515" t="s">
        <v>141</v>
      </c>
      <c r="J416" s="8516"/>
      <c r="K416" s="7941" t="s">
        <v>154</v>
      </c>
      <c r="L416" s="8106">
        <v>85.882637262472798</v>
      </c>
      <c r="M416" s="8109">
        <v>82.247056388175423</v>
      </c>
      <c r="N416" s="9258">
        <v>65.771717918957194</v>
      </c>
      <c r="O416" s="9016"/>
      <c r="P416" s="7932"/>
      <c r="Q416" s="7932"/>
      <c r="R416" s="8509"/>
      <c r="AX416" s="7872"/>
    </row>
    <row r="417" spans="1:50" s="7887" customFormat="1" ht="20.100000000000001" customHeight="1">
      <c r="A417" s="7872"/>
      <c r="B417" s="8510"/>
      <c r="C417" s="8504"/>
      <c r="D417" s="8016" t="s">
        <v>143</v>
      </c>
      <c r="E417" s="8017"/>
      <c r="F417" s="7953" t="s">
        <v>156</v>
      </c>
      <c r="G417" s="8514"/>
      <c r="H417" s="8514"/>
      <c r="I417" s="8515" t="s">
        <v>144</v>
      </c>
      <c r="J417" s="8516"/>
      <c r="K417" s="7941" t="s">
        <v>154</v>
      </c>
      <c r="L417" s="8106">
        <f>0.441818995996507*100</f>
        <v>44.181899599650698</v>
      </c>
      <c r="M417" s="8109">
        <f>0.447982366624738*100</f>
        <v>44.798236662473798</v>
      </c>
      <c r="N417" s="9258">
        <f>0.461035539778746*100</f>
        <v>46.103553977874597</v>
      </c>
      <c r="O417" s="9016"/>
      <c r="P417" s="7932"/>
      <c r="Q417" s="7932"/>
      <c r="R417" s="8509"/>
      <c r="AX417" s="7872"/>
    </row>
    <row r="418" spans="1:50" s="7887" customFormat="1" ht="20.100000000000001" customHeight="1">
      <c r="A418" s="7872"/>
      <c r="B418" s="8510"/>
      <c r="C418" s="7939"/>
      <c r="D418" s="8016" t="s">
        <v>146</v>
      </c>
      <c r="E418" s="8017"/>
      <c r="F418" s="7953" t="s">
        <v>156</v>
      </c>
      <c r="G418" s="8514"/>
      <c r="H418" s="8514"/>
      <c r="I418" s="8515" t="s">
        <v>147</v>
      </c>
      <c r="J418" s="8516"/>
      <c r="K418" s="7941" t="s">
        <v>154</v>
      </c>
      <c r="L418" s="8106">
        <v>156.08059219041078</v>
      </c>
      <c r="M418" s="8109">
        <v>104.04324918526433</v>
      </c>
      <c r="N418" s="9242">
        <v>101</v>
      </c>
      <c r="O418" s="9016"/>
      <c r="P418" s="7932"/>
      <c r="Q418" s="7932"/>
      <c r="R418" s="8509"/>
      <c r="AX418" s="7872"/>
    </row>
    <row r="419" spans="1:50" s="7887" customFormat="1" ht="20.100000000000001" customHeight="1">
      <c r="A419" s="7872"/>
      <c r="B419" s="8510"/>
      <c r="C419" s="7939"/>
      <c r="D419" s="8016" t="s">
        <v>149</v>
      </c>
      <c r="E419" s="8017"/>
      <c r="F419" s="7953" t="s">
        <v>156</v>
      </c>
      <c r="G419" s="8554"/>
      <c r="H419" s="8554"/>
      <c r="I419" s="8515" t="s">
        <v>150</v>
      </c>
      <c r="J419" s="8516"/>
      <c r="K419" s="7941" t="s">
        <v>154</v>
      </c>
      <c r="L419" s="8133">
        <v>44.52</v>
      </c>
      <c r="M419" s="8109">
        <v>37.51</v>
      </c>
      <c r="N419" s="9242">
        <v>41.01</v>
      </c>
      <c r="O419" s="9019"/>
      <c r="P419" s="7932"/>
      <c r="Q419" s="7932"/>
      <c r="R419" s="8509"/>
      <c r="AX419" s="7872"/>
    </row>
    <row r="420" spans="1:50" s="7887" customFormat="1" ht="19.350000000000001" customHeight="1">
      <c r="A420" s="7872"/>
      <c r="B420" s="8510"/>
      <c r="C420" s="8820" t="s">
        <v>3617</v>
      </c>
      <c r="D420" s="8593"/>
      <c r="E420" s="8593"/>
      <c r="F420" s="8594"/>
      <c r="G420" s="8594"/>
      <c r="H420" s="8595" t="s">
        <v>1169</v>
      </c>
      <c r="I420" s="8593"/>
      <c r="J420" s="8596"/>
      <c r="K420" s="8595"/>
      <c r="L420" s="8597"/>
      <c r="M420" s="8598"/>
      <c r="N420" s="9280"/>
      <c r="O420" s="9021"/>
      <c r="P420" s="7932"/>
      <c r="Q420" s="7955"/>
      <c r="R420" s="8509"/>
      <c r="AX420" s="7872"/>
    </row>
    <row r="421" spans="1:50" s="7887" customFormat="1" ht="19.350000000000001" customHeight="1">
      <c r="A421" s="7872"/>
      <c r="B421" s="8510"/>
      <c r="C421" s="8564"/>
      <c r="D421" s="8524" t="s">
        <v>1170</v>
      </c>
      <c r="E421" s="8525"/>
      <c r="F421" s="7957" t="s">
        <v>742</v>
      </c>
      <c r="G421" s="8513"/>
      <c r="H421" s="8513"/>
      <c r="I421" s="8825" t="s">
        <v>3707</v>
      </c>
      <c r="J421" s="8525"/>
      <c r="K421" s="7957" t="s">
        <v>734</v>
      </c>
      <c r="L421" s="8012">
        <f>IF(COUNTBLANK(L422:L427)&gt;0,"미취합법인有",SUM(L422:L427))</f>
        <v>64</v>
      </c>
      <c r="M421" s="8013">
        <f>IF(COUNTBLANK(M422:M427)&gt;0,"미취합법인有",SUM(M422:M427))</f>
        <v>64</v>
      </c>
      <c r="N421" s="9247">
        <f>IF(COUNTBLANK(N422:N427)&gt;0,"미취합법인有",SUM(N422:N427))</f>
        <v>52</v>
      </c>
      <c r="O421" s="9002"/>
      <c r="P421" s="7932" t="s">
        <v>1174</v>
      </c>
      <c r="Q421" s="7955"/>
      <c r="R421" s="8509"/>
      <c r="AX421" s="7872"/>
    </row>
    <row r="422" spans="1:50" s="7887" customFormat="1" ht="20.100000000000001" customHeight="1">
      <c r="A422" s="7872"/>
      <c r="B422" s="8510"/>
      <c r="C422" s="7939"/>
      <c r="D422" s="8016" t="s">
        <v>134</v>
      </c>
      <c r="E422" s="8017"/>
      <c r="F422" s="7953" t="s">
        <v>742</v>
      </c>
      <c r="G422" s="8514"/>
      <c r="H422" s="8514"/>
      <c r="I422" s="8506" t="s">
        <v>135</v>
      </c>
      <c r="J422" s="8508"/>
      <c r="K422" s="7941" t="s">
        <v>734</v>
      </c>
      <c r="L422" s="8140">
        <v>39</v>
      </c>
      <c r="M422" s="8219">
        <v>40</v>
      </c>
      <c r="N422" s="9267">
        <v>31</v>
      </c>
      <c r="O422" s="9029" t="s">
        <v>3575</v>
      </c>
      <c r="P422" s="7932"/>
      <c r="Q422" s="7932"/>
      <c r="R422" s="8509"/>
      <c r="AX422" s="7872"/>
    </row>
    <row r="423" spans="1:50" s="7887" customFormat="1" ht="20.100000000000001" customHeight="1">
      <c r="A423" s="7872"/>
      <c r="B423" s="8510"/>
      <c r="C423" s="7939"/>
      <c r="D423" s="8016" t="s">
        <v>137</v>
      </c>
      <c r="E423" s="8017"/>
      <c r="F423" s="7953" t="s">
        <v>742</v>
      </c>
      <c r="G423" s="8514"/>
      <c r="H423" s="8514"/>
      <c r="I423" s="8506" t="s">
        <v>138</v>
      </c>
      <c r="J423" s="8508"/>
      <c r="K423" s="7941" t="s">
        <v>734</v>
      </c>
      <c r="L423" s="7935">
        <v>1</v>
      </c>
      <c r="M423" s="7936">
        <v>3</v>
      </c>
      <c r="N423" s="9253">
        <f>'4DPLEX'!AA286</f>
        <v>3</v>
      </c>
      <c r="O423" s="9029" t="s">
        <v>3576</v>
      </c>
      <c r="P423" s="7932"/>
      <c r="Q423" s="7932"/>
      <c r="R423" s="8509"/>
      <c r="AX423" s="7872"/>
    </row>
    <row r="424" spans="1:50" s="7887" customFormat="1" ht="20.100000000000001" customHeight="1">
      <c r="A424" s="7872"/>
      <c r="B424" s="8510"/>
      <c r="C424" s="7939"/>
      <c r="D424" s="8016" t="s">
        <v>140</v>
      </c>
      <c r="E424" s="8017"/>
      <c r="F424" s="7953" t="s">
        <v>742</v>
      </c>
      <c r="G424" s="8514"/>
      <c r="H424" s="8514"/>
      <c r="I424" s="8515" t="s">
        <v>141</v>
      </c>
      <c r="J424" s="8516"/>
      <c r="K424" s="7941" t="s">
        <v>734</v>
      </c>
      <c r="L424" s="8140">
        <f>China!AO312</f>
        <v>2</v>
      </c>
      <c r="M424" s="8219">
        <f>China!AQ312</f>
        <v>2</v>
      </c>
      <c r="N424" s="9281">
        <f>China!AS312</f>
        <v>2</v>
      </c>
      <c r="O424" s="9029" t="s">
        <v>3576</v>
      </c>
      <c r="P424" s="7932"/>
      <c r="Q424" s="7932"/>
      <c r="R424" s="8509"/>
      <c r="AX424" s="7872"/>
    </row>
    <row r="425" spans="1:50" s="7887" customFormat="1" ht="20.100000000000001" customHeight="1">
      <c r="A425" s="7872"/>
      <c r="B425" s="8510"/>
      <c r="C425" s="8504"/>
      <c r="D425" s="8016" t="s">
        <v>143</v>
      </c>
      <c r="E425" s="8017"/>
      <c r="F425" s="7953" t="s">
        <v>742</v>
      </c>
      <c r="G425" s="8514"/>
      <c r="H425" s="8514"/>
      <c r="I425" s="8515" t="s">
        <v>144</v>
      </c>
      <c r="J425" s="8516"/>
      <c r="K425" s="7941" t="s">
        <v>734</v>
      </c>
      <c r="L425" s="8140">
        <f>Vietnam!Q312</f>
        <v>0</v>
      </c>
      <c r="M425" s="8219">
        <f>Vietnam!S312</f>
        <v>0</v>
      </c>
      <c r="N425" s="9267">
        <f>Vietnam!U312</f>
        <v>0</v>
      </c>
      <c r="O425" s="9029" t="s">
        <v>3575</v>
      </c>
      <c r="P425" s="7932"/>
      <c r="Q425" s="7932"/>
      <c r="R425" s="8509"/>
      <c r="AX425" s="7872"/>
    </row>
    <row r="426" spans="1:50" s="7887" customFormat="1" ht="20.100000000000001" customHeight="1">
      <c r="A426" s="7872"/>
      <c r="B426" s="8510"/>
      <c r="C426" s="7939"/>
      <c r="D426" s="8016" t="s">
        <v>146</v>
      </c>
      <c r="E426" s="8017"/>
      <c r="F426" s="7953" t="s">
        <v>742</v>
      </c>
      <c r="G426" s="8514"/>
      <c r="H426" s="8514"/>
      <c r="I426" s="8515" t="s">
        <v>147</v>
      </c>
      <c r="J426" s="8516"/>
      <c r="K426" s="7941" t="s">
        <v>734</v>
      </c>
      <c r="L426" s="8140">
        <v>0</v>
      </c>
      <c r="M426" s="8219">
        <v>0</v>
      </c>
      <c r="N426" s="9267">
        <v>0</v>
      </c>
      <c r="O426" s="9029" t="s">
        <v>3576</v>
      </c>
      <c r="P426" s="7932"/>
      <c r="Q426" s="7932"/>
      <c r="R426" s="8509"/>
      <c r="AX426" s="7872"/>
    </row>
    <row r="427" spans="1:50" s="7887" customFormat="1" ht="20.100000000000001" customHeight="1">
      <c r="A427" s="7872"/>
      <c r="B427" s="8510"/>
      <c r="C427" s="7939"/>
      <c r="D427" s="8016" t="s">
        <v>149</v>
      </c>
      <c r="E427" s="8017"/>
      <c r="F427" s="7953" t="s">
        <v>742</v>
      </c>
      <c r="G427" s="8514"/>
      <c r="H427" s="8514"/>
      <c r="I427" s="8515" t="s">
        <v>150</v>
      </c>
      <c r="J427" s="8516"/>
      <c r="K427" s="7941" t="s">
        <v>734</v>
      </c>
      <c r="L427" s="8140">
        <v>22</v>
      </c>
      <c r="M427" s="8219">
        <v>19</v>
      </c>
      <c r="N427" s="9269">
        <v>16</v>
      </c>
      <c r="O427" s="9029" t="s">
        <v>3575</v>
      </c>
      <c r="P427" s="7932"/>
      <c r="Q427" s="7932"/>
      <c r="R427" s="8509"/>
      <c r="AX427" s="7872"/>
    </row>
    <row r="428" spans="1:50" s="7887" customFormat="1" ht="19.350000000000001" customHeight="1">
      <c r="A428" s="7872"/>
      <c r="B428" s="8510"/>
      <c r="C428" s="8139"/>
      <c r="D428" s="8524" t="s">
        <v>1180</v>
      </c>
      <c r="E428" s="8525"/>
      <c r="F428" s="7957" t="s">
        <v>742</v>
      </c>
      <c r="G428" s="8513"/>
      <c r="H428" s="8513"/>
      <c r="I428" s="8524" t="s">
        <v>1181</v>
      </c>
      <c r="J428" s="8525"/>
      <c r="K428" s="7957" t="s">
        <v>734</v>
      </c>
      <c r="L428" s="8012">
        <f>IF(COUNTBLANK(L429:L434)&gt;0,"미취합법인有",SUM(L429:L434))</f>
        <v>28</v>
      </c>
      <c r="M428" s="8013">
        <f>IF(COUNTBLANK(M429:M434)&gt;0,"미취합법인有",SUM(M429:M434))</f>
        <v>23</v>
      </c>
      <c r="N428" s="9247">
        <f>IF(COUNTBLANK(N429:N434)&gt;0,"미취합법인有",SUM(N429:N434))</f>
        <v>22</v>
      </c>
      <c r="O428" s="9030" t="s">
        <v>3665</v>
      </c>
      <c r="P428" s="7932" t="s">
        <v>1182</v>
      </c>
      <c r="Q428" s="7955"/>
      <c r="R428" s="8509"/>
      <c r="AX428" s="7872"/>
    </row>
    <row r="429" spans="1:50" s="7887" customFormat="1" ht="20.100000000000001" customHeight="1">
      <c r="A429" s="7872"/>
      <c r="B429" s="8510"/>
      <c r="C429" s="7939"/>
      <c r="D429" s="8016" t="s">
        <v>134</v>
      </c>
      <c r="E429" s="8017"/>
      <c r="F429" s="7953" t="s">
        <v>742</v>
      </c>
      <c r="G429" s="8514"/>
      <c r="H429" s="8514"/>
      <c r="I429" s="8506" t="s">
        <v>135</v>
      </c>
      <c r="J429" s="8508"/>
      <c r="K429" s="7941" t="s">
        <v>734</v>
      </c>
      <c r="L429" s="8140">
        <v>28</v>
      </c>
      <c r="M429" s="8219">
        <v>23</v>
      </c>
      <c r="N429" s="9267">
        <v>22</v>
      </c>
      <c r="O429" s="9140"/>
      <c r="P429" s="7932"/>
      <c r="Q429" s="7932"/>
      <c r="R429" s="8509"/>
      <c r="AX429" s="7872"/>
    </row>
    <row r="430" spans="1:50" s="7887" customFormat="1" ht="20.100000000000001" hidden="1" customHeight="1">
      <c r="A430" s="7872"/>
      <c r="B430" s="8510"/>
      <c r="C430" s="7939"/>
      <c r="D430" s="8016" t="s">
        <v>137</v>
      </c>
      <c r="E430" s="8017"/>
      <c r="F430" s="7953" t="s">
        <v>742</v>
      </c>
      <c r="G430" s="8514"/>
      <c r="H430" s="8514"/>
      <c r="I430" s="8506" t="s">
        <v>138</v>
      </c>
      <c r="J430" s="8508"/>
      <c r="K430" s="7941" t="s">
        <v>734</v>
      </c>
      <c r="L430" s="7935">
        <f>'4DPLEX'!W287</f>
        <v>0</v>
      </c>
      <c r="M430" s="7936">
        <f>'4DPLEX'!Y287</f>
        <v>0</v>
      </c>
      <c r="N430" s="9253">
        <f>'4DPLEX'!AA287</f>
        <v>0</v>
      </c>
      <c r="O430" s="9141"/>
      <c r="P430" s="7932"/>
      <c r="Q430" s="7932"/>
      <c r="R430" s="8509"/>
      <c r="AX430" s="7872"/>
    </row>
    <row r="431" spans="1:50" s="7887" customFormat="1" ht="20.100000000000001" hidden="1" customHeight="1">
      <c r="A431" s="7872"/>
      <c r="B431" s="8510"/>
      <c r="C431" s="7939"/>
      <c r="D431" s="8016" t="s">
        <v>140</v>
      </c>
      <c r="E431" s="8017"/>
      <c r="F431" s="7953" t="s">
        <v>742</v>
      </c>
      <c r="G431" s="8514"/>
      <c r="H431" s="8514"/>
      <c r="I431" s="8515" t="s">
        <v>141</v>
      </c>
      <c r="J431" s="8516"/>
      <c r="K431" s="7941" t="s">
        <v>734</v>
      </c>
      <c r="L431" s="8140">
        <f>China!AO313</f>
        <v>0</v>
      </c>
      <c r="M431" s="8219">
        <f>China!AQ313</f>
        <v>0</v>
      </c>
      <c r="N431" s="9267">
        <f>China!AS313</f>
        <v>0</v>
      </c>
      <c r="O431" s="9029" t="s">
        <v>3527</v>
      </c>
      <c r="P431" s="7932"/>
      <c r="Q431" s="7932"/>
      <c r="R431" s="8509"/>
      <c r="AX431" s="7872"/>
    </row>
    <row r="432" spans="1:50" s="7887" customFormat="1" ht="20.100000000000001" hidden="1" customHeight="1">
      <c r="A432" s="7872"/>
      <c r="B432" s="8510"/>
      <c r="C432" s="8504"/>
      <c r="D432" s="8016" t="s">
        <v>143</v>
      </c>
      <c r="E432" s="8017"/>
      <c r="F432" s="7953" t="s">
        <v>742</v>
      </c>
      <c r="G432" s="8514"/>
      <c r="H432" s="8514"/>
      <c r="I432" s="8515" t="s">
        <v>144</v>
      </c>
      <c r="J432" s="8516"/>
      <c r="K432" s="7941" t="s">
        <v>734</v>
      </c>
      <c r="L432" s="8140">
        <f>Vietnam!Q313</f>
        <v>0</v>
      </c>
      <c r="M432" s="8219">
        <f>Vietnam!S313</f>
        <v>0</v>
      </c>
      <c r="N432" s="9267">
        <f>Vietnam!U313</f>
        <v>0</v>
      </c>
      <c r="O432" s="9141"/>
      <c r="P432" s="7932"/>
      <c r="Q432" s="7932"/>
      <c r="R432" s="8509"/>
      <c r="AX432" s="7872"/>
    </row>
    <row r="433" spans="1:50" s="7887" customFormat="1" ht="20.100000000000001" hidden="1" customHeight="1">
      <c r="A433" s="7872"/>
      <c r="B433" s="8510"/>
      <c r="C433" s="7939"/>
      <c r="D433" s="8016" t="s">
        <v>146</v>
      </c>
      <c r="E433" s="8017"/>
      <c r="F433" s="7953" t="s">
        <v>742</v>
      </c>
      <c r="G433" s="8514"/>
      <c r="H433" s="8514"/>
      <c r="I433" s="8515" t="s">
        <v>147</v>
      </c>
      <c r="J433" s="8516"/>
      <c r="K433" s="7941" t="s">
        <v>734</v>
      </c>
      <c r="L433" s="8140">
        <v>0</v>
      </c>
      <c r="M433" s="8219">
        <v>0</v>
      </c>
      <c r="N433" s="9267">
        <v>0</v>
      </c>
      <c r="O433" s="9141"/>
      <c r="P433" s="7932"/>
      <c r="Q433" s="7932"/>
      <c r="R433" s="8509"/>
      <c r="AX433" s="7872"/>
    </row>
    <row r="434" spans="1:50" s="7887" customFormat="1" ht="20.100000000000001" hidden="1" customHeight="1">
      <c r="A434" s="7872"/>
      <c r="B434" s="8510"/>
      <c r="C434" s="7939"/>
      <c r="D434" s="8016" t="s">
        <v>149</v>
      </c>
      <c r="E434" s="8017"/>
      <c r="F434" s="7953" t="s">
        <v>742</v>
      </c>
      <c r="G434" s="8514"/>
      <c r="H434" s="8514"/>
      <c r="I434" s="8515" t="s">
        <v>150</v>
      </c>
      <c r="J434" s="8516"/>
      <c r="K434" s="7941" t="s">
        <v>734</v>
      </c>
      <c r="L434" s="8133" t="s">
        <v>168</v>
      </c>
      <c r="M434" s="8109" t="s">
        <v>168</v>
      </c>
      <c r="N434" s="9242" t="s">
        <v>168</v>
      </c>
      <c r="O434" s="9142"/>
      <c r="P434" s="7932"/>
      <c r="Q434" s="7932"/>
      <c r="R434" s="8509"/>
      <c r="AX434" s="7872"/>
    </row>
    <row r="435" spans="1:50" s="7887" customFormat="1" ht="19.350000000000001" customHeight="1">
      <c r="A435" s="7872"/>
      <c r="B435" s="8534"/>
      <c r="C435" s="8582" t="s">
        <v>1186</v>
      </c>
      <c r="D435" s="8593"/>
      <c r="E435" s="8593"/>
      <c r="F435" s="8594"/>
      <c r="G435" s="8594"/>
      <c r="H435" s="8594" t="s">
        <v>1187</v>
      </c>
      <c r="I435" s="8594"/>
      <c r="J435" s="8594"/>
      <c r="K435" s="8595"/>
      <c r="L435" s="8597"/>
      <c r="M435" s="8598"/>
      <c r="N435" s="9280"/>
      <c r="O435" s="9143"/>
      <c r="P435" s="7932"/>
      <c r="Q435" s="7932"/>
      <c r="R435" s="8509"/>
      <c r="AX435" s="7872"/>
    </row>
    <row r="436" spans="1:50" s="7887" customFormat="1" ht="20.100000000000001" customHeight="1">
      <c r="A436" s="7872"/>
      <c r="B436" s="8510"/>
      <c r="C436" s="8564"/>
      <c r="D436" s="8524" t="s">
        <v>1188</v>
      </c>
      <c r="E436" s="8525"/>
      <c r="F436" s="7957" t="s">
        <v>156</v>
      </c>
      <c r="G436" s="8599"/>
      <c r="H436" s="8600"/>
      <c r="I436" s="8524" t="s">
        <v>1189</v>
      </c>
      <c r="J436" s="8525"/>
      <c r="K436" s="7957" t="s">
        <v>156</v>
      </c>
      <c r="L436" s="8035">
        <f>AVERAGE(L437:L442)</f>
        <v>83.184221371691265</v>
      </c>
      <c r="M436" s="8036">
        <f>AVERAGE(M437:M442)</f>
        <v>84.017158768234225</v>
      </c>
      <c r="N436" s="9282">
        <f>AVERAGE(N437:N442)</f>
        <v>84.013631062001238</v>
      </c>
      <c r="O436" s="9024" t="s">
        <v>3666</v>
      </c>
      <c r="P436" s="7932" t="s">
        <v>1192</v>
      </c>
      <c r="Q436" s="7932" t="s">
        <v>1193</v>
      </c>
      <c r="R436" s="8509"/>
      <c r="AX436" s="7872"/>
    </row>
    <row r="437" spans="1:50" s="7887" customFormat="1" ht="20.100000000000001" customHeight="1">
      <c r="A437" s="7872"/>
      <c r="B437" s="8510"/>
      <c r="C437" s="7939"/>
      <c r="D437" s="8016" t="s">
        <v>134</v>
      </c>
      <c r="E437" s="8017"/>
      <c r="F437" s="7953" t="s">
        <v>156</v>
      </c>
      <c r="G437" s="8514"/>
      <c r="H437" s="8528"/>
      <c r="I437" s="8506" t="s">
        <v>135</v>
      </c>
      <c r="J437" s="8508"/>
      <c r="K437" s="7941" t="s">
        <v>156</v>
      </c>
      <c r="L437" s="8106">
        <v>88.722466960352421</v>
      </c>
      <c r="M437" s="8109">
        <v>94.895168641750232</v>
      </c>
      <c r="N437" s="9258">
        <v>95.211786372007396</v>
      </c>
      <c r="O437" s="9019"/>
      <c r="P437" s="7932"/>
      <c r="Q437" s="7932"/>
      <c r="R437" s="8509"/>
      <c r="AX437" s="7872"/>
    </row>
    <row r="438" spans="1:50" s="7887" customFormat="1" ht="20.100000000000001" customHeight="1">
      <c r="A438" s="7872"/>
      <c r="B438" s="8510"/>
      <c r="C438" s="7939"/>
      <c r="D438" s="8016" t="s">
        <v>137</v>
      </c>
      <c r="E438" s="8017"/>
      <c r="F438" s="7953" t="s">
        <v>156</v>
      </c>
      <c r="G438" s="8514"/>
      <c r="H438" s="8528"/>
      <c r="I438" s="8506" t="s">
        <v>138</v>
      </c>
      <c r="J438" s="8508"/>
      <c r="K438" s="7941" t="s">
        <v>156</v>
      </c>
      <c r="L438" s="8106">
        <v>90.1</v>
      </c>
      <c r="M438" s="8018">
        <v>95.2</v>
      </c>
      <c r="N438" s="9266">
        <v>98.8</v>
      </c>
      <c r="O438" s="9019"/>
      <c r="P438" s="7932"/>
      <c r="Q438" s="7932"/>
      <c r="R438" s="8509"/>
      <c r="AX438" s="7872"/>
    </row>
    <row r="439" spans="1:50" s="7887" customFormat="1" ht="20.100000000000001" customHeight="1">
      <c r="A439" s="7872"/>
      <c r="B439" s="8510"/>
      <c r="C439" s="7939"/>
      <c r="D439" s="8016" t="s">
        <v>140</v>
      </c>
      <c r="E439" s="8017"/>
      <c r="F439" s="7953" t="s">
        <v>156</v>
      </c>
      <c r="G439" s="8514"/>
      <c r="H439" s="8528"/>
      <c r="I439" s="8515" t="s">
        <v>141</v>
      </c>
      <c r="J439" s="8516"/>
      <c r="K439" s="7941" t="s">
        <v>156</v>
      </c>
      <c r="L439" s="8106">
        <f>China!AO315</f>
        <v>92.694497153700198</v>
      </c>
      <c r="M439" s="8109">
        <v>94.71947194719472</v>
      </c>
      <c r="N439" s="9258">
        <v>91</v>
      </c>
      <c r="O439" s="9019"/>
      <c r="P439" s="7932"/>
      <c r="Q439" s="7932"/>
      <c r="R439" s="8509"/>
      <c r="AX439" s="7872"/>
    </row>
    <row r="440" spans="1:50" s="7887" customFormat="1" ht="20.100000000000001" customHeight="1">
      <c r="A440" s="7872"/>
      <c r="B440" s="8510"/>
      <c r="C440" s="8504"/>
      <c r="D440" s="8016" t="s">
        <v>143</v>
      </c>
      <c r="E440" s="8017"/>
      <c r="F440" s="7953" t="s">
        <v>156</v>
      </c>
      <c r="G440" s="8514"/>
      <c r="H440" s="8528"/>
      <c r="I440" s="8515" t="s">
        <v>144</v>
      </c>
      <c r="J440" s="8516"/>
      <c r="K440" s="7941" t="s">
        <v>156</v>
      </c>
      <c r="L440" s="8106">
        <v>94.86</v>
      </c>
      <c r="M440" s="8109">
        <v>93.93</v>
      </c>
      <c r="N440" s="9258">
        <v>96.33</v>
      </c>
      <c r="O440" s="9019"/>
      <c r="P440" s="7932"/>
      <c r="Q440" s="7932"/>
      <c r="R440" s="8509"/>
      <c r="AX440" s="7872"/>
    </row>
    <row r="441" spans="1:50" s="7887" customFormat="1" ht="20.100000000000001" customHeight="1">
      <c r="A441" s="7872"/>
      <c r="B441" s="8510"/>
      <c r="C441" s="7939"/>
      <c r="D441" s="8016" t="s">
        <v>146</v>
      </c>
      <c r="E441" s="8017"/>
      <c r="F441" s="7953" t="s">
        <v>156</v>
      </c>
      <c r="G441" s="8514"/>
      <c r="H441" s="8528"/>
      <c r="I441" s="8515" t="s">
        <v>147</v>
      </c>
      <c r="J441" s="8516"/>
      <c r="K441" s="7941" t="s">
        <v>156</v>
      </c>
      <c r="L441" s="8106">
        <f>Indonesia!V315</f>
        <v>95.778364116094977</v>
      </c>
      <c r="M441" s="8109">
        <f>Indonesia!X315</f>
        <v>89.258312020460366</v>
      </c>
      <c r="N441" s="9258">
        <v>85.44</v>
      </c>
      <c r="O441" s="9019"/>
      <c r="P441" s="7932"/>
      <c r="Q441" s="7932"/>
      <c r="R441" s="8509"/>
      <c r="AX441" s="7872"/>
    </row>
    <row r="442" spans="1:50" s="7887" customFormat="1" ht="20.100000000000001" customHeight="1">
      <c r="A442" s="7872"/>
      <c r="B442" s="8510"/>
      <c r="C442" s="7939"/>
      <c r="D442" s="8016" t="s">
        <v>149</v>
      </c>
      <c r="E442" s="8017"/>
      <c r="F442" s="7953" t="s">
        <v>156</v>
      </c>
      <c r="G442" s="8514"/>
      <c r="H442" s="8528"/>
      <c r="I442" s="8515" t="s">
        <v>150</v>
      </c>
      <c r="J442" s="8516"/>
      <c r="K442" s="7941" t="s">
        <v>156</v>
      </c>
      <c r="L442" s="8112">
        <v>36.950000000000003</v>
      </c>
      <c r="M442" s="8018">
        <v>36.1</v>
      </c>
      <c r="N442" s="9244">
        <v>37.299999999999997</v>
      </c>
      <c r="O442" s="9031"/>
      <c r="P442" s="7932"/>
      <c r="Q442" s="7932"/>
      <c r="R442" s="8509"/>
      <c r="AX442" s="7872"/>
    </row>
    <row r="443" spans="1:50" s="7887" customFormat="1" ht="20.100000000000001" customHeight="1">
      <c r="A443" s="7872"/>
      <c r="B443" s="8510"/>
      <c r="C443" s="8564"/>
      <c r="D443" s="8524" t="s">
        <v>1196</v>
      </c>
      <c r="E443" s="8525"/>
      <c r="F443" s="7957" t="s">
        <v>156</v>
      </c>
      <c r="G443" s="8599"/>
      <c r="H443" s="8600"/>
      <c r="I443" s="8524" t="s">
        <v>1197</v>
      </c>
      <c r="J443" s="8525"/>
      <c r="K443" s="7957" t="s">
        <v>156</v>
      </c>
      <c r="L443" s="8035">
        <f>AVERAGE(L444:L449)</f>
        <v>82.131514600258598</v>
      </c>
      <c r="M443" s="8036">
        <f>AVERAGE(M444:M449)</f>
        <v>88.186474888807354</v>
      </c>
      <c r="N443" s="9282">
        <f>AVERAGE(N444:N449)</f>
        <v>88.655374462860649</v>
      </c>
      <c r="O443" s="9032" t="s">
        <v>3667</v>
      </c>
      <c r="P443" s="7932" t="s">
        <v>1192</v>
      </c>
      <c r="Q443" s="7932" t="s">
        <v>1193</v>
      </c>
      <c r="R443" s="8509"/>
      <c r="AX443" s="7872"/>
    </row>
    <row r="444" spans="1:50" s="7887" customFormat="1" ht="20.100000000000001" customHeight="1">
      <c r="A444" s="7872"/>
      <c r="B444" s="8510"/>
      <c r="C444" s="7939"/>
      <c r="D444" s="8016" t="s">
        <v>134</v>
      </c>
      <c r="E444" s="8017"/>
      <c r="F444" s="7953" t="s">
        <v>156</v>
      </c>
      <c r="G444" s="8514"/>
      <c r="H444" s="8528"/>
      <c r="I444" s="8506" t="s">
        <v>135</v>
      </c>
      <c r="J444" s="8508"/>
      <c r="K444" s="7941" t="s">
        <v>156</v>
      </c>
      <c r="L444" s="8106">
        <v>87.224669603524234</v>
      </c>
      <c r="M444" s="8109">
        <v>93.25432999088423</v>
      </c>
      <c r="N444" s="9258">
        <v>93.462246777163898</v>
      </c>
      <c r="O444" s="9033"/>
      <c r="P444" s="7932"/>
      <c r="Q444" s="7932"/>
      <c r="R444" s="8509"/>
      <c r="AX444" s="7872"/>
    </row>
    <row r="445" spans="1:50" s="7887" customFormat="1" ht="20.100000000000001" customHeight="1">
      <c r="A445" s="7872"/>
      <c r="B445" s="8510"/>
      <c r="C445" s="7939"/>
      <c r="D445" s="8016" t="s">
        <v>137</v>
      </c>
      <c r="E445" s="8017"/>
      <c r="F445" s="7953" t="s">
        <v>156</v>
      </c>
      <c r="G445" s="8514"/>
      <c r="H445" s="8528"/>
      <c r="I445" s="8506" t="s">
        <v>138</v>
      </c>
      <c r="J445" s="8508"/>
      <c r="K445" s="7941" t="s">
        <v>156</v>
      </c>
      <c r="L445" s="8106">
        <v>90.1</v>
      </c>
      <c r="M445" s="8018">
        <v>95.2</v>
      </c>
      <c r="N445" s="9266">
        <v>98.8</v>
      </c>
      <c r="O445" s="9033"/>
      <c r="P445" s="7932"/>
      <c r="Q445" s="7932"/>
      <c r="R445" s="8509"/>
      <c r="AX445" s="7872"/>
    </row>
    <row r="446" spans="1:50" s="7887" customFormat="1" ht="20.100000000000001" customHeight="1">
      <c r="A446" s="7872"/>
      <c r="B446" s="8510"/>
      <c r="C446" s="7939"/>
      <c r="D446" s="8016" t="s">
        <v>140</v>
      </c>
      <c r="E446" s="8017"/>
      <c r="F446" s="7953" t="s">
        <v>156</v>
      </c>
      <c r="G446" s="8514"/>
      <c r="H446" s="8528"/>
      <c r="I446" s="8515" t="s">
        <v>141</v>
      </c>
      <c r="J446" s="8516"/>
      <c r="K446" s="7941" t="s">
        <v>156</v>
      </c>
      <c r="L446" s="8106">
        <f>China!AO316</f>
        <v>92.694497153700198</v>
      </c>
      <c r="M446" s="8109">
        <v>94.71947194719472</v>
      </c>
      <c r="N446" s="9258">
        <v>91</v>
      </c>
      <c r="O446" s="9033"/>
      <c r="P446" s="7932"/>
      <c r="Q446" s="7932"/>
      <c r="R446" s="8509"/>
      <c r="AX446" s="7872"/>
    </row>
    <row r="447" spans="1:50" s="7887" customFormat="1" ht="20.100000000000001" customHeight="1">
      <c r="A447" s="7872"/>
      <c r="B447" s="8510"/>
      <c r="C447" s="8504"/>
      <c r="D447" s="8016" t="s">
        <v>143</v>
      </c>
      <c r="E447" s="8017"/>
      <c r="F447" s="7953" t="s">
        <v>156</v>
      </c>
      <c r="G447" s="8514"/>
      <c r="H447" s="8528"/>
      <c r="I447" s="8515" t="s">
        <v>144</v>
      </c>
      <c r="J447" s="8516"/>
      <c r="K447" s="7941" t="s">
        <v>156</v>
      </c>
      <c r="L447" s="8106">
        <v>94.9</v>
      </c>
      <c r="M447" s="8109">
        <v>94.71947194719472</v>
      </c>
      <c r="N447" s="9258">
        <v>96.4</v>
      </c>
      <c r="O447" s="9033"/>
      <c r="P447" s="7932"/>
      <c r="Q447" s="7932"/>
      <c r="R447" s="8509"/>
      <c r="AX447" s="7872"/>
    </row>
    <row r="448" spans="1:50" s="7887" customFormat="1" ht="20.100000000000001" customHeight="1">
      <c r="A448" s="7872"/>
      <c r="B448" s="8510"/>
      <c r="C448" s="7939"/>
      <c r="D448" s="8016" t="s">
        <v>146</v>
      </c>
      <c r="E448" s="8017"/>
      <c r="F448" s="7953" t="s">
        <v>156</v>
      </c>
      <c r="G448" s="8514"/>
      <c r="H448" s="8528"/>
      <c r="I448" s="8515" t="s">
        <v>147</v>
      </c>
      <c r="J448" s="8516"/>
      <c r="K448" s="7941" t="s">
        <v>156</v>
      </c>
      <c r="L448" s="8106">
        <f>Indonesia!V316</f>
        <v>96.569920844327171</v>
      </c>
      <c r="M448" s="8109">
        <f>Indonesia!X316</f>
        <v>90.025575447570333</v>
      </c>
      <c r="N448" s="9258">
        <v>86.17</v>
      </c>
      <c r="O448" s="9033"/>
      <c r="P448" s="7932"/>
      <c r="Q448" s="7932"/>
      <c r="R448" s="8509"/>
      <c r="AX448" s="7872"/>
    </row>
    <row r="449" spans="1:50" s="7887" customFormat="1" ht="20.100000000000001" customHeight="1">
      <c r="A449" s="7872"/>
      <c r="B449" s="8510"/>
      <c r="C449" s="7939"/>
      <c r="D449" s="8016" t="s">
        <v>149</v>
      </c>
      <c r="E449" s="8017"/>
      <c r="F449" s="7953" t="s">
        <v>156</v>
      </c>
      <c r="G449" s="8514"/>
      <c r="H449" s="8528"/>
      <c r="I449" s="8515" t="s">
        <v>150</v>
      </c>
      <c r="J449" s="8516"/>
      <c r="K449" s="7941" t="s">
        <v>156</v>
      </c>
      <c r="L449" s="8112">
        <v>31.3</v>
      </c>
      <c r="M449" s="8018">
        <v>61.2</v>
      </c>
      <c r="N449" s="9244">
        <v>66.099999999999994</v>
      </c>
      <c r="O449" s="9034"/>
      <c r="P449" s="7932"/>
      <c r="Q449" s="7932"/>
      <c r="R449" s="8509"/>
      <c r="AX449" s="7872"/>
    </row>
    <row r="450" spans="1:50" s="7887" customFormat="1" ht="20.100000000000001" customHeight="1">
      <c r="A450" s="7872"/>
      <c r="B450" s="8510"/>
      <c r="C450" s="8139"/>
      <c r="D450" s="8524" t="s">
        <v>1198</v>
      </c>
      <c r="E450" s="8525"/>
      <c r="F450" s="7957" t="s">
        <v>156</v>
      </c>
      <c r="G450" s="8599"/>
      <c r="H450" s="8600"/>
      <c r="I450" s="8524" t="s">
        <v>1199</v>
      </c>
      <c r="J450" s="8525"/>
      <c r="K450" s="7957" t="s">
        <v>156</v>
      </c>
      <c r="L450" s="8035">
        <f>AVERAGE(L451:L456)</f>
        <v>83.073181266925261</v>
      </c>
      <c r="M450" s="8036">
        <f>AVERAGE(M451:M456)</f>
        <v>83.866562897608219</v>
      </c>
      <c r="N450" s="9282">
        <f>AVERAGE(N451:N456)</f>
        <v>83.777320441988948</v>
      </c>
      <c r="O450" s="9032" t="s">
        <v>3668</v>
      </c>
      <c r="P450" s="7932" t="s">
        <v>1192</v>
      </c>
      <c r="Q450" s="7932" t="s">
        <v>1193</v>
      </c>
      <c r="R450" s="8509"/>
      <c r="AX450" s="7872"/>
    </row>
    <row r="451" spans="1:50" s="7887" customFormat="1" ht="20.100000000000001" customHeight="1">
      <c r="A451" s="7872"/>
      <c r="B451" s="8510"/>
      <c r="C451" s="7939"/>
      <c r="D451" s="8016" t="s">
        <v>134</v>
      </c>
      <c r="E451" s="8017"/>
      <c r="F451" s="7953" t="s">
        <v>156</v>
      </c>
      <c r="G451" s="8514"/>
      <c r="H451" s="8528"/>
      <c r="I451" s="8506" t="s">
        <v>135</v>
      </c>
      <c r="J451" s="8508"/>
      <c r="K451" s="7941" t="s">
        <v>156</v>
      </c>
      <c r="L451" s="8106">
        <v>87.224669603524234</v>
      </c>
      <c r="M451" s="8109">
        <v>93.25432999088423</v>
      </c>
      <c r="N451" s="9258">
        <v>93.093922651933696</v>
      </c>
      <c r="O451" s="9019"/>
      <c r="P451" s="7932"/>
      <c r="Q451" s="7932"/>
      <c r="R451" s="8509"/>
      <c r="AX451" s="7872"/>
    </row>
    <row r="452" spans="1:50" s="7887" customFormat="1" ht="20.100000000000001" customHeight="1">
      <c r="A452" s="7872"/>
      <c r="B452" s="8510"/>
      <c r="C452" s="7939"/>
      <c r="D452" s="8016" t="s">
        <v>137</v>
      </c>
      <c r="E452" s="8017"/>
      <c r="F452" s="7953" t="s">
        <v>156</v>
      </c>
      <c r="G452" s="8514"/>
      <c r="H452" s="8528"/>
      <c r="I452" s="8506" t="s">
        <v>138</v>
      </c>
      <c r="J452" s="8508"/>
      <c r="K452" s="7941" t="s">
        <v>156</v>
      </c>
      <c r="L452" s="8106">
        <v>90.1</v>
      </c>
      <c r="M452" s="8018">
        <v>95.2</v>
      </c>
      <c r="N452" s="9266">
        <v>98.8</v>
      </c>
      <c r="O452" s="9019"/>
      <c r="P452" s="7932"/>
      <c r="Q452" s="7932"/>
      <c r="R452" s="8509"/>
      <c r="AX452" s="7872"/>
    </row>
    <row r="453" spans="1:50" s="7887" customFormat="1" ht="20.100000000000001" customHeight="1">
      <c r="A453" s="7872"/>
      <c r="B453" s="8510"/>
      <c r="C453" s="7939"/>
      <c r="D453" s="8016" t="s">
        <v>140</v>
      </c>
      <c r="E453" s="8017"/>
      <c r="F453" s="7953" t="s">
        <v>156</v>
      </c>
      <c r="G453" s="8514"/>
      <c r="H453" s="8528"/>
      <c r="I453" s="8515" t="s">
        <v>141</v>
      </c>
      <c r="J453" s="8516"/>
      <c r="K453" s="7941" t="s">
        <v>156</v>
      </c>
      <c r="L453" s="8106">
        <f>China!AO317</f>
        <v>92.694497153700198</v>
      </c>
      <c r="M453" s="8109">
        <v>94.71947194719472</v>
      </c>
      <c r="N453" s="9258">
        <v>91</v>
      </c>
      <c r="O453" s="9019"/>
      <c r="P453" s="7932"/>
      <c r="Q453" s="7932"/>
      <c r="R453" s="8509"/>
      <c r="AX453" s="7872"/>
    </row>
    <row r="454" spans="1:50" s="7887" customFormat="1" ht="20.100000000000001" customHeight="1">
      <c r="A454" s="7872"/>
      <c r="B454" s="8510"/>
      <c r="C454" s="8504"/>
      <c r="D454" s="8016" t="s">
        <v>143</v>
      </c>
      <c r="E454" s="8017"/>
      <c r="F454" s="7953" t="s">
        <v>156</v>
      </c>
      <c r="G454" s="8514"/>
      <c r="H454" s="8528"/>
      <c r="I454" s="8515" t="s">
        <v>144</v>
      </c>
      <c r="J454" s="8516"/>
      <c r="K454" s="7941" t="s">
        <v>156</v>
      </c>
      <c r="L454" s="8106">
        <v>94.9</v>
      </c>
      <c r="M454" s="8109">
        <v>93.9</v>
      </c>
      <c r="N454" s="9258">
        <v>96.3</v>
      </c>
      <c r="O454" s="9019"/>
      <c r="P454" s="7932"/>
      <c r="Q454" s="7932"/>
      <c r="R454" s="8509"/>
      <c r="AX454" s="7872"/>
    </row>
    <row r="455" spans="1:50" s="7887" customFormat="1" ht="20.100000000000001" customHeight="1">
      <c r="A455" s="7872"/>
      <c r="B455" s="8510"/>
      <c r="C455" s="7939"/>
      <c r="D455" s="8016" t="s">
        <v>146</v>
      </c>
      <c r="E455" s="8017"/>
      <c r="F455" s="7953" t="s">
        <v>156</v>
      </c>
      <c r="G455" s="8514"/>
      <c r="H455" s="8528"/>
      <c r="I455" s="8515" t="s">
        <v>147</v>
      </c>
      <c r="J455" s="8516"/>
      <c r="K455" s="7941" t="s">
        <v>156</v>
      </c>
      <c r="L455" s="8106">
        <f>Indonesia!V317</f>
        <v>96.569920844327171</v>
      </c>
      <c r="M455" s="8109">
        <f>Indonesia!X317</f>
        <v>90.025575447570333</v>
      </c>
      <c r="N455" s="9258">
        <v>86.17</v>
      </c>
      <c r="O455" s="9019"/>
      <c r="P455" s="7932"/>
      <c r="Q455" s="7932"/>
      <c r="R455" s="8509"/>
      <c r="AX455" s="7872"/>
    </row>
    <row r="456" spans="1:50" s="7887" customFormat="1" ht="20.100000000000001" customHeight="1">
      <c r="A456" s="7872"/>
      <c r="B456" s="8510"/>
      <c r="C456" s="7939"/>
      <c r="D456" s="8016" t="s">
        <v>149</v>
      </c>
      <c r="E456" s="8017"/>
      <c r="F456" s="7953" t="s">
        <v>156</v>
      </c>
      <c r="G456" s="8514"/>
      <c r="H456" s="8528"/>
      <c r="I456" s="8515" t="s">
        <v>150</v>
      </c>
      <c r="J456" s="8516"/>
      <c r="K456" s="7941" t="s">
        <v>156</v>
      </c>
      <c r="L456" s="8112">
        <v>36.950000000000003</v>
      </c>
      <c r="M456" s="8018">
        <v>36.1</v>
      </c>
      <c r="N456" s="9244">
        <v>37.299999999999997</v>
      </c>
      <c r="O456" s="9031"/>
      <c r="P456" s="7932"/>
      <c r="Q456" s="7932"/>
      <c r="R456" s="8509"/>
      <c r="AX456" s="7872"/>
    </row>
    <row r="457" spans="1:50" s="7887" customFormat="1" ht="20.100000000000001" hidden="1" customHeight="1">
      <c r="A457" s="7872"/>
      <c r="B457" s="8510"/>
      <c r="C457" s="8548" t="s">
        <v>1200</v>
      </c>
      <c r="D457" s="8549"/>
      <c r="E457" s="8512"/>
      <c r="F457" s="7957" t="s">
        <v>156</v>
      </c>
      <c r="G457" s="8601"/>
      <c r="H457" s="8511" t="s">
        <v>1201</v>
      </c>
      <c r="I457" s="8549"/>
      <c r="J457" s="8512"/>
      <c r="K457" s="7957" t="s">
        <v>156</v>
      </c>
      <c r="L457" s="8035">
        <f>IF(COUNTBLANK(L458:L463)&gt;0,"미취합법인有",AVERAGE(L458:L463))</f>
        <v>9.1716091848472558</v>
      </c>
      <c r="M457" s="8036">
        <f>IF(COUNTBLANK(M458:M463)&gt;0,"미취합법인有",AVERAGE(M458:M463))</f>
        <v>8.5165608382321594</v>
      </c>
      <c r="N457" s="9243">
        <f>IF(COUNTBLANK(N458:N463)&gt;0,"미취합법인有",AVERAGE(N458:N463))</f>
        <v>10.20543631213695</v>
      </c>
      <c r="O457" s="8995" t="s">
        <v>3530</v>
      </c>
      <c r="P457" s="7932" t="s">
        <v>1204</v>
      </c>
      <c r="Q457" s="7955" t="s">
        <v>1940</v>
      </c>
      <c r="R457" s="8509"/>
      <c r="AX457" s="7872"/>
    </row>
    <row r="458" spans="1:50" s="7887" customFormat="1" ht="20.100000000000001" hidden="1" customHeight="1">
      <c r="A458" s="7872"/>
      <c r="B458" s="8510"/>
      <c r="C458" s="8502" t="s">
        <v>134</v>
      </c>
      <c r="D458" s="8503"/>
      <c r="E458" s="8504"/>
      <c r="F458" s="7953" t="s">
        <v>156</v>
      </c>
      <c r="G458" s="8514"/>
      <c r="H458" s="8506" t="s">
        <v>135</v>
      </c>
      <c r="I458" s="8507"/>
      <c r="J458" s="8508"/>
      <c r="K458" s="7941" t="s">
        <v>156</v>
      </c>
      <c r="L458" s="8161">
        <f t="shared" ref="L458:L462" si="12">IFERROR(L465/L472*100,"-")</f>
        <v>8.5199979057591637</v>
      </c>
      <c r="M458" s="8130">
        <f t="shared" ref="M458:N462" si="13">IFERROR(M465/M472*100,"-")</f>
        <v>3.7333833254205868</v>
      </c>
      <c r="N458" s="9258">
        <f t="shared" si="13"/>
        <v>3.5044947180263271</v>
      </c>
      <c r="O458" s="9019"/>
      <c r="P458" s="7932"/>
      <c r="Q458" s="7932"/>
      <c r="R458" s="8509"/>
      <c r="AX458" s="7872"/>
    </row>
    <row r="459" spans="1:50" s="7887" customFormat="1" ht="20.100000000000001" hidden="1" customHeight="1">
      <c r="A459" s="7872"/>
      <c r="B459" s="8510"/>
      <c r="C459" s="8502" t="s">
        <v>137</v>
      </c>
      <c r="D459" s="8503"/>
      <c r="E459" s="8504"/>
      <c r="F459" s="7953" t="s">
        <v>156</v>
      </c>
      <c r="G459" s="8514"/>
      <c r="H459" s="8506" t="s">
        <v>138</v>
      </c>
      <c r="I459" s="8507"/>
      <c r="J459" s="8508"/>
      <c r="K459" s="7941" t="s">
        <v>156</v>
      </c>
      <c r="L459" s="8162">
        <f t="shared" si="12"/>
        <v>19.923664122137406</v>
      </c>
      <c r="M459" s="8130">
        <f t="shared" si="13"/>
        <v>18.666666666666668</v>
      </c>
      <c r="N459" s="9283">
        <f>AVERAGE(52/300, 46/120)*100</f>
        <v>27.833333333333332</v>
      </c>
      <c r="O459" s="9019" t="s">
        <v>3531</v>
      </c>
      <c r="P459" s="7932"/>
      <c r="Q459" s="7932"/>
      <c r="R459" s="8509"/>
      <c r="AX459" s="7872"/>
    </row>
    <row r="460" spans="1:50" s="7887" customFormat="1" ht="20.100000000000001" hidden="1" customHeight="1">
      <c r="A460" s="7872"/>
      <c r="B460" s="8510"/>
      <c r="C460" s="8502" t="s">
        <v>140</v>
      </c>
      <c r="D460" s="8503"/>
      <c r="E460" s="8504"/>
      <c r="F460" s="7953" t="s">
        <v>156</v>
      </c>
      <c r="G460" s="8514"/>
      <c r="H460" s="8506" t="s">
        <v>141</v>
      </c>
      <c r="I460" s="8507"/>
      <c r="J460" s="8508"/>
      <c r="K460" s="7941" t="s">
        <v>156</v>
      </c>
      <c r="L460" s="8161">
        <f t="shared" si="12"/>
        <v>6.3923918988038562</v>
      </c>
      <c r="M460" s="8130">
        <f t="shared" si="13"/>
        <v>6.3362878658565949</v>
      </c>
      <c r="N460" s="9258">
        <f t="shared" si="13"/>
        <v>5.0486448772292167</v>
      </c>
      <c r="O460" s="9019"/>
      <c r="P460" s="7932"/>
      <c r="Q460" s="7932"/>
      <c r="R460" s="8509"/>
      <c r="AX460" s="7872"/>
    </row>
    <row r="461" spans="1:50" s="7887" customFormat="1" ht="20.100000000000001" hidden="1" customHeight="1">
      <c r="A461" s="7872"/>
      <c r="B461" s="8510"/>
      <c r="C461" s="8502" t="s">
        <v>143</v>
      </c>
      <c r="D461" s="8503"/>
      <c r="E461" s="8504"/>
      <c r="F461" s="7953" t="s">
        <v>156</v>
      </c>
      <c r="G461" s="8514"/>
      <c r="H461" s="8506" t="s">
        <v>144</v>
      </c>
      <c r="I461" s="8507"/>
      <c r="J461" s="8508"/>
      <c r="K461" s="7941" t="s">
        <v>156</v>
      </c>
      <c r="L461" s="8161">
        <f t="shared" si="12"/>
        <v>7.8456599564427547</v>
      </c>
      <c r="M461" s="8130">
        <f t="shared" si="13"/>
        <v>7.4125433273036654</v>
      </c>
      <c r="N461" s="9258">
        <f t="shared" si="13"/>
        <v>6.5984879239003984</v>
      </c>
      <c r="O461" s="9019"/>
      <c r="P461" s="7932"/>
      <c r="Q461" s="7932"/>
      <c r="R461" s="8509"/>
      <c r="AX461" s="7872"/>
    </row>
    <row r="462" spans="1:50" s="7887" customFormat="1" ht="20.100000000000001" hidden="1" customHeight="1">
      <c r="A462" s="7872"/>
      <c r="B462" s="8510"/>
      <c r="C462" s="8502" t="s">
        <v>146</v>
      </c>
      <c r="D462" s="8503"/>
      <c r="E462" s="8504"/>
      <c r="F462" s="7953" t="s">
        <v>156</v>
      </c>
      <c r="G462" s="8514"/>
      <c r="H462" s="8506" t="s">
        <v>147</v>
      </c>
      <c r="I462" s="8507"/>
      <c r="J462" s="8508"/>
      <c r="K462" s="7941" t="s">
        <v>156</v>
      </c>
      <c r="L462" s="8161">
        <f t="shared" si="12"/>
        <v>3.9979412259403513</v>
      </c>
      <c r="M462" s="8130">
        <f t="shared" si="13"/>
        <v>3.1804838441454444</v>
      </c>
      <c r="N462" s="9258">
        <f t="shared" si="13"/>
        <v>3.4376570203324226</v>
      </c>
      <c r="O462" s="9019"/>
      <c r="P462" s="7932"/>
      <c r="Q462" s="7932"/>
      <c r="R462" s="8509"/>
      <c r="AX462" s="7872"/>
    </row>
    <row r="463" spans="1:50" s="7887" customFormat="1" ht="20.100000000000001" hidden="1" customHeight="1">
      <c r="A463" s="7872"/>
      <c r="B463" s="8510"/>
      <c r="C463" s="8502" t="s">
        <v>149</v>
      </c>
      <c r="D463" s="8503"/>
      <c r="E463" s="8504"/>
      <c r="F463" s="7953" t="s">
        <v>156</v>
      </c>
      <c r="G463" s="8514"/>
      <c r="H463" s="8506" t="s">
        <v>150</v>
      </c>
      <c r="I463" s="8507"/>
      <c r="J463" s="8508"/>
      <c r="K463" s="7941" t="s">
        <v>156</v>
      </c>
      <c r="L463" s="8163">
        <v>8.35</v>
      </c>
      <c r="M463" s="8602">
        <v>11.77</v>
      </c>
      <c r="N463" s="9258">
        <v>14.81</v>
      </c>
      <c r="O463" s="9019"/>
      <c r="P463" s="7932"/>
      <c r="Q463" s="7932"/>
      <c r="R463" s="8509"/>
      <c r="AX463" s="7872"/>
    </row>
    <row r="464" spans="1:50" s="7887" customFormat="1" ht="20.100000000000001" hidden="1" customHeight="1">
      <c r="A464" s="7872"/>
      <c r="B464" s="8510"/>
      <c r="C464" s="8564"/>
      <c r="D464" s="8524" t="s">
        <v>1205</v>
      </c>
      <c r="E464" s="8525"/>
      <c r="F464" s="7957" t="s">
        <v>628</v>
      </c>
      <c r="G464" s="8599"/>
      <c r="H464" s="8599"/>
      <c r="I464" s="8524" t="s">
        <v>1206</v>
      </c>
      <c r="J464" s="8525"/>
      <c r="K464" s="7957" t="s">
        <v>35</v>
      </c>
      <c r="L464" s="8042"/>
      <c r="M464" s="8164"/>
      <c r="N464" s="9243"/>
      <c r="O464" s="9024" t="s">
        <v>1942</v>
      </c>
      <c r="P464" s="7932" t="s">
        <v>1204</v>
      </c>
      <c r="Q464" s="7955"/>
      <c r="R464" s="8509" t="s">
        <v>1207</v>
      </c>
      <c r="AX464" s="7872"/>
    </row>
    <row r="465" spans="1:50" s="7887" customFormat="1" ht="20.100000000000001" hidden="1" customHeight="1">
      <c r="A465" s="7872"/>
      <c r="B465" s="8510"/>
      <c r="C465" s="7939"/>
      <c r="D465" s="8016" t="s">
        <v>134</v>
      </c>
      <c r="E465" s="8017"/>
      <c r="F465" s="7953" t="s">
        <v>33</v>
      </c>
      <c r="G465" s="8514"/>
      <c r="H465" s="8514"/>
      <c r="I465" s="8506" t="s">
        <v>135</v>
      </c>
      <c r="J465" s="8508"/>
      <c r="K465" s="7941" t="s">
        <v>35</v>
      </c>
      <c r="L465" s="8165">
        <v>48.819588000000003</v>
      </c>
      <c r="M465" s="8603">
        <v>55.568705999999999</v>
      </c>
      <c r="N465" s="9284">
        <v>51.010297999999999</v>
      </c>
      <c r="O465" s="9019" t="s">
        <v>1943</v>
      </c>
      <c r="P465" s="7932"/>
      <c r="Q465" s="7932"/>
      <c r="R465" s="8509"/>
      <c r="AX465" s="7872"/>
    </row>
    <row r="466" spans="1:50" s="7887" customFormat="1" ht="20.100000000000001" hidden="1" customHeight="1">
      <c r="A466" s="7872"/>
      <c r="B466" s="8510"/>
      <c r="C466" s="7939"/>
      <c r="D466" s="8016" t="s">
        <v>137</v>
      </c>
      <c r="E466" s="8017"/>
      <c r="F466" s="7953" t="s">
        <v>33</v>
      </c>
      <c r="G466" s="8514"/>
      <c r="H466" s="8514"/>
      <c r="I466" s="8506" t="s">
        <v>138</v>
      </c>
      <c r="J466" s="8508"/>
      <c r="K466" s="7941" t="s">
        <v>35</v>
      </c>
      <c r="L466" s="8165">
        <f>'4DPLEX'!W292</f>
        <v>52.2</v>
      </c>
      <c r="M466" s="8604">
        <v>56</v>
      </c>
      <c r="N466" s="9285"/>
      <c r="O466" s="9019"/>
      <c r="P466" s="7932"/>
      <c r="Q466" s="7932"/>
      <c r="R466" s="8509"/>
      <c r="AX466" s="7872"/>
    </row>
    <row r="467" spans="1:50" s="7887" customFormat="1" ht="20.100000000000001" hidden="1" customHeight="1">
      <c r="A467" s="7872"/>
      <c r="B467" s="8510"/>
      <c r="C467" s="7939"/>
      <c r="D467" s="8016" t="s">
        <v>140</v>
      </c>
      <c r="E467" s="8017"/>
      <c r="F467" s="7953" t="s">
        <v>272</v>
      </c>
      <c r="G467" s="8514"/>
      <c r="H467" s="8514"/>
      <c r="I467" s="8515" t="s">
        <v>141</v>
      </c>
      <c r="J467" s="8516"/>
      <c r="K467" s="8090" t="s">
        <v>142</v>
      </c>
      <c r="L467" s="8165">
        <v>150875.47093273321</v>
      </c>
      <c r="M467" s="8605">
        <v>150066.80429146648</v>
      </c>
      <c r="N467" s="9286">
        <v>181961.54313556614</v>
      </c>
      <c r="O467" s="9019" t="s">
        <v>1944</v>
      </c>
      <c r="P467" s="7932"/>
      <c r="Q467" s="7932"/>
      <c r="R467" s="8509"/>
      <c r="AX467" s="7872"/>
    </row>
    <row r="468" spans="1:50" s="7887" customFormat="1" ht="20.100000000000001" hidden="1" customHeight="1">
      <c r="A468" s="7872"/>
      <c r="B468" s="8510"/>
      <c r="C468" s="8504"/>
      <c r="D468" s="8016" t="s">
        <v>143</v>
      </c>
      <c r="E468" s="8017"/>
      <c r="F468" s="7953" t="s">
        <v>630</v>
      </c>
      <c r="G468" s="8514"/>
      <c r="H468" s="8514"/>
      <c r="I468" s="8515" t="s">
        <v>144</v>
      </c>
      <c r="J468" s="8516"/>
      <c r="K468" s="8090" t="s">
        <v>145</v>
      </c>
      <c r="L468" s="8165">
        <f>Vietnam!Q319</f>
        <v>195283.10768738901</v>
      </c>
      <c r="M468" s="8604">
        <f>Vietnam!S319</f>
        <v>232002.98859201389</v>
      </c>
      <c r="N468" s="9286">
        <f>Vietnam!U319</f>
        <v>244366.83450087564</v>
      </c>
      <c r="O468" s="9019" t="s">
        <v>1945</v>
      </c>
      <c r="P468" s="7932"/>
      <c r="Q468" s="7932"/>
      <c r="R468" s="8509"/>
      <c r="AX468" s="7872"/>
    </row>
    <row r="469" spans="1:50" s="7887" customFormat="1" ht="20.100000000000001" hidden="1" customHeight="1">
      <c r="A469" s="7872"/>
      <c r="B469" s="8510"/>
      <c r="C469" s="7939"/>
      <c r="D469" s="8016" t="s">
        <v>146</v>
      </c>
      <c r="E469" s="8017"/>
      <c r="F469" s="7953" t="s">
        <v>632</v>
      </c>
      <c r="G469" s="8514"/>
      <c r="H469" s="8514"/>
      <c r="I469" s="8515" t="s">
        <v>147</v>
      </c>
      <c r="J469" s="8516"/>
      <c r="K469" s="8090" t="s">
        <v>148</v>
      </c>
      <c r="L469" s="8165">
        <f>Indonesia!V319</f>
        <v>79152000</v>
      </c>
      <c r="M469" s="8604">
        <f>Indonesia!X319</f>
        <v>79752000</v>
      </c>
      <c r="N469" s="9286">
        <f>Indonesia!Z319</f>
        <v>82920000</v>
      </c>
      <c r="O469" s="9019" t="s">
        <v>632</v>
      </c>
      <c r="P469" s="7932"/>
      <c r="Q469" s="7932"/>
      <c r="R469" s="8509"/>
      <c r="AX469" s="7872"/>
    </row>
    <row r="470" spans="1:50" s="7887" customFormat="1" ht="20.100000000000001" hidden="1" customHeight="1">
      <c r="A470" s="7872"/>
      <c r="B470" s="8510"/>
      <c r="C470" s="7939"/>
      <c r="D470" s="8016" t="s">
        <v>149</v>
      </c>
      <c r="E470" s="8017"/>
      <c r="F470" s="7953" t="s">
        <v>634</v>
      </c>
      <c r="G470" s="8514"/>
      <c r="H470" s="8514"/>
      <c r="I470" s="8515" t="s">
        <v>150</v>
      </c>
      <c r="J470" s="8516"/>
      <c r="K470" s="8090" t="s">
        <v>151</v>
      </c>
      <c r="L470" s="8166">
        <v>90000</v>
      </c>
      <c r="M470" s="8603">
        <v>230568</v>
      </c>
      <c r="N470" s="9287">
        <v>480000</v>
      </c>
      <c r="O470" s="9019"/>
      <c r="P470" s="7932"/>
      <c r="Q470" s="7932"/>
      <c r="R470" s="8509"/>
      <c r="AX470" s="7872"/>
    </row>
    <row r="471" spans="1:50" s="7887" customFormat="1" ht="30" hidden="1">
      <c r="A471" s="7872"/>
      <c r="B471" s="8510"/>
      <c r="C471" s="8139"/>
      <c r="D471" s="8524" t="s">
        <v>1215</v>
      </c>
      <c r="E471" s="8525"/>
      <c r="F471" s="7957" t="s">
        <v>628</v>
      </c>
      <c r="G471" s="8599"/>
      <c r="H471" s="8599"/>
      <c r="I471" s="8524" t="s">
        <v>1216</v>
      </c>
      <c r="J471" s="8525"/>
      <c r="K471" s="7957" t="s">
        <v>35</v>
      </c>
      <c r="L471" s="8042"/>
      <c r="M471" s="8036"/>
      <c r="N471" s="9243"/>
      <c r="O471" s="8995" t="s">
        <v>1946</v>
      </c>
      <c r="P471" s="7932" t="s">
        <v>1204</v>
      </c>
      <c r="Q471" s="7962"/>
      <c r="R471" s="8509" t="s">
        <v>1207</v>
      </c>
      <c r="AX471" s="7872"/>
    </row>
    <row r="472" spans="1:50" s="7887" customFormat="1" ht="20.100000000000001" hidden="1" customHeight="1">
      <c r="A472" s="7872"/>
      <c r="B472" s="8510"/>
      <c r="C472" s="7939"/>
      <c r="D472" s="8016" t="s">
        <v>134</v>
      </c>
      <c r="E472" s="8017"/>
      <c r="F472" s="7953" t="s">
        <v>33</v>
      </c>
      <c r="G472" s="8514"/>
      <c r="H472" s="8514"/>
      <c r="I472" s="8506" t="s">
        <v>135</v>
      </c>
      <c r="J472" s="8508"/>
      <c r="K472" s="7941" t="s">
        <v>35</v>
      </c>
      <c r="L472" s="8167">
        <v>573</v>
      </c>
      <c r="M472" s="8606">
        <v>1488.427551</v>
      </c>
      <c r="N472" s="9288">
        <v>1455.5678379999999</v>
      </c>
      <c r="O472" s="9019" t="s">
        <v>1947</v>
      </c>
      <c r="P472" s="7932"/>
      <c r="Q472" s="7932"/>
      <c r="R472" s="8509"/>
      <c r="AX472" s="7872"/>
    </row>
    <row r="473" spans="1:50" s="7887" customFormat="1" ht="20.100000000000001" hidden="1" customHeight="1">
      <c r="A473" s="7872"/>
      <c r="B473" s="8510"/>
      <c r="C473" s="7939"/>
      <c r="D473" s="8016" t="s">
        <v>137</v>
      </c>
      <c r="E473" s="8017"/>
      <c r="F473" s="7953" t="s">
        <v>33</v>
      </c>
      <c r="G473" s="8514"/>
      <c r="H473" s="8514"/>
      <c r="I473" s="8506" t="s">
        <v>138</v>
      </c>
      <c r="J473" s="8508"/>
      <c r="K473" s="7941" t="s">
        <v>35</v>
      </c>
      <c r="L473" s="8167">
        <f>'4DPLEX'!W293</f>
        <v>262</v>
      </c>
      <c r="M473" s="8606">
        <v>300</v>
      </c>
      <c r="N473" s="9289">
        <v>554</v>
      </c>
      <c r="O473" s="9019"/>
      <c r="P473" s="7932"/>
      <c r="Q473" s="7932"/>
      <c r="R473" s="8509"/>
      <c r="AX473" s="7872"/>
    </row>
    <row r="474" spans="1:50" s="7887" customFormat="1" ht="20.100000000000001" hidden="1" customHeight="1">
      <c r="A474" s="7872"/>
      <c r="B474" s="8510"/>
      <c r="C474" s="7939"/>
      <c r="D474" s="8016" t="s">
        <v>140</v>
      </c>
      <c r="E474" s="8017"/>
      <c r="F474" s="7953" t="s">
        <v>272</v>
      </c>
      <c r="G474" s="8514"/>
      <c r="H474" s="8514"/>
      <c r="I474" s="8515" t="s">
        <v>141</v>
      </c>
      <c r="J474" s="8516"/>
      <c r="K474" s="8090" t="s">
        <v>142</v>
      </c>
      <c r="L474" s="8167">
        <v>2360235</v>
      </c>
      <c r="M474" s="8607">
        <v>2368371</v>
      </c>
      <c r="N474" s="9288">
        <v>3604166.02</v>
      </c>
      <c r="O474" s="9019" t="s">
        <v>1219</v>
      </c>
      <c r="P474" s="7932"/>
      <c r="Q474" s="7932"/>
      <c r="R474" s="8509"/>
      <c r="AX474" s="7872"/>
    </row>
    <row r="475" spans="1:50" s="7887" customFormat="1" ht="20.100000000000001" hidden="1" customHeight="1">
      <c r="A475" s="7872"/>
      <c r="B475" s="8510"/>
      <c r="C475" s="8504"/>
      <c r="D475" s="8016" t="s">
        <v>143</v>
      </c>
      <c r="E475" s="8017"/>
      <c r="F475" s="7953" t="s">
        <v>630</v>
      </c>
      <c r="G475" s="8514"/>
      <c r="H475" s="8514"/>
      <c r="I475" s="8515" t="s">
        <v>144</v>
      </c>
      <c r="J475" s="8516"/>
      <c r="K475" s="8090" t="s">
        <v>145</v>
      </c>
      <c r="L475" s="8167">
        <f>Vietnam!Q320</f>
        <v>2489059.0309999995</v>
      </c>
      <c r="M475" s="8606">
        <f>Vietnam!S320</f>
        <v>3129870.2530000005</v>
      </c>
      <c r="N475" s="9288">
        <f>Vietnam!U320</f>
        <v>3703376.2480000001</v>
      </c>
      <c r="O475" s="9019" t="s">
        <v>1948</v>
      </c>
      <c r="P475" s="7932"/>
      <c r="Q475" s="7932"/>
      <c r="R475" s="8509"/>
      <c r="AX475" s="7872"/>
    </row>
    <row r="476" spans="1:50" s="7887" customFormat="1" ht="20.100000000000001" hidden="1" customHeight="1">
      <c r="A476" s="7872"/>
      <c r="B476" s="8510"/>
      <c r="C476" s="7939"/>
      <c r="D476" s="8016" t="s">
        <v>146</v>
      </c>
      <c r="E476" s="8017"/>
      <c r="F476" s="7953" t="s">
        <v>632</v>
      </c>
      <c r="G476" s="8514"/>
      <c r="H476" s="8514"/>
      <c r="I476" s="8515" t="s">
        <v>147</v>
      </c>
      <c r="J476" s="8516"/>
      <c r="K476" s="8090" t="s">
        <v>148</v>
      </c>
      <c r="L476" s="8167">
        <f>Indonesia!V320</f>
        <v>1979819000</v>
      </c>
      <c r="M476" s="8606">
        <f>Indonesia!X320</f>
        <v>2507543000</v>
      </c>
      <c r="N476" s="9288">
        <f>Indonesia!Z320</f>
        <v>2412108000</v>
      </c>
      <c r="O476" s="9019"/>
      <c r="P476" s="7932"/>
      <c r="Q476" s="7932"/>
      <c r="R476" s="8509"/>
      <c r="AX476" s="7872"/>
    </row>
    <row r="477" spans="1:50" s="7887" customFormat="1" ht="20.100000000000001" hidden="1" customHeight="1">
      <c r="A477" s="7872"/>
      <c r="B477" s="8510"/>
      <c r="C477" s="7939"/>
      <c r="D477" s="8016" t="s">
        <v>149</v>
      </c>
      <c r="E477" s="8017"/>
      <c r="F477" s="7953" t="s">
        <v>634</v>
      </c>
      <c r="G477" s="8514"/>
      <c r="H477" s="8514"/>
      <c r="I477" s="8515" t="s">
        <v>150</v>
      </c>
      <c r="J477" s="8516"/>
      <c r="K477" s="8090" t="s">
        <v>151</v>
      </c>
      <c r="L477" s="8167">
        <v>1077621</v>
      </c>
      <c r="M477" s="8608">
        <v>1959718</v>
      </c>
      <c r="N477" s="9290">
        <v>3240355</v>
      </c>
      <c r="O477" s="9019"/>
      <c r="P477" s="7932"/>
      <c r="Q477" s="7932"/>
      <c r="R477" s="8509"/>
      <c r="AX477" s="7872"/>
    </row>
    <row r="478" spans="1:50" s="7887" customFormat="1" ht="20.100000000000001" hidden="1" customHeight="1">
      <c r="A478" s="7872"/>
      <c r="B478" s="8534"/>
      <c r="C478" s="8548" t="s">
        <v>1229</v>
      </c>
      <c r="D478" s="8549"/>
      <c r="E478" s="8512"/>
      <c r="F478" s="7957" t="s">
        <v>156</v>
      </c>
      <c r="G478" s="8601"/>
      <c r="H478" s="8511" t="s">
        <v>1230</v>
      </c>
      <c r="I478" s="8549"/>
      <c r="J478" s="8512"/>
      <c r="K478" s="7957" t="s">
        <v>156</v>
      </c>
      <c r="L478" s="8035">
        <f>IF(COUNTBLANK(L479:L484)&gt;0,"미취합법인有",AVERAGE(L479:L484))</f>
        <v>1.7453805429864253</v>
      </c>
      <c r="M478" s="8036">
        <f>IF(COUNTBLANK(M479:M484)&gt;0,"미취합법인有",AVERAGE(M479:M484))</f>
        <v>1.715870588235294</v>
      </c>
      <c r="N478" s="9243">
        <f>IF(COUNTBLANK(N479:N484)&gt;0,"미취합법인有",AVERAGE(N479:N484))</f>
        <v>1.6873668803418804</v>
      </c>
      <c r="O478" s="8995" t="s">
        <v>1949</v>
      </c>
      <c r="P478" s="7932"/>
      <c r="Q478" s="8609" t="s">
        <v>1233</v>
      </c>
      <c r="R478" s="8610"/>
      <c r="AX478" s="7872"/>
    </row>
    <row r="479" spans="1:50" s="7887" customFormat="1" ht="20.100000000000001" hidden="1" customHeight="1">
      <c r="A479" s="7872"/>
      <c r="B479" s="8510"/>
      <c r="C479" s="8502" t="s">
        <v>134</v>
      </c>
      <c r="D479" s="8503"/>
      <c r="E479" s="8504"/>
      <c r="F479" s="7953" t="s">
        <v>156</v>
      </c>
      <c r="G479" s="8514"/>
      <c r="H479" s="8506" t="s">
        <v>135</v>
      </c>
      <c r="I479" s="8507"/>
      <c r="J479" s="8508"/>
      <c r="K479" s="7941" t="s">
        <v>156</v>
      </c>
      <c r="L479" s="8129" t="s">
        <v>178</v>
      </c>
      <c r="M479" s="8109" t="s">
        <v>178</v>
      </c>
      <c r="N479" s="9258" t="s">
        <v>178</v>
      </c>
      <c r="O479" s="9811" t="s">
        <v>1950</v>
      </c>
      <c r="P479" s="7932"/>
      <c r="Q479" s="7932"/>
      <c r="R479" s="8509"/>
      <c r="AX479" s="7872"/>
    </row>
    <row r="480" spans="1:50" s="7887" customFormat="1" ht="20.100000000000001" hidden="1" customHeight="1">
      <c r="A480" s="7872"/>
      <c r="B480" s="8510"/>
      <c r="C480" s="8502" t="s">
        <v>137</v>
      </c>
      <c r="D480" s="8503"/>
      <c r="E480" s="8504"/>
      <c r="F480" s="7953" t="s">
        <v>156</v>
      </c>
      <c r="G480" s="8514"/>
      <c r="H480" s="8506" t="s">
        <v>138</v>
      </c>
      <c r="I480" s="8507"/>
      <c r="J480" s="8508"/>
      <c r="K480" s="7941" t="s">
        <v>156</v>
      </c>
      <c r="L480" s="8129" t="s">
        <v>178</v>
      </c>
      <c r="M480" s="8109" t="s">
        <v>178</v>
      </c>
      <c r="N480" s="9258" t="s">
        <v>178</v>
      </c>
      <c r="O480" s="9812"/>
      <c r="P480" s="7932"/>
      <c r="Q480" s="7932"/>
      <c r="R480" s="8509"/>
      <c r="AX480" s="7872"/>
    </row>
    <row r="481" spans="1:50" s="7887" customFormat="1" ht="20.100000000000001" hidden="1" customHeight="1">
      <c r="A481" s="7872"/>
      <c r="B481" s="8510"/>
      <c r="C481" s="8502" t="s">
        <v>140</v>
      </c>
      <c r="D481" s="8503"/>
      <c r="E481" s="8504"/>
      <c r="F481" s="7953" t="s">
        <v>156</v>
      </c>
      <c r="G481" s="8514"/>
      <c r="H481" s="8506" t="s">
        <v>141</v>
      </c>
      <c r="I481" s="8507"/>
      <c r="J481" s="8508"/>
      <c r="K481" s="7941" t="s">
        <v>156</v>
      </c>
      <c r="L481" s="8129" t="s">
        <v>178</v>
      </c>
      <c r="M481" s="8109" t="s">
        <v>178</v>
      </c>
      <c r="N481" s="9258" t="s">
        <v>178</v>
      </c>
      <c r="O481" s="9812"/>
      <c r="P481" s="7932"/>
      <c r="Q481" s="7932"/>
      <c r="R481" s="8509"/>
      <c r="AX481" s="7872"/>
    </row>
    <row r="482" spans="1:50" s="7887" customFormat="1" ht="20.100000000000001" hidden="1" customHeight="1">
      <c r="A482" s="7872"/>
      <c r="B482" s="8510"/>
      <c r="C482" s="8502" t="s">
        <v>143</v>
      </c>
      <c r="D482" s="8503"/>
      <c r="E482" s="8504"/>
      <c r="F482" s="7953" t="s">
        <v>156</v>
      </c>
      <c r="G482" s="8514"/>
      <c r="H482" s="8506" t="s">
        <v>144</v>
      </c>
      <c r="I482" s="8507"/>
      <c r="J482" s="8508"/>
      <c r="K482" s="7941" t="s">
        <v>156</v>
      </c>
      <c r="L482" s="8106">
        <v>1.7453805429864253</v>
      </c>
      <c r="M482" s="8109">
        <v>1.715870588235294</v>
      </c>
      <c r="N482" s="9258">
        <v>1.6873668803418804</v>
      </c>
      <c r="O482" s="9812"/>
      <c r="P482" s="7932"/>
      <c r="Q482" s="7932"/>
      <c r="R482" s="8509"/>
      <c r="AX482" s="7872"/>
    </row>
    <row r="483" spans="1:50" s="7887" customFormat="1" ht="20.100000000000001" hidden="1" customHeight="1">
      <c r="A483" s="7872"/>
      <c r="B483" s="8510"/>
      <c r="C483" s="8502" t="s">
        <v>146</v>
      </c>
      <c r="D483" s="8503"/>
      <c r="E483" s="8504"/>
      <c r="F483" s="7953" t="s">
        <v>156</v>
      </c>
      <c r="G483" s="8514"/>
      <c r="H483" s="8506" t="s">
        <v>147</v>
      </c>
      <c r="I483" s="8507"/>
      <c r="J483" s="8508"/>
      <c r="K483" s="7941" t="s">
        <v>156</v>
      </c>
      <c r="L483" s="8129" t="s">
        <v>178</v>
      </c>
      <c r="M483" s="8109" t="s">
        <v>178</v>
      </c>
      <c r="N483" s="9258" t="s">
        <v>178</v>
      </c>
      <c r="O483" s="9812"/>
      <c r="P483" s="7932"/>
      <c r="Q483" s="7932"/>
      <c r="R483" s="8509"/>
      <c r="AX483" s="7872"/>
    </row>
    <row r="484" spans="1:50" s="7887" customFormat="1" ht="20.100000000000001" hidden="1" customHeight="1">
      <c r="A484" s="7872"/>
      <c r="B484" s="8510"/>
      <c r="C484" s="8502" t="s">
        <v>149</v>
      </c>
      <c r="D484" s="8503"/>
      <c r="E484" s="8504"/>
      <c r="F484" s="8146" t="s">
        <v>156</v>
      </c>
      <c r="G484" s="8514"/>
      <c r="H484" s="8506" t="s">
        <v>150</v>
      </c>
      <c r="I484" s="8507"/>
      <c r="J484" s="8508"/>
      <c r="K484" s="7941" t="s">
        <v>156</v>
      </c>
      <c r="L484" s="8129" t="s">
        <v>178</v>
      </c>
      <c r="M484" s="8109" t="s">
        <v>178</v>
      </c>
      <c r="N484" s="9258" t="s">
        <v>178</v>
      </c>
      <c r="O484" s="9813"/>
      <c r="P484" s="7932"/>
      <c r="Q484" s="7932"/>
      <c r="R484" s="8509"/>
      <c r="AX484" s="7872"/>
    </row>
    <row r="485" spans="1:50" s="7887" customFormat="1" ht="20.100000000000001" customHeight="1">
      <c r="A485" s="7872"/>
      <c r="B485" s="8510"/>
      <c r="C485" s="8548" t="s">
        <v>1951</v>
      </c>
      <c r="D485" s="8549"/>
      <c r="E485" s="8512"/>
      <c r="F485" s="7957" t="s">
        <v>156</v>
      </c>
      <c r="G485" s="8513"/>
      <c r="H485" s="8511" t="s">
        <v>864</v>
      </c>
      <c r="I485" s="8549"/>
      <c r="J485" s="8512"/>
      <c r="K485" s="7957" t="s">
        <v>156</v>
      </c>
      <c r="L485" s="8035">
        <f t="shared" ref="L485:N486" si="14">L492/L499*100</f>
        <v>55.000000000000007</v>
      </c>
      <c r="M485" s="8036">
        <f t="shared" si="14"/>
        <v>56.521739130434781</v>
      </c>
      <c r="N485" s="9243">
        <f t="shared" si="14"/>
        <v>52.380952380952387</v>
      </c>
      <c r="O485" s="9027" t="s">
        <v>3691</v>
      </c>
      <c r="P485" s="8015"/>
      <c r="Q485" s="7992" t="s">
        <v>853</v>
      </c>
      <c r="R485" s="8500"/>
      <c r="AX485" s="7872"/>
    </row>
    <row r="486" spans="1:50" s="7887" customFormat="1" ht="20.100000000000001" customHeight="1">
      <c r="A486" s="7872"/>
      <c r="B486" s="8501"/>
      <c r="C486" s="8502" t="s">
        <v>134</v>
      </c>
      <c r="D486" s="8503"/>
      <c r="E486" s="8504"/>
      <c r="F486" s="7953" t="s">
        <v>156</v>
      </c>
      <c r="G486" s="8505"/>
      <c r="H486" s="8506" t="s">
        <v>135</v>
      </c>
      <c r="I486" s="8507"/>
      <c r="J486" s="8508"/>
      <c r="K486" s="7953" t="s">
        <v>156</v>
      </c>
      <c r="L486" s="8168">
        <f t="shared" si="14"/>
        <v>100</v>
      </c>
      <c r="M486" s="8169">
        <f t="shared" si="14"/>
        <v>100</v>
      </c>
      <c r="N486" s="9291">
        <f t="shared" si="14"/>
        <v>100</v>
      </c>
      <c r="O486" s="8994"/>
      <c r="P486" s="8088"/>
      <c r="Q486" s="7932"/>
      <c r="R486" s="8509"/>
      <c r="AX486" s="7872"/>
    </row>
    <row r="487" spans="1:50" s="7887" customFormat="1" ht="20.100000000000001" customHeight="1">
      <c r="A487" s="7872"/>
      <c r="B487" s="8501"/>
      <c r="C487" s="8502" t="s">
        <v>137</v>
      </c>
      <c r="D487" s="8503"/>
      <c r="E487" s="8504"/>
      <c r="F487" s="7953" t="s">
        <v>156</v>
      </c>
      <c r="G487" s="8505"/>
      <c r="H487" s="8506" t="s">
        <v>138</v>
      </c>
      <c r="I487" s="8507"/>
      <c r="J487" s="8508"/>
      <c r="K487" s="7953" t="s">
        <v>156</v>
      </c>
      <c r="L487" s="8168">
        <f t="shared" ref="L487:L490" si="15">L494/L501*100</f>
        <v>100</v>
      </c>
      <c r="M487" s="8169">
        <f t="shared" ref="M487" si="16">M494/M501*100</f>
        <v>100</v>
      </c>
      <c r="N487" s="9291">
        <f t="shared" ref="N487" si="17">N494/N501*100</f>
        <v>100</v>
      </c>
      <c r="O487" s="8994"/>
      <c r="P487" s="8088"/>
      <c r="Q487" s="7932"/>
      <c r="R487" s="8509"/>
      <c r="AX487" s="7872"/>
    </row>
    <row r="488" spans="1:50" s="7887" customFormat="1" ht="20.100000000000001" customHeight="1">
      <c r="A488" s="7872"/>
      <c r="B488" s="8501"/>
      <c r="C488" s="8502" t="s">
        <v>140</v>
      </c>
      <c r="D488" s="8503"/>
      <c r="E488" s="8504"/>
      <c r="F488" s="7953" t="s">
        <v>156</v>
      </c>
      <c r="G488" s="8505"/>
      <c r="H488" s="8506" t="s">
        <v>141</v>
      </c>
      <c r="I488" s="8507"/>
      <c r="J488" s="8508"/>
      <c r="K488" s="7953" t="s">
        <v>156</v>
      </c>
      <c r="L488" s="8168">
        <f t="shared" si="15"/>
        <v>0</v>
      </c>
      <c r="M488" s="8170">
        <f t="shared" ref="M488" si="18">M495/M502*100</f>
        <v>0</v>
      </c>
      <c r="N488" s="9291">
        <f t="shared" ref="N488" si="19">N495/N502*100</f>
        <v>0</v>
      </c>
      <c r="O488" s="8994"/>
      <c r="P488" s="8088"/>
      <c r="Q488" s="7932"/>
      <c r="R488" s="8509"/>
      <c r="AX488" s="7872"/>
    </row>
    <row r="489" spans="1:50" s="7887" customFormat="1" ht="20.100000000000001" customHeight="1">
      <c r="A489" s="7872"/>
      <c r="B489" s="8501"/>
      <c r="C489" s="8502" t="s">
        <v>143</v>
      </c>
      <c r="D489" s="8503"/>
      <c r="E489" s="8504"/>
      <c r="F489" s="7976" t="s">
        <v>156</v>
      </c>
      <c r="G489" s="8505"/>
      <c r="H489" s="8506" t="s">
        <v>144</v>
      </c>
      <c r="I489" s="8507"/>
      <c r="J489" s="8508"/>
      <c r="K489" s="7953" t="s">
        <v>156</v>
      </c>
      <c r="L489" s="8168">
        <f t="shared" si="15"/>
        <v>20</v>
      </c>
      <c r="M489" s="8169">
        <f t="shared" ref="M489" si="20">M496/M503*100</f>
        <v>20</v>
      </c>
      <c r="N489" s="9291">
        <f t="shared" ref="N489" si="21">N496/N503*100</f>
        <v>20</v>
      </c>
      <c r="O489" s="8994"/>
      <c r="P489" s="8088"/>
      <c r="Q489" s="7932"/>
      <c r="R489" s="8509"/>
      <c r="AX489" s="7872"/>
    </row>
    <row r="490" spans="1:50" s="7887" customFormat="1" ht="20.100000000000001" customHeight="1">
      <c r="A490" s="7872"/>
      <c r="B490" s="8501"/>
      <c r="C490" s="8502" t="s">
        <v>146</v>
      </c>
      <c r="D490" s="8503"/>
      <c r="E490" s="8503"/>
      <c r="F490" s="7953" t="s">
        <v>156</v>
      </c>
      <c r="G490" s="9208"/>
      <c r="H490" s="8506" t="s">
        <v>147</v>
      </c>
      <c r="I490" s="8507"/>
      <c r="J490" s="8508"/>
      <c r="K490" s="7953" t="s">
        <v>156</v>
      </c>
      <c r="L490" s="8168">
        <f t="shared" si="15"/>
        <v>57.142857142857139</v>
      </c>
      <c r="M490" s="8169">
        <f t="shared" ref="M490" si="22">M497/M504*100</f>
        <v>42.857142857142854</v>
      </c>
      <c r="N490" s="9291">
        <f t="shared" ref="N490" si="23">N497/N504*100</f>
        <v>42.857142857142854</v>
      </c>
      <c r="O490" s="8994"/>
      <c r="P490" s="8088"/>
      <c r="Q490" s="7932"/>
      <c r="R490" s="8509"/>
      <c r="AX490" s="7872"/>
    </row>
    <row r="491" spans="1:50" s="7887" customFormat="1" ht="20.100000000000001" customHeight="1" thickBot="1">
      <c r="A491" s="7872"/>
      <c r="B491" s="8501"/>
      <c r="C491" s="8502" t="s">
        <v>149</v>
      </c>
      <c r="D491" s="8503"/>
      <c r="E491" s="8504"/>
      <c r="F491" s="7953" t="s">
        <v>156</v>
      </c>
      <c r="G491" s="8505"/>
      <c r="H491" s="8506" t="s">
        <v>150</v>
      </c>
      <c r="I491" s="8507"/>
      <c r="J491" s="8508"/>
      <c r="K491" s="7953" t="s">
        <v>156</v>
      </c>
      <c r="L491" s="8168">
        <v>0</v>
      </c>
      <c r="M491" s="8170">
        <v>0</v>
      </c>
      <c r="N491" s="9292">
        <v>0</v>
      </c>
      <c r="O491" s="8994"/>
      <c r="P491" s="8088"/>
      <c r="Q491" s="7932"/>
      <c r="R491" s="8509"/>
      <c r="AX491" s="7872"/>
    </row>
    <row r="492" spans="1:50" s="7887" customFormat="1" ht="20.100000000000001" hidden="1" customHeight="1" thickBot="1">
      <c r="A492" s="7872"/>
      <c r="B492" s="8510"/>
      <c r="C492" s="8612"/>
      <c r="D492" s="8613" t="s">
        <v>1953</v>
      </c>
      <c r="E492" s="8614"/>
      <c r="F492" s="8171" t="s">
        <v>742</v>
      </c>
      <c r="G492" s="8615"/>
      <c r="H492" s="8616"/>
      <c r="I492" s="8617"/>
      <c r="J492" s="8618"/>
      <c r="K492" s="8171"/>
      <c r="L492" s="8172">
        <f>SUM(L493:L498)</f>
        <v>11</v>
      </c>
      <c r="M492" s="8173">
        <f>SUM(M493:M498)</f>
        <v>13</v>
      </c>
      <c r="N492" s="9293">
        <f>SUM(N493:N498)</f>
        <v>11</v>
      </c>
      <c r="O492" s="9035"/>
      <c r="P492" s="8015"/>
      <c r="Q492" s="7992"/>
      <c r="R492" s="8500"/>
      <c r="AX492" s="7872"/>
    </row>
    <row r="493" spans="1:50" s="7887" customFormat="1" ht="20.100000000000001" hidden="1" customHeight="1">
      <c r="A493" s="7872"/>
      <c r="B493" s="8501"/>
      <c r="C493" s="8543"/>
      <c r="D493" s="8016" t="s">
        <v>134</v>
      </c>
      <c r="E493" s="8017"/>
      <c r="F493" s="7953" t="s">
        <v>742</v>
      </c>
      <c r="G493" s="8505"/>
      <c r="H493" s="8506"/>
      <c r="I493" s="8507"/>
      <c r="J493" s="8508"/>
      <c r="K493" s="7953"/>
      <c r="L493" s="8174">
        <v>5</v>
      </c>
      <c r="M493" s="8160">
        <v>8</v>
      </c>
      <c r="N493" s="9279">
        <v>6</v>
      </c>
      <c r="O493" s="8994"/>
      <c r="P493" s="8088"/>
      <c r="Q493" s="7932"/>
      <c r="R493" s="8509"/>
      <c r="AX493" s="7872"/>
    </row>
    <row r="494" spans="1:50" s="7887" customFormat="1" ht="20.100000000000001" hidden="1" customHeight="1" thickBot="1">
      <c r="A494" s="7872"/>
      <c r="B494" s="8501"/>
      <c r="C494" s="8543"/>
      <c r="D494" s="8016" t="s">
        <v>137</v>
      </c>
      <c r="E494" s="8017"/>
      <c r="F494" s="7953" t="s">
        <v>742</v>
      </c>
      <c r="G494" s="8505"/>
      <c r="H494" s="8506"/>
      <c r="I494" s="8507"/>
      <c r="J494" s="8508"/>
      <c r="K494" s="7953"/>
      <c r="L494" s="8174">
        <v>1</v>
      </c>
      <c r="M494" s="8160">
        <v>1</v>
      </c>
      <c r="N494" s="9279">
        <v>1</v>
      </c>
      <c r="O494" s="8994"/>
      <c r="P494" s="8088"/>
      <c r="Q494" s="7932"/>
      <c r="R494" s="8509"/>
      <c r="AX494" s="7872"/>
    </row>
    <row r="495" spans="1:50" s="7887" customFormat="1" ht="20.100000000000001" hidden="1" customHeight="1" thickBot="1">
      <c r="A495" s="7872"/>
      <c r="B495" s="8501"/>
      <c r="C495" s="8543"/>
      <c r="D495" s="8016" t="s">
        <v>140</v>
      </c>
      <c r="E495" s="8017"/>
      <c r="F495" s="7953" t="s">
        <v>742</v>
      </c>
      <c r="G495" s="8505"/>
      <c r="H495" s="8506"/>
      <c r="I495" s="8507"/>
      <c r="J495" s="8508"/>
      <c r="K495" s="7953"/>
      <c r="L495" s="8174">
        <v>0</v>
      </c>
      <c r="M495" s="8160">
        <v>0</v>
      </c>
      <c r="N495" s="9279">
        <v>0</v>
      </c>
      <c r="O495" s="8994"/>
      <c r="P495" s="8088"/>
      <c r="Q495" s="7932"/>
      <c r="R495" s="8509"/>
      <c r="AX495" s="7872"/>
    </row>
    <row r="496" spans="1:50" s="7887" customFormat="1" ht="20.100000000000001" hidden="1" customHeight="1" thickBot="1">
      <c r="A496" s="7872"/>
      <c r="B496" s="8501"/>
      <c r="C496" s="8504"/>
      <c r="D496" s="8016" t="s">
        <v>143</v>
      </c>
      <c r="E496" s="8017"/>
      <c r="F496" s="7953" t="s">
        <v>742</v>
      </c>
      <c r="G496" s="8505"/>
      <c r="H496" s="8506"/>
      <c r="I496" s="8507"/>
      <c r="J496" s="8508"/>
      <c r="K496" s="7953"/>
      <c r="L496" s="8174">
        <v>1</v>
      </c>
      <c r="M496" s="8160">
        <v>1</v>
      </c>
      <c r="N496" s="9279">
        <v>1</v>
      </c>
      <c r="O496" s="8994"/>
      <c r="P496" s="8088"/>
      <c r="Q496" s="7932"/>
      <c r="R496" s="8509"/>
      <c r="AX496" s="7872"/>
    </row>
    <row r="497" spans="1:50" s="7887" customFormat="1" ht="20.100000000000001" hidden="1" customHeight="1" thickBot="1">
      <c r="A497" s="7872"/>
      <c r="B497" s="8501"/>
      <c r="C497" s="8543"/>
      <c r="D497" s="8016" t="s">
        <v>146</v>
      </c>
      <c r="E497" s="8017"/>
      <c r="F497" s="7953" t="s">
        <v>742</v>
      </c>
      <c r="G497" s="8505"/>
      <c r="H497" s="8506"/>
      <c r="I497" s="8507"/>
      <c r="J497" s="8508"/>
      <c r="K497" s="7953"/>
      <c r="L497" s="8174">
        <v>4</v>
      </c>
      <c r="M497" s="8160">
        <v>3</v>
      </c>
      <c r="N497" s="9279">
        <v>3</v>
      </c>
      <c r="O497" s="8994"/>
      <c r="P497" s="8088"/>
      <c r="Q497" s="7932"/>
      <c r="R497" s="8509"/>
      <c r="AX497" s="7872"/>
    </row>
    <row r="498" spans="1:50" s="7887" customFormat="1" ht="20.100000000000001" hidden="1" customHeight="1" thickBot="1">
      <c r="A498" s="7872"/>
      <c r="B498" s="8501"/>
      <c r="C498" s="8543"/>
      <c r="D498" s="8016" t="s">
        <v>149</v>
      </c>
      <c r="E498" s="8017"/>
      <c r="F498" s="7953" t="s">
        <v>742</v>
      </c>
      <c r="G498" s="8505"/>
      <c r="H498" s="8506"/>
      <c r="I498" s="8507"/>
      <c r="J498" s="8508"/>
      <c r="K498" s="7953"/>
      <c r="L498" s="8168">
        <v>0</v>
      </c>
      <c r="M498" s="8169">
        <v>0</v>
      </c>
      <c r="N498" s="9291">
        <v>0</v>
      </c>
      <c r="O498" s="8994"/>
      <c r="P498" s="8088"/>
      <c r="Q498" s="7932"/>
      <c r="R498" s="8509"/>
      <c r="AX498" s="7872"/>
    </row>
    <row r="499" spans="1:50" s="7887" customFormat="1" ht="20.100000000000001" hidden="1" customHeight="1" thickBot="1">
      <c r="A499" s="7872"/>
      <c r="B499" s="8510"/>
      <c r="C499" s="8612"/>
      <c r="D499" s="8613" t="s">
        <v>1954</v>
      </c>
      <c r="E499" s="8614"/>
      <c r="F499" s="8171" t="s">
        <v>742</v>
      </c>
      <c r="G499" s="8615"/>
      <c r="H499" s="8616"/>
      <c r="I499" s="8617"/>
      <c r="J499" s="8618"/>
      <c r="K499" s="8171"/>
      <c r="L499" s="8172">
        <f>SUM(L500:L505)</f>
        <v>20</v>
      </c>
      <c r="M499" s="8173">
        <f>SUM(M500:M505)</f>
        <v>23</v>
      </c>
      <c r="N499" s="9293">
        <f>SUM(N500:N505)</f>
        <v>21</v>
      </c>
      <c r="O499" s="9035"/>
      <c r="P499" s="8015"/>
      <c r="Q499" s="7992"/>
      <c r="R499" s="8500"/>
      <c r="AX499" s="7872"/>
    </row>
    <row r="500" spans="1:50" s="7887" customFormat="1" ht="20.100000000000001" hidden="1" customHeight="1" thickBot="1">
      <c r="A500" s="7872"/>
      <c r="B500" s="8501"/>
      <c r="C500" s="8543"/>
      <c r="D500" s="8016" t="s">
        <v>134</v>
      </c>
      <c r="E500" s="8017"/>
      <c r="F500" s="7953" t="s">
        <v>742</v>
      </c>
      <c r="G500" s="8505"/>
      <c r="H500" s="8506"/>
      <c r="I500" s="8507"/>
      <c r="J500" s="8508"/>
      <c r="K500" s="7953"/>
      <c r="L500" s="8174">
        <v>5</v>
      </c>
      <c r="M500" s="8160">
        <v>8</v>
      </c>
      <c r="N500" s="9279">
        <v>6</v>
      </c>
      <c r="O500" s="8994"/>
      <c r="P500" s="8088"/>
      <c r="Q500" s="7932"/>
      <c r="R500" s="8509"/>
      <c r="AX500" s="7872"/>
    </row>
    <row r="501" spans="1:50" s="7887" customFormat="1" ht="20.100000000000001" hidden="1" customHeight="1" thickBot="1">
      <c r="A501" s="7872"/>
      <c r="B501" s="8501"/>
      <c r="C501" s="8543"/>
      <c r="D501" s="8016" t="s">
        <v>137</v>
      </c>
      <c r="E501" s="8017"/>
      <c r="F501" s="7953" t="s">
        <v>742</v>
      </c>
      <c r="G501" s="8505"/>
      <c r="H501" s="8506"/>
      <c r="I501" s="8507"/>
      <c r="J501" s="8508"/>
      <c r="K501" s="7953"/>
      <c r="L501" s="8174">
        <v>1</v>
      </c>
      <c r="M501" s="8160">
        <v>1</v>
      </c>
      <c r="N501" s="9279">
        <v>1</v>
      </c>
      <c r="O501" s="8994"/>
      <c r="P501" s="8088"/>
      <c r="Q501" s="7932"/>
      <c r="R501" s="8509"/>
      <c r="AX501" s="7872"/>
    </row>
    <row r="502" spans="1:50" s="7887" customFormat="1" ht="20.100000000000001" hidden="1" customHeight="1" thickBot="1">
      <c r="A502" s="7872"/>
      <c r="B502" s="8501"/>
      <c r="C502" s="8543"/>
      <c r="D502" s="8016" t="s">
        <v>140</v>
      </c>
      <c r="E502" s="8017"/>
      <c r="F502" s="7953" t="s">
        <v>742</v>
      </c>
      <c r="G502" s="8505"/>
      <c r="H502" s="8506"/>
      <c r="I502" s="8507"/>
      <c r="J502" s="8508"/>
      <c r="K502" s="7953"/>
      <c r="L502" s="8174">
        <v>1</v>
      </c>
      <c r="M502" s="8160">
        <v>1</v>
      </c>
      <c r="N502" s="9279">
        <v>1</v>
      </c>
      <c r="O502" s="8994"/>
      <c r="P502" s="8088"/>
      <c r="Q502" s="7932"/>
      <c r="R502" s="8509"/>
      <c r="AX502" s="7872"/>
    </row>
    <row r="503" spans="1:50" s="7887" customFormat="1" ht="20.100000000000001" hidden="1" customHeight="1" thickBot="1">
      <c r="A503" s="7872"/>
      <c r="B503" s="8501"/>
      <c r="C503" s="8504"/>
      <c r="D503" s="8016" t="s">
        <v>143</v>
      </c>
      <c r="E503" s="8017"/>
      <c r="F503" s="7953" t="s">
        <v>742</v>
      </c>
      <c r="G503" s="8505"/>
      <c r="H503" s="8506"/>
      <c r="I503" s="8507"/>
      <c r="J503" s="8508"/>
      <c r="K503" s="7953"/>
      <c r="L503" s="8174">
        <v>5</v>
      </c>
      <c r="M503" s="8160">
        <v>5</v>
      </c>
      <c r="N503" s="9279">
        <v>5</v>
      </c>
      <c r="O503" s="9006"/>
      <c r="P503" s="8088"/>
      <c r="Q503" s="7932"/>
      <c r="R503" s="8509"/>
      <c r="AX503" s="7872"/>
    </row>
    <row r="504" spans="1:50" s="7887" customFormat="1" ht="20.100000000000001" hidden="1" customHeight="1" thickBot="1">
      <c r="A504" s="7872"/>
      <c r="B504" s="8501"/>
      <c r="C504" s="8543"/>
      <c r="D504" s="8016" t="s">
        <v>146</v>
      </c>
      <c r="E504" s="8017"/>
      <c r="F504" s="7953" t="s">
        <v>742</v>
      </c>
      <c r="G504" s="8505"/>
      <c r="H504" s="8506"/>
      <c r="I504" s="8507"/>
      <c r="J504" s="8508"/>
      <c r="K504" s="7953"/>
      <c r="L504" s="8174">
        <v>7</v>
      </c>
      <c r="M504" s="8160">
        <v>7</v>
      </c>
      <c r="N504" s="9279">
        <v>7</v>
      </c>
      <c r="O504" s="9006"/>
      <c r="P504" s="8088"/>
      <c r="Q504" s="7932"/>
      <c r="R504" s="8509"/>
      <c r="AX504" s="7872"/>
    </row>
    <row r="505" spans="1:50" s="7887" customFormat="1" ht="20.100000000000001" hidden="1" customHeight="1" thickBot="1">
      <c r="A505" s="7872"/>
      <c r="B505" s="9172"/>
      <c r="C505" s="9221"/>
      <c r="D505" s="9216" t="s">
        <v>149</v>
      </c>
      <c r="E505" s="9217"/>
      <c r="F505" s="7976" t="s">
        <v>742</v>
      </c>
      <c r="G505" s="9166"/>
      <c r="H505" s="9173"/>
      <c r="I505" s="9212"/>
      <c r="J505" s="9213"/>
      <c r="K505" s="7976"/>
      <c r="L505" s="9222">
        <v>1</v>
      </c>
      <c r="M505" s="9223">
        <v>1</v>
      </c>
      <c r="N505" s="9294">
        <v>1</v>
      </c>
      <c r="O505" s="9224"/>
      <c r="P505" s="8088"/>
      <c r="Q505" s="7932"/>
      <c r="R505" s="8509"/>
      <c r="AX505" s="7872"/>
    </row>
    <row r="506" spans="1:50" s="7887" customFormat="1" ht="21.75" thickBot="1">
      <c r="A506" s="7872"/>
      <c r="B506" s="8073" t="s">
        <v>952</v>
      </c>
      <c r="C506" s="8074"/>
      <c r="D506" s="8074"/>
      <c r="E506" s="8074"/>
      <c r="F506" s="8075"/>
      <c r="G506" s="8495" t="s">
        <v>953</v>
      </c>
      <c r="H506" s="8074"/>
      <c r="I506" s="8074"/>
      <c r="J506" s="8074"/>
      <c r="K506" s="8075"/>
      <c r="L506" s="8078"/>
      <c r="M506" s="8079"/>
      <c r="N506" s="9251"/>
      <c r="O506" s="8993"/>
      <c r="P506" s="8986"/>
      <c r="Q506" s="8080"/>
      <c r="R506" s="8496"/>
      <c r="AX506" s="7872"/>
    </row>
    <row r="507" spans="1:50" s="7887" customFormat="1" ht="20.100000000000001" customHeight="1">
      <c r="A507" s="7872"/>
      <c r="B507" s="8510"/>
      <c r="C507" s="8549" t="s">
        <v>1956</v>
      </c>
      <c r="D507" s="8549"/>
      <c r="E507" s="8512"/>
      <c r="F507" s="7957" t="s">
        <v>557</v>
      </c>
      <c r="G507" s="8619"/>
      <c r="H507" s="8511" t="s">
        <v>3738</v>
      </c>
      <c r="I507" s="8549"/>
      <c r="J507" s="8512"/>
      <c r="K507" s="7957" t="s">
        <v>559</v>
      </c>
      <c r="L507" s="8012">
        <f>SUM(L508:L513)</f>
        <v>4</v>
      </c>
      <c r="M507" s="8013">
        <f>SUM(M508:M513)</f>
        <v>4</v>
      </c>
      <c r="N507" s="9231">
        <f>SUM(N508:N513)</f>
        <v>4</v>
      </c>
      <c r="O507" s="8995" t="s">
        <v>3533</v>
      </c>
      <c r="P507" s="8987" t="s">
        <v>965</v>
      </c>
      <c r="Q507" s="8175"/>
      <c r="R507" s="8620"/>
      <c r="AX507" s="7872"/>
    </row>
    <row r="508" spans="1:50" s="7887" customFormat="1" ht="20.100000000000001" customHeight="1">
      <c r="A508" s="7872"/>
      <c r="B508" s="8510"/>
      <c r="C508" s="8503" t="s">
        <v>134</v>
      </c>
      <c r="D508" s="8503"/>
      <c r="E508" s="8504"/>
      <c r="F508" s="8090" t="s">
        <v>557</v>
      </c>
      <c r="G508" s="8621"/>
      <c r="H508" s="8506" t="s">
        <v>135</v>
      </c>
      <c r="I508" s="8507"/>
      <c r="J508" s="8508"/>
      <c r="K508" s="8090" t="s">
        <v>559</v>
      </c>
      <c r="L508" s="7935">
        <v>4</v>
      </c>
      <c r="M508" s="7936">
        <v>4</v>
      </c>
      <c r="N508" s="9249">
        <v>4</v>
      </c>
      <c r="O508" s="9006"/>
      <c r="P508" s="7932"/>
      <c r="Q508" s="7932"/>
      <c r="R508" s="8509"/>
      <c r="AX508" s="7872"/>
    </row>
    <row r="509" spans="1:50" s="7887" customFormat="1" ht="20.100000000000001" customHeight="1">
      <c r="A509" s="7872"/>
      <c r="B509" s="8510"/>
      <c r="C509" s="8503" t="s">
        <v>137</v>
      </c>
      <c r="D509" s="8503"/>
      <c r="E509" s="8504"/>
      <c r="F509" s="8090" t="s">
        <v>557</v>
      </c>
      <c r="G509" s="8621"/>
      <c r="H509" s="8506" t="s">
        <v>138</v>
      </c>
      <c r="I509" s="8507"/>
      <c r="J509" s="8508"/>
      <c r="K509" s="8090" t="s">
        <v>559</v>
      </c>
      <c r="L509" s="7935">
        <v>0</v>
      </c>
      <c r="M509" s="7936">
        <v>0</v>
      </c>
      <c r="N509" s="9253">
        <v>0</v>
      </c>
      <c r="O509" s="9006"/>
      <c r="P509" s="7932"/>
      <c r="Q509" s="7932"/>
      <c r="R509" s="8509"/>
      <c r="AX509" s="7872"/>
    </row>
    <row r="510" spans="1:50" s="7887" customFormat="1" ht="20.100000000000001" customHeight="1">
      <c r="A510" s="7872"/>
      <c r="B510" s="8510"/>
      <c r="C510" s="8503" t="s">
        <v>140</v>
      </c>
      <c r="D510" s="8503"/>
      <c r="E510" s="8504"/>
      <c r="F510" s="8090" t="s">
        <v>557</v>
      </c>
      <c r="G510" s="8621"/>
      <c r="H510" s="8506" t="s">
        <v>141</v>
      </c>
      <c r="I510" s="8507"/>
      <c r="J510" s="8508"/>
      <c r="K510" s="8090" t="s">
        <v>559</v>
      </c>
      <c r="L510" s="7935">
        <v>0</v>
      </c>
      <c r="M510" s="7936">
        <v>0</v>
      </c>
      <c r="N510" s="9253">
        <v>0</v>
      </c>
      <c r="O510" s="9006"/>
      <c r="P510" s="7932"/>
      <c r="Q510" s="7932"/>
      <c r="R510" s="8509"/>
      <c r="AX510" s="7872"/>
    </row>
    <row r="511" spans="1:50" s="7887" customFormat="1" ht="20.100000000000001" customHeight="1">
      <c r="A511" s="7872"/>
      <c r="B511" s="8510"/>
      <c r="C511" s="8503" t="s">
        <v>143</v>
      </c>
      <c r="D511" s="8503"/>
      <c r="E511" s="8504"/>
      <c r="F511" s="8090" t="s">
        <v>557</v>
      </c>
      <c r="G511" s="8621"/>
      <c r="H511" s="8506" t="s">
        <v>144</v>
      </c>
      <c r="I511" s="8507"/>
      <c r="J511" s="8508"/>
      <c r="K511" s="8090" t="s">
        <v>559</v>
      </c>
      <c r="L511" s="8031">
        <v>0</v>
      </c>
      <c r="M511" s="7936">
        <v>0</v>
      </c>
      <c r="N511" s="9238">
        <v>0</v>
      </c>
      <c r="O511" s="9006"/>
      <c r="P511" s="7932"/>
      <c r="Q511" s="7932"/>
      <c r="R511" s="8509"/>
      <c r="AX511" s="7872"/>
    </row>
    <row r="512" spans="1:50" s="7887" customFormat="1" ht="20.100000000000001" customHeight="1">
      <c r="A512" s="7872"/>
      <c r="B512" s="8510"/>
      <c r="C512" s="8503" t="s">
        <v>146</v>
      </c>
      <c r="D512" s="8503"/>
      <c r="E512" s="8504"/>
      <c r="F512" s="8090" t="s">
        <v>557</v>
      </c>
      <c r="G512" s="8621"/>
      <c r="H512" s="8506" t="s">
        <v>147</v>
      </c>
      <c r="I512" s="8507"/>
      <c r="J512" s="8508"/>
      <c r="K512" s="8090" t="s">
        <v>559</v>
      </c>
      <c r="L512" s="8031">
        <v>0</v>
      </c>
      <c r="M512" s="7936">
        <v>0</v>
      </c>
      <c r="N512" s="9238">
        <v>0</v>
      </c>
      <c r="O512" s="9006"/>
      <c r="P512" s="7932"/>
      <c r="Q512" s="7932"/>
      <c r="R512" s="8509"/>
      <c r="AX512" s="7872"/>
    </row>
    <row r="513" spans="1:50" s="7887" customFormat="1" ht="20.100000000000001" customHeight="1" thickBot="1">
      <c r="A513" s="7872"/>
      <c r="B513" s="8510"/>
      <c r="C513" s="8503" t="s">
        <v>149</v>
      </c>
      <c r="D513" s="8503"/>
      <c r="E513" s="8504"/>
      <c r="F513" s="8090" t="s">
        <v>557</v>
      </c>
      <c r="G513" s="8621"/>
      <c r="H513" s="8506" t="s">
        <v>150</v>
      </c>
      <c r="I513" s="8507"/>
      <c r="J513" s="8508"/>
      <c r="K513" s="8090" t="s">
        <v>559</v>
      </c>
      <c r="L513" s="8031">
        <v>0</v>
      </c>
      <c r="M513" s="7936">
        <v>0</v>
      </c>
      <c r="N513" s="9238">
        <v>0</v>
      </c>
      <c r="O513" s="9006"/>
      <c r="P513" s="7932"/>
      <c r="Q513" s="7932"/>
      <c r="R513" s="8509"/>
      <c r="AX513" s="7872"/>
    </row>
    <row r="514" spans="1:50" s="7887" customFormat="1" ht="20.100000000000001" customHeight="1">
      <c r="A514" s="7872"/>
      <c r="B514" s="8501"/>
      <c r="C514" s="8894" t="s">
        <v>3619</v>
      </c>
      <c r="D514" s="8549"/>
      <c r="E514" s="8622"/>
      <c r="F514" s="7998" t="s">
        <v>557</v>
      </c>
      <c r="G514" s="8601"/>
      <c r="H514" s="8550" t="s">
        <v>3737</v>
      </c>
      <c r="I514" s="8498"/>
      <c r="J514" s="8551"/>
      <c r="K514" s="7991" t="s">
        <v>559</v>
      </c>
      <c r="L514" s="8012">
        <f>IF(COUNTBLANK(L515:L520)&gt;0,"미취합법인有",SUM(L515:L520))</f>
        <v>4</v>
      </c>
      <c r="M514" s="8013">
        <f>IF(COUNTBLANK(M515:M520)&gt;0,"미취합법인有",SUM(M515:M520))</f>
        <v>7</v>
      </c>
      <c r="N514" s="9247">
        <f>IF(COUNTBLANK(N515:N520)&gt;0,"미취합법인有",SUM(N515:N520))</f>
        <v>5</v>
      </c>
      <c r="O514" s="9036"/>
      <c r="P514" s="8988" t="s">
        <v>958</v>
      </c>
      <c r="Q514" s="8176"/>
      <c r="R514" s="8623"/>
      <c r="AX514" s="7872"/>
    </row>
    <row r="515" spans="1:50" s="7887" customFormat="1" ht="20.100000000000001" customHeight="1">
      <c r="A515" s="7872"/>
      <c r="B515" s="8510"/>
      <c r="C515" s="8503" t="s">
        <v>134</v>
      </c>
      <c r="D515" s="8503"/>
      <c r="E515" s="8504"/>
      <c r="F515" s="8090" t="s">
        <v>557</v>
      </c>
      <c r="G515" s="8621"/>
      <c r="H515" s="8506" t="s">
        <v>135</v>
      </c>
      <c r="I515" s="8507"/>
      <c r="J515" s="8508"/>
      <c r="K515" s="8090" t="s">
        <v>559</v>
      </c>
      <c r="L515" s="7935">
        <v>4</v>
      </c>
      <c r="M515" s="7936">
        <v>7</v>
      </c>
      <c r="N515" s="9249">
        <v>5</v>
      </c>
      <c r="O515" s="9006"/>
      <c r="P515" s="7932"/>
      <c r="Q515" s="7932"/>
      <c r="R515" s="8509"/>
      <c r="AX515" s="7872"/>
    </row>
    <row r="516" spans="1:50" s="7887" customFormat="1" ht="20.100000000000001" customHeight="1">
      <c r="A516" s="7872"/>
      <c r="B516" s="8510"/>
      <c r="C516" s="8503" t="s">
        <v>137</v>
      </c>
      <c r="D516" s="8503"/>
      <c r="E516" s="8504"/>
      <c r="F516" s="8090" t="s">
        <v>557</v>
      </c>
      <c r="G516" s="8621"/>
      <c r="H516" s="8506" t="s">
        <v>138</v>
      </c>
      <c r="I516" s="8507"/>
      <c r="J516" s="8508"/>
      <c r="K516" s="8090" t="s">
        <v>559</v>
      </c>
      <c r="L516" s="7935">
        <v>0</v>
      </c>
      <c r="M516" s="7936">
        <v>0</v>
      </c>
      <c r="N516" s="9253">
        <v>0</v>
      </c>
      <c r="O516" s="9006"/>
      <c r="P516" s="7932"/>
      <c r="Q516" s="7932"/>
      <c r="R516" s="8509"/>
      <c r="AX516" s="7872"/>
    </row>
    <row r="517" spans="1:50" s="7887" customFormat="1" ht="20.100000000000001" customHeight="1">
      <c r="A517" s="7872"/>
      <c r="B517" s="8510"/>
      <c r="C517" s="8503" t="s">
        <v>140</v>
      </c>
      <c r="D517" s="8503"/>
      <c r="E517" s="8504"/>
      <c r="F517" s="8090" t="s">
        <v>557</v>
      </c>
      <c r="G517" s="8621"/>
      <c r="H517" s="8506" t="s">
        <v>141</v>
      </c>
      <c r="I517" s="8507"/>
      <c r="J517" s="8508"/>
      <c r="K517" s="8090" t="s">
        <v>559</v>
      </c>
      <c r="L517" s="7935">
        <v>0</v>
      </c>
      <c r="M517" s="7936">
        <v>0</v>
      </c>
      <c r="N517" s="9253">
        <v>0</v>
      </c>
      <c r="O517" s="9006"/>
      <c r="P517" s="7932"/>
      <c r="Q517" s="7932"/>
      <c r="R517" s="8509"/>
      <c r="AX517" s="7872"/>
    </row>
    <row r="518" spans="1:50" s="7887" customFormat="1" ht="20.100000000000001" customHeight="1">
      <c r="A518" s="7872"/>
      <c r="B518" s="8510"/>
      <c r="C518" s="8503" t="s">
        <v>143</v>
      </c>
      <c r="D518" s="8503"/>
      <c r="E518" s="8504"/>
      <c r="F518" s="8090" t="s">
        <v>557</v>
      </c>
      <c r="G518" s="8621"/>
      <c r="H518" s="8506" t="s">
        <v>144</v>
      </c>
      <c r="I518" s="8507"/>
      <c r="J518" s="8508"/>
      <c r="K518" s="8090" t="s">
        <v>559</v>
      </c>
      <c r="L518" s="8031">
        <v>0</v>
      </c>
      <c r="M518" s="7936">
        <v>0</v>
      </c>
      <c r="N518" s="9238">
        <v>0</v>
      </c>
      <c r="O518" s="9006"/>
      <c r="P518" s="7932"/>
      <c r="Q518" s="7932"/>
      <c r="R518" s="8509"/>
      <c r="AX518" s="7872"/>
    </row>
    <row r="519" spans="1:50" s="7887" customFormat="1" ht="20.100000000000001" customHeight="1">
      <c r="A519" s="7872"/>
      <c r="B519" s="8510"/>
      <c r="C519" s="8503" t="s">
        <v>146</v>
      </c>
      <c r="D519" s="8503"/>
      <c r="E519" s="8504"/>
      <c r="F519" s="8090" t="s">
        <v>557</v>
      </c>
      <c r="G519" s="8621"/>
      <c r="H519" s="8506" t="s">
        <v>147</v>
      </c>
      <c r="I519" s="8507"/>
      <c r="J519" s="8508"/>
      <c r="K519" s="8090" t="s">
        <v>559</v>
      </c>
      <c r="L519" s="8031">
        <v>0</v>
      </c>
      <c r="M519" s="7936">
        <v>0</v>
      </c>
      <c r="N519" s="9238">
        <v>0</v>
      </c>
      <c r="O519" s="9006"/>
      <c r="P519" s="7932"/>
      <c r="Q519" s="7932"/>
      <c r="R519" s="8509"/>
      <c r="AX519" s="7872"/>
    </row>
    <row r="520" spans="1:50" s="7887" customFormat="1" ht="20.100000000000001" customHeight="1">
      <c r="A520" s="7872"/>
      <c r="B520" s="8510"/>
      <c r="C520" s="8503" t="s">
        <v>149</v>
      </c>
      <c r="D520" s="8503"/>
      <c r="E520" s="8504"/>
      <c r="F520" s="8090" t="s">
        <v>557</v>
      </c>
      <c r="G520" s="8621"/>
      <c r="H520" s="8506" t="s">
        <v>150</v>
      </c>
      <c r="I520" s="8507"/>
      <c r="J520" s="8508"/>
      <c r="K520" s="8090" t="s">
        <v>559</v>
      </c>
      <c r="L520" s="8031">
        <v>0</v>
      </c>
      <c r="M520" s="7936">
        <v>0</v>
      </c>
      <c r="N520" s="9238">
        <v>0</v>
      </c>
      <c r="O520" s="9006"/>
      <c r="P520" s="7932"/>
      <c r="Q520" s="7932"/>
      <c r="R520" s="8509"/>
      <c r="AX520" s="7872"/>
    </row>
    <row r="521" spans="1:50" s="7887" customFormat="1" ht="20.100000000000001" customHeight="1">
      <c r="A521" s="7872"/>
      <c r="B521" s="8536"/>
      <c r="C521" s="8548" t="s">
        <v>972</v>
      </c>
      <c r="D521" s="8549"/>
      <c r="E521" s="8512"/>
      <c r="F521" s="7957" t="s">
        <v>156</v>
      </c>
      <c r="G521" s="8601"/>
      <c r="H521" s="8511" t="s">
        <v>973</v>
      </c>
      <c r="I521" s="8549"/>
      <c r="J521" s="8512"/>
      <c r="K521" s="8177" t="s">
        <v>156</v>
      </c>
      <c r="L521" s="8035">
        <f t="shared" ref="L521:N523" si="24">L528/L535*100</f>
        <v>99.627560521415276</v>
      </c>
      <c r="M521" s="8036">
        <f t="shared" si="24"/>
        <v>99.318568994889262</v>
      </c>
      <c r="N521" s="9243">
        <f t="shared" si="24"/>
        <v>99.919549477071598</v>
      </c>
      <c r="O521" s="9027" t="s">
        <v>3692</v>
      </c>
      <c r="P521" s="8989" t="s">
        <v>976</v>
      </c>
      <c r="Q521" s="8175"/>
      <c r="R521" s="8620"/>
      <c r="AX521" s="7872"/>
    </row>
    <row r="522" spans="1:50" s="7887" customFormat="1" ht="19.899999999999999" customHeight="1">
      <c r="A522" s="7872"/>
      <c r="B522" s="8501"/>
      <c r="C522" s="8502" t="s">
        <v>134</v>
      </c>
      <c r="D522" s="8503"/>
      <c r="E522" s="8504"/>
      <c r="F522" s="7953" t="s">
        <v>156</v>
      </c>
      <c r="G522" s="8505"/>
      <c r="H522" s="8506" t="s">
        <v>135</v>
      </c>
      <c r="I522" s="8507"/>
      <c r="J522" s="8508"/>
      <c r="K522" s="8024" t="s">
        <v>156</v>
      </c>
      <c r="L522" s="8178">
        <f t="shared" si="24"/>
        <v>99.788806758183739</v>
      </c>
      <c r="M522" s="8179">
        <f t="shared" si="24"/>
        <v>99.602780536246271</v>
      </c>
      <c r="N522" s="9295">
        <f t="shared" si="24"/>
        <v>100</v>
      </c>
      <c r="O522" s="9006"/>
      <c r="P522" s="8088"/>
      <c r="Q522" s="7932"/>
      <c r="R522" s="8509"/>
      <c r="AX522" s="7872"/>
    </row>
    <row r="523" spans="1:50" s="7887" customFormat="1" ht="19.899999999999999" customHeight="1">
      <c r="A523" s="7872"/>
      <c r="B523" s="8501"/>
      <c r="C523" s="8502" t="s">
        <v>137</v>
      </c>
      <c r="D523" s="8503"/>
      <c r="E523" s="8504"/>
      <c r="F523" s="7953" t="s">
        <v>156</v>
      </c>
      <c r="G523" s="8505"/>
      <c r="H523" s="8506" t="s">
        <v>138</v>
      </c>
      <c r="I523" s="8507"/>
      <c r="J523" s="8508"/>
      <c r="K523" s="8024" t="s">
        <v>156</v>
      </c>
      <c r="L523" s="8178">
        <f t="shared" si="24"/>
        <v>98.425196850393704</v>
      </c>
      <c r="M523" s="8179">
        <f t="shared" si="24"/>
        <v>97.604790419161674</v>
      </c>
      <c r="N523" s="9295">
        <f t="shared" si="24"/>
        <v>99.519230769230774</v>
      </c>
      <c r="O523" s="9006"/>
      <c r="P523" s="8088"/>
      <c r="Q523" s="7932"/>
      <c r="R523" s="8509"/>
      <c r="AX523" s="7872"/>
    </row>
    <row r="524" spans="1:50" s="7887" customFormat="1" ht="19.899999999999999" customHeight="1">
      <c r="A524" s="7872"/>
      <c r="B524" s="8501"/>
      <c r="C524" s="8502" t="s">
        <v>140</v>
      </c>
      <c r="D524" s="8503"/>
      <c r="E524" s="8504"/>
      <c r="F524" s="7953" t="s">
        <v>156</v>
      </c>
      <c r="G524" s="8505"/>
      <c r="H524" s="8506" t="s">
        <v>141</v>
      </c>
      <c r="I524" s="8507"/>
      <c r="J524" s="8508"/>
      <c r="K524" s="8024" t="s">
        <v>156</v>
      </c>
      <c r="L524" s="8181" t="s">
        <v>1958</v>
      </c>
      <c r="M524" s="8219" t="s">
        <v>1958</v>
      </c>
      <c r="N524" s="9269" t="s">
        <v>1958</v>
      </c>
      <c r="O524" s="9006"/>
      <c r="P524" s="8088"/>
      <c r="Q524" s="7932"/>
      <c r="R524" s="8509"/>
      <c r="AX524" s="7872"/>
    </row>
    <row r="525" spans="1:50" s="7887" customFormat="1" ht="19.899999999999999" customHeight="1">
      <c r="A525" s="7872"/>
      <c r="B525" s="8510"/>
      <c r="C525" s="8502" t="s">
        <v>143</v>
      </c>
      <c r="D525" s="8503"/>
      <c r="E525" s="8504"/>
      <c r="F525" s="8090" t="s">
        <v>156</v>
      </c>
      <c r="G525" s="8505"/>
      <c r="H525" s="8506" t="s">
        <v>144</v>
      </c>
      <c r="I525" s="8507"/>
      <c r="J525" s="8508"/>
      <c r="K525" s="8024" t="s">
        <v>156</v>
      </c>
      <c r="L525" s="8181" t="s">
        <v>1958</v>
      </c>
      <c r="M525" s="8219" t="s">
        <v>1958</v>
      </c>
      <c r="N525" s="9269" t="s">
        <v>1958</v>
      </c>
      <c r="O525" s="9006"/>
      <c r="P525" s="7932"/>
      <c r="Q525" s="7932"/>
      <c r="R525" s="8509"/>
      <c r="AX525" s="7872"/>
    </row>
    <row r="526" spans="1:50" s="7887" customFormat="1" ht="19.899999999999999" customHeight="1">
      <c r="A526" s="7872"/>
      <c r="B526" s="8510"/>
      <c r="C526" s="8502" t="s">
        <v>146</v>
      </c>
      <c r="D526" s="8503"/>
      <c r="E526" s="8504"/>
      <c r="F526" s="8090" t="s">
        <v>156</v>
      </c>
      <c r="G526" s="8621"/>
      <c r="H526" s="8506" t="s">
        <v>147</v>
      </c>
      <c r="I526" s="8507"/>
      <c r="J526" s="8508"/>
      <c r="K526" s="8024" t="s">
        <v>156</v>
      </c>
      <c r="L526" s="8181" t="s">
        <v>1958</v>
      </c>
      <c r="M526" s="8219" t="s">
        <v>1958</v>
      </c>
      <c r="N526" s="9269" t="s">
        <v>1958</v>
      </c>
      <c r="O526" s="9006"/>
      <c r="P526" s="7932"/>
      <c r="Q526" s="7932"/>
      <c r="R526" s="8509"/>
      <c r="AX526" s="7872"/>
    </row>
    <row r="527" spans="1:50" s="7887" customFormat="1" ht="19.899999999999999" customHeight="1">
      <c r="A527" s="7872"/>
      <c r="B527" s="8501"/>
      <c r="C527" s="8502" t="s">
        <v>149</v>
      </c>
      <c r="D527" s="8503"/>
      <c r="E527" s="8504"/>
      <c r="F527" s="7953" t="s">
        <v>156</v>
      </c>
      <c r="G527" s="8505"/>
      <c r="H527" s="8506" t="s">
        <v>150</v>
      </c>
      <c r="I527" s="8507"/>
      <c r="J527" s="8508"/>
      <c r="K527" s="8024" t="s">
        <v>156</v>
      </c>
      <c r="L527" s="8181" t="s">
        <v>1958</v>
      </c>
      <c r="M527" s="8219" t="s">
        <v>1958</v>
      </c>
      <c r="N527" s="9269" t="s">
        <v>1958</v>
      </c>
      <c r="O527" s="9006"/>
      <c r="P527" s="8088"/>
      <c r="Q527" s="7932"/>
      <c r="R527" s="8509"/>
      <c r="AX527" s="7872"/>
    </row>
    <row r="528" spans="1:50" s="7887" customFormat="1" ht="20.100000000000001" hidden="1" customHeight="1">
      <c r="A528" s="7872"/>
      <c r="B528" s="8510"/>
      <c r="C528" s="8182"/>
      <c r="D528" s="8524" t="s">
        <v>978</v>
      </c>
      <c r="E528" s="8525"/>
      <c r="F528" s="7957" t="s">
        <v>742</v>
      </c>
      <c r="G528" s="8624"/>
      <c r="H528" s="8625"/>
      <c r="I528" s="8524" t="s">
        <v>979</v>
      </c>
      <c r="J528" s="8525"/>
      <c r="K528" s="8177" t="s">
        <v>734</v>
      </c>
      <c r="L528" s="8012">
        <f>SUM(L529:L534)</f>
        <v>1070</v>
      </c>
      <c r="M528" s="8013">
        <f>SUM(M529:M534)</f>
        <v>1166</v>
      </c>
      <c r="N528" s="9231">
        <f>SUM(N529:N534)</f>
        <v>1242</v>
      </c>
      <c r="O528" s="9002"/>
      <c r="P528" s="8989" t="s">
        <v>976</v>
      </c>
      <c r="Q528" s="8175"/>
      <c r="R528" s="8620"/>
      <c r="AX528" s="7872"/>
    </row>
    <row r="529" spans="1:50" s="7887" customFormat="1" ht="20.100000000000001" hidden="1" customHeight="1">
      <c r="A529" s="7872"/>
      <c r="B529" s="8510"/>
      <c r="C529" s="7939"/>
      <c r="D529" s="8016" t="s">
        <v>134</v>
      </c>
      <c r="E529" s="8017"/>
      <c r="F529" s="7953" t="s">
        <v>742</v>
      </c>
      <c r="G529" s="8514"/>
      <c r="H529" s="8528"/>
      <c r="I529" s="8506" t="s">
        <v>135</v>
      </c>
      <c r="J529" s="8508"/>
      <c r="K529" s="8024" t="s">
        <v>734</v>
      </c>
      <c r="L529" s="8140">
        <v>945</v>
      </c>
      <c r="M529" s="8099">
        <v>1003</v>
      </c>
      <c r="N529" s="9273">
        <v>1035</v>
      </c>
      <c r="O529" s="9019"/>
      <c r="P529" s="7932"/>
      <c r="Q529" s="7932"/>
      <c r="R529" s="8509"/>
      <c r="AX529" s="7872"/>
    </row>
    <row r="530" spans="1:50" s="7887" customFormat="1" ht="20.100000000000001" hidden="1" customHeight="1">
      <c r="A530" s="7872"/>
      <c r="B530" s="8510"/>
      <c r="C530" s="7939"/>
      <c r="D530" s="8016" t="s">
        <v>137</v>
      </c>
      <c r="E530" s="8017"/>
      <c r="F530" s="7953" t="s">
        <v>742</v>
      </c>
      <c r="G530" s="8514"/>
      <c r="H530" s="8528"/>
      <c r="I530" s="8506" t="s">
        <v>138</v>
      </c>
      <c r="J530" s="8508"/>
      <c r="K530" s="8024" t="s">
        <v>734</v>
      </c>
      <c r="L530" s="7935">
        <v>125</v>
      </c>
      <c r="M530" s="7936">
        <v>163</v>
      </c>
      <c r="N530" s="9253">
        <v>207</v>
      </c>
      <c r="O530" s="9019" t="s">
        <v>1959</v>
      </c>
      <c r="P530" s="7932"/>
      <c r="Q530" s="7932"/>
      <c r="R530" s="8509"/>
      <c r="AX530" s="7872"/>
    </row>
    <row r="531" spans="1:50" s="7887" customFormat="1" ht="20.100000000000001" hidden="1" customHeight="1">
      <c r="A531" s="7872"/>
      <c r="B531" s="8510"/>
      <c r="C531" s="7939"/>
      <c r="D531" s="8016" t="s">
        <v>140</v>
      </c>
      <c r="E531" s="8017"/>
      <c r="F531" s="7953" t="s">
        <v>742</v>
      </c>
      <c r="G531" s="8514"/>
      <c r="H531" s="8528"/>
      <c r="I531" s="8515" t="s">
        <v>141</v>
      </c>
      <c r="J531" s="8516"/>
      <c r="K531" s="8024" t="s">
        <v>734</v>
      </c>
      <c r="L531" s="8181" t="s">
        <v>1958</v>
      </c>
      <c r="M531" s="8219" t="s">
        <v>1958</v>
      </c>
      <c r="N531" s="9269" t="s">
        <v>1958</v>
      </c>
      <c r="O531" s="9019"/>
      <c r="P531" s="7932"/>
      <c r="Q531" s="7932"/>
      <c r="R531" s="8509"/>
      <c r="AX531" s="7872"/>
    </row>
    <row r="532" spans="1:50" s="7887" customFormat="1" ht="20.100000000000001" hidden="1" customHeight="1">
      <c r="A532" s="7872"/>
      <c r="B532" s="8510"/>
      <c r="C532" s="7939"/>
      <c r="D532" s="8016" t="s">
        <v>143</v>
      </c>
      <c r="E532" s="8017"/>
      <c r="F532" s="7953" t="s">
        <v>742</v>
      </c>
      <c r="G532" s="8514"/>
      <c r="H532" s="8528"/>
      <c r="I532" s="8515" t="s">
        <v>144</v>
      </c>
      <c r="J532" s="8516"/>
      <c r="K532" s="8024" t="s">
        <v>734</v>
      </c>
      <c r="L532" s="8181" t="s">
        <v>1958</v>
      </c>
      <c r="M532" s="8219" t="s">
        <v>1958</v>
      </c>
      <c r="N532" s="9269" t="s">
        <v>1958</v>
      </c>
      <c r="O532" s="9019"/>
      <c r="P532" s="7932"/>
      <c r="Q532" s="7932"/>
      <c r="R532" s="8509"/>
      <c r="AX532" s="7872"/>
    </row>
    <row r="533" spans="1:50" s="7887" customFormat="1" ht="20.100000000000001" hidden="1" customHeight="1">
      <c r="A533" s="7872"/>
      <c r="B533" s="8510"/>
      <c r="C533" s="7939"/>
      <c r="D533" s="8016" t="s">
        <v>146</v>
      </c>
      <c r="E533" s="8017"/>
      <c r="F533" s="7953" t="s">
        <v>742</v>
      </c>
      <c r="G533" s="8514"/>
      <c r="H533" s="8528"/>
      <c r="I533" s="8515" t="s">
        <v>147</v>
      </c>
      <c r="J533" s="8516"/>
      <c r="K533" s="8024" t="s">
        <v>734</v>
      </c>
      <c r="L533" s="8181" t="s">
        <v>1958</v>
      </c>
      <c r="M533" s="8219" t="s">
        <v>1958</v>
      </c>
      <c r="N533" s="9269" t="s">
        <v>1958</v>
      </c>
      <c r="O533" s="9019"/>
      <c r="P533" s="7932"/>
      <c r="Q533" s="7932"/>
      <c r="R533" s="8509"/>
      <c r="AX533" s="7872"/>
    </row>
    <row r="534" spans="1:50" s="7887" customFormat="1" ht="20.100000000000001" hidden="1" customHeight="1">
      <c r="A534" s="7872"/>
      <c r="B534" s="8510"/>
      <c r="C534" s="7939"/>
      <c r="D534" s="8016" t="s">
        <v>149</v>
      </c>
      <c r="E534" s="8017"/>
      <c r="F534" s="7953" t="s">
        <v>742</v>
      </c>
      <c r="G534" s="8514"/>
      <c r="H534" s="8528"/>
      <c r="I534" s="8515" t="s">
        <v>150</v>
      </c>
      <c r="J534" s="8516"/>
      <c r="K534" s="8024" t="s">
        <v>734</v>
      </c>
      <c r="L534" s="8181" t="s">
        <v>1958</v>
      </c>
      <c r="M534" s="8219" t="s">
        <v>1958</v>
      </c>
      <c r="N534" s="9269" t="s">
        <v>1958</v>
      </c>
      <c r="O534" s="9019"/>
      <c r="P534" s="7932"/>
      <c r="Q534" s="7932"/>
      <c r="R534" s="8509"/>
      <c r="AX534" s="7872"/>
    </row>
    <row r="535" spans="1:50" s="7887" customFormat="1" ht="20.100000000000001" hidden="1" customHeight="1">
      <c r="A535" s="7872"/>
      <c r="B535" s="8510"/>
      <c r="C535" s="8182"/>
      <c r="D535" s="8524" t="s">
        <v>1960</v>
      </c>
      <c r="E535" s="8525"/>
      <c r="F535" s="7957" t="s">
        <v>742</v>
      </c>
      <c r="G535" s="8624"/>
      <c r="H535" s="8625"/>
      <c r="I535" s="8524" t="s">
        <v>985</v>
      </c>
      <c r="J535" s="8525"/>
      <c r="K535" s="8177" t="s">
        <v>734</v>
      </c>
      <c r="L535" s="8012">
        <f>SUM(L536:L541)</f>
        <v>1074</v>
      </c>
      <c r="M535" s="8013">
        <f>SUM(M536:M541)</f>
        <v>1174</v>
      </c>
      <c r="N535" s="9231">
        <f>SUM(N536:N541)</f>
        <v>1243</v>
      </c>
      <c r="O535" s="8995"/>
      <c r="P535" s="8989" t="s">
        <v>976</v>
      </c>
      <c r="Q535" s="8175"/>
      <c r="R535" s="8620"/>
      <c r="AX535" s="7872"/>
    </row>
    <row r="536" spans="1:50" s="7887" customFormat="1" ht="20.100000000000001" hidden="1" customHeight="1">
      <c r="A536" s="7872"/>
      <c r="B536" s="8510"/>
      <c r="C536" s="7939"/>
      <c r="D536" s="8016" t="s">
        <v>134</v>
      </c>
      <c r="E536" s="8017"/>
      <c r="F536" s="7953" t="s">
        <v>742</v>
      </c>
      <c r="G536" s="8514"/>
      <c r="H536" s="8528"/>
      <c r="I536" s="8506" t="s">
        <v>135</v>
      </c>
      <c r="J536" s="8508"/>
      <c r="K536" s="8024" t="s">
        <v>734</v>
      </c>
      <c r="L536" s="8140">
        <v>947</v>
      </c>
      <c r="M536" s="8099">
        <v>1007</v>
      </c>
      <c r="N536" s="9273">
        <v>1035</v>
      </c>
      <c r="O536" s="9019" t="s">
        <v>1961</v>
      </c>
      <c r="P536" s="7932"/>
      <c r="Q536" s="7932"/>
      <c r="R536" s="8509"/>
      <c r="AX536" s="7872"/>
    </row>
    <row r="537" spans="1:50" s="7887" customFormat="1" ht="20.100000000000001" hidden="1" customHeight="1">
      <c r="A537" s="7872"/>
      <c r="B537" s="8510"/>
      <c r="C537" s="7939"/>
      <c r="D537" s="8016" t="s">
        <v>137</v>
      </c>
      <c r="E537" s="8017"/>
      <c r="F537" s="7953" t="s">
        <v>742</v>
      </c>
      <c r="G537" s="8514"/>
      <c r="H537" s="8528"/>
      <c r="I537" s="8506" t="s">
        <v>138</v>
      </c>
      <c r="J537" s="8508"/>
      <c r="K537" s="8024" t="s">
        <v>734</v>
      </c>
      <c r="L537" s="7935">
        <v>127</v>
      </c>
      <c r="M537" s="7936">
        <v>167</v>
      </c>
      <c r="N537" s="9253">
        <v>208</v>
      </c>
      <c r="O537" s="9019" t="s">
        <v>1959</v>
      </c>
      <c r="P537" s="7932"/>
      <c r="Q537" s="7932"/>
      <c r="R537" s="8509"/>
      <c r="AX537" s="7872"/>
    </row>
    <row r="538" spans="1:50" s="7887" customFormat="1" ht="20.100000000000001" hidden="1" customHeight="1">
      <c r="A538" s="7872"/>
      <c r="B538" s="8510"/>
      <c r="C538" s="7939"/>
      <c r="D538" s="8016" t="s">
        <v>140</v>
      </c>
      <c r="E538" s="8017"/>
      <c r="F538" s="7953" t="s">
        <v>742</v>
      </c>
      <c r="G538" s="8514"/>
      <c r="H538" s="8528"/>
      <c r="I538" s="8515" t="s">
        <v>141</v>
      </c>
      <c r="J538" s="8516"/>
      <c r="K538" s="8024" t="s">
        <v>734</v>
      </c>
      <c r="L538" s="8181" t="s">
        <v>1958</v>
      </c>
      <c r="M538" s="8219" t="s">
        <v>1958</v>
      </c>
      <c r="N538" s="9269" t="s">
        <v>1958</v>
      </c>
      <c r="O538" s="9019"/>
      <c r="P538" s="7932"/>
      <c r="Q538" s="7932"/>
      <c r="R538" s="8509"/>
      <c r="AX538" s="7872"/>
    </row>
    <row r="539" spans="1:50" s="7887" customFormat="1" ht="20.100000000000001" hidden="1" customHeight="1">
      <c r="A539" s="7872"/>
      <c r="B539" s="8510"/>
      <c r="C539" s="7939"/>
      <c r="D539" s="8016" t="s">
        <v>143</v>
      </c>
      <c r="E539" s="8017"/>
      <c r="F539" s="7953" t="s">
        <v>742</v>
      </c>
      <c r="G539" s="8514"/>
      <c r="H539" s="8528"/>
      <c r="I539" s="8515" t="s">
        <v>144</v>
      </c>
      <c r="J539" s="8516"/>
      <c r="K539" s="8024" t="s">
        <v>734</v>
      </c>
      <c r="L539" s="8181" t="s">
        <v>1958</v>
      </c>
      <c r="M539" s="8219" t="s">
        <v>1958</v>
      </c>
      <c r="N539" s="9269" t="s">
        <v>1958</v>
      </c>
      <c r="O539" s="9019"/>
      <c r="P539" s="7932"/>
      <c r="Q539" s="7932"/>
      <c r="R539" s="8509"/>
      <c r="AX539" s="7872"/>
    </row>
    <row r="540" spans="1:50" s="7887" customFormat="1" ht="20.100000000000001" hidden="1" customHeight="1">
      <c r="A540" s="7872"/>
      <c r="B540" s="8510"/>
      <c r="C540" s="7939"/>
      <c r="D540" s="8016" t="s">
        <v>146</v>
      </c>
      <c r="E540" s="8017"/>
      <c r="F540" s="7953" t="s">
        <v>742</v>
      </c>
      <c r="G540" s="8514"/>
      <c r="H540" s="8528"/>
      <c r="I540" s="8515" t="s">
        <v>147</v>
      </c>
      <c r="J540" s="8516"/>
      <c r="K540" s="8024" t="s">
        <v>734</v>
      </c>
      <c r="L540" s="8181" t="s">
        <v>1958</v>
      </c>
      <c r="M540" s="8219" t="s">
        <v>1958</v>
      </c>
      <c r="N540" s="9269" t="s">
        <v>1958</v>
      </c>
      <c r="O540" s="9019"/>
      <c r="P540" s="7932"/>
      <c r="Q540" s="7932"/>
      <c r="R540" s="8509"/>
      <c r="AX540" s="7872"/>
    </row>
    <row r="541" spans="1:50" s="7887" customFormat="1" ht="20.100000000000001" hidden="1" customHeight="1">
      <c r="A541" s="7872"/>
      <c r="B541" s="8510"/>
      <c r="C541" s="7939"/>
      <c r="D541" s="8016" t="s">
        <v>149</v>
      </c>
      <c r="E541" s="8017"/>
      <c r="F541" s="7953" t="s">
        <v>742</v>
      </c>
      <c r="G541" s="8514"/>
      <c r="H541" s="8528"/>
      <c r="I541" s="8515" t="s">
        <v>150</v>
      </c>
      <c r="J541" s="8516"/>
      <c r="K541" s="8024" t="s">
        <v>734</v>
      </c>
      <c r="L541" s="8181" t="s">
        <v>1958</v>
      </c>
      <c r="M541" s="8219" t="s">
        <v>1958</v>
      </c>
      <c r="N541" s="9269" t="s">
        <v>1958</v>
      </c>
      <c r="O541" s="9019"/>
      <c r="P541" s="7932"/>
      <c r="Q541" s="7932"/>
      <c r="R541" s="8509"/>
      <c r="AX541" s="7872"/>
    </row>
    <row r="542" spans="1:50" s="7887" customFormat="1">
      <c r="A542" s="7872"/>
      <c r="B542" s="8536"/>
      <c r="C542" s="8548" t="s">
        <v>988</v>
      </c>
      <c r="D542" s="8549"/>
      <c r="E542" s="8512"/>
      <c r="F542" s="7957" t="s">
        <v>156</v>
      </c>
      <c r="G542" s="8626"/>
      <c r="H542" s="8511" t="s">
        <v>989</v>
      </c>
      <c r="I542" s="8549"/>
      <c r="J542" s="8512"/>
      <c r="K542" s="8177" t="s">
        <v>156</v>
      </c>
      <c r="L542" s="8035">
        <f t="shared" ref="L542:N544" si="25">L549/L556*100</f>
        <v>95.278969957081543</v>
      </c>
      <c r="M542" s="8036">
        <f t="shared" si="25"/>
        <v>98.691099476439788</v>
      </c>
      <c r="N542" s="9243">
        <f t="shared" si="25"/>
        <v>99.837266069975598</v>
      </c>
      <c r="O542" s="9027" t="s">
        <v>3693</v>
      </c>
      <c r="P542" s="8989" t="s">
        <v>992</v>
      </c>
      <c r="Q542" s="8175"/>
      <c r="R542" s="8620"/>
      <c r="AX542" s="7872"/>
    </row>
    <row r="543" spans="1:50" s="7887" customFormat="1" ht="20.100000000000001" customHeight="1">
      <c r="A543" s="7872"/>
      <c r="B543" s="8510"/>
      <c r="C543" s="8502" t="s">
        <v>134</v>
      </c>
      <c r="D543" s="8503"/>
      <c r="E543" s="8504"/>
      <c r="F543" s="7953" t="s">
        <v>156</v>
      </c>
      <c r="G543" s="8514"/>
      <c r="H543" s="8506" t="s">
        <v>135</v>
      </c>
      <c r="I543" s="8507"/>
      <c r="J543" s="8508"/>
      <c r="K543" s="8024" t="s">
        <v>156</v>
      </c>
      <c r="L543" s="8178">
        <f t="shared" si="25"/>
        <v>95.938104448742749</v>
      </c>
      <c r="M543" s="8179">
        <f t="shared" si="25"/>
        <v>99.214145383104125</v>
      </c>
      <c r="N543" s="9295">
        <f t="shared" si="25"/>
        <v>100</v>
      </c>
      <c r="O543" s="8994"/>
      <c r="P543" s="7932"/>
      <c r="Q543" s="7932"/>
      <c r="R543" s="8509"/>
      <c r="AX543" s="7872"/>
    </row>
    <row r="544" spans="1:50" s="7887" customFormat="1" ht="20.100000000000001" customHeight="1">
      <c r="A544" s="7872"/>
      <c r="B544" s="8510"/>
      <c r="C544" s="8502" t="s">
        <v>137</v>
      </c>
      <c r="D544" s="8503"/>
      <c r="E544" s="8504"/>
      <c r="F544" s="7953" t="s">
        <v>156</v>
      </c>
      <c r="G544" s="8514"/>
      <c r="H544" s="8506" t="s">
        <v>138</v>
      </c>
      <c r="I544" s="8507"/>
      <c r="J544" s="8508"/>
      <c r="K544" s="8024" t="s">
        <v>156</v>
      </c>
      <c r="L544" s="8178">
        <f t="shared" si="25"/>
        <v>90.07633587786259</v>
      </c>
      <c r="M544" s="8179">
        <f t="shared" si="25"/>
        <v>94.53125</v>
      </c>
      <c r="N544" s="9295">
        <f t="shared" si="25"/>
        <v>99.029126213592235</v>
      </c>
      <c r="O544" s="8994"/>
      <c r="P544" s="7932"/>
      <c r="Q544" s="7932"/>
      <c r="R544" s="8509"/>
      <c r="AX544" s="7872"/>
    </row>
    <row r="545" spans="1:50" s="7887" customFormat="1" ht="20.100000000000001" customHeight="1">
      <c r="A545" s="7872"/>
      <c r="B545" s="8510"/>
      <c r="C545" s="8502" t="s">
        <v>140</v>
      </c>
      <c r="D545" s="8503"/>
      <c r="E545" s="8504"/>
      <c r="F545" s="7953" t="s">
        <v>156</v>
      </c>
      <c r="G545" s="8514"/>
      <c r="H545" s="8506" t="s">
        <v>141</v>
      </c>
      <c r="I545" s="8507"/>
      <c r="J545" s="8508"/>
      <c r="K545" s="8024" t="s">
        <v>156</v>
      </c>
      <c r="L545" s="8181" t="s">
        <v>1958</v>
      </c>
      <c r="M545" s="8219" t="s">
        <v>1958</v>
      </c>
      <c r="N545" s="9269" t="s">
        <v>1958</v>
      </c>
      <c r="O545" s="8994"/>
      <c r="P545" s="7932"/>
      <c r="Q545" s="7932"/>
      <c r="R545" s="8509"/>
      <c r="AX545" s="7872"/>
    </row>
    <row r="546" spans="1:50" s="7887" customFormat="1" ht="20.100000000000001" customHeight="1">
      <c r="A546" s="7872"/>
      <c r="B546" s="8510"/>
      <c r="C546" s="8502" t="s">
        <v>143</v>
      </c>
      <c r="D546" s="8503"/>
      <c r="E546" s="8504"/>
      <c r="F546" s="7953" t="s">
        <v>156</v>
      </c>
      <c r="G546" s="8514"/>
      <c r="H546" s="8506" t="s">
        <v>144</v>
      </c>
      <c r="I546" s="8507"/>
      <c r="J546" s="8508"/>
      <c r="K546" s="8024" t="s">
        <v>156</v>
      </c>
      <c r="L546" s="8181" t="s">
        <v>1958</v>
      </c>
      <c r="M546" s="8219" t="s">
        <v>1958</v>
      </c>
      <c r="N546" s="9269" t="s">
        <v>1958</v>
      </c>
      <c r="O546" s="8994"/>
      <c r="P546" s="7932"/>
      <c r="Q546" s="7932"/>
      <c r="R546" s="8509"/>
      <c r="AX546" s="7872"/>
    </row>
    <row r="547" spans="1:50" s="7887" customFormat="1" ht="20.100000000000001" customHeight="1">
      <c r="A547" s="7872"/>
      <c r="B547" s="8510"/>
      <c r="C547" s="8502" t="s">
        <v>146</v>
      </c>
      <c r="D547" s="8503"/>
      <c r="E547" s="8504"/>
      <c r="F547" s="7953" t="s">
        <v>156</v>
      </c>
      <c r="G547" s="8514"/>
      <c r="H547" s="8506" t="s">
        <v>147</v>
      </c>
      <c r="I547" s="8507"/>
      <c r="J547" s="8508"/>
      <c r="K547" s="8024" t="s">
        <v>156</v>
      </c>
      <c r="L547" s="8181" t="s">
        <v>1958</v>
      </c>
      <c r="M547" s="8219" t="s">
        <v>1958</v>
      </c>
      <c r="N547" s="9269" t="s">
        <v>1958</v>
      </c>
      <c r="O547" s="8994"/>
      <c r="P547" s="7932"/>
      <c r="Q547" s="7932"/>
      <c r="R547" s="8509"/>
      <c r="AX547" s="7872"/>
    </row>
    <row r="548" spans="1:50" s="7887" customFormat="1" ht="20.100000000000001" customHeight="1">
      <c r="A548" s="7872"/>
      <c r="B548" s="8510"/>
      <c r="C548" s="8502" t="s">
        <v>149</v>
      </c>
      <c r="D548" s="8503"/>
      <c r="E548" s="8504"/>
      <c r="F548" s="7953" t="s">
        <v>156</v>
      </c>
      <c r="G548" s="8514"/>
      <c r="H548" s="8506" t="s">
        <v>150</v>
      </c>
      <c r="I548" s="8507"/>
      <c r="J548" s="8508"/>
      <c r="K548" s="8024" t="s">
        <v>156</v>
      </c>
      <c r="L548" s="8181" t="s">
        <v>1958</v>
      </c>
      <c r="M548" s="8219" t="s">
        <v>1958</v>
      </c>
      <c r="N548" s="9269" t="s">
        <v>1958</v>
      </c>
      <c r="O548" s="8994"/>
      <c r="P548" s="7932"/>
      <c r="Q548" s="7932"/>
      <c r="R548" s="8509"/>
      <c r="AX548" s="7872"/>
    </row>
    <row r="549" spans="1:50" s="7887" customFormat="1" ht="20.100000000000001" hidden="1" customHeight="1">
      <c r="A549" s="7872"/>
      <c r="B549" s="8510"/>
      <c r="C549" s="8183"/>
      <c r="D549" s="8524" t="s">
        <v>994</v>
      </c>
      <c r="E549" s="8525"/>
      <c r="F549" s="7957" t="s">
        <v>742</v>
      </c>
      <c r="G549" s="8627"/>
      <c r="H549" s="8627"/>
      <c r="I549" s="8524" t="s">
        <v>995</v>
      </c>
      <c r="J549" s="8525"/>
      <c r="K549" s="8177" t="s">
        <v>734</v>
      </c>
      <c r="L549" s="8012">
        <f>SUM(L550:L555)</f>
        <v>1110</v>
      </c>
      <c r="M549" s="8013">
        <f>SUM(M550:M555)</f>
        <v>1131</v>
      </c>
      <c r="N549" s="9231">
        <f>SUM(N550:N555)</f>
        <v>1227</v>
      </c>
      <c r="O549" s="8995"/>
      <c r="P549" s="8989" t="s">
        <v>992</v>
      </c>
      <c r="Q549" s="8175"/>
      <c r="R549" s="8620"/>
      <c r="AX549" s="7872"/>
    </row>
    <row r="550" spans="1:50" s="7887" customFormat="1" ht="20.100000000000001" hidden="1" customHeight="1">
      <c r="A550" s="7872"/>
      <c r="B550" s="8510"/>
      <c r="C550" s="7939"/>
      <c r="D550" s="8016" t="s">
        <v>134</v>
      </c>
      <c r="E550" s="8017"/>
      <c r="F550" s="7953" t="s">
        <v>742</v>
      </c>
      <c r="G550" s="8514"/>
      <c r="H550" s="8514"/>
      <c r="I550" s="8506" t="s">
        <v>135</v>
      </c>
      <c r="J550" s="8508"/>
      <c r="K550" s="8024" t="s">
        <v>734</v>
      </c>
      <c r="L550" s="8140">
        <v>992</v>
      </c>
      <c r="M550" s="8099">
        <v>1010</v>
      </c>
      <c r="N550" s="9273">
        <v>1023</v>
      </c>
      <c r="O550" s="9019" t="s">
        <v>1962</v>
      </c>
      <c r="P550" s="7932"/>
      <c r="Q550" s="7932"/>
      <c r="R550" s="8509"/>
      <c r="AX550" s="7872"/>
    </row>
    <row r="551" spans="1:50" s="7887" customFormat="1" ht="20.100000000000001" hidden="1" customHeight="1">
      <c r="A551" s="7872"/>
      <c r="B551" s="8510"/>
      <c r="C551" s="7939"/>
      <c r="D551" s="8016" t="s">
        <v>137</v>
      </c>
      <c r="E551" s="8017"/>
      <c r="F551" s="7953" t="s">
        <v>742</v>
      </c>
      <c r="G551" s="8514"/>
      <c r="H551" s="8514"/>
      <c r="I551" s="8506" t="s">
        <v>138</v>
      </c>
      <c r="J551" s="8508"/>
      <c r="K551" s="8024" t="s">
        <v>734</v>
      </c>
      <c r="L551" s="7935">
        <v>118</v>
      </c>
      <c r="M551" s="7936">
        <v>121</v>
      </c>
      <c r="N551" s="9253">
        <v>204</v>
      </c>
      <c r="O551" s="9019" t="s">
        <v>1959</v>
      </c>
      <c r="P551" s="7932"/>
      <c r="Q551" s="7932"/>
      <c r="R551" s="8509"/>
      <c r="AX551" s="7872"/>
    </row>
    <row r="552" spans="1:50" s="7887" customFormat="1" ht="20.100000000000001" hidden="1" customHeight="1">
      <c r="A552" s="7872"/>
      <c r="B552" s="8510"/>
      <c r="C552" s="7939"/>
      <c r="D552" s="8016" t="s">
        <v>140</v>
      </c>
      <c r="E552" s="8017"/>
      <c r="F552" s="7953" t="s">
        <v>742</v>
      </c>
      <c r="G552" s="8514"/>
      <c r="H552" s="8514"/>
      <c r="I552" s="8515" t="s">
        <v>141</v>
      </c>
      <c r="J552" s="8516"/>
      <c r="K552" s="8024" t="s">
        <v>734</v>
      </c>
      <c r="L552" s="8181" t="s">
        <v>1958</v>
      </c>
      <c r="M552" s="8219" t="s">
        <v>1958</v>
      </c>
      <c r="N552" s="9269" t="s">
        <v>1958</v>
      </c>
      <c r="O552" s="9019"/>
      <c r="P552" s="7932"/>
      <c r="Q552" s="7932"/>
      <c r="R552" s="8509"/>
      <c r="AX552" s="7872"/>
    </row>
    <row r="553" spans="1:50" s="7887" customFormat="1" ht="20.100000000000001" hidden="1" customHeight="1">
      <c r="A553" s="7872"/>
      <c r="B553" s="8510"/>
      <c r="C553" s="7939"/>
      <c r="D553" s="8016" t="s">
        <v>143</v>
      </c>
      <c r="E553" s="8017"/>
      <c r="F553" s="7953" t="s">
        <v>742</v>
      </c>
      <c r="G553" s="8514"/>
      <c r="H553" s="8514"/>
      <c r="I553" s="8515" t="s">
        <v>144</v>
      </c>
      <c r="J553" s="8516"/>
      <c r="K553" s="8024" t="s">
        <v>734</v>
      </c>
      <c r="L553" s="8181" t="s">
        <v>1958</v>
      </c>
      <c r="M553" s="8219" t="s">
        <v>1958</v>
      </c>
      <c r="N553" s="9269" t="s">
        <v>1958</v>
      </c>
      <c r="O553" s="9019"/>
      <c r="P553" s="7932"/>
      <c r="Q553" s="7932"/>
      <c r="R553" s="8509"/>
      <c r="AX553" s="7872"/>
    </row>
    <row r="554" spans="1:50" s="7887" customFormat="1" ht="20.100000000000001" hidden="1" customHeight="1">
      <c r="A554" s="7872"/>
      <c r="B554" s="8510"/>
      <c r="C554" s="7939"/>
      <c r="D554" s="8016" t="s">
        <v>146</v>
      </c>
      <c r="E554" s="8017"/>
      <c r="F554" s="7953" t="s">
        <v>742</v>
      </c>
      <c r="G554" s="8514"/>
      <c r="H554" s="8514"/>
      <c r="I554" s="8515" t="s">
        <v>147</v>
      </c>
      <c r="J554" s="8516"/>
      <c r="K554" s="8024" t="s">
        <v>734</v>
      </c>
      <c r="L554" s="8181" t="s">
        <v>1958</v>
      </c>
      <c r="M554" s="8219" t="s">
        <v>1958</v>
      </c>
      <c r="N554" s="9269" t="s">
        <v>1958</v>
      </c>
      <c r="O554" s="9019"/>
      <c r="P554" s="7932"/>
      <c r="Q554" s="7932"/>
      <c r="R554" s="8509"/>
      <c r="AX554" s="7872"/>
    </row>
    <row r="555" spans="1:50" s="7887" customFormat="1" ht="20.100000000000001" hidden="1" customHeight="1">
      <c r="A555" s="7872"/>
      <c r="B555" s="8510"/>
      <c r="C555" s="7939"/>
      <c r="D555" s="8016" t="s">
        <v>149</v>
      </c>
      <c r="E555" s="8017"/>
      <c r="F555" s="7953" t="s">
        <v>742</v>
      </c>
      <c r="G555" s="8514"/>
      <c r="H555" s="8514"/>
      <c r="I555" s="8515" t="s">
        <v>150</v>
      </c>
      <c r="J555" s="8516"/>
      <c r="K555" s="8024" t="s">
        <v>734</v>
      </c>
      <c r="L555" s="8181" t="s">
        <v>1958</v>
      </c>
      <c r="M555" s="8219" t="s">
        <v>1958</v>
      </c>
      <c r="N555" s="9269" t="s">
        <v>1958</v>
      </c>
      <c r="O555" s="9019"/>
      <c r="P555" s="7932"/>
      <c r="Q555" s="7932"/>
      <c r="R555" s="8509"/>
      <c r="AX555" s="7872"/>
    </row>
    <row r="556" spans="1:50" s="7887" customFormat="1" ht="20.100000000000001" hidden="1" customHeight="1">
      <c r="A556" s="7872"/>
      <c r="B556" s="8510"/>
      <c r="C556" s="8183"/>
      <c r="D556" s="8524" t="s">
        <v>1963</v>
      </c>
      <c r="E556" s="8525"/>
      <c r="F556" s="7957" t="s">
        <v>742</v>
      </c>
      <c r="G556" s="8627"/>
      <c r="H556" s="8627"/>
      <c r="I556" s="8524" t="s">
        <v>995</v>
      </c>
      <c r="J556" s="8525"/>
      <c r="K556" s="8177" t="s">
        <v>734</v>
      </c>
      <c r="L556" s="8012">
        <f>SUM(L557:L562)</f>
        <v>1165</v>
      </c>
      <c r="M556" s="8013">
        <f>SUM(M557:M562)</f>
        <v>1146</v>
      </c>
      <c r="N556" s="9231">
        <f>SUM(N557:N562)</f>
        <v>1229</v>
      </c>
      <c r="O556" s="8995" t="s">
        <v>3703</v>
      </c>
      <c r="P556" s="8989" t="s">
        <v>992</v>
      </c>
      <c r="Q556" s="8175"/>
      <c r="R556" s="8620"/>
      <c r="AX556" s="7872"/>
    </row>
    <row r="557" spans="1:50" s="7887" customFormat="1" ht="20.100000000000001" hidden="1" customHeight="1">
      <c r="A557" s="7872"/>
      <c r="B557" s="8510"/>
      <c r="C557" s="7939"/>
      <c r="D557" s="8016" t="s">
        <v>134</v>
      </c>
      <c r="E557" s="8017"/>
      <c r="F557" s="7953" t="s">
        <v>742</v>
      </c>
      <c r="G557" s="8514"/>
      <c r="H557" s="8514"/>
      <c r="I557" s="8506" t="s">
        <v>135</v>
      </c>
      <c r="J557" s="8508"/>
      <c r="K557" s="8024" t="s">
        <v>734</v>
      </c>
      <c r="L557" s="8098">
        <v>1034</v>
      </c>
      <c r="M557" s="8099">
        <v>1018</v>
      </c>
      <c r="N557" s="9273">
        <v>1023</v>
      </c>
      <c r="O557" s="9019" t="s">
        <v>1961</v>
      </c>
      <c r="P557" s="7932"/>
      <c r="Q557" s="7932"/>
      <c r="R557" s="8509"/>
      <c r="AX557" s="7872"/>
    </row>
    <row r="558" spans="1:50" s="7887" customFormat="1" ht="20.100000000000001" hidden="1" customHeight="1">
      <c r="A558" s="7872"/>
      <c r="B558" s="8510"/>
      <c r="C558" s="7939"/>
      <c r="D558" s="8016" t="s">
        <v>137</v>
      </c>
      <c r="E558" s="8017"/>
      <c r="F558" s="7953" t="s">
        <v>742</v>
      </c>
      <c r="G558" s="8514"/>
      <c r="H558" s="8514"/>
      <c r="I558" s="8506" t="s">
        <v>138</v>
      </c>
      <c r="J558" s="8508"/>
      <c r="K558" s="8024" t="s">
        <v>734</v>
      </c>
      <c r="L558" s="7935">
        <v>131</v>
      </c>
      <c r="M558" s="7936">
        <v>128</v>
      </c>
      <c r="N558" s="9253">
        <v>206</v>
      </c>
      <c r="O558" s="9019" t="s">
        <v>1959</v>
      </c>
      <c r="P558" s="7932"/>
      <c r="Q558" s="7932"/>
      <c r="R558" s="8509"/>
      <c r="AX558" s="7872"/>
    </row>
    <row r="559" spans="1:50" s="7887" customFormat="1" ht="20.100000000000001" hidden="1" customHeight="1">
      <c r="A559" s="7872"/>
      <c r="B559" s="8510"/>
      <c r="C559" s="7939"/>
      <c r="D559" s="8016" t="s">
        <v>140</v>
      </c>
      <c r="E559" s="8017"/>
      <c r="F559" s="7953" t="s">
        <v>742</v>
      </c>
      <c r="G559" s="8514"/>
      <c r="H559" s="8514"/>
      <c r="I559" s="8515" t="s">
        <v>141</v>
      </c>
      <c r="J559" s="8516"/>
      <c r="K559" s="8024" t="s">
        <v>734</v>
      </c>
      <c r="L559" s="8181" t="s">
        <v>1958</v>
      </c>
      <c r="M559" s="8219" t="s">
        <v>1958</v>
      </c>
      <c r="N559" s="9269" t="s">
        <v>1958</v>
      </c>
      <c r="O559" s="9019"/>
      <c r="P559" s="7932"/>
      <c r="Q559" s="7932"/>
      <c r="R559" s="8509"/>
      <c r="AX559" s="7872"/>
    </row>
    <row r="560" spans="1:50" s="7887" customFormat="1" ht="20.100000000000001" hidden="1" customHeight="1">
      <c r="A560" s="7872"/>
      <c r="B560" s="8510"/>
      <c r="C560" s="7939"/>
      <c r="D560" s="8016" t="s">
        <v>143</v>
      </c>
      <c r="E560" s="8017"/>
      <c r="F560" s="7953" t="s">
        <v>742</v>
      </c>
      <c r="G560" s="8514"/>
      <c r="H560" s="8514"/>
      <c r="I560" s="8515" t="s">
        <v>144</v>
      </c>
      <c r="J560" s="8516"/>
      <c r="K560" s="8024" t="s">
        <v>734</v>
      </c>
      <c r="L560" s="8181" t="s">
        <v>1958</v>
      </c>
      <c r="M560" s="8219" t="s">
        <v>1958</v>
      </c>
      <c r="N560" s="9269" t="s">
        <v>1958</v>
      </c>
      <c r="O560" s="9019"/>
      <c r="P560" s="7932"/>
      <c r="Q560" s="7932"/>
      <c r="R560" s="8509"/>
      <c r="AX560" s="7872"/>
    </row>
    <row r="561" spans="1:50" s="7887" customFormat="1" ht="20.100000000000001" hidden="1" customHeight="1">
      <c r="A561" s="7872"/>
      <c r="B561" s="8510"/>
      <c r="C561" s="7939"/>
      <c r="D561" s="8016" t="s">
        <v>146</v>
      </c>
      <c r="E561" s="8017"/>
      <c r="F561" s="7953" t="s">
        <v>742</v>
      </c>
      <c r="G561" s="8514"/>
      <c r="H561" s="8514"/>
      <c r="I561" s="8515" t="s">
        <v>147</v>
      </c>
      <c r="J561" s="8516"/>
      <c r="K561" s="8024" t="s">
        <v>734</v>
      </c>
      <c r="L561" s="8181" t="s">
        <v>1958</v>
      </c>
      <c r="M561" s="8219" t="s">
        <v>1958</v>
      </c>
      <c r="N561" s="9269" t="s">
        <v>1958</v>
      </c>
      <c r="O561" s="9019"/>
      <c r="P561" s="7932"/>
      <c r="Q561" s="7932"/>
      <c r="R561" s="8509"/>
      <c r="AX561" s="7872"/>
    </row>
    <row r="562" spans="1:50" s="7887" customFormat="1" ht="20.100000000000001" hidden="1" customHeight="1">
      <c r="A562" s="7872"/>
      <c r="B562" s="8510"/>
      <c r="C562" s="7939"/>
      <c r="D562" s="8016" t="s">
        <v>149</v>
      </c>
      <c r="E562" s="8017"/>
      <c r="F562" s="7953" t="s">
        <v>742</v>
      </c>
      <c r="G562" s="8514"/>
      <c r="H562" s="8514"/>
      <c r="I562" s="8515" t="s">
        <v>150</v>
      </c>
      <c r="J562" s="8516"/>
      <c r="K562" s="8024" t="s">
        <v>734</v>
      </c>
      <c r="L562" s="8181" t="s">
        <v>1958</v>
      </c>
      <c r="M562" s="8219" t="s">
        <v>1958</v>
      </c>
      <c r="N562" s="9269" t="s">
        <v>1958</v>
      </c>
      <c r="O562" s="9019"/>
      <c r="P562" s="7932"/>
      <c r="Q562" s="7932"/>
      <c r="R562" s="8509"/>
      <c r="AX562" s="7872"/>
    </row>
    <row r="563" spans="1:50" s="7887" customFormat="1" ht="20.100000000000001" customHeight="1">
      <c r="A563" s="7872"/>
      <c r="B563" s="8510"/>
      <c r="C563" s="8548" t="s">
        <v>1964</v>
      </c>
      <c r="D563" s="8549"/>
      <c r="E563" s="8512"/>
      <c r="F563" s="7957" t="s">
        <v>156</v>
      </c>
      <c r="G563" s="8628"/>
      <c r="H563" s="8511" t="s">
        <v>1001</v>
      </c>
      <c r="I563" s="8549"/>
      <c r="J563" s="8512"/>
      <c r="K563" s="8184" t="s">
        <v>156</v>
      </c>
      <c r="L563" s="8035">
        <f t="shared" ref="L563:N564" si="26">L570/L577*100</f>
        <v>70.409356725146196</v>
      </c>
      <c r="M563" s="8036">
        <f t="shared" si="26"/>
        <v>74.812178726769474</v>
      </c>
      <c r="N563" s="9243">
        <f t="shared" si="26"/>
        <v>75.117884020860018</v>
      </c>
      <c r="O563" s="9146" t="s">
        <v>3694</v>
      </c>
      <c r="P563" s="8989" t="s">
        <v>1003</v>
      </c>
      <c r="Q563" s="8015" t="s">
        <v>1004</v>
      </c>
      <c r="R563" s="8500"/>
      <c r="AX563" s="7872"/>
    </row>
    <row r="564" spans="1:50" s="7887" customFormat="1" ht="20.100000000000001" customHeight="1">
      <c r="A564" s="7872"/>
      <c r="B564" s="8510"/>
      <c r="C564" s="8502" t="s">
        <v>134</v>
      </c>
      <c r="D564" s="8503"/>
      <c r="E564" s="8504"/>
      <c r="F564" s="7953" t="s">
        <v>156</v>
      </c>
      <c r="G564" s="8514"/>
      <c r="H564" s="8506" t="s">
        <v>135</v>
      </c>
      <c r="I564" s="8507"/>
      <c r="J564" s="8508"/>
      <c r="K564" s="8185" t="s">
        <v>156</v>
      </c>
      <c r="L564" s="7942">
        <f t="shared" si="26"/>
        <v>100</v>
      </c>
      <c r="M564" s="8018">
        <f t="shared" si="26"/>
        <v>100</v>
      </c>
      <c r="N564" s="9244">
        <f t="shared" si="26"/>
        <v>100</v>
      </c>
      <c r="O564" s="8994" t="s">
        <v>1965</v>
      </c>
      <c r="P564" s="7932"/>
      <c r="Q564" s="7932"/>
      <c r="R564" s="8509"/>
      <c r="AX564" s="7872"/>
    </row>
    <row r="565" spans="1:50" s="7887" customFormat="1" ht="20.100000000000001" customHeight="1">
      <c r="A565" s="7872"/>
      <c r="B565" s="8510"/>
      <c r="C565" s="8502" t="s">
        <v>137</v>
      </c>
      <c r="D565" s="8503"/>
      <c r="E565" s="8504"/>
      <c r="F565" s="7953" t="s">
        <v>156</v>
      </c>
      <c r="G565" s="8514"/>
      <c r="H565" s="8506" t="s">
        <v>138</v>
      </c>
      <c r="I565" s="8507"/>
      <c r="J565" s="8508"/>
      <c r="K565" s="8185" t="s">
        <v>156</v>
      </c>
      <c r="L565" s="8112" t="s">
        <v>168</v>
      </c>
      <c r="M565" s="8018">
        <f>M572/M579*100</f>
        <v>100</v>
      </c>
      <c r="N565" s="9266">
        <v>100</v>
      </c>
      <c r="O565" s="8994" t="s">
        <v>1966</v>
      </c>
      <c r="P565" s="7932"/>
      <c r="Q565" s="7932"/>
      <c r="R565" s="8509"/>
      <c r="AX565" s="7872"/>
    </row>
    <row r="566" spans="1:50" s="7887" customFormat="1" ht="20.100000000000001" customHeight="1">
      <c r="A566" s="7872"/>
      <c r="B566" s="8510"/>
      <c r="C566" s="8502" t="s">
        <v>140</v>
      </c>
      <c r="D566" s="8503"/>
      <c r="E566" s="8504"/>
      <c r="F566" s="7953" t="s">
        <v>156</v>
      </c>
      <c r="G566" s="8514"/>
      <c r="H566" s="8506" t="s">
        <v>141</v>
      </c>
      <c r="I566" s="8507"/>
      <c r="J566" s="8508"/>
      <c r="K566" s="8185" t="s">
        <v>156</v>
      </c>
      <c r="L566" s="8829" t="s">
        <v>3605</v>
      </c>
      <c r="M566" s="8830" t="s">
        <v>3605</v>
      </c>
      <c r="N566" s="9296" t="s">
        <v>3605</v>
      </c>
      <c r="O566" s="8994" t="s">
        <v>525</v>
      </c>
      <c r="P566" s="7932"/>
      <c r="Q566" s="7932"/>
      <c r="R566" s="8509"/>
      <c r="AX566" s="7872"/>
    </row>
    <row r="567" spans="1:50" s="7887" customFormat="1" ht="20.25" customHeight="1">
      <c r="A567" s="7872"/>
      <c r="B567" s="8510"/>
      <c r="C567" s="8502" t="s">
        <v>143</v>
      </c>
      <c r="D567" s="8503"/>
      <c r="E567" s="8504"/>
      <c r="F567" s="7953" t="s">
        <v>156</v>
      </c>
      <c r="G567" s="8514"/>
      <c r="H567" s="8506" t="s">
        <v>144</v>
      </c>
      <c r="I567" s="8507"/>
      <c r="J567" s="8508"/>
      <c r="K567" s="8185" t="s">
        <v>156</v>
      </c>
      <c r="L567" s="8106">
        <v>12</v>
      </c>
      <c r="M567" s="8109">
        <v>16</v>
      </c>
      <c r="N567" s="9258">
        <v>17</v>
      </c>
      <c r="O567" s="8994" t="s">
        <v>3669</v>
      </c>
      <c r="P567" s="7932"/>
      <c r="Q567" s="7932"/>
      <c r="R567" s="8509"/>
      <c r="AX567" s="7872"/>
    </row>
    <row r="568" spans="1:50" s="7887" customFormat="1" ht="20.100000000000001" customHeight="1">
      <c r="A568" s="7872"/>
      <c r="B568" s="8510"/>
      <c r="C568" s="8502" t="s">
        <v>146</v>
      </c>
      <c r="D568" s="8503"/>
      <c r="E568" s="8504"/>
      <c r="F568" s="7953" t="s">
        <v>156</v>
      </c>
      <c r="G568" s="8514"/>
      <c r="H568" s="8506" t="s">
        <v>147</v>
      </c>
      <c r="I568" s="8507"/>
      <c r="J568" s="8508"/>
      <c r="K568" s="8185" t="s">
        <v>156</v>
      </c>
      <c r="L568" s="8112" t="s">
        <v>168</v>
      </c>
      <c r="M568" s="8219" t="s">
        <v>168</v>
      </c>
      <c r="N568" s="9269" t="s">
        <v>168</v>
      </c>
      <c r="O568" s="8994" t="s">
        <v>525</v>
      </c>
      <c r="P568" s="7932"/>
      <c r="Q568" s="7932"/>
      <c r="R568" s="8509"/>
      <c r="AX568" s="7872"/>
    </row>
    <row r="569" spans="1:50" s="7887" customFormat="1" ht="20.100000000000001" customHeight="1" thickBot="1">
      <c r="A569" s="7872"/>
      <c r="B569" s="8510"/>
      <c r="C569" s="8502" t="s">
        <v>149</v>
      </c>
      <c r="D569" s="8503"/>
      <c r="E569" s="8504"/>
      <c r="F569" s="7953" t="s">
        <v>156</v>
      </c>
      <c r="G569" s="8514"/>
      <c r="H569" s="8506" t="s">
        <v>150</v>
      </c>
      <c r="I569" s="8507"/>
      <c r="J569" s="8508"/>
      <c r="K569" s="8185" t="s">
        <v>156</v>
      </c>
      <c r="L569" s="8112" t="s">
        <v>168</v>
      </c>
      <c r="M569" s="8219" t="s">
        <v>168</v>
      </c>
      <c r="N569" s="9269" t="s">
        <v>168</v>
      </c>
      <c r="O569" s="8994" t="s">
        <v>525</v>
      </c>
      <c r="P569" s="7932"/>
      <c r="Q569" s="7932"/>
      <c r="R569" s="8509"/>
      <c r="AX569" s="7872"/>
    </row>
    <row r="570" spans="1:50" s="7887" customFormat="1" ht="20.100000000000001" hidden="1" customHeight="1" thickBot="1">
      <c r="A570" s="7872"/>
      <c r="B570" s="8510"/>
      <c r="C570" s="7939"/>
      <c r="D570" s="8511" t="s">
        <v>1006</v>
      </c>
      <c r="E570" s="8512"/>
      <c r="F570" s="8147" t="s">
        <v>742</v>
      </c>
      <c r="G570" s="8626"/>
      <c r="H570" s="8511" t="s">
        <v>1007</v>
      </c>
      <c r="I570" s="8549"/>
      <c r="J570" s="8512"/>
      <c r="K570" s="8147" t="s">
        <v>734</v>
      </c>
      <c r="L570" s="8012">
        <f>SUM(L571:L576)</f>
        <v>1204</v>
      </c>
      <c r="M570" s="8013">
        <f>SUM(M571:M576)</f>
        <v>1419</v>
      </c>
      <c r="N570" s="9231">
        <f>SUM(N571:N576)</f>
        <v>1415</v>
      </c>
      <c r="O570" s="9002"/>
      <c r="P570" s="8989" t="s">
        <v>1003</v>
      </c>
      <c r="Q570" s="7932" t="s">
        <v>1004</v>
      </c>
      <c r="R570" s="8509"/>
      <c r="AX570" s="7872"/>
    </row>
    <row r="571" spans="1:50" s="7887" customFormat="1" ht="20.100000000000001" hidden="1" customHeight="1">
      <c r="A571" s="7872"/>
      <c r="B571" s="8510"/>
      <c r="C571" s="7939"/>
      <c r="D571" s="8629" t="s">
        <v>134</v>
      </c>
      <c r="E571" s="8504"/>
      <c r="F571" s="8146" t="s">
        <v>742</v>
      </c>
      <c r="G571" s="8514"/>
      <c r="H571" s="8506" t="s">
        <v>135</v>
      </c>
      <c r="I571" s="8507"/>
      <c r="J571" s="8508"/>
      <c r="K571" s="8146" t="s">
        <v>734</v>
      </c>
      <c r="L571" s="7935">
        <v>1135</v>
      </c>
      <c r="M571" s="7936">
        <v>1097</v>
      </c>
      <c r="N571" s="9238">
        <v>1096</v>
      </c>
      <c r="O571" s="9006"/>
      <c r="P571" s="7932"/>
      <c r="Q571" s="7932"/>
      <c r="R571" s="8509"/>
      <c r="AX571" s="7872"/>
    </row>
    <row r="572" spans="1:50" s="7887" customFormat="1" ht="20.100000000000001" hidden="1" customHeight="1" thickBot="1">
      <c r="A572" s="7872"/>
      <c r="B572" s="8510"/>
      <c r="C572" s="7939"/>
      <c r="D572" s="8629" t="s">
        <v>137</v>
      </c>
      <c r="E572" s="8504"/>
      <c r="F572" s="8146" t="s">
        <v>742</v>
      </c>
      <c r="G572" s="8514"/>
      <c r="H572" s="8506" t="s">
        <v>138</v>
      </c>
      <c r="I572" s="8507"/>
      <c r="J572" s="8508"/>
      <c r="K572" s="8146" t="s">
        <v>734</v>
      </c>
      <c r="L572" s="8031" t="s">
        <v>168</v>
      </c>
      <c r="M572" s="7936">
        <v>231</v>
      </c>
      <c r="N572" s="9253">
        <v>223</v>
      </c>
      <c r="O572" s="8994" t="s">
        <v>1966</v>
      </c>
      <c r="P572" s="7932"/>
      <c r="Q572" s="7932"/>
      <c r="R572" s="8509"/>
      <c r="AX572" s="7872"/>
    </row>
    <row r="573" spans="1:50" s="7887" customFormat="1" ht="20.100000000000001" hidden="1" customHeight="1" thickBot="1">
      <c r="A573" s="7872"/>
      <c r="B573" s="8510"/>
      <c r="C573" s="7939"/>
      <c r="D573" s="8629" t="s">
        <v>140</v>
      </c>
      <c r="E573" s="8504"/>
      <c r="F573" s="8146" t="s">
        <v>742</v>
      </c>
      <c r="G573" s="8514"/>
      <c r="H573" s="8506" t="s">
        <v>141</v>
      </c>
      <c r="I573" s="8507"/>
      <c r="J573" s="8508"/>
      <c r="K573" s="8146" t="s">
        <v>734</v>
      </c>
      <c r="L573" s="8022" t="s">
        <v>3605</v>
      </c>
      <c r="M573" s="8827" t="s">
        <v>3605</v>
      </c>
      <c r="N573" s="9297" t="s">
        <v>3605</v>
      </c>
      <c r="O573" s="8994" t="s">
        <v>525</v>
      </c>
      <c r="P573" s="7932"/>
      <c r="Q573" s="7932"/>
      <c r="R573" s="8509"/>
      <c r="AX573" s="7872"/>
    </row>
    <row r="574" spans="1:50" s="7887" customFormat="1" ht="20.100000000000001" hidden="1" customHeight="1" thickBot="1">
      <c r="A574" s="7872"/>
      <c r="B574" s="8510"/>
      <c r="C574" s="7939"/>
      <c r="D574" s="8629" t="s">
        <v>143</v>
      </c>
      <c r="E574" s="8504"/>
      <c r="F574" s="8146" t="s">
        <v>742</v>
      </c>
      <c r="G574" s="8514"/>
      <c r="H574" s="8506" t="s">
        <v>144</v>
      </c>
      <c r="I574" s="8507"/>
      <c r="J574" s="8508"/>
      <c r="K574" s="8146" t="s">
        <v>734</v>
      </c>
      <c r="L574" s="7935">
        <v>69</v>
      </c>
      <c r="M574" s="7936">
        <v>91</v>
      </c>
      <c r="N574" s="9253">
        <v>96</v>
      </c>
      <c r="O574" s="8994" t="s">
        <v>3606</v>
      </c>
      <c r="P574" s="7932"/>
      <c r="Q574" s="7932"/>
      <c r="R574" s="8509"/>
      <c r="AX574" s="7872"/>
    </row>
    <row r="575" spans="1:50" s="7887" customFormat="1" ht="20.100000000000001" hidden="1" customHeight="1" thickBot="1">
      <c r="A575" s="7872"/>
      <c r="B575" s="8510"/>
      <c r="C575" s="7939"/>
      <c r="D575" s="8629" t="s">
        <v>146</v>
      </c>
      <c r="E575" s="8504"/>
      <c r="F575" s="8146" t="s">
        <v>742</v>
      </c>
      <c r="G575" s="8514"/>
      <c r="H575" s="8506" t="s">
        <v>147</v>
      </c>
      <c r="I575" s="8507"/>
      <c r="J575" s="8508"/>
      <c r="K575" s="8146" t="s">
        <v>734</v>
      </c>
      <c r="L575" s="8031" t="s">
        <v>168</v>
      </c>
      <c r="M575" s="8219" t="s">
        <v>168</v>
      </c>
      <c r="N575" s="9269" t="s">
        <v>168</v>
      </c>
      <c r="O575" s="8994" t="s">
        <v>525</v>
      </c>
      <c r="P575" s="7932"/>
      <c r="Q575" s="7932"/>
      <c r="R575" s="8509"/>
      <c r="AX575" s="7872"/>
    </row>
    <row r="576" spans="1:50" s="7887" customFormat="1" ht="20.100000000000001" hidden="1" customHeight="1" thickBot="1">
      <c r="A576" s="7872"/>
      <c r="B576" s="8510"/>
      <c r="C576" s="7939"/>
      <c r="D576" s="8629" t="s">
        <v>149</v>
      </c>
      <c r="E576" s="8504"/>
      <c r="F576" s="8146" t="s">
        <v>742</v>
      </c>
      <c r="G576" s="8514"/>
      <c r="H576" s="8506" t="s">
        <v>150</v>
      </c>
      <c r="I576" s="8507"/>
      <c r="J576" s="8508"/>
      <c r="K576" s="8146" t="s">
        <v>734</v>
      </c>
      <c r="L576" s="8031" t="s">
        <v>168</v>
      </c>
      <c r="M576" s="8219" t="s">
        <v>168</v>
      </c>
      <c r="N576" s="9269" t="s">
        <v>168</v>
      </c>
      <c r="O576" s="8994" t="s">
        <v>525</v>
      </c>
      <c r="P576" s="7932"/>
      <c r="Q576" s="7932"/>
      <c r="R576" s="8509"/>
      <c r="AX576" s="7872"/>
    </row>
    <row r="577" spans="1:50" s="7887" customFormat="1" ht="20.100000000000001" hidden="1" customHeight="1" thickBot="1">
      <c r="A577" s="7872"/>
      <c r="B577" s="8510"/>
      <c r="C577" s="7939"/>
      <c r="D577" s="8511" t="s">
        <v>1967</v>
      </c>
      <c r="E577" s="8512"/>
      <c r="F577" s="8147" t="s">
        <v>742</v>
      </c>
      <c r="G577" s="8626"/>
      <c r="H577" s="8511" t="s">
        <v>1007</v>
      </c>
      <c r="I577" s="8549"/>
      <c r="J577" s="8512"/>
      <c r="K577" s="8147" t="s">
        <v>734</v>
      </c>
      <c r="L577" s="8012">
        <f>SUM(L578:L583)</f>
        <v>1710</v>
      </c>
      <c r="M577" s="8013">
        <f>SUM(M578:M583)</f>
        <v>1896.75</v>
      </c>
      <c r="N577" s="9231">
        <f>SUM(N578:N583)</f>
        <v>1883.705882352941</v>
      </c>
      <c r="O577" s="9002"/>
      <c r="P577" s="8989" t="s">
        <v>1003</v>
      </c>
      <c r="Q577" s="7932" t="s">
        <v>1004</v>
      </c>
      <c r="R577" s="8509"/>
      <c r="AX577" s="7872"/>
    </row>
    <row r="578" spans="1:50" s="7887" customFormat="1" ht="20.100000000000001" hidden="1" customHeight="1" thickBot="1">
      <c r="A578" s="7872"/>
      <c r="B578" s="8510"/>
      <c r="C578" s="7939"/>
      <c r="D578" s="8629" t="s">
        <v>134</v>
      </c>
      <c r="E578" s="8504"/>
      <c r="F578" s="8146" t="s">
        <v>742</v>
      </c>
      <c r="G578" s="8514"/>
      <c r="H578" s="8506" t="s">
        <v>135</v>
      </c>
      <c r="I578" s="8507"/>
      <c r="J578" s="8508"/>
      <c r="K578" s="8146" t="s">
        <v>734</v>
      </c>
      <c r="L578" s="7935">
        <v>1135</v>
      </c>
      <c r="M578" s="7936">
        <v>1097</v>
      </c>
      <c r="N578" s="9238">
        <v>1096</v>
      </c>
      <c r="O578" s="9006"/>
      <c r="P578" s="7932"/>
      <c r="Q578" s="7932"/>
      <c r="R578" s="8509"/>
      <c r="AX578" s="7872"/>
    </row>
    <row r="579" spans="1:50" s="7887" customFormat="1" ht="20.100000000000001" hidden="1" customHeight="1" thickBot="1">
      <c r="A579" s="7872"/>
      <c r="B579" s="8510"/>
      <c r="C579" s="7939"/>
      <c r="D579" s="8629" t="s">
        <v>137</v>
      </c>
      <c r="E579" s="8504"/>
      <c r="F579" s="8146" t="s">
        <v>742</v>
      </c>
      <c r="G579" s="8514"/>
      <c r="H579" s="8506" t="s">
        <v>138</v>
      </c>
      <c r="I579" s="8507"/>
      <c r="J579" s="8508"/>
      <c r="K579" s="8146" t="s">
        <v>734</v>
      </c>
      <c r="L579" s="8031" t="s">
        <v>168</v>
      </c>
      <c r="M579" s="7936">
        <v>231</v>
      </c>
      <c r="N579" s="9253">
        <v>223</v>
      </c>
      <c r="O579" s="8994" t="s">
        <v>1966</v>
      </c>
      <c r="P579" s="7932"/>
      <c r="Q579" s="7932"/>
      <c r="R579" s="8509"/>
      <c r="AX579" s="7872"/>
    </row>
    <row r="580" spans="1:50" s="7887" customFormat="1" ht="20.100000000000001" hidden="1" customHeight="1" thickBot="1">
      <c r="A580" s="7872"/>
      <c r="B580" s="8510"/>
      <c r="C580" s="7939"/>
      <c r="D580" s="8629" t="s">
        <v>140</v>
      </c>
      <c r="E580" s="8504"/>
      <c r="F580" s="8146" t="s">
        <v>742</v>
      </c>
      <c r="G580" s="8514"/>
      <c r="H580" s="8506" t="s">
        <v>141</v>
      </c>
      <c r="I580" s="8507"/>
      <c r="J580" s="8508"/>
      <c r="K580" s="8146" t="s">
        <v>734</v>
      </c>
      <c r="L580" s="8828" t="s">
        <v>3605</v>
      </c>
      <c r="M580" s="8827" t="s">
        <v>3605</v>
      </c>
      <c r="N580" s="9297" t="s">
        <v>3605</v>
      </c>
      <c r="O580" s="8994" t="s">
        <v>525</v>
      </c>
      <c r="P580" s="7932"/>
      <c r="Q580" s="7932"/>
      <c r="R580" s="8509"/>
      <c r="AX580" s="7872"/>
    </row>
    <row r="581" spans="1:50" s="7887" customFormat="1" ht="20.100000000000001" hidden="1" customHeight="1" thickBot="1">
      <c r="A581" s="7872"/>
      <c r="B581" s="8510"/>
      <c r="C581" s="7939"/>
      <c r="D581" s="8629" t="s">
        <v>143</v>
      </c>
      <c r="E581" s="8504"/>
      <c r="F581" s="8146" t="s">
        <v>742</v>
      </c>
      <c r="G581" s="8514"/>
      <c r="H581" s="8506" t="s">
        <v>144</v>
      </c>
      <c r="I581" s="8507"/>
      <c r="J581" s="8508"/>
      <c r="K581" s="8146" t="s">
        <v>734</v>
      </c>
      <c r="L581" s="7935">
        <f>L574/(L567*0.01)</f>
        <v>575</v>
      </c>
      <c r="M581" s="7936">
        <f>M574/(M567*0.01)</f>
        <v>568.75</v>
      </c>
      <c r="N581" s="9238">
        <f>N574/(N567*0.01)</f>
        <v>564.7058823529411</v>
      </c>
      <c r="O581" s="8994" t="s">
        <v>3606</v>
      </c>
      <c r="P581" s="7932"/>
      <c r="Q581" s="7932"/>
      <c r="R581" s="8509"/>
      <c r="AX581" s="7872"/>
    </row>
    <row r="582" spans="1:50" s="7887" customFormat="1" ht="20.100000000000001" hidden="1" customHeight="1" thickBot="1">
      <c r="A582" s="7872"/>
      <c r="B582" s="8510"/>
      <c r="C582" s="7939"/>
      <c r="D582" s="8629" t="s">
        <v>146</v>
      </c>
      <c r="E582" s="8504"/>
      <c r="F582" s="8146" t="s">
        <v>742</v>
      </c>
      <c r="G582" s="8514"/>
      <c r="H582" s="8506" t="s">
        <v>147</v>
      </c>
      <c r="I582" s="8507"/>
      <c r="J582" s="8508"/>
      <c r="K582" s="8146" t="s">
        <v>734</v>
      </c>
      <c r="L582" s="8031" t="s">
        <v>168</v>
      </c>
      <c r="M582" s="8219" t="s">
        <v>168</v>
      </c>
      <c r="N582" s="9269" t="s">
        <v>168</v>
      </c>
      <c r="O582" s="8994" t="s">
        <v>525</v>
      </c>
      <c r="P582" s="7932"/>
      <c r="Q582" s="7932"/>
      <c r="R582" s="8509"/>
      <c r="AX582" s="7872"/>
    </row>
    <row r="583" spans="1:50" s="7887" customFormat="1" ht="20.100000000000001" hidden="1" customHeight="1" thickBot="1">
      <c r="A583" s="7872"/>
      <c r="B583" s="8650"/>
      <c r="C583" s="9209"/>
      <c r="D583" s="9210" t="s">
        <v>149</v>
      </c>
      <c r="E583" s="8693"/>
      <c r="F583" s="9211" t="s">
        <v>742</v>
      </c>
      <c r="G583" s="8554"/>
      <c r="H583" s="9173" t="s">
        <v>150</v>
      </c>
      <c r="I583" s="9212"/>
      <c r="J583" s="9213"/>
      <c r="K583" s="9211" t="s">
        <v>734</v>
      </c>
      <c r="L583" s="8202" t="s">
        <v>168</v>
      </c>
      <c r="M583" s="9214" t="s">
        <v>168</v>
      </c>
      <c r="N583" s="9298" t="s">
        <v>168</v>
      </c>
      <c r="O583" s="9215" t="s">
        <v>525</v>
      </c>
      <c r="P583" s="7932"/>
      <c r="Q583" s="7932"/>
      <c r="R583" s="8509"/>
      <c r="AX583" s="7872"/>
    </row>
    <row r="584" spans="1:50" s="7887" customFormat="1" ht="21.75" thickBot="1">
      <c r="A584" s="7872"/>
      <c r="B584" s="8073" t="s">
        <v>1234</v>
      </c>
      <c r="C584" s="8074"/>
      <c r="D584" s="8074"/>
      <c r="E584" s="8074"/>
      <c r="F584" s="8075"/>
      <c r="G584" s="8495" t="s">
        <v>1235</v>
      </c>
      <c r="H584" s="8074"/>
      <c r="I584" s="8074"/>
      <c r="J584" s="8074"/>
      <c r="K584" s="8075"/>
      <c r="L584" s="8078"/>
      <c r="M584" s="8079"/>
      <c r="N584" s="9251"/>
      <c r="O584" s="8993"/>
      <c r="P584" s="8986"/>
      <c r="Q584" s="8080"/>
      <c r="R584" s="8496"/>
      <c r="AX584" s="7872"/>
    </row>
    <row r="585" spans="1:50" s="7887" customFormat="1" ht="20.100000000000001" customHeight="1">
      <c r="A585" s="7872"/>
      <c r="B585" s="8510"/>
      <c r="C585" s="8548" t="s">
        <v>1250</v>
      </c>
      <c r="D585" s="8549"/>
      <c r="E585" s="8512"/>
      <c r="F585" s="8089" t="s">
        <v>557</v>
      </c>
      <c r="G585" s="8599"/>
      <c r="H585" s="8511" t="s">
        <v>1251</v>
      </c>
      <c r="I585" s="8549"/>
      <c r="J585" s="8512"/>
      <c r="K585" s="7957" t="s">
        <v>559</v>
      </c>
      <c r="L585" s="8012">
        <f>SUM(L586:L591)</f>
        <v>10</v>
      </c>
      <c r="M585" s="8013">
        <f>SUM(M586:M591)</f>
        <v>14</v>
      </c>
      <c r="N585" s="9231">
        <f>SUM(N586:N591)</f>
        <v>16</v>
      </c>
      <c r="O585" s="8995" t="s">
        <v>3756</v>
      </c>
      <c r="P585" s="8137" t="s">
        <v>1253</v>
      </c>
      <c r="Q585" s="7955" t="s">
        <v>1968</v>
      </c>
      <c r="R585" s="8630"/>
      <c r="AX585" s="7872"/>
    </row>
    <row r="586" spans="1:50" s="7887" customFormat="1" ht="20.100000000000001" customHeight="1">
      <c r="A586" s="7872"/>
      <c r="B586" s="8510"/>
      <c r="C586" s="8824" t="s">
        <v>134</v>
      </c>
      <c r="D586" s="8895"/>
      <c r="E586" s="8504"/>
      <c r="F586" s="8124" t="s">
        <v>557</v>
      </c>
      <c r="G586" s="8514"/>
      <c r="H586" s="8506" t="s">
        <v>135</v>
      </c>
      <c r="I586" s="8507"/>
      <c r="J586" s="8508"/>
      <c r="K586" s="7941" t="s">
        <v>559</v>
      </c>
      <c r="L586" s="7935">
        <v>4</v>
      </c>
      <c r="M586" s="7936">
        <v>5</v>
      </c>
      <c r="N586" s="9249">
        <v>3</v>
      </c>
      <c r="O586" s="9037" t="s">
        <v>3758</v>
      </c>
      <c r="P586" s="7932"/>
      <c r="Q586" s="7932"/>
      <c r="R586" s="8509"/>
      <c r="AX586" s="7872"/>
    </row>
    <row r="587" spans="1:50" s="7887" customFormat="1" ht="20.100000000000001" customHeight="1">
      <c r="A587" s="7872"/>
      <c r="B587" s="8510"/>
      <c r="C587" s="8824" t="s">
        <v>137</v>
      </c>
      <c r="D587" s="8895"/>
      <c r="E587" s="8504"/>
      <c r="F587" s="8124" t="s">
        <v>557</v>
      </c>
      <c r="G587" s="8514"/>
      <c r="H587" s="8506" t="s">
        <v>138</v>
      </c>
      <c r="I587" s="8507"/>
      <c r="J587" s="8508"/>
      <c r="K587" s="7941" t="s">
        <v>559</v>
      </c>
      <c r="L587" s="7935">
        <v>0</v>
      </c>
      <c r="M587" s="7936">
        <v>0</v>
      </c>
      <c r="N587" s="9253">
        <v>0</v>
      </c>
      <c r="O587" s="9037"/>
      <c r="P587" s="7932"/>
      <c r="Q587" s="7932"/>
      <c r="R587" s="8509"/>
      <c r="AX587" s="7872"/>
    </row>
    <row r="588" spans="1:50" s="7887" customFormat="1" ht="20.100000000000001" customHeight="1">
      <c r="A588" s="7872"/>
      <c r="B588" s="8510"/>
      <c r="C588" s="8824" t="s">
        <v>140</v>
      </c>
      <c r="D588" s="8895"/>
      <c r="E588" s="8504"/>
      <c r="F588" s="8124" t="s">
        <v>557</v>
      </c>
      <c r="G588" s="8514"/>
      <c r="H588" s="8506" t="s">
        <v>141</v>
      </c>
      <c r="I588" s="8507"/>
      <c r="J588" s="8508"/>
      <c r="K588" s="7941" t="s">
        <v>559</v>
      </c>
      <c r="L588" s="7935">
        <v>3</v>
      </c>
      <c r="M588" s="7936">
        <v>2</v>
      </c>
      <c r="N588" s="9253">
        <v>2</v>
      </c>
      <c r="O588" s="9037" t="s">
        <v>3759</v>
      </c>
      <c r="P588" s="7932"/>
      <c r="Q588" s="7932"/>
      <c r="R588" s="8509"/>
      <c r="AX588" s="7872"/>
    </row>
    <row r="589" spans="1:50" s="7887" customFormat="1" ht="20.100000000000001" customHeight="1">
      <c r="A589" s="7872"/>
      <c r="B589" s="8510"/>
      <c r="C589" s="8824" t="s">
        <v>143</v>
      </c>
      <c r="D589" s="8895"/>
      <c r="E589" s="8504"/>
      <c r="F589" s="8124" t="s">
        <v>557</v>
      </c>
      <c r="G589" s="8514"/>
      <c r="H589" s="8506" t="s">
        <v>144</v>
      </c>
      <c r="I589" s="8507"/>
      <c r="J589" s="8508"/>
      <c r="K589" s="7941" t="s">
        <v>559</v>
      </c>
      <c r="L589" s="7935">
        <v>0</v>
      </c>
      <c r="M589" s="7936">
        <v>0</v>
      </c>
      <c r="N589" s="9253">
        <v>0</v>
      </c>
      <c r="O589" s="9037"/>
      <c r="P589" s="7932"/>
      <c r="Q589" s="7932"/>
      <c r="R589" s="8509"/>
      <c r="AX589" s="7872"/>
    </row>
    <row r="590" spans="1:50" s="7930" customFormat="1" ht="20.100000000000001" customHeight="1">
      <c r="A590" s="7872"/>
      <c r="B590" s="8510"/>
      <c r="C590" s="8824" t="s">
        <v>146</v>
      </c>
      <c r="D590" s="8895"/>
      <c r="E590" s="8504"/>
      <c r="F590" s="8124" t="s">
        <v>557</v>
      </c>
      <c r="G590" s="8514"/>
      <c r="H590" s="8506" t="s">
        <v>147</v>
      </c>
      <c r="I590" s="8507"/>
      <c r="J590" s="8508"/>
      <c r="K590" s="7941" t="s">
        <v>559</v>
      </c>
      <c r="L590" s="7935">
        <v>1</v>
      </c>
      <c r="M590" s="7936">
        <v>2</v>
      </c>
      <c r="N590" s="9253">
        <v>1</v>
      </c>
      <c r="O590" s="9037" t="s">
        <v>3757</v>
      </c>
      <c r="P590" s="7932"/>
      <c r="Q590" s="7932"/>
      <c r="R590" s="8509"/>
      <c r="S590" s="7887"/>
      <c r="T590" s="7887"/>
      <c r="U590" s="7887"/>
      <c r="V590" s="7887"/>
      <c r="W590" s="7887"/>
      <c r="X590" s="7887"/>
      <c r="Y590" s="7887"/>
      <c r="Z590" s="7887"/>
      <c r="AA590" s="7887"/>
      <c r="AB590" s="7887"/>
      <c r="AC590" s="7887"/>
      <c r="AD590" s="7887"/>
      <c r="AE590" s="7887"/>
      <c r="AF590" s="7887"/>
      <c r="AG590" s="7887"/>
      <c r="AH590" s="7887"/>
      <c r="AI590" s="7887"/>
      <c r="AJ590" s="7887"/>
      <c r="AK590" s="7887"/>
      <c r="AL590" s="7887"/>
      <c r="AM590" s="7887"/>
      <c r="AN590" s="7887"/>
      <c r="AO590" s="7887"/>
      <c r="AP590" s="7887"/>
      <c r="AQ590" s="7887"/>
      <c r="AR590" s="7887"/>
      <c r="AS590" s="7887"/>
      <c r="AT590" s="7887"/>
      <c r="AU590" s="7887"/>
      <c r="AV590" s="7887"/>
      <c r="AW590" s="7887"/>
      <c r="AX590" s="7872"/>
    </row>
    <row r="591" spans="1:50" s="7930" customFormat="1" ht="20.100000000000001" customHeight="1">
      <c r="A591" s="7872"/>
      <c r="B591" s="8510"/>
      <c r="C591" s="8824" t="s">
        <v>149</v>
      </c>
      <c r="D591" s="8895"/>
      <c r="E591" s="8504"/>
      <c r="F591" s="8124" t="s">
        <v>557</v>
      </c>
      <c r="G591" s="8514"/>
      <c r="H591" s="8506" t="s">
        <v>150</v>
      </c>
      <c r="I591" s="8507"/>
      <c r="J591" s="8508"/>
      <c r="K591" s="7941" t="s">
        <v>559</v>
      </c>
      <c r="L591" s="7935">
        <v>2</v>
      </c>
      <c r="M591" s="7936">
        <v>5</v>
      </c>
      <c r="N591" s="9238">
        <v>10</v>
      </c>
      <c r="O591" s="9037" t="s">
        <v>3758</v>
      </c>
      <c r="P591" s="7932"/>
      <c r="Q591" s="7932"/>
      <c r="R591" s="8509"/>
      <c r="S591" s="7887"/>
      <c r="T591" s="7887"/>
      <c r="U591" s="7887"/>
      <c r="V591" s="7887"/>
      <c r="W591" s="7887"/>
      <c r="X591" s="7887"/>
      <c r="Y591" s="7887"/>
      <c r="Z591" s="7887"/>
      <c r="AA591" s="7887"/>
      <c r="AB591" s="7887"/>
      <c r="AC591" s="7887"/>
      <c r="AD591" s="7887"/>
      <c r="AE591" s="7887"/>
      <c r="AF591" s="7887"/>
      <c r="AG591" s="7887"/>
      <c r="AH591" s="7887"/>
      <c r="AI591" s="7887"/>
      <c r="AJ591" s="7887"/>
      <c r="AK591" s="7887"/>
      <c r="AL591" s="7887"/>
      <c r="AM591" s="7887"/>
      <c r="AN591" s="7887"/>
      <c r="AO591" s="7887"/>
      <c r="AP591" s="7887"/>
      <c r="AQ591" s="7887"/>
      <c r="AR591" s="7887"/>
      <c r="AS591" s="7887"/>
      <c r="AT591" s="7887"/>
      <c r="AU591" s="7887"/>
      <c r="AV591" s="7887"/>
      <c r="AW591" s="7887"/>
      <c r="AX591" s="7872"/>
    </row>
    <row r="592" spans="1:50" s="7930" customFormat="1" ht="20.100000000000001" customHeight="1">
      <c r="A592" s="7872"/>
      <c r="B592" s="8510"/>
      <c r="C592" s="8548" t="s">
        <v>1972</v>
      </c>
      <c r="D592" s="8549"/>
      <c r="E592" s="8512"/>
      <c r="F592" s="8089" t="s">
        <v>156</v>
      </c>
      <c r="G592" s="8513"/>
      <c r="H592" s="8511" t="s">
        <v>1259</v>
      </c>
      <c r="I592" s="8556"/>
      <c r="J592" s="8557"/>
      <c r="K592" s="7957" t="s">
        <v>559</v>
      </c>
      <c r="L592" s="8186">
        <f t="shared" ref="L592:N598" si="27">L599/L606*100</f>
        <v>0.13142331449599159</v>
      </c>
      <c r="M592" s="8187">
        <f t="shared" si="27"/>
        <v>0.14537902388369678</v>
      </c>
      <c r="N592" s="9299">
        <f t="shared" si="27"/>
        <v>0.16606123508043591</v>
      </c>
      <c r="O592" s="8995" t="s">
        <v>1973</v>
      </c>
      <c r="P592" s="8137" t="s">
        <v>1240</v>
      </c>
      <c r="Q592" s="7955" t="s">
        <v>1968</v>
      </c>
      <c r="R592" s="8630"/>
      <c r="S592" s="7887"/>
      <c r="T592" s="7887"/>
      <c r="U592" s="7887"/>
      <c r="V592" s="7887"/>
      <c r="W592" s="7887"/>
      <c r="X592" s="7887"/>
      <c r="Y592" s="7887"/>
      <c r="Z592" s="7887"/>
      <c r="AA592" s="7887"/>
      <c r="AB592" s="7887"/>
      <c r="AC592" s="7887"/>
      <c r="AD592" s="7887"/>
      <c r="AE592" s="7887"/>
      <c r="AF592" s="7887"/>
      <c r="AG592" s="7887"/>
      <c r="AH592" s="7887"/>
      <c r="AI592" s="7887"/>
      <c r="AJ592" s="7887"/>
      <c r="AK592" s="7887"/>
      <c r="AL592" s="7887"/>
      <c r="AM592" s="7887"/>
      <c r="AN592" s="7887"/>
      <c r="AO592" s="7887"/>
      <c r="AP592" s="7887"/>
      <c r="AQ592" s="7887"/>
      <c r="AR592" s="7887"/>
      <c r="AS592" s="7887"/>
      <c r="AT592" s="7887"/>
      <c r="AU592" s="7887"/>
      <c r="AV592" s="7887"/>
      <c r="AW592" s="7887"/>
      <c r="AX592" s="7872"/>
    </row>
    <row r="593" spans="1:50" s="7930" customFormat="1" ht="20.100000000000001" customHeight="1">
      <c r="A593" s="7872"/>
      <c r="B593" s="8510"/>
      <c r="C593" s="8502" t="s">
        <v>134</v>
      </c>
      <c r="D593" s="8503"/>
      <c r="E593" s="8504"/>
      <c r="F593" s="8124" t="s">
        <v>156</v>
      </c>
      <c r="G593" s="8514"/>
      <c r="H593" s="8506" t="s">
        <v>135</v>
      </c>
      <c r="I593" s="8507"/>
      <c r="J593" s="8508"/>
      <c r="K593" s="7941" t="s">
        <v>559</v>
      </c>
      <c r="L593" s="8188">
        <f t="shared" si="27"/>
        <v>0.11108025548458762</v>
      </c>
      <c r="M593" s="8631">
        <f t="shared" si="27"/>
        <v>0.11106175033318524</v>
      </c>
      <c r="N593" s="9300">
        <f t="shared" si="27"/>
        <v>6.4075181546347712E-2</v>
      </c>
      <c r="O593" s="9037" t="s">
        <v>3555</v>
      </c>
      <c r="P593" s="7932"/>
      <c r="Q593" s="7932"/>
      <c r="R593" s="8509"/>
      <c r="S593" s="7887"/>
      <c r="T593" s="7887"/>
      <c r="U593" s="7887"/>
      <c r="V593" s="7887"/>
      <c r="W593" s="7887"/>
      <c r="X593" s="7887"/>
      <c r="Y593" s="7887"/>
      <c r="Z593" s="7887"/>
      <c r="AA593" s="7887"/>
      <c r="AB593" s="7887"/>
      <c r="AC593" s="7887"/>
      <c r="AD593" s="7887"/>
      <c r="AE593" s="7887"/>
      <c r="AF593" s="7887"/>
      <c r="AG593" s="7887"/>
      <c r="AH593" s="7887"/>
      <c r="AI593" s="7887"/>
      <c r="AJ593" s="7887"/>
      <c r="AK593" s="7887"/>
      <c r="AL593" s="7887"/>
      <c r="AM593" s="7887"/>
      <c r="AN593" s="7887"/>
      <c r="AO593" s="7887"/>
      <c r="AP593" s="7887"/>
      <c r="AQ593" s="7887"/>
      <c r="AR593" s="7887"/>
      <c r="AS593" s="7887"/>
      <c r="AT593" s="7887"/>
      <c r="AU593" s="7887"/>
      <c r="AV593" s="7887"/>
      <c r="AW593" s="7887"/>
      <c r="AX593" s="7872"/>
    </row>
    <row r="594" spans="1:50" s="7930" customFormat="1" ht="20.100000000000001" customHeight="1">
      <c r="A594" s="7872"/>
      <c r="B594" s="8510"/>
      <c r="C594" s="8502" t="s">
        <v>137</v>
      </c>
      <c r="D594" s="8503"/>
      <c r="E594" s="8504"/>
      <c r="F594" s="8124" t="s">
        <v>156</v>
      </c>
      <c r="G594" s="8514"/>
      <c r="H594" s="8506" t="s">
        <v>138</v>
      </c>
      <c r="I594" s="8507"/>
      <c r="J594" s="8508"/>
      <c r="K594" s="7941" t="s">
        <v>559</v>
      </c>
      <c r="L594" s="7942">
        <f t="shared" si="27"/>
        <v>0</v>
      </c>
      <c r="M594" s="8217">
        <f t="shared" si="27"/>
        <v>0</v>
      </c>
      <c r="N594" s="9301">
        <f t="shared" si="27"/>
        <v>0</v>
      </c>
      <c r="O594" s="8994"/>
      <c r="P594" s="7932"/>
      <c r="Q594" s="7932"/>
      <c r="R594" s="8509"/>
      <c r="S594" s="7887"/>
      <c r="T594" s="7887"/>
      <c r="U594" s="7887"/>
      <c r="V594" s="7887"/>
      <c r="W594" s="7887"/>
      <c r="X594" s="7887"/>
      <c r="Y594" s="7887"/>
      <c r="Z594" s="7887"/>
      <c r="AA594" s="7887"/>
      <c r="AB594" s="7887"/>
      <c r="AC594" s="7887"/>
      <c r="AD594" s="7887"/>
      <c r="AE594" s="7887"/>
      <c r="AF594" s="7887"/>
      <c r="AG594" s="7887"/>
      <c r="AH594" s="7887"/>
      <c r="AI594" s="7887"/>
      <c r="AJ594" s="7887"/>
      <c r="AK594" s="7887"/>
      <c r="AL594" s="7887"/>
      <c r="AM594" s="7887"/>
      <c r="AN594" s="7887"/>
      <c r="AO594" s="7887"/>
      <c r="AP594" s="7887"/>
      <c r="AQ594" s="7887"/>
      <c r="AR594" s="7887"/>
      <c r="AS594" s="7887"/>
      <c r="AT594" s="7887"/>
      <c r="AU594" s="7887"/>
      <c r="AV594" s="7887"/>
      <c r="AW594" s="7887"/>
      <c r="AX594" s="7872"/>
    </row>
    <row r="595" spans="1:50" s="7930" customFormat="1" ht="20.100000000000001" customHeight="1">
      <c r="A595" s="7872"/>
      <c r="B595" s="8510"/>
      <c r="C595" s="8502" t="s">
        <v>140</v>
      </c>
      <c r="D595" s="8503"/>
      <c r="E595" s="8504"/>
      <c r="F595" s="8124" t="s">
        <v>156</v>
      </c>
      <c r="G595" s="8514"/>
      <c r="H595" s="8506" t="s">
        <v>141</v>
      </c>
      <c r="I595" s="8507"/>
      <c r="J595" s="8508"/>
      <c r="K595" s="7941" t="s">
        <v>559</v>
      </c>
      <c r="L595" s="7942">
        <f t="shared" si="27"/>
        <v>0.28462998102466791</v>
      </c>
      <c r="M595" s="8217">
        <f t="shared" si="27"/>
        <v>0.22002200220022</v>
      </c>
      <c r="N595" s="9301">
        <f t="shared" si="27"/>
        <v>0.26666666666666666</v>
      </c>
      <c r="O595" s="8994"/>
      <c r="P595" s="7932"/>
      <c r="Q595" s="7932"/>
      <c r="R595" s="8509"/>
      <c r="S595" s="7887"/>
      <c r="T595" s="7887"/>
      <c r="U595" s="7887"/>
      <c r="V595" s="7887"/>
      <c r="W595" s="7887"/>
      <c r="X595" s="7887"/>
      <c r="Y595" s="7887"/>
      <c r="Z595" s="7887"/>
      <c r="AA595" s="7887"/>
      <c r="AB595" s="7887"/>
      <c r="AC595" s="7887"/>
      <c r="AD595" s="7887"/>
      <c r="AE595" s="7887"/>
      <c r="AF595" s="7887"/>
      <c r="AG595" s="7887"/>
      <c r="AH595" s="7887"/>
      <c r="AI595" s="7887"/>
      <c r="AJ595" s="7887"/>
      <c r="AK595" s="7887"/>
      <c r="AL595" s="7887"/>
      <c r="AM595" s="7887"/>
      <c r="AN595" s="7887"/>
      <c r="AO595" s="7887"/>
      <c r="AP595" s="7887"/>
      <c r="AQ595" s="7887"/>
      <c r="AR595" s="7887"/>
      <c r="AS595" s="7887"/>
      <c r="AT595" s="7887"/>
      <c r="AU595" s="7887"/>
      <c r="AV595" s="7887"/>
      <c r="AW595" s="7887"/>
      <c r="AX595" s="7872"/>
    </row>
    <row r="596" spans="1:50" s="7930" customFormat="1" ht="20.100000000000001" customHeight="1">
      <c r="A596" s="7872"/>
      <c r="B596" s="8510"/>
      <c r="C596" s="8502" t="s">
        <v>143</v>
      </c>
      <c r="D596" s="8503"/>
      <c r="E596" s="8504"/>
      <c r="F596" s="8124" t="s">
        <v>156</v>
      </c>
      <c r="G596" s="8514"/>
      <c r="H596" s="8506" t="s">
        <v>144</v>
      </c>
      <c r="I596" s="8507"/>
      <c r="J596" s="8508"/>
      <c r="K596" s="7941" t="s">
        <v>559</v>
      </c>
      <c r="L596" s="7942">
        <f t="shared" si="27"/>
        <v>0</v>
      </c>
      <c r="M596" s="8217">
        <f t="shared" si="27"/>
        <v>0</v>
      </c>
      <c r="N596" s="9301">
        <f t="shared" si="27"/>
        <v>0</v>
      </c>
      <c r="O596" s="9037"/>
      <c r="P596" s="7932"/>
      <c r="Q596" s="7932"/>
      <c r="R596" s="8509"/>
      <c r="S596" s="7887"/>
      <c r="T596" s="7887"/>
      <c r="U596" s="7887"/>
      <c r="V596" s="7887"/>
      <c r="W596" s="7887"/>
      <c r="X596" s="7887"/>
      <c r="Y596" s="7887"/>
      <c r="Z596" s="7887"/>
      <c r="AA596" s="7887"/>
      <c r="AB596" s="7887"/>
      <c r="AC596" s="7887"/>
      <c r="AD596" s="7887"/>
      <c r="AE596" s="7887"/>
      <c r="AF596" s="7887"/>
      <c r="AG596" s="7887"/>
      <c r="AH596" s="7887"/>
      <c r="AI596" s="7887"/>
      <c r="AJ596" s="7887"/>
      <c r="AK596" s="7887"/>
      <c r="AL596" s="7887"/>
      <c r="AM596" s="7887"/>
      <c r="AN596" s="7887"/>
      <c r="AO596" s="7887"/>
      <c r="AP596" s="7887"/>
      <c r="AQ596" s="7887"/>
      <c r="AR596" s="7887"/>
      <c r="AS596" s="7887"/>
      <c r="AT596" s="7887"/>
      <c r="AU596" s="7887"/>
      <c r="AV596" s="7887"/>
      <c r="AW596" s="7887"/>
      <c r="AX596" s="7872"/>
    </row>
    <row r="597" spans="1:50" s="7930" customFormat="1" ht="20.100000000000001" customHeight="1">
      <c r="A597" s="7872"/>
      <c r="B597" s="8510"/>
      <c r="C597" s="8502" t="s">
        <v>146</v>
      </c>
      <c r="D597" s="8503"/>
      <c r="E597" s="8504"/>
      <c r="F597" s="8124" t="s">
        <v>156</v>
      </c>
      <c r="G597" s="8514"/>
      <c r="H597" s="8506" t="s">
        <v>147</v>
      </c>
      <c r="I597" s="8507"/>
      <c r="J597" s="8508"/>
      <c r="K597" s="7941" t="s">
        <v>559</v>
      </c>
      <c r="L597" s="7942">
        <f t="shared" si="27"/>
        <v>0.26246719160104987</v>
      </c>
      <c r="M597" s="8217">
        <f t="shared" si="27"/>
        <v>0.5089058524173028</v>
      </c>
      <c r="N597" s="9301">
        <f t="shared" si="27"/>
        <v>0.24271844660194172</v>
      </c>
      <c r="O597" s="8994"/>
      <c r="P597" s="7932"/>
      <c r="Q597" s="7932"/>
      <c r="R597" s="8509"/>
      <c r="S597" s="7887"/>
      <c r="T597" s="7887"/>
      <c r="U597" s="7887"/>
      <c r="V597" s="7887"/>
      <c r="W597" s="7887"/>
      <c r="X597" s="7887"/>
      <c r="Y597" s="7887"/>
      <c r="Z597" s="7887"/>
      <c r="AA597" s="7887"/>
      <c r="AB597" s="7887"/>
      <c r="AC597" s="7887"/>
      <c r="AD597" s="7887"/>
      <c r="AE597" s="7887"/>
      <c r="AF597" s="7887"/>
      <c r="AG597" s="7887"/>
      <c r="AH597" s="7887"/>
      <c r="AI597" s="7887"/>
      <c r="AJ597" s="7887"/>
      <c r="AK597" s="7887"/>
      <c r="AL597" s="7887"/>
      <c r="AM597" s="7887"/>
      <c r="AN597" s="7887"/>
      <c r="AO597" s="7887"/>
      <c r="AP597" s="7887"/>
      <c r="AQ597" s="7887"/>
      <c r="AR597" s="7887"/>
      <c r="AS597" s="7887"/>
      <c r="AT597" s="7887"/>
      <c r="AU597" s="7887"/>
      <c r="AV597" s="7887"/>
      <c r="AW597" s="7887"/>
      <c r="AX597" s="7872"/>
    </row>
    <row r="598" spans="1:50" s="7930" customFormat="1" ht="20.100000000000001" customHeight="1">
      <c r="A598" s="7872"/>
      <c r="B598" s="8510"/>
      <c r="C598" s="8632" t="s">
        <v>149</v>
      </c>
      <c r="D598" s="8503"/>
      <c r="E598" s="8504"/>
      <c r="F598" s="8124" t="s">
        <v>156</v>
      </c>
      <c r="G598" s="8514"/>
      <c r="H598" s="8506" t="s">
        <v>150</v>
      </c>
      <c r="I598" s="8507"/>
      <c r="J598" s="8508"/>
      <c r="K598" s="7941" t="s">
        <v>559</v>
      </c>
      <c r="L598" s="7942">
        <f t="shared" si="27"/>
        <v>0.15625</v>
      </c>
      <c r="M598" s="8217">
        <f t="shared" si="27"/>
        <v>0.43706293706293708</v>
      </c>
      <c r="N598" s="9301">
        <f t="shared" si="27"/>
        <v>0.94428706326723322</v>
      </c>
      <c r="O598" s="9037"/>
      <c r="P598" s="7932"/>
      <c r="Q598" s="7932"/>
      <c r="R598" s="8509"/>
      <c r="S598" s="7887"/>
      <c r="T598" s="7887"/>
      <c r="U598" s="7887"/>
      <c r="V598" s="7887"/>
      <c r="W598" s="7887"/>
      <c r="X598" s="7887"/>
      <c r="Y598" s="7887"/>
      <c r="Z598" s="7887"/>
      <c r="AA598" s="7887"/>
      <c r="AB598" s="7887"/>
      <c r="AC598" s="7887"/>
      <c r="AD598" s="7887"/>
      <c r="AE598" s="7887"/>
      <c r="AF598" s="7887"/>
      <c r="AG598" s="7887"/>
      <c r="AH598" s="7887"/>
      <c r="AI598" s="7887"/>
      <c r="AJ598" s="7887"/>
      <c r="AK598" s="7887"/>
      <c r="AL598" s="7887"/>
      <c r="AM598" s="7887"/>
      <c r="AN598" s="7887"/>
      <c r="AO598" s="7887"/>
      <c r="AP598" s="7887"/>
      <c r="AQ598" s="7887"/>
      <c r="AR598" s="7887"/>
      <c r="AS598" s="7887"/>
      <c r="AT598" s="7887"/>
      <c r="AU598" s="7887"/>
      <c r="AV598" s="7887"/>
      <c r="AW598" s="7887"/>
      <c r="AX598" s="7872"/>
    </row>
    <row r="599" spans="1:50" s="7930" customFormat="1" ht="20.100000000000001" hidden="1" customHeight="1">
      <c r="A599" s="7872"/>
      <c r="B599" s="8633"/>
      <c r="C599" s="8634"/>
      <c r="D599" s="8549" t="s">
        <v>1974</v>
      </c>
      <c r="E599" s="8512"/>
      <c r="F599" s="8089" t="s">
        <v>557</v>
      </c>
      <c r="G599" s="8599"/>
      <c r="H599" s="8511" t="s">
        <v>1259</v>
      </c>
      <c r="I599" s="8549"/>
      <c r="J599" s="8512"/>
      <c r="K599" s="7957" t="s">
        <v>559</v>
      </c>
      <c r="L599" s="8190">
        <f>SUM(L600:L605)</f>
        <v>10</v>
      </c>
      <c r="M599" s="8191">
        <f>SUM(M600:M605)</f>
        <v>14</v>
      </c>
      <c r="N599" s="9302">
        <f>SUM(N600:N605)</f>
        <v>16</v>
      </c>
      <c r="O599" s="8995"/>
      <c r="P599" s="8137" t="s">
        <v>1240</v>
      </c>
      <c r="Q599" s="7955" t="s">
        <v>1968</v>
      </c>
      <c r="R599" s="8630"/>
      <c r="S599" s="7887"/>
      <c r="T599" s="7887"/>
      <c r="U599" s="7887"/>
      <c r="V599" s="7887"/>
      <c r="W599" s="7887"/>
      <c r="X599" s="7887"/>
      <c r="Y599" s="7887"/>
      <c r="Z599" s="7887"/>
      <c r="AA599" s="7887"/>
      <c r="AB599" s="7887"/>
      <c r="AC599" s="7887"/>
      <c r="AD599" s="7887"/>
      <c r="AE599" s="7887"/>
      <c r="AF599" s="7887"/>
      <c r="AG599" s="7887"/>
      <c r="AH599" s="7887"/>
      <c r="AI599" s="7887"/>
      <c r="AJ599" s="7887"/>
      <c r="AK599" s="7887"/>
      <c r="AL599" s="7887"/>
      <c r="AM599" s="7887"/>
      <c r="AN599" s="7887"/>
      <c r="AO599" s="7887"/>
      <c r="AP599" s="7887"/>
      <c r="AQ599" s="7887"/>
      <c r="AR599" s="7887"/>
      <c r="AS599" s="7887"/>
      <c r="AT599" s="7887"/>
      <c r="AU599" s="7887"/>
      <c r="AV599" s="7887"/>
      <c r="AW599" s="7887"/>
      <c r="AX599" s="7872"/>
    </row>
    <row r="600" spans="1:50" s="7930" customFormat="1" ht="30" hidden="1">
      <c r="A600" s="7872"/>
      <c r="B600" s="8633"/>
      <c r="C600" s="8635"/>
      <c r="D600" s="8503" t="s">
        <v>134</v>
      </c>
      <c r="E600" s="8504"/>
      <c r="F600" s="8124" t="s">
        <v>557</v>
      </c>
      <c r="G600" s="8514"/>
      <c r="H600" s="8506" t="s">
        <v>135</v>
      </c>
      <c r="I600" s="8507"/>
      <c r="J600" s="8508"/>
      <c r="K600" s="7941" t="s">
        <v>559</v>
      </c>
      <c r="L600" s="7935">
        <f t="shared" ref="L600:L605" si="28">L586</f>
        <v>4</v>
      </c>
      <c r="M600" s="7936">
        <f t="shared" ref="M600:M605" si="29">M586</f>
        <v>5</v>
      </c>
      <c r="N600" s="9253">
        <f>N586</f>
        <v>3</v>
      </c>
      <c r="O600" s="8994" t="s">
        <v>3631</v>
      </c>
      <c r="P600" s="7932"/>
      <c r="Q600" s="7932"/>
      <c r="R600" s="8509"/>
      <c r="S600" s="7887"/>
      <c r="T600" s="7887"/>
      <c r="U600" s="7887"/>
      <c r="V600" s="7887"/>
      <c r="W600" s="7887"/>
      <c r="X600" s="7887"/>
      <c r="Y600" s="7887"/>
      <c r="Z600" s="7887"/>
      <c r="AA600" s="7887"/>
      <c r="AB600" s="7887"/>
      <c r="AC600" s="7887"/>
      <c r="AD600" s="7887"/>
      <c r="AE600" s="7887"/>
      <c r="AF600" s="7887"/>
      <c r="AG600" s="7887"/>
      <c r="AH600" s="7887"/>
      <c r="AI600" s="7887"/>
      <c r="AJ600" s="7887"/>
      <c r="AK600" s="7887"/>
      <c r="AL600" s="7887"/>
      <c r="AM600" s="7887"/>
      <c r="AN600" s="7887"/>
      <c r="AO600" s="7887"/>
      <c r="AP600" s="7887"/>
      <c r="AQ600" s="7887"/>
      <c r="AR600" s="7887"/>
      <c r="AS600" s="7887"/>
      <c r="AT600" s="7887"/>
      <c r="AU600" s="7887"/>
      <c r="AV600" s="7887"/>
      <c r="AW600" s="7887"/>
      <c r="AX600" s="7872"/>
    </row>
    <row r="601" spans="1:50" s="7930" customFormat="1" ht="20.100000000000001" hidden="1" customHeight="1">
      <c r="A601" s="7872"/>
      <c r="B601" s="8633"/>
      <c r="C601" s="8635"/>
      <c r="D601" s="8503" t="s">
        <v>137</v>
      </c>
      <c r="E601" s="8504"/>
      <c r="F601" s="8124" t="s">
        <v>557</v>
      </c>
      <c r="G601" s="8514"/>
      <c r="H601" s="8506" t="s">
        <v>138</v>
      </c>
      <c r="I601" s="8507"/>
      <c r="J601" s="8508"/>
      <c r="K601" s="7941" t="s">
        <v>559</v>
      </c>
      <c r="L601" s="7935">
        <f t="shared" si="28"/>
        <v>0</v>
      </c>
      <c r="M601" s="7936">
        <f t="shared" si="29"/>
        <v>0</v>
      </c>
      <c r="N601" s="9253">
        <f>N587</f>
        <v>0</v>
      </c>
      <c r="O601" s="8994" t="s">
        <v>3557</v>
      </c>
      <c r="P601" s="7932"/>
      <c r="Q601" s="7932"/>
      <c r="R601" s="8509"/>
      <c r="S601" s="7887"/>
      <c r="T601" s="7887"/>
      <c r="U601" s="7887"/>
      <c r="V601" s="7887"/>
      <c r="W601" s="7887"/>
      <c r="X601" s="7887"/>
      <c r="Y601" s="7887"/>
      <c r="Z601" s="7887"/>
      <c r="AA601" s="7887"/>
      <c r="AB601" s="7887"/>
      <c r="AC601" s="7887"/>
      <c r="AD601" s="7887"/>
      <c r="AE601" s="7887"/>
      <c r="AF601" s="7887"/>
      <c r="AG601" s="7887"/>
      <c r="AH601" s="7887"/>
      <c r="AI601" s="7887"/>
      <c r="AJ601" s="7887"/>
      <c r="AK601" s="7887"/>
      <c r="AL601" s="7887"/>
      <c r="AM601" s="7887"/>
      <c r="AN601" s="7887"/>
      <c r="AO601" s="7887"/>
      <c r="AP601" s="7887"/>
      <c r="AQ601" s="7887"/>
      <c r="AR601" s="7887"/>
      <c r="AS601" s="7887"/>
      <c r="AT601" s="7887"/>
      <c r="AU601" s="7887"/>
      <c r="AV601" s="7887"/>
      <c r="AW601" s="7887"/>
      <c r="AX601" s="7872"/>
    </row>
    <row r="602" spans="1:50" s="7930" customFormat="1" ht="30" hidden="1">
      <c r="A602" s="7872"/>
      <c r="B602" s="8633"/>
      <c r="C602" s="8635"/>
      <c r="D602" s="8503" t="s">
        <v>140</v>
      </c>
      <c r="E602" s="8504"/>
      <c r="F602" s="8124" t="s">
        <v>557</v>
      </c>
      <c r="G602" s="8514"/>
      <c r="H602" s="8506" t="s">
        <v>141</v>
      </c>
      <c r="I602" s="8507"/>
      <c r="J602" s="8508"/>
      <c r="K602" s="7941" t="s">
        <v>559</v>
      </c>
      <c r="L602" s="7935">
        <f t="shared" si="28"/>
        <v>3</v>
      </c>
      <c r="M602" s="7936">
        <f t="shared" si="29"/>
        <v>2</v>
      </c>
      <c r="N602" s="9253">
        <f>N588</f>
        <v>2</v>
      </c>
      <c r="O602" s="8994" t="s">
        <v>3632</v>
      </c>
      <c r="P602" s="7932"/>
      <c r="Q602" s="7932"/>
      <c r="R602" s="8509"/>
      <c r="S602" s="7887"/>
      <c r="T602" s="7887"/>
      <c r="U602" s="7887"/>
      <c r="V602" s="7887"/>
      <c r="W602" s="7887"/>
      <c r="X602" s="7887"/>
      <c r="Y602" s="7887"/>
      <c r="Z602" s="7887"/>
      <c r="AA602" s="7887"/>
      <c r="AB602" s="7887"/>
      <c r="AC602" s="7887"/>
      <c r="AD602" s="7887"/>
      <c r="AE602" s="7887"/>
      <c r="AF602" s="7887"/>
      <c r="AG602" s="7887"/>
      <c r="AH602" s="7887"/>
      <c r="AI602" s="7887"/>
      <c r="AJ602" s="7887"/>
      <c r="AK602" s="7887"/>
      <c r="AL602" s="7887"/>
      <c r="AM602" s="7887"/>
      <c r="AN602" s="7887"/>
      <c r="AO602" s="7887"/>
      <c r="AP602" s="7887"/>
      <c r="AQ602" s="7887"/>
      <c r="AR602" s="7887"/>
      <c r="AS602" s="7887"/>
      <c r="AT602" s="7887"/>
      <c r="AU602" s="7887"/>
      <c r="AV602" s="7887"/>
      <c r="AW602" s="7887"/>
      <c r="AX602" s="7872"/>
    </row>
    <row r="603" spans="1:50" s="7930" customFormat="1" ht="20.100000000000001" hidden="1" customHeight="1">
      <c r="A603" s="7872"/>
      <c r="B603" s="8633"/>
      <c r="C603" s="8635"/>
      <c r="D603" s="8503" t="s">
        <v>143</v>
      </c>
      <c r="E603" s="8504"/>
      <c r="F603" s="8124" t="s">
        <v>557</v>
      </c>
      <c r="G603" s="8514"/>
      <c r="H603" s="8506" t="s">
        <v>144</v>
      </c>
      <c r="I603" s="8507"/>
      <c r="J603" s="8508"/>
      <c r="K603" s="7941" t="s">
        <v>559</v>
      </c>
      <c r="L603" s="7935">
        <f t="shared" si="28"/>
        <v>0</v>
      </c>
      <c r="M603" s="7936">
        <f t="shared" si="29"/>
        <v>0</v>
      </c>
      <c r="N603" s="9253">
        <v>0</v>
      </c>
      <c r="O603" s="9037" t="s">
        <v>3558</v>
      </c>
      <c r="P603" s="7932"/>
      <c r="Q603" s="7932"/>
      <c r="R603" s="8509"/>
      <c r="S603" s="7887"/>
      <c r="T603" s="7887"/>
      <c r="U603" s="7887"/>
      <c r="V603" s="7887"/>
      <c r="W603" s="7887"/>
      <c r="X603" s="7887"/>
      <c r="Y603" s="7887"/>
      <c r="Z603" s="7887"/>
      <c r="AA603" s="7887"/>
      <c r="AB603" s="7887"/>
      <c r="AC603" s="7887"/>
      <c r="AD603" s="7887"/>
      <c r="AE603" s="7887"/>
      <c r="AF603" s="7887"/>
      <c r="AG603" s="7887"/>
      <c r="AH603" s="7887"/>
      <c r="AI603" s="7887"/>
      <c r="AJ603" s="7887"/>
      <c r="AK603" s="7887"/>
      <c r="AL603" s="7887"/>
      <c r="AM603" s="7887"/>
      <c r="AN603" s="7887"/>
      <c r="AO603" s="7887"/>
      <c r="AP603" s="7887"/>
      <c r="AQ603" s="7887"/>
      <c r="AR603" s="7887"/>
      <c r="AS603" s="7887"/>
      <c r="AT603" s="7887"/>
      <c r="AU603" s="7887"/>
      <c r="AV603" s="7887"/>
      <c r="AW603" s="7887"/>
      <c r="AX603" s="7872"/>
    </row>
    <row r="604" spans="1:50" s="7930" customFormat="1" ht="30" hidden="1">
      <c r="A604" s="7872"/>
      <c r="B604" s="8633"/>
      <c r="C604" s="8635"/>
      <c r="D604" s="8503" t="s">
        <v>146</v>
      </c>
      <c r="E604" s="8504"/>
      <c r="F604" s="8124" t="s">
        <v>557</v>
      </c>
      <c r="G604" s="8514"/>
      <c r="H604" s="8506" t="s">
        <v>147</v>
      </c>
      <c r="I604" s="8507"/>
      <c r="J604" s="8508"/>
      <c r="K604" s="7941" t="s">
        <v>559</v>
      </c>
      <c r="L604" s="8031">
        <f t="shared" si="28"/>
        <v>1</v>
      </c>
      <c r="M604" s="7936">
        <f t="shared" si="29"/>
        <v>2</v>
      </c>
      <c r="N604" s="9253">
        <f>N590</f>
        <v>1</v>
      </c>
      <c r="O604" s="8994" t="s">
        <v>3633</v>
      </c>
      <c r="P604" s="7932"/>
      <c r="Q604" s="7932"/>
      <c r="R604" s="8509"/>
      <c r="S604" s="7887"/>
      <c r="T604" s="7887"/>
      <c r="U604" s="7887"/>
      <c r="V604" s="7887"/>
      <c r="W604" s="7887"/>
      <c r="X604" s="7887"/>
      <c r="Y604" s="7887"/>
      <c r="Z604" s="7887"/>
      <c r="AA604" s="7887"/>
      <c r="AB604" s="7887"/>
      <c r="AC604" s="7887"/>
      <c r="AD604" s="7887"/>
      <c r="AE604" s="7887"/>
      <c r="AF604" s="7887"/>
      <c r="AG604" s="7887"/>
      <c r="AH604" s="7887"/>
      <c r="AI604" s="7887"/>
      <c r="AJ604" s="7887"/>
      <c r="AK604" s="7887"/>
      <c r="AL604" s="7887"/>
      <c r="AM604" s="7887"/>
      <c r="AN604" s="7887"/>
      <c r="AO604" s="7887"/>
      <c r="AP604" s="7887"/>
      <c r="AQ604" s="7887"/>
      <c r="AR604" s="7887"/>
      <c r="AS604" s="7887"/>
      <c r="AT604" s="7887"/>
      <c r="AU604" s="7887"/>
      <c r="AV604" s="7887"/>
      <c r="AW604" s="7887"/>
      <c r="AX604" s="7872"/>
    </row>
    <row r="605" spans="1:50" s="7930" customFormat="1" ht="30" hidden="1">
      <c r="A605" s="7872"/>
      <c r="B605" s="8633"/>
      <c r="C605" s="8635"/>
      <c r="D605" s="8503" t="s">
        <v>149</v>
      </c>
      <c r="E605" s="8504"/>
      <c r="F605" s="8124" t="s">
        <v>557</v>
      </c>
      <c r="G605" s="8514"/>
      <c r="H605" s="8506" t="s">
        <v>150</v>
      </c>
      <c r="I605" s="8507"/>
      <c r="J605" s="8508"/>
      <c r="K605" s="7941" t="s">
        <v>559</v>
      </c>
      <c r="L605" s="7935">
        <f t="shared" si="28"/>
        <v>2</v>
      </c>
      <c r="M605" s="7936">
        <f t="shared" si="29"/>
        <v>5</v>
      </c>
      <c r="N605" s="9238">
        <f>N591</f>
        <v>10</v>
      </c>
      <c r="O605" s="8994" t="s">
        <v>3633</v>
      </c>
      <c r="P605" s="7932"/>
      <c r="Q605" s="7932"/>
      <c r="R605" s="8509"/>
      <c r="S605" s="7887"/>
      <c r="T605" s="7887"/>
      <c r="U605" s="7887"/>
      <c r="V605" s="7887"/>
      <c r="W605" s="7887"/>
      <c r="X605" s="7887"/>
      <c r="Y605" s="7887"/>
      <c r="Z605" s="7887"/>
      <c r="AA605" s="7887"/>
      <c r="AB605" s="7887"/>
      <c r="AC605" s="7887"/>
      <c r="AD605" s="7887"/>
      <c r="AE605" s="7887"/>
      <c r="AF605" s="7887"/>
      <c r="AG605" s="7887"/>
      <c r="AH605" s="7887"/>
      <c r="AI605" s="7887"/>
      <c r="AJ605" s="7887"/>
      <c r="AK605" s="7887"/>
      <c r="AL605" s="7887"/>
      <c r="AM605" s="7887"/>
      <c r="AN605" s="7887"/>
      <c r="AO605" s="7887"/>
      <c r="AP605" s="7887"/>
      <c r="AQ605" s="7887"/>
      <c r="AR605" s="7887"/>
      <c r="AS605" s="7887"/>
      <c r="AT605" s="7887"/>
      <c r="AU605" s="7887"/>
      <c r="AV605" s="7887"/>
      <c r="AW605" s="7887"/>
      <c r="AX605" s="7872"/>
    </row>
    <row r="606" spans="1:50" s="7930" customFormat="1" hidden="1">
      <c r="A606" s="7872"/>
      <c r="B606" s="8633"/>
      <c r="C606" s="8634"/>
      <c r="D606" s="8549" t="s">
        <v>1031</v>
      </c>
      <c r="E606" s="8512"/>
      <c r="F606" s="8089" t="s">
        <v>557</v>
      </c>
      <c r="G606" s="8513"/>
      <c r="H606" s="8511" t="s">
        <v>1259</v>
      </c>
      <c r="I606" s="8556"/>
      <c r="J606" s="8557"/>
      <c r="K606" s="7957" t="s">
        <v>559</v>
      </c>
      <c r="L606" s="8190">
        <f>SUM(L607:L612)</f>
        <v>7609</v>
      </c>
      <c r="M606" s="8191">
        <f>SUM(M607:M612)</f>
        <v>9630</v>
      </c>
      <c r="N606" s="9302">
        <f>SUM(N607:N612)</f>
        <v>9635</v>
      </c>
      <c r="O606" s="9027"/>
      <c r="P606" s="8137" t="s">
        <v>1240</v>
      </c>
      <c r="Q606" s="7955" t="s">
        <v>1968</v>
      </c>
      <c r="R606" s="8630"/>
      <c r="S606" s="7887"/>
      <c r="T606" s="7887"/>
      <c r="U606" s="7887"/>
      <c r="V606" s="7887"/>
      <c r="W606" s="7887"/>
      <c r="X606" s="7887"/>
      <c r="Y606" s="7887"/>
      <c r="Z606" s="7887"/>
      <c r="AA606" s="7887"/>
      <c r="AB606" s="7887"/>
      <c r="AC606" s="7887"/>
      <c r="AD606" s="7887"/>
      <c r="AE606" s="7887"/>
      <c r="AF606" s="7887"/>
      <c r="AG606" s="7887"/>
      <c r="AH606" s="7887"/>
      <c r="AI606" s="7887"/>
      <c r="AJ606" s="7887"/>
      <c r="AK606" s="7887"/>
      <c r="AL606" s="7887"/>
      <c r="AM606" s="7887"/>
      <c r="AN606" s="7887"/>
      <c r="AO606" s="7887"/>
      <c r="AP606" s="7887"/>
      <c r="AQ606" s="7887"/>
      <c r="AR606" s="7887"/>
      <c r="AS606" s="7887"/>
      <c r="AT606" s="7887"/>
      <c r="AU606" s="7887"/>
      <c r="AV606" s="7887"/>
      <c r="AW606" s="7887"/>
      <c r="AX606" s="7872"/>
    </row>
    <row r="607" spans="1:50" s="7930" customFormat="1" ht="20.100000000000001" hidden="1" customHeight="1">
      <c r="A607" s="7872"/>
      <c r="B607" s="8633"/>
      <c r="C607" s="8635"/>
      <c r="D607" s="8503" t="s">
        <v>134</v>
      </c>
      <c r="E607" s="8504"/>
      <c r="F607" s="8124" t="s">
        <v>557</v>
      </c>
      <c r="G607" s="8514"/>
      <c r="H607" s="8506" t="s">
        <v>135</v>
      </c>
      <c r="I607" s="8507"/>
      <c r="J607" s="8508"/>
      <c r="K607" s="7941" t="s">
        <v>559</v>
      </c>
      <c r="L607" s="7935">
        <f t="shared" ref="L607:N612" si="30">L17</f>
        <v>3601</v>
      </c>
      <c r="M607" s="8001">
        <f t="shared" si="30"/>
        <v>4502</v>
      </c>
      <c r="N607" s="9235">
        <f t="shared" si="30"/>
        <v>4682</v>
      </c>
      <c r="O607" s="9037"/>
      <c r="P607" s="7932"/>
      <c r="Q607" s="7932"/>
      <c r="R607" s="8509"/>
      <c r="S607" s="7887"/>
      <c r="T607" s="7887"/>
      <c r="U607" s="7887"/>
      <c r="V607" s="7887"/>
      <c r="W607" s="7887"/>
      <c r="X607" s="7887"/>
      <c r="Y607" s="7887"/>
      <c r="Z607" s="7887"/>
      <c r="AA607" s="7887"/>
      <c r="AB607" s="7887"/>
      <c r="AC607" s="7887"/>
      <c r="AD607" s="7887"/>
      <c r="AE607" s="7887"/>
      <c r="AF607" s="7887"/>
      <c r="AG607" s="7887"/>
      <c r="AH607" s="7887"/>
      <c r="AI607" s="7887"/>
      <c r="AJ607" s="7887"/>
      <c r="AK607" s="7887"/>
      <c r="AL607" s="7887"/>
      <c r="AM607" s="7887"/>
      <c r="AN607" s="7887"/>
      <c r="AO607" s="7887"/>
      <c r="AP607" s="7887"/>
      <c r="AQ607" s="7887"/>
      <c r="AR607" s="7887"/>
      <c r="AS607" s="7887"/>
      <c r="AT607" s="7887"/>
      <c r="AU607" s="7887"/>
      <c r="AV607" s="7887"/>
      <c r="AW607" s="7887"/>
      <c r="AX607" s="7872"/>
    </row>
    <row r="608" spans="1:50" s="7930" customFormat="1" ht="20.100000000000001" hidden="1" customHeight="1">
      <c r="A608" s="7872"/>
      <c r="B608" s="8633"/>
      <c r="C608" s="8635"/>
      <c r="D608" s="8503" t="s">
        <v>137</v>
      </c>
      <c r="E608" s="8504"/>
      <c r="F608" s="8124" t="s">
        <v>557</v>
      </c>
      <c r="G608" s="8514"/>
      <c r="H608" s="8506" t="s">
        <v>138</v>
      </c>
      <c r="I608" s="8507"/>
      <c r="J608" s="8508"/>
      <c r="K608" s="7941" t="s">
        <v>559</v>
      </c>
      <c r="L608" s="7935">
        <f t="shared" si="30"/>
        <v>183</v>
      </c>
      <c r="M608" s="8001">
        <f t="shared" si="30"/>
        <v>231</v>
      </c>
      <c r="N608" s="9235">
        <f t="shared" si="30"/>
        <v>249</v>
      </c>
      <c r="O608" s="8994"/>
      <c r="P608" s="7932"/>
      <c r="Q608" s="7932"/>
      <c r="R608" s="8509"/>
      <c r="S608" s="7887"/>
      <c r="T608" s="7887"/>
      <c r="U608" s="7887"/>
      <c r="V608" s="7887"/>
      <c r="W608" s="7887"/>
      <c r="X608" s="7887"/>
      <c r="Y608" s="7887"/>
      <c r="Z608" s="7887"/>
      <c r="AA608" s="7887"/>
      <c r="AB608" s="7887"/>
      <c r="AC608" s="7887"/>
      <c r="AD608" s="7887"/>
      <c r="AE608" s="7887"/>
      <c r="AF608" s="7887"/>
      <c r="AG608" s="7887"/>
      <c r="AH608" s="7887"/>
      <c r="AI608" s="7887"/>
      <c r="AJ608" s="7887"/>
      <c r="AK608" s="7887"/>
      <c r="AL608" s="7887"/>
      <c r="AM608" s="7887"/>
      <c r="AN608" s="7887"/>
      <c r="AO608" s="7887"/>
      <c r="AP608" s="7887"/>
      <c r="AQ608" s="7887"/>
      <c r="AR608" s="7887"/>
      <c r="AS608" s="7887"/>
      <c r="AT608" s="7887"/>
      <c r="AU608" s="7887"/>
      <c r="AV608" s="7887"/>
      <c r="AW608" s="7887"/>
      <c r="AX608" s="7872"/>
    </row>
    <row r="609" spans="1:50" s="7930" customFormat="1" ht="20.100000000000001" hidden="1" customHeight="1">
      <c r="A609" s="7872"/>
      <c r="B609" s="8633"/>
      <c r="C609" s="8635"/>
      <c r="D609" s="8503" t="s">
        <v>140</v>
      </c>
      <c r="E609" s="8504"/>
      <c r="F609" s="8124" t="s">
        <v>557</v>
      </c>
      <c r="G609" s="8514"/>
      <c r="H609" s="8506" t="s">
        <v>141</v>
      </c>
      <c r="I609" s="8507"/>
      <c r="J609" s="8508"/>
      <c r="K609" s="7941" t="s">
        <v>559</v>
      </c>
      <c r="L609" s="7935">
        <f t="shared" si="30"/>
        <v>1054</v>
      </c>
      <c r="M609" s="8001">
        <f t="shared" si="30"/>
        <v>909</v>
      </c>
      <c r="N609" s="9235">
        <f t="shared" si="30"/>
        <v>750</v>
      </c>
      <c r="O609" s="8994"/>
      <c r="P609" s="7932"/>
      <c r="Q609" s="7932"/>
      <c r="R609" s="8509"/>
      <c r="S609" s="7887"/>
      <c r="T609" s="7887"/>
      <c r="U609" s="7887"/>
      <c r="V609" s="7887"/>
      <c r="W609" s="7887"/>
      <c r="X609" s="7887"/>
      <c r="Y609" s="7887"/>
      <c r="Z609" s="7887"/>
      <c r="AA609" s="7887"/>
      <c r="AB609" s="7887"/>
      <c r="AC609" s="7887"/>
      <c r="AD609" s="7887"/>
      <c r="AE609" s="7887"/>
      <c r="AF609" s="7887"/>
      <c r="AG609" s="7887"/>
      <c r="AH609" s="7887"/>
      <c r="AI609" s="7887"/>
      <c r="AJ609" s="7887"/>
      <c r="AK609" s="7887"/>
      <c r="AL609" s="7887"/>
      <c r="AM609" s="7887"/>
      <c r="AN609" s="7887"/>
      <c r="AO609" s="7887"/>
      <c r="AP609" s="7887"/>
      <c r="AQ609" s="7887"/>
      <c r="AR609" s="7887"/>
      <c r="AS609" s="7887"/>
      <c r="AT609" s="7887"/>
      <c r="AU609" s="7887"/>
      <c r="AV609" s="7887"/>
      <c r="AW609" s="7887"/>
      <c r="AX609" s="7872"/>
    </row>
    <row r="610" spans="1:50" s="7930" customFormat="1" ht="20.100000000000001" hidden="1" customHeight="1">
      <c r="A610" s="7872"/>
      <c r="B610" s="8633"/>
      <c r="C610" s="8635"/>
      <c r="D610" s="8503" t="s">
        <v>143</v>
      </c>
      <c r="E610" s="8504"/>
      <c r="F610" s="8124" t="s">
        <v>557</v>
      </c>
      <c r="G610" s="8514"/>
      <c r="H610" s="8506" t="s">
        <v>144</v>
      </c>
      <c r="I610" s="8507"/>
      <c r="J610" s="8508"/>
      <c r="K610" s="7941" t="s">
        <v>559</v>
      </c>
      <c r="L610" s="7935">
        <f t="shared" si="30"/>
        <v>1110</v>
      </c>
      <c r="M610" s="8001">
        <f t="shared" si="30"/>
        <v>2451</v>
      </c>
      <c r="N610" s="9235">
        <f t="shared" si="30"/>
        <v>2483</v>
      </c>
      <c r="O610" s="9037"/>
      <c r="P610" s="7932"/>
      <c r="Q610" s="7932"/>
      <c r="R610" s="8509"/>
      <c r="S610" s="7887"/>
      <c r="T610" s="7887"/>
      <c r="U610" s="7887"/>
      <c r="V610" s="7887"/>
      <c r="W610" s="7887"/>
      <c r="X610" s="7887"/>
      <c r="Y610" s="7887"/>
      <c r="Z610" s="7887"/>
      <c r="AA610" s="7887"/>
      <c r="AB610" s="7887"/>
      <c r="AC610" s="7887"/>
      <c r="AD610" s="7887"/>
      <c r="AE610" s="7887"/>
      <c r="AF610" s="7887"/>
      <c r="AG610" s="7887"/>
      <c r="AH610" s="7887"/>
      <c r="AI610" s="7887"/>
      <c r="AJ610" s="7887"/>
      <c r="AK610" s="7887"/>
      <c r="AL610" s="7887"/>
      <c r="AM610" s="7887"/>
      <c r="AN610" s="7887"/>
      <c r="AO610" s="7887"/>
      <c r="AP610" s="7887"/>
      <c r="AQ610" s="7887"/>
      <c r="AR610" s="7887"/>
      <c r="AS610" s="7887"/>
      <c r="AT610" s="7887"/>
      <c r="AU610" s="7887"/>
      <c r="AV610" s="7887"/>
      <c r="AW610" s="7887"/>
      <c r="AX610" s="7872"/>
    </row>
    <row r="611" spans="1:50" s="7930" customFormat="1" ht="20.100000000000001" hidden="1" customHeight="1">
      <c r="A611" s="7872"/>
      <c r="B611" s="8633"/>
      <c r="C611" s="8635"/>
      <c r="D611" s="8503" t="s">
        <v>146</v>
      </c>
      <c r="E611" s="8504"/>
      <c r="F611" s="8124" t="s">
        <v>557</v>
      </c>
      <c r="G611" s="8514"/>
      <c r="H611" s="8506" t="s">
        <v>147</v>
      </c>
      <c r="I611" s="8507"/>
      <c r="J611" s="8508"/>
      <c r="K611" s="7941" t="s">
        <v>559</v>
      </c>
      <c r="L611" s="7935">
        <f t="shared" si="30"/>
        <v>381</v>
      </c>
      <c r="M611" s="8001">
        <f t="shared" si="30"/>
        <v>393</v>
      </c>
      <c r="N611" s="9235">
        <f t="shared" si="30"/>
        <v>412</v>
      </c>
      <c r="O611" s="8994"/>
      <c r="P611" s="7932"/>
      <c r="Q611" s="7932"/>
      <c r="R611" s="8509"/>
      <c r="S611" s="7887"/>
      <c r="T611" s="7887"/>
      <c r="U611" s="7887"/>
      <c r="V611" s="7887"/>
      <c r="W611" s="7887"/>
      <c r="X611" s="7887"/>
      <c r="Y611" s="7887"/>
      <c r="Z611" s="7887"/>
      <c r="AA611" s="7887"/>
      <c r="AB611" s="7887"/>
      <c r="AC611" s="7887"/>
      <c r="AD611" s="7887"/>
      <c r="AE611" s="7887"/>
      <c r="AF611" s="7887"/>
      <c r="AG611" s="7887"/>
      <c r="AH611" s="7887"/>
      <c r="AI611" s="7887"/>
      <c r="AJ611" s="7887"/>
      <c r="AK611" s="7887"/>
      <c r="AL611" s="7887"/>
      <c r="AM611" s="7887"/>
      <c r="AN611" s="7887"/>
      <c r="AO611" s="7887"/>
      <c r="AP611" s="7887"/>
      <c r="AQ611" s="7887"/>
      <c r="AR611" s="7887"/>
      <c r="AS611" s="7887"/>
      <c r="AT611" s="7887"/>
      <c r="AU611" s="7887"/>
      <c r="AV611" s="7887"/>
      <c r="AW611" s="7887"/>
      <c r="AX611" s="7872"/>
    </row>
    <row r="612" spans="1:50" s="7930" customFormat="1" ht="20.100000000000001" hidden="1" customHeight="1">
      <c r="A612" s="7872"/>
      <c r="B612" s="8633"/>
      <c r="C612" s="8635"/>
      <c r="D612" s="8503" t="s">
        <v>149</v>
      </c>
      <c r="E612" s="8504"/>
      <c r="F612" s="8124" t="s">
        <v>557</v>
      </c>
      <c r="G612" s="8514"/>
      <c r="H612" s="8506" t="s">
        <v>150</v>
      </c>
      <c r="I612" s="8507"/>
      <c r="J612" s="8508"/>
      <c r="K612" s="7941" t="s">
        <v>559</v>
      </c>
      <c r="L612" s="7935">
        <f t="shared" si="30"/>
        <v>1280</v>
      </c>
      <c r="M612" s="8001">
        <f t="shared" si="30"/>
        <v>1144</v>
      </c>
      <c r="N612" s="9235">
        <f t="shared" si="30"/>
        <v>1059</v>
      </c>
      <c r="O612" s="9037"/>
      <c r="P612" s="7932"/>
      <c r="Q612" s="7932"/>
      <c r="R612" s="8509"/>
      <c r="S612" s="7887"/>
      <c r="T612" s="7887"/>
      <c r="U612" s="7887"/>
      <c r="V612" s="7887"/>
      <c r="W612" s="7887"/>
      <c r="X612" s="7887"/>
      <c r="Y612" s="7887"/>
      <c r="Z612" s="7887"/>
      <c r="AA612" s="7887"/>
      <c r="AB612" s="7887"/>
      <c r="AC612" s="7887"/>
      <c r="AD612" s="7887"/>
      <c r="AE612" s="7887"/>
      <c r="AF612" s="7887"/>
      <c r="AG612" s="7887"/>
      <c r="AH612" s="7887"/>
      <c r="AI612" s="7887"/>
      <c r="AJ612" s="7887"/>
      <c r="AK612" s="7887"/>
      <c r="AL612" s="7887"/>
      <c r="AM612" s="7887"/>
      <c r="AN612" s="7887"/>
      <c r="AO612" s="7887"/>
      <c r="AP612" s="7887"/>
      <c r="AQ612" s="7887"/>
      <c r="AR612" s="7887"/>
      <c r="AS612" s="7887"/>
      <c r="AT612" s="7887"/>
      <c r="AU612" s="7887"/>
      <c r="AV612" s="7887"/>
      <c r="AW612" s="7887"/>
      <c r="AX612" s="7872"/>
    </row>
    <row r="613" spans="1:50" s="7930" customFormat="1" ht="20.100000000000001" customHeight="1">
      <c r="A613" s="7872"/>
      <c r="B613" s="8510"/>
      <c r="C613" s="8548" t="s">
        <v>1976</v>
      </c>
      <c r="D613" s="8549"/>
      <c r="E613" s="8512"/>
      <c r="F613" s="8089" t="s">
        <v>557</v>
      </c>
      <c r="G613" s="8599"/>
      <c r="H613" s="8511" t="s">
        <v>1262</v>
      </c>
      <c r="I613" s="8549"/>
      <c r="J613" s="8512"/>
      <c r="K613" s="7957" t="s">
        <v>559</v>
      </c>
      <c r="L613" s="8190">
        <f>SUM(L614:L619)</f>
        <v>0</v>
      </c>
      <c r="M613" s="8191">
        <f>SUM(M614:M619)</f>
        <v>0</v>
      </c>
      <c r="N613" s="9302">
        <f>SUM(N614:N619)</f>
        <v>0</v>
      </c>
      <c r="O613" s="8995"/>
      <c r="P613" s="7932" t="s">
        <v>1264</v>
      </c>
      <c r="Q613" s="7955" t="s">
        <v>1968</v>
      </c>
      <c r="R613" s="8509"/>
      <c r="S613" s="7887"/>
      <c r="T613" s="7887"/>
      <c r="U613" s="7887"/>
      <c r="V613" s="7887"/>
      <c r="W613" s="7887"/>
      <c r="X613" s="7887"/>
      <c r="Y613" s="7887"/>
      <c r="Z613" s="7887"/>
      <c r="AA613" s="7887"/>
      <c r="AB613" s="7887"/>
      <c r="AC613" s="7887"/>
      <c r="AD613" s="7887"/>
      <c r="AE613" s="7887"/>
      <c r="AF613" s="7887"/>
      <c r="AG613" s="7887"/>
      <c r="AH613" s="7887"/>
      <c r="AI613" s="7887"/>
      <c r="AJ613" s="7887"/>
      <c r="AK613" s="7887"/>
      <c r="AL613" s="7887"/>
      <c r="AM613" s="7887"/>
      <c r="AN613" s="7887"/>
      <c r="AO613" s="7887"/>
      <c r="AP613" s="7887"/>
      <c r="AQ613" s="7887"/>
      <c r="AR613" s="7887"/>
      <c r="AS613" s="7887"/>
      <c r="AT613" s="7887"/>
      <c r="AU613" s="7887"/>
      <c r="AV613" s="7887"/>
      <c r="AW613" s="7887"/>
      <c r="AX613" s="7872"/>
    </row>
    <row r="614" spans="1:50" s="7930" customFormat="1" ht="20.100000000000001" customHeight="1">
      <c r="A614" s="7872"/>
      <c r="B614" s="8510"/>
      <c r="C614" s="8502" t="s">
        <v>134</v>
      </c>
      <c r="D614" s="8503"/>
      <c r="E614" s="8504"/>
      <c r="F614" s="8124" t="s">
        <v>557</v>
      </c>
      <c r="G614" s="8514"/>
      <c r="H614" s="8506" t="s">
        <v>135</v>
      </c>
      <c r="I614" s="8507"/>
      <c r="J614" s="8508"/>
      <c r="K614" s="7941" t="s">
        <v>559</v>
      </c>
      <c r="L614" s="7935">
        <v>0</v>
      </c>
      <c r="M614" s="7936">
        <v>0</v>
      </c>
      <c r="N614" s="9249">
        <v>0</v>
      </c>
      <c r="O614" s="8994"/>
      <c r="P614" s="7932"/>
      <c r="Q614" s="7932"/>
      <c r="R614" s="8509"/>
      <c r="S614" s="7887"/>
      <c r="T614" s="7887"/>
      <c r="U614" s="7887"/>
      <c r="V614" s="7887"/>
      <c r="W614" s="7887"/>
      <c r="X614" s="7887"/>
      <c r="Y614" s="7887"/>
      <c r="Z614" s="7887"/>
      <c r="AA614" s="7887"/>
      <c r="AB614" s="7887"/>
      <c r="AC614" s="7887"/>
      <c r="AD614" s="7887"/>
      <c r="AE614" s="7887"/>
      <c r="AF614" s="7887"/>
      <c r="AG614" s="7887"/>
      <c r="AH614" s="7887"/>
      <c r="AI614" s="7887"/>
      <c r="AJ614" s="7887"/>
      <c r="AK614" s="7887"/>
      <c r="AL614" s="7887"/>
      <c r="AM614" s="7887"/>
      <c r="AN614" s="7887"/>
      <c r="AO614" s="7887"/>
      <c r="AP614" s="7887"/>
      <c r="AQ614" s="7887"/>
      <c r="AR614" s="7887"/>
      <c r="AS614" s="7887"/>
      <c r="AT614" s="7887"/>
      <c r="AU614" s="7887"/>
      <c r="AV614" s="7887"/>
      <c r="AW614" s="7887"/>
      <c r="AX614" s="7872"/>
    </row>
    <row r="615" spans="1:50" s="7930" customFormat="1" ht="20.100000000000001" customHeight="1">
      <c r="A615" s="7872"/>
      <c r="B615" s="8510"/>
      <c r="C615" s="8502" t="s">
        <v>137</v>
      </c>
      <c r="D615" s="8503"/>
      <c r="E615" s="8504"/>
      <c r="F615" s="8124" t="s">
        <v>557</v>
      </c>
      <c r="G615" s="8514"/>
      <c r="H615" s="8506" t="s">
        <v>138</v>
      </c>
      <c r="I615" s="8507"/>
      <c r="J615" s="8508"/>
      <c r="K615" s="7941" t="s">
        <v>559</v>
      </c>
      <c r="L615" s="7935">
        <f>'4DPLEX'!W305</f>
        <v>0</v>
      </c>
      <c r="M615" s="7936">
        <f>'4DPLEX'!Y305</f>
        <v>0</v>
      </c>
      <c r="N615" s="9253">
        <f>'4DPLEX'!AA305</f>
        <v>0</v>
      </c>
      <c r="O615" s="8994"/>
      <c r="P615" s="7932"/>
      <c r="Q615" s="7932"/>
      <c r="R615" s="8509"/>
      <c r="S615" s="7887"/>
      <c r="T615" s="7887"/>
      <c r="U615" s="7887"/>
      <c r="V615" s="7887"/>
      <c r="W615" s="7887"/>
      <c r="X615" s="7887"/>
      <c r="Y615" s="7887"/>
      <c r="Z615" s="7887"/>
      <c r="AA615" s="7887"/>
      <c r="AB615" s="7887"/>
      <c r="AC615" s="7887"/>
      <c r="AD615" s="7887"/>
      <c r="AE615" s="7887"/>
      <c r="AF615" s="7887"/>
      <c r="AG615" s="7887"/>
      <c r="AH615" s="7887"/>
      <c r="AI615" s="7887"/>
      <c r="AJ615" s="7887"/>
      <c r="AK615" s="7887"/>
      <c r="AL615" s="7887"/>
      <c r="AM615" s="7887"/>
      <c r="AN615" s="7887"/>
      <c r="AO615" s="7887"/>
      <c r="AP615" s="7887"/>
      <c r="AQ615" s="7887"/>
      <c r="AR615" s="7887"/>
      <c r="AS615" s="7887"/>
      <c r="AT615" s="7887"/>
      <c r="AU615" s="7887"/>
      <c r="AV615" s="7887"/>
      <c r="AW615" s="7887"/>
      <c r="AX615" s="7872"/>
    </row>
    <row r="616" spans="1:50" s="7930" customFormat="1" ht="20.100000000000001" customHeight="1">
      <c r="A616" s="7872"/>
      <c r="B616" s="8510"/>
      <c r="C616" s="8502" t="s">
        <v>140</v>
      </c>
      <c r="D616" s="8503"/>
      <c r="E616" s="8504"/>
      <c r="F616" s="8124" t="s">
        <v>557</v>
      </c>
      <c r="G616" s="8514"/>
      <c r="H616" s="8506" t="s">
        <v>141</v>
      </c>
      <c r="I616" s="8507"/>
      <c r="J616" s="8508"/>
      <c r="K616" s="7941" t="s">
        <v>559</v>
      </c>
      <c r="L616" s="7935">
        <f>China!AO334</f>
        <v>0</v>
      </c>
      <c r="M616" s="7936">
        <f>China!AQ334</f>
        <v>0</v>
      </c>
      <c r="N616" s="9253">
        <f>China!AS334</f>
        <v>0</v>
      </c>
      <c r="O616" s="8994"/>
      <c r="P616" s="7932"/>
      <c r="Q616" s="7932"/>
      <c r="R616" s="8509"/>
      <c r="S616" s="7887"/>
      <c r="T616" s="7887"/>
      <c r="U616" s="7887"/>
      <c r="V616" s="7887"/>
      <c r="W616" s="7887"/>
      <c r="X616" s="7887"/>
      <c r="Y616" s="7887"/>
      <c r="Z616" s="7887"/>
      <c r="AA616" s="7887"/>
      <c r="AB616" s="7887"/>
      <c r="AC616" s="7887"/>
      <c r="AD616" s="7887"/>
      <c r="AE616" s="7887"/>
      <c r="AF616" s="7887"/>
      <c r="AG616" s="7887"/>
      <c r="AH616" s="7887"/>
      <c r="AI616" s="7887"/>
      <c r="AJ616" s="7887"/>
      <c r="AK616" s="7887"/>
      <c r="AL616" s="7887"/>
      <c r="AM616" s="7887"/>
      <c r="AN616" s="7887"/>
      <c r="AO616" s="7887"/>
      <c r="AP616" s="7887"/>
      <c r="AQ616" s="7887"/>
      <c r="AR616" s="7887"/>
      <c r="AS616" s="7887"/>
      <c r="AT616" s="7887"/>
      <c r="AU616" s="7887"/>
      <c r="AV616" s="7887"/>
      <c r="AW616" s="7887"/>
      <c r="AX616" s="7872"/>
    </row>
    <row r="617" spans="1:50" s="7930" customFormat="1" ht="20.100000000000001" customHeight="1">
      <c r="A617" s="7872"/>
      <c r="B617" s="8510"/>
      <c r="C617" s="8502" t="s">
        <v>143</v>
      </c>
      <c r="D617" s="8503"/>
      <c r="E617" s="8504"/>
      <c r="F617" s="8124" t="s">
        <v>557</v>
      </c>
      <c r="G617" s="8514"/>
      <c r="H617" s="8506" t="s">
        <v>144</v>
      </c>
      <c r="I617" s="8507"/>
      <c r="J617" s="8508"/>
      <c r="K617" s="7941" t="s">
        <v>559</v>
      </c>
      <c r="L617" s="7935">
        <f>Vietnam!Q333</f>
        <v>0</v>
      </c>
      <c r="M617" s="7936">
        <f>Vietnam!S333</f>
        <v>0</v>
      </c>
      <c r="N617" s="9253">
        <v>0</v>
      </c>
      <c r="O617" s="8994"/>
      <c r="P617" s="7932"/>
      <c r="Q617" s="7932"/>
      <c r="R617" s="8509"/>
      <c r="S617" s="7887"/>
      <c r="T617" s="7887"/>
      <c r="U617" s="7887"/>
      <c r="V617" s="7887"/>
      <c r="W617" s="7887"/>
      <c r="X617" s="7887"/>
      <c r="Y617" s="7887"/>
      <c r="Z617" s="7887"/>
      <c r="AA617" s="7887"/>
      <c r="AB617" s="7887"/>
      <c r="AC617" s="7887"/>
      <c r="AD617" s="7887"/>
      <c r="AE617" s="7887"/>
      <c r="AF617" s="7887"/>
      <c r="AG617" s="7887"/>
      <c r="AH617" s="7887"/>
      <c r="AI617" s="7887"/>
      <c r="AJ617" s="7887"/>
      <c r="AK617" s="7887"/>
      <c r="AL617" s="7887"/>
      <c r="AM617" s="7887"/>
      <c r="AN617" s="7887"/>
      <c r="AO617" s="7887"/>
      <c r="AP617" s="7887"/>
      <c r="AQ617" s="7887"/>
      <c r="AR617" s="7887"/>
      <c r="AS617" s="7887"/>
      <c r="AT617" s="7887"/>
      <c r="AU617" s="7887"/>
      <c r="AV617" s="7887"/>
      <c r="AW617" s="7887"/>
      <c r="AX617" s="7872"/>
    </row>
    <row r="618" spans="1:50" s="7930" customFormat="1" ht="20.100000000000001" customHeight="1">
      <c r="A618" s="7872"/>
      <c r="B618" s="8510"/>
      <c r="C618" s="8502" t="s">
        <v>146</v>
      </c>
      <c r="D618" s="8503"/>
      <c r="E618" s="8504"/>
      <c r="F618" s="8124" t="s">
        <v>557</v>
      </c>
      <c r="G618" s="8514"/>
      <c r="H618" s="8506" t="s">
        <v>147</v>
      </c>
      <c r="I618" s="8507"/>
      <c r="J618" s="8508"/>
      <c r="K618" s="7941" t="s">
        <v>559</v>
      </c>
      <c r="L618" s="7935">
        <f>Indonesia!V333</f>
        <v>0</v>
      </c>
      <c r="M618" s="7936">
        <f>Indonesia!X333</f>
        <v>0</v>
      </c>
      <c r="N618" s="9253">
        <v>0</v>
      </c>
      <c r="O618" s="8994"/>
      <c r="P618" s="7932"/>
      <c r="Q618" s="7932"/>
      <c r="R618" s="8509"/>
      <c r="S618" s="7887"/>
      <c r="T618" s="7887"/>
      <c r="U618" s="7887"/>
      <c r="V618" s="7887"/>
      <c r="W618" s="7887"/>
      <c r="X618" s="7887"/>
      <c r="Y618" s="7887"/>
      <c r="Z618" s="7887"/>
      <c r="AA618" s="7887"/>
      <c r="AB618" s="7887"/>
      <c r="AC618" s="7887"/>
      <c r="AD618" s="7887"/>
      <c r="AE618" s="7887"/>
      <c r="AF618" s="7887"/>
      <c r="AG618" s="7887"/>
      <c r="AH618" s="7887"/>
      <c r="AI618" s="7887"/>
      <c r="AJ618" s="7887"/>
      <c r="AK618" s="7887"/>
      <c r="AL618" s="7887"/>
      <c r="AM618" s="7887"/>
      <c r="AN618" s="7887"/>
      <c r="AO618" s="7887"/>
      <c r="AP618" s="7887"/>
      <c r="AQ618" s="7887"/>
      <c r="AR618" s="7887"/>
      <c r="AS618" s="7887"/>
      <c r="AT618" s="7887"/>
      <c r="AU618" s="7887"/>
      <c r="AV618" s="7887"/>
      <c r="AW618" s="7887"/>
      <c r="AX618" s="7872"/>
    </row>
    <row r="619" spans="1:50" s="7930" customFormat="1" ht="20.100000000000001" customHeight="1">
      <c r="A619" s="7872"/>
      <c r="B619" s="8510"/>
      <c r="C619" s="8502" t="s">
        <v>149</v>
      </c>
      <c r="D619" s="8503"/>
      <c r="E619" s="8504"/>
      <c r="F619" s="8124" t="s">
        <v>557</v>
      </c>
      <c r="G619" s="8514"/>
      <c r="H619" s="8506" t="s">
        <v>150</v>
      </c>
      <c r="I619" s="8507"/>
      <c r="J619" s="8508"/>
      <c r="K619" s="7941" t="s">
        <v>559</v>
      </c>
      <c r="L619" s="7935">
        <v>0</v>
      </c>
      <c r="M619" s="7936">
        <v>0</v>
      </c>
      <c r="N619" s="9238">
        <v>0</v>
      </c>
      <c r="O619" s="8994"/>
      <c r="P619" s="7932"/>
      <c r="Q619" s="7932"/>
      <c r="R619" s="8509"/>
      <c r="S619" s="7887"/>
      <c r="T619" s="7887"/>
      <c r="U619" s="7887"/>
      <c r="V619" s="7887"/>
      <c r="W619" s="7887"/>
      <c r="X619" s="7887"/>
      <c r="Y619" s="7887"/>
      <c r="Z619" s="7887"/>
      <c r="AA619" s="7887"/>
      <c r="AB619" s="7887"/>
      <c r="AC619" s="7887"/>
      <c r="AD619" s="7887"/>
      <c r="AE619" s="7887"/>
      <c r="AF619" s="7887"/>
      <c r="AG619" s="7887"/>
      <c r="AH619" s="7887"/>
      <c r="AI619" s="7887"/>
      <c r="AJ619" s="7887"/>
      <c r="AK619" s="7887"/>
      <c r="AL619" s="7887"/>
      <c r="AM619" s="7887"/>
      <c r="AN619" s="7887"/>
      <c r="AO619" s="7887"/>
      <c r="AP619" s="7887"/>
      <c r="AQ619" s="7887"/>
      <c r="AR619" s="7887"/>
      <c r="AS619" s="7887"/>
      <c r="AT619" s="7887"/>
      <c r="AU619" s="7887"/>
      <c r="AV619" s="7887"/>
      <c r="AW619" s="7887"/>
      <c r="AX619" s="7872"/>
    </row>
    <row r="620" spans="1:50" s="7930" customFormat="1" ht="20.100000000000001" hidden="1" customHeight="1">
      <c r="A620" s="7872"/>
      <c r="B620" s="8510"/>
      <c r="C620" s="8548" t="s">
        <v>1266</v>
      </c>
      <c r="D620" s="8556"/>
      <c r="E620" s="8557"/>
      <c r="F620" s="8089" t="s">
        <v>156</v>
      </c>
      <c r="G620" s="8599"/>
      <c r="H620" s="8192"/>
      <c r="I620" s="8524" t="s">
        <v>1267</v>
      </c>
      <c r="J620" s="8525"/>
      <c r="K620" s="7957" t="s">
        <v>156</v>
      </c>
      <c r="L620" s="8035" t="str">
        <f>IF(COUNTBLANK(L621:L626)&gt;0,"미취합법인有",AVERAGE(L621:L626))</f>
        <v>미취합법인有</v>
      </c>
      <c r="M620" s="8036" t="str">
        <f>IF(COUNTBLANK(M621:M626)&gt;0,"미취합법인有",AVERAGE(M621:M626))</f>
        <v>미취합법인有</v>
      </c>
      <c r="N620" s="9243" t="str">
        <f>IF(COUNTBLANK(N621:N626)&gt;0,"미취합법인有",AVERAGE(N621:N626))</f>
        <v>미취합법인有</v>
      </c>
      <c r="O620" s="8995" t="s">
        <v>1977</v>
      </c>
      <c r="P620" s="8137"/>
      <c r="Q620" s="7955"/>
      <c r="R620" s="8509" t="s">
        <v>1268</v>
      </c>
      <c r="S620" s="7887"/>
      <c r="T620" s="7887"/>
      <c r="U620" s="7887"/>
      <c r="V620" s="7887"/>
      <c r="W620" s="7887"/>
      <c r="X620" s="7887"/>
      <c r="Y620" s="7887"/>
      <c r="Z620" s="7887"/>
      <c r="AA620" s="7887"/>
      <c r="AB620" s="7887"/>
      <c r="AC620" s="7887"/>
      <c r="AD620" s="7887"/>
      <c r="AE620" s="7887"/>
      <c r="AF620" s="7887"/>
      <c r="AG620" s="7887"/>
      <c r="AH620" s="7887"/>
      <c r="AI620" s="7887"/>
      <c r="AJ620" s="7887"/>
      <c r="AK620" s="7887"/>
      <c r="AL620" s="7887"/>
      <c r="AM620" s="7887"/>
      <c r="AN620" s="7887"/>
      <c r="AO620" s="7887"/>
      <c r="AP620" s="7887"/>
      <c r="AQ620" s="7887"/>
      <c r="AR620" s="7887"/>
      <c r="AS620" s="7887"/>
      <c r="AT620" s="7887"/>
      <c r="AU620" s="7887"/>
      <c r="AV620" s="7887"/>
      <c r="AW620" s="7887"/>
      <c r="AX620" s="7872"/>
    </row>
    <row r="621" spans="1:50" s="7930" customFormat="1" ht="20.100000000000001" hidden="1" customHeight="1">
      <c r="A621" s="7872"/>
      <c r="B621" s="8510"/>
      <c r="C621" s="8502" t="s">
        <v>134</v>
      </c>
      <c r="D621" s="8503"/>
      <c r="E621" s="8508"/>
      <c r="F621" s="7953" t="s">
        <v>156</v>
      </c>
      <c r="G621" s="8514"/>
      <c r="H621" s="8508"/>
      <c r="I621" s="8506" t="s">
        <v>135</v>
      </c>
      <c r="J621" s="8508"/>
      <c r="K621" s="7941" t="s">
        <v>156</v>
      </c>
      <c r="L621" s="7942">
        <v>0</v>
      </c>
      <c r="M621" s="8144">
        <v>0</v>
      </c>
      <c r="N621" s="9271">
        <v>0</v>
      </c>
      <c r="O621" s="9038"/>
      <c r="P621" s="7932"/>
      <c r="Q621" s="7932"/>
      <c r="R621" s="8509"/>
      <c r="S621" s="7887"/>
      <c r="T621" s="7887"/>
      <c r="U621" s="7887"/>
      <c r="V621" s="7887"/>
      <c r="W621" s="7887"/>
      <c r="X621" s="7887"/>
      <c r="Y621" s="7887"/>
      <c r="Z621" s="7887"/>
      <c r="AA621" s="7887"/>
      <c r="AB621" s="7887"/>
      <c r="AC621" s="7887"/>
      <c r="AD621" s="7887"/>
      <c r="AE621" s="7887"/>
      <c r="AF621" s="7887"/>
      <c r="AG621" s="7887"/>
      <c r="AH621" s="7887"/>
      <c r="AI621" s="7887"/>
      <c r="AJ621" s="7887"/>
      <c r="AK621" s="7887"/>
      <c r="AL621" s="7887"/>
      <c r="AM621" s="7887"/>
      <c r="AN621" s="7887"/>
      <c r="AO621" s="7887"/>
      <c r="AP621" s="7887"/>
      <c r="AQ621" s="7887"/>
      <c r="AR621" s="7887"/>
      <c r="AS621" s="7887"/>
      <c r="AT621" s="7887"/>
      <c r="AU621" s="7887"/>
      <c r="AV621" s="7887"/>
      <c r="AW621" s="7887"/>
      <c r="AX621" s="7872"/>
    </row>
    <row r="622" spans="1:50" s="7930" customFormat="1" ht="20.100000000000001" hidden="1" customHeight="1">
      <c r="A622" s="7872"/>
      <c r="B622" s="8510"/>
      <c r="C622" s="8502" t="s">
        <v>137</v>
      </c>
      <c r="D622" s="8503"/>
      <c r="E622" s="8508"/>
      <c r="F622" s="7953" t="s">
        <v>156</v>
      </c>
      <c r="G622" s="8514"/>
      <c r="H622" s="7940"/>
      <c r="I622" s="8506" t="s">
        <v>138</v>
      </c>
      <c r="J622" s="8508"/>
      <c r="K622" s="7941" t="s">
        <v>156</v>
      </c>
      <c r="L622" s="7942">
        <v>0</v>
      </c>
      <c r="M622" s="8144">
        <v>0</v>
      </c>
      <c r="N622" s="9271">
        <v>0</v>
      </c>
      <c r="O622" s="9038"/>
      <c r="P622" s="7932"/>
      <c r="Q622" s="7932"/>
      <c r="R622" s="8509"/>
      <c r="S622" s="7887"/>
      <c r="T622" s="7887"/>
      <c r="U622" s="7887"/>
      <c r="V622" s="7887"/>
      <c r="W622" s="7887"/>
      <c r="X622" s="7887"/>
      <c r="Y622" s="7887"/>
      <c r="Z622" s="7887"/>
      <c r="AA622" s="7887"/>
      <c r="AB622" s="7887"/>
      <c r="AC622" s="7887"/>
      <c r="AD622" s="7887"/>
      <c r="AE622" s="7887"/>
      <c r="AF622" s="7887"/>
      <c r="AG622" s="7887"/>
      <c r="AH622" s="7887"/>
      <c r="AI622" s="7887"/>
      <c r="AJ622" s="7887"/>
      <c r="AK622" s="7887"/>
      <c r="AL622" s="7887"/>
      <c r="AM622" s="7887"/>
      <c r="AN622" s="7887"/>
      <c r="AO622" s="7887"/>
      <c r="AP622" s="7887"/>
      <c r="AQ622" s="7887"/>
      <c r="AR622" s="7887"/>
      <c r="AS622" s="7887"/>
      <c r="AT622" s="7887"/>
      <c r="AU622" s="7887"/>
      <c r="AV622" s="7887"/>
      <c r="AW622" s="7887"/>
      <c r="AX622" s="7872"/>
    </row>
    <row r="623" spans="1:50" s="7930" customFormat="1" ht="20.100000000000001" hidden="1" customHeight="1">
      <c r="A623" s="7872"/>
      <c r="B623" s="8510"/>
      <c r="C623" s="8502" t="s">
        <v>140</v>
      </c>
      <c r="D623" s="8503"/>
      <c r="E623" s="8508"/>
      <c r="F623" s="7953" t="s">
        <v>156</v>
      </c>
      <c r="G623" s="8514"/>
      <c r="H623" s="7940"/>
      <c r="I623" s="8515" t="s">
        <v>141</v>
      </c>
      <c r="J623" s="8516"/>
      <c r="K623" s="7941" t="s">
        <v>156</v>
      </c>
      <c r="L623" s="7942"/>
      <c r="M623" s="8144"/>
      <c r="N623" s="9271"/>
      <c r="O623" s="9038"/>
      <c r="P623" s="7932"/>
      <c r="Q623" s="7932"/>
      <c r="R623" s="8509"/>
      <c r="S623" s="7887"/>
      <c r="T623" s="7887"/>
      <c r="U623" s="7887"/>
      <c r="V623" s="7887"/>
      <c r="W623" s="7887"/>
      <c r="X623" s="7887"/>
      <c r="Y623" s="7887"/>
      <c r="Z623" s="7887"/>
      <c r="AA623" s="7887"/>
      <c r="AB623" s="7887"/>
      <c r="AC623" s="7887"/>
      <c r="AD623" s="7887"/>
      <c r="AE623" s="7887"/>
      <c r="AF623" s="7887"/>
      <c r="AG623" s="7887"/>
      <c r="AH623" s="7887"/>
      <c r="AI623" s="7887"/>
      <c r="AJ623" s="7887"/>
      <c r="AK623" s="7887"/>
      <c r="AL623" s="7887"/>
      <c r="AM623" s="7887"/>
      <c r="AN623" s="7887"/>
      <c r="AO623" s="7887"/>
      <c r="AP623" s="7887"/>
      <c r="AQ623" s="7887"/>
      <c r="AR623" s="7887"/>
      <c r="AS623" s="7887"/>
      <c r="AT623" s="7887"/>
      <c r="AU623" s="7887"/>
      <c r="AV623" s="7887"/>
      <c r="AW623" s="7887"/>
      <c r="AX623" s="7872"/>
    </row>
    <row r="624" spans="1:50" s="7930" customFormat="1" ht="20.100000000000001" hidden="1" customHeight="1">
      <c r="A624" s="7872"/>
      <c r="B624" s="8510"/>
      <c r="C624" s="8502" t="s">
        <v>143</v>
      </c>
      <c r="D624" s="8503"/>
      <c r="E624" s="8508"/>
      <c r="F624" s="7953" t="s">
        <v>156</v>
      </c>
      <c r="G624" s="8514"/>
      <c r="H624" s="8508"/>
      <c r="I624" s="8515" t="s">
        <v>144</v>
      </c>
      <c r="J624" s="8516"/>
      <c r="K624" s="7941" t="s">
        <v>156</v>
      </c>
      <c r="L624" s="7942"/>
      <c r="M624" s="8144"/>
      <c r="N624" s="9271"/>
      <c r="O624" s="9038"/>
      <c r="P624" s="7932"/>
      <c r="Q624" s="7932"/>
      <c r="R624" s="8509"/>
      <c r="S624" s="7887"/>
      <c r="T624" s="7887"/>
      <c r="U624" s="7887"/>
      <c r="V624" s="7887"/>
      <c r="W624" s="7887"/>
      <c r="X624" s="7887"/>
      <c r="Y624" s="7887"/>
      <c r="Z624" s="7887"/>
      <c r="AA624" s="7887"/>
      <c r="AB624" s="7887"/>
      <c r="AC624" s="7887"/>
      <c r="AD624" s="7887"/>
      <c r="AE624" s="7887"/>
      <c r="AF624" s="7887"/>
      <c r="AG624" s="7887"/>
      <c r="AH624" s="7887"/>
      <c r="AI624" s="7887"/>
      <c r="AJ624" s="7887"/>
      <c r="AK624" s="7887"/>
      <c r="AL624" s="7887"/>
      <c r="AM624" s="7887"/>
      <c r="AN624" s="7887"/>
      <c r="AO624" s="7887"/>
      <c r="AP624" s="7887"/>
      <c r="AQ624" s="7887"/>
      <c r="AR624" s="7887"/>
      <c r="AS624" s="7887"/>
      <c r="AT624" s="7887"/>
      <c r="AU624" s="7887"/>
      <c r="AV624" s="7887"/>
      <c r="AW624" s="7887"/>
      <c r="AX624" s="7872"/>
    </row>
    <row r="625" spans="1:50" s="7930" customFormat="1" ht="20.100000000000001" hidden="1" customHeight="1">
      <c r="A625" s="7872"/>
      <c r="B625" s="8510"/>
      <c r="C625" s="8502" t="s">
        <v>146</v>
      </c>
      <c r="D625" s="8503"/>
      <c r="E625" s="8508"/>
      <c r="F625" s="7953" t="s">
        <v>156</v>
      </c>
      <c r="G625" s="8514"/>
      <c r="H625" s="7940"/>
      <c r="I625" s="8515" t="s">
        <v>147</v>
      </c>
      <c r="J625" s="8516"/>
      <c r="K625" s="7941" t="s">
        <v>156</v>
      </c>
      <c r="L625" s="8133" t="s">
        <v>168</v>
      </c>
      <c r="M625" s="8109" t="s">
        <v>168</v>
      </c>
      <c r="N625" s="9242" t="s">
        <v>168</v>
      </c>
      <c r="O625" s="9019" t="s">
        <v>209</v>
      </c>
      <c r="P625" s="7932"/>
      <c r="Q625" s="7932"/>
      <c r="R625" s="8509"/>
      <c r="S625" s="7887"/>
      <c r="T625" s="7887"/>
      <c r="U625" s="7887"/>
      <c r="V625" s="7887"/>
      <c r="W625" s="7887"/>
      <c r="X625" s="7887"/>
      <c r="Y625" s="7887"/>
      <c r="Z625" s="7887"/>
      <c r="AA625" s="7887"/>
      <c r="AB625" s="7887"/>
      <c r="AC625" s="7887"/>
      <c r="AD625" s="7887"/>
      <c r="AE625" s="7887"/>
      <c r="AF625" s="7887"/>
      <c r="AG625" s="7887"/>
      <c r="AH625" s="7887"/>
      <c r="AI625" s="7887"/>
      <c r="AJ625" s="7887"/>
      <c r="AK625" s="7887"/>
      <c r="AL625" s="7887"/>
      <c r="AM625" s="7887"/>
      <c r="AN625" s="7887"/>
      <c r="AO625" s="7887"/>
      <c r="AP625" s="7887"/>
      <c r="AQ625" s="7887"/>
      <c r="AR625" s="7887"/>
      <c r="AS625" s="7887"/>
      <c r="AT625" s="7887"/>
      <c r="AU625" s="7887"/>
      <c r="AV625" s="7887"/>
      <c r="AW625" s="7887"/>
      <c r="AX625" s="7872"/>
    </row>
    <row r="626" spans="1:50" s="7930" customFormat="1" ht="20.100000000000001" hidden="1" customHeight="1">
      <c r="A626" s="7872"/>
      <c r="B626" s="8510"/>
      <c r="C626" s="8502" t="s">
        <v>149</v>
      </c>
      <c r="D626" s="8503"/>
      <c r="E626" s="8508"/>
      <c r="F626" s="7953" t="s">
        <v>156</v>
      </c>
      <c r="G626" s="8514"/>
      <c r="H626" s="7940"/>
      <c r="I626" s="8515" t="s">
        <v>150</v>
      </c>
      <c r="J626" s="8516"/>
      <c r="K626" s="7941" t="s">
        <v>156</v>
      </c>
      <c r="L626" s="8133" t="s">
        <v>168</v>
      </c>
      <c r="M626" s="8109" t="s">
        <v>168</v>
      </c>
      <c r="N626" s="9242" t="s">
        <v>168</v>
      </c>
      <c r="O626" s="9019" t="s">
        <v>209</v>
      </c>
      <c r="P626" s="7932"/>
      <c r="Q626" s="7932"/>
      <c r="R626" s="8509"/>
      <c r="S626" s="7887"/>
      <c r="T626" s="7887"/>
      <c r="U626" s="7887"/>
      <c r="V626" s="7887"/>
      <c r="W626" s="7887"/>
      <c r="X626" s="7887"/>
      <c r="Y626" s="7887"/>
      <c r="Z626" s="7887"/>
      <c r="AA626" s="7887"/>
      <c r="AB626" s="7887"/>
      <c r="AC626" s="7887"/>
      <c r="AD626" s="7887"/>
      <c r="AE626" s="7887"/>
      <c r="AF626" s="7887"/>
      <c r="AG626" s="7887"/>
      <c r="AH626" s="7887"/>
      <c r="AI626" s="7887"/>
      <c r="AJ626" s="7887"/>
      <c r="AK626" s="7887"/>
      <c r="AL626" s="7887"/>
      <c r="AM626" s="7887"/>
      <c r="AN626" s="7887"/>
      <c r="AO626" s="7887"/>
      <c r="AP626" s="7887"/>
      <c r="AQ626" s="7887"/>
      <c r="AR626" s="7887"/>
      <c r="AS626" s="7887"/>
      <c r="AT626" s="7887"/>
      <c r="AU626" s="7887"/>
      <c r="AV626" s="7887"/>
      <c r="AW626" s="7887"/>
      <c r="AX626" s="7872"/>
    </row>
    <row r="627" spans="1:50" s="7930" customFormat="1" ht="20.100000000000001" hidden="1" customHeight="1">
      <c r="A627" s="7872"/>
      <c r="B627" s="8510"/>
      <c r="C627" s="8548" t="s">
        <v>1269</v>
      </c>
      <c r="D627" s="8556"/>
      <c r="E627" s="8557"/>
      <c r="F627" s="8089" t="s">
        <v>156</v>
      </c>
      <c r="G627" s="8599"/>
      <c r="H627" s="8636"/>
      <c r="I627" s="8524" t="s">
        <v>1270</v>
      </c>
      <c r="J627" s="8525"/>
      <c r="K627" s="7957" t="s">
        <v>156</v>
      </c>
      <c r="L627" s="8035" t="str">
        <f>IF(COUNTBLANK(L628:L633)&gt;0,"미취합법인有",AVERAGE(L628:L633))</f>
        <v>미취합법인有</v>
      </c>
      <c r="M627" s="8036" t="str">
        <f>IF(COUNTBLANK(M628:M633)&gt;0,"미취합법인有",AVERAGE(M628:M633))</f>
        <v>미취합법인有</v>
      </c>
      <c r="N627" s="9243" t="str">
        <f>IF(COUNTBLANK(N628:N633)&gt;0,"미취합법인有",AVERAGE(N628:N633))</f>
        <v>미취합법인有</v>
      </c>
      <c r="O627" s="8995" t="s">
        <v>1979</v>
      </c>
      <c r="P627" s="8990"/>
      <c r="Q627" s="7962"/>
      <c r="R627" s="8509" t="s">
        <v>1207</v>
      </c>
      <c r="S627" s="7887"/>
      <c r="T627" s="7887"/>
      <c r="U627" s="7887"/>
      <c r="V627" s="7887"/>
      <c r="W627" s="7887"/>
      <c r="X627" s="7887"/>
      <c r="Y627" s="7887"/>
      <c r="Z627" s="7887"/>
      <c r="AA627" s="7887"/>
      <c r="AB627" s="7887"/>
      <c r="AC627" s="7887"/>
      <c r="AD627" s="7887"/>
      <c r="AE627" s="7887"/>
      <c r="AF627" s="7887"/>
      <c r="AG627" s="7887"/>
      <c r="AH627" s="7887"/>
      <c r="AI627" s="7887"/>
      <c r="AJ627" s="7887"/>
      <c r="AK627" s="7887"/>
      <c r="AL627" s="7887"/>
      <c r="AM627" s="7887"/>
      <c r="AN627" s="7887"/>
      <c r="AO627" s="7887"/>
      <c r="AP627" s="7887"/>
      <c r="AQ627" s="7887"/>
      <c r="AR627" s="7887"/>
      <c r="AS627" s="7887"/>
      <c r="AT627" s="7887"/>
      <c r="AU627" s="7887"/>
      <c r="AV627" s="7887"/>
      <c r="AW627" s="7887"/>
      <c r="AX627" s="7872"/>
    </row>
    <row r="628" spans="1:50" s="7930" customFormat="1" ht="20.100000000000001" hidden="1" customHeight="1">
      <c r="A628" s="7872"/>
      <c r="B628" s="8510"/>
      <c r="C628" s="8502" t="s">
        <v>134</v>
      </c>
      <c r="D628" s="8503"/>
      <c r="E628" s="8508"/>
      <c r="F628" s="7953" t="s">
        <v>156</v>
      </c>
      <c r="G628" s="8514"/>
      <c r="H628" s="8508"/>
      <c r="I628" s="8506" t="s">
        <v>135</v>
      </c>
      <c r="J628" s="8508"/>
      <c r="K628" s="7941" t="s">
        <v>156</v>
      </c>
      <c r="L628" s="7942">
        <v>0</v>
      </c>
      <c r="M628" s="8144">
        <v>0</v>
      </c>
      <c r="N628" s="9271">
        <v>0</v>
      </c>
      <c r="O628" s="9038"/>
      <c r="P628" s="7932"/>
      <c r="Q628" s="7932"/>
      <c r="R628" s="8509"/>
      <c r="S628" s="7887"/>
      <c r="T628" s="7887"/>
      <c r="U628" s="7887"/>
      <c r="V628" s="7887"/>
      <c r="W628" s="7887"/>
      <c r="X628" s="7887"/>
      <c r="Y628" s="7887"/>
      <c r="Z628" s="7887"/>
      <c r="AA628" s="7887"/>
      <c r="AB628" s="7887"/>
      <c r="AC628" s="7887"/>
      <c r="AD628" s="7887"/>
      <c r="AE628" s="7887"/>
      <c r="AF628" s="7887"/>
      <c r="AG628" s="7887"/>
      <c r="AH628" s="7887"/>
      <c r="AI628" s="7887"/>
      <c r="AJ628" s="7887"/>
      <c r="AK628" s="7887"/>
      <c r="AL628" s="7887"/>
      <c r="AM628" s="7887"/>
      <c r="AN628" s="7887"/>
      <c r="AO628" s="7887"/>
      <c r="AP628" s="7887"/>
      <c r="AQ628" s="7887"/>
      <c r="AR628" s="7887"/>
      <c r="AS628" s="7887"/>
      <c r="AT628" s="7887"/>
      <c r="AU628" s="7887"/>
      <c r="AV628" s="7887"/>
      <c r="AW628" s="7887"/>
      <c r="AX628" s="7872"/>
    </row>
    <row r="629" spans="1:50" s="7930" customFormat="1" ht="20.100000000000001" hidden="1" customHeight="1">
      <c r="A629" s="7872"/>
      <c r="B629" s="8510"/>
      <c r="C629" s="8502" t="s">
        <v>137</v>
      </c>
      <c r="D629" s="8503"/>
      <c r="E629" s="8508"/>
      <c r="F629" s="7953" t="s">
        <v>156</v>
      </c>
      <c r="G629" s="8514"/>
      <c r="H629" s="7940"/>
      <c r="I629" s="8506" t="s">
        <v>138</v>
      </c>
      <c r="J629" s="8508"/>
      <c r="K629" s="7941" t="s">
        <v>156</v>
      </c>
      <c r="L629" s="7942"/>
      <c r="M629" s="8144"/>
      <c r="N629" s="9271"/>
      <c r="O629" s="9038"/>
      <c r="P629" s="7932"/>
      <c r="Q629" s="7932"/>
      <c r="R629" s="8509"/>
      <c r="S629" s="7887"/>
      <c r="T629" s="7887"/>
      <c r="U629" s="7887"/>
      <c r="V629" s="7887"/>
      <c r="W629" s="7887"/>
      <c r="X629" s="7887"/>
      <c r="Y629" s="7887"/>
      <c r="Z629" s="7887"/>
      <c r="AA629" s="7887"/>
      <c r="AB629" s="7887"/>
      <c r="AC629" s="7887"/>
      <c r="AD629" s="7887"/>
      <c r="AE629" s="7887"/>
      <c r="AF629" s="7887"/>
      <c r="AG629" s="7887"/>
      <c r="AH629" s="7887"/>
      <c r="AI629" s="7887"/>
      <c r="AJ629" s="7887"/>
      <c r="AK629" s="7887"/>
      <c r="AL629" s="7887"/>
      <c r="AM629" s="7887"/>
      <c r="AN629" s="7887"/>
      <c r="AO629" s="7887"/>
      <c r="AP629" s="7887"/>
      <c r="AQ629" s="7887"/>
      <c r="AR629" s="7887"/>
      <c r="AS629" s="7887"/>
      <c r="AT629" s="7887"/>
      <c r="AU629" s="7887"/>
      <c r="AV629" s="7887"/>
      <c r="AW629" s="7887"/>
      <c r="AX629" s="7872"/>
    </row>
    <row r="630" spans="1:50" s="7930" customFormat="1" ht="20.100000000000001" hidden="1" customHeight="1">
      <c r="A630" s="7872"/>
      <c r="B630" s="8510"/>
      <c r="C630" s="8502" t="s">
        <v>140</v>
      </c>
      <c r="D630" s="8503"/>
      <c r="E630" s="8508"/>
      <c r="F630" s="7953" t="s">
        <v>156</v>
      </c>
      <c r="G630" s="8514"/>
      <c r="H630" s="7940"/>
      <c r="I630" s="8515" t="s">
        <v>141</v>
      </c>
      <c r="J630" s="8516"/>
      <c r="K630" s="7941" t="s">
        <v>156</v>
      </c>
      <c r="L630" s="7942"/>
      <c r="M630" s="8144"/>
      <c r="N630" s="9271"/>
      <c r="O630" s="9038"/>
      <c r="P630" s="7932"/>
      <c r="Q630" s="7932"/>
      <c r="R630" s="8509"/>
      <c r="S630" s="7887"/>
      <c r="T630" s="7887"/>
      <c r="U630" s="7887"/>
      <c r="V630" s="7887"/>
      <c r="W630" s="7887"/>
      <c r="X630" s="7887"/>
      <c r="Y630" s="7887"/>
      <c r="Z630" s="7887"/>
      <c r="AA630" s="7887"/>
      <c r="AB630" s="7887"/>
      <c r="AC630" s="7887"/>
      <c r="AD630" s="7887"/>
      <c r="AE630" s="7887"/>
      <c r="AF630" s="7887"/>
      <c r="AG630" s="7887"/>
      <c r="AH630" s="7887"/>
      <c r="AI630" s="7887"/>
      <c r="AJ630" s="7887"/>
      <c r="AK630" s="7887"/>
      <c r="AL630" s="7887"/>
      <c r="AM630" s="7887"/>
      <c r="AN630" s="7887"/>
      <c r="AO630" s="7887"/>
      <c r="AP630" s="7887"/>
      <c r="AQ630" s="7887"/>
      <c r="AR630" s="7887"/>
      <c r="AS630" s="7887"/>
      <c r="AT630" s="7887"/>
      <c r="AU630" s="7887"/>
      <c r="AV630" s="7887"/>
      <c r="AW630" s="7887"/>
      <c r="AX630" s="7872"/>
    </row>
    <row r="631" spans="1:50" s="7930" customFormat="1" ht="20.100000000000001" hidden="1" customHeight="1">
      <c r="A631" s="7872"/>
      <c r="B631" s="8510"/>
      <c r="C631" s="8502" t="s">
        <v>143</v>
      </c>
      <c r="D631" s="8503"/>
      <c r="E631" s="8508"/>
      <c r="F631" s="7953" t="s">
        <v>156</v>
      </c>
      <c r="G631" s="8514"/>
      <c r="H631" s="8508"/>
      <c r="I631" s="8515" t="s">
        <v>144</v>
      </c>
      <c r="J631" s="8516"/>
      <c r="K631" s="7941" t="s">
        <v>156</v>
      </c>
      <c r="L631" s="7942"/>
      <c r="M631" s="8144"/>
      <c r="N631" s="9271"/>
      <c r="O631" s="9038"/>
      <c r="P631" s="7932"/>
      <c r="Q631" s="7932"/>
      <c r="R631" s="8509"/>
      <c r="S631" s="7887"/>
      <c r="T631" s="7887"/>
      <c r="U631" s="7887"/>
      <c r="V631" s="7887"/>
      <c r="W631" s="7887"/>
      <c r="X631" s="7887"/>
      <c r="Y631" s="7887"/>
      <c r="Z631" s="7887"/>
      <c r="AA631" s="7887"/>
      <c r="AB631" s="7887"/>
      <c r="AC631" s="7887"/>
      <c r="AD631" s="7887"/>
      <c r="AE631" s="7887"/>
      <c r="AF631" s="7887"/>
      <c r="AG631" s="7887"/>
      <c r="AH631" s="7887"/>
      <c r="AI631" s="7887"/>
      <c r="AJ631" s="7887"/>
      <c r="AK631" s="7887"/>
      <c r="AL631" s="7887"/>
      <c r="AM631" s="7887"/>
      <c r="AN631" s="7887"/>
      <c r="AO631" s="7887"/>
      <c r="AP631" s="7887"/>
      <c r="AQ631" s="7887"/>
      <c r="AR631" s="7887"/>
      <c r="AS631" s="7887"/>
      <c r="AT631" s="7887"/>
      <c r="AU631" s="7887"/>
      <c r="AV631" s="7887"/>
      <c r="AW631" s="7887"/>
      <c r="AX631" s="7872"/>
    </row>
    <row r="632" spans="1:50" s="7930" customFormat="1" ht="20.100000000000001" hidden="1" customHeight="1">
      <c r="A632" s="7872"/>
      <c r="B632" s="8510"/>
      <c r="C632" s="8502" t="s">
        <v>146</v>
      </c>
      <c r="D632" s="8503"/>
      <c r="E632" s="8508"/>
      <c r="F632" s="7953" t="s">
        <v>156</v>
      </c>
      <c r="G632" s="8514"/>
      <c r="H632" s="7940"/>
      <c r="I632" s="8515" t="s">
        <v>147</v>
      </c>
      <c r="J632" s="8516"/>
      <c r="K632" s="7941" t="s">
        <v>156</v>
      </c>
      <c r="L632" s="8133" t="s">
        <v>168</v>
      </c>
      <c r="M632" s="8109" t="s">
        <v>168</v>
      </c>
      <c r="N632" s="9242" t="s">
        <v>168</v>
      </c>
      <c r="O632" s="9019" t="s">
        <v>209</v>
      </c>
      <c r="P632" s="7932"/>
      <c r="Q632" s="7932"/>
      <c r="R632" s="8509"/>
      <c r="S632" s="7887"/>
      <c r="T632" s="7887"/>
      <c r="U632" s="7887"/>
      <c r="V632" s="7887"/>
      <c r="W632" s="7887"/>
      <c r="X632" s="7887"/>
      <c r="Y632" s="7887"/>
      <c r="Z632" s="7887"/>
      <c r="AA632" s="7887"/>
      <c r="AB632" s="7887"/>
      <c r="AC632" s="7887"/>
      <c r="AD632" s="7887"/>
      <c r="AE632" s="7887"/>
      <c r="AF632" s="7887"/>
      <c r="AG632" s="7887"/>
      <c r="AH632" s="7887"/>
      <c r="AI632" s="7887"/>
      <c r="AJ632" s="7887"/>
      <c r="AK632" s="7887"/>
      <c r="AL632" s="7887"/>
      <c r="AM632" s="7887"/>
      <c r="AN632" s="7887"/>
      <c r="AO632" s="7887"/>
      <c r="AP632" s="7887"/>
      <c r="AQ632" s="7887"/>
      <c r="AR632" s="7887"/>
      <c r="AS632" s="7887"/>
      <c r="AT632" s="7887"/>
      <c r="AU632" s="7887"/>
      <c r="AV632" s="7887"/>
      <c r="AW632" s="7887"/>
      <c r="AX632" s="7872"/>
    </row>
    <row r="633" spans="1:50" s="7930" customFormat="1" ht="20.100000000000001" hidden="1" customHeight="1">
      <c r="A633" s="7872"/>
      <c r="B633" s="8510"/>
      <c r="C633" s="8502" t="s">
        <v>149</v>
      </c>
      <c r="D633" s="8503"/>
      <c r="E633" s="8508"/>
      <c r="F633" s="7953" t="s">
        <v>156</v>
      </c>
      <c r="G633" s="8514"/>
      <c r="H633" s="7940"/>
      <c r="I633" s="8515" t="s">
        <v>150</v>
      </c>
      <c r="J633" s="8516"/>
      <c r="K633" s="7941" t="s">
        <v>156</v>
      </c>
      <c r="L633" s="8133" t="s">
        <v>168</v>
      </c>
      <c r="M633" s="8109" t="s">
        <v>168</v>
      </c>
      <c r="N633" s="9242" t="s">
        <v>168</v>
      </c>
      <c r="O633" s="9019" t="s">
        <v>209</v>
      </c>
      <c r="P633" s="7932"/>
      <c r="Q633" s="7932"/>
      <c r="R633" s="8509"/>
      <c r="S633" s="7887"/>
      <c r="T633" s="7887"/>
      <c r="U633" s="7887"/>
      <c r="V633" s="7887"/>
      <c r="W633" s="7887"/>
      <c r="X633" s="7887"/>
      <c r="Y633" s="7887"/>
      <c r="Z633" s="7887"/>
      <c r="AA633" s="7887"/>
      <c r="AB633" s="7887"/>
      <c r="AC633" s="7887"/>
      <c r="AD633" s="7887"/>
      <c r="AE633" s="7887"/>
      <c r="AF633" s="7887"/>
      <c r="AG633" s="7887"/>
      <c r="AH633" s="7887"/>
      <c r="AI633" s="7887"/>
      <c r="AJ633" s="7887"/>
      <c r="AK633" s="7887"/>
      <c r="AL633" s="7887"/>
      <c r="AM633" s="7887"/>
      <c r="AN633" s="7887"/>
      <c r="AO633" s="7887"/>
      <c r="AP633" s="7887"/>
      <c r="AQ633" s="7887"/>
      <c r="AR633" s="7887"/>
      <c r="AS633" s="7887"/>
      <c r="AT633" s="7887"/>
      <c r="AU633" s="7887"/>
      <c r="AV633" s="7887"/>
      <c r="AW633" s="7887"/>
      <c r="AX633" s="7872"/>
    </row>
    <row r="634" spans="1:50" s="7930" customFormat="1">
      <c r="A634" s="7872"/>
      <c r="B634" s="8510"/>
      <c r="C634" s="8548" t="s">
        <v>1271</v>
      </c>
      <c r="D634" s="8549"/>
      <c r="E634" s="8512"/>
      <c r="F634" s="8089" t="s">
        <v>1272</v>
      </c>
      <c r="G634" s="8601"/>
      <c r="H634" s="8885" t="s">
        <v>3734</v>
      </c>
      <c r="I634" s="8549"/>
      <c r="J634" s="8512"/>
      <c r="K634" s="7957" t="s">
        <v>1274</v>
      </c>
      <c r="L634" s="8042">
        <f t="shared" ref="L634:N640" si="31">L585/L641*10^6</f>
        <v>0.94677795829488154</v>
      </c>
      <c r="M634" s="8036">
        <f t="shared" si="31"/>
        <v>1.0607540848205894</v>
      </c>
      <c r="N634" s="9243">
        <f t="shared" si="31"/>
        <v>1.1985293346919992</v>
      </c>
      <c r="O634" s="9027" t="s">
        <v>3786</v>
      </c>
      <c r="P634" s="8990" t="s">
        <v>1277</v>
      </c>
      <c r="Q634" s="7955" t="s">
        <v>1968</v>
      </c>
      <c r="R634" s="8193"/>
      <c r="S634" s="7887"/>
      <c r="T634" s="7887"/>
      <c r="U634" s="7887"/>
      <c r="V634" s="7887"/>
      <c r="W634" s="7887"/>
      <c r="X634" s="7887"/>
      <c r="Y634" s="7887"/>
      <c r="Z634" s="7887"/>
      <c r="AA634" s="7887"/>
      <c r="AB634" s="7887"/>
      <c r="AC634" s="7887"/>
      <c r="AD634" s="7887"/>
      <c r="AE634" s="7887"/>
      <c r="AF634" s="7887"/>
      <c r="AG634" s="7887"/>
      <c r="AH634" s="7887"/>
      <c r="AI634" s="7887"/>
      <c r="AJ634" s="7887"/>
      <c r="AK634" s="7887"/>
      <c r="AL634" s="7887"/>
      <c r="AM634" s="7887"/>
      <c r="AN634" s="7887"/>
      <c r="AO634" s="7887"/>
      <c r="AP634" s="7887"/>
      <c r="AQ634" s="7887"/>
      <c r="AR634" s="7887"/>
      <c r="AS634" s="7887"/>
      <c r="AT634" s="7887"/>
      <c r="AU634" s="7887"/>
      <c r="AV634" s="7887"/>
      <c r="AW634" s="7887"/>
      <c r="AX634" s="7872"/>
    </row>
    <row r="635" spans="1:50" s="7930" customFormat="1" ht="20.100000000000001" customHeight="1">
      <c r="A635" s="7872"/>
      <c r="B635" s="8510"/>
      <c r="C635" s="8502" t="s">
        <v>134</v>
      </c>
      <c r="D635" s="8503"/>
      <c r="E635" s="8504"/>
      <c r="F635" s="8090" t="s">
        <v>1278</v>
      </c>
      <c r="G635" s="8514"/>
      <c r="H635" s="8506" t="s">
        <v>135</v>
      </c>
      <c r="I635" s="8507"/>
      <c r="J635" s="8508"/>
      <c r="K635" s="7941" t="s">
        <v>1274</v>
      </c>
      <c r="L635" s="8106">
        <f t="shared" si="31"/>
        <v>0.9493463036316403</v>
      </c>
      <c r="M635" s="8143">
        <f t="shared" si="31"/>
        <v>0.96400873577775503</v>
      </c>
      <c r="N635" s="9270">
        <f t="shared" si="31"/>
        <v>0.53087929213319662</v>
      </c>
      <c r="O635" s="8994"/>
      <c r="P635" s="7932"/>
      <c r="Q635" s="7932"/>
      <c r="R635" s="8509"/>
      <c r="S635" s="7887"/>
      <c r="T635" s="7887"/>
      <c r="U635" s="7887"/>
      <c r="V635" s="7887"/>
      <c r="W635" s="7887"/>
      <c r="X635" s="7887"/>
      <c r="Y635" s="7887"/>
      <c r="Z635" s="7887"/>
      <c r="AA635" s="7887"/>
      <c r="AB635" s="7887"/>
      <c r="AC635" s="7887"/>
      <c r="AD635" s="7887"/>
      <c r="AE635" s="7887"/>
      <c r="AF635" s="7887"/>
      <c r="AG635" s="7887"/>
      <c r="AH635" s="7887"/>
      <c r="AI635" s="7887"/>
      <c r="AJ635" s="7887"/>
      <c r="AK635" s="7887"/>
      <c r="AL635" s="7887"/>
      <c r="AM635" s="7887"/>
      <c r="AN635" s="7887"/>
      <c r="AO635" s="7887"/>
      <c r="AP635" s="7887"/>
      <c r="AQ635" s="7887"/>
      <c r="AR635" s="7887"/>
      <c r="AS635" s="7887"/>
      <c r="AT635" s="7887"/>
      <c r="AU635" s="7887"/>
      <c r="AV635" s="7887"/>
      <c r="AW635" s="7887"/>
      <c r="AX635" s="7872"/>
    </row>
    <row r="636" spans="1:50" s="7887" customFormat="1" ht="20.100000000000001" customHeight="1">
      <c r="A636" s="7872"/>
      <c r="B636" s="8510"/>
      <c r="C636" s="8502" t="s">
        <v>137</v>
      </c>
      <c r="D636" s="8503"/>
      <c r="E636" s="8504"/>
      <c r="F636" s="8090" t="s">
        <v>1278</v>
      </c>
      <c r="G636" s="8514"/>
      <c r="H636" s="8506" t="s">
        <v>138</v>
      </c>
      <c r="I636" s="8507"/>
      <c r="J636" s="8508"/>
      <c r="K636" s="7941" t="s">
        <v>1274</v>
      </c>
      <c r="L636" s="8106">
        <f t="shared" si="31"/>
        <v>0</v>
      </c>
      <c r="M636" s="8637">
        <f t="shared" si="31"/>
        <v>0</v>
      </c>
      <c r="N636" s="9303">
        <f t="shared" si="31"/>
        <v>0</v>
      </c>
      <c r="O636" s="8994"/>
      <c r="P636" s="7932"/>
      <c r="Q636" s="7932"/>
      <c r="R636" s="8509"/>
      <c r="AX636" s="7872"/>
    </row>
    <row r="637" spans="1:50" s="7887" customFormat="1" ht="20.100000000000001" customHeight="1">
      <c r="A637" s="7872"/>
      <c r="B637" s="8510"/>
      <c r="C637" s="8502" t="s">
        <v>140</v>
      </c>
      <c r="D637" s="8503"/>
      <c r="E637" s="8504"/>
      <c r="F637" s="8090" t="s">
        <v>1278</v>
      </c>
      <c r="G637" s="8514"/>
      <c r="H637" s="8506" t="s">
        <v>141</v>
      </c>
      <c r="I637" s="8507"/>
      <c r="J637" s="8508"/>
      <c r="K637" s="7941" t="s">
        <v>1274</v>
      </c>
      <c r="L637" s="8106">
        <f t="shared" si="31"/>
        <v>1.363170407206264</v>
      </c>
      <c r="M637" s="8637">
        <f t="shared" si="31"/>
        <v>1.0525872594838113</v>
      </c>
      <c r="N637" s="9303">
        <f t="shared" si="31"/>
        <v>1.2771392081736908</v>
      </c>
      <c r="O637" s="8994"/>
      <c r="P637" s="7932"/>
      <c r="Q637" s="7932"/>
      <c r="R637" s="8509"/>
      <c r="AX637" s="7872"/>
    </row>
    <row r="638" spans="1:50" s="7887" customFormat="1" ht="20.100000000000001" customHeight="1">
      <c r="A638" s="7872"/>
      <c r="B638" s="8510"/>
      <c r="C638" s="8502" t="s">
        <v>143</v>
      </c>
      <c r="D638" s="8503"/>
      <c r="E638" s="8504"/>
      <c r="F638" s="8090" t="s">
        <v>1278</v>
      </c>
      <c r="G638" s="8514"/>
      <c r="H638" s="8506" t="s">
        <v>144</v>
      </c>
      <c r="I638" s="8507"/>
      <c r="J638" s="8508"/>
      <c r="K638" s="7941" t="s">
        <v>1274</v>
      </c>
      <c r="L638" s="8106">
        <f t="shared" si="31"/>
        <v>0</v>
      </c>
      <c r="M638" s="8637">
        <f t="shared" si="31"/>
        <v>0</v>
      </c>
      <c r="N638" s="9303">
        <f t="shared" si="31"/>
        <v>0</v>
      </c>
      <c r="O638" s="8994"/>
      <c r="P638" s="7932"/>
      <c r="Q638" s="7932"/>
      <c r="R638" s="8509"/>
      <c r="AX638" s="7872"/>
    </row>
    <row r="639" spans="1:50" s="7887" customFormat="1" ht="20.100000000000001" customHeight="1">
      <c r="A639" s="7872"/>
      <c r="B639" s="8510"/>
      <c r="C639" s="8502" t="s">
        <v>146</v>
      </c>
      <c r="D639" s="8503"/>
      <c r="E639" s="8504"/>
      <c r="F639" s="8090" t="s">
        <v>1278</v>
      </c>
      <c r="G639" s="8514"/>
      <c r="H639" s="8506" t="s">
        <v>147</v>
      </c>
      <c r="I639" s="8507"/>
      <c r="J639" s="8508"/>
      <c r="K639" s="7941" t="s">
        <v>1274</v>
      </c>
      <c r="L639" s="8106">
        <f t="shared" si="31"/>
        <v>1.3336747540703753</v>
      </c>
      <c r="M639" s="8637">
        <f t="shared" si="31"/>
        <v>2.5859037216326359</v>
      </c>
      <c r="N639" s="9303">
        <f t="shared" si="31"/>
        <v>1.2233792671468839</v>
      </c>
      <c r="O639" s="9006"/>
      <c r="P639" s="7932"/>
      <c r="Q639" s="7932"/>
      <c r="R639" s="8509"/>
      <c r="AX639" s="7872"/>
    </row>
    <row r="640" spans="1:50" s="7887" customFormat="1" ht="20.100000000000001" customHeight="1">
      <c r="A640" s="7872"/>
      <c r="B640" s="8510"/>
      <c r="C640" s="8502" t="s">
        <v>149</v>
      </c>
      <c r="D640" s="8503"/>
      <c r="E640" s="8504"/>
      <c r="F640" s="8090" t="s">
        <v>1278</v>
      </c>
      <c r="G640" s="8514"/>
      <c r="H640" s="8506" t="s">
        <v>150</v>
      </c>
      <c r="I640" s="8507"/>
      <c r="J640" s="8508"/>
      <c r="K640" s="7941" t="s">
        <v>1274</v>
      </c>
      <c r="L640" s="8106">
        <f t="shared" si="31"/>
        <v>1.3381909665418805</v>
      </c>
      <c r="M640" s="8637">
        <f t="shared" si="31"/>
        <v>2.1036333956008821</v>
      </c>
      <c r="N640" s="9303">
        <f t="shared" si="31"/>
        <v>4.6485790456002363</v>
      </c>
      <c r="O640" s="9006"/>
      <c r="P640" s="7932"/>
      <c r="Q640" s="7932"/>
      <c r="R640" s="8509"/>
      <c r="AX640" s="7872"/>
    </row>
    <row r="641" spans="1:50" s="7887" customFormat="1" ht="20.100000000000001" hidden="1" customHeight="1">
      <c r="A641" s="7872"/>
      <c r="B641" s="8510"/>
      <c r="C641" s="8638"/>
      <c r="D641" s="8524" t="s">
        <v>1286</v>
      </c>
      <c r="E641" s="8525"/>
      <c r="F641" s="7957" t="s">
        <v>1018</v>
      </c>
      <c r="G641" s="8599"/>
      <c r="H641" s="8636"/>
      <c r="I641" s="8524" t="s">
        <v>1287</v>
      </c>
      <c r="J641" s="8525"/>
      <c r="K641" s="7957" t="s">
        <v>1020</v>
      </c>
      <c r="L641" s="8042">
        <f>IF(COUNTBLANK(L642:L647)&gt;0,"미취합법인有",SUM(L642:L647))</f>
        <v>10562138.58</v>
      </c>
      <c r="M641" s="8036">
        <f>IF(COUNTBLANK(M642:M647)&gt;0,"미취합법인有",SUM(M642:M647))</f>
        <v>13198157.99</v>
      </c>
      <c r="N641" s="9243">
        <f>IF(COUNTBLANK(N642:N647)&gt;0,"미취합법인有",SUM(N642:N647))</f>
        <v>13349694.109999999</v>
      </c>
      <c r="O641" s="9002"/>
      <c r="P641" s="8944" t="s">
        <v>1277</v>
      </c>
      <c r="Q641" s="7955" t="s">
        <v>1333</v>
      </c>
      <c r="R641" s="8194"/>
      <c r="AX641" s="7872"/>
    </row>
    <row r="642" spans="1:50" s="7887" customFormat="1" ht="31.5" hidden="1" customHeight="1">
      <c r="A642" s="7872"/>
      <c r="B642" s="8510"/>
      <c r="C642" s="8504"/>
      <c r="D642" s="8016" t="s">
        <v>134</v>
      </c>
      <c r="E642" s="8017"/>
      <c r="F642" s="7941" t="s">
        <v>1018</v>
      </c>
      <c r="G642" s="8514"/>
      <c r="H642" s="8508"/>
      <c r="I642" s="8506" t="s">
        <v>135</v>
      </c>
      <c r="J642" s="8508"/>
      <c r="K642" s="7941" t="s">
        <v>1020</v>
      </c>
      <c r="L642" s="8148">
        <f>(1135*209*12)+1366845.58</f>
        <v>4213425.58</v>
      </c>
      <c r="M642" s="8132">
        <f>(1097*209*12)+2435398.99</f>
        <v>5186674.99</v>
      </c>
      <c r="N642" s="9245">
        <f>(1210*209*12)+2616322.11</f>
        <v>5651002.1099999994</v>
      </c>
      <c r="O642" s="9019" t="s">
        <v>3579</v>
      </c>
      <c r="P642" s="7932"/>
      <c r="Q642" s="7932"/>
      <c r="R642" s="8509"/>
      <c r="AX642" s="7872"/>
    </row>
    <row r="643" spans="1:50" s="7887" customFormat="1" ht="20.100000000000001" hidden="1" customHeight="1">
      <c r="A643" s="7872"/>
      <c r="B643" s="8510"/>
      <c r="C643" s="7939"/>
      <c r="D643" s="8016" t="s">
        <v>137</v>
      </c>
      <c r="E643" s="8017"/>
      <c r="F643" s="7941" t="s">
        <v>1018</v>
      </c>
      <c r="G643" s="8514"/>
      <c r="H643" s="7940"/>
      <c r="I643" s="8506" t="s">
        <v>138</v>
      </c>
      <c r="J643" s="8508"/>
      <c r="K643" s="7941" t="s">
        <v>1020</v>
      </c>
      <c r="L643" s="8148">
        <f>183*208*12</f>
        <v>456768</v>
      </c>
      <c r="M643" s="8132">
        <f>215*209*12</f>
        <v>539220</v>
      </c>
      <c r="N643" s="9304">
        <v>491568</v>
      </c>
      <c r="O643" s="9019" t="s">
        <v>3704</v>
      </c>
      <c r="P643" s="7932"/>
      <c r="Q643" s="7932"/>
      <c r="R643" s="8509"/>
      <c r="AX643" s="7872"/>
    </row>
    <row r="644" spans="1:50" s="7887" customFormat="1" ht="20.100000000000001" hidden="1" customHeight="1">
      <c r="A644" s="7872"/>
      <c r="B644" s="8510"/>
      <c r="C644" s="7939"/>
      <c r="D644" s="8016" t="s">
        <v>140</v>
      </c>
      <c r="E644" s="8017"/>
      <c r="F644" s="7941" t="s">
        <v>1018</v>
      </c>
      <c r="G644" s="8514"/>
      <c r="H644" s="7940"/>
      <c r="I644" s="8515" t="s">
        <v>141</v>
      </c>
      <c r="J644" s="8516"/>
      <c r="K644" s="7941" t="s">
        <v>1020</v>
      </c>
      <c r="L644" s="8148">
        <f>(98*21.75*8*12)+(956*21.75*8*12)</f>
        <v>2200752</v>
      </c>
      <c r="M644" s="8132">
        <f>(101*21.75*8*12)+(809*21.75*8*12)</f>
        <v>1900080</v>
      </c>
      <c r="N644" s="9259">
        <f>(91*21.75*8*12)+(659*21.75*8*12)</f>
        <v>1566000</v>
      </c>
      <c r="O644" s="9019" t="s">
        <v>3578</v>
      </c>
      <c r="P644" s="7932"/>
      <c r="Q644" s="7932"/>
      <c r="R644" s="8509"/>
      <c r="AX644" s="7872"/>
    </row>
    <row r="645" spans="1:50" s="7887" customFormat="1" ht="20.100000000000001" hidden="1" customHeight="1">
      <c r="A645" s="7872"/>
      <c r="B645" s="8510"/>
      <c r="C645" s="8504"/>
      <c r="D645" s="8016" t="s">
        <v>143</v>
      </c>
      <c r="E645" s="8017"/>
      <c r="F645" s="7941" t="s">
        <v>1018</v>
      </c>
      <c r="G645" s="8514"/>
      <c r="H645" s="8508"/>
      <c r="I645" s="8515" t="s">
        <v>144</v>
      </c>
      <c r="J645" s="8516"/>
      <c r="K645" s="7941" t="s">
        <v>1020</v>
      </c>
      <c r="L645" s="8148">
        <v>1446830</v>
      </c>
      <c r="M645" s="8132">
        <v>2421919</v>
      </c>
      <c r="N645" s="9259">
        <v>2672521</v>
      </c>
      <c r="O645" s="9019" t="s">
        <v>3577</v>
      </c>
      <c r="P645" s="7932"/>
      <c r="Q645" s="7932"/>
      <c r="R645" s="8509"/>
      <c r="AX645" s="7872"/>
    </row>
    <row r="646" spans="1:50" s="7887" customFormat="1" ht="33" hidden="1" customHeight="1">
      <c r="A646" s="7872"/>
      <c r="B646" s="8510"/>
      <c r="C646" s="7939"/>
      <c r="D646" s="8016" t="s">
        <v>146</v>
      </c>
      <c r="E646" s="8017"/>
      <c r="F646" s="7941" t="s">
        <v>1018</v>
      </c>
      <c r="G646" s="8514"/>
      <c r="H646" s="7940"/>
      <c r="I646" s="8515" t="s">
        <v>147</v>
      </c>
      <c r="J646" s="8516"/>
      <c r="K646" s="7941" t="s">
        <v>1020</v>
      </c>
      <c r="L646" s="8148">
        <v>749808</v>
      </c>
      <c r="M646" s="8243">
        <v>773424</v>
      </c>
      <c r="N646" s="9259">
        <v>817408</v>
      </c>
      <c r="O646" s="9019" t="s">
        <v>3528</v>
      </c>
      <c r="P646" s="7932"/>
      <c r="Q646" s="7932"/>
      <c r="R646" s="8509"/>
      <c r="AX646" s="7872"/>
    </row>
    <row r="647" spans="1:50" s="7887" customFormat="1" ht="20.100000000000001" hidden="1" customHeight="1">
      <c r="A647" s="7872"/>
      <c r="B647" s="8510"/>
      <c r="C647" s="7939"/>
      <c r="D647" s="8016" t="s">
        <v>149</v>
      </c>
      <c r="E647" s="8017"/>
      <c r="F647" s="7941" t="s">
        <v>1018</v>
      </c>
      <c r="G647" s="8514"/>
      <c r="H647" s="7940"/>
      <c r="I647" s="8515" t="s">
        <v>150</v>
      </c>
      <c r="J647" s="8516"/>
      <c r="K647" s="7941" t="s">
        <v>1020</v>
      </c>
      <c r="L647" s="8106">
        <v>1494555</v>
      </c>
      <c r="M647" s="8109">
        <v>2376840</v>
      </c>
      <c r="N647" s="9242">
        <v>2151195</v>
      </c>
      <c r="O647" s="9019" t="s">
        <v>3577</v>
      </c>
      <c r="P647" s="7932"/>
      <c r="Q647" s="7932"/>
      <c r="R647" s="8509"/>
      <c r="AX647" s="7872"/>
    </row>
    <row r="648" spans="1:50" s="7887" customFormat="1" ht="20.100000000000001" customHeight="1">
      <c r="A648" s="7872"/>
      <c r="B648" s="8510"/>
      <c r="C648" s="8548" t="s">
        <v>1325</v>
      </c>
      <c r="D648" s="8549"/>
      <c r="E648" s="8512"/>
      <c r="F648" s="7957" t="s">
        <v>557</v>
      </c>
      <c r="G648" s="8601"/>
      <c r="H648" s="8511" t="s">
        <v>1326</v>
      </c>
      <c r="I648" s="8549"/>
      <c r="J648" s="8512"/>
      <c r="K648" s="7957" t="s">
        <v>559</v>
      </c>
      <c r="L648" s="8012">
        <f>SUM(L649:L650)</f>
        <v>0</v>
      </c>
      <c r="M648" s="8013">
        <f>SUM(M649:M650)</f>
        <v>0</v>
      </c>
      <c r="N648" s="9247">
        <f>SUM(N649:N650)</f>
        <v>0</v>
      </c>
      <c r="O648" s="9002"/>
      <c r="P648" s="7932" t="s">
        <v>1329</v>
      </c>
      <c r="Q648" s="7955" t="s">
        <v>1968</v>
      </c>
      <c r="R648" s="8194"/>
      <c r="AX648" s="7872"/>
    </row>
    <row r="649" spans="1:50" s="7887" customFormat="1" ht="20.100000000000001" customHeight="1">
      <c r="A649" s="7872"/>
      <c r="B649" s="8510"/>
      <c r="C649" s="8502" t="s">
        <v>134</v>
      </c>
      <c r="D649" s="8503"/>
      <c r="E649" s="8504"/>
      <c r="F649" s="7941" t="s">
        <v>557</v>
      </c>
      <c r="G649" s="8514"/>
      <c r="H649" s="8506" t="s">
        <v>135</v>
      </c>
      <c r="I649" s="8507"/>
      <c r="J649" s="8508"/>
      <c r="K649" s="7941" t="s">
        <v>559</v>
      </c>
      <c r="L649" s="7935">
        <v>0</v>
      </c>
      <c r="M649" s="7936">
        <v>0</v>
      </c>
      <c r="N649" s="9249">
        <v>0</v>
      </c>
      <c r="O649" s="9006"/>
      <c r="P649" s="7932"/>
      <c r="Q649" s="7932"/>
      <c r="R649" s="8509"/>
      <c r="AX649" s="7872"/>
    </row>
    <row r="650" spans="1:50" s="7887" customFormat="1" ht="20.100000000000001" customHeight="1">
      <c r="A650" s="7872"/>
      <c r="B650" s="8510"/>
      <c r="C650" s="8502" t="s">
        <v>137</v>
      </c>
      <c r="D650" s="8503"/>
      <c r="E650" s="8504"/>
      <c r="F650" s="7941" t="s">
        <v>557</v>
      </c>
      <c r="G650" s="8514"/>
      <c r="H650" s="8506" t="s">
        <v>138</v>
      </c>
      <c r="I650" s="8507"/>
      <c r="J650" s="8508"/>
      <c r="K650" s="7941" t="s">
        <v>559</v>
      </c>
      <c r="L650" s="7935">
        <v>0</v>
      </c>
      <c r="M650" s="7936">
        <v>0</v>
      </c>
      <c r="N650" s="9253">
        <v>0</v>
      </c>
      <c r="O650" s="9006"/>
      <c r="P650" s="7932"/>
      <c r="Q650" s="7932"/>
      <c r="R650" s="8509"/>
      <c r="AX650" s="7872"/>
    </row>
    <row r="651" spans="1:50" s="7887" customFormat="1" ht="20.100000000000001" customHeight="1">
      <c r="A651" s="7872"/>
      <c r="B651" s="8510"/>
      <c r="C651" s="8548" t="s">
        <v>1337</v>
      </c>
      <c r="D651" s="8549"/>
      <c r="E651" s="8512"/>
      <c r="F651" s="7957" t="s">
        <v>156</v>
      </c>
      <c r="G651" s="8619"/>
      <c r="H651" s="8511" t="s">
        <v>1338</v>
      </c>
      <c r="I651" s="8549"/>
      <c r="J651" s="8512"/>
      <c r="K651" s="7957" t="s">
        <v>156</v>
      </c>
      <c r="L651" s="8035">
        <f t="shared" ref="L651:N652" si="32">L658/L665*100</f>
        <v>50.304215558452846</v>
      </c>
      <c r="M651" s="8036">
        <f t="shared" si="32"/>
        <v>56.749311294765839</v>
      </c>
      <c r="N651" s="9243">
        <f t="shared" si="32"/>
        <v>63.008225616921266</v>
      </c>
      <c r="O651" s="9027" t="s">
        <v>3685</v>
      </c>
      <c r="P651" s="7932" t="s">
        <v>1341</v>
      </c>
      <c r="Q651" s="7955"/>
      <c r="R651" s="8194"/>
      <c r="AX651" s="7872"/>
    </row>
    <row r="652" spans="1:50" s="7887" customFormat="1" ht="20.100000000000001" customHeight="1">
      <c r="A652" s="7872"/>
      <c r="B652" s="8510"/>
      <c r="C652" s="8502" t="s">
        <v>134</v>
      </c>
      <c r="D652" s="8503"/>
      <c r="E652" s="8504"/>
      <c r="F652" s="7941" t="s">
        <v>156</v>
      </c>
      <c r="G652" s="8514"/>
      <c r="H652" s="8506" t="s">
        <v>135</v>
      </c>
      <c r="I652" s="8507"/>
      <c r="J652" s="8508"/>
      <c r="K652" s="7941" t="s">
        <v>156</v>
      </c>
      <c r="L652" s="8129">
        <f t="shared" si="32"/>
        <v>100</v>
      </c>
      <c r="M652" s="8130">
        <f t="shared" si="32"/>
        <v>100</v>
      </c>
      <c r="N652" s="9258">
        <f t="shared" si="32"/>
        <v>100</v>
      </c>
      <c r="O652" s="9016"/>
      <c r="P652" s="7932"/>
      <c r="Q652" s="7932"/>
      <c r="R652" s="8509"/>
      <c r="AX652" s="7872"/>
    </row>
    <row r="653" spans="1:50" s="7887" customFormat="1" ht="20.100000000000001" customHeight="1">
      <c r="A653" s="7872"/>
      <c r="B653" s="8510"/>
      <c r="C653" s="8502" t="s">
        <v>137</v>
      </c>
      <c r="D653" s="8503"/>
      <c r="E653" s="8504"/>
      <c r="F653" s="7941" t="s">
        <v>156</v>
      </c>
      <c r="G653" s="8514"/>
      <c r="H653" s="8506" t="s">
        <v>138</v>
      </c>
      <c r="I653" s="8507"/>
      <c r="J653" s="8508"/>
      <c r="K653" s="7941" t="s">
        <v>156</v>
      </c>
      <c r="L653" s="8154">
        <f t="shared" ref="L653:M657" si="33">L660/L667*100</f>
        <v>0</v>
      </c>
      <c r="M653" s="8130">
        <f t="shared" si="33"/>
        <v>72.294372294372295</v>
      </c>
      <c r="N653" s="9258">
        <f t="shared" ref="N653:N657" si="34">N660/N667*100</f>
        <v>88.755020080321287</v>
      </c>
      <c r="O653" s="9016"/>
      <c r="P653" s="7932"/>
      <c r="Q653" s="7932"/>
      <c r="R653" s="8509"/>
      <c r="AX653" s="7872"/>
    </row>
    <row r="654" spans="1:50" s="7887" customFormat="1" ht="20.100000000000001" customHeight="1">
      <c r="A654" s="7872"/>
      <c r="B654" s="8510"/>
      <c r="C654" s="8502" t="s">
        <v>140</v>
      </c>
      <c r="D654" s="8503"/>
      <c r="E654" s="8504"/>
      <c r="F654" s="7941" t="s">
        <v>156</v>
      </c>
      <c r="G654" s="8514"/>
      <c r="H654" s="8506" t="s">
        <v>141</v>
      </c>
      <c r="I654" s="8507"/>
      <c r="J654" s="8508"/>
      <c r="K654" s="7941" t="s">
        <v>156</v>
      </c>
      <c r="L654" s="8129">
        <f t="shared" si="33"/>
        <v>0</v>
      </c>
      <c r="M654" s="8130">
        <f t="shared" si="33"/>
        <v>0</v>
      </c>
      <c r="N654" s="9258">
        <f t="shared" si="34"/>
        <v>0</v>
      </c>
      <c r="O654" s="9016"/>
      <c r="P654" s="7932"/>
      <c r="Q654" s="7932"/>
      <c r="R654" s="8509"/>
      <c r="AX654" s="7872"/>
    </row>
    <row r="655" spans="1:50" s="7887" customFormat="1" ht="20.100000000000001" customHeight="1">
      <c r="A655" s="7872"/>
      <c r="B655" s="8510"/>
      <c r="C655" s="8502" t="s">
        <v>143</v>
      </c>
      <c r="D655" s="8503"/>
      <c r="E655" s="8504"/>
      <c r="F655" s="7941" t="s">
        <v>156</v>
      </c>
      <c r="G655" s="8514"/>
      <c r="H655" s="8506" t="s">
        <v>144</v>
      </c>
      <c r="I655" s="8507"/>
      <c r="J655" s="8508"/>
      <c r="K655" s="7941" t="s">
        <v>156</v>
      </c>
      <c r="L655" s="8129">
        <f t="shared" si="33"/>
        <v>75.219683655536031</v>
      </c>
      <c r="M655" s="8130">
        <f t="shared" si="33"/>
        <v>73.367697594501706</v>
      </c>
      <c r="N655" s="9258">
        <f t="shared" si="34"/>
        <v>72.097053726169847</v>
      </c>
      <c r="O655" s="9016"/>
      <c r="P655" s="7932"/>
      <c r="Q655" s="7932"/>
      <c r="R655" s="8509"/>
      <c r="AX655" s="7872"/>
    </row>
    <row r="656" spans="1:50" s="7887" customFormat="1" ht="20.100000000000001" customHeight="1">
      <c r="A656" s="7872"/>
      <c r="B656" s="8510"/>
      <c r="C656" s="8502" t="s">
        <v>146</v>
      </c>
      <c r="D656" s="8503"/>
      <c r="E656" s="8504"/>
      <c r="F656" s="7941" t="s">
        <v>156</v>
      </c>
      <c r="G656" s="8514"/>
      <c r="H656" s="8506" t="s">
        <v>147</v>
      </c>
      <c r="I656" s="8507"/>
      <c r="J656" s="8508"/>
      <c r="K656" s="7941" t="s">
        <v>156</v>
      </c>
      <c r="L656" s="8129">
        <f t="shared" si="33"/>
        <v>0</v>
      </c>
      <c r="M656" s="8130">
        <f t="shared" si="33"/>
        <v>0</v>
      </c>
      <c r="N656" s="9258">
        <f t="shared" si="34"/>
        <v>0</v>
      </c>
      <c r="O656" s="9016"/>
      <c r="P656" s="7932"/>
      <c r="Q656" s="7932"/>
      <c r="R656" s="8509"/>
      <c r="AX656" s="7872"/>
    </row>
    <row r="657" spans="1:50" s="7887" customFormat="1" ht="20.100000000000001" customHeight="1" thickBot="1">
      <c r="A657" s="7872"/>
      <c r="B657" s="8510"/>
      <c r="C657" s="8502" t="s">
        <v>149</v>
      </c>
      <c r="D657" s="8503"/>
      <c r="E657" s="8504"/>
      <c r="F657" s="7941" t="s">
        <v>156</v>
      </c>
      <c r="G657" s="8514"/>
      <c r="H657" s="8506" t="s">
        <v>150</v>
      </c>
      <c r="I657" s="8507"/>
      <c r="J657" s="8508"/>
      <c r="K657" s="7941" t="s">
        <v>156</v>
      </c>
      <c r="L657" s="8129">
        <f t="shared" si="33"/>
        <v>58.75</v>
      </c>
      <c r="M657" s="8130">
        <f t="shared" si="33"/>
        <v>68.269230769230774</v>
      </c>
      <c r="N657" s="9258">
        <f t="shared" si="34"/>
        <v>78.9423984891407</v>
      </c>
      <c r="O657" s="9016"/>
      <c r="P657" s="7932"/>
      <c r="Q657" s="7932"/>
      <c r="R657" s="8509"/>
      <c r="AX657" s="7872"/>
    </row>
    <row r="658" spans="1:50" s="7887" customFormat="1" ht="20.100000000000001" hidden="1" customHeight="1" thickBot="1">
      <c r="A658" s="7872"/>
      <c r="B658" s="8510"/>
      <c r="C658" s="8639"/>
      <c r="D658" s="8524" t="s">
        <v>1342</v>
      </c>
      <c r="E658" s="8525"/>
      <c r="F658" s="7957" t="s">
        <v>742</v>
      </c>
      <c r="G658" s="8599"/>
      <c r="H658" s="8599"/>
      <c r="I658" s="8524" t="s">
        <v>1343</v>
      </c>
      <c r="J658" s="8525"/>
      <c r="K658" s="7957" t="s">
        <v>734</v>
      </c>
      <c r="L658" s="8190">
        <f>SUM(L659:L664)</f>
        <v>2315</v>
      </c>
      <c r="M658" s="8191">
        <f>SUM(M659:M664)</f>
        <v>2472</v>
      </c>
      <c r="N658" s="9302">
        <f>SUM(N659:N664)</f>
        <v>2681</v>
      </c>
      <c r="O658" s="9002"/>
      <c r="P658" s="7932" t="s">
        <v>1341</v>
      </c>
      <c r="Q658" s="7955"/>
      <c r="R658" s="8194"/>
      <c r="AX658" s="7872"/>
    </row>
    <row r="659" spans="1:50" s="7887" customFormat="1" ht="20.100000000000001" hidden="1" customHeight="1">
      <c r="A659" s="7872"/>
      <c r="B659" s="8510"/>
      <c r="C659" s="8504"/>
      <c r="D659" s="8016" t="s">
        <v>134</v>
      </c>
      <c r="E659" s="8017"/>
      <c r="F659" s="7941" t="s">
        <v>742</v>
      </c>
      <c r="G659" s="8514"/>
      <c r="H659" s="8514"/>
      <c r="I659" s="8506" t="s">
        <v>135</v>
      </c>
      <c r="J659" s="8508"/>
      <c r="K659" s="7941" t="s">
        <v>734</v>
      </c>
      <c r="L659" s="8195">
        <f>L666</f>
        <v>1135</v>
      </c>
      <c r="M659" s="8640">
        <f>M666</f>
        <v>1097</v>
      </c>
      <c r="N659" s="9305">
        <f>N666</f>
        <v>1208</v>
      </c>
      <c r="O659" s="9025" t="s">
        <v>1987</v>
      </c>
      <c r="P659" s="7932"/>
      <c r="Q659" s="7932"/>
      <c r="R659" s="8509"/>
      <c r="AX659" s="7872"/>
    </row>
    <row r="660" spans="1:50" s="7887" customFormat="1" ht="20.100000000000001" hidden="1" customHeight="1" thickBot="1">
      <c r="A660" s="7872"/>
      <c r="B660" s="8510"/>
      <c r="C660" s="7939"/>
      <c r="D660" s="8016" t="s">
        <v>137</v>
      </c>
      <c r="E660" s="8017"/>
      <c r="F660" s="7941" t="s">
        <v>742</v>
      </c>
      <c r="G660" s="8514"/>
      <c r="H660" s="8514"/>
      <c r="I660" s="8506" t="s">
        <v>138</v>
      </c>
      <c r="J660" s="8508"/>
      <c r="K660" s="7941" t="s">
        <v>734</v>
      </c>
      <c r="L660" s="7935">
        <v>0</v>
      </c>
      <c r="M660" s="7936">
        <v>167</v>
      </c>
      <c r="N660" s="9253">
        <v>221</v>
      </c>
      <c r="O660" s="9025" t="s">
        <v>1987</v>
      </c>
      <c r="P660" s="7932"/>
      <c r="Q660" s="7932"/>
      <c r="R660" s="8509"/>
      <c r="AX660" s="7872"/>
    </row>
    <row r="661" spans="1:50" s="7887" customFormat="1" ht="20.100000000000001" hidden="1" customHeight="1" thickBot="1">
      <c r="A661" s="7872"/>
      <c r="B661" s="8510"/>
      <c r="C661" s="7939"/>
      <c r="D661" s="8016" t="s">
        <v>140</v>
      </c>
      <c r="E661" s="8017"/>
      <c r="F661" s="7941" t="s">
        <v>742</v>
      </c>
      <c r="G661" s="8514"/>
      <c r="H661" s="8514"/>
      <c r="I661" s="8515" t="s">
        <v>141</v>
      </c>
      <c r="J661" s="8516"/>
      <c r="K661" s="7941" t="s">
        <v>734</v>
      </c>
      <c r="L661" s="8140">
        <v>0</v>
      </c>
      <c r="M661" s="8219">
        <v>0</v>
      </c>
      <c r="N661" s="9267">
        <v>0</v>
      </c>
      <c r="O661" s="9025" t="s">
        <v>1987</v>
      </c>
      <c r="P661" s="7932"/>
      <c r="Q661" s="7932"/>
      <c r="R661" s="8509"/>
      <c r="AX661" s="7872"/>
    </row>
    <row r="662" spans="1:50" s="7887" customFormat="1" ht="20.100000000000001" hidden="1" customHeight="1" thickBot="1">
      <c r="A662" s="7872"/>
      <c r="B662" s="8510"/>
      <c r="C662" s="8504"/>
      <c r="D662" s="8016" t="s">
        <v>143</v>
      </c>
      <c r="E662" s="8017"/>
      <c r="F662" s="7941" t="s">
        <v>742</v>
      </c>
      <c r="G662" s="8514"/>
      <c r="H662" s="8514"/>
      <c r="I662" s="8515" t="s">
        <v>144</v>
      </c>
      <c r="J662" s="8516"/>
      <c r="K662" s="7941" t="s">
        <v>734</v>
      </c>
      <c r="L662" s="8140">
        <v>428</v>
      </c>
      <c r="M662" s="8219">
        <v>427</v>
      </c>
      <c r="N662" s="9267">
        <v>416</v>
      </c>
      <c r="O662" s="9025" t="s">
        <v>1987</v>
      </c>
      <c r="P662" s="7932"/>
      <c r="Q662" s="7932"/>
      <c r="R662" s="8509"/>
      <c r="AX662" s="7872"/>
    </row>
    <row r="663" spans="1:50" s="7887" customFormat="1" ht="20.100000000000001" hidden="1" customHeight="1" thickBot="1">
      <c r="A663" s="7872"/>
      <c r="B663" s="8510"/>
      <c r="C663" s="7939"/>
      <c r="D663" s="8016" t="s">
        <v>146</v>
      </c>
      <c r="E663" s="8017"/>
      <c r="F663" s="7941" t="s">
        <v>742</v>
      </c>
      <c r="G663" s="8514"/>
      <c r="H663" s="8514"/>
      <c r="I663" s="8515" t="s">
        <v>147</v>
      </c>
      <c r="J663" s="8516"/>
      <c r="K663" s="7941" t="s">
        <v>734</v>
      </c>
      <c r="L663" s="8140">
        <v>0</v>
      </c>
      <c r="M663" s="8219">
        <v>0</v>
      </c>
      <c r="N663" s="9306"/>
      <c r="O663" s="9025" t="s">
        <v>1987</v>
      </c>
      <c r="P663" s="7932"/>
      <c r="Q663" s="7932"/>
      <c r="R663" s="8509"/>
      <c r="AX663" s="7872"/>
    </row>
    <row r="664" spans="1:50" s="7887" customFormat="1" ht="20.100000000000001" hidden="1" customHeight="1" thickBot="1">
      <c r="A664" s="7872"/>
      <c r="B664" s="8510"/>
      <c r="C664" s="7939"/>
      <c r="D664" s="8016" t="s">
        <v>149</v>
      </c>
      <c r="E664" s="8017"/>
      <c r="F664" s="7941" t="s">
        <v>742</v>
      </c>
      <c r="G664" s="8514"/>
      <c r="H664" s="8514"/>
      <c r="I664" s="8515" t="s">
        <v>150</v>
      </c>
      <c r="J664" s="8516"/>
      <c r="K664" s="7941" t="s">
        <v>734</v>
      </c>
      <c r="L664" s="8140">
        <v>752</v>
      </c>
      <c r="M664" s="8219">
        <v>781</v>
      </c>
      <c r="N664" s="9269">
        <v>836</v>
      </c>
      <c r="O664" s="9016" t="s">
        <v>1989</v>
      </c>
      <c r="P664" s="7932"/>
      <c r="Q664" s="7932"/>
      <c r="R664" s="8509"/>
      <c r="AX664" s="7872"/>
    </row>
    <row r="665" spans="1:50" s="7887" customFormat="1" ht="20.100000000000001" hidden="1" customHeight="1" thickBot="1">
      <c r="A665" s="7872"/>
      <c r="B665" s="8510"/>
      <c r="C665" s="8638"/>
      <c r="D665" s="8524" t="s">
        <v>1351</v>
      </c>
      <c r="E665" s="8525"/>
      <c r="F665" s="7957" t="s">
        <v>742</v>
      </c>
      <c r="G665" s="8599"/>
      <c r="H665" s="8599"/>
      <c r="I665" s="8524" t="s">
        <v>1032</v>
      </c>
      <c r="J665" s="8525"/>
      <c r="K665" s="7957" t="s">
        <v>734</v>
      </c>
      <c r="L665" s="8190">
        <f>SUM(L666:L671)</f>
        <v>4602</v>
      </c>
      <c r="M665" s="8191">
        <f>SUM(M666:M671)</f>
        <v>4356</v>
      </c>
      <c r="N665" s="9302">
        <f>SUM(N666:N671)</f>
        <v>4255</v>
      </c>
      <c r="O665" s="9002"/>
      <c r="P665" s="7932" t="s">
        <v>1341</v>
      </c>
      <c r="Q665" s="7955"/>
      <c r="R665" s="8194"/>
      <c r="AX665" s="7872"/>
    </row>
    <row r="666" spans="1:50" s="7887" customFormat="1" ht="20.100000000000001" hidden="1" customHeight="1" thickBot="1">
      <c r="A666" s="7872"/>
      <c r="B666" s="8510"/>
      <c r="C666" s="8504"/>
      <c r="D666" s="8016" t="s">
        <v>134</v>
      </c>
      <c r="E666" s="8017"/>
      <c r="F666" s="7941" t="s">
        <v>742</v>
      </c>
      <c r="G666" s="8514"/>
      <c r="H666" s="8514"/>
      <c r="I666" s="8506" t="s">
        <v>135</v>
      </c>
      <c r="J666" s="8508"/>
      <c r="K666" s="7941" t="s">
        <v>734</v>
      </c>
      <c r="L666" s="8140">
        <f t="shared" ref="L666:N670" si="35">L135</f>
        <v>1135</v>
      </c>
      <c r="M666" s="8219">
        <f t="shared" si="35"/>
        <v>1097</v>
      </c>
      <c r="N666" s="9273">
        <f t="shared" si="35"/>
        <v>1208</v>
      </c>
      <c r="O666" s="9039" t="s">
        <v>1990</v>
      </c>
      <c r="P666" s="7932"/>
      <c r="Q666" s="7932"/>
      <c r="R666" s="8509"/>
      <c r="AX666" s="7872"/>
    </row>
    <row r="667" spans="1:50" s="7887" customFormat="1" ht="20.100000000000001" hidden="1" customHeight="1" thickBot="1">
      <c r="A667" s="7872"/>
      <c r="B667" s="8510"/>
      <c r="C667" s="7939"/>
      <c r="D667" s="8016" t="s">
        <v>137</v>
      </c>
      <c r="E667" s="8017"/>
      <c r="F667" s="7941" t="s">
        <v>742</v>
      </c>
      <c r="G667" s="8514"/>
      <c r="H667" s="8514"/>
      <c r="I667" s="8506" t="s">
        <v>138</v>
      </c>
      <c r="J667" s="8508"/>
      <c r="K667" s="7941" t="s">
        <v>734</v>
      </c>
      <c r="L667" s="8140">
        <f t="shared" si="35"/>
        <v>183</v>
      </c>
      <c r="M667" s="7936">
        <f t="shared" si="35"/>
        <v>231</v>
      </c>
      <c r="N667" s="9253">
        <f t="shared" si="35"/>
        <v>249</v>
      </c>
      <c r="O667" s="9039" t="s">
        <v>1990</v>
      </c>
      <c r="P667" s="7932"/>
      <c r="Q667" s="7932"/>
      <c r="R667" s="8509"/>
      <c r="AX667" s="7872"/>
    </row>
    <row r="668" spans="1:50" s="7887" customFormat="1" ht="20.100000000000001" hidden="1" customHeight="1" thickBot="1">
      <c r="A668" s="7872"/>
      <c r="B668" s="8510"/>
      <c r="C668" s="7939"/>
      <c r="D668" s="8016" t="s">
        <v>140</v>
      </c>
      <c r="E668" s="8017"/>
      <c r="F668" s="7941" t="s">
        <v>742</v>
      </c>
      <c r="G668" s="8514"/>
      <c r="H668" s="8514"/>
      <c r="I668" s="8515" t="s">
        <v>141</v>
      </c>
      <c r="J668" s="8516"/>
      <c r="K668" s="7941" t="s">
        <v>734</v>
      </c>
      <c r="L668" s="8140">
        <f t="shared" si="35"/>
        <v>1054</v>
      </c>
      <c r="M668" s="8219">
        <f t="shared" si="35"/>
        <v>909</v>
      </c>
      <c r="N668" s="9281">
        <f t="shared" si="35"/>
        <v>750</v>
      </c>
      <c r="O668" s="9039" t="s">
        <v>1990</v>
      </c>
      <c r="P668" s="7932"/>
      <c r="Q668" s="7932"/>
      <c r="R668" s="8509"/>
      <c r="AX668" s="7872"/>
    </row>
    <row r="669" spans="1:50" s="7887" customFormat="1" ht="20.100000000000001" hidden="1" customHeight="1" thickBot="1">
      <c r="A669" s="7872"/>
      <c r="B669" s="8510"/>
      <c r="C669" s="8504"/>
      <c r="D669" s="8016" t="s">
        <v>143</v>
      </c>
      <c r="E669" s="8017"/>
      <c r="F669" s="7941" t="s">
        <v>742</v>
      </c>
      <c r="G669" s="8514"/>
      <c r="H669" s="8514"/>
      <c r="I669" s="8515" t="s">
        <v>144</v>
      </c>
      <c r="J669" s="8516"/>
      <c r="K669" s="7941" t="s">
        <v>734</v>
      </c>
      <c r="L669" s="8140">
        <f t="shared" si="35"/>
        <v>569</v>
      </c>
      <c r="M669" s="8219">
        <f t="shared" si="35"/>
        <v>582</v>
      </c>
      <c r="N669" s="9232">
        <f t="shared" si="35"/>
        <v>577</v>
      </c>
      <c r="O669" s="9039" t="s">
        <v>1990</v>
      </c>
      <c r="P669" s="7932"/>
      <c r="Q669" s="7932"/>
      <c r="R669" s="8509"/>
      <c r="AX669" s="7872"/>
    </row>
    <row r="670" spans="1:50" s="7887" customFormat="1" ht="20.100000000000001" hidden="1" customHeight="1" thickBot="1">
      <c r="A670" s="7872"/>
      <c r="B670" s="8510"/>
      <c r="C670" s="7939"/>
      <c r="D670" s="8016" t="s">
        <v>146</v>
      </c>
      <c r="E670" s="8017"/>
      <c r="F670" s="7941" t="s">
        <v>742</v>
      </c>
      <c r="G670" s="8514"/>
      <c r="H670" s="8514"/>
      <c r="I670" s="8515" t="s">
        <v>147</v>
      </c>
      <c r="J670" s="8516"/>
      <c r="K670" s="7941" t="s">
        <v>734</v>
      </c>
      <c r="L670" s="8140">
        <f t="shared" si="35"/>
        <v>381</v>
      </c>
      <c r="M670" s="8219">
        <f t="shared" si="35"/>
        <v>393</v>
      </c>
      <c r="N670" s="9267">
        <f t="shared" si="35"/>
        <v>412</v>
      </c>
      <c r="O670" s="9039" t="s">
        <v>1990</v>
      </c>
      <c r="P670" s="7932"/>
      <c r="Q670" s="7932"/>
      <c r="R670" s="8509"/>
      <c r="AX670" s="7872"/>
    </row>
    <row r="671" spans="1:50" s="7887" customFormat="1" ht="15.75" hidden="1" customHeight="1" thickBot="1">
      <c r="A671" s="7872"/>
      <c r="B671" s="8650"/>
      <c r="C671" s="9209"/>
      <c r="D671" s="9216" t="s">
        <v>149</v>
      </c>
      <c r="E671" s="9217"/>
      <c r="F671" s="8200" t="s">
        <v>742</v>
      </c>
      <c r="G671" s="8554"/>
      <c r="H671" s="8554"/>
      <c r="I671" s="9167" t="s">
        <v>150</v>
      </c>
      <c r="J671" s="9194"/>
      <c r="K671" s="8200" t="s">
        <v>734</v>
      </c>
      <c r="L671" s="9218">
        <f>L140+L147</f>
        <v>1280</v>
      </c>
      <c r="M671" s="8903">
        <f>M140+M147</f>
        <v>1144</v>
      </c>
      <c r="N671" s="9274">
        <f>N140+N147</f>
        <v>1059</v>
      </c>
      <c r="O671" s="9219" t="s">
        <v>1992</v>
      </c>
      <c r="P671" s="7932"/>
      <c r="Q671" s="7932"/>
      <c r="R671" s="8509"/>
      <c r="AX671" s="7872"/>
    </row>
    <row r="672" spans="1:50" s="7887" customFormat="1" ht="21.75" thickBot="1">
      <c r="A672" s="7872"/>
      <c r="B672" s="8073" t="s">
        <v>1993</v>
      </c>
      <c r="C672" s="8074"/>
      <c r="D672" s="8074"/>
      <c r="E672" s="8074"/>
      <c r="F672" s="8075"/>
      <c r="G672" s="8495" t="s">
        <v>1235</v>
      </c>
      <c r="H672" s="8074"/>
      <c r="I672" s="8074"/>
      <c r="J672" s="8074"/>
      <c r="K672" s="8075"/>
      <c r="L672" s="8078"/>
      <c r="M672" s="8079"/>
      <c r="N672" s="9251"/>
      <c r="O672" s="8993"/>
      <c r="P672" s="8986"/>
      <c r="Q672" s="8080"/>
      <c r="R672" s="8496"/>
      <c r="AX672" s="7872"/>
    </row>
    <row r="673" spans="1:50" s="7887" customFormat="1" ht="20.100000000000001" customHeight="1">
      <c r="A673" s="7872"/>
      <c r="B673" s="8510"/>
      <c r="C673" s="8641" t="s">
        <v>1673</v>
      </c>
      <c r="D673" s="8642"/>
      <c r="E673" s="8642"/>
      <c r="F673" s="7957" t="s">
        <v>1476</v>
      </c>
      <c r="G673" s="8571"/>
      <c r="H673" s="8643"/>
      <c r="I673" s="8571" t="s">
        <v>1674</v>
      </c>
      <c r="J673" s="8571"/>
      <c r="K673" s="7958" t="s">
        <v>559</v>
      </c>
      <c r="L673" s="8012">
        <f>IF(COUNTBLANK(L674:L679)&gt;0,"미취합법인有",SUM(L674:L679))</f>
        <v>0</v>
      </c>
      <c r="M673" s="8013">
        <f>IF(COUNTBLANK(M674:M679)&gt;0,"미취합법인有",SUM(M674:M679))</f>
        <v>0</v>
      </c>
      <c r="N673" s="9247">
        <f>IF(COUNTBLANK(N674:N679)&gt;0,"미취합법인有",SUM(N674:N679))</f>
        <v>0</v>
      </c>
      <c r="O673" s="9040"/>
      <c r="P673" s="7932" t="s">
        <v>1677</v>
      </c>
      <c r="Q673" s="7955" t="s">
        <v>1678</v>
      </c>
      <c r="R673" s="8194"/>
      <c r="AX673" s="7872"/>
    </row>
    <row r="674" spans="1:50" s="7887" customFormat="1" ht="20.100000000000001" customHeight="1">
      <c r="A674" s="7872"/>
      <c r="B674" s="8510"/>
      <c r="C674" s="8016" t="s">
        <v>134</v>
      </c>
      <c r="D674" s="8644"/>
      <c r="E674" s="8644"/>
      <c r="F674" s="7953" t="s">
        <v>1476</v>
      </c>
      <c r="G674" s="8583"/>
      <c r="H674" s="8611"/>
      <c r="I674" s="8506" t="s">
        <v>135</v>
      </c>
      <c r="J674" s="8508"/>
      <c r="K674" s="7953" t="s">
        <v>559</v>
      </c>
      <c r="L674" s="7935">
        <v>0</v>
      </c>
      <c r="M674" s="7936">
        <v>0</v>
      </c>
      <c r="N674" s="9307">
        <v>0</v>
      </c>
      <c r="O674" s="9041"/>
      <c r="P674" s="7932"/>
      <c r="Q674" s="7955"/>
      <c r="R674" s="8194"/>
      <c r="AX674" s="7872"/>
    </row>
    <row r="675" spans="1:50" s="7887" customFormat="1" ht="20.100000000000001" customHeight="1">
      <c r="A675" s="7872"/>
      <c r="B675" s="8510"/>
      <c r="C675" s="8016" t="s">
        <v>137</v>
      </c>
      <c r="D675" s="8644"/>
      <c r="E675" s="8644"/>
      <c r="F675" s="7953" t="s">
        <v>1476</v>
      </c>
      <c r="G675" s="8583"/>
      <c r="H675" s="8645"/>
      <c r="I675" s="8506" t="s">
        <v>138</v>
      </c>
      <c r="J675" s="8508"/>
      <c r="K675" s="7953" t="s">
        <v>559</v>
      </c>
      <c r="L675" s="7935">
        <v>0</v>
      </c>
      <c r="M675" s="7936">
        <v>0</v>
      </c>
      <c r="N675" s="9307">
        <v>0</v>
      </c>
      <c r="O675" s="9041"/>
      <c r="P675" s="7932"/>
      <c r="Q675" s="7955"/>
      <c r="R675" s="8194"/>
      <c r="AX675" s="7872"/>
    </row>
    <row r="676" spans="1:50" s="7887" customFormat="1" ht="20.100000000000001" customHeight="1">
      <c r="A676" s="7872"/>
      <c r="B676" s="8510"/>
      <c r="C676" s="8016" t="s">
        <v>140</v>
      </c>
      <c r="D676" s="8644"/>
      <c r="E676" s="8644"/>
      <c r="F676" s="7953" t="s">
        <v>1476</v>
      </c>
      <c r="G676" s="8583"/>
      <c r="H676" s="8611"/>
      <c r="I676" s="8515" t="s">
        <v>141</v>
      </c>
      <c r="J676" s="8516"/>
      <c r="K676" s="7953" t="s">
        <v>559</v>
      </c>
      <c r="L676" s="7935">
        <v>0</v>
      </c>
      <c r="M676" s="7936">
        <v>0</v>
      </c>
      <c r="N676" s="9307">
        <v>0</v>
      </c>
      <c r="O676" s="9041"/>
      <c r="P676" s="7932"/>
      <c r="Q676" s="7955"/>
      <c r="R676" s="8194"/>
      <c r="AX676" s="7872"/>
    </row>
    <row r="677" spans="1:50" s="7887" customFormat="1" ht="20.100000000000001" customHeight="1">
      <c r="A677" s="7872"/>
      <c r="B677" s="8510"/>
      <c r="C677" s="8016" t="s">
        <v>143</v>
      </c>
      <c r="D677" s="8644"/>
      <c r="E677" s="8644"/>
      <c r="F677" s="7953" t="s">
        <v>1476</v>
      </c>
      <c r="G677" s="8583"/>
      <c r="H677" s="8645"/>
      <c r="I677" s="8515" t="s">
        <v>144</v>
      </c>
      <c r="J677" s="8516"/>
      <c r="K677" s="7953" t="s">
        <v>559</v>
      </c>
      <c r="L677" s="7935">
        <v>0</v>
      </c>
      <c r="M677" s="7936">
        <v>0</v>
      </c>
      <c r="N677" s="9308">
        <v>0</v>
      </c>
      <c r="O677" s="9042"/>
      <c r="P677" s="7932"/>
      <c r="Q677" s="7955"/>
      <c r="R677" s="8194"/>
      <c r="AX677" s="7872"/>
    </row>
    <row r="678" spans="1:50" s="7887" customFormat="1" ht="20.100000000000001" customHeight="1">
      <c r="A678" s="7872"/>
      <c r="B678" s="8510"/>
      <c r="C678" s="8016" t="s">
        <v>146</v>
      </c>
      <c r="D678" s="8644"/>
      <c r="E678" s="8644"/>
      <c r="F678" s="7953" t="s">
        <v>1476</v>
      </c>
      <c r="G678" s="8583"/>
      <c r="H678" s="8611"/>
      <c r="I678" s="8515" t="s">
        <v>147</v>
      </c>
      <c r="J678" s="8516"/>
      <c r="K678" s="7953" t="s">
        <v>559</v>
      </c>
      <c r="L678" s="7935">
        <v>0</v>
      </c>
      <c r="M678" s="7936">
        <v>0</v>
      </c>
      <c r="N678" s="9308">
        <v>0</v>
      </c>
      <c r="O678" s="9041"/>
      <c r="P678" s="7932"/>
      <c r="Q678" s="7955"/>
      <c r="R678" s="8194"/>
      <c r="AX678" s="7872"/>
    </row>
    <row r="679" spans="1:50" s="7887" customFormat="1" ht="20.100000000000001" customHeight="1">
      <c r="A679" s="7872"/>
      <c r="B679" s="8510"/>
      <c r="C679" s="8016" t="s">
        <v>149</v>
      </c>
      <c r="D679" s="8644"/>
      <c r="E679" s="8644"/>
      <c r="F679" s="7953" t="s">
        <v>1476</v>
      </c>
      <c r="G679" s="8583"/>
      <c r="H679" s="8645"/>
      <c r="I679" s="9167" t="s">
        <v>150</v>
      </c>
      <c r="J679" s="9194"/>
      <c r="K679" s="7953" t="s">
        <v>559</v>
      </c>
      <c r="L679" s="7935">
        <v>0</v>
      </c>
      <c r="M679" s="7936">
        <v>0</v>
      </c>
      <c r="N679" s="9308">
        <v>0</v>
      </c>
      <c r="O679" s="9041"/>
      <c r="P679" s="7932"/>
      <c r="Q679" s="7955"/>
      <c r="R679" s="8194"/>
      <c r="AX679" s="7872"/>
    </row>
    <row r="680" spans="1:50" s="7887" customFormat="1" ht="20.100000000000001" customHeight="1">
      <c r="A680" s="7872"/>
      <c r="B680" s="8510"/>
      <c r="C680" s="8641" t="s">
        <v>1722</v>
      </c>
      <c r="D680" s="8641"/>
      <c r="E680" s="8642"/>
      <c r="F680" s="7958" t="s">
        <v>557</v>
      </c>
      <c r="G680" s="8571"/>
      <c r="H680" s="8571" t="s">
        <v>1723</v>
      </c>
      <c r="I680" s="8571"/>
      <c r="J680" s="8571"/>
      <c r="K680" s="7958" t="s">
        <v>559</v>
      </c>
      <c r="L680" s="8012">
        <f>IF(COUNTBLANK(L681:L686)&gt;0,"미취합법인有",SUM(L681:L686))</f>
        <v>1</v>
      </c>
      <c r="M680" s="8013">
        <f>IF(COUNTBLANK(M681:M686)&gt;0,"미취합법인有",SUM(M681:M686))</f>
        <v>0</v>
      </c>
      <c r="N680" s="9247">
        <f>IF(COUNTBLANK(N681:N686)&gt;0,"미취합법인有",SUM(N681:N686))</f>
        <v>1</v>
      </c>
      <c r="O680" s="9040"/>
      <c r="P680" s="7932"/>
      <c r="Q680" s="7955" t="s">
        <v>1678</v>
      </c>
      <c r="R680" s="8194"/>
      <c r="AX680" s="7872"/>
    </row>
    <row r="681" spans="1:50" s="7887" customFormat="1" ht="20.100000000000001" customHeight="1">
      <c r="A681" s="7872"/>
      <c r="B681" s="8510"/>
      <c r="C681" s="8647" t="s">
        <v>1716</v>
      </c>
      <c r="D681" s="8644"/>
      <c r="E681" s="8644"/>
      <c r="F681" s="7953" t="s">
        <v>1476</v>
      </c>
      <c r="G681" s="8583"/>
      <c r="H681" s="8506" t="s">
        <v>135</v>
      </c>
      <c r="I681" s="8507"/>
      <c r="J681" s="8508"/>
      <c r="K681" s="7941" t="s">
        <v>559</v>
      </c>
      <c r="L681" s="7935">
        <v>0</v>
      </c>
      <c r="M681" s="7936">
        <v>0</v>
      </c>
      <c r="N681" s="9307">
        <v>0</v>
      </c>
      <c r="O681" s="9041"/>
      <c r="P681" s="7932"/>
      <c r="Q681" s="7955"/>
      <c r="R681" s="8194"/>
      <c r="AX681" s="7872"/>
    </row>
    <row r="682" spans="1:50" s="7887" customFormat="1" ht="20.100000000000001" customHeight="1">
      <c r="A682" s="7872"/>
      <c r="B682" s="8510"/>
      <c r="C682" s="8647" t="s">
        <v>1717</v>
      </c>
      <c r="D682" s="8644"/>
      <c r="E682" s="8644"/>
      <c r="F682" s="7953" t="s">
        <v>1476</v>
      </c>
      <c r="G682" s="8583"/>
      <c r="H682" s="8506" t="s">
        <v>138</v>
      </c>
      <c r="I682" s="8507"/>
      <c r="J682" s="8508"/>
      <c r="K682" s="7941" t="s">
        <v>559</v>
      </c>
      <c r="L682" s="7935">
        <v>0</v>
      </c>
      <c r="M682" s="8001">
        <v>0</v>
      </c>
      <c r="N682" s="9307">
        <v>0</v>
      </c>
      <c r="O682" s="9041"/>
      <c r="P682" s="7932"/>
      <c r="Q682" s="7955"/>
      <c r="R682" s="8194"/>
      <c r="AX682" s="7872"/>
    </row>
    <row r="683" spans="1:50" s="7887" customFormat="1" ht="20.100000000000001" customHeight="1">
      <c r="A683" s="7872"/>
      <c r="B683" s="8510"/>
      <c r="C683" s="8647" t="s">
        <v>1718</v>
      </c>
      <c r="D683" s="8644"/>
      <c r="E683" s="8644"/>
      <c r="F683" s="7953" t="s">
        <v>1476</v>
      </c>
      <c r="G683" s="8583"/>
      <c r="H683" s="8506" t="s">
        <v>141</v>
      </c>
      <c r="I683" s="8648"/>
      <c r="J683" s="8516"/>
      <c r="K683" s="7941" t="s">
        <v>559</v>
      </c>
      <c r="L683" s="7935">
        <v>0</v>
      </c>
      <c r="M683" s="7936">
        <v>0</v>
      </c>
      <c r="N683" s="9307">
        <v>0</v>
      </c>
      <c r="O683" s="9041"/>
      <c r="P683" s="7932"/>
      <c r="Q683" s="7955"/>
      <c r="R683" s="8194"/>
      <c r="AX683" s="7872"/>
    </row>
    <row r="684" spans="1:50" s="7887" customFormat="1" ht="20.100000000000001" customHeight="1">
      <c r="A684" s="7872"/>
      <c r="B684" s="8510"/>
      <c r="C684" s="8647" t="s">
        <v>1719</v>
      </c>
      <c r="D684" s="8644"/>
      <c r="E684" s="8644"/>
      <c r="F684" s="7953" t="s">
        <v>1476</v>
      </c>
      <c r="G684" s="8583"/>
      <c r="H684" s="8506" t="s">
        <v>144</v>
      </c>
      <c r="I684" s="8648"/>
      <c r="J684" s="8516"/>
      <c r="K684" s="7941" t="s">
        <v>559</v>
      </c>
      <c r="L684" s="7935">
        <v>0</v>
      </c>
      <c r="M684" s="7936">
        <v>0</v>
      </c>
      <c r="N684" s="9235">
        <v>0</v>
      </c>
      <c r="O684" s="9041"/>
      <c r="P684" s="7932"/>
      <c r="Q684" s="7955"/>
      <c r="R684" s="8194"/>
      <c r="AX684" s="7872"/>
    </row>
    <row r="685" spans="1:50" s="7887" customFormat="1" ht="20.100000000000001" customHeight="1">
      <c r="A685" s="7872"/>
      <c r="B685" s="8510"/>
      <c r="C685" s="8647" t="s">
        <v>146</v>
      </c>
      <c r="D685" s="8644"/>
      <c r="E685" s="8644"/>
      <c r="F685" s="7953" t="s">
        <v>1476</v>
      </c>
      <c r="G685" s="8583"/>
      <c r="H685" s="8506" t="s">
        <v>147</v>
      </c>
      <c r="I685" s="8648"/>
      <c r="J685" s="8516"/>
      <c r="K685" s="7941" t="s">
        <v>559</v>
      </c>
      <c r="L685" s="7935">
        <v>0</v>
      </c>
      <c r="M685" s="7936">
        <v>0</v>
      </c>
      <c r="N685" s="9235">
        <v>0</v>
      </c>
      <c r="O685" s="9041"/>
      <c r="P685" s="7932"/>
      <c r="Q685" s="7955"/>
      <c r="R685" s="8194"/>
      <c r="AX685" s="7872"/>
    </row>
    <row r="686" spans="1:50" s="7887" customFormat="1" ht="20.100000000000001" customHeight="1">
      <c r="A686" s="7872"/>
      <c r="B686" s="8510"/>
      <c r="C686" s="8647" t="s">
        <v>149</v>
      </c>
      <c r="D686" s="8644"/>
      <c r="E686" s="8644"/>
      <c r="F686" s="7953" t="s">
        <v>1476</v>
      </c>
      <c r="G686" s="8583"/>
      <c r="H686" s="8506" t="s">
        <v>150</v>
      </c>
      <c r="I686" s="8648"/>
      <c r="J686" s="8516"/>
      <c r="K686" s="7941" t="s">
        <v>559</v>
      </c>
      <c r="L686" s="7935">
        <v>1</v>
      </c>
      <c r="M686" s="7936">
        <v>0</v>
      </c>
      <c r="N686" s="9235">
        <v>1</v>
      </c>
      <c r="O686" s="9041"/>
      <c r="P686" s="7932"/>
      <c r="Q686" s="7955"/>
      <c r="R686" s="8194"/>
      <c r="AX686" s="7872"/>
    </row>
    <row r="687" spans="1:50" s="7887" customFormat="1" ht="20.100000000000001" customHeight="1">
      <c r="B687" s="8510"/>
      <c r="C687" s="8641" t="s">
        <v>1727</v>
      </c>
      <c r="D687" s="8641"/>
      <c r="E687" s="8642"/>
      <c r="F687" s="7957" t="s">
        <v>156</v>
      </c>
      <c r="G687" s="8571"/>
      <c r="H687" s="8646" t="s">
        <v>1728</v>
      </c>
      <c r="I687" s="8571"/>
      <c r="J687" s="8571"/>
      <c r="K687" s="7958" t="s">
        <v>156</v>
      </c>
      <c r="L687" s="8035">
        <f>IF(COUNTBLANK(L688:L693)&gt;0,"미취합법인有",AVERAGE(L688:L693))</f>
        <v>98.399209177294324</v>
      </c>
      <c r="M687" s="8036">
        <f>IF(COUNTBLANK(M688:M693)&gt;0,"미취합법인有",AVERAGE(M688:M693))</f>
        <v>99.6875</v>
      </c>
      <c r="N687" s="9243">
        <f>IF(COUNTBLANK(N688:N693)&gt;0,"미취합법인有",AVERAGE(N688:N693))</f>
        <v>99.652777777777786</v>
      </c>
      <c r="O687" s="9027" t="s">
        <v>3695</v>
      </c>
      <c r="P687" s="7932" t="s">
        <v>1732</v>
      </c>
      <c r="Q687" s="7955"/>
      <c r="R687" s="8194"/>
    </row>
    <row r="688" spans="1:50" s="7887" customFormat="1" ht="20.100000000000001" customHeight="1">
      <c r="B688" s="8510"/>
      <c r="C688" s="8612" t="s">
        <v>1716</v>
      </c>
      <c r="D688" s="8196"/>
      <c r="E688" s="8196"/>
      <c r="F688" s="7953" t="s">
        <v>154</v>
      </c>
      <c r="G688" s="8649"/>
      <c r="H688" s="8506" t="s">
        <v>135</v>
      </c>
      <c r="I688" s="8507"/>
      <c r="J688" s="8508"/>
      <c r="K688" s="7941" t="s">
        <v>154</v>
      </c>
      <c r="L688" s="8129">
        <f t="shared" ref="L688:N689" si="36">L695/L702*100</f>
        <v>99.899193548387103</v>
      </c>
      <c r="M688" s="8107">
        <f t="shared" si="36"/>
        <v>100</v>
      </c>
      <c r="N688" s="9241">
        <f t="shared" si="36"/>
        <v>100</v>
      </c>
      <c r="O688" s="9043"/>
      <c r="P688" s="7932"/>
      <c r="Q688" s="7955"/>
      <c r="R688" s="8194"/>
    </row>
    <row r="689" spans="2:18" s="7887" customFormat="1" ht="20.100000000000001" customHeight="1">
      <c r="B689" s="8510"/>
      <c r="C689" s="8612" t="s">
        <v>1717</v>
      </c>
      <c r="D689" s="8196"/>
      <c r="E689" s="8196"/>
      <c r="F689" s="7953" t="s">
        <v>154</v>
      </c>
      <c r="G689" s="8649"/>
      <c r="H689" s="8506" t="s">
        <v>138</v>
      </c>
      <c r="I689" s="8507"/>
      <c r="J689" s="8508"/>
      <c r="K689" s="7941" t="s">
        <v>154</v>
      </c>
      <c r="L689" s="8129">
        <f t="shared" si="36"/>
        <v>96.899224806201545</v>
      </c>
      <c r="M689" s="8107">
        <f t="shared" si="36"/>
        <v>99.375</v>
      </c>
      <c r="N689" s="9241">
        <f t="shared" si="36"/>
        <v>98.958333333333343</v>
      </c>
      <c r="O689" s="9043"/>
      <c r="P689" s="7932"/>
      <c r="Q689" s="7955"/>
      <c r="R689" s="8194"/>
    </row>
    <row r="690" spans="2:18" s="7887" customFormat="1" ht="20.100000000000001" customHeight="1">
      <c r="B690" s="8510"/>
      <c r="C690" s="8612" t="s">
        <v>1718</v>
      </c>
      <c r="D690" s="8196"/>
      <c r="E690" s="8196"/>
      <c r="F690" s="7953" t="s">
        <v>154</v>
      </c>
      <c r="G690" s="8649"/>
      <c r="H690" s="8506" t="s">
        <v>141</v>
      </c>
      <c r="I690" s="8648"/>
      <c r="J690" s="8516"/>
      <c r="K690" s="7941" t="s">
        <v>154</v>
      </c>
      <c r="L690" s="8133" t="s">
        <v>168</v>
      </c>
      <c r="M690" s="8109" t="s">
        <v>168</v>
      </c>
      <c r="N690" s="9241">
        <f>N697/N704*100</f>
        <v>100</v>
      </c>
      <c r="O690" s="9043"/>
      <c r="P690" s="7932"/>
      <c r="Q690" s="7955"/>
      <c r="R690" s="8194"/>
    </row>
    <row r="691" spans="2:18" s="7887" customFormat="1" ht="20.100000000000001" customHeight="1">
      <c r="B691" s="8510"/>
      <c r="C691" s="8612" t="s">
        <v>1719</v>
      </c>
      <c r="D691" s="8196"/>
      <c r="E691" s="8196"/>
      <c r="F691" s="7953" t="s">
        <v>154</v>
      </c>
      <c r="G691" s="8649"/>
      <c r="H691" s="8506" t="s">
        <v>144</v>
      </c>
      <c r="I691" s="8648"/>
      <c r="J691" s="8516"/>
      <c r="K691" s="7941" t="s">
        <v>154</v>
      </c>
      <c r="L691" s="8133" t="s">
        <v>168</v>
      </c>
      <c r="M691" s="8109" t="s">
        <v>168</v>
      </c>
      <c r="N691" s="9242" t="s">
        <v>168</v>
      </c>
      <c r="O691" s="9043"/>
      <c r="P691" s="7932"/>
      <c r="Q691" s="7955"/>
      <c r="R691" s="8194"/>
    </row>
    <row r="692" spans="2:18" s="7887" customFormat="1" ht="20.100000000000001" customHeight="1">
      <c r="B692" s="8510"/>
      <c r="C692" s="8612" t="s">
        <v>146</v>
      </c>
      <c r="D692" s="8196"/>
      <c r="E692" s="8196"/>
      <c r="F692" s="7953" t="s">
        <v>154</v>
      </c>
      <c r="G692" s="8649"/>
      <c r="H692" s="8506" t="s">
        <v>147</v>
      </c>
      <c r="I692" s="8648"/>
      <c r="J692" s="8516"/>
      <c r="K692" s="7941" t="s">
        <v>154</v>
      </c>
      <c r="L692" s="8133" t="s">
        <v>168</v>
      </c>
      <c r="M692" s="8109" t="s">
        <v>168</v>
      </c>
      <c r="N692" s="9242" t="s">
        <v>168</v>
      </c>
      <c r="O692" s="9043"/>
      <c r="P692" s="7932"/>
      <c r="Q692" s="7955"/>
      <c r="R692" s="8194"/>
    </row>
    <row r="693" spans="2:18" s="7887" customFormat="1" ht="20.100000000000001" customHeight="1" thickBot="1">
      <c r="B693" s="8510"/>
      <c r="C693" s="8612" t="s">
        <v>149</v>
      </c>
      <c r="D693" s="8196"/>
      <c r="E693" s="8196"/>
      <c r="F693" s="7953" t="s">
        <v>154</v>
      </c>
      <c r="G693" s="8649"/>
      <c r="H693" s="8506" t="s">
        <v>150</v>
      </c>
      <c r="I693" s="8648"/>
      <c r="J693" s="8516"/>
      <c r="K693" s="7941" t="s">
        <v>154</v>
      </c>
      <c r="L693" s="8133" t="s">
        <v>168</v>
      </c>
      <c r="M693" s="8109" t="s">
        <v>168</v>
      </c>
      <c r="N693" s="9242" t="s">
        <v>168</v>
      </c>
      <c r="O693" s="9043"/>
      <c r="P693" s="7932"/>
      <c r="Q693" s="7955"/>
      <c r="R693" s="8194"/>
    </row>
    <row r="694" spans="2:18" s="7887" customFormat="1" ht="20.45" hidden="1" customHeight="1" thickBot="1">
      <c r="B694" s="8510"/>
      <c r="C694" s="8197"/>
      <c r="D694" s="8641" t="s">
        <v>1733</v>
      </c>
      <c r="E694" s="8642"/>
      <c r="F694" s="7958" t="s">
        <v>742</v>
      </c>
      <c r="G694" s="8571"/>
      <c r="H694" s="8571"/>
      <c r="I694" s="8571" t="s">
        <v>1734</v>
      </c>
      <c r="J694" s="8571"/>
      <c r="K694" s="7958" t="s">
        <v>734</v>
      </c>
      <c r="L694" s="8012">
        <f>IF(COUNTBLANK(L695:L700)&gt;0,"미취합법인有",SUM(L695:L700))</f>
        <v>1116</v>
      </c>
      <c r="M694" s="8013">
        <f>IF(COUNTBLANK(M695:M700)&gt;0,"미취합법인有",SUM(M695:M700))</f>
        <v>1182</v>
      </c>
      <c r="N694" s="9247">
        <f>IF(COUNTBLANK(N695:N700)&gt;0,"미취합법인有",SUM(N695:N700))</f>
        <v>1975</v>
      </c>
      <c r="O694" s="9040"/>
      <c r="P694" s="7932" t="s">
        <v>1732</v>
      </c>
      <c r="Q694" s="7955" t="s">
        <v>527</v>
      </c>
      <c r="R694" s="8194"/>
    </row>
    <row r="695" spans="2:18" s="7887" customFormat="1" ht="20.45" hidden="1" customHeight="1">
      <c r="B695" s="8650"/>
      <c r="C695" s="8198"/>
      <c r="D695" s="8651" t="s">
        <v>1716</v>
      </c>
      <c r="E695" s="8199"/>
      <c r="F695" s="7976" t="s">
        <v>732</v>
      </c>
      <c r="G695" s="8652"/>
      <c r="H695" s="8652"/>
      <c r="I695" s="8506" t="s">
        <v>135</v>
      </c>
      <c r="J695" s="8508"/>
      <c r="K695" s="8200" t="s">
        <v>734</v>
      </c>
      <c r="L695" s="7995">
        <v>991</v>
      </c>
      <c r="M695" s="7996">
        <v>1023</v>
      </c>
      <c r="N695" s="9309">
        <v>1035</v>
      </c>
      <c r="O695" s="9044"/>
      <c r="P695" s="7932"/>
      <c r="Q695" s="7955"/>
      <c r="R695" s="8194"/>
    </row>
    <row r="696" spans="2:18" s="7887" customFormat="1" ht="20.45" hidden="1" customHeight="1" thickBot="1">
      <c r="B696" s="8650"/>
      <c r="C696" s="8198"/>
      <c r="D696" s="8651" t="s">
        <v>1717</v>
      </c>
      <c r="E696" s="8199"/>
      <c r="F696" s="7976" t="s">
        <v>732</v>
      </c>
      <c r="G696" s="8652"/>
      <c r="H696" s="8652"/>
      <c r="I696" s="8506" t="s">
        <v>138</v>
      </c>
      <c r="J696" s="8508"/>
      <c r="K696" s="8200" t="s">
        <v>734</v>
      </c>
      <c r="L696" s="7995">
        <v>125</v>
      </c>
      <c r="M696" s="7996">
        <v>159</v>
      </c>
      <c r="N696" s="9309">
        <v>190</v>
      </c>
      <c r="O696" s="9044"/>
      <c r="P696" s="7932"/>
      <c r="Q696" s="7955"/>
      <c r="R696" s="8194"/>
    </row>
    <row r="697" spans="2:18" s="7887" customFormat="1" ht="20.45" hidden="1" customHeight="1" thickBot="1">
      <c r="B697" s="8650"/>
      <c r="C697" s="8198"/>
      <c r="D697" s="8651" t="s">
        <v>1718</v>
      </c>
      <c r="E697" s="8199"/>
      <c r="F697" s="8201" t="s">
        <v>732</v>
      </c>
      <c r="G697" s="8653"/>
      <c r="H697" s="8652"/>
      <c r="I697" s="8515" t="s">
        <v>144</v>
      </c>
      <c r="J697" s="8516"/>
      <c r="K697" s="8200" t="s">
        <v>734</v>
      </c>
      <c r="L697" s="8202" t="s">
        <v>168</v>
      </c>
      <c r="M697" s="7996" t="s">
        <v>168</v>
      </c>
      <c r="N697" s="9309">
        <v>750</v>
      </c>
      <c r="O697" s="9044"/>
      <c r="P697" s="7932"/>
      <c r="Q697" s="7955"/>
      <c r="R697" s="8194"/>
    </row>
    <row r="698" spans="2:18" s="7887" customFormat="1" ht="20.45" hidden="1" customHeight="1" thickBot="1">
      <c r="B698" s="8650"/>
      <c r="C698" s="8198"/>
      <c r="D698" s="8651" t="s">
        <v>1719</v>
      </c>
      <c r="E698" s="8199"/>
      <c r="F698" s="8201" t="s">
        <v>732</v>
      </c>
      <c r="G698" s="8653"/>
      <c r="H698" s="8652"/>
      <c r="I698" s="8515" t="s">
        <v>144</v>
      </c>
      <c r="J698" s="8516"/>
      <c r="K698" s="8200" t="s">
        <v>734</v>
      </c>
      <c r="L698" s="8202" t="s">
        <v>168</v>
      </c>
      <c r="M698" s="7996" t="s">
        <v>168</v>
      </c>
      <c r="N698" s="9265" t="s">
        <v>168</v>
      </c>
      <c r="O698" s="9044"/>
      <c r="P698" s="7932"/>
      <c r="Q698" s="7955"/>
      <c r="R698" s="8194"/>
    </row>
    <row r="699" spans="2:18" s="7887" customFormat="1" ht="20.45" hidden="1" customHeight="1" thickBot="1">
      <c r="B699" s="8650"/>
      <c r="C699" s="8198"/>
      <c r="D699" s="8651" t="s">
        <v>146</v>
      </c>
      <c r="E699" s="8199"/>
      <c r="F699" s="8201" t="s">
        <v>732</v>
      </c>
      <c r="G699" s="8653"/>
      <c r="H699" s="8652"/>
      <c r="I699" s="8515" t="s">
        <v>147</v>
      </c>
      <c r="J699" s="8516"/>
      <c r="K699" s="8200" t="s">
        <v>734</v>
      </c>
      <c r="L699" s="8202" t="s">
        <v>168</v>
      </c>
      <c r="M699" s="7996" t="s">
        <v>168</v>
      </c>
      <c r="N699" s="9265" t="s">
        <v>168</v>
      </c>
      <c r="O699" s="9044"/>
      <c r="P699" s="7932"/>
      <c r="Q699" s="7955"/>
      <c r="R699" s="8194"/>
    </row>
    <row r="700" spans="2:18" s="7887" customFormat="1" ht="20.45" hidden="1" customHeight="1" thickBot="1">
      <c r="B700" s="8650"/>
      <c r="C700" s="8198"/>
      <c r="D700" s="8651" t="s">
        <v>149</v>
      </c>
      <c r="E700" s="8199"/>
      <c r="F700" s="8203" t="s">
        <v>732</v>
      </c>
      <c r="G700" s="8653"/>
      <c r="H700" s="8652"/>
      <c r="I700" s="8515" t="s">
        <v>150</v>
      </c>
      <c r="J700" s="8516"/>
      <c r="K700" s="8200" t="s">
        <v>734</v>
      </c>
      <c r="L700" s="8202" t="s">
        <v>168</v>
      </c>
      <c r="M700" s="7996" t="s">
        <v>168</v>
      </c>
      <c r="N700" s="9265" t="s">
        <v>168</v>
      </c>
      <c r="O700" s="9044"/>
      <c r="P700" s="7932"/>
      <c r="Q700" s="7955"/>
      <c r="R700" s="8194"/>
    </row>
    <row r="701" spans="2:18" s="7887" customFormat="1" ht="21.75" hidden="1" customHeight="1" thickBot="1">
      <c r="B701" s="8650"/>
      <c r="C701" s="8198"/>
      <c r="D701" s="8641" t="s">
        <v>1739</v>
      </c>
      <c r="E701" s="8654"/>
      <c r="F701" s="7958" t="s">
        <v>742</v>
      </c>
      <c r="G701" s="8655"/>
      <c r="H701" s="8646"/>
      <c r="I701" s="8204" t="s">
        <v>1738</v>
      </c>
      <c r="J701" s="8204"/>
      <c r="K701" s="7958" t="s">
        <v>734</v>
      </c>
      <c r="L701" s="8097">
        <f>IF(COUNTBLANK(L702:L707)&gt;0,"미취합법인有",SUM(L702:L707))</f>
        <v>1121</v>
      </c>
      <c r="M701" s="8117">
        <f>IF(COUNTBLANK(M702:M707)&gt;0,"미취합법인有",SUM(M702:M707))</f>
        <v>1183</v>
      </c>
      <c r="N701" s="9310">
        <f>IF(COUNTBLANK(N702:N707)&gt;0,"미취합법인有",SUM(N702:N707))</f>
        <v>1977</v>
      </c>
      <c r="O701" s="9045" t="s">
        <v>3529</v>
      </c>
      <c r="P701" s="7932" t="s">
        <v>1732</v>
      </c>
      <c r="Q701" s="7955"/>
      <c r="R701" s="8194"/>
    </row>
    <row r="702" spans="2:18" s="7887" customFormat="1" ht="20.45" hidden="1" customHeight="1" thickBot="1">
      <c r="B702" s="8650"/>
      <c r="C702" s="8198"/>
      <c r="D702" s="8651" t="s">
        <v>1716</v>
      </c>
      <c r="E702" s="8199"/>
      <c r="F702" s="8206" t="s">
        <v>732</v>
      </c>
      <c r="G702" s="8653"/>
      <c r="H702" s="8652"/>
      <c r="I702" s="8506" t="s">
        <v>135</v>
      </c>
      <c r="J702" s="8508"/>
      <c r="K702" s="7941" t="s">
        <v>734</v>
      </c>
      <c r="L702" s="7995">
        <v>992</v>
      </c>
      <c r="M702" s="7996">
        <v>1023</v>
      </c>
      <c r="N702" s="9253">
        <v>1035</v>
      </c>
      <c r="O702" s="9041"/>
      <c r="P702" s="7932"/>
      <c r="Q702" s="7955"/>
      <c r="R702" s="8194"/>
    </row>
    <row r="703" spans="2:18" s="7887" customFormat="1" ht="20.45" hidden="1" customHeight="1" thickBot="1">
      <c r="B703" s="8650"/>
      <c r="C703" s="8198"/>
      <c r="D703" s="8651" t="s">
        <v>1717</v>
      </c>
      <c r="E703" s="8199"/>
      <c r="F703" s="8206" t="s">
        <v>732</v>
      </c>
      <c r="G703" s="8656"/>
      <c r="H703" s="8657"/>
      <c r="I703" s="8506" t="s">
        <v>138</v>
      </c>
      <c r="J703" s="8508"/>
      <c r="K703" s="7941" t="s">
        <v>734</v>
      </c>
      <c r="L703" s="7995">
        <v>129</v>
      </c>
      <c r="M703" s="7996">
        <v>160</v>
      </c>
      <c r="N703" s="9309">
        <v>192</v>
      </c>
      <c r="O703" s="9044"/>
      <c r="P703" s="7932"/>
      <c r="Q703" s="7955"/>
      <c r="R703" s="8194"/>
    </row>
    <row r="704" spans="2:18" s="7887" customFormat="1" ht="20.45" hidden="1" customHeight="1" thickBot="1">
      <c r="B704" s="8650"/>
      <c r="C704" s="8198"/>
      <c r="D704" s="8651" t="s">
        <v>1718</v>
      </c>
      <c r="E704" s="8199"/>
      <c r="F704" s="8206" t="s">
        <v>732</v>
      </c>
      <c r="G704" s="8656"/>
      <c r="H704" s="8657"/>
      <c r="I704" s="8515" t="s">
        <v>141</v>
      </c>
      <c r="J704" s="8516"/>
      <c r="K704" s="7941" t="s">
        <v>734</v>
      </c>
      <c r="L704" s="8202" t="s">
        <v>168</v>
      </c>
      <c r="M704" s="7996" t="s">
        <v>168</v>
      </c>
      <c r="N704" s="9309">
        <v>750</v>
      </c>
      <c r="O704" s="9044"/>
      <c r="P704" s="7932"/>
      <c r="Q704" s="7955"/>
      <c r="R704" s="8194"/>
    </row>
    <row r="705" spans="1:50" s="7887" customFormat="1" ht="20.45" hidden="1" customHeight="1" thickBot="1">
      <c r="B705" s="8650"/>
      <c r="C705" s="8198"/>
      <c r="D705" s="8651" t="s">
        <v>1719</v>
      </c>
      <c r="E705" s="8199"/>
      <c r="F705" s="8206" t="s">
        <v>732</v>
      </c>
      <c r="G705" s="8656"/>
      <c r="H705" s="8657"/>
      <c r="I705" s="8515" t="s">
        <v>144</v>
      </c>
      <c r="J705" s="8516"/>
      <c r="K705" s="7941" t="s">
        <v>734</v>
      </c>
      <c r="L705" s="8202" t="s">
        <v>168</v>
      </c>
      <c r="M705" s="7996" t="s">
        <v>168</v>
      </c>
      <c r="N705" s="9265" t="s">
        <v>168</v>
      </c>
      <c r="O705" s="9044"/>
      <c r="P705" s="7932"/>
      <c r="Q705" s="7955"/>
      <c r="R705" s="8194"/>
    </row>
    <row r="706" spans="1:50" s="7887" customFormat="1" ht="20.45" hidden="1" customHeight="1" thickBot="1">
      <c r="B706" s="8650"/>
      <c r="C706" s="8198"/>
      <c r="D706" s="8651" t="s">
        <v>146</v>
      </c>
      <c r="E706" s="8199"/>
      <c r="F706" s="8206" t="s">
        <v>732</v>
      </c>
      <c r="G706" s="8656"/>
      <c r="H706" s="8657"/>
      <c r="I706" s="8515" t="s">
        <v>147</v>
      </c>
      <c r="J706" s="8516"/>
      <c r="K706" s="7941" t="s">
        <v>734</v>
      </c>
      <c r="L706" s="8202" t="s">
        <v>168</v>
      </c>
      <c r="M706" s="7996" t="s">
        <v>168</v>
      </c>
      <c r="N706" s="9265" t="s">
        <v>168</v>
      </c>
      <c r="O706" s="9044"/>
      <c r="P706" s="7932"/>
      <c r="Q706" s="7955"/>
      <c r="R706" s="8194"/>
    </row>
    <row r="707" spans="1:50" s="7887" customFormat="1" ht="20.45" hidden="1" customHeight="1" thickBot="1">
      <c r="B707" s="8658"/>
      <c r="C707" s="8207"/>
      <c r="D707" s="8659" t="s">
        <v>149</v>
      </c>
      <c r="E707" s="8208"/>
      <c r="F707" s="8209" t="s">
        <v>732</v>
      </c>
      <c r="G707" s="8660"/>
      <c r="H707" s="8661"/>
      <c r="I707" s="8567" t="s">
        <v>150</v>
      </c>
      <c r="J707" s="8568"/>
      <c r="K707" s="7945" t="s">
        <v>734</v>
      </c>
      <c r="L707" s="8210" t="s">
        <v>168</v>
      </c>
      <c r="M707" s="7985" t="s">
        <v>168</v>
      </c>
      <c r="N707" s="9311" t="s">
        <v>168</v>
      </c>
      <c r="O707" s="9046"/>
      <c r="P707" s="8991"/>
      <c r="Q707" s="8211"/>
      <c r="R707" s="8212"/>
    </row>
    <row r="708" spans="1:50" s="7887" customFormat="1" ht="21.75" thickBot="1">
      <c r="A708" s="7872"/>
      <c r="B708" s="8073" t="s">
        <v>1396</v>
      </c>
      <c r="C708" s="8074"/>
      <c r="D708" s="8074"/>
      <c r="E708" s="8074"/>
      <c r="F708" s="8074"/>
      <c r="G708" s="8495" t="s">
        <v>1397</v>
      </c>
      <c r="H708" s="8074"/>
      <c r="I708" s="8074"/>
      <c r="J708" s="8074"/>
      <c r="K708" s="8075"/>
      <c r="L708" s="8213"/>
      <c r="M708" s="8214"/>
      <c r="N708" s="9312"/>
      <c r="O708" s="9220"/>
      <c r="P708" s="8080"/>
      <c r="Q708" s="8080"/>
      <c r="R708" s="8215"/>
      <c r="AX708" s="7872"/>
    </row>
    <row r="709" spans="1:50" s="7887" customFormat="1" ht="20.100000000000001" customHeight="1">
      <c r="A709" s="7872"/>
      <c r="B709" s="8510"/>
      <c r="C709" s="8548" t="s">
        <v>1403</v>
      </c>
      <c r="D709" s="8549"/>
      <c r="E709" s="8512"/>
      <c r="F709" s="8662" t="s">
        <v>233</v>
      </c>
      <c r="G709" s="8513"/>
      <c r="H709" s="8511" t="s">
        <v>1405</v>
      </c>
      <c r="I709" s="8549"/>
      <c r="J709" s="8512"/>
      <c r="K709" s="8093" t="s">
        <v>235</v>
      </c>
      <c r="L709" s="8042">
        <f>SUM(L710:L715)</f>
        <v>1.59</v>
      </c>
      <c r="M709" s="8036">
        <f>SUM(M710:M715)</f>
        <v>2.86</v>
      </c>
      <c r="N709" s="9282">
        <f>SUM(N710:N715)</f>
        <v>5.07</v>
      </c>
      <c r="O709" s="9036"/>
      <c r="P709" s="7932" t="s">
        <v>1409</v>
      </c>
      <c r="Q709" s="7955"/>
      <c r="R709" s="8194"/>
      <c r="AX709" s="7872"/>
    </row>
    <row r="710" spans="1:50" s="7887" customFormat="1" ht="20.100000000000001" customHeight="1">
      <c r="A710" s="7872"/>
      <c r="B710" s="8510"/>
      <c r="C710" s="8502" t="s">
        <v>134</v>
      </c>
      <c r="D710" s="8503"/>
      <c r="E710" s="8504"/>
      <c r="F710" s="8663" t="s">
        <v>233</v>
      </c>
      <c r="G710" s="8514"/>
      <c r="H710" s="8506" t="s">
        <v>135</v>
      </c>
      <c r="I710" s="8507"/>
      <c r="J710" s="8508"/>
      <c r="K710" s="8136" t="s">
        <v>235</v>
      </c>
      <c r="L710" s="7942">
        <v>1.59</v>
      </c>
      <c r="M710" s="8018">
        <v>2.86</v>
      </c>
      <c r="N710" s="9244">
        <v>5.07</v>
      </c>
      <c r="O710" s="9006"/>
      <c r="P710" s="7932"/>
      <c r="Q710" s="7932"/>
      <c r="R710" s="8509"/>
      <c r="AX710" s="7872"/>
    </row>
    <row r="711" spans="1:50" s="7887" customFormat="1" ht="20.100000000000001" customHeight="1">
      <c r="A711" s="7872"/>
      <c r="B711" s="8510"/>
      <c r="C711" s="8502" t="s">
        <v>137</v>
      </c>
      <c r="D711" s="8503"/>
      <c r="E711" s="8504"/>
      <c r="F711" s="8663" t="s">
        <v>233</v>
      </c>
      <c r="G711" s="8514"/>
      <c r="H711" s="8506" t="s">
        <v>138</v>
      </c>
      <c r="I711" s="8507"/>
      <c r="J711" s="8508"/>
      <c r="K711" s="8136" t="s">
        <v>235</v>
      </c>
      <c r="L711" s="7942">
        <v>0</v>
      </c>
      <c r="M711" s="8018">
        <v>0</v>
      </c>
      <c r="N711" s="9313">
        <v>0</v>
      </c>
      <c r="O711" s="9006"/>
      <c r="P711" s="7932"/>
      <c r="Q711" s="7932"/>
      <c r="R711" s="8509"/>
      <c r="AX711" s="7872"/>
    </row>
    <row r="712" spans="1:50" s="7887" customFormat="1" ht="20.100000000000001" customHeight="1">
      <c r="A712" s="7872"/>
      <c r="B712" s="8510"/>
      <c r="C712" s="8502" t="s">
        <v>140</v>
      </c>
      <c r="D712" s="8503"/>
      <c r="E712" s="8504"/>
      <c r="F712" s="8663" t="s">
        <v>233</v>
      </c>
      <c r="G712" s="8514"/>
      <c r="H712" s="8506" t="s">
        <v>141</v>
      </c>
      <c r="I712" s="8507"/>
      <c r="J712" s="8508"/>
      <c r="K712" s="8136" t="s">
        <v>235</v>
      </c>
      <c r="L712" s="7942">
        <v>0</v>
      </c>
      <c r="M712" s="8018">
        <v>0</v>
      </c>
      <c r="N712" s="9313">
        <v>0</v>
      </c>
      <c r="O712" s="9006"/>
      <c r="P712" s="7932"/>
      <c r="Q712" s="7932"/>
      <c r="R712" s="8509"/>
      <c r="AX712" s="7872"/>
    </row>
    <row r="713" spans="1:50" s="7887" customFormat="1" ht="20.100000000000001" customHeight="1">
      <c r="A713" s="7872"/>
      <c r="B713" s="8510"/>
      <c r="C713" s="8502" t="s">
        <v>143</v>
      </c>
      <c r="D713" s="8503"/>
      <c r="E713" s="8504"/>
      <c r="F713" s="8663" t="s">
        <v>233</v>
      </c>
      <c r="G713" s="8514"/>
      <c r="H713" s="8506" t="s">
        <v>144</v>
      </c>
      <c r="I713" s="8507"/>
      <c r="J713" s="8508"/>
      <c r="K713" s="8136" t="s">
        <v>235</v>
      </c>
      <c r="L713" s="7942">
        <v>0</v>
      </c>
      <c r="M713" s="8217">
        <v>0</v>
      </c>
      <c r="N713" s="9313">
        <v>0</v>
      </c>
      <c r="O713" s="9006"/>
      <c r="P713" s="7932"/>
      <c r="Q713" s="7932"/>
      <c r="R713" s="8509"/>
      <c r="AX713" s="7872"/>
    </row>
    <row r="714" spans="1:50" s="7887" customFormat="1" ht="20.100000000000001" customHeight="1">
      <c r="A714" s="7872"/>
      <c r="B714" s="8510"/>
      <c r="C714" s="8502" t="s">
        <v>146</v>
      </c>
      <c r="D714" s="8503"/>
      <c r="E714" s="8504"/>
      <c r="F714" s="8663" t="s">
        <v>233</v>
      </c>
      <c r="G714" s="8514"/>
      <c r="H714" s="8506" t="s">
        <v>147</v>
      </c>
      <c r="I714" s="8507"/>
      <c r="J714" s="8508"/>
      <c r="K714" s="8136" t="s">
        <v>235</v>
      </c>
      <c r="L714" s="7942">
        <v>0</v>
      </c>
      <c r="M714" s="8217">
        <v>0</v>
      </c>
      <c r="N714" s="9313">
        <v>0</v>
      </c>
      <c r="O714" s="9006"/>
      <c r="P714" s="7932"/>
      <c r="Q714" s="7932"/>
      <c r="R714" s="8509"/>
      <c r="AX714" s="7872"/>
    </row>
    <row r="715" spans="1:50" s="7887" customFormat="1" ht="20.100000000000001" customHeight="1">
      <c r="A715" s="7872"/>
      <c r="B715" s="8510"/>
      <c r="C715" s="8502" t="s">
        <v>149</v>
      </c>
      <c r="D715" s="8503"/>
      <c r="E715" s="8504"/>
      <c r="F715" s="8663" t="s">
        <v>233</v>
      </c>
      <c r="G715" s="8514"/>
      <c r="H715" s="8506" t="s">
        <v>150</v>
      </c>
      <c r="I715" s="8507"/>
      <c r="J715" s="8508"/>
      <c r="K715" s="8136" t="s">
        <v>235</v>
      </c>
      <c r="L715" s="7942">
        <v>0</v>
      </c>
      <c r="M715" s="8217">
        <v>0</v>
      </c>
      <c r="N715" s="9313">
        <v>0</v>
      </c>
      <c r="O715" s="9006"/>
      <c r="P715" s="7932"/>
      <c r="Q715" s="7932"/>
      <c r="R715" s="8509"/>
      <c r="AX715" s="7872"/>
    </row>
    <row r="716" spans="1:50" s="7887" customFormat="1" ht="20.100000000000001" customHeight="1">
      <c r="A716" s="7872"/>
      <c r="B716" s="8510"/>
      <c r="C716" s="8548" t="s">
        <v>1413</v>
      </c>
      <c r="D716" s="8549"/>
      <c r="E716" s="8512"/>
      <c r="F716" s="7957" t="s">
        <v>628</v>
      </c>
      <c r="G716" s="8513"/>
      <c r="H716" s="8511" t="s">
        <v>1414</v>
      </c>
      <c r="I716" s="8549"/>
      <c r="J716" s="8512"/>
      <c r="K716" s="9326" t="s">
        <v>128</v>
      </c>
      <c r="L716" s="8042">
        <f>SUM(L717:L722)</f>
        <v>500000</v>
      </c>
      <c r="M716" s="8036">
        <f>SUM(M717:M722)</f>
        <v>0</v>
      </c>
      <c r="N716" s="9277">
        <f>SUM(N717:N722)</f>
        <v>0</v>
      </c>
      <c r="O716" s="9002"/>
      <c r="P716" s="7932"/>
      <c r="Q716" s="7932" t="s">
        <v>1416</v>
      </c>
      <c r="R716" s="8194"/>
      <c r="AX716" s="7872"/>
    </row>
    <row r="717" spans="1:50" s="7887" customFormat="1" ht="20.100000000000001" customHeight="1">
      <c r="A717" s="7872"/>
      <c r="B717" s="8510"/>
      <c r="C717" s="8502" t="s">
        <v>134</v>
      </c>
      <c r="D717" s="8503"/>
      <c r="E717" s="8504"/>
      <c r="F717" s="7953" t="s">
        <v>33</v>
      </c>
      <c r="G717" s="8514"/>
      <c r="H717" s="8506" t="s">
        <v>135</v>
      </c>
      <c r="I717" s="8507"/>
      <c r="J717" s="8508"/>
      <c r="K717" s="8151" t="s">
        <v>35</v>
      </c>
      <c r="L717" s="7942">
        <f>CGV국내!R372</f>
        <v>0</v>
      </c>
      <c r="M717" s="8018">
        <f>CGV국내!T372</f>
        <v>0</v>
      </c>
      <c r="N717" s="9245">
        <f>CGV국내!V372</f>
        <v>0</v>
      </c>
      <c r="O717" s="9006"/>
      <c r="P717" s="7932"/>
      <c r="Q717" s="7932"/>
      <c r="R717" s="8509"/>
      <c r="AX717" s="7872"/>
    </row>
    <row r="718" spans="1:50" s="7887" customFormat="1" ht="20.100000000000001" customHeight="1">
      <c r="A718" s="7872"/>
      <c r="B718" s="8510"/>
      <c r="C718" s="8502" t="s">
        <v>137</v>
      </c>
      <c r="D718" s="8503"/>
      <c r="E718" s="8504"/>
      <c r="F718" s="7953" t="s">
        <v>33</v>
      </c>
      <c r="G718" s="8514"/>
      <c r="H718" s="8506" t="s">
        <v>138</v>
      </c>
      <c r="I718" s="8507"/>
      <c r="J718" s="8508"/>
      <c r="K718" s="8151" t="s">
        <v>35</v>
      </c>
      <c r="L718" s="8112" t="s">
        <v>168</v>
      </c>
      <c r="M718" s="8018" t="s">
        <v>168</v>
      </c>
      <c r="N718" s="9244" t="s">
        <v>168</v>
      </c>
      <c r="O718" s="9006"/>
      <c r="P718" s="7932"/>
      <c r="Q718" s="7932"/>
      <c r="R718" s="8509"/>
      <c r="AX718" s="7872"/>
    </row>
    <row r="719" spans="1:50" s="7887" customFormat="1" ht="20.100000000000001" customHeight="1">
      <c r="A719" s="7872"/>
      <c r="B719" s="8510"/>
      <c r="C719" s="8502" t="s">
        <v>140</v>
      </c>
      <c r="D719" s="8503"/>
      <c r="E719" s="8504"/>
      <c r="F719" s="8835" t="s">
        <v>272</v>
      </c>
      <c r="G719" s="8514"/>
      <c r="H719" s="8506" t="s">
        <v>141</v>
      </c>
      <c r="I719" s="8507"/>
      <c r="J719" s="8508"/>
      <c r="K719" s="9327" t="s">
        <v>142</v>
      </c>
      <c r="L719" s="8112" t="s">
        <v>168</v>
      </c>
      <c r="M719" s="8018" t="s">
        <v>168</v>
      </c>
      <c r="N719" s="9244" t="s">
        <v>168</v>
      </c>
      <c r="O719" s="9006"/>
      <c r="P719" s="7932"/>
      <c r="Q719" s="7932"/>
      <c r="R719" s="8509"/>
      <c r="AX719" s="7872"/>
    </row>
    <row r="720" spans="1:50" s="7887" customFormat="1" ht="20.100000000000001" customHeight="1">
      <c r="A720" s="7872"/>
      <c r="B720" s="8510"/>
      <c r="C720" s="8502" t="s">
        <v>143</v>
      </c>
      <c r="D720" s="8503"/>
      <c r="E720" s="8504"/>
      <c r="F720" s="8835" t="s">
        <v>630</v>
      </c>
      <c r="G720" s="8514"/>
      <c r="H720" s="8506" t="s">
        <v>144</v>
      </c>
      <c r="I720" s="8507"/>
      <c r="J720" s="8508"/>
      <c r="K720" s="9327" t="s">
        <v>145</v>
      </c>
      <c r="L720" s="7942">
        <v>500000</v>
      </c>
      <c r="M720" s="8018" t="s">
        <v>168</v>
      </c>
      <c r="N720" s="9244" t="s">
        <v>168</v>
      </c>
      <c r="O720" s="8994"/>
      <c r="P720" s="7932"/>
      <c r="Q720" s="7932"/>
      <c r="R720" s="8509"/>
      <c r="AX720" s="7872"/>
    </row>
    <row r="721" spans="1:50" s="7887" customFormat="1" ht="20.100000000000001" customHeight="1">
      <c r="A721" s="7872"/>
      <c r="B721" s="8510"/>
      <c r="C721" s="8502" t="s">
        <v>146</v>
      </c>
      <c r="D721" s="8503"/>
      <c r="E721" s="8504"/>
      <c r="F721" s="8835" t="s">
        <v>632</v>
      </c>
      <c r="G721" s="8514"/>
      <c r="H721" s="8506" t="s">
        <v>147</v>
      </c>
      <c r="I721" s="8507"/>
      <c r="J721" s="8508"/>
      <c r="K721" s="9327" t="s">
        <v>148</v>
      </c>
      <c r="L721" s="8112" t="s">
        <v>168</v>
      </c>
      <c r="M721" s="8018" t="s">
        <v>168</v>
      </c>
      <c r="N721" s="9244" t="s">
        <v>168</v>
      </c>
      <c r="O721" s="8994" t="s">
        <v>3580</v>
      </c>
      <c r="P721" s="7932"/>
      <c r="Q721" s="7932"/>
      <c r="R721" s="8509"/>
      <c r="AX721" s="7872"/>
    </row>
    <row r="722" spans="1:50" s="7887" customFormat="1" ht="20.100000000000001" customHeight="1">
      <c r="A722" s="7872"/>
      <c r="B722" s="8510"/>
      <c r="C722" s="8502" t="s">
        <v>149</v>
      </c>
      <c r="D722" s="8503"/>
      <c r="E722" s="8504"/>
      <c r="F722" s="8835" t="s">
        <v>634</v>
      </c>
      <c r="G722" s="8514"/>
      <c r="H722" s="8506" t="s">
        <v>150</v>
      </c>
      <c r="I722" s="8507"/>
      <c r="J722" s="8508"/>
      <c r="K722" s="9327" t="s">
        <v>151</v>
      </c>
      <c r="L722" s="8112" t="s">
        <v>168</v>
      </c>
      <c r="M722" s="8018" t="s">
        <v>168</v>
      </c>
      <c r="N722" s="9244" t="s">
        <v>168</v>
      </c>
      <c r="O722" s="8994" t="s">
        <v>3580</v>
      </c>
      <c r="P722" s="7932"/>
      <c r="Q722" s="7932"/>
      <c r="R722" s="8509"/>
      <c r="AX722" s="7872"/>
    </row>
    <row r="723" spans="1:50" s="7887" customFormat="1" ht="20.100000000000001" customHeight="1">
      <c r="A723" s="7872"/>
      <c r="B723" s="8510"/>
      <c r="C723" s="8548" t="s">
        <v>2002</v>
      </c>
      <c r="D723" s="8549"/>
      <c r="E723" s="8512"/>
      <c r="F723" s="8662" t="s">
        <v>1018</v>
      </c>
      <c r="G723" s="8513"/>
      <c r="H723" s="8664"/>
      <c r="I723" s="8524" t="s">
        <v>1421</v>
      </c>
      <c r="J723" s="8525"/>
      <c r="K723" s="7957" t="s">
        <v>1020</v>
      </c>
      <c r="L723" s="8042">
        <f>SUM(L724:L729)</f>
        <v>890</v>
      </c>
      <c r="M723" s="8036">
        <f>SUM(M724:M729)</f>
        <v>598</v>
      </c>
      <c r="N723" s="9277">
        <f>SUM(N724:N729)</f>
        <v>917</v>
      </c>
      <c r="O723" s="8995"/>
      <c r="P723" s="7932" t="s">
        <v>1425</v>
      </c>
      <c r="Q723" s="7955"/>
      <c r="R723" s="8194"/>
      <c r="AX723" s="7872"/>
    </row>
    <row r="724" spans="1:50" s="7887" customFormat="1">
      <c r="A724" s="7872"/>
      <c r="B724" s="8510"/>
      <c r="C724" s="8502" t="s">
        <v>134</v>
      </c>
      <c r="D724" s="8503"/>
      <c r="E724" s="8504"/>
      <c r="F724" s="8663" t="s">
        <v>1018</v>
      </c>
      <c r="G724" s="8514"/>
      <c r="H724" s="8508"/>
      <c r="I724" s="8506" t="s">
        <v>135</v>
      </c>
      <c r="J724" s="8508"/>
      <c r="K724" s="7953" t="s">
        <v>1020</v>
      </c>
      <c r="L724" s="8106">
        <v>890</v>
      </c>
      <c r="M724" s="8109">
        <v>598</v>
      </c>
      <c r="N724" s="9240">
        <v>917</v>
      </c>
      <c r="O724" s="8994"/>
      <c r="P724" s="7932"/>
      <c r="Q724" s="7932"/>
      <c r="R724" s="8509"/>
      <c r="AX724" s="7872"/>
    </row>
    <row r="725" spans="1:50" s="7887" customFormat="1" ht="20.100000000000001" customHeight="1">
      <c r="A725" s="7872"/>
      <c r="B725" s="8510"/>
      <c r="C725" s="8502" t="s">
        <v>137</v>
      </c>
      <c r="D725" s="8503"/>
      <c r="E725" s="8504"/>
      <c r="F725" s="8663" t="s">
        <v>1018</v>
      </c>
      <c r="G725" s="8514"/>
      <c r="H725" s="7940"/>
      <c r="I725" s="8506" t="s">
        <v>138</v>
      </c>
      <c r="J725" s="8508"/>
      <c r="K725" s="7953" t="s">
        <v>1020</v>
      </c>
      <c r="L725" s="7942">
        <v>0</v>
      </c>
      <c r="M725" s="8018">
        <v>0</v>
      </c>
      <c r="N725" s="9314">
        <v>0</v>
      </c>
      <c r="O725" s="8994"/>
      <c r="P725" s="7932"/>
      <c r="Q725" s="7932"/>
      <c r="R725" s="8509"/>
      <c r="AX725" s="7872"/>
    </row>
    <row r="726" spans="1:50" s="7887" customFormat="1" ht="20.100000000000001" customHeight="1">
      <c r="A726" s="7872"/>
      <c r="B726" s="8510"/>
      <c r="C726" s="8502" t="s">
        <v>140</v>
      </c>
      <c r="D726" s="8503"/>
      <c r="E726" s="8504"/>
      <c r="F726" s="8663" t="s">
        <v>1018</v>
      </c>
      <c r="G726" s="8514"/>
      <c r="H726" s="7940"/>
      <c r="I726" s="8515" t="s">
        <v>141</v>
      </c>
      <c r="J726" s="8516"/>
      <c r="K726" s="7953" t="s">
        <v>1020</v>
      </c>
      <c r="L726" s="8106">
        <v>0</v>
      </c>
      <c r="M726" s="8109">
        <v>0</v>
      </c>
      <c r="N726" s="9240">
        <v>0</v>
      </c>
      <c r="O726" s="8994"/>
      <c r="P726" s="7932"/>
      <c r="Q726" s="7932"/>
      <c r="R726" s="8509"/>
      <c r="AX726" s="7872"/>
    </row>
    <row r="727" spans="1:50" s="7887" customFormat="1" ht="20.100000000000001" customHeight="1">
      <c r="A727" s="7872"/>
      <c r="B727" s="8510"/>
      <c r="C727" s="8502" t="s">
        <v>143</v>
      </c>
      <c r="D727" s="8503"/>
      <c r="E727" s="8504"/>
      <c r="F727" s="8663" t="s">
        <v>1018</v>
      </c>
      <c r="G727" s="8514"/>
      <c r="H727" s="8508"/>
      <c r="I727" s="8515" t="s">
        <v>144</v>
      </c>
      <c r="J727" s="8516"/>
      <c r="K727" s="7953" t="s">
        <v>1020</v>
      </c>
      <c r="L727" s="8106">
        <v>0</v>
      </c>
      <c r="M727" s="8109">
        <v>0</v>
      </c>
      <c r="N727" s="9240">
        <v>0</v>
      </c>
      <c r="O727" s="8994"/>
      <c r="P727" s="7932"/>
      <c r="Q727" s="7932"/>
      <c r="R727" s="8509"/>
      <c r="AX727" s="7872"/>
    </row>
    <row r="728" spans="1:50" s="7887" customFormat="1" ht="20.100000000000001" customHeight="1">
      <c r="A728" s="7872"/>
      <c r="B728" s="8510"/>
      <c r="C728" s="8502" t="s">
        <v>146</v>
      </c>
      <c r="D728" s="8503"/>
      <c r="E728" s="8504"/>
      <c r="F728" s="8663" t="s">
        <v>1018</v>
      </c>
      <c r="G728" s="8514"/>
      <c r="H728" s="7940"/>
      <c r="I728" s="8515" t="s">
        <v>147</v>
      </c>
      <c r="J728" s="8516"/>
      <c r="K728" s="7953" t="s">
        <v>1020</v>
      </c>
      <c r="L728" s="8106">
        <v>0</v>
      </c>
      <c r="M728" s="8109">
        <v>0</v>
      </c>
      <c r="N728" s="9241">
        <v>0</v>
      </c>
      <c r="O728" s="8994"/>
      <c r="P728" s="7932"/>
      <c r="Q728" s="7932"/>
      <c r="R728" s="8509"/>
      <c r="AX728" s="7872"/>
    </row>
    <row r="729" spans="1:50" s="7887" customFormat="1" ht="20.100000000000001" customHeight="1">
      <c r="A729" s="7872"/>
      <c r="B729" s="8510"/>
      <c r="C729" s="8502" t="s">
        <v>149</v>
      </c>
      <c r="D729" s="8503"/>
      <c r="E729" s="8504"/>
      <c r="F729" s="8663" t="s">
        <v>1018</v>
      </c>
      <c r="G729" s="8514"/>
      <c r="H729" s="7940"/>
      <c r="I729" s="8515" t="s">
        <v>150</v>
      </c>
      <c r="J729" s="8516"/>
      <c r="K729" s="7953" t="s">
        <v>1020</v>
      </c>
      <c r="L729" s="8112" t="s">
        <v>168</v>
      </c>
      <c r="M729" s="8018" t="s">
        <v>168</v>
      </c>
      <c r="N729" s="9244" t="s">
        <v>168</v>
      </c>
      <c r="O729" s="8994" t="s">
        <v>3580</v>
      </c>
      <c r="P729" s="7932"/>
      <c r="Q729" s="7932"/>
      <c r="R729" s="8509"/>
      <c r="AX729" s="7872"/>
    </row>
    <row r="730" spans="1:50" s="7887" customFormat="1" ht="20.100000000000001" customHeight="1">
      <c r="A730" s="7872"/>
      <c r="B730" s="8510"/>
      <c r="C730" s="8548" t="s">
        <v>2004</v>
      </c>
      <c r="D730" s="8549"/>
      <c r="E730" s="8512"/>
      <c r="F730" s="8662" t="s">
        <v>742</v>
      </c>
      <c r="G730" s="8513"/>
      <c r="H730" s="8665"/>
      <c r="I730" s="8524" t="s">
        <v>1429</v>
      </c>
      <c r="J730" s="8525"/>
      <c r="K730" s="7957" t="s">
        <v>734</v>
      </c>
      <c r="L730" s="8042">
        <f>SUM(L731:L736)</f>
        <v>196</v>
      </c>
      <c r="M730" s="8036">
        <f>SUM(M731:M736)</f>
        <v>154</v>
      </c>
      <c r="N730" s="9277">
        <f>SUM(N731:N736)</f>
        <v>175</v>
      </c>
      <c r="O730" s="8995"/>
      <c r="P730" s="8944" t="s">
        <v>1431</v>
      </c>
      <c r="Q730" s="7962"/>
      <c r="R730" s="8193"/>
      <c r="AX730" s="7872"/>
    </row>
    <row r="731" spans="1:50" s="7887" customFormat="1">
      <c r="A731" s="7872"/>
      <c r="B731" s="8510"/>
      <c r="C731" s="8502" t="s">
        <v>134</v>
      </c>
      <c r="D731" s="8503"/>
      <c r="E731" s="8504"/>
      <c r="F731" s="8663" t="s">
        <v>742</v>
      </c>
      <c r="G731" s="8514"/>
      <c r="H731" s="8508"/>
      <c r="I731" s="8506" t="s">
        <v>135</v>
      </c>
      <c r="J731" s="8508"/>
      <c r="K731" s="7953" t="s">
        <v>734</v>
      </c>
      <c r="L731" s="8140">
        <v>196</v>
      </c>
      <c r="M731" s="8219">
        <v>154</v>
      </c>
      <c r="N731" s="9315">
        <v>175</v>
      </c>
      <c r="O731" s="8994"/>
      <c r="P731" s="7932"/>
      <c r="Q731" s="7932"/>
      <c r="R731" s="8509"/>
      <c r="AX731" s="7872"/>
    </row>
    <row r="732" spans="1:50" s="7887" customFormat="1" ht="20.100000000000001" customHeight="1">
      <c r="A732" s="7872"/>
      <c r="B732" s="8510"/>
      <c r="C732" s="8502" t="s">
        <v>137</v>
      </c>
      <c r="D732" s="8503"/>
      <c r="E732" s="8504"/>
      <c r="F732" s="8663" t="s">
        <v>742</v>
      </c>
      <c r="G732" s="8514"/>
      <c r="H732" s="7940"/>
      <c r="I732" s="8506" t="s">
        <v>138</v>
      </c>
      <c r="J732" s="8508"/>
      <c r="K732" s="7953" t="s">
        <v>734</v>
      </c>
      <c r="L732" s="7935">
        <v>0</v>
      </c>
      <c r="M732" s="7936">
        <v>0</v>
      </c>
      <c r="N732" s="9234">
        <v>0</v>
      </c>
      <c r="O732" s="8994"/>
      <c r="P732" s="7932"/>
      <c r="Q732" s="7932"/>
      <c r="R732" s="8509"/>
      <c r="AX732" s="7872"/>
    </row>
    <row r="733" spans="1:50" s="7887" customFormat="1" ht="20.100000000000001" customHeight="1">
      <c r="A733" s="7872"/>
      <c r="B733" s="8510"/>
      <c r="C733" s="8502" t="s">
        <v>140</v>
      </c>
      <c r="D733" s="8503"/>
      <c r="E733" s="8504"/>
      <c r="F733" s="8663" t="s">
        <v>742</v>
      </c>
      <c r="G733" s="8514"/>
      <c r="H733" s="7940"/>
      <c r="I733" s="8515" t="s">
        <v>141</v>
      </c>
      <c r="J733" s="8516"/>
      <c r="K733" s="7953" t="s">
        <v>734</v>
      </c>
      <c r="L733" s="8140">
        <v>0</v>
      </c>
      <c r="M733" s="8219">
        <v>0</v>
      </c>
      <c r="N733" s="9316">
        <v>0</v>
      </c>
      <c r="O733" s="8994"/>
      <c r="P733" s="7932"/>
      <c r="Q733" s="7932"/>
      <c r="R733" s="8509"/>
      <c r="AX733" s="7872"/>
    </row>
    <row r="734" spans="1:50" s="7887" customFormat="1" ht="20.100000000000001" customHeight="1">
      <c r="A734" s="7872"/>
      <c r="B734" s="8510"/>
      <c r="C734" s="8502" t="s">
        <v>143</v>
      </c>
      <c r="D734" s="8503"/>
      <c r="E734" s="8504"/>
      <c r="F734" s="8663" t="s">
        <v>742</v>
      </c>
      <c r="G734" s="8514"/>
      <c r="H734" s="8508"/>
      <c r="I734" s="8515" t="s">
        <v>144</v>
      </c>
      <c r="J734" s="8516"/>
      <c r="K734" s="7953" t="s">
        <v>734</v>
      </c>
      <c r="L734" s="8140">
        <v>0</v>
      </c>
      <c r="M734" s="8219">
        <v>0</v>
      </c>
      <c r="N734" s="9316">
        <v>0</v>
      </c>
      <c r="O734" s="8994"/>
      <c r="P734" s="7932"/>
      <c r="Q734" s="7932"/>
      <c r="R734" s="8509"/>
      <c r="AX734" s="7872"/>
    </row>
    <row r="735" spans="1:50" s="7887" customFormat="1" ht="20.100000000000001" customHeight="1">
      <c r="A735" s="7872"/>
      <c r="B735" s="8510"/>
      <c r="C735" s="8502" t="s">
        <v>146</v>
      </c>
      <c r="D735" s="8503"/>
      <c r="E735" s="8504"/>
      <c r="F735" s="8663" t="s">
        <v>742</v>
      </c>
      <c r="G735" s="8514"/>
      <c r="H735" s="7940"/>
      <c r="I735" s="8515" t="s">
        <v>147</v>
      </c>
      <c r="J735" s="8516"/>
      <c r="K735" s="7953" t="s">
        <v>734</v>
      </c>
      <c r="L735" s="8140">
        <v>0</v>
      </c>
      <c r="M735" s="8219">
        <v>0</v>
      </c>
      <c r="N735" s="9316">
        <v>0</v>
      </c>
      <c r="O735" s="8994"/>
      <c r="P735" s="7932"/>
      <c r="Q735" s="7932"/>
      <c r="R735" s="8509"/>
      <c r="AX735" s="7872"/>
    </row>
    <row r="736" spans="1:50" s="7887" customFormat="1" ht="20.100000000000001" customHeight="1" thickBot="1">
      <c r="A736" s="7872"/>
      <c r="B736" s="8666"/>
      <c r="C736" s="8667" t="s">
        <v>149</v>
      </c>
      <c r="D736" s="8668"/>
      <c r="E736" s="8669"/>
      <c r="F736" s="8670" t="s">
        <v>742</v>
      </c>
      <c r="G736" s="8671"/>
      <c r="H736" s="8220"/>
      <c r="I736" s="8672" t="s">
        <v>150</v>
      </c>
      <c r="J736" s="8673"/>
      <c r="K736" s="8045" t="s">
        <v>734</v>
      </c>
      <c r="L736" s="8046" t="s">
        <v>168</v>
      </c>
      <c r="M736" s="8047" t="s">
        <v>168</v>
      </c>
      <c r="N736" s="9317" t="s">
        <v>168</v>
      </c>
      <c r="O736" s="9144" t="s">
        <v>3580</v>
      </c>
      <c r="P736" s="8221"/>
      <c r="Q736" s="8221"/>
      <c r="R736" s="8674"/>
      <c r="AX736" s="7872"/>
    </row>
    <row r="737" spans="1:50" ht="15.75" thickTop="1">
      <c r="C737" s="8051"/>
      <c r="D737" s="8051"/>
      <c r="E737" s="8051"/>
      <c r="G737" s="8051"/>
      <c r="H737" s="8051"/>
      <c r="I737" s="8051"/>
      <c r="J737" s="8051"/>
      <c r="L737" s="8053"/>
      <c r="M737" s="8053"/>
      <c r="N737" s="8053"/>
    </row>
    <row r="738" spans="1:50">
      <c r="L738" s="8053"/>
      <c r="M738" s="8053"/>
      <c r="N738" s="8053"/>
    </row>
    <row r="739" spans="1:50" s="7906" customFormat="1">
      <c r="A739" s="7887"/>
      <c r="B739" s="7887"/>
      <c r="C739" s="7887"/>
      <c r="D739" s="7887"/>
      <c r="E739" s="7887"/>
      <c r="F739" s="7887"/>
      <c r="G739" s="7887"/>
      <c r="H739" s="7887"/>
      <c r="I739" s="7887"/>
      <c r="J739" s="7887"/>
      <c r="K739" s="7887"/>
      <c r="L739" s="8053"/>
      <c r="M739" s="8053"/>
      <c r="N739" s="8053"/>
      <c r="O739" s="8465"/>
      <c r="P739" s="8055"/>
      <c r="Q739" s="8055"/>
      <c r="R739" s="8055"/>
      <c r="S739" s="8057"/>
      <c r="T739" s="8057"/>
      <c r="U739" s="8057"/>
      <c r="V739" s="8057"/>
      <c r="W739" s="8057"/>
      <c r="X739" s="8057"/>
      <c r="Y739" s="8057"/>
      <c r="Z739" s="8057"/>
      <c r="AA739" s="8057"/>
      <c r="AB739" s="8057"/>
      <c r="AC739" s="8057"/>
      <c r="AD739" s="8057"/>
      <c r="AE739" s="8057"/>
      <c r="AF739" s="8057"/>
      <c r="AG739" s="8057"/>
      <c r="AH739" s="8057"/>
      <c r="AI739" s="8057"/>
      <c r="AJ739" s="8057"/>
      <c r="AK739" s="8057"/>
      <c r="AL739" s="8057"/>
      <c r="AM739" s="8057"/>
      <c r="AN739" s="8057"/>
      <c r="AO739" s="8057"/>
      <c r="AP739" s="8057"/>
      <c r="AQ739" s="8057"/>
      <c r="AR739" s="8057"/>
      <c r="AS739" s="8057"/>
      <c r="AT739" s="8057"/>
      <c r="AU739" s="8057"/>
      <c r="AV739" s="8057"/>
      <c r="AW739" s="8057"/>
    </row>
    <row r="740" spans="1:50" s="7906" customFormat="1">
      <c r="A740" s="7887"/>
      <c r="B740" s="7887"/>
      <c r="C740" s="7887"/>
      <c r="D740" s="7887"/>
      <c r="E740" s="7887"/>
      <c r="F740" s="7887"/>
      <c r="G740" s="7887"/>
      <c r="H740" s="7887"/>
      <c r="I740" s="7887"/>
      <c r="J740" s="7887"/>
      <c r="K740" s="7887"/>
      <c r="L740" s="8053"/>
      <c r="M740" s="8053"/>
      <c r="N740" s="8053"/>
      <c r="O740" s="8465"/>
      <c r="P740" s="8055"/>
      <c r="Q740" s="8055"/>
      <c r="R740" s="8055"/>
      <c r="S740" s="8057"/>
      <c r="T740" s="8057"/>
      <c r="U740" s="8057"/>
      <c r="V740" s="8057"/>
      <c r="W740" s="8057"/>
      <c r="X740" s="8057"/>
      <c r="Y740" s="8057"/>
      <c r="Z740" s="8057"/>
      <c r="AA740" s="8057"/>
      <c r="AB740" s="8057"/>
      <c r="AC740" s="8057"/>
      <c r="AD740" s="8057"/>
      <c r="AE740" s="8057"/>
      <c r="AF740" s="8057"/>
      <c r="AG740" s="8057"/>
      <c r="AH740" s="8057"/>
      <c r="AI740" s="8057"/>
      <c r="AJ740" s="8057"/>
      <c r="AK740" s="8057"/>
      <c r="AL740" s="8057"/>
      <c r="AM740" s="8057"/>
      <c r="AN740" s="8057"/>
      <c r="AO740" s="8057"/>
      <c r="AP740" s="8057"/>
      <c r="AQ740" s="8057"/>
      <c r="AR740" s="8057"/>
      <c r="AS740" s="8057"/>
      <c r="AT740" s="8057"/>
      <c r="AU740" s="8057"/>
      <c r="AV740" s="8057"/>
      <c r="AW740" s="8057"/>
    </row>
    <row r="741" spans="1:50" s="7906" customFormat="1">
      <c r="A741" s="7887"/>
      <c r="B741" s="7887"/>
      <c r="C741" s="7887"/>
      <c r="D741" s="7887"/>
      <c r="E741" s="7887"/>
      <c r="F741" s="7887"/>
      <c r="G741" s="7887"/>
      <c r="H741" s="7887"/>
      <c r="I741" s="7887"/>
      <c r="J741" s="7887"/>
      <c r="K741" s="7887"/>
      <c r="L741" s="8053"/>
      <c r="M741" s="8053"/>
      <c r="N741" s="8053"/>
      <c r="O741" s="8465"/>
      <c r="P741" s="8055"/>
      <c r="Q741" s="8055"/>
      <c r="R741" s="8055"/>
      <c r="S741" s="8057"/>
      <c r="T741" s="8057"/>
      <c r="U741" s="8057"/>
      <c r="V741" s="8057"/>
      <c r="W741" s="8057"/>
      <c r="X741" s="8057"/>
      <c r="Y741" s="8057"/>
      <c r="Z741" s="8057"/>
      <c r="AA741" s="8057"/>
      <c r="AB741" s="8057"/>
      <c r="AC741" s="8057"/>
      <c r="AD741" s="8057"/>
      <c r="AE741" s="8057"/>
      <c r="AF741" s="8057"/>
      <c r="AG741" s="8057"/>
      <c r="AH741" s="8057"/>
      <c r="AI741" s="8057"/>
      <c r="AJ741" s="8057"/>
      <c r="AK741" s="8057"/>
      <c r="AL741" s="8057"/>
      <c r="AM741" s="8057"/>
      <c r="AN741" s="8057"/>
      <c r="AO741" s="8057"/>
      <c r="AP741" s="8057"/>
      <c r="AQ741" s="8057"/>
      <c r="AR741" s="8057"/>
      <c r="AS741" s="8057"/>
      <c r="AT741" s="8057"/>
      <c r="AU741" s="8057"/>
      <c r="AV741" s="8057"/>
      <c r="AW741" s="8057"/>
    </row>
    <row r="748" spans="1:50" s="8055" customFormat="1">
      <c r="A748" s="7887"/>
      <c r="B748" s="7887"/>
      <c r="C748" s="7887"/>
      <c r="D748" s="7887"/>
      <c r="E748" s="7887"/>
      <c r="F748" s="7887"/>
      <c r="G748" s="7887"/>
      <c r="H748" s="7887"/>
      <c r="I748" s="7887"/>
      <c r="J748" s="7887"/>
      <c r="K748" s="7887"/>
      <c r="L748" s="8058"/>
      <c r="M748" s="8058"/>
      <c r="N748" s="8058"/>
      <c r="O748" s="8465"/>
      <c r="S748" s="7887"/>
      <c r="T748" s="7887"/>
      <c r="U748" s="7887"/>
      <c r="V748" s="7887"/>
      <c r="W748" s="7887"/>
      <c r="X748" s="7887"/>
      <c r="Y748" s="7887"/>
      <c r="Z748" s="7887"/>
      <c r="AA748" s="7887"/>
      <c r="AB748" s="7887"/>
      <c r="AC748" s="7887"/>
      <c r="AD748" s="7887"/>
      <c r="AE748" s="7887"/>
      <c r="AF748" s="7887"/>
      <c r="AG748" s="7887"/>
      <c r="AH748" s="7887"/>
      <c r="AI748" s="7887"/>
      <c r="AJ748" s="7887"/>
      <c r="AK748" s="7887"/>
      <c r="AL748" s="7887"/>
      <c r="AM748" s="7887"/>
      <c r="AN748" s="7887"/>
      <c r="AO748" s="7887"/>
      <c r="AP748" s="7887"/>
      <c r="AQ748" s="7887"/>
      <c r="AR748" s="7887"/>
      <c r="AS748" s="7887"/>
      <c r="AT748" s="7887"/>
      <c r="AU748" s="7887"/>
      <c r="AV748" s="7887"/>
      <c r="AW748" s="7887"/>
      <c r="AX748" s="7872"/>
    </row>
  </sheetData>
  <sheetProtection algorithmName="SHA-512" hashValue="eM1A9tvwzy55jAsWlfYpDfI8LqZ5ZVsyoE9yQLOBuy7ghSt7EZcxq//0NB28ohnYfRj/U50Mpzzaavjylk1gLg==" saltValue="ojg9L86X0eqTgMTlR8pc2Q==" spinCount="100000" sheet="1" objects="1" scenarios="1"/>
  <autoFilter ref="B13:R736" xr:uid="{84B1DD60-0C92-4670-BF3F-2EF620B35AC7}"/>
  <mergeCells count="6">
    <mergeCell ref="O479:O484"/>
    <mergeCell ref="P12:R12"/>
    <mergeCell ref="B12:F12"/>
    <mergeCell ref="G12:J12"/>
    <mergeCell ref="L12:N12"/>
    <mergeCell ref="O12:O13"/>
  </mergeCells>
  <phoneticPr fontId="3" type="noConversion"/>
  <conditionalFormatting sqref="L16:N16 L23:N23 L30:N30 L37:N37 L45:N45 L52:N52 L134:N134 L141:N141 L345:O345">
    <cfRule type="cellIs" dxfId="156" priority="96" operator="equal">
      <formula>"미취합법인有"</formula>
    </cfRule>
  </conditionalFormatting>
  <conditionalFormatting sqref="L60:N60">
    <cfRule type="cellIs" dxfId="155" priority="23" operator="equal">
      <formula>"미취합법인有"</formula>
    </cfRule>
  </conditionalFormatting>
  <conditionalFormatting sqref="L67:N67">
    <cfRule type="cellIs" dxfId="154" priority="24" operator="equal">
      <formula>"미취합법인有"</formula>
    </cfRule>
  </conditionalFormatting>
  <conditionalFormatting sqref="L75:N75">
    <cfRule type="cellIs" dxfId="153" priority="90" operator="equal">
      <formula>"미취합법인有"</formula>
    </cfRule>
  </conditionalFormatting>
  <conditionalFormatting sqref="L82:N82">
    <cfRule type="cellIs" dxfId="152" priority="89" operator="equal">
      <formula>"미취합법인有"</formula>
    </cfRule>
  </conditionalFormatting>
  <conditionalFormatting sqref="L90:N90 L97:N97 L104:N104 L112:N112 L119:N119 L126:N126 L149:N149 L157:N157 L164:N164 L172:N172 L179:N179 L186:N186 L194:N194 L201:N201 L209:N209 L216:N216 L223:N223 L392:N392 L507:N507 L514:N514 L528:N528 L535:N535 L549:N549 L556:N556">
    <cfRule type="cellIs" dxfId="151" priority="95" operator="equal">
      <formula>"미취합법인有"</formula>
    </cfRule>
  </conditionalFormatting>
  <conditionalFormatting sqref="L231:N231">
    <cfRule type="cellIs" dxfId="150" priority="84" operator="equal">
      <formula>"미취합법인有"</formula>
    </cfRule>
  </conditionalFormatting>
  <conditionalFormatting sqref="L238:N238">
    <cfRule type="cellIs" dxfId="149" priority="83" operator="equal">
      <formula>"미취합법인有"</formula>
    </cfRule>
  </conditionalFormatting>
  <conditionalFormatting sqref="L245:N245">
    <cfRule type="cellIs" dxfId="148" priority="82" operator="equal">
      <formula>"미취합법인有"</formula>
    </cfRule>
  </conditionalFormatting>
  <conditionalFormatting sqref="L253:N253">
    <cfRule type="cellIs" dxfId="147" priority="86" operator="equal">
      <formula>"미취합법인有"</formula>
    </cfRule>
  </conditionalFormatting>
  <conditionalFormatting sqref="L260:N260">
    <cfRule type="cellIs" dxfId="146" priority="85" operator="equal">
      <formula>"미취합법인有"</formula>
    </cfRule>
  </conditionalFormatting>
  <conditionalFormatting sqref="L268:N268">
    <cfRule type="cellIs" dxfId="145" priority="79" operator="equal">
      <formula>"미취합법인有"</formula>
    </cfRule>
  </conditionalFormatting>
  <conditionalFormatting sqref="L275:N275">
    <cfRule type="cellIs" dxfId="144" priority="78" operator="equal">
      <formula>"미취합법인有"</formula>
    </cfRule>
  </conditionalFormatting>
  <conditionalFormatting sqref="L282:N282">
    <cfRule type="cellIs" dxfId="143" priority="77" operator="equal">
      <formula>"미취합법인有"</formula>
    </cfRule>
  </conditionalFormatting>
  <conditionalFormatting sqref="L290:N290">
    <cfRule type="cellIs" dxfId="142" priority="81" operator="equal">
      <formula>"미취합법인有"</formula>
    </cfRule>
  </conditionalFormatting>
  <conditionalFormatting sqref="L297:N297">
    <cfRule type="cellIs" dxfId="141" priority="80" operator="equal">
      <formula>"미취합법인有"</formula>
    </cfRule>
  </conditionalFormatting>
  <conditionalFormatting sqref="L306:N306 L309:N309 L313:N313 L316:N316 L352:N352 L359:N359 L366:N366 L373:N373 L380:N380">
    <cfRule type="cellIs" dxfId="140" priority="94" operator="equal">
      <formula>"미취합법인有"</formula>
    </cfRule>
  </conditionalFormatting>
  <conditionalFormatting sqref="L320:N320">
    <cfRule type="cellIs" dxfId="139" priority="36" operator="equal">
      <formula>"미취합법인有"</formula>
    </cfRule>
  </conditionalFormatting>
  <conditionalFormatting sqref="L323:N323">
    <cfRule type="cellIs" dxfId="138" priority="37" operator="equal">
      <formula>"미취합법인有"</formula>
    </cfRule>
  </conditionalFormatting>
  <conditionalFormatting sqref="L326:N326">
    <cfRule type="cellIs" dxfId="137" priority="69" operator="equal">
      <formula>"미취합법인有"</formula>
    </cfRule>
  </conditionalFormatting>
  <conditionalFormatting sqref="L330:N330 L337:N337 L421:N421 L428:N428 L464 N464 L471:N471">
    <cfRule type="cellIs" dxfId="136" priority="93" operator="equal">
      <formula>"미취합법인有"</formula>
    </cfRule>
  </conditionalFormatting>
  <conditionalFormatting sqref="L385:N385">
    <cfRule type="cellIs" dxfId="135" priority="9" operator="equal">
      <formula>"미취합법인有"</formula>
    </cfRule>
  </conditionalFormatting>
  <conditionalFormatting sqref="L399:N399">
    <cfRule type="cellIs" dxfId="134" priority="73" operator="equal">
      <formula>"미취합법인有"</formula>
    </cfRule>
  </conditionalFormatting>
  <conditionalFormatting sqref="L406:N406">
    <cfRule type="cellIs" dxfId="133" priority="8" operator="equal">
      <formula>"미취합법인有"</formula>
    </cfRule>
  </conditionalFormatting>
  <conditionalFormatting sqref="L413:N413">
    <cfRule type="cellIs" dxfId="132" priority="70" operator="equal">
      <formula>"미취합법인有"</formula>
    </cfRule>
  </conditionalFormatting>
  <conditionalFormatting sqref="L436:N436">
    <cfRule type="cellIs" dxfId="131" priority="10" operator="equal">
      <formula>"미취합법인有"</formula>
    </cfRule>
  </conditionalFormatting>
  <conditionalFormatting sqref="L443:N443">
    <cfRule type="cellIs" dxfId="130" priority="11" operator="equal">
      <formula>"미취합법인有"</formula>
    </cfRule>
  </conditionalFormatting>
  <conditionalFormatting sqref="L450:N450">
    <cfRule type="cellIs" dxfId="129" priority="12" operator="equal">
      <formula>"미취합법인有"</formula>
    </cfRule>
  </conditionalFormatting>
  <conditionalFormatting sqref="L457:N457">
    <cfRule type="cellIs" dxfId="128" priority="65" operator="equal">
      <formula>"미취합법인有"</formula>
    </cfRule>
  </conditionalFormatting>
  <conditionalFormatting sqref="L478:N478">
    <cfRule type="cellIs" dxfId="127" priority="64" operator="equal">
      <formula>"미취합법인有"</formula>
    </cfRule>
  </conditionalFormatting>
  <conditionalFormatting sqref="L485:N485">
    <cfRule type="cellIs" dxfId="126" priority="88" operator="equal">
      <formula>"미취합법인有"</formula>
    </cfRule>
  </conditionalFormatting>
  <conditionalFormatting sqref="L492:N492">
    <cfRule type="cellIs" dxfId="125" priority="20" operator="equal">
      <formula>"미취합법인有"</formula>
    </cfRule>
  </conditionalFormatting>
  <conditionalFormatting sqref="L499:N499">
    <cfRule type="cellIs" dxfId="124" priority="19" operator="equal">
      <formula>"미취합법인有"</formula>
    </cfRule>
  </conditionalFormatting>
  <conditionalFormatting sqref="L521:N521">
    <cfRule type="cellIs" dxfId="123" priority="76" operator="equal">
      <formula>"미취합법인有"</formula>
    </cfRule>
  </conditionalFormatting>
  <conditionalFormatting sqref="L542:N542">
    <cfRule type="cellIs" dxfId="122" priority="32" operator="equal">
      <formula>"미취합법인有"</formula>
    </cfRule>
  </conditionalFormatting>
  <conditionalFormatting sqref="L563:N563">
    <cfRule type="cellIs" dxfId="121" priority="30" operator="equal">
      <formula>"미취합법인有"</formula>
    </cfRule>
  </conditionalFormatting>
  <conditionalFormatting sqref="L570:N570">
    <cfRule type="cellIs" dxfId="120" priority="34" operator="equal">
      <formula>"미취합법인有"</formula>
    </cfRule>
  </conditionalFormatting>
  <conditionalFormatting sqref="L577:N577">
    <cfRule type="cellIs" dxfId="119" priority="31" operator="equal">
      <formula>"미취합법인有"</formula>
    </cfRule>
  </conditionalFormatting>
  <conditionalFormatting sqref="L585:N585">
    <cfRule type="cellIs" dxfId="118" priority="44" operator="equal">
      <formula>"미취합법인有"</formula>
    </cfRule>
  </conditionalFormatting>
  <conditionalFormatting sqref="L592:N592">
    <cfRule type="cellIs" dxfId="117" priority="25" operator="equal">
      <formula>"미취합법인有"</formula>
    </cfRule>
  </conditionalFormatting>
  <conditionalFormatting sqref="L599:N599">
    <cfRule type="cellIs" dxfId="116" priority="26" operator="equal">
      <formula>"미취합법인有"</formula>
    </cfRule>
  </conditionalFormatting>
  <conditionalFormatting sqref="L606:N606">
    <cfRule type="cellIs" dxfId="115" priority="28" operator="equal">
      <formula>"미취합법인有"</formula>
    </cfRule>
  </conditionalFormatting>
  <conditionalFormatting sqref="L613:N613">
    <cfRule type="cellIs" dxfId="114" priority="16" operator="equal">
      <formula>"미취합법인有"</formula>
    </cfRule>
  </conditionalFormatting>
  <conditionalFormatting sqref="L620:N620">
    <cfRule type="cellIs" dxfId="113" priority="63" operator="equal">
      <formula>"미취합법인有"</formula>
    </cfRule>
  </conditionalFormatting>
  <conditionalFormatting sqref="L627:N627">
    <cfRule type="cellIs" dxfId="112" priority="62" operator="equal">
      <formula>"미취합법인有"</formula>
    </cfRule>
  </conditionalFormatting>
  <conditionalFormatting sqref="L634:N634 L641:N641 L648:N648 L709:N709 L716:N716 L723:N723 L730:N730">
    <cfRule type="cellIs" dxfId="111" priority="92" operator="equal">
      <formula>"미취합법인有"</formula>
    </cfRule>
  </conditionalFormatting>
  <conditionalFormatting sqref="L651:N651">
    <cfRule type="cellIs" dxfId="110" priority="61" operator="equal">
      <formula>"미취합법인有"</formula>
    </cfRule>
  </conditionalFormatting>
  <conditionalFormatting sqref="L658:N658">
    <cfRule type="cellIs" dxfId="109" priority="18" operator="equal">
      <formula>"미취합법인有"</formula>
    </cfRule>
  </conditionalFormatting>
  <conditionalFormatting sqref="L665:N665">
    <cfRule type="cellIs" dxfId="108" priority="17" operator="equal">
      <formula>"미취합법인有"</formula>
    </cfRule>
  </conditionalFormatting>
  <conditionalFormatting sqref="L673:N673">
    <cfRule type="cellIs" dxfId="107" priority="119" operator="equal">
      <formula>"미취합법인有"</formula>
    </cfRule>
  </conditionalFormatting>
  <conditionalFormatting sqref="L680:N680">
    <cfRule type="cellIs" dxfId="106" priority="112" operator="equal">
      <formula>"미취합법인有"</formula>
    </cfRule>
  </conditionalFormatting>
  <conditionalFormatting sqref="L687:N687">
    <cfRule type="cellIs" dxfId="105" priority="59" operator="equal">
      <formula>"미취합법인有"</formula>
    </cfRule>
  </conditionalFormatting>
  <conditionalFormatting sqref="L694:N694">
    <cfRule type="cellIs" dxfId="104" priority="111" operator="equal">
      <formula>"미취합법인有"</formula>
    </cfRule>
  </conditionalFormatting>
  <conditionalFormatting sqref="L701:N701">
    <cfRule type="cellIs" dxfId="103" priority="54" operator="equal">
      <formula>"미취합법인有"</formula>
    </cfRule>
  </conditionalFormatting>
  <pageMargins left="0.25" right="0.25" top="0.75" bottom="0.75" header="0" footer="0"/>
  <pageSetup paperSize="8" scale="63" fitToHeight="0"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D37F2-0D38-46AC-ADC0-E776206F0D04}">
  <sheetPr>
    <tabColor rgb="FF00B0F0"/>
    <pageSetUpPr fitToPage="1"/>
  </sheetPr>
  <dimension ref="A1:AX183"/>
  <sheetViews>
    <sheetView showGridLines="0" view="pageBreakPreview" zoomScale="85" zoomScaleNormal="80" zoomScaleSheetLayoutView="85" workbookViewId="0">
      <pane xSplit="11" ySplit="14" topLeftCell="L15" activePane="bottomRight" state="frozen"/>
      <selection pane="topRight" activeCell="L1" sqref="L1"/>
      <selection pane="bottomLeft" activeCell="A15" sqref="A15"/>
      <selection pane="bottomRight" activeCell="O156" sqref="O156"/>
    </sheetView>
  </sheetViews>
  <sheetFormatPr defaultColWidth="13" defaultRowHeight="15"/>
  <cols>
    <col min="1" max="1" width="2.625" style="7887" customWidth="1"/>
    <col min="2" max="2" width="4.5" style="8057" customWidth="1"/>
    <col min="3" max="3" width="4.25" style="7887" customWidth="1"/>
    <col min="4" max="4" width="9.375" style="7887" customWidth="1"/>
    <col min="5" max="5" width="56.375" style="7887" customWidth="1"/>
    <col min="6" max="6" width="16.5" style="7887" customWidth="1"/>
    <col min="7" max="7" width="6.125" style="7887" hidden="1" customWidth="1"/>
    <col min="8" max="8" width="9.75" style="7887" hidden="1" customWidth="1"/>
    <col min="9" max="9" width="25.5" style="7887" hidden="1" customWidth="1"/>
    <col min="10" max="10" width="66.125" style="7887" hidden="1" customWidth="1"/>
    <col min="11" max="11" width="16.5" style="7887" hidden="1" customWidth="1"/>
    <col min="12" max="14" width="15.625" style="8058" customWidth="1"/>
    <col min="15" max="15" width="71.5" style="8054" customWidth="1"/>
    <col min="16" max="16" width="13.625" style="8055" hidden="1" customWidth="1"/>
    <col min="17" max="17" width="11.75" style="8055" hidden="1" customWidth="1"/>
    <col min="18" max="18" width="13.875" style="8055" hidden="1" customWidth="1"/>
    <col min="19" max="49" width="13" style="7887" customWidth="1"/>
    <col min="50" max="50" width="13" style="7872" customWidth="1"/>
    <col min="51" max="16384" width="13" style="7872"/>
  </cols>
  <sheetData>
    <row r="1" spans="1:50" ht="10.9" customHeight="1">
      <c r="A1" s="7881"/>
      <c r="B1" s="9330"/>
      <c r="C1" s="7882"/>
      <c r="D1" s="7883"/>
      <c r="E1" s="7883"/>
      <c r="F1" s="7884"/>
      <c r="G1" s="8749"/>
      <c r="H1" s="8750"/>
      <c r="I1" s="8750"/>
      <c r="J1" s="8750"/>
      <c r="K1" s="7884"/>
      <c r="L1" s="7885"/>
      <c r="M1" s="7885"/>
      <c r="N1" s="7885"/>
      <c r="O1" s="7886"/>
      <c r="P1" s="7883"/>
      <c r="Q1" s="7883"/>
      <c r="R1" s="7883"/>
    </row>
    <row r="2" spans="1:50" s="7894" customFormat="1" ht="33" customHeight="1">
      <c r="A2" s="7888"/>
      <c r="B2" s="7889" t="s">
        <v>3642</v>
      </c>
      <c r="C2" s="7890"/>
      <c r="D2" s="7883"/>
      <c r="E2" s="7883"/>
      <c r="F2" s="7884"/>
      <c r="G2" s="8749"/>
      <c r="H2" s="7891"/>
      <c r="I2" s="8750"/>
      <c r="J2" s="7884"/>
      <c r="K2" s="7884"/>
      <c r="L2" s="7885"/>
      <c r="M2" s="8751"/>
      <c r="N2" s="7885"/>
      <c r="O2" s="7886"/>
      <c r="P2" s="7892"/>
      <c r="Q2" s="7892"/>
      <c r="R2" s="7892"/>
      <c r="S2" s="7893"/>
      <c r="T2" s="7893"/>
      <c r="U2" s="7893"/>
      <c r="V2" s="7893"/>
      <c r="W2" s="7893"/>
      <c r="X2" s="7893"/>
      <c r="Y2" s="7893"/>
      <c r="Z2" s="7893"/>
      <c r="AA2" s="7893"/>
      <c r="AB2" s="7893"/>
      <c r="AC2" s="7893"/>
      <c r="AD2" s="7893"/>
      <c r="AE2" s="7893"/>
      <c r="AF2" s="7893"/>
      <c r="AG2" s="7893"/>
      <c r="AH2" s="7893"/>
      <c r="AI2" s="7893"/>
      <c r="AJ2" s="7893"/>
      <c r="AK2" s="7893"/>
      <c r="AL2" s="7893"/>
      <c r="AM2" s="7893"/>
      <c r="AN2" s="7893"/>
      <c r="AO2" s="7893"/>
      <c r="AP2" s="7893"/>
      <c r="AQ2" s="7893"/>
      <c r="AR2" s="7893"/>
      <c r="AS2" s="7893"/>
      <c r="AT2" s="7893"/>
      <c r="AU2" s="7893"/>
      <c r="AV2" s="7893"/>
      <c r="AW2" s="7893"/>
    </row>
    <row r="3" spans="1:50" ht="11.45" customHeight="1">
      <c r="A3" s="7872"/>
      <c r="B3" s="9331"/>
      <c r="C3" s="8752"/>
      <c r="D3" s="8752"/>
      <c r="E3" s="8752"/>
      <c r="F3" s="7884"/>
      <c r="G3" s="8749"/>
      <c r="H3" s="8750"/>
      <c r="I3" s="8750"/>
      <c r="J3" s="8750"/>
      <c r="K3" s="7884"/>
      <c r="L3" s="7885"/>
      <c r="M3" s="7885"/>
      <c r="N3" s="7885"/>
      <c r="O3" s="7886"/>
      <c r="P3" s="7895"/>
      <c r="Q3" s="7895"/>
      <c r="R3" s="7895"/>
    </row>
    <row r="4" spans="1:50" ht="10.15" customHeight="1">
      <c r="A4" s="7872"/>
      <c r="B4" s="7906"/>
      <c r="C4" s="7872"/>
      <c r="D4" s="7872"/>
      <c r="E4" s="7872"/>
      <c r="F4" s="7896"/>
      <c r="G4" s="7872"/>
      <c r="H4" s="7872"/>
      <c r="I4" s="7872"/>
      <c r="J4" s="7872"/>
      <c r="K4" s="7896"/>
      <c r="L4" s="8471"/>
      <c r="M4" s="8471"/>
      <c r="N4" s="8471"/>
      <c r="O4" s="8471"/>
      <c r="P4" s="7896"/>
      <c r="Q4" s="7896"/>
      <c r="R4" s="7896"/>
    </row>
    <row r="5" spans="1:50" ht="20.65" hidden="1" customHeight="1">
      <c r="A5" s="7872"/>
      <c r="B5" s="9332" t="s">
        <v>111</v>
      </c>
      <c r="C5" s="8473"/>
      <c r="D5" s="8473"/>
      <c r="E5" s="8473"/>
      <c r="F5" s="8474"/>
      <c r="G5" s="8474"/>
      <c r="H5" s="7872"/>
      <c r="I5" s="8475"/>
      <c r="J5" s="8475"/>
      <c r="K5" s="7897"/>
      <c r="L5" s="8476"/>
      <c r="M5" s="8476"/>
      <c r="N5" s="8476"/>
      <c r="O5" s="7898"/>
      <c r="P5" s="7899"/>
      <c r="Q5" s="7899"/>
      <c r="R5" s="7899"/>
    </row>
    <row r="6" spans="1:50" ht="20.65" hidden="1" customHeight="1" thickBot="1">
      <c r="A6" s="7872"/>
      <c r="B6" s="9333" t="s">
        <v>112</v>
      </c>
      <c r="C6" s="7872"/>
      <c r="D6" s="7872"/>
      <c r="E6" s="8475"/>
      <c r="F6" s="8478"/>
      <c r="G6" s="8478"/>
      <c r="H6" s="8475"/>
      <c r="I6" s="8475"/>
      <c r="J6" s="8475"/>
      <c r="K6" s="7897"/>
      <c r="L6" s="8476"/>
      <c r="M6" s="8479"/>
      <c r="N6" s="8476"/>
      <c r="O6" s="7898"/>
      <c r="P6" s="7899"/>
      <c r="Q6" s="7899"/>
      <c r="R6" s="7899"/>
    </row>
    <row r="7" spans="1:50" ht="20.65" hidden="1" customHeight="1" thickBot="1">
      <c r="A7" s="7872"/>
      <c r="B7" s="9333" t="s">
        <v>3534</v>
      </c>
      <c r="C7" s="7872"/>
      <c r="D7" s="7872"/>
      <c r="E7" s="8475"/>
      <c r="F7" s="8478"/>
      <c r="G7" s="8478"/>
      <c r="H7" s="8475"/>
      <c r="I7" s="8475"/>
      <c r="J7" s="8475"/>
      <c r="K7" s="7900"/>
      <c r="L7" s="8476"/>
      <c r="M7" s="8480"/>
      <c r="N7" s="8476"/>
      <c r="O7" s="7898"/>
      <c r="P7" s="7899"/>
      <c r="Q7" s="7899"/>
      <c r="R7" s="7899"/>
    </row>
    <row r="8" spans="1:50" ht="20.65" hidden="1" customHeight="1" thickBot="1">
      <c r="A8" s="7872"/>
      <c r="B8" s="9333" t="s">
        <v>3535</v>
      </c>
      <c r="C8" s="7872"/>
      <c r="D8" s="7872"/>
      <c r="E8" s="8475"/>
      <c r="F8" s="8478"/>
      <c r="G8" s="8478"/>
      <c r="H8" s="7901"/>
      <c r="I8" s="7902"/>
      <c r="J8" s="8481"/>
      <c r="K8" s="7904"/>
      <c r="L8" s="7905"/>
      <c r="M8" s="7905"/>
      <c r="N8" s="8476"/>
      <c r="O8" s="7898"/>
      <c r="P8" s="7899"/>
      <c r="Q8" s="7899"/>
      <c r="R8" s="7899"/>
    </row>
    <row r="9" spans="1:50" ht="20.65" hidden="1" customHeight="1" thickBot="1">
      <c r="A9" s="7872"/>
      <c r="B9" s="9333" t="s">
        <v>115</v>
      </c>
      <c r="C9" s="7872"/>
      <c r="D9" s="7872"/>
      <c r="E9" s="8475"/>
      <c r="F9" s="8478"/>
      <c r="G9" s="8478"/>
      <c r="H9" s="8482"/>
      <c r="I9" s="7902" t="s">
        <v>116</v>
      </c>
      <c r="J9" s="8481"/>
      <c r="K9" s="7904"/>
      <c r="L9" s="7905"/>
      <c r="M9" s="7905"/>
      <c r="N9" s="8476"/>
      <c r="O9" s="7898"/>
      <c r="P9" s="7899"/>
      <c r="Q9" s="7899"/>
      <c r="R9" s="7899"/>
    </row>
    <row r="10" spans="1:50" ht="20.65" hidden="1" customHeight="1" thickBot="1">
      <c r="A10" s="7872"/>
      <c r="B10" s="9334" t="s">
        <v>117</v>
      </c>
      <c r="C10" s="8484"/>
      <c r="D10" s="8484"/>
      <c r="E10" s="8485"/>
      <c r="F10" s="8486"/>
      <c r="G10" s="8486"/>
      <c r="H10" s="8487"/>
      <c r="I10" s="7902" t="s">
        <v>118</v>
      </c>
      <c r="J10" s="8481"/>
      <c r="K10" s="7904"/>
      <c r="L10" s="7905"/>
      <c r="M10" s="7905"/>
      <c r="N10" s="8476"/>
      <c r="O10" s="7898"/>
      <c r="P10" s="7899"/>
      <c r="Q10" s="7899"/>
      <c r="R10" s="7899"/>
    </row>
    <row r="11" spans="1:50" ht="17.25" customHeight="1" thickBot="1">
      <c r="A11" s="7872"/>
      <c r="B11" s="9335" t="s">
        <v>3681</v>
      </c>
      <c r="C11" s="8748"/>
      <c r="D11" s="7906"/>
      <c r="E11" s="7906"/>
      <c r="F11" s="7907"/>
      <c r="G11" s="7906"/>
      <c r="H11" s="8067"/>
      <c r="I11" s="8067"/>
      <c r="J11" s="8067"/>
      <c r="K11" s="7907"/>
      <c r="L11" s="7908"/>
      <c r="M11" s="8471"/>
      <c r="N11" s="8488"/>
      <c r="O11" s="7909"/>
      <c r="P11" s="7907"/>
      <c r="Q11" s="7907"/>
      <c r="R11" s="7907"/>
    </row>
    <row r="12" spans="1:50" ht="26.65" customHeight="1" thickTop="1">
      <c r="A12" s="7910"/>
      <c r="B12" s="9464" t="s">
        <v>1</v>
      </c>
      <c r="C12" s="9464"/>
      <c r="D12" s="9464"/>
      <c r="E12" s="9464"/>
      <c r="F12" s="9464"/>
      <c r="G12" s="9515" t="s">
        <v>2</v>
      </c>
      <c r="H12" s="9515"/>
      <c r="I12" s="9515"/>
      <c r="J12" s="9515"/>
      <c r="K12" s="8489"/>
      <c r="L12" s="9464" t="s">
        <v>3</v>
      </c>
      <c r="M12" s="9464"/>
      <c r="N12" s="9516"/>
      <c r="O12" s="9849" t="s">
        <v>3588</v>
      </c>
      <c r="P12" s="9466" t="s">
        <v>11</v>
      </c>
      <c r="Q12" s="9467"/>
      <c r="R12" s="9468"/>
    </row>
    <row r="13" spans="1:50" ht="21.6" customHeight="1" thickBot="1">
      <c r="A13" s="7910"/>
      <c r="B13" s="9336"/>
      <c r="C13" s="7912" t="s">
        <v>12</v>
      </c>
      <c r="D13" s="7912" t="s">
        <v>13</v>
      </c>
      <c r="E13" s="7912" t="s">
        <v>14</v>
      </c>
      <c r="F13" s="7912" t="s">
        <v>15</v>
      </c>
      <c r="G13" s="7913" t="s">
        <v>16</v>
      </c>
      <c r="H13" s="7913" t="s">
        <v>12</v>
      </c>
      <c r="I13" s="7913" t="s">
        <v>13</v>
      </c>
      <c r="J13" s="7913" t="s">
        <v>14</v>
      </c>
      <c r="K13" s="7914" t="s">
        <v>17</v>
      </c>
      <c r="L13" s="7915" t="s">
        <v>18</v>
      </c>
      <c r="M13" s="7916" t="s">
        <v>20</v>
      </c>
      <c r="N13" s="7917" t="s">
        <v>21</v>
      </c>
      <c r="O13" s="9850"/>
      <c r="P13" s="9048" t="s">
        <v>23</v>
      </c>
      <c r="Q13" s="7918" t="s">
        <v>24</v>
      </c>
      <c r="R13" s="7919" t="s">
        <v>25</v>
      </c>
    </row>
    <row r="14" spans="1:50" s="7887" customFormat="1" ht="21.75" thickBot="1">
      <c r="A14" s="7910"/>
      <c r="B14" s="7920" t="s">
        <v>1437</v>
      </c>
      <c r="C14" s="7921"/>
      <c r="D14" s="7921"/>
      <c r="E14" s="7921"/>
      <c r="F14" s="7922"/>
      <c r="G14" s="8679" t="s">
        <v>1438</v>
      </c>
      <c r="H14" s="7921"/>
      <c r="I14" s="7921"/>
      <c r="J14" s="7921"/>
      <c r="K14" s="7922"/>
      <c r="L14" s="8753"/>
      <c r="M14" s="8754"/>
      <c r="N14" s="8755"/>
      <c r="O14" s="9051"/>
      <c r="P14" s="8756"/>
      <c r="Q14" s="8756"/>
      <c r="R14" s="8757"/>
      <c r="AX14" s="7872"/>
    </row>
    <row r="15" spans="1:50" s="8763" customFormat="1" ht="21.75" thickBot="1">
      <c r="A15" s="7872"/>
      <c r="B15" s="9337" t="s">
        <v>1439</v>
      </c>
      <c r="C15" s="8759"/>
      <c r="D15" s="8759"/>
      <c r="E15" s="8759"/>
      <c r="F15" s="7923"/>
      <c r="G15" s="8760" t="s">
        <v>1440</v>
      </c>
      <c r="H15" s="8761"/>
      <c r="I15" s="8761"/>
      <c r="J15" s="8762"/>
      <c r="K15" s="7924"/>
      <c r="L15" s="7925"/>
      <c r="M15" s="7926"/>
      <c r="N15" s="7927"/>
      <c r="O15" s="9052"/>
      <c r="P15" s="7928"/>
      <c r="Q15" s="7928"/>
      <c r="R15" s="7929"/>
      <c r="S15" s="7887"/>
      <c r="T15" s="7887"/>
      <c r="U15" s="7887"/>
      <c r="V15" s="7887"/>
      <c r="W15" s="7887"/>
      <c r="X15" s="7887"/>
      <c r="Y15" s="7887"/>
      <c r="Z15" s="7887"/>
      <c r="AA15" s="7887"/>
      <c r="AB15" s="7887"/>
      <c r="AC15" s="7887"/>
      <c r="AD15" s="7887"/>
      <c r="AE15" s="7887"/>
      <c r="AF15" s="7887"/>
      <c r="AG15" s="7887"/>
      <c r="AH15" s="7887"/>
      <c r="AI15" s="7887"/>
      <c r="AJ15" s="7887"/>
      <c r="AK15" s="7887"/>
      <c r="AL15" s="7887"/>
      <c r="AM15" s="7887"/>
      <c r="AN15" s="7887"/>
      <c r="AO15" s="7887"/>
      <c r="AP15" s="7887"/>
      <c r="AQ15" s="7887"/>
      <c r="AR15" s="7887"/>
      <c r="AS15" s="7887"/>
      <c r="AT15" s="7887"/>
      <c r="AU15" s="7887"/>
      <c r="AV15" s="7887"/>
      <c r="AW15" s="7887"/>
      <c r="AX15" s="7872"/>
    </row>
    <row r="16" spans="1:50" s="8763" customFormat="1" ht="20.100000000000001" customHeight="1">
      <c r="A16" s="7872"/>
      <c r="B16" s="9338"/>
      <c r="C16" s="9381" t="s">
        <v>1441</v>
      </c>
      <c r="D16" s="9364"/>
      <c r="E16" s="9364"/>
      <c r="F16" s="9382"/>
      <c r="G16" s="9383"/>
      <c r="H16" s="9364" t="s">
        <v>1442</v>
      </c>
      <c r="I16" s="9364"/>
      <c r="J16" s="9364"/>
      <c r="K16" s="9384" t="s">
        <v>1443</v>
      </c>
      <c r="L16" s="9385"/>
      <c r="M16" s="9364"/>
      <c r="N16" s="9384"/>
      <c r="O16" s="9386"/>
      <c r="P16" s="7932"/>
      <c r="Q16" s="7932"/>
      <c r="R16" s="8764"/>
      <c r="S16" s="7887"/>
      <c r="T16" s="7887"/>
      <c r="U16" s="7887"/>
      <c r="V16" s="7887"/>
      <c r="W16" s="7887"/>
      <c r="X16" s="7887"/>
      <c r="Y16" s="7887"/>
      <c r="Z16" s="7887"/>
      <c r="AA16" s="7887"/>
      <c r="AB16" s="7887"/>
      <c r="AC16" s="7887"/>
      <c r="AD16" s="7887"/>
      <c r="AE16" s="7887"/>
      <c r="AF16" s="7887"/>
      <c r="AG16" s="7887"/>
      <c r="AH16" s="7887"/>
      <c r="AI16" s="7887"/>
      <c r="AJ16" s="7887"/>
      <c r="AK16" s="7887"/>
      <c r="AL16" s="7887"/>
      <c r="AM16" s="7887"/>
      <c r="AN16" s="7887"/>
      <c r="AO16" s="7887"/>
      <c r="AP16" s="7887"/>
      <c r="AQ16" s="7887"/>
      <c r="AR16" s="7887"/>
      <c r="AS16" s="7887"/>
      <c r="AT16" s="7887"/>
      <c r="AU16" s="7887"/>
      <c r="AV16" s="7887"/>
      <c r="AW16" s="7887"/>
      <c r="AX16" s="7872"/>
    </row>
    <row r="17" spans="1:50" s="8763" customFormat="1" ht="20.100000000000001" customHeight="1">
      <c r="A17" s="7872"/>
      <c r="B17" s="9339"/>
      <c r="C17" s="9349"/>
      <c r="D17" s="9387" t="s">
        <v>3767</v>
      </c>
      <c r="E17" s="9350"/>
      <c r="F17" s="8151" t="s">
        <v>732</v>
      </c>
      <c r="G17" s="9388"/>
      <c r="H17" s="8846"/>
      <c r="I17" s="9389" t="s">
        <v>1446</v>
      </c>
      <c r="J17" s="9389"/>
      <c r="K17" s="9390" t="s">
        <v>734</v>
      </c>
      <c r="L17" s="7935">
        <v>5</v>
      </c>
      <c r="M17" s="7936">
        <v>7</v>
      </c>
      <c r="N17" s="7937">
        <v>7</v>
      </c>
      <c r="O17" s="9053"/>
      <c r="P17" s="7932" t="s">
        <v>1449</v>
      </c>
      <c r="Q17" s="7932" t="s">
        <v>1450</v>
      </c>
      <c r="R17" s="7938"/>
      <c r="S17" s="7887"/>
      <c r="T17" s="7887"/>
      <c r="U17" s="7887"/>
      <c r="V17" s="7887"/>
      <c r="W17" s="7887"/>
      <c r="X17" s="7887"/>
      <c r="Y17" s="7887"/>
      <c r="Z17" s="7887"/>
      <c r="AA17" s="7887"/>
      <c r="AB17" s="7887"/>
      <c r="AC17" s="7887"/>
      <c r="AD17" s="7887"/>
      <c r="AE17" s="7887"/>
      <c r="AF17" s="7887"/>
      <c r="AG17" s="7887"/>
      <c r="AH17" s="7887"/>
      <c r="AI17" s="7887"/>
      <c r="AJ17" s="7887"/>
      <c r="AK17" s="7887"/>
      <c r="AL17" s="7887"/>
      <c r="AM17" s="7887"/>
      <c r="AN17" s="7887"/>
      <c r="AO17" s="7887"/>
      <c r="AP17" s="7887"/>
      <c r="AQ17" s="7887"/>
      <c r="AR17" s="7887"/>
      <c r="AS17" s="7887"/>
      <c r="AT17" s="7887"/>
      <c r="AU17" s="7887"/>
      <c r="AV17" s="7887"/>
      <c r="AW17" s="7887"/>
      <c r="AX17" s="7872"/>
    </row>
    <row r="18" spans="1:50" s="8763" customFormat="1" ht="20.100000000000001" customHeight="1">
      <c r="A18" s="7872"/>
      <c r="B18" s="9339"/>
      <c r="C18" s="8884"/>
      <c r="D18" s="9387" t="s">
        <v>3768</v>
      </c>
      <c r="E18" s="9350"/>
      <c r="F18" s="8151" t="s">
        <v>732</v>
      </c>
      <c r="G18" s="9388"/>
      <c r="H18" s="9391"/>
      <c r="I18" s="8860" t="s">
        <v>1452</v>
      </c>
      <c r="J18" s="8860"/>
      <c r="K18" s="9392" t="s">
        <v>734</v>
      </c>
      <c r="L18" s="7935">
        <v>3</v>
      </c>
      <c r="M18" s="7936">
        <v>4</v>
      </c>
      <c r="N18" s="7937">
        <v>4</v>
      </c>
      <c r="O18" s="8958"/>
      <c r="P18" s="7932" t="s">
        <v>1455</v>
      </c>
      <c r="Q18" s="7932" t="s">
        <v>1450</v>
      </c>
      <c r="R18" s="7938"/>
      <c r="S18" s="7887"/>
      <c r="T18" s="7887"/>
      <c r="U18" s="7887"/>
      <c r="V18" s="7887"/>
      <c r="W18" s="7887"/>
      <c r="X18" s="7887"/>
      <c r="Y18" s="7887"/>
      <c r="Z18" s="7887"/>
      <c r="AA18" s="7887"/>
      <c r="AB18" s="7887"/>
      <c r="AC18" s="7887"/>
      <c r="AD18" s="7887"/>
      <c r="AE18" s="7887"/>
      <c r="AF18" s="7887"/>
      <c r="AG18" s="7887"/>
      <c r="AH18" s="7887"/>
      <c r="AI18" s="7887"/>
      <c r="AJ18" s="7887"/>
      <c r="AK18" s="7887"/>
      <c r="AL18" s="7887"/>
      <c r="AM18" s="7887"/>
      <c r="AN18" s="7887"/>
      <c r="AO18" s="7887"/>
      <c r="AP18" s="7887"/>
      <c r="AQ18" s="7887"/>
      <c r="AR18" s="7887"/>
      <c r="AS18" s="7887"/>
      <c r="AT18" s="7887"/>
      <c r="AU18" s="7887"/>
      <c r="AV18" s="7887"/>
      <c r="AW18" s="7887"/>
      <c r="AX18" s="7872"/>
    </row>
    <row r="19" spans="1:50" s="8763" customFormat="1" ht="20.100000000000001" customHeight="1">
      <c r="A19" s="7872"/>
      <c r="B19" s="9339"/>
      <c r="C19" s="8884"/>
      <c r="D19" s="9387" t="s">
        <v>3769</v>
      </c>
      <c r="E19" s="9350"/>
      <c r="F19" s="8151" t="s">
        <v>732</v>
      </c>
      <c r="G19" s="9388"/>
      <c r="H19" s="9391"/>
      <c r="I19" s="8776" t="s">
        <v>1457</v>
      </c>
      <c r="J19" s="8859"/>
      <c r="K19" s="9392" t="s">
        <v>734</v>
      </c>
      <c r="L19" s="7935">
        <v>0</v>
      </c>
      <c r="M19" s="7936">
        <v>1</v>
      </c>
      <c r="N19" s="7937">
        <v>1</v>
      </c>
      <c r="O19" s="8958"/>
      <c r="P19" s="7932" t="s">
        <v>1460</v>
      </c>
      <c r="Q19" s="7932" t="s">
        <v>1450</v>
      </c>
      <c r="R19" s="7938"/>
      <c r="S19" s="7887"/>
      <c r="T19" s="7887"/>
      <c r="U19" s="7887"/>
      <c r="V19" s="7887"/>
      <c r="W19" s="7887"/>
      <c r="X19" s="7887"/>
      <c r="Y19" s="7887"/>
      <c r="Z19" s="7887"/>
      <c r="AA19" s="7887"/>
      <c r="AB19" s="7887"/>
      <c r="AC19" s="7887"/>
      <c r="AD19" s="7887"/>
      <c r="AE19" s="7887"/>
      <c r="AF19" s="7887"/>
      <c r="AG19" s="7887"/>
      <c r="AH19" s="7887"/>
      <c r="AI19" s="7887"/>
      <c r="AJ19" s="7887"/>
      <c r="AK19" s="7887"/>
      <c r="AL19" s="7887"/>
      <c r="AM19" s="7887"/>
      <c r="AN19" s="7887"/>
      <c r="AO19" s="7887"/>
      <c r="AP19" s="7887"/>
      <c r="AQ19" s="7887"/>
      <c r="AR19" s="7887"/>
      <c r="AS19" s="7887"/>
      <c r="AT19" s="7887"/>
      <c r="AU19" s="7887"/>
      <c r="AV19" s="7887"/>
      <c r="AW19" s="7887"/>
      <c r="AX19" s="7872"/>
    </row>
    <row r="20" spans="1:50" s="8763" customFormat="1" ht="20.100000000000001" customHeight="1">
      <c r="A20" s="7872"/>
      <c r="B20" s="9340"/>
      <c r="C20" s="9393" t="s">
        <v>1461</v>
      </c>
      <c r="D20" s="8836"/>
      <c r="E20" s="9364"/>
      <c r="F20" s="9364"/>
      <c r="G20" s="9383"/>
      <c r="H20" s="9364" t="s">
        <v>3770</v>
      </c>
      <c r="I20" s="9364"/>
      <c r="J20" s="9364"/>
      <c r="K20" s="9384" t="s">
        <v>168</v>
      </c>
      <c r="L20" s="9385"/>
      <c r="M20" s="9364"/>
      <c r="N20" s="9384"/>
      <c r="O20" s="9394"/>
      <c r="P20" s="7932"/>
      <c r="Q20" s="7932"/>
      <c r="R20" s="8764"/>
      <c r="S20" s="7887"/>
      <c r="T20" s="7887"/>
      <c r="U20" s="7887"/>
      <c r="V20" s="7887"/>
      <c r="W20" s="7887"/>
      <c r="X20" s="7887"/>
      <c r="Y20" s="7887"/>
      <c r="Z20" s="7887"/>
      <c r="AA20" s="7887"/>
      <c r="AB20" s="7887"/>
      <c r="AC20" s="7887"/>
      <c r="AD20" s="7887"/>
      <c r="AE20" s="7887"/>
      <c r="AF20" s="7887"/>
      <c r="AG20" s="7887"/>
      <c r="AH20" s="7887"/>
      <c r="AI20" s="7887"/>
      <c r="AJ20" s="7887"/>
      <c r="AK20" s="7887"/>
      <c r="AL20" s="7887"/>
      <c r="AM20" s="7887"/>
      <c r="AN20" s="7887"/>
      <c r="AO20" s="7887"/>
      <c r="AP20" s="7887"/>
      <c r="AQ20" s="7887"/>
      <c r="AR20" s="7887"/>
      <c r="AS20" s="7887"/>
      <c r="AT20" s="7887"/>
      <c r="AU20" s="7887"/>
      <c r="AV20" s="7887"/>
      <c r="AW20" s="7887"/>
      <c r="AX20" s="7872"/>
    </row>
    <row r="21" spans="1:50" s="8763" customFormat="1" ht="20.100000000000001" customHeight="1">
      <c r="A21" s="7872"/>
      <c r="B21" s="9339"/>
      <c r="C21" s="8884"/>
      <c r="D21" s="9387" t="s">
        <v>1445</v>
      </c>
      <c r="E21" s="9350"/>
      <c r="F21" s="8151" t="s">
        <v>154</v>
      </c>
      <c r="G21" s="9388"/>
      <c r="H21" s="9391"/>
      <c r="I21" s="8860" t="s">
        <v>1454</v>
      </c>
      <c r="J21" s="8860"/>
      <c r="K21" s="9392" t="s">
        <v>154</v>
      </c>
      <c r="L21" s="7942">
        <v>60</v>
      </c>
      <c r="M21" s="7943">
        <v>57.142857142857139</v>
      </c>
      <c r="N21" s="7944">
        <v>57</v>
      </c>
      <c r="O21" s="9054" t="s">
        <v>2006</v>
      </c>
      <c r="P21" s="7932" t="s">
        <v>1465</v>
      </c>
      <c r="Q21" s="7932" t="s">
        <v>1450</v>
      </c>
      <c r="R21" s="7938"/>
      <c r="S21" s="7887"/>
      <c r="T21" s="7887"/>
      <c r="U21" s="7887"/>
      <c r="V21" s="7887"/>
      <c r="W21" s="7887"/>
      <c r="X21" s="7887"/>
      <c r="Y21" s="7887"/>
      <c r="Z21" s="7887"/>
      <c r="AA21" s="7887"/>
      <c r="AB21" s="7887"/>
      <c r="AC21" s="7887"/>
      <c r="AD21" s="7887"/>
      <c r="AE21" s="7887"/>
      <c r="AF21" s="7887"/>
      <c r="AG21" s="7887"/>
      <c r="AH21" s="7887"/>
      <c r="AI21" s="7887"/>
      <c r="AJ21" s="7887"/>
      <c r="AK21" s="7887"/>
      <c r="AL21" s="7887"/>
      <c r="AM21" s="7887"/>
      <c r="AN21" s="7887"/>
      <c r="AO21" s="7887"/>
      <c r="AP21" s="7887"/>
      <c r="AQ21" s="7887"/>
      <c r="AR21" s="7887"/>
      <c r="AS21" s="7887"/>
      <c r="AT21" s="7887"/>
      <c r="AU21" s="7887"/>
      <c r="AV21" s="7887"/>
      <c r="AW21" s="7887"/>
      <c r="AX21" s="7872"/>
    </row>
    <row r="22" spans="1:50" s="9358" customFormat="1" ht="20.100000000000001" customHeight="1" thickBot="1">
      <c r="A22" s="9348"/>
      <c r="B22" s="9339"/>
      <c r="C22" s="9349"/>
      <c r="D22" s="9387" t="s">
        <v>1466</v>
      </c>
      <c r="E22" s="9350"/>
      <c r="F22" s="9351" t="s">
        <v>154</v>
      </c>
      <c r="G22" s="9352"/>
      <c r="H22" s="9353"/>
      <c r="I22" s="8784" t="s">
        <v>1467</v>
      </c>
      <c r="J22" s="9354"/>
      <c r="K22" s="9355" t="s">
        <v>154</v>
      </c>
      <c r="L22" s="7942">
        <v>100</v>
      </c>
      <c r="M22" s="7943">
        <v>100</v>
      </c>
      <c r="N22" s="7946">
        <v>100</v>
      </c>
      <c r="O22" s="9054"/>
      <c r="P22" s="9356" t="s">
        <v>1465</v>
      </c>
      <c r="Q22" s="9356" t="s">
        <v>1450</v>
      </c>
      <c r="R22" s="9357"/>
      <c r="S22" s="8051"/>
      <c r="T22" s="8051"/>
      <c r="U22" s="8051"/>
      <c r="V22" s="8051"/>
      <c r="W22" s="8051"/>
      <c r="X22" s="8051"/>
      <c r="Y22" s="8051"/>
      <c r="Z22" s="8051"/>
      <c r="AA22" s="8051"/>
      <c r="AB22" s="8051"/>
      <c r="AC22" s="8051"/>
      <c r="AD22" s="8051"/>
      <c r="AE22" s="8051"/>
      <c r="AF22" s="8051"/>
      <c r="AG22" s="8051"/>
      <c r="AH22" s="8051"/>
      <c r="AI22" s="8051"/>
      <c r="AJ22" s="8051"/>
      <c r="AK22" s="8051"/>
      <c r="AL22" s="8051"/>
      <c r="AM22" s="8051"/>
      <c r="AN22" s="8051"/>
      <c r="AO22" s="8051"/>
      <c r="AP22" s="8051"/>
      <c r="AQ22" s="8051"/>
      <c r="AR22" s="8051"/>
      <c r="AS22" s="8051"/>
      <c r="AT22" s="8051"/>
      <c r="AU22" s="8051"/>
      <c r="AV22" s="8051"/>
      <c r="AW22" s="8051"/>
      <c r="AX22" s="9348"/>
    </row>
    <row r="23" spans="1:50" s="8763" customFormat="1" ht="21.75" thickBot="1">
      <c r="A23" s="7872"/>
      <c r="B23" s="9337" t="s">
        <v>1468</v>
      </c>
      <c r="C23" s="8759"/>
      <c r="D23" s="8759"/>
      <c r="E23" s="8759"/>
      <c r="F23" s="7923"/>
      <c r="G23" s="7923"/>
      <c r="H23" s="7923"/>
      <c r="I23" s="7923"/>
      <c r="J23" s="7923"/>
      <c r="K23" s="7923"/>
      <c r="L23" s="7947"/>
      <c r="M23" s="7948"/>
      <c r="N23" s="7949"/>
      <c r="O23" s="9055"/>
      <c r="P23" s="7928"/>
      <c r="Q23" s="7928"/>
      <c r="R23" s="7929"/>
      <c r="S23" s="7887"/>
      <c r="T23" s="7887"/>
      <c r="U23" s="7887"/>
      <c r="V23" s="7887"/>
      <c r="W23" s="7887"/>
      <c r="X23" s="7887"/>
      <c r="Y23" s="7887"/>
      <c r="Z23" s="7887"/>
      <c r="AA23" s="7887"/>
      <c r="AB23" s="7887"/>
      <c r="AC23" s="7887"/>
      <c r="AD23" s="7887"/>
      <c r="AE23" s="7887"/>
      <c r="AF23" s="7887"/>
      <c r="AG23" s="7887"/>
      <c r="AH23" s="7887"/>
      <c r="AI23" s="7887"/>
      <c r="AJ23" s="7887"/>
      <c r="AK23" s="7887"/>
      <c r="AL23" s="7887"/>
      <c r="AM23" s="7887"/>
      <c r="AN23" s="7887"/>
      <c r="AO23" s="7887"/>
      <c r="AP23" s="7887"/>
      <c r="AQ23" s="7887"/>
      <c r="AR23" s="7887"/>
      <c r="AS23" s="7887"/>
      <c r="AT23" s="7887"/>
      <c r="AU23" s="7887"/>
      <c r="AV23" s="7887"/>
      <c r="AW23" s="7887"/>
      <c r="AX23" s="7872"/>
    </row>
    <row r="24" spans="1:50" s="8763" customFormat="1" ht="20.100000000000001" customHeight="1">
      <c r="A24" s="7872"/>
      <c r="B24" s="9341"/>
      <c r="C24" s="9109" t="s">
        <v>1469</v>
      </c>
      <c r="D24" s="9109"/>
      <c r="E24" s="9109"/>
      <c r="F24" s="9110"/>
      <c r="G24" s="9111"/>
      <c r="H24" s="9109" t="s">
        <v>1470</v>
      </c>
      <c r="I24" s="9109"/>
      <c r="J24" s="9112"/>
      <c r="K24" s="9113" t="s">
        <v>168</v>
      </c>
      <c r="L24" s="9114"/>
      <c r="M24" s="9115"/>
      <c r="N24" s="9116"/>
      <c r="O24" s="9117"/>
      <c r="P24" s="7932"/>
      <c r="Q24" s="7932"/>
      <c r="R24" s="8764"/>
      <c r="S24" s="7887"/>
      <c r="T24" s="7887"/>
      <c r="U24" s="7887"/>
      <c r="V24" s="7887"/>
      <c r="W24" s="7887"/>
      <c r="X24" s="7887"/>
      <c r="Y24" s="7887"/>
      <c r="Z24" s="7887"/>
      <c r="AA24" s="7887"/>
      <c r="AB24" s="7887"/>
      <c r="AC24" s="7887"/>
      <c r="AD24" s="7887"/>
      <c r="AE24" s="7887"/>
      <c r="AF24" s="7887"/>
      <c r="AG24" s="7887"/>
      <c r="AH24" s="7887"/>
      <c r="AI24" s="7887"/>
      <c r="AJ24" s="7887"/>
      <c r="AK24" s="7887"/>
      <c r="AL24" s="7887"/>
      <c r="AM24" s="7887"/>
      <c r="AN24" s="7887"/>
      <c r="AO24" s="7887"/>
      <c r="AP24" s="7887"/>
      <c r="AQ24" s="7887"/>
      <c r="AR24" s="7887"/>
      <c r="AS24" s="7887"/>
      <c r="AT24" s="7887"/>
      <c r="AU24" s="7887"/>
      <c r="AV24" s="7887"/>
      <c r="AW24" s="7887"/>
      <c r="AX24" s="7872"/>
    </row>
    <row r="25" spans="1:50" s="8763" customFormat="1" ht="20.100000000000001" customHeight="1">
      <c r="A25" s="7872"/>
      <c r="B25" s="9346"/>
      <c r="C25" s="7939"/>
      <c r="D25" s="8765" t="s">
        <v>1445</v>
      </c>
      <c r="E25" s="8766"/>
      <c r="F25" s="7941" t="s">
        <v>1471</v>
      </c>
      <c r="G25" s="8583"/>
      <c r="H25" s="7940"/>
      <c r="I25" s="8584" t="s">
        <v>1472</v>
      </c>
      <c r="J25" s="8584"/>
      <c r="K25" s="7952" t="s">
        <v>559</v>
      </c>
      <c r="L25" s="7935">
        <v>15</v>
      </c>
      <c r="M25" s="7936">
        <v>11</v>
      </c>
      <c r="N25" s="7937">
        <v>12</v>
      </c>
      <c r="O25" s="9053"/>
      <c r="P25" s="7932" t="s">
        <v>1475</v>
      </c>
      <c r="Q25" s="7932" t="s">
        <v>1450</v>
      </c>
      <c r="R25" s="7938"/>
      <c r="S25" s="7887"/>
      <c r="T25" s="7887"/>
      <c r="U25" s="7887"/>
      <c r="V25" s="7887"/>
      <c r="W25" s="7887"/>
      <c r="X25" s="7887"/>
      <c r="Y25" s="7887"/>
      <c r="Z25" s="7887"/>
      <c r="AA25" s="7887"/>
      <c r="AB25" s="7887"/>
      <c r="AC25" s="7887"/>
      <c r="AD25" s="7887"/>
      <c r="AE25" s="7887"/>
      <c r="AF25" s="7887"/>
      <c r="AG25" s="7887"/>
      <c r="AH25" s="7887"/>
      <c r="AI25" s="7887"/>
      <c r="AJ25" s="7887"/>
      <c r="AK25" s="7887"/>
      <c r="AL25" s="7887"/>
      <c r="AM25" s="7887"/>
      <c r="AN25" s="7887"/>
      <c r="AO25" s="7887"/>
      <c r="AP25" s="7887"/>
      <c r="AQ25" s="7887"/>
      <c r="AR25" s="7887"/>
      <c r="AS25" s="7887"/>
      <c r="AT25" s="7887"/>
      <c r="AU25" s="7887"/>
      <c r="AV25" s="7887"/>
      <c r="AW25" s="7887"/>
      <c r="AX25" s="7872"/>
    </row>
    <row r="26" spans="1:50" s="8763" customFormat="1" ht="20.100000000000001" customHeight="1">
      <c r="A26" s="7872"/>
      <c r="B26" s="9341"/>
      <c r="C26" s="8504"/>
      <c r="D26" s="8765" t="s">
        <v>1466</v>
      </c>
      <c r="E26" s="8766"/>
      <c r="F26" s="7941" t="s">
        <v>1471</v>
      </c>
      <c r="G26" s="8583"/>
      <c r="H26" s="8508"/>
      <c r="I26" s="8583" t="s">
        <v>1477</v>
      </c>
      <c r="J26" s="8583"/>
      <c r="K26" s="7953" t="s">
        <v>1013</v>
      </c>
      <c r="L26" s="7935">
        <v>6</v>
      </c>
      <c r="M26" s="7936">
        <v>6</v>
      </c>
      <c r="N26" s="7937">
        <v>5</v>
      </c>
      <c r="O26" s="8958"/>
      <c r="P26" s="7932" t="s">
        <v>1480</v>
      </c>
      <c r="Q26" s="7955"/>
      <c r="R26" s="7938"/>
      <c r="S26" s="7887"/>
      <c r="T26" s="7887"/>
      <c r="U26" s="7887"/>
      <c r="V26" s="7887"/>
      <c r="W26" s="7887"/>
      <c r="X26" s="7887"/>
      <c r="Y26" s="7887"/>
      <c r="Z26" s="7887"/>
      <c r="AA26" s="7887"/>
      <c r="AB26" s="7887"/>
      <c r="AC26" s="7887"/>
      <c r="AD26" s="7887"/>
      <c r="AE26" s="7887"/>
      <c r="AF26" s="7887"/>
      <c r="AG26" s="7887"/>
      <c r="AH26" s="7887"/>
      <c r="AI26" s="7887"/>
      <c r="AJ26" s="7887"/>
      <c r="AK26" s="7887"/>
      <c r="AL26" s="7887"/>
      <c r="AM26" s="7887"/>
      <c r="AN26" s="7887"/>
      <c r="AO26" s="7887"/>
      <c r="AP26" s="7887"/>
      <c r="AQ26" s="7887"/>
      <c r="AR26" s="7887"/>
      <c r="AS26" s="7887"/>
      <c r="AT26" s="7887"/>
      <c r="AU26" s="7887"/>
      <c r="AV26" s="7887"/>
      <c r="AW26" s="7887"/>
      <c r="AX26" s="7872"/>
    </row>
    <row r="27" spans="1:50" s="8763" customFormat="1" ht="20.100000000000001" customHeight="1">
      <c r="A27" s="7872"/>
      <c r="B27" s="9341"/>
      <c r="C27" s="8585" t="s">
        <v>1481</v>
      </c>
      <c r="D27" s="8585"/>
      <c r="E27" s="8585"/>
      <c r="F27" s="9118"/>
      <c r="G27" s="8571"/>
      <c r="H27" s="8585" t="s">
        <v>1482</v>
      </c>
      <c r="I27" s="8585"/>
      <c r="J27" s="8525"/>
      <c r="K27" s="7958" t="s">
        <v>168</v>
      </c>
      <c r="L27" s="9119"/>
      <c r="M27" s="9120"/>
      <c r="N27" s="9121"/>
      <c r="O27" s="9122"/>
      <c r="P27" s="7932"/>
      <c r="Q27" s="7932"/>
      <c r="R27" s="8764"/>
      <c r="S27" s="7887"/>
      <c r="T27" s="7887"/>
      <c r="U27" s="7887"/>
      <c r="V27" s="7887"/>
      <c r="W27" s="7887"/>
      <c r="X27" s="7887"/>
      <c r="Y27" s="7887"/>
      <c r="Z27" s="7887"/>
      <c r="AA27" s="7887"/>
      <c r="AB27" s="7887"/>
      <c r="AC27" s="7887"/>
      <c r="AD27" s="7887"/>
      <c r="AE27" s="7887"/>
      <c r="AF27" s="7887"/>
      <c r="AG27" s="7887"/>
      <c r="AH27" s="7887"/>
      <c r="AI27" s="7887"/>
      <c r="AJ27" s="7887"/>
      <c r="AK27" s="7887"/>
      <c r="AL27" s="7887"/>
      <c r="AM27" s="7887"/>
      <c r="AN27" s="7887"/>
      <c r="AO27" s="7887"/>
      <c r="AP27" s="7887"/>
      <c r="AQ27" s="7887"/>
      <c r="AR27" s="7887"/>
      <c r="AS27" s="7887"/>
      <c r="AT27" s="7887"/>
      <c r="AU27" s="7887"/>
      <c r="AV27" s="7887"/>
      <c r="AW27" s="7887"/>
      <c r="AX27" s="7872"/>
    </row>
    <row r="28" spans="1:50" s="8763" customFormat="1" ht="20.100000000000001" customHeight="1">
      <c r="A28" s="7872"/>
      <c r="B28" s="9346"/>
      <c r="C28" s="7939"/>
      <c r="D28" s="8765" t="s">
        <v>1483</v>
      </c>
      <c r="E28" s="8766"/>
      <c r="F28" s="7941" t="s">
        <v>1476</v>
      </c>
      <c r="G28" s="8583"/>
      <c r="H28" s="7940"/>
      <c r="I28" s="8583" t="s">
        <v>3739</v>
      </c>
      <c r="J28" s="8583"/>
      <c r="K28" s="7953" t="s">
        <v>559</v>
      </c>
      <c r="L28" s="7935">
        <v>34</v>
      </c>
      <c r="M28" s="7936">
        <v>24</v>
      </c>
      <c r="N28" s="7937">
        <v>33</v>
      </c>
      <c r="O28" s="8958"/>
      <c r="P28" s="7932" t="s">
        <v>1487</v>
      </c>
      <c r="Q28" s="7955"/>
      <c r="R28" s="7938"/>
      <c r="S28" s="7887"/>
      <c r="T28" s="7887"/>
      <c r="U28" s="7887"/>
      <c r="V28" s="7887"/>
      <c r="W28" s="7887"/>
      <c r="X28" s="7887"/>
      <c r="Y28" s="7887"/>
      <c r="Z28" s="7887"/>
      <c r="AA28" s="7887"/>
      <c r="AB28" s="7887"/>
      <c r="AC28" s="7887"/>
      <c r="AD28" s="7887"/>
      <c r="AE28" s="7887"/>
      <c r="AF28" s="7887"/>
      <c r="AG28" s="7887"/>
      <c r="AH28" s="7887"/>
      <c r="AI28" s="7887"/>
      <c r="AJ28" s="7887"/>
      <c r="AK28" s="7887"/>
      <c r="AL28" s="7887"/>
      <c r="AM28" s="7887"/>
      <c r="AN28" s="7887"/>
      <c r="AO28" s="7887"/>
      <c r="AP28" s="7887"/>
      <c r="AQ28" s="7887"/>
      <c r="AR28" s="7887"/>
      <c r="AS28" s="7887"/>
      <c r="AT28" s="7887"/>
      <c r="AU28" s="7887"/>
      <c r="AV28" s="7887"/>
      <c r="AW28" s="7887"/>
      <c r="AX28" s="7872"/>
    </row>
    <row r="29" spans="1:50" s="8763" customFormat="1" ht="20.100000000000001" customHeight="1">
      <c r="A29" s="7872"/>
      <c r="B29" s="9346"/>
      <c r="C29" s="8504"/>
      <c r="D29" s="8765" t="s">
        <v>1488</v>
      </c>
      <c r="E29" s="8766"/>
      <c r="F29" s="7941" t="s">
        <v>1476</v>
      </c>
      <c r="G29" s="8583"/>
      <c r="H29" s="8508"/>
      <c r="I29" s="8583" t="s">
        <v>1489</v>
      </c>
      <c r="J29" s="8583"/>
      <c r="K29" s="7953" t="s">
        <v>559</v>
      </c>
      <c r="L29" s="7935">
        <v>0</v>
      </c>
      <c r="M29" s="7936">
        <v>0</v>
      </c>
      <c r="N29" s="7937">
        <v>0</v>
      </c>
      <c r="O29" s="8958"/>
      <c r="P29" s="7932" t="s">
        <v>1492</v>
      </c>
      <c r="Q29" s="7955"/>
      <c r="R29" s="7938"/>
      <c r="S29" s="7887"/>
      <c r="T29" s="7887"/>
      <c r="U29" s="7887"/>
      <c r="V29" s="7887"/>
      <c r="W29" s="7887"/>
      <c r="X29" s="7887"/>
      <c r="Y29" s="7887"/>
      <c r="Z29" s="7887"/>
      <c r="AA29" s="7887"/>
      <c r="AB29" s="7887"/>
      <c r="AC29" s="7887"/>
      <c r="AD29" s="7887"/>
      <c r="AE29" s="7887"/>
      <c r="AF29" s="7887"/>
      <c r="AG29" s="7887"/>
      <c r="AH29" s="7887"/>
      <c r="AI29" s="7887"/>
      <c r="AJ29" s="7887"/>
      <c r="AK29" s="7887"/>
      <c r="AL29" s="7887"/>
      <c r="AM29" s="7887"/>
      <c r="AN29" s="7887"/>
      <c r="AO29" s="7887"/>
      <c r="AP29" s="7887"/>
      <c r="AQ29" s="7887"/>
      <c r="AR29" s="7887"/>
      <c r="AS29" s="7887"/>
      <c r="AT29" s="7887"/>
      <c r="AU29" s="7887"/>
      <c r="AV29" s="7887"/>
      <c r="AW29" s="7887"/>
      <c r="AX29" s="7872"/>
    </row>
    <row r="30" spans="1:50" s="8763" customFormat="1" ht="20.100000000000001" customHeight="1">
      <c r="A30" s="7872"/>
      <c r="B30" s="9341"/>
      <c r="C30" s="8585" t="s">
        <v>1493</v>
      </c>
      <c r="D30" s="8585"/>
      <c r="E30" s="8585"/>
      <c r="F30" s="9118"/>
      <c r="G30" s="8571"/>
      <c r="H30" s="8585" t="s">
        <v>1494</v>
      </c>
      <c r="I30" s="8585"/>
      <c r="J30" s="8525"/>
      <c r="K30" s="7958" t="s">
        <v>168</v>
      </c>
      <c r="L30" s="9123"/>
      <c r="M30" s="9124"/>
      <c r="N30" s="9125"/>
      <c r="O30" s="9056"/>
      <c r="P30" s="7932"/>
      <c r="Q30" s="7932"/>
      <c r="R30" s="8764"/>
      <c r="S30" s="7887"/>
      <c r="T30" s="7887"/>
      <c r="U30" s="7887"/>
      <c r="V30" s="7887"/>
      <c r="W30" s="7887"/>
      <c r="X30" s="7887"/>
      <c r="Y30" s="7887"/>
      <c r="Z30" s="7887"/>
      <c r="AA30" s="7887"/>
      <c r="AB30" s="7887"/>
      <c r="AC30" s="7887"/>
      <c r="AD30" s="7887"/>
      <c r="AE30" s="7887"/>
      <c r="AF30" s="7887"/>
      <c r="AG30" s="7887"/>
      <c r="AH30" s="7887"/>
      <c r="AI30" s="7887"/>
      <c r="AJ30" s="7887"/>
      <c r="AK30" s="7887"/>
      <c r="AL30" s="7887"/>
      <c r="AM30" s="7887"/>
      <c r="AN30" s="7887"/>
      <c r="AO30" s="7887"/>
      <c r="AP30" s="7887"/>
      <c r="AQ30" s="7887"/>
      <c r="AR30" s="7887"/>
      <c r="AS30" s="7887"/>
      <c r="AT30" s="7887"/>
      <c r="AU30" s="7887"/>
      <c r="AV30" s="7887"/>
      <c r="AW30" s="7887"/>
      <c r="AX30" s="7872"/>
    </row>
    <row r="31" spans="1:50" s="7887" customFormat="1" ht="19.5" customHeight="1">
      <c r="B31" s="9339"/>
      <c r="C31" s="8508"/>
      <c r="D31" s="8765" t="s">
        <v>1495</v>
      </c>
      <c r="E31" s="8766"/>
      <c r="F31" s="7941" t="s">
        <v>154</v>
      </c>
      <c r="G31" s="8583"/>
      <c r="H31" s="8508"/>
      <c r="I31" s="8505" t="s">
        <v>1496</v>
      </c>
      <c r="J31" s="8505"/>
      <c r="K31" s="7941" t="s">
        <v>154</v>
      </c>
      <c r="L31" s="7942">
        <v>90</v>
      </c>
      <c r="M31" s="7943">
        <v>93.55</v>
      </c>
      <c r="N31" s="7944">
        <v>100</v>
      </c>
      <c r="O31" s="8962" t="s">
        <v>2007</v>
      </c>
      <c r="P31" s="7932" t="s">
        <v>1499</v>
      </c>
      <c r="Q31" s="7955"/>
      <c r="R31" s="7938"/>
    </row>
    <row r="32" spans="1:50" s="7887" customFormat="1" ht="20.100000000000001" customHeight="1">
      <c r="B32" s="9339"/>
      <c r="C32" s="7939"/>
      <c r="D32" s="8765" t="s">
        <v>1500</v>
      </c>
      <c r="E32" s="8766"/>
      <c r="F32" s="7941" t="s">
        <v>154</v>
      </c>
      <c r="G32" s="8583"/>
      <c r="H32" s="7940"/>
      <c r="I32" s="8505" t="s">
        <v>1501</v>
      </c>
      <c r="J32" s="8505"/>
      <c r="K32" s="7941" t="s">
        <v>154</v>
      </c>
      <c r="L32" s="7942">
        <v>97.77</v>
      </c>
      <c r="M32" s="7943">
        <v>100</v>
      </c>
      <c r="N32" s="7944">
        <v>96</v>
      </c>
      <c r="O32" s="8962" t="s">
        <v>2008</v>
      </c>
      <c r="P32" s="7932" t="s">
        <v>1504</v>
      </c>
      <c r="Q32" s="7955"/>
      <c r="R32" s="7938"/>
    </row>
    <row r="33" spans="1:50" s="7887" customFormat="1" ht="20.100000000000001" customHeight="1">
      <c r="B33" s="9339"/>
      <c r="C33" s="8504"/>
      <c r="D33" s="8765" t="s">
        <v>1505</v>
      </c>
      <c r="E33" s="8766"/>
      <c r="F33" s="7941" t="s">
        <v>154</v>
      </c>
      <c r="G33" s="8583"/>
      <c r="H33" s="8508"/>
      <c r="I33" s="8505" t="s">
        <v>1506</v>
      </c>
      <c r="J33" s="8505"/>
      <c r="K33" s="7941" t="s">
        <v>154</v>
      </c>
      <c r="L33" s="7942">
        <v>100</v>
      </c>
      <c r="M33" s="7943">
        <v>100</v>
      </c>
      <c r="N33" s="7944">
        <v>0</v>
      </c>
      <c r="O33" s="8962" t="s">
        <v>2009</v>
      </c>
      <c r="P33" s="7932" t="s">
        <v>1509</v>
      </c>
      <c r="Q33" s="7955"/>
      <c r="R33" s="7938"/>
    </row>
    <row r="34" spans="1:50" s="7887" customFormat="1" ht="20.100000000000001" customHeight="1">
      <c r="B34" s="9339"/>
      <c r="C34" s="7939"/>
      <c r="D34" s="8765" t="s">
        <v>1510</v>
      </c>
      <c r="E34" s="8766"/>
      <c r="F34" s="7941" t="s">
        <v>154</v>
      </c>
      <c r="G34" s="8583"/>
      <c r="H34" s="7940"/>
      <c r="I34" s="8505" t="s">
        <v>1511</v>
      </c>
      <c r="J34" s="8505"/>
      <c r="K34" s="7941" t="s">
        <v>154</v>
      </c>
      <c r="L34" s="7942">
        <v>100</v>
      </c>
      <c r="M34" s="7943">
        <v>100</v>
      </c>
      <c r="N34" s="7944">
        <v>100</v>
      </c>
      <c r="O34" s="8962" t="s">
        <v>2010</v>
      </c>
      <c r="P34" s="7932" t="s">
        <v>1514</v>
      </c>
      <c r="Q34" s="7955"/>
      <c r="R34" s="7938"/>
    </row>
    <row r="35" spans="1:50" s="7887" customFormat="1" ht="20.100000000000001" customHeight="1">
      <c r="B35" s="9339"/>
      <c r="C35" s="7939"/>
      <c r="D35" s="8765" t="s">
        <v>1515</v>
      </c>
      <c r="E35" s="8766"/>
      <c r="F35" s="7941" t="s">
        <v>154</v>
      </c>
      <c r="G35" s="8583"/>
      <c r="H35" s="7940"/>
      <c r="I35" s="8505" t="s">
        <v>1516</v>
      </c>
      <c r="J35" s="8505"/>
      <c r="K35" s="7941" t="s">
        <v>154</v>
      </c>
      <c r="L35" s="7942">
        <v>94.44</v>
      </c>
      <c r="M35" s="7943">
        <v>100</v>
      </c>
      <c r="N35" s="7944">
        <v>100</v>
      </c>
      <c r="O35" s="8962" t="s">
        <v>2011</v>
      </c>
      <c r="P35" s="7932" t="s">
        <v>1519</v>
      </c>
      <c r="Q35" s="7955"/>
      <c r="R35" s="7938"/>
    </row>
    <row r="36" spans="1:50" s="7887" customFormat="1" ht="20.100000000000001" customHeight="1">
      <c r="B36" s="8536"/>
      <c r="C36" s="8642" t="s">
        <v>1520</v>
      </c>
      <c r="D36" s="8642"/>
      <c r="E36" s="8642"/>
      <c r="F36" s="7957" t="s">
        <v>742</v>
      </c>
      <c r="G36" s="8571"/>
      <c r="H36" s="8585" t="s">
        <v>1521</v>
      </c>
      <c r="I36" s="8585"/>
      <c r="J36" s="8525"/>
      <c r="K36" s="7957" t="s">
        <v>734</v>
      </c>
      <c r="L36" s="7959">
        <v>3</v>
      </c>
      <c r="M36" s="7960">
        <v>4</v>
      </c>
      <c r="N36" s="7961">
        <v>4</v>
      </c>
      <c r="O36" s="9057"/>
      <c r="P36" s="8944" t="s">
        <v>1522</v>
      </c>
      <c r="Q36" s="7962"/>
      <c r="R36" s="7963"/>
    </row>
    <row r="37" spans="1:50" s="7887" customFormat="1" ht="20.100000000000001" customHeight="1" thickBot="1">
      <c r="B37" s="8536"/>
      <c r="C37" s="8642" t="s">
        <v>1523</v>
      </c>
      <c r="D37" s="8642"/>
      <c r="E37" s="8642"/>
      <c r="F37" s="7957" t="s">
        <v>742</v>
      </c>
      <c r="G37" s="8767"/>
      <c r="H37" s="8768" t="s">
        <v>1524</v>
      </c>
      <c r="I37" s="8768"/>
      <c r="J37" s="8769"/>
      <c r="K37" s="9196" t="s">
        <v>734</v>
      </c>
      <c r="L37" s="7964">
        <v>3</v>
      </c>
      <c r="M37" s="7965">
        <v>4</v>
      </c>
      <c r="N37" s="7966">
        <v>4</v>
      </c>
      <c r="O37" s="9057"/>
      <c r="P37" s="8944" t="s">
        <v>1525</v>
      </c>
      <c r="Q37" s="7962"/>
      <c r="R37" s="7963"/>
    </row>
    <row r="38" spans="1:50" s="7887" customFormat="1" ht="21.75" thickBot="1">
      <c r="A38" s="7872"/>
      <c r="B38" s="9337" t="s">
        <v>1534</v>
      </c>
      <c r="C38" s="8759"/>
      <c r="D38" s="8759"/>
      <c r="E38" s="8759"/>
      <c r="F38" s="7923"/>
      <c r="G38" s="8760" t="s">
        <v>1440</v>
      </c>
      <c r="H38" s="8761"/>
      <c r="I38" s="8761"/>
      <c r="J38" s="8762"/>
      <c r="K38" s="7924"/>
      <c r="L38" s="7925"/>
      <c r="M38" s="7926"/>
      <c r="N38" s="7927"/>
      <c r="O38" s="9058"/>
      <c r="P38" s="7928"/>
      <c r="Q38" s="7928"/>
      <c r="R38" s="7929"/>
      <c r="AX38" s="7872"/>
    </row>
    <row r="39" spans="1:50" s="7887" customFormat="1" ht="20.100000000000001" customHeight="1">
      <c r="A39" s="7872"/>
      <c r="B39" s="8731"/>
      <c r="C39" s="9828" t="s">
        <v>2014</v>
      </c>
      <c r="D39" s="9829"/>
      <c r="E39" s="9829"/>
      <c r="F39" s="9830"/>
      <c r="G39" s="9126"/>
      <c r="H39" s="9829" t="s">
        <v>1535</v>
      </c>
      <c r="I39" s="9829"/>
      <c r="J39" s="9829"/>
      <c r="K39" s="9829" t="s">
        <v>168</v>
      </c>
      <c r="L39" s="9127"/>
      <c r="M39" s="9128"/>
      <c r="N39" s="9129"/>
      <c r="O39" s="9117"/>
      <c r="P39" s="8943"/>
      <c r="Q39" s="7970"/>
      <c r="R39" s="7971"/>
      <c r="AX39" s="7872"/>
    </row>
    <row r="40" spans="1:50" s="7887" customFormat="1" ht="20.100000000000001" customHeight="1">
      <c r="A40" s="7872"/>
      <c r="B40" s="9339"/>
      <c r="C40" s="7972"/>
      <c r="D40" s="9395" t="s">
        <v>1538</v>
      </c>
      <c r="E40" s="8564"/>
      <c r="F40" s="7952" t="s">
        <v>33</v>
      </c>
      <c r="G40" s="8583"/>
      <c r="H40" s="7973"/>
      <c r="I40" s="8584" t="s">
        <v>1537</v>
      </c>
      <c r="J40" s="8584"/>
      <c r="K40" s="7952" t="s">
        <v>35</v>
      </c>
      <c r="L40" s="7935">
        <v>975</v>
      </c>
      <c r="M40" s="7936">
        <v>2044</v>
      </c>
      <c r="N40" s="7937">
        <v>1303</v>
      </c>
      <c r="O40" s="9347"/>
      <c r="P40" s="8944" t="s">
        <v>1540</v>
      </c>
      <c r="Q40" s="7962"/>
      <c r="R40" s="7963"/>
      <c r="AX40" s="7872"/>
    </row>
    <row r="41" spans="1:50" s="7887" customFormat="1" ht="20.100000000000001" customHeight="1">
      <c r="A41" s="7872"/>
      <c r="B41" s="9339"/>
      <c r="C41" s="7974"/>
      <c r="D41" s="9387" t="s">
        <v>1542</v>
      </c>
      <c r="E41" s="8766"/>
      <c r="F41" s="7953" t="s">
        <v>33</v>
      </c>
      <c r="G41" s="8583"/>
      <c r="H41" s="7975"/>
      <c r="I41" s="8745" t="s">
        <v>1541</v>
      </c>
      <c r="J41" s="8745"/>
      <c r="K41" s="7976" t="s">
        <v>35</v>
      </c>
      <c r="L41" s="7935">
        <v>181</v>
      </c>
      <c r="M41" s="7936">
        <v>227</v>
      </c>
      <c r="N41" s="7937">
        <v>240</v>
      </c>
      <c r="O41" s="9347"/>
      <c r="P41" s="7932" t="s">
        <v>1544</v>
      </c>
      <c r="Q41" s="7955"/>
      <c r="R41" s="7938"/>
      <c r="AX41" s="7872"/>
    </row>
    <row r="42" spans="1:50" s="7887" customFormat="1" ht="20.100000000000001" customHeight="1" thickBot="1">
      <c r="A42" s="7872"/>
      <c r="B42" s="9422"/>
      <c r="C42" s="9831" t="s">
        <v>1545</v>
      </c>
      <c r="D42" s="9832"/>
      <c r="E42" s="9833"/>
      <c r="F42" s="9196" t="s">
        <v>156</v>
      </c>
      <c r="G42" s="9423"/>
      <c r="H42" s="9834" t="s">
        <v>1546</v>
      </c>
      <c r="I42" s="9835"/>
      <c r="J42" s="9836"/>
      <c r="K42" s="9196" t="s">
        <v>154</v>
      </c>
      <c r="L42" s="9424">
        <f>L43/L44*100</f>
        <v>0</v>
      </c>
      <c r="M42" s="9425">
        <f>M43/M44*100</f>
        <v>0</v>
      </c>
      <c r="N42" s="9426">
        <f>N43/N44*100</f>
        <v>0</v>
      </c>
      <c r="O42" s="9059" t="s">
        <v>2015</v>
      </c>
      <c r="P42" s="7932" t="s">
        <v>1549</v>
      </c>
      <c r="Q42" s="7955"/>
      <c r="R42" s="7938"/>
      <c r="AX42" s="7872"/>
    </row>
    <row r="43" spans="1:50" s="7887" customFormat="1" ht="20.100000000000001" hidden="1" customHeight="1">
      <c r="A43" s="7872"/>
      <c r="B43" s="9360"/>
      <c r="C43" s="9416"/>
      <c r="D43" s="9417" t="s">
        <v>1550</v>
      </c>
      <c r="E43" s="9418"/>
      <c r="F43" s="7934" t="s">
        <v>33</v>
      </c>
      <c r="G43" s="8584"/>
      <c r="H43" s="7980"/>
      <c r="I43" s="8584" t="s">
        <v>1551</v>
      </c>
      <c r="J43" s="8584"/>
      <c r="K43" s="7952" t="s">
        <v>35</v>
      </c>
      <c r="L43" s="9419">
        <v>0</v>
      </c>
      <c r="M43" s="9420">
        <v>0</v>
      </c>
      <c r="N43" s="9421">
        <v>0</v>
      </c>
      <c r="O43" s="8958"/>
      <c r="P43" s="8944" t="s">
        <v>1549</v>
      </c>
      <c r="Q43" s="7962"/>
      <c r="R43" s="7938"/>
      <c r="AX43" s="7872"/>
    </row>
    <row r="44" spans="1:50" s="7887" customFormat="1" ht="20.100000000000001" hidden="1" customHeight="1" thickBot="1">
      <c r="A44" s="7872"/>
      <c r="B44" s="9339"/>
      <c r="C44" s="8771"/>
      <c r="D44" s="8772" t="s">
        <v>1552</v>
      </c>
      <c r="E44" s="8771"/>
      <c r="F44" s="7981" t="s">
        <v>33</v>
      </c>
      <c r="G44" s="8692"/>
      <c r="H44" s="7982"/>
      <c r="I44" s="8692" t="s">
        <v>1553</v>
      </c>
      <c r="J44" s="8692"/>
      <c r="K44" s="7983" t="s">
        <v>35</v>
      </c>
      <c r="L44" s="7984">
        <v>650</v>
      </c>
      <c r="M44" s="7985">
        <v>690</v>
      </c>
      <c r="N44" s="7986">
        <v>720</v>
      </c>
      <c r="O44" s="9060"/>
      <c r="P44" s="9049" t="s">
        <v>1549</v>
      </c>
      <c r="Q44" s="7987"/>
      <c r="R44" s="7988"/>
      <c r="AX44" s="7872"/>
    </row>
    <row r="45" spans="1:50" s="7887" customFormat="1" ht="21.75" thickBot="1">
      <c r="A45" s="7872"/>
      <c r="B45" s="9396" t="s">
        <v>1555</v>
      </c>
      <c r="C45" s="9397"/>
      <c r="D45" s="9397"/>
      <c r="E45" s="9397"/>
      <c r="F45" s="9397"/>
      <c r="G45" s="9398" t="s">
        <v>1556</v>
      </c>
      <c r="H45" s="9397"/>
      <c r="I45" s="9397"/>
      <c r="J45" s="9397"/>
      <c r="K45" s="9399"/>
      <c r="L45" s="7925"/>
      <c r="M45" s="7926"/>
      <c r="N45" s="7927"/>
      <c r="O45" s="9400"/>
      <c r="P45" s="7989"/>
      <c r="Q45" s="7989"/>
      <c r="R45" s="7990"/>
      <c r="AX45" s="7872"/>
    </row>
    <row r="46" spans="1:50" s="7887" customFormat="1" ht="20.100000000000001" customHeight="1">
      <c r="B46" s="9401"/>
      <c r="C46" s="9819" t="s">
        <v>1557</v>
      </c>
      <c r="D46" s="9820"/>
      <c r="E46" s="9821"/>
      <c r="F46" s="9402" t="s">
        <v>156</v>
      </c>
      <c r="G46" s="9403"/>
      <c r="H46" s="9822" t="s">
        <v>1558</v>
      </c>
      <c r="I46" s="9823"/>
      <c r="J46" s="9824"/>
      <c r="K46" s="9402" t="s">
        <v>156</v>
      </c>
      <c r="L46" s="7977">
        <f>L47/L48*100</f>
        <v>40.019095388033222</v>
      </c>
      <c r="M46" s="7978">
        <f>M47/M48*100</f>
        <v>48.507536747687816</v>
      </c>
      <c r="N46" s="7979">
        <f>N47/N48*100</f>
        <v>33.597766236127903</v>
      </c>
      <c r="O46" s="9061"/>
      <c r="P46" s="7932" t="s">
        <v>1561</v>
      </c>
      <c r="Q46" s="7992"/>
      <c r="R46" s="7993"/>
    </row>
    <row r="47" spans="1:50" s="7887" customFormat="1" ht="20.100000000000001" hidden="1" customHeight="1">
      <c r="B47" s="9404"/>
      <c r="C47" s="9405"/>
      <c r="D47" s="7994" t="s">
        <v>1562</v>
      </c>
      <c r="E47" s="8860"/>
      <c r="F47" s="8151" t="s">
        <v>1563</v>
      </c>
      <c r="G47" s="8860"/>
      <c r="H47" s="8041"/>
      <c r="I47" s="7994" t="s">
        <v>1564</v>
      </c>
      <c r="J47" s="7994"/>
      <c r="K47" s="8151" t="s">
        <v>1565</v>
      </c>
      <c r="L47" s="7935">
        <v>16330477</v>
      </c>
      <c r="M47" s="7936">
        <v>23148659</v>
      </c>
      <c r="N47" s="7937">
        <v>41134270</v>
      </c>
      <c r="O47" s="8958"/>
      <c r="P47" s="7932" t="s">
        <v>1561</v>
      </c>
      <c r="Q47" s="7992"/>
      <c r="R47" s="7993"/>
    </row>
    <row r="48" spans="1:50" s="7887" customFormat="1" ht="20.100000000000001" hidden="1" customHeight="1">
      <c r="B48" s="9404"/>
      <c r="C48" s="9406"/>
      <c r="D48" s="7994" t="s">
        <v>1567</v>
      </c>
      <c r="E48" s="8776"/>
      <c r="F48" s="8151" t="s">
        <v>1563</v>
      </c>
      <c r="G48" s="8860"/>
      <c r="H48" s="8790"/>
      <c r="I48" s="7994" t="s">
        <v>1568</v>
      </c>
      <c r="J48" s="7994"/>
      <c r="K48" s="8151" t="s">
        <v>1565</v>
      </c>
      <c r="L48" s="7995">
        <v>40806712</v>
      </c>
      <c r="M48" s="7996">
        <v>47721778</v>
      </c>
      <c r="N48" s="7997">
        <v>122431562</v>
      </c>
      <c r="O48" s="8958"/>
      <c r="P48" s="7932" t="s">
        <v>1561</v>
      </c>
      <c r="Q48" s="7992"/>
      <c r="R48" s="7993"/>
    </row>
    <row r="49" spans="1:50" s="7887" customFormat="1" ht="20.100000000000001" customHeight="1">
      <c r="B49" s="9407"/>
      <c r="C49" s="9825" t="s">
        <v>3623</v>
      </c>
      <c r="D49" s="9826"/>
      <c r="E49" s="9827"/>
      <c r="F49" s="8841" t="s">
        <v>156</v>
      </c>
      <c r="G49" s="8887"/>
      <c r="H49" s="9822" t="s">
        <v>1570</v>
      </c>
      <c r="I49" s="9823"/>
      <c r="J49" s="9824"/>
      <c r="K49" s="8841" t="s">
        <v>156</v>
      </c>
      <c r="L49" s="7977">
        <f>L50/L51*100</f>
        <v>0</v>
      </c>
      <c r="M49" s="7978">
        <f>M50/M51*100</f>
        <v>0</v>
      </c>
      <c r="N49" s="8901">
        <f>N50/N51*100</f>
        <v>1.6335656977079161E-2</v>
      </c>
      <c r="O49" s="9062" t="s">
        <v>3621</v>
      </c>
      <c r="P49" s="7932" t="s">
        <v>1573</v>
      </c>
      <c r="Q49" s="7992"/>
      <c r="R49" s="7993"/>
    </row>
    <row r="50" spans="1:50" s="7887" customFormat="1" ht="20.100000000000001" hidden="1" customHeight="1">
      <c r="B50" s="9404"/>
      <c r="C50" s="8653"/>
      <c r="D50" s="9408" t="s">
        <v>3624</v>
      </c>
      <c r="E50" s="9409"/>
      <c r="F50" s="8151" t="s">
        <v>1563</v>
      </c>
      <c r="G50" s="8652"/>
      <c r="H50" s="9405"/>
      <c r="I50" s="9408" t="s">
        <v>1575</v>
      </c>
      <c r="J50" s="9410"/>
      <c r="K50" s="8151" t="s">
        <v>1565</v>
      </c>
      <c r="L50" s="7935">
        <v>0</v>
      </c>
      <c r="M50" s="7936">
        <v>0</v>
      </c>
      <c r="N50" s="8002">
        <v>20000</v>
      </c>
      <c r="O50" s="8958"/>
      <c r="P50" s="7932" t="s">
        <v>1573</v>
      </c>
      <c r="Q50" s="7992"/>
      <c r="R50" s="7993"/>
    </row>
    <row r="51" spans="1:50" s="7887" customFormat="1" ht="20.100000000000001" hidden="1" customHeight="1">
      <c r="B51" s="9404"/>
      <c r="C51" s="8653"/>
      <c r="D51" s="8776" t="s">
        <v>1567</v>
      </c>
      <c r="E51" s="8777"/>
      <c r="F51" s="8151" t="s">
        <v>1563</v>
      </c>
      <c r="G51" s="8652"/>
      <c r="H51" s="9406"/>
      <c r="I51" s="8776" t="s">
        <v>1576</v>
      </c>
      <c r="J51" s="8778"/>
      <c r="K51" s="8151" t="s">
        <v>1565</v>
      </c>
      <c r="L51" s="7995">
        <v>40806712</v>
      </c>
      <c r="M51" s="7996">
        <v>47721778</v>
      </c>
      <c r="N51" s="7997">
        <v>122431562</v>
      </c>
      <c r="O51" s="8958"/>
      <c r="P51" s="7932" t="s">
        <v>1573</v>
      </c>
      <c r="Q51" s="7992"/>
      <c r="R51" s="7993"/>
    </row>
    <row r="52" spans="1:50" s="7887" customFormat="1" ht="19.5" hidden="1" customHeight="1">
      <c r="B52" s="9407"/>
      <c r="C52" s="9819" t="s">
        <v>1577</v>
      </c>
      <c r="D52" s="9820"/>
      <c r="E52" s="9821"/>
      <c r="F52" s="9411" t="s">
        <v>156</v>
      </c>
      <c r="G52" s="9412"/>
      <c r="H52" s="9819" t="s">
        <v>1578</v>
      </c>
      <c r="I52" s="9820"/>
      <c r="J52" s="9821"/>
      <c r="K52" s="9411" t="s">
        <v>156</v>
      </c>
      <c r="L52" s="7977">
        <f>L53/L54*100</f>
        <v>0</v>
      </c>
      <c r="M52" s="7978">
        <f>M53/M54*100</f>
        <v>0</v>
      </c>
      <c r="N52" s="7979">
        <f>N53/N54*100</f>
        <v>0</v>
      </c>
      <c r="O52" s="9062"/>
      <c r="P52" s="7932" t="s">
        <v>1581</v>
      </c>
      <c r="Q52" s="7992"/>
      <c r="R52" s="7993"/>
    </row>
    <row r="53" spans="1:50" s="7887" customFormat="1" ht="20.100000000000001" hidden="1" customHeight="1">
      <c r="B53" s="9404"/>
      <c r="C53" s="8653"/>
      <c r="D53" s="9408" t="s">
        <v>3761</v>
      </c>
      <c r="E53" s="8777"/>
      <c r="F53" s="8151" t="s">
        <v>1563</v>
      </c>
      <c r="G53" s="8652"/>
      <c r="H53" s="9405"/>
      <c r="I53" s="9408" t="s">
        <v>1583</v>
      </c>
      <c r="J53" s="9410"/>
      <c r="K53" s="8151" t="s">
        <v>1565</v>
      </c>
      <c r="L53" s="7935">
        <v>0</v>
      </c>
      <c r="M53" s="7936">
        <v>0</v>
      </c>
      <c r="N53" s="7937">
        <v>0</v>
      </c>
      <c r="O53" s="8958"/>
      <c r="P53" s="7932" t="s">
        <v>1581</v>
      </c>
      <c r="Q53" s="7992"/>
      <c r="R53" s="7993"/>
    </row>
    <row r="54" spans="1:50" s="7887" customFormat="1" ht="20.100000000000001" hidden="1" customHeight="1">
      <c r="B54" s="9404"/>
      <c r="C54" s="8653"/>
      <c r="D54" s="8776" t="s">
        <v>1584</v>
      </c>
      <c r="F54" s="8151" t="s">
        <v>1563</v>
      </c>
      <c r="G54" s="8652"/>
      <c r="H54" s="9406"/>
      <c r="I54" s="8776" t="s">
        <v>1585</v>
      </c>
      <c r="J54" s="8778"/>
      <c r="K54" s="8151" t="s">
        <v>1565</v>
      </c>
      <c r="L54" s="7935">
        <v>29176998</v>
      </c>
      <c r="M54" s="7936">
        <v>29176998</v>
      </c>
      <c r="N54" s="7937">
        <v>29176998</v>
      </c>
      <c r="O54" s="8958"/>
      <c r="P54" s="7932" t="s">
        <v>1581</v>
      </c>
      <c r="Q54" s="7970"/>
      <c r="R54" s="7971"/>
    </row>
    <row r="55" spans="1:50" s="7887" customFormat="1" ht="20.100000000000001" customHeight="1" thickBot="1">
      <c r="B55" s="9339"/>
      <c r="C55" s="9837" t="s">
        <v>1586</v>
      </c>
      <c r="D55" s="9838"/>
      <c r="E55" s="9839"/>
      <c r="F55" s="7957" t="s">
        <v>156</v>
      </c>
      <c r="G55" s="8599"/>
      <c r="H55" s="8868" t="s">
        <v>3735</v>
      </c>
      <c r="I55" s="8779"/>
      <c r="J55" s="8780"/>
      <c r="K55" s="7957" t="s">
        <v>156</v>
      </c>
      <c r="L55" s="7964" t="s">
        <v>169</v>
      </c>
      <c r="M55" s="7965" t="s">
        <v>169</v>
      </c>
      <c r="N55" s="9076" t="s">
        <v>169</v>
      </c>
      <c r="O55" s="9063"/>
      <c r="P55" s="7932" t="s">
        <v>1588</v>
      </c>
      <c r="Q55" s="7955"/>
      <c r="R55" s="7999"/>
    </row>
    <row r="56" spans="1:50" s="7887" customFormat="1" ht="34.5" hidden="1" customHeight="1">
      <c r="B56" s="8536"/>
      <c r="C56" s="9837" t="s">
        <v>1589</v>
      </c>
      <c r="D56" s="9838"/>
      <c r="E56" s="9839"/>
      <c r="F56" s="7957" t="s">
        <v>156</v>
      </c>
      <c r="G56" s="8599"/>
      <c r="H56" s="9840" t="s">
        <v>1590</v>
      </c>
      <c r="I56" s="9838"/>
      <c r="J56" s="9839"/>
      <c r="K56" s="7957" t="s">
        <v>156</v>
      </c>
      <c r="L56" s="8000">
        <v>0.59523809523809523</v>
      </c>
      <c r="M56" s="7978">
        <v>32.335329341317362</v>
      </c>
      <c r="N56" s="7979">
        <v>-333.39100346020763</v>
      </c>
      <c r="O56" s="9062" t="s">
        <v>2016</v>
      </c>
      <c r="P56" s="7932" t="s">
        <v>1593</v>
      </c>
      <c r="Q56" s="7992"/>
      <c r="R56" s="7938"/>
    </row>
    <row r="57" spans="1:50" s="7887" customFormat="1" ht="20.100000000000001" hidden="1" customHeight="1">
      <c r="B57" s="8536"/>
      <c r="C57" s="7972"/>
      <c r="D57" s="8770" t="s">
        <v>2017</v>
      </c>
      <c r="E57" s="8612"/>
      <c r="F57" s="7941" t="s">
        <v>1595</v>
      </c>
      <c r="G57" s="8781"/>
      <c r="H57" s="7972"/>
      <c r="I57" s="8770" t="s">
        <v>1596</v>
      </c>
      <c r="J57" s="8775"/>
      <c r="K57" s="7941" t="s">
        <v>1597</v>
      </c>
      <c r="L57" s="7935">
        <v>25200</v>
      </c>
      <c r="M57" s="8001">
        <v>25050</v>
      </c>
      <c r="N57" s="8002">
        <v>5780</v>
      </c>
      <c r="O57" s="8958" t="s">
        <v>2018</v>
      </c>
      <c r="P57" s="7932" t="s">
        <v>1598</v>
      </c>
      <c r="Q57" s="7992"/>
      <c r="R57" s="7993"/>
    </row>
    <row r="58" spans="1:50" s="7887" customFormat="1" ht="20.100000000000001" hidden="1" customHeight="1">
      <c r="B58" s="8536"/>
      <c r="C58" s="7972"/>
      <c r="D58" s="8776" t="s">
        <v>2019</v>
      </c>
      <c r="E58" s="8777"/>
      <c r="F58" s="8003" t="s">
        <v>1595</v>
      </c>
      <c r="G58" s="8782"/>
      <c r="H58" s="8004"/>
      <c r="I58" s="8777" t="s">
        <v>1601</v>
      </c>
      <c r="J58" s="8783"/>
      <c r="K58" s="7941" t="s">
        <v>1597</v>
      </c>
      <c r="L58" s="7935">
        <v>25050</v>
      </c>
      <c r="M58" s="7936">
        <v>16950</v>
      </c>
      <c r="N58" s="7937">
        <v>25050</v>
      </c>
      <c r="O58" s="8958" t="s">
        <v>2018</v>
      </c>
      <c r="P58" s="7932" t="s">
        <v>1598</v>
      </c>
      <c r="Q58" s="7992"/>
      <c r="R58" s="7993"/>
    </row>
    <row r="59" spans="1:50" s="7887" customFormat="1" ht="20.100000000000001" hidden="1" customHeight="1" thickBot="1">
      <c r="B59" s="9342"/>
      <c r="C59" s="7974"/>
      <c r="D59" s="8784" t="s">
        <v>2020</v>
      </c>
      <c r="E59" s="8777"/>
      <c r="F59" s="8003" t="s">
        <v>1595</v>
      </c>
      <c r="G59" s="8785"/>
      <c r="H59" s="8005"/>
      <c r="I59" s="8786" t="s">
        <v>1603</v>
      </c>
      <c r="J59" s="8783"/>
      <c r="K59" s="7941" t="s">
        <v>1597</v>
      </c>
      <c r="L59" s="7984">
        <v>0</v>
      </c>
      <c r="M59" s="7985">
        <v>0</v>
      </c>
      <c r="N59" s="7986">
        <v>0</v>
      </c>
      <c r="O59" s="9060" t="s">
        <v>2018</v>
      </c>
      <c r="P59" s="8944" t="s">
        <v>1598</v>
      </c>
      <c r="Q59" s="7970"/>
      <c r="R59" s="7971"/>
    </row>
    <row r="60" spans="1:50" s="7887" customFormat="1" ht="21.75" thickBot="1">
      <c r="A60" s="7872"/>
      <c r="B60" s="9337" t="s">
        <v>1604</v>
      </c>
      <c r="C60" s="8759"/>
      <c r="D60" s="8759"/>
      <c r="E60" s="8759"/>
      <c r="F60" s="7923"/>
      <c r="G60" s="8758" t="s">
        <v>1440</v>
      </c>
      <c r="H60" s="7950"/>
      <c r="I60" s="8759"/>
      <c r="J60" s="8759"/>
      <c r="K60" s="7923"/>
      <c r="L60" s="7925"/>
      <c r="M60" s="7926"/>
      <c r="N60" s="7927"/>
      <c r="O60" s="9055"/>
      <c r="P60" s="7928"/>
      <c r="Q60" s="7928"/>
      <c r="R60" s="7929"/>
      <c r="AX60" s="7872"/>
    </row>
    <row r="61" spans="1:50" s="7887" customFormat="1" ht="20.100000000000001" customHeight="1">
      <c r="B61" s="9339"/>
      <c r="C61" s="9837" t="s">
        <v>1605</v>
      </c>
      <c r="D61" s="9838"/>
      <c r="E61" s="9839"/>
      <c r="F61" s="7991" t="s">
        <v>156</v>
      </c>
      <c r="G61" s="8787"/>
      <c r="H61" s="9840" t="s">
        <v>1606</v>
      </c>
      <c r="I61" s="9838"/>
      <c r="J61" s="9839"/>
      <c r="K61" s="7991" t="s">
        <v>156</v>
      </c>
      <c r="L61" s="7977">
        <f>L62/L63*100</f>
        <v>0</v>
      </c>
      <c r="M61" s="7978">
        <f>M62/M63*100</f>
        <v>0</v>
      </c>
      <c r="N61" s="7979">
        <f>N62/N63*100</f>
        <v>0</v>
      </c>
      <c r="O61" s="9064" t="s">
        <v>2021</v>
      </c>
      <c r="P61" s="7932" t="s">
        <v>1609</v>
      </c>
      <c r="Q61" s="7992"/>
      <c r="R61" s="7993"/>
    </row>
    <row r="62" spans="1:50" s="7887" customFormat="1" ht="20.100000000000001" hidden="1" customHeight="1">
      <c r="B62" s="8536"/>
      <c r="C62" s="8774"/>
      <c r="D62" s="8776" t="s">
        <v>1610</v>
      </c>
      <c r="E62" s="8777"/>
      <c r="F62" s="7941" t="s">
        <v>33</v>
      </c>
      <c r="G62" s="7994"/>
      <c r="H62" s="8041"/>
      <c r="I62" s="8776" t="s">
        <v>1611</v>
      </c>
      <c r="J62" s="8041"/>
      <c r="K62" s="7941" t="s">
        <v>35</v>
      </c>
      <c r="L62" s="7935">
        <v>0</v>
      </c>
      <c r="M62" s="7936">
        <v>0</v>
      </c>
      <c r="N62" s="7937">
        <v>0</v>
      </c>
      <c r="O62" s="8958"/>
      <c r="P62" s="7932" t="s">
        <v>1609</v>
      </c>
      <c r="Q62" s="7992"/>
      <c r="R62" s="7993"/>
    </row>
    <row r="63" spans="1:50" s="7887" customFormat="1" ht="20.100000000000001" hidden="1" customHeight="1">
      <c r="B63" s="8536"/>
      <c r="C63" s="8639"/>
      <c r="D63" s="8776" t="s">
        <v>1612</v>
      </c>
      <c r="E63" s="8777"/>
      <c r="F63" s="7941" t="s">
        <v>33</v>
      </c>
      <c r="G63" s="7994"/>
      <c r="H63" s="8041"/>
      <c r="I63" s="8776" t="s">
        <v>1613</v>
      </c>
      <c r="J63" s="8041"/>
      <c r="K63" s="7941" t="s">
        <v>35</v>
      </c>
      <c r="L63" s="7935">
        <v>396981</v>
      </c>
      <c r="M63" s="7936">
        <v>569297</v>
      </c>
      <c r="N63" s="7937">
        <v>628458</v>
      </c>
      <c r="O63" s="8958"/>
      <c r="P63" s="8015" t="s">
        <v>1609</v>
      </c>
      <c r="Q63" s="7992"/>
      <c r="R63" s="7993"/>
    </row>
    <row r="64" spans="1:50" s="7887" customFormat="1" ht="20.100000000000001" customHeight="1">
      <c r="B64" s="9339"/>
      <c r="C64" s="9837" t="s">
        <v>1614</v>
      </c>
      <c r="D64" s="9838"/>
      <c r="E64" s="9839"/>
      <c r="F64" s="7957" t="s">
        <v>156</v>
      </c>
      <c r="G64" s="8624"/>
      <c r="H64" s="9840" t="s">
        <v>1615</v>
      </c>
      <c r="I64" s="9838"/>
      <c r="J64" s="9845"/>
      <c r="K64" s="7957" t="s">
        <v>156</v>
      </c>
      <c r="L64" s="7977">
        <f>L65/L66*100</f>
        <v>7.2726885424496288</v>
      </c>
      <c r="M64" s="7978">
        <f>M65/M66*100</f>
        <v>3.880341856150396</v>
      </c>
      <c r="N64" s="7979">
        <f>N65/N66*100</f>
        <v>4.6157765289153607</v>
      </c>
      <c r="O64" s="9065" t="s">
        <v>2022</v>
      </c>
      <c r="P64" s="8015" t="s">
        <v>1618</v>
      </c>
      <c r="Q64" s="7992"/>
      <c r="R64" s="7993"/>
    </row>
    <row r="65" spans="1:50" s="7887" customFormat="1" ht="20.100000000000001" hidden="1" customHeight="1">
      <c r="B65" s="8536"/>
      <c r="C65" s="8774"/>
      <c r="D65" s="8770" t="s">
        <v>1619</v>
      </c>
      <c r="E65" s="8612"/>
      <c r="F65" s="7941" t="s">
        <v>33</v>
      </c>
      <c r="G65" s="8004"/>
      <c r="H65" s="7972"/>
      <c r="I65" s="8788" t="s">
        <v>1620</v>
      </c>
      <c r="J65" s="8775"/>
      <c r="K65" s="7941" t="s">
        <v>35</v>
      </c>
      <c r="L65" s="7935">
        <v>23899</v>
      </c>
      <c r="M65" s="7936">
        <v>27419</v>
      </c>
      <c r="N65" s="7937">
        <v>35695</v>
      </c>
      <c r="O65" s="8958"/>
      <c r="P65" s="8015" t="s">
        <v>1618</v>
      </c>
      <c r="Q65" s="7992"/>
      <c r="R65" s="7993"/>
    </row>
    <row r="66" spans="1:50" s="7887" customFormat="1" ht="20.100000000000001" hidden="1" customHeight="1">
      <c r="B66" s="8536"/>
      <c r="C66" s="8774"/>
      <c r="D66" s="8776" t="s">
        <v>1621</v>
      </c>
      <c r="E66" s="8777"/>
      <c r="F66" s="7941" t="s">
        <v>33</v>
      </c>
      <c r="G66" s="7994"/>
      <c r="H66" s="8041"/>
      <c r="I66" s="8712" t="s">
        <v>1622</v>
      </c>
      <c r="J66" s="7973"/>
      <c r="K66" s="7941" t="s">
        <v>35</v>
      </c>
      <c r="L66" s="7935">
        <v>328613</v>
      </c>
      <c r="M66" s="7936">
        <v>706613</v>
      </c>
      <c r="N66" s="7937">
        <v>773326</v>
      </c>
      <c r="O66" s="8958"/>
      <c r="P66" s="8015" t="s">
        <v>1618</v>
      </c>
      <c r="Q66" s="7992"/>
      <c r="R66" s="7993"/>
    </row>
    <row r="67" spans="1:50" s="7887" customFormat="1" ht="20.100000000000001" customHeight="1" thickBot="1">
      <c r="B67" s="9339"/>
      <c r="C67" s="9837" t="s">
        <v>1623</v>
      </c>
      <c r="D67" s="9838"/>
      <c r="E67" s="9839"/>
      <c r="F67" s="7957" t="s">
        <v>156</v>
      </c>
      <c r="G67" s="8599"/>
      <c r="H67" s="9840" t="s">
        <v>1624</v>
      </c>
      <c r="I67" s="9838"/>
      <c r="J67" s="9839"/>
      <c r="K67" s="7957" t="s">
        <v>156</v>
      </c>
      <c r="L67" s="7977">
        <f>L68/L69*100</f>
        <v>10.767786647595091</v>
      </c>
      <c r="M67" s="7978">
        <f>M68/M69*100</f>
        <v>14.159225569556872</v>
      </c>
      <c r="N67" s="7979">
        <f>N68/N69*100</f>
        <v>13.541782443881015</v>
      </c>
      <c r="O67" s="9065" t="s">
        <v>2023</v>
      </c>
      <c r="P67" s="8015" t="s">
        <v>1627</v>
      </c>
      <c r="Q67" s="7992"/>
      <c r="R67" s="7993"/>
    </row>
    <row r="68" spans="1:50" s="7887" customFormat="1" ht="20.100000000000001" hidden="1" customHeight="1">
      <c r="B68" s="8536"/>
      <c r="C68" s="8774"/>
      <c r="D68" s="8770" t="s">
        <v>1628</v>
      </c>
      <c r="E68" s="8612"/>
      <c r="F68" s="7941" t="s">
        <v>33</v>
      </c>
      <c r="G68" s="8004"/>
      <c r="H68" s="7972"/>
      <c r="I68" s="8788" t="s">
        <v>1629</v>
      </c>
      <c r="J68" s="8775"/>
      <c r="K68" s="7941" t="s">
        <v>35</v>
      </c>
      <c r="L68" s="7935">
        <v>52997</v>
      </c>
      <c r="M68" s="7936">
        <v>101802</v>
      </c>
      <c r="N68" s="7937">
        <v>103562</v>
      </c>
      <c r="O68" s="8958"/>
      <c r="P68" s="7932" t="s">
        <v>1627</v>
      </c>
      <c r="Q68" s="7992"/>
      <c r="R68" s="7993"/>
    </row>
    <row r="69" spans="1:50" s="7887" customFormat="1" ht="20.100000000000001" hidden="1" customHeight="1" thickBot="1">
      <c r="B69" s="9342"/>
      <c r="C69" s="8639"/>
      <c r="D69" s="8784" t="s">
        <v>1630</v>
      </c>
      <c r="E69" s="8786"/>
      <c r="F69" s="7941" t="s">
        <v>33</v>
      </c>
      <c r="G69" s="8789"/>
      <c r="H69" s="8790"/>
      <c r="I69" s="8791" t="s">
        <v>1631</v>
      </c>
      <c r="J69" s="8792"/>
      <c r="K69" s="7941" t="s">
        <v>35</v>
      </c>
      <c r="L69" s="7935">
        <v>492181</v>
      </c>
      <c r="M69" s="7936">
        <v>718980</v>
      </c>
      <c r="N69" s="7937">
        <v>764759</v>
      </c>
      <c r="O69" s="9060"/>
      <c r="P69" s="8944" t="s">
        <v>1627</v>
      </c>
      <c r="Q69" s="7970"/>
      <c r="R69" s="7971"/>
    </row>
    <row r="70" spans="1:50" s="7887" customFormat="1" ht="21.75" thickBot="1">
      <c r="A70" s="7872"/>
      <c r="B70" s="9337" t="s">
        <v>1632</v>
      </c>
      <c r="C70" s="8759"/>
      <c r="D70" s="8759"/>
      <c r="E70" s="8759"/>
      <c r="F70" s="7923"/>
      <c r="G70" s="7923"/>
      <c r="H70" s="9328" t="s">
        <v>3698</v>
      </c>
      <c r="I70" s="7923"/>
      <c r="J70" s="7923"/>
      <c r="K70" s="7923"/>
      <c r="L70" s="7947"/>
      <c r="M70" s="7948"/>
      <c r="N70" s="7949"/>
      <c r="O70" s="9055"/>
      <c r="P70" s="8006"/>
      <c r="Q70" s="8006"/>
      <c r="R70" s="8007"/>
      <c r="AX70" s="7872"/>
    </row>
    <row r="71" spans="1:50" s="7887" customFormat="1" ht="20.100000000000001" customHeight="1">
      <c r="A71" s="7872"/>
      <c r="B71" s="9413"/>
      <c r="C71" s="9841" t="s">
        <v>3743</v>
      </c>
      <c r="D71" s="9842"/>
      <c r="E71" s="9842"/>
      <c r="F71" s="9843"/>
      <c r="G71" s="8793"/>
      <c r="H71" s="9197" t="s">
        <v>1634</v>
      </c>
      <c r="I71" s="8794"/>
      <c r="J71" s="8794"/>
      <c r="K71" s="8008"/>
      <c r="L71" s="7967"/>
      <c r="M71" s="7968"/>
      <c r="N71" s="7969"/>
      <c r="O71" s="9066"/>
      <c r="P71" s="9050"/>
      <c r="Q71" s="8009"/>
      <c r="R71" s="8010"/>
      <c r="AX71" s="7872"/>
    </row>
    <row r="72" spans="1:50" s="7887" customFormat="1" ht="20.100000000000001" customHeight="1">
      <c r="A72" s="7872"/>
      <c r="B72" s="8536"/>
      <c r="C72" s="8774"/>
      <c r="D72" s="8641" t="s">
        <v>3742</v>
      </c>
      <c r="E72" s="8642"/>
      <c r="F72" s="7957" t="s">
        <v>1636</v>
      </c>
      <c r="G72" s="8571"/>
      <c r="H72" s="8646"/>
      <c r="I72" s="8655" t="s">
        <v>3740</v>
      </c>
      <c r="J72" s="8655"/>
      <c r="K72" s="8011" t="s">
        <v>1020</v>
      </c>
      <c r="L72" s="8012">
        <f>SUM(L73:L78)</f>
        <v>3512.3</v>
      </c>
      <c r="M72" s="8013">
        <f>SUM(M73:M78)</f>
        <v>4949</v>
      </c>
      <c r="N72" s="8014">
        <f>SUM(N73:N78)</f>
        <v>2696.75</v>
      </c>
      <c r="O72" s="9065" t="s">
        <v>3699</v>
      </c>
      <c r="P72" s="8015" t="s">
        <v>1640</v>
      </c>
      <c r="Q72" s="7932" t="s">
        <v>1024</v>
      </c>
      <c r="R72" s="7993"/>
      <c r="AX72" s="7872"/>
    </row>
    <row r="73" spans="1:50" s="7887" customFormat="1" ht="360">
      <c r="A73" s="7872"/>
      <c r="B73" s="8536"/>
      <c r="C73" s="8639"/>
      <c r="D73" s="9493" t="s">
        <v>134</v>
      </c>
      <c r="E73" s="9494"/>
      <c r="F73" s="8835" t="s">
        <v>1636</v>
      </c>
      <c r="G73" s="8834"/>
      <c r="H73" s="8874"/>
      <c r="I73" s="9844" t="s">
        <v>135</v>
      </c>
      <c r="J73" s="9512"/>
      <c r="K73" s="8883" t="s">
        <v>1020</v>
      </c>
      <c r="L73" s="7942">
        <v>2892.3</v>
      </c>
      <c r="M73" s="8018">
        <v>4113</v>
      </c>
      <c r="N73" s="8019">
        <v>2030</v>
      </c>
      <c r="O73" s="9067" t="s">
        <v>3612</v>
      </c>
      <c r="P73" s="8015"/>
      <c r="Q73" s="7932"/>
      <c r="R73" s="7993"/>
      <c r="AX73" s="7872"/>
    </row>
    <row r="74" spans="1:50" s="7887" customFormat="1" ht="20.100000000000001" customHeight="1">
      <c r="A74" s="7872"/>
      <c r="B74" s="8536"/>
      <c r="C74" s="8774"/>
      <c r="D74" s="9437" t="s">
        <v>137</v>
      </c>
      <c r="E74" s="9439"/>
      <c r="F74" s="7953" t="s">
        <v>1636</v>
      </c>
      <c r="G74" s="8583"/>
      <c r="H74" s="8545"/>
      <c r="I74" s="9478" t="s">
        <v>138</v>
      </c>
      <c r="J74" s="9479"/>
      <c r="K74" s="7952" t="s">
        <v>1020</v>
      </c>
      <c r="L74" s="7942">
        <f>'4DPLEX'!W400</f>
        <v>244</v>
      </c>
      <c r="M74" s="8018">
        <f>'4DPLEX'!T400</f>
        <v>288</v>
      </c>
      <c r="N74" s="8020">
        <f>'4DPLEX'!V400</f>
        <v>236.75</v>
      </c>
      <c r="O74" s="8958"/>
      <c r="P74" s="8015"/>
      <c r="Q74" s="7932"/>
      <c r="R74" s="7993"/>
      <c r="AX74" s="7872"/>
    </row>
    <row r="75" spans="1:50" s="7887" customFormat="1" ht="20.100000000000001" customHeight="1">
      <c r="A75" s="7872"/>
      <c r="B75" s="8536"/>
      <c r="C75" s="8639"/>
      <c r="D75" s="9437" t="s">
        <v>140</v>
      </c>
      <c r="E75" s="9439"/>
      <c r="F75" s="7953" t="s">
        <v>1636</v>
      </c>
      <c r="G75" s="8583"/>
      <c r="H75" s="8545"/>
      <c r="I75" s="9497" t="s">
        <v>141</v>
      </c>
      <c r="J75" s="9498"/>
      <c r="K75" s="7952" t="s">
        <v>1020</v>
      </c>
      <c r="L75" s="7942">
        <f>China!AO438</f>
        <v>0</v>
      </c>
      <c r="M75" s="8018">
        <f>China!AQ438</f>
        <v>0</v>
      </c>
      <c r="N75" s="8021">
        <f>China!AS438</f>
        <v>2</v>
      </c>
      <c r="O75" s="8958"/>
      <c r="P75" s="8015"/>
      <c r="Q75" s="7932"/>
      <c r="R75" s="7993"/>
      <c r="AX75" s="7872"/>
    </row>
    <row r="76" spans="1:50" s="8763" customFormat="1" ht="20.100000000000001" customHeight="1">
      <c r="A76" s="7872"/>
      <c r="B76" s="8536"/>
      <c r="C76" s="8774"/>
      <c r="D76" s="9437" t="s">
        <v>143</v>
      </c>
      <c r="E76" s="9439"/>
      <c r="F76" s="7953" t="s">
        <v>1636</v>
      </c>
      <c r="G76" s="8583"/>
      <c r="H76" s="8545"/>
      <c r="I76" s="9497" t="s">
        <v>144</v>
      </c>
      <c r="J76" s="9498"/>
      <c r="K76" s="7952" t="s">
        <v>1020</v>
      </c>
      <c r="L76" s="7942">
        <v>376</v>
      </c>
      <c r="M76" s="8018">
        <v>548</v>
      </c>
      <c r="N76" s="8021">
        <v>428</v>
      </c>
      <c r="O76" s="8958"/>
      <c r="P76" s="8015"/>
      <c r="Q76" s="7932"/>
      <c r="R76" s="7993"/>
      <c r="S76" s="7887"/>
      <c r="T76" s="7887"/>
      <c r="U76" s="7887"/>
      <c r="V76" s="7887"/>
      <c r="W76" s="7887"/>
      <c r="X76" s="7887"/>
      <c r="Y76" s="7887"/>
      <c r="Z76" s="7887"/>
      <c r="AA76" s="7887"/>
      <c r="AB76" s="7887"/>
      <c r="AC76" s="7887"/>
      <c r="AD76" s="7887"/>
      <c r="AE76" s="7887"/>
      <c r="AF76" s="7887"/>
      <c r="AG76" s="7887"/>
      <c r="AH76" s="7887"/>
      <c r="AI76" s="7887"/>
      <c r="AJ76" s="7887"/>
      <c r="AK76" s="7887"/>
      <c r="AL76" s="7887"/>
      <c r="AM76" s="7887"/>
      <c r="AN76" s="7887"/>
      <c r="AO76" s="7887"/>
      <c r="AP76" s="7887"/>
      <c r="AQ76" s="7887"/>
      <c r="AR76" s="7887"/>
      <c r="AS76" s="7887"/>
      <c r="AT76" s="7887"/>
      <c r="AU76" s="7887"/>
      <c r="AV76" s="7887"/>
      <c r="AW76" s="7887"/>
      <c r="AX76" s="7872"/>
    </row>
    <row r="77" spans="1:50" s="8763" customFormat="1" ht="20.100000000000001" customHeight="1">
      <c r="A77" s="7872"/>
      <c r="B77" s="8536"/>
      <c r="C77" s="8639"/>
      <c r="D77" s="9437" t="s">
        <v>146</v>
      </c>
      <c r="E77" s="9439"/>
      <c r="F77" s="7953" t="s">
        <v>1636</v>
      </c>
      <c r="G77" s="8583"/>
      <c r="H77" s="8545"/>
      <c r="I77" s="9497" t="s">
        <v>147</v>
      </c>
      <c r="J77" s="9498"/>
      <c r="K77" s="7952" t="s">
        <v>1020</v>
      </c>
      <c r="L77" s="8022" t="s">
        <v>1958</v>
      </c>
      <c r="M77" s="7936" t="s">
        <v>1958</v>
      </c>
      <c r="N77" s="8023" t="s">
        <v>1958</v>
      </c>
      <c r="O77" s="8958"/>
      <c r="P77" s="8015"/>
      <c r="Q77" s="7932"/>
      <c r="R77" s="7993"/>
      <c r="S77" s="7887"/>
      <c r="T77" s="7887"/>
      <c r="U77" s="7887"/>
      <c r="V77" s="7887"/>
      <c r="W77" s="7887"/>
      <c r="X77" s="7887"/>
      <c r="Y77" s="7887"/>
      <c r="Z77" s="7887"/>
      <c r="AA77" s="7887"/>
      <c r="AB77" s="7887"/>
      <c r="AC77" s="7887"/>
      <c r="AD77" s="7887"/>
      <c r="AE77" s="7887"/>
      <c r="AF77" s="7887"/>
      <c r="AG77" s="7887"/>
      <c r="AH77" s="7887"/>
      <c r="AI77" s="7887"/>
      <c r="AJ77" s="7887"/>
      <c r="AK77" s="7887"/>
      <c r="AL77" s="7887"/>
      <c r="AM77" s="7887"/>
      <c r="AN77" s="7887"/>
      <c r="AO77" s="7887"/>
      <c r="AP77" s="7887"/>
      <c r="AQ77" s="7887"/>
      <c r="AR77" s="7887"/>
      <c r="AS77" s="7887"/>
      <c r="AT77" s="7887"/>
      <c r="AU77" s="7887"/>
      <c r="AV77" s="7887"/>
      <c r="AW77" s="7887"/>
      <c r="AX77" s="7872"/>
    </row>
    <row r="78" spans="1:50" s="8763" customFormat="1" ht="20.100000000000001" customHeight="1">
      <c r="A78" s="7872"/>
      <c r="B78" s="8536"/>
      <c r="C78" s="8774"/>
      <c r="D78" s="9437" t="s">
        <v>149</v>
      </c>
      <c r="E78" s="9439"/>
      <c r="F78" s="7953" t="s">
        <v>1636</v>
      </c>
      <c r="G78" s="8583"/>
      <c r="H78" s="8545"/>
      <c r="I78" s="9497" t="s">
        <v>150</v>
      </c>
      <c r="J78" s="9498"/>
      <c r="K78" s="7952" t="s">
        <v>1020</v>
      </c>
      <c r="L78" s="8022" t="s">
        <v>1958</v>
      </c>
      <c r="M78" s="7936" t="s">
        <v>1958</v>
      </c>
      <c r="N78" s="8023" t="s">
        <v>1958</v>
      </c>
      <c r="O78" s="8981"/>
      <c r="P78" s="8015"/>
      <c r="Q78" s="7932"/>
      <c r="R78" s="7993"/>
      <c r="S78" s="7887"/>
      <c r="T78" s="7887"/>
      <c r="U78" s="7887"/>
      <c r="V78" s="7887"/>
      <c r="W78" s="7887"/>
      <c r="X78" s="7887"/>
      <c r="Y78" s="7887"/>
      <c r="Z78" s="7887"/>
      <c r="AA78" s="7887"/>
      <c r="AB78" s="7887"/>
      <c r="AC78" s="7887"/>
      <c r="AD78" s="7887"/>
      <c r="AE78" s="7887"/>
      <c r="AF78" s="7887"/>
      <c r="AG78" s="7887"/>
      <c r="AH78" s="7887"/>
      <c r="AI78" s="7887"/>
      <c r="AJ78" s="7887"/>
      <c r="AK78" s="7887"/>
      <c r="AL78" s="7887"/>
      <c r="AM78" s="7887"/>
      <c r="AN78" s="7887"/>
      <c r="AO78" s="7887"/>
      <c r="AP78" s="7887"/>
      <c r="AQ78" s="7887"/>
      <c r="AR78" s="7887"/>
      <c r="AS78" s="7887"/>
      <c r="AT78" s="7887"/>
      <c r="AU78" s="7887"/>
      <c r="AV78" s="7887"/>
      <c r="AW78" s="7887"/>
      <c r="AX78" s="7872"/>
    </row>
    <row r="79" spans="1:50" s="8763" customFormat="1" ht="20.100000000000001" customHeight="1">
      <c r="A79" s="7872"/>
      <c r="B79" s="8536"/>
      <c r="C79" s="8639"/>
      <c r="D79" s="8641" t="s">
        <v>3744</v>
      </c>
      <c r="E79" s="8642"/>
      <c r="F79" s="7957" t="s">
        <v>732</v>
      </c>
      <c r="G79" s="8571"/>
      <c r="H79" s="8525"/>
      <c r="I79" s="8571" t="s">
        <v>3741</v>
      </c>
      <c r="J79" s="8571"/>
      <c r="K79" s="7958" t="s">
        <v>734</v>
      </c>
      <c r="L79" s="8012">
        <f>SUM(L80:L85)</f>
        <v>1248</v>
      </c>
      <c r="M79" s="8013">
        <f>SUM(M80:M85)</f>
        <v>1484</v>
      </c>
      <c r="N79" s="8014">
        <f>SUM(N80:N85)</f>
        <v>2211</v>
      </c>
      <c r="O79" s="9068"/>
      <c r="P79" s="8015" t="s">
        <v>1645</v>
      </c>
      <c r="Q79" s="7932" t="s">
        <v>1024</v>
      </c>
      <c r="R79" s="7938"/>
      <c r="S79" s="7887"/>
      <c r="T79" s="7887"/>
      <c r="U79" s="7887"/>
      <c r="V79" s="7887"/>
      <c r="W79" s="7887"/>
      <c r="X79" s="7887"/>
      <c r="Y79" s="7887"/>
      <c r="Z79" s="7887"/>
      <c r="AA79" s="7887"/>
      <c r="AB79" s="7887"/>
      <c r="AC79" s="7887"/>
      <c r="AD79" s="7887"/>
      <c r="AE79" s="7887"/>
      <c r="AF79" s="7887"/>
      <c r="AG79" s="7887"/>
      <c r="AH79" s="7887"/>
      <c r="AI79" s="7887"/>
      <c r="AJ79" s="7887"/>
      <c r="AK79" s="7887"/>
      <c r="AL79" s="7887"/>
      <c r="AM79" s="7887"/>
      <c r="AN79" s="7887"/>
      <c r="AO79" s="7887"/>
      <c r="AP79" s="7887"/>
      <c r="AQ79" s="7887"/>
      <c r="AR79" s="7887"/>
      <c r="AS79" s="7887"/>
      <c r="AT79" s="7887"/>
      <c r="AU79" s="7887"/>
      <c r="AV79" s="7887"/>
      <c r="AW79" s="7887"/>
      <c r="AX79" s="7872"/>
    </row>
    <row r="80" spans="1:50" s="8763" customFormat="1" ht="20.100000000000001" customHeight="1">
      <c r="A80" s="7872"/>
      <c r="B80" s="8536"/>
      <c r="C80" s="8774"/>
      <c r="D80" s="9437" t="s">
        <v>134</v>
      </c>
      <c r="E80" s="9439"/>
      <c r="F80" s="8024" t="s">
        <v>732</v>
      </c>
      <c r="G80" s="8583"/>
      <c r="H80" s="8545"/>
      <c r="I80" s="9478" t="s">
        <v>135</v>
      </c>
      <c r="J80" s="9479"/>
      <c r="K80" s="7953" t="s">
        <v>734</v>
      </c>
      <c r="L80" s="7935">
        <v>1031</v>
      </c>
      <c r="M80" s="7936">
        <v>1186</v>
      </c>
      <c r="N80" s="8023">
        <v>1016</v>
      </c>
      <c r="O80" s="9053" t="s">
        <v>3670</v>
      </c>
      <c r="P80" s="8015"/>
      <c r="Q80" s="7932"/>
      <c r="R80" s="7938"/>
      <c r="S80" s="7887"/>
      <c r="T80" s="7887"/>
      <c r="U80" s="7887"/>
      <c r="V80" s="7887"/>
      <c r="W80" s="7887"/>
      <c r="X80" s="7887"/>
      <c r="Y80" s="7887"/>
      <c r="Z80" s="7887"/>
      <c r="AA80" s="7887"/>
      <c r="AB80" s="7887"/>
      <c r="AC80" s="7887"/>
      <c r="AD80" s="7887"/>
      <c r="AE80" s="7887"/>
      <c r="AF80" s="7887"/>
      <c r="AG80" s="7887"/>
      <c r="AH80" s="7887"/>
      <c r="AI80" s="7887"/>
      <c r="AJ80" s="7887"/>
      <c r="AK80" s="7887"/>
      <c r="AL80" s="7887"/>
      <c r="AM80" s="7887"/>
      <c r="AN80" s="7887"/>
      <c r="AO80" s="7887"/>
      <c r="AP80" s="7887"/>
      <c r="AQ80" s="7887"/>
      <c r="AR80" s="7887"/>
      <c r="AS80" s="7887"/>
      <c r="AT80" s="7887"/>
      <c r="AU80" s="7887"/>
      <c r="AV80" s="7887"/>
      <c r="AW80" s="7887"/>
      <c r="AX80" s="7872"/>
    </row>
    <row r="81" spans="1:50" s="8763" customFormat="1" ht="20.100000000000001" customHeight="1">
      <c r="A81" s="7872"/>
      <c r="B81" s="8536"/>
      <c r="C81" s="8639"/>
      <c r="D81" s="9437" t="s">
        <v>137</v>
      </c>
      <c r="E81" s="9439"/>
      <c r="F81" s="8024" t="s">
        <v>732</v>
      </c>
      <c r="G81" s="8583"/>
      <c r="H81" s="8545"/>
      <c r="I81" s="9478" t="s">
        <v>138</v>
      </c>
      <c r="J81" s="9479"/>
      <c r="K81" s="7953" t="s">
        <v>734</v>
      </c>
      <c r="L81" s="7935">
        <f>'4DPLEX'!R401</f>
        <v>123</v>
      </c>
      <c r="M81" s="7936">
        <f>'4DPLEX'!T401</f>
        <v>161</v>
      </c>
      <c r="N81" s="7937">
        <f>'4DPLEX'!V401</f>
        <v>231</v>
      </c>
      <c r="O81" s="8958"/>
      <c r="P81" s="8015"/>
      <c r="Q81" s="7932"/>
      <c r="R81" s="7938"/>
      <c r="S81" s="7887"/>
      <c r="T81" s="7887"/>
      <c r="U81" s="7887"/>
      <c r="V81" s="7887"/>
      <c r="W81" s="7887"/>
      <c r="X81" s="7887"/>
      <c r="Y81" s="7887"/>
      <c r="Z81" s="7887"/>
      <c r="AA81" s="7887"/>
      <c r="AB81" s="7887"/>
      <c r="AC81" s="7887"/>
      <c r="AD81" s="7887"/>
      <c r="AE81" s="7887"/>
      <c r="AF81" s="7887"/>
      <c r="AG81" s="7887"/>
      <c r="AH81" s="7887"/>
      <c r="AI81" s="7887"/>
      <c r="AJ81" s="7887"/>
      <c r="AK81" s="7887"/>
      <c r="AL81" s="7887"/>
      <c r="AM81" s="7887"/>
      <c r="AN81" s="7887"/>
      <c r="AO81" s="7887"/>
      <c r="AP81" s="7887"/>
      <c r="AQ81" s="7887"/>
      <c r="AR81" s="7887"/>
      <c r="AS81" s="7887"/>
      <c r="AT81" s="7887"/>
      <c r="AU81" s="7887"/>
      <c r="AV81" s="7887"/>
      <c r="AW81" s="7887"/>
      <c r="AX81" s="7872"/>
    </row>
    <row r="82" spans="1:50" s="8763" customFormat="1" ht="20.100000000000001" customHeight="1">
      <c r="A82" s="7872"/>
      <c r="B82" s="8536"/>
      <c r="C82" s="8774"/>
      <c r="D82" s="9437" t="s">
        <v>140</v>
      </c>
      <c r="E82" s="9439"/>
      <c r="F82" s="8024" t="s">
        <v>732</v>
      </c>
      <c r="G82" s="8583"/>
      <c r="H82" s="8545"/>
      <c r="I82" s="9497" t="s">
        <v>141</v>
      </c>
      <c r="J82" s="9498"/>
      <c r="K82" s="7953" t="s">
        <v>734</v>
      </c>
      <c r="L82" s="7935">
        <f>China!AO439</f>
        <v>0</v>
      </c>
      <c r="M82" s="7936">
        <f>China!AQ439</f>
        <v>0</v>
      </c>
      <c r="N82" s="8002">
        <f>China!AS439</f>
        <v>750</v>
      </c>
      <c r="O82" s="8958"/>
      <c r="P82" s="8015"/>
      <c r="Q82" s="7932"/>
      <c r="R82" s="7938"/>
      <c r="S82" s="7887"/>
      <c r="T82" s="7887"/>
      <c r="U82" s="7887"/>
      <c r="V82" s="7887"/>
      <c r="W82" s="7887"/>
      <c r="X82" s="7887"/>
      <c r="Y82" s="7887"/>
      <c r="Z82" s="7887"/>
      <c r="AA82" s="7887"/>
      <c r="AB82" s="7887"/>
      <c r="AC82" s="7887"/>
      <c r="AD82" s="7887"/>
      <c r="AE82" s="7887"/>
      <c r="AF82" s="7887"/>
      <c r="AG82" s="7887"/>
      <c r="AH82" s="7887"/>
      <c r="AI82" s="7887"/>
      <c r="AJ82" s="7887"/>
      <c r="AK82" s="7887"/>
      <c r="AL82" s="7887"/>
      <c r="AM82" s="7887"/>
      <c r="AN82" s="7887"/>
      <c r="AO82" s="7887"/>
      <c r="AP82" s="7887"/>
      <c r="AQ82" s="7887"/>
      <c r="AR82" s="7887"/>
      <c r="AS82" s="7887"/>
      <c r="AT82" s="7887"/>
      <c r="AU82" s="7887"/>
      <c r="AV82" s="7887"/>
      <c r="AW82" s="7887"/>
      <c r="AX82" s="7872"/>
    </row>
    <row r="83" spans="1:50" s="8763" customFormat="1" ht="20.100000000000001" customHeight="1">
      <c r="A83" s="7872"/>
      <c r="B83" s="8536"/>
      <c r="C83" s="8639"/>
      <c r="D83" s="9437" t="s">
        <v>143</v>
      </c>
      <c r="E83" s="9439"/>
      <c r="F83" s="8024" t="s">
        <v>732</v>
      </c>
      <c r="G83" s="8583"/>
      <c r="H83" s="8545"/>
      <c r="I83" s="9497" t="s">
        <v>144</v>
      </c>
      <c r="J83" s="9498"/>
      <c r="K83" s="7953" t="s">
        <v>734</v>
      </c>
      <c r="L83" s="7935">
        <v>94</v>
      </c>
      <c r="M83" s="7936">
        <v>137</v>
      </c>
      <c r="N83" s="8002">
        <v>214</v>
      </c>
      <c r="O83" s="8958"/>
      <c r="P83" s="8015"/>
      <c r="Q83" s="7932"/>
      <c r="R83" s="7938"/>
      <c r="S83" s="7887"/>
      <c r="T83" s="7887"/>
      <c r="U83" s="7887"/>
      <c r="V83" s="7887"/>
      <c r="W83" s="7887"/>
      <c r="X83" s="7887"/>
      <c r="Y83" s="7887"/>
      <c r="Z83" s="7887"/>
      <c r="AA83" s="7887"/>
      <c r="AB83" s="7887"/>
      <c r="AC83" s="7887"/>
      <c r="AD83" s="7887"/>
      <c r="AE83" s="7887"/>
      <c r="AF83" s="7887"/>
      <c r="AG83" s="7887"/>
      <c r="AH83" s="7887"/>
      <c r="AI83" s="7887"/>
      <c r="AJ83" s="7887"/>
      <c r="AK83" s="7887"/>
      <c r="AL83" s="7887"/>
      <c r="AM83" s="7887"/>
      <c r="AN83" s="7887"/>
      <c r="AO83" s="7887"/>
      <c r="AP83" s="7887"/>
      <c r="AQ83" s="7887"/>
      <c r="AR83" s="7887"/>
      <c r="AS83" s="7887"/>
      <c r="AT83" s="7887"/>
      <c r="AU83" s="7887"/>
      <c r="AV83" s="7887"/>
      <c r="AW83" s="7887"/>
      <c r="AX83" s="7872"/>
    </row>
    <row r="84" spans="1:50" s="8763" customFormat="1" ht="20.100000000000001" customHeight="1">
      <c r="A84" s="7872"/>
      <c r="B84" s="8536"/>
      <c r="C84" s="8774"/>
      <c r="D84" s="9437" t="s">
        <v>146</v>
      </c>
      <c r="E84" s="9439"/>
      <c r="F84" s="8024" t="s">
        <v>732</v>
      </c>
      <c r="G84" s="8583"/>
      <c r="H84" s="8545"/>
      <c r="I84" s="9497" t="s">
        <v>147</v>
      </c>
      <c r="J84" s="9498"/>
      <c r="K84" s="7953" t="s">
        <v>734</v>
      </c>
      <c r="L84" s="8022" t="s">
        <v>1958</v>
      </c>
      <c r="M84" s="7936" t="s">
        <v>1958</v>
      </c>
      <c r="N84" s="8023" t="s">
        <v>1958</v>
      </c>
      <c r="O84" s="8958"/>
      <c r="P84" s="8015"/>
      <c r="Q84" s="7932"/>
      <c r="R84" s="7938"/>
      <c r="S84" s="7887"/>
      <c r="T84" s="7887"/>
      <c r="U84" s="7887"/>
      <c r="V84" s="7887"/>
      <c r="W84" s="7887"/>
      <c r="X84" s="7887"/>
      <c r="Y84" s="7887"/>
      <c r="Z84" s="7887"/>
      <c r="AA84" s="7887"/>
      <c r="AB84" s="7887"/>
      <c r="AC84" s="7887"/>
      <c r="AD84" s="7887"/>
      <c r="AE84" s="7887"/>
      <c r="AF84" s="7887"/>
      <c r="AG84" s="7887"/>
      <c r="AH84" s="7887"/>
      <c r="AI84" s="7887"/>
      <c r="AJ84" s="7887"/>
      <c r="AK84" s="7887"/>
      <c r="AL84" s="7887"/>
      <c r="AM84" s="7887"/>
      <c r="AN84" s="7887"/>
      <c r="AO84" s="7887"/>
      <c r="AP84" s="7887"/>
      <c r="AQ84" s="7887"/>
      <c r="AR84" s="7887"/>
      <c r="AS84" s="7887"/>
      <c r="AT84" s="7887"/>
      <c r="AU84" s="7887"/>
      <c r="AV84" s="7887"/>
      <c r="AW84" s="7887"/>
      <c r="AX84" s="7872"/>
    </row>
    <row r="85" spans="1:50" s="8763" customFormat="1" ht="20.100000000000001" customHeight="1">
      <c r="A85" s="7872"/>
      <c r="B85" s="9344"/>
      <c r="C85" s="8545"/>
      <c r="D85" s="9846" t="s">
        <v>149</v>
      </c>
      <c r="E85" s="9847"/>
      <c r="F85" s="8024" t="s">
        <v>732</v>
      </c>
      <c r="G85" s="8583"/>
      <c r="H85" s="8545"/>
      <c r="I85" s="9497" t="s">
        <v>150</v>
      </c>
      <c r="J85" s="9498"/>
      <c r="K85" s="7953" t="s">
        <v>734</v>
      </c>
      <c r="L85" s="8022" t="s">
        <v>1958</v>
      </c>
      <c r="M85" s="7936" t="s">
        <v>1958</v>
      </c>
      <c r="N85" s="8023" t="s">
        <v>1958</v>
      </c>
      <c r="O85" s="8981"/>
      <c r="P85" s="8015"/>
      <c r="Q85" s="7932"/>
      <c r="R85" s="7938"/>
      <c r="S85" s="7887"/>
      <c r="T85" s="7887"/>
      <c r="U85" s="7887"/>
      <c r="V85" s="7887"/>
      <c r="W85" s="7887"/>
      <c r="X85" s="7887"/>
      <c r="Y85" s="7887"/>
      <c r="Z85" s="7887"/>
      <c r="AA85" s="7887"/>
      <c r="AB85" s="7887"/>
      <c r="AC85" s="7887"/>
      <c r="AD85" s="7887"/>
      <c r="AE85" s="7887"/>
      <c r="AF85" s="7887"/>
      <c r="AG85" s="7887"/>
      <c r="AH85" s="7887"/>
      <c r="AI85" s="7887"/>
      <c r="AJ85" s="7887"/>
      <c r="AK85" s="7887"/>
      <c r="AL85" s="7887"/>
      <c r="AM85" s="7887"/>
      <c r="AN85" s="7887"/>
      <c r="AO85" s="7887"/>
      <c r="AP85" s="7887"/>
      <c r="AQ85" s="7887"/>
      <c r="AR85" s="7887"/>
      <c r="AS85" s="7887"/>
      <c r="AT85" s="7887"/>
      <c r="AU85" s="7887"/>
      <c r="AV85" s="7887"/>
      <c r="AW85" s="7887"/>
      <c r="AX85" s="7872"/>
    </row>
    <row r="86" spans="1:50" s="8763" customFormat="1" ht="20.100000000000001" customHeight="1">
      <c r="A86" s="7872"/>
      <c r="B86" s="9341"/>
      <c r="C86" s="8795" t="s">
        <v>1647</v>
      </c>
      <c r="D86" s="8796"/>
      <c r="E86" s="8796"/>
      <c r="F86" s="8796"/>
      <c r="G86" s="8797"/>
      <c r="H86" s="9198" t="s">
        <v>1648</v>
      </c>
      <c r="I86" s="8798"/>
      <c r="J86" s="8799"/>
      <c r="K86" s="8025"/>
      <c r="L86" s="8026"/>
      <c r="M86" s="8027"/>
      <c r="N86" s="8028"/>
      <c r="O86" s="9066"/>
      <c r="P86" s="8015"/>
      <c r="Q86" s="7932"/>
      <c r="R86" s="7938"/>
      <c r="S86" s="7887"/>
      <c r="T86" s="7887"/>
      <c r="U86" s="7887"/>
      <c r="V86" s="7887"/>
      <c r="W86" s="7887"/>
      <c r="X86" s="7887"/>
      <c r="Y86" s="7887"/>
      <c r="Z86" s="7887"/>
      <c r="AA86" s="7887"/>
      <c r="AB86" s="7887"/>
      <c r="AC86" s="7887"/>
      <c r="AD86" s="7887"/>
      <c r="AE86" s="7887"/>
      <c r="AF86" s="7887"/>
      <c r="AG86" s="7887"/>
      <c r="AH86" s="7887"/>
      <c r="AI86" s="7887"/>
      <c r="AJ86" s="7887"/>
      <c r="AK86" s="7887"/>
      <c r="AL86" s="7887"/>
      <c r="AM86" s="7887"/>
      <c r="AN86" s="7887"/>
      <c r="AO86" s="7887"/>
      <c r="AP86" s="7887"/>
      <c r="AQ86" s="7887"/>
      <c r="AR86" s="7887"/>
      <c r="AS86" s="7887"/>
      <c r="AT86" s="7887"/>
      <c r="AU86" s="7887"/>
      <c r="AV86" s="7887"/>
      <c r="AW86" s="7887"/>
      <c r="AX86" s="7872"/>
    </row>
    <row r="87" spans="1:50" s="8763" customFormat="1" ht="20.100000000000001" customHeight="1">
      <c r="A87" s="7872"/>
      <c r="B87" s="9360"/>
      <c r="C87" s="8645"/>
      <c r="D87" s="8641" t="s">
        <v>2026</v>
      </c>
      <c r="E87" s="8642"/>
      <c r="F87" s="7957" t="s">
        <v>1476</v>
      </c>
      <c r="G87" s="8571"/>
      <c r="H87" s="8643"/>
      <c r="I87" s="8571" t="s">
        <v>1651</v>
      </c>
      <c r="J87" s="8571"/>
      <c r="K87" s="7958" t="s">
        <v>559</v>
      </c>
      <c r="L87" s="8029">
        <f>SUM(L88:L93)</f>
        <v>0</v>
      </c>
      <c r="M87" s="8030">
        <f>SUM(M88:M93)</f>
        <v>0</v>
      </c>
      <c r="N87" s="8014">
        <f>SUM(N88:N93)</f>
        <v>0</v>
      </c>
      <c r="O87" s="9068"/>
      <c r="P87" s="7932" t="s">
        <v>1654</v>
      </c>
      <c r="Q87" s="7932" t="s">
        <v>1655</v>
      </c>
      <c r="R87" s="7938"/>
      <c r="S87" s="7887"/>
      <c r="T87" s="7887"/>
      <c r="U87" s="7887"/>
      <c r="V87" s="7887"/>
      <c r="W87" s="7887"/>
      <c r="X87" s="7887"/>
      <c r="Y87" s="7887"/>
      <c r="Z87" s="7887"/>
      <c r="AA87" s="7887"/>
      <c r="AB87" s="7887"/>
      <c r="AC87" s="7887"/>
      <c r="AD87" s="7887"/>
      <c r="AE87" s="7887"/>
      <c r="AF87" s="7887"/>
      <c r="AG87" s="7887"/>
      <c r="AH87" s="7887"/>
      <c r="AI87" s="7887"/>
      <c r="AJ87" s="7887"/>
      <c r="AK87" s="7887"/>
      <c r="AL87" s="7887"/>
      <c r="AM87" s="7887"/>
      <c r="AN87" s="7887"/>
      <c r="AO87" s="7887"/>
      <c r="AP87" s="7887"/>
      <c r="AQ87" s="7887"/>
      <c r="AR87" s="7887"/>
      <c r="AS87" s="7887"/>
      <c r="AT87" s="7887"/>
      <c r="AU87" s="7887"/>
      <c r="AV87" s="7887"/>
      <c r="AW87" s="7887"/>
      <c r="AX87" s="7872"/>
    </row>
    <row r="88" spans="1:50" s="8763" customFormat="1" ht="20.100000000000001" customHeight="1">
      <c r="A88" s="7872"/>
      <c r="B88" s="8536"/>
      <c r="C88" s="8611"/>
      <c r="D88" s="9437" t="s">
        <v>134</v>
      </c>
      <c r="E88" s="9439"/>
      <c r="F88" s="7953" t="s">
        <v>1476</v>
      </c>
      <c r="G88" s="8583"/>
      <c r="H88" s="8611"/>
      <c r="I88" s="9478" t="s">
        <v>135</v>
      </c>
      <c r="J88" s="9479"/>
      <c r="K88" s="7953" t="s">
        <v>559</v>
      </c>
      <c r="L88" s="7935">
        <v>0</v>
      </c>
      <c r="M88" s="7936">
        <v>0</v>
      </c>
      <c r="N88" s="7937">
        <v>0</v>
      </c>
      <c r="O88" s="8958"/>
      <c r="P88" s="7932"/>
      <c r="Q88" s="7932"/>
      <c r="R88" s="7938"/>
      <c r="S88" s="7887"/>
      <c r="T88" s="7887"/>
      <c r="U88" s="7887"/>
      <c r="V88" s="7887"/>
      <c r="W88" s="7887"/>
      <c r="X88" s="7887"/>
      <c r="Y88" s="7887"/>
      <c r="Z88" s="7887"/>
      <c r="AA88" s="7887"/>
      <c r="AB88" s="7887"/>
      <c r="AC88" s="7887"/>
      <c r="AD88" s="7887"/>
      <c r="AE88" s="7887"/>
      <c r="AF88" s="7887"/>
      <c r="AG88" s="7887"/>
      <c r="AH88" s="7887"/>
      <c r="AI88" s="7887"/>
      <c r="AJ88" s="7887"/>
      <c r="AK88" s="7887"/>
      <c r="AL88" s="7887"/>
      <c r="AM88" s="7887"/>
      <c r="AN88" s="7887"/>
      <c r="AO88" s="7887"/>
      <c r="AP88" s="7887"/>
      <c r="AQ88" s="7887"/>
      <c r="AR88" s="7887"/>
      <c r="AS88" s="7887"/>
      <c r="AT88" s="7887"/>
      <c r="AU88" s="7887"/>
      <c r="AV88" s="7887"/>
      <c r="AW88" s="7887"/>
      <c r="AX88" s="7872"/>
    </row>
    <row r="89" spans="1:50" s="8763" customFormat="1" ht="20.100000000000001" customHeight="1">
      <c r="A89" s="7872"/>
      <c r="B89" s="8536"/>
      <c r="C89" s="8645"/>
      <c r="D89" s="9437" t="s">
        <v>137</v>
      </c>
      <c r="E89" s="9439"/>
      <c r="F89" s="7953" t="s">
        <v>1476</v>
      </c>
      <c r="G89" s="8583"/>
      <c r="H89" s="8645"/>
      <c r="I89" s="9478" t="s">
        <v>138</v>
      </c>
      <c r="J89" s="9479"/>
      <c r="K89" s="7953" t="s">
        <v>559</v>
      </c>
      <c r="L89" s="7935">
        <v>0</v>
      </c>
      <c r="M89" s="7936">
        <v>0</v>
      </c>
      <c r="N89" s="7937">
        <v>0</v>
      </c>
      <c r="O89" s="9130"/>
      <c r="P89" s="7932"/>
      <c r="Q89" s="7932"/>
      <c r="R89" s="7938"/>
      <c r="S89" s="7887"/>
      <c r="T89" s="7887"/>
      <c r="U89" s="7887"/>
      <c r="V89" s="7887"/>
      <c r="W89" s="7887"/>
      <c r="X89" s="7887"/>
      <c r="Y89" s="7887"/>
      <c r="Z89" s="7887"/>
      <c r="AA89" s="7887"/>
      <c r="AB89" s="7887"/>
      <c r="AC89" s="7887"/>
      <c r="AD89" s="7887"/>
      <c r="AE89" s="7887"/>
      <c r="AF89" s="7887"/>
      <c r="AG89" s="7887"/>
      <c r="AH89" s="7887"/>
      <c r="AI89" s="7887"/>
      <c r="AJ89" s="7887"/>
      <c r="AK89" s="7887"/>
      <c r="AL89" s="7887"/>
      <c r="AM89" s="7887"/>
      <c r="AN89" s="7887"/>
      <c r="AO89" s="7887"/>
      <c r="AP89" s="7887"/>
      <c r="AQ89" s="7887"/>
      <c r="AR89" s="7887"/>
      <c r="AS89" s="7887"/>
      <c r="AT89" s="7887"/>
      <c r="AU89" s="7887"/>
      <c r="AV89" s="7887"/>
      <c r="AW89" s="7887"/>
      <c r="AX89" s="7872"/>
    </row>
    <row r="90" spans="1:50" s="8763" customFormat="1" ht="20.100000000000001" customHeight="1">
      <c r="A90" s="7872"/>
      <c r="B90" s="8536"/>
      <c r="C90" s="8611"/>
      <c r="D90" s="9437" t="s">
        <v>140</v>
      </c>
      <c r="E90" s="9439"/>
      <c r="F90" s="7953" t="s">
        <v>1476</v>
      </c>
      <c r="G90" s="8583"/>
      <c r="H90" s="8611"/>
      <c r="I90" s="9497" t="s">
        <v>141</v>
      </c>
      <c r="J90" s="9498"/>
      <c r="K90" s="7953" t="s">
        <v>559</v>
      </c>
      <c r="L90" s="7935">
        <v>0</v>
      </c>
      <c r="M90" s="7936">
        <v>0</v>
      </c>
      <c r="N90" s="7937">
        <v>0</v>
      </c>
      <c r="O90" s="8958"/>
      <c r="P90" s="7932"/>
      <c r="Q90" s="7932"/>
      <c r="R90" s="7938"/>
      <c r="S90" s="7887"/>
      <c r="T90" s="7887"/>
      <c r="U90" s="7887"/>
      <c r="V90" s="7887"/>
      <c r="W90" s="7887"/>
      <c r="X90" s="7887"/>
      <c r="Y90" s="7887"/>
      <c r="Z90" s="7887"/>
      <c r="AA90" s="7887"/>
      <c r="AB90" s="7887"/>
      <c r="AC90" s="7887"/>
      <c r="AD90" s="7887"/>
      <c r="AE90" s="7887"/>
      <c r="AF90" s="7887"/>
      <c r="AG90" s="7887"/>
      <c r="AH90" s="7887"/>
      <c r="AI90" s="7887"/>
      <c r="AJ90" s="7887"/>
      <c r="AK90" s="7887"/>
      <c r="AL90" s="7887"/>
      <c r="AM90" s="7887"/>
      <c r="AN90" s="7887"/>
      <c r="AO90" s="7887"/>
      <c r="AP90" s="7887"/>
      <c r="AQ90" s="7887"/>
      <c r="AR90" s="7887"/>
      <c r="AS90" s="7887"/>
      <c r="AT90" s="7887"/>
      <c r="AU90" s="7887"/>
      <c r="AV90" s="7887"/>
      <c r="AW90" s="7887"/>
      <c r="AX90" s="7872"/>
    </row>
    <row r="91" spans="1:50" s="8763" customFormat="1" ht="20.100000000000001" customHeight="1">
      <c r="A91" s="7872"/>
      <c r="B91" s="8536"/>
      <c r="C91" s="8645"/>
      <c r="D91" s="9437" t="s">
        <v>143</v>
      </c>
      <c r="E91" s="9439"/>
      <c r="F91" s="7953" t="s">
        <v>1476</v>
      </c>
      <c r="G91" s="8583"/>
      <c r="H91" s="8645"/>
      <c r="I91" s="9497" t="s">
        <v>144</v>
      </c>
      <c r="J91" s="9498"/>
      <c r="K91" s="7953" t="s">
        <v>559</v>
      </c>
      <c r="L91" s="8031">
        <v>0</v>
      </c>
      <c r="M91" s="7936">
        <v>0</v>
      </c>
      <c r="N91" s="8023">
        <v>0</v>
      </c>
      <c r="O91" s="8958"/>
      <c r="P91" s="7932"/>
      <c r="Q91" s="7932"/>
      <c r="R91" s="7938"/>
      <c r="S91" s="7887"/>
      <c r="T91" s="7887"/>
      <c r="U91" s="7887"/>
      <c r="V91" s="7887"/>
      <c r="W91" s="7887"/>
      <c r="X91" s="7887"/>
      <c r="Y91" s="7887"/>
      <c r="Z91" s="7887"/>
      <c r="AA91" s="7887"/>
      <c r="AB91" s="7887"/>
      <c r="AC91" s="7887"/>
      <c r="AD91" s="7887"/>
      <c r="AE91" s="7887"/>
      <c r="AF91" s="7887"/>
      <c r="AG91" s="7887"/>
      <c r="AH91" s="7887"/>
      <c r="AI91" s="7887"/>
      <c r="AJ91" s="7887"/>
      <c r="AK91" s="7887"/>
      <c r="AL91" s="7887"/>
      <c r="AM91" s="7887"/>
      <c r="AN91" s="7887"/>
      <c r="AO91" s="7887"/>
      <c r="AP91" s="7887"/>
      <c r="AQ91" s="7887"/>
      <c r="AR91" s="7887"/>
      <c r="AS91" s="7887"/>
      <c r="AT91" s="7887"/>
      <c r="AU91" s="7887"/>
      <c r="AV91" s="7887"/>
      <c r="AW91" s="7887"/>
      <c r="AX91" s="7872"/>
    </row>
    <row r="92" spans="1:50" s="8763" customFormat="1" ht="20.100000000000001" customHeight="1">
      <c r="A92" s="7872"/>
      <c r="B92" s="8536"/>
      <c r="C92" s="8611"/>
      <c r="D92" s="9437" t="s">
        <v>146</v>
      </c>
      <c r="E92" s="9439"/>
      <c r="F92" s="7953" t="s">
        <v>1476</v>
      </c>
      <c r="G92" s="8583"/>
      <c r="H92" s="8611"/>
      <c r="I92" s="9497" t="s">
        <v>147</v>
      </c>
      <c r="J92" s="9498"/>
      <c r="K92" s="7953" t="s">
        <v>559</v>
      </c>
      <c r="L92" s="8031">
        <v>0</v>
      </c>
      <c r="M92" s="7936">
        <v>0</v>
      </c>
      <c r="N92" s="8023">
        <v>0</v>
      </c>
      <c r="O92" s="8958"/>
      <c r="P92" s="7932"/>
      <c r="Q92" s="7932"/>
      <c r="R92" s="7938"/>
      <c r="S92" s="7887"/>
      <c r="T92" s="7887"/>
      <c r="U92" s="7887"/>
      <c r="V92" s="7887"/>
      <c r="W92" s="7887"/>
      <c r="X92" s="7887"/>
      <c r="Y92" s="7887"/>
      <c r="Z92" s="7887"/>
      <c r="AA92" s="7887"/>
      <c r="AB92" s="7887"/>
      <c r="AC92" s="7887"/>
      <c r="AD92" s="7887"/>
      <c r="AE92" s="7887"/>
      <c r="AF92" s="7887"/>
      <c r="AG92" s="7887"/>
      <c r="AH92" s="7887"/>
      <c r="AI92" s="7887"/>
      <c r="AJ92" s="7887"/>
      <c r="AK92" s="7887"/>
      <c r="AL92" s="7887"/>
      <c r="AM92" s="7887"/>
      <c r="AN92" s="7887"/>
      <c r="AO92" s="7887"/>
      <c r="AP92" s="7887"/>
      <c r="AQ92" s="7887"/>
      <c r="AR92" s="7887"/>
      <c r="AS92" s="7887"/>
      <c r="AT92" s="7887"/>
      <c r="AU92" s="7887"/>
      <c r="AV92" s="7887"/>
      <c r="AW92" s="7887"/>
      <c r="AX92" s="7872"/>
    </row>
    <row r="93" spans="1:50" s="8763" customFormat="1" ht="20.100000000000001" customHeight="1">
      <c r="A93" s="7872"/>
      <c r="B93" s="8536"/>
      <c r="C93" s="8645"/>
      <c r="D93" s="9437" t="s">
        <v>149</v>
      </c>
      <c r="E93" s="9439"/>
      <c r="F93" s="7953" t="s">
        <v>1476</v>
      </c>
      <c r="G93" s="8583"/>
      <c r="H93" s="8645"/>
      <c r="I93" s="9497" t="s">
        <v>150</v>
      </c>
      <c r="J93" s="9498"/>
      <c r="K93" s="7953" t="s">
        <v>559</v>
      </c>
      <c r="L93" s="8031">
        <v>0</v>
      </c>
      <c r="M93" s="7936">
        <v>0</v>
      </c>
      <c r="N93" s="8023">
        <v>0</v>
      </c>
      <c r="O93" s="8958"/>
      <c r="P93" s="7932"/>
      <c r="Q93" s="7932"/>
      <c r="R93" s="7938"/>
      <c r="S93" s="7887"/>
      <c r="T93" s="7887"/>
      <c r="U93" s="7887"/>
      <c r="V93" s="7887"/>
      <c r="W93" s="7887"/>
      <c r="X93" s="7887"/>
      <c r="Y93" s="7887"/>
      <c r="Z93" s="7887"/>
      <c r="AA93" s="7887"/>
      <c r="AB93" s="7887"/>
      <c r="AC93" s="7887"/>
      <c r="AD93" s="7887"/>
      <c r="AE93" s="7887"/>
      <c r="AF93" s="7887"/>
      <c r="AG93" s="7887"/>
      <c r="AH93" s="7887"/>
      <c r="AI93" s="7887"/>
      <c r="AJ93" s="7887"/>
      <c r="AK93" s="7887"/>
      <c r="AL93" s="7887"/>
      <c r="AM93" s="7887"/>
      <c r="AN93" s="7887"/>
      <c r="AO93" s="7887"/>
      <c r="AP93" s="7887"/>
      <c r="AQ93" s="7887"/>
      <c r="AR93" s="7887"/>
      <c r="AS93" s="7887"/>
      <c r="AT93" s="7887"/>
      <c r="AU93" s="7887"/>
      <c r="AV93" s="7887"/>
      <c r="AW93" s="7887"/>
      <c r="AX93" s="7872"/>
    </row>
    <row r="94" spans="1:50" s="8763" customFormat="1" ht="20.100000000000001" customHeight="1">
      <c r="A94" s="7872"/>
      <c r="B94" s="9360"/>
      <c r="C94" s="8645"/>
      <c r="D94" s="8641" t="s">
        <v>2027</v>
      </c>
      <c r="E94" s="8642"/>
      <c r="F94" s="7957" t="s">
        <v>1476</v>
      </c>
      <c r="G94" s="8571"/>
      <c r="H94" s="8643"/>
      <c r="I94" s="8571" t="s">
        <v>1657</v>
      </c>
      <c r="J94" s="8571"/>
      <c r="K94" s="7958" t="s">
        <v>559</v>
      </c>
      <c r="L94" s="8012">
        <f>SUM(L95:L100)</f>
        <v>0</v>
      </c>
      <c r="M94" s="8013">
        <f>SUM(M95:M100)</f>
        <v>0</v>
      </c>
      <c r="N94" s="8014">
        <f>SUM(N95:N100)</f>
        <v>0</v>
      </c>
      <c r="O94" s="9068"/>
      <c r="P94" s="7932" t="s">
        <v>1660</v>
      </c>
      <c r="Q94" s="7955"/>
      <c r="R94" s="7938"/>
      <c r="S94" s="7887"/>
      <c r="T94" s="7887"/>
      <c r="U94" s="7887"/>
      <c r="V94" s="7887"/>
      <c r="W94" s="7887"/>
      <c r="X94" s="7887"/>
      <c r="Y94" s="7887"/>
      <c r="Z94" s="7887"/>
      <c r="AA94" s="7887"/>
      <c r="AB94" s="7887"/>
      <c r="AC94" s="7887"/>
      <c r="AD94" s="7887"/>
      <c r="AE94" s="7887"/>
      <c r="AF94" s="7887"/>
      <c r="AG94" s="7887"/>
      <c r="AH94" s="7887"/>
      <c r="AI94" s="7887"/>
      <c r="AJ94" s="7887"/>
      <c r="AK94" s="7887"/>
      <c r="AL94" s="7887"/>
      <c r="AM94" s="7887"/>
      <c r="AN94" s="7887"/>
      <c r="AO94" s="7887"/>
      <c r="AP94" s="7887"/>
      <c r="AQ94" s="7887"/>
      <c r="AR94" s="7887"/>
      <c r="AS94" s="7887"/>
      <c r="AT94" s="7887"/>
      <c r="AU94" s="7887"/>
      <c r="AV94" s="7887"/>
      <c r="AW94" s="7887"/>
      <c r="AX94" s="7872"/>
    </row>
    <row r="95" spans="1:50" s="8763" customFormat="1" ht="20.100000000000001" customHeight="1">
      <c r="A95" s="7872"/>
      <c r="B95" s="8536"/>
      <c r="C95" s="8611"/>
      <c r="D95" s="9437" t="s">
        <v>134</v>
      </c>
      <c r="E95" s="9439"/>
      <c r="F95" s="7953" t="s">
        <v>1476</v>
      </c>
      <c r="G95" s="8583"/>
      <c r="H95" s="8611"/>
      <c r="I95" s="9478" t="s">
        <v>135</v>
      </c>
      <c r="J95" s="9479"/>
      <c r="K95" s="7953" t="s">
        <v>559</v>
      </c>
      <c r="L95" s="7935">
        <v>0</v>
      </c>
      <c r="M95" s="7936">
        <v>0</v>
      </c>
      <c r="N95" s="7937">
        <v>0</v>
      </c>
      <c r="O95" s="8958"/>
      <c r="P95" s="7932"/>
      <c r="Q95" s="7955"/>
      <c r="R95" s="7938"/>
      <c r="S95" s="7887"/>
      <c r="T95" s="7887"/>
      <c r="U95" s="7887"/>
      <c r="V95" s="7887"/>
      <c r="W95" s="7887"/>
      <c r="X95" s="7887"/>
      <c r="Y95" s="7887"/>
      <c r="Z95" s="7887"/>
      <c r="AA95" s="7887"/>
      <c r="AB95" s="7887"/>
      <c r="AC95" s="7887"/>
      <c r="AD95" s="7887"/>
      <c r="AE95" s="7887"/>
      <c r="AF95" s="7887"/>
      <c r="AG95" s="7887"/>
      <c r="AH95" s="7887"/>
      <c r="AI95" s="7887"/>
      <c r="AJ95" s="7887"/>
      <c r="AK95" s="7887"/>
      <c r="AL95" s="7887"/>
      <c r="AM95" s="7887"/>
      <c r="AN95" s="7887"/>
      <c r="AO95" s="7887"/>
      <c r="AP95" s="7887"/>
      <c r="AQ95" s="7887"/>
      <c r="AR95" s="7887"/>
      <c r="AS95" s="7887"/>
      <c r="AT95" s="7887"/>
      <c r="AU95" s="7887"/>
      <c r="AV95" s="7887"/>
      <c r="AW95" s="7887"/>
      <c r="AX95" s="7872"/>
    </row>
    <row r="96" spans="1:50" s="8763" customFormat="1" ht="20.100000000000001" customHeight="1">
      <c r="A96" s="7872"/>
      <c r="B96" s="8536"/>
      <c r="C96" s="8645"/>
      <c r="D96" s="9437" t="s">
        <v>137</v>
      </c>
      <c r="E96" s="9439"/>
      <c r="F96" s="7953" t="s">
        <v>1476</v>
      </c>
      <c r="G96" s="8583"/>
      <c r="H96" s="8645"/>
      <c r="I96" s="9478" t="s">
        <v>138</v>
      </c>
      <c r="J96" s="9479"/>
      <c r="K96" s="7953" t="s">
        <v>559</v>
      </c>
      <c r="L96" s="7935">
        <v>0</v>
      </c>
      <c r="M96" s="7936">
        <v>0</v>
      </c>
      <c r="N96" s="7937">
        <v>0</v>
      </c>
      <c r="O96" s="8958"/>
      <c r="P96" s="7932"/>
      <c r="Q96" s="7955"/>
      <c r="R96" s="7938"/>
      <c r="S96" s="7887"/>
      <c r="T96" s="7887"/>
      <c r="U96" s="7887"/>
      <c r="V96" s="7887"/>
      <c r="W96" s="7887"/>
      <c r="X96" s="7887"/>
      <c r="Y96" s="7887"/>
      <c r="Z96" s="7887"/>
      <c r="AA96" s="7887"/>
      <c r="AB96" s="7887"/>
      <c r="AC96" s="7887"/>
      <c r="AD96" s="7887"/>
      <c r="AE96" s="7887"/>
      <c r="AF96" s="7887"/>
      <c r="AG96" s="7887"/>
      <c r="AH96" s="7887"/>
      <c r="AI96" s="7887"/>
      <c r="AJ96" s="7887"/>
      <c r="AK96" s="7887"/>
      <c r="AL96" s="7887"/>
      <c r="AM96" s="7887"/>
      <c r="AN96" s="7887"/>
      <c r="AO96" s="7887"/>
      <c r="AP96" s="7887"/>
      <c r="AQ96" s="7887"/>
      <c r="AR96" s="7887"/>
      <c r="AS96" s="7887"/>
      <c r="AT96" s="7887"/>
      <c r="AU96" s="7887"/>
      <c r="AV96" s="7887"/>
      <c r="AW96" s="7887"/>
      <c r="AX96" s="7872"/>
    </row>
    <row r="97" spans="1:50" s="8763" customFormat="1" ht="20.100000000000001" customHeight="1">
      <c r="A97" s="7872"/>
      <c r="B97" s="8536"/>
      <c r="C97" s="8611"/>
      <c r="D97" s="9437" t="s">
        <v>140</v>
      </c>
      <c r="E97" s="9439"/>
      <c r="F97" s="7953" t="s">
        <v>1476</v>
      </c>
      <c r="G97" s="8583"/>
      <c r="H97" s="8611"/>
      <c r="I97" s="9497" t="s">
        <v>141</v>
      </c>
      <c r="J97" s="9498"/>
      <c r="K97" s="7953" t="s">
        <v>559</v>
      </c>
      <c r="L97" s="7935">
        <v>0</v>
      </c>
      <c r="M97" s="7936">
        <v>0</v>
      </c>
      <c r="N97" s="7937">
        <v>0</v>
      </c>
      <c r="O97" s="8958"/>
      <c r="P97" s="7932"/>
      <c r="Q97" s="7955"/>
      <c r="R97" s="7938"/>
      <c r="S97" s="7887"/>
      <c r="T97" s="7887"/>
      <c r="U97" s="7887"/>
      <c r="V97" s="7887"/>
      <c r="W97" s="7887"/>
      <c r="X97" s="7887"/>
      <c r="Y97" s="7887"/>
      <c r="Z97" s="7887"/>
      <c r="AA97" s="7887"/>
      <c r="AB97" s="7887"/>
      <c r="AC97" s="7887"/>
      <c r="AD97" s="7887"/>
      <c r="AE97" s="7887"/>
      <c r="AF97" s="7887"/>
      <c r="AG97" s="7887"/>
      <c r="AH97" s="7887"/>
      <c r="AI97" s="7887"/>
      <c r="AJ97" s="7887"/>
      <c r="AK97" s="7887"/>
      <c r="AL97" s="7887"/>
      <c r="AM97" s="7887"/>
      <c r="AN97" s="7887"/>
      <c r="AO97" s="7887"/>
      <c r="AP97" s="7887"/>
      <c r="AQ97" s="7887"/>
      <c r="AR97" s="7887"/>
      <c r="AS97" s="7887"/>
      <c r="AT97" s="7887"/>
      <c r="AU97" s="7887"/>
      <c r="AV97" s="7887"/>
      <c r="AW97" s="7887"/>
      <c r="AX97" s="7872"/>
    </row>
    <row r="98" spans="1:50" s="8763" customFormat="1" ht="20.100000000000001" customHeight="1">
      <c r="A98" s="7872"/>
      <c r="B98" s="8536"/>
      <c r="C98" s="8645"/>
      <c r="D98" s="9437" t="s">
        <v>143</v>
      </c>
      <c r="E98" s="9439"/>
      <c r="F98" s="7953" t="s">
        <v>1476</v>
      </c>
      <c r="G98" s="8583"/>
      <c r="H98" s="8645"/>
      <c r="I98" s="9497" t="s">
        <v>144</v>
      </c>
      <c r="J98" s="9498"/>
      <c r="K98" s="7953" t="s">
        <v>559</v>
      </c>
      <c r="L98" s="8031">
        <v>0</v>
      </c>
      <c r="M98" s="7936">
        <v>0</v>
      </c>
      <c r="N98" s="8023">
        <v>0</v>
      </c>
      <c r="O98" s="8958"/>
      <c r="P98" s="7932"/>
      <c r="Q98" s="7955"/>
      <c r="R98" s="7938"/>
      <c r="S98" s="7887"/>
      <c r="T98" s="7887"/>
      <c r="U98" s="7887"/>
      <c r="V98" s="7887"/>
      <c r="W98" s="7887"/>
      <c r="X98" s="7887"/>
      <c r="Y98" s="7887"/>
      <c r="Z98" s="7887"/>
      <c r="AA98" s="7887"/>
      <c r="AB98" s="7887"/>
      <c r="AC98" s="7887"/>
      <c r="AD98" s="7887"/>
      <c r="AE98" s="7887"/>
      <c r="AF98" s="7887"/>
      <c r="AG98" s="7887"/>
      <c r="AH98" s="7887"/>
      <c r="AI98" s="7887"/>
      <c r="AJ98" s="7887"/>
      <c r="AK98" s="7887"/>
      <c r="AL98" s="7887"/>
      <c r="AM98" s="7887"/>
      <c r="AN98" s="7887"/>
      <c r="AO98" s="7887"/>
      <c r="AP98" s="7887"/>
      <c r="AQ98" s="7887"/>
      <c r="AR98" s="7887"/>
      <c r="AS98" s="7887"/>
      <c r="AT98" s="7887"/>
      <c r="AU98" s="7887"/>
      <c r="AV98" s="7887"/>
      <c r="AW98" s="7887"/>
      <c r="AX98" s="7872"/>
    </row>
    <row r="99" spans="1:50" s="8763" customFormat="1" ht="20.100000000000001" customHeight="1">
      <c r="A99" s="7872"/>
      <c r="B99" s="8536"/>
      <c r="C99" s="8611"/>
      <c r="D99" s="9437" t="s">
        <v>146</v>
      </c>
      <c r="E99" s="9439"/>
      <c r="F99" s="7953" t="s">
        <v>1476</v>
      </c>
      <c r="G99" s="8583"/>
      <c r="H99" s="8611"/>
      <c r="I99" s="9497" t="s">
        <v>147</v>
      </c>
      <c r="J99" s="9498"/>
      <c r="K99" s="7953" t="s">
        <v>559</v>
      </c>
      <c r="L99" s="8031">
        <v>0</v>
      </c>
      <c r="M99" s="7936">
        <v>0</v>
      </c>
      <c r="N99" s="8023">
        <v>0</v>
      </c>
      <c r="O99" s="8958"/>
      <c r="P99" s="7932"/>
      <c r="Q99" s="7955"/>
      <c r="R99" s="7938"/>
      <c r="S99" s="7887"/>
      <c r="T99" s="7887"/>
      <c r="U99" s="7887"/>
      <c r="V99" s="7887"/>
      <c r="W99" s="7887"/>
      <c r="X99" s="7887"/>
      <c r="Y99" s="7887"/>
      <c r="Z99" s="7887"/>
      <c r="AA99" s="7887"/>
      <c r="AB99" s="7887"/>
      <c r="AC99" s="7887"/>
      <c r="AD99" s="7887"/>
      <c r="AE99" s="7887"/>
      <c r="AF99" s="7887"/>
      <c r="AG99" s="7887"/>
      <c r="AH99" s="7887"/>
      <c r="AI99" s="7887"/>
      <c r="AJ99" s="7887"/>
      <c r="AK99" s="7887"/>
      <c r="AL99" s="7887"/>
      <c r="AM99" s="7887"/>
      <c r="AN99" s="7887"/>
      <c r="AO99" s="7887"/>
      <c r="AP99" s="7887"/>
      <c r="AQ99" s="7887"/>
      <c r="AR99" s="7887"/>
      <c r="AS99" s="7887"/>
      <c r="AT99" s="7887"/>
      <c r="AU99" s="7887"/>
      <c r="AV99" s="7887"/>
      <c r="AW99" s="7887"/>
      <c r="AX99" s="7872"/>
    </row>
    <row r="100" spans="1:50" s="8763" customFormat="1" ht="20.100000000000001" customHeight="1">
      <c r="A100" s="7872"/>
      <c r="B100" s="8536"/>
      <c r="C100" s="8645"/>
      <c r="D100" s="9437" t="s">
        <v>149</v>
      </c>
      <c r="E100" s="9439"/>
      <c r="F100" s="7953" t="s">
        <v>1476</v>
      </c>
      <c r="G100" s="8583"/>
      <c r="H100" s="8645"/>
      <c r="I100" s="9497" t="s">
        <v>150</v>
      </c>
      <c r="J100" s="9498"/>
      <c r="K100" s="7953" t="s">
        <v>559</v>
      </c>
      <c r="L100" s="8031">
        <v>0</v>
      </c>
      <c r="M100" s="7936">
        <v>0</v>
      </c>
      <c r="N100" s="8023">
        <v>0</v>
      </c>
      <c r="O100" s="8958"/>
      <c r="P100" s="7932"/>
      <c r="Q100" s="7955"/>
      <c r="R100" s="7938"/>
      <c r="S100" s="7887"/>
      <c r="T100" s="7887"/>
      <c r="U100" s="7887"/>
      <c r="V100" s="7887"/>
      <c r="W100" s="7887"/>
      <c r="X100" s="7887"/>
      <c r="Y100" s="7887"/>
      <c r="Z100" s="7887"/>
      <c r="AA100" s="7887"/>
      <c r="AB100" s="7887"/>
      <c r="AC100" s="7887"/>
      <c r="AD100" s="7887"/>
      <c r="AE100" s="7887"/>
      <c r="AF100" s="7887"/>
      <c r="AG100" s="7887"/>
      <c r="AH100" s="7887"/>
      <c r="AI100" s="7887"/>
      <c r="AJ100" s="7887"/>
      <c r="AK100" s="7887"/>
      <c r="AL100" s="7887"/>
      <c r="AM100" s="7887"/>
      <c r="AN100" s="7887"/>
      <c r="AO100" s="7887"/>
      <c r="AP100" s="7887"/>
      <c r="AQ100" s="7887"/>
      <c r="AR100" s="7887"/>
      <c r="AS100" s="7887"/>
      <c r="AT100" s="7887"/>
      <c r="AU100" s="7887"/>
      <c r="AV100" s="7887"/>
      <c r="AW100" s="7887"/>
      <c r="AX100" s="7872"/>
    </row>
    <row r="101" spans="1:50" s="8763" customFormat="1" ht="20.100000000000001" customHeight="1">
      <c r="A101" s="7872"/>
      <c r="B101" s="9339"/>
      <c r="C101" s="8645"/>
      <c r="D101" s="8641" t="s">
        <v>1661</v>
      </c>
      <c r="E101" s="8642"/>
      <c r="F101" s="7957" t="s">
        <v>1476</v>
      </c>
      <c r="G101" s="8571"/>
      <c r="H101" s="8643"/>
      <c r="I101" s="8571" t="s">
        <v>1662</v>
      </c>
      <c r="J101" s="8571"/>
      <c r="K101" s="7958" t="s">
        <v>559</v>
      </c>
      <c r="L101" s="8012">
        <f>SUM(L102:L107)</f>
        <v>0</v>
      </c>
      <c r="M101" s="8013">
        <f>SUM(M102:M107)</f>
        <v>0</v>
      </c>
      <c r="N101" s="8014">
        <f>SUM(N102:N107)</f>
        <v>0</v>
      </c>
      <c r="O101" s="9068"/>
      <c r="P101" s="7932" t="s">
        <v>1665</v>
      </c>
      <c r="Q101" s="8703" t="s">
        <v>1666</v>
      </c>
      <c r="R101" s="7938" t="s">
        <v>1667</v>
      </c>
      <c r="S101" s="7887"/>
      <c r="T101" s="7887"/>
      <c r="U101" s="7887"/>
      <c r="V101" s="7887"/>
      <c r="W101" s="7887"/>
      <c r="X101" s="7887"/>
      <c r="Y101" s="7887"/>
      <c r="Z101" s="7887"/>
      <c r="AA101" s="7887"/>
      <c r="AB101" s="7887"/>
      <c r="AC101" s="7887"/>
      <c r="AD101" s="7887"/>
      <c r="AE101" s="7887"/>
      <c r="AF101" s="7887"/>
      <c r="AG101" s="7887"/>
      <c r="AH101" s="7887"/>
      <c r="AI101" s="7887"/>
      <c r="AJ101" s="7887"/>
      <c r="AK101" s="7887"/>
      <c r="AL101" s="7887"/>
      <c r="AM101" s="7887"/>
      <c r="AN101" s="7887"/>
      <c r="AO101" s="7887"/>
      <c r="AP101" s="7887"/>
      <c r="AQ101" s="7887"/>
      <c r="AR101" s="7887"/>
      <c r="AS101" s="7887"/>
      <c r="AT101" s="7887"/>
      <c r="AU101" s="7887"/>
      <c r="AV101" s="7887"/>
      <c r="AW101" s="7887"/>
      <c r="AX101" s="7872"/>
    </row>
    <row r="102" spans="1:50" s="8763" customFormat="1" ht="20.100000000000001" customHeight="1">
      <c r="A102" s="7872"/>
      <c r="B102" s="8536"/>
      <c r="C102" s="8611"/>
      <c r="D102" s="9437" t="s">
        <v>134</v>
      </c>
      <c r="E102" s="9439"/>
      <c r="F102" s="7953" t="s">
        <v>1476</v>
      </c>
      <c r="G102" s="8583"/>
      <c r="H102" s="8611"/>
      <c r="I102" s="9478" t="s">
        <v>135</v>
      </c>
      <c r="J102" s="9479"/>
      <c r="K102" s="7953" t="s">
        <v>559</v>
      </c>
      <c r="L102" s="7935">
        <v>0</v>
      </c>
      <c r="M102" s="7936">
        <v>0</v>
      </c>
      <c r="N102" s="7937">
        <v>0</v>
      </c>
      <c r="O102" s="8958"/>
      <c r="P102" s="7932"/>
      <c r="Q102" s="8703"/>
      <c r="R102" s="7938"/>
      <c r="S102" s="7887"/>
      <c r="T102" s="7887"/>
      <c r="U102" s="7887"/>
      <c r="V102" s="7887"/>
      <c r="W102" s="7887"/>
      <c r="X102" s="7887"/>
      <c r="Y102" s="7887"/>
      <c r="Z102" s="7887"/>
      <c r="AA102" s="7887"/>
      <c r="AB102" s="7887"/>
      <c r="AC102" s="7887"/>
      <c r="AD102" s="7887"/>
      <c r="AE102" s="7887"/>
      <c r="AF102" s="7887"/>
      <c r="AG102" s="7887"/>
      <c r="AH102" s="7887"/>
      <c r="AI102" s="7887"/>
      <c r="AJ102" s="7887"/>
      <c r="AK102" s="7887"/>
      <c r="AL102" s="7887"/>
      <c r="AM102" s="7887"/>
      <c r="AN102" s="7887"/>
      <c r="AO102" s="7887"/>
      <c r="AP102" s="7887"/>
      <c r="AQ102" s="7887"/>
      <c r="AR102" s="7887"/>
      <c r="AS102" s="7887"/>
      <c r="AT102" s="7887"/>
      <c r="AU102" s="7887"/>
      <c r="AV102" s="7887"/>
      <c r="AW102" s="7887"/>
      <c r="AX102" s="7872"/>
    </row>
    <row r="103" spans="1:50" s="8763" customFormat="1" ht="20.100000000000001" customHeight="1">
      <c r="A103" s="7872"/>
      <c r="B103" s="8536"/>
      <c r="C103" s="8645"/>
      <c r="D103" s="9437" t="s">
        <v>137</v>
      </c>
      <c r="E103" s="9439"/>
      <c r="F103" s="7953" t="s">
        <v>1476</v>
      </c>
      <c r="G103" s="8583"/>
      <c r="H103" s="8645"/>
      <c r="I103" s="9478" t="s">
        <v>138</v>
      </c>
      <c r="J103" s="9479"/>
      <c r="K103" s="7953" t="s">
        <v>559</v>
      </c>
      <c r="L103" s="7935">
        <v>0</v>
      </c>
      <c r="M103" s="7936">
        <v>0</v>
      </c>
      <c r="N103" s="7937">
        <v>0</v>
      </c>
      <c r="O103" s="8958"/>
      <c r="P103" s="7932"/>
      <c r="Q103" s="8703"/>
      <c r="R103" s="7938"/>
      <c r="S103" s="7887"/>
      <c r="T103" s="7887"/>
      <c r="U103" s="7887"/>
      <c r="V103" s="7887"/>
      <c r="W103" s="7887"/>
      <c r="X103" s="7887"/>
      <c r="Y103" s="7887"/>
      <c r="Z103" s="7887"/>
      <c r="AA103" s="7887"/>
      <c r="AB103" s="7887"/>
      <c r="AC103" s="7887"/>
      <c r="AD103" s="7887"/>
      <c r="AE103" s="7887"/>
      <c r="AF103" s="7887"/>
      <c r="AG103" s="7887"/>
      <c r="AH103" s="7887"/>
      <c r="AI103" s="7887"/>
      <c r="AJ103" s="7887"/>
      <c r="AK103" s="7887"/>
      <c r="AL103" s="7887"/>
      <c r="AM103" s="7887"/>
      <c r="AN103" s="7887"/>
      <c r="AO103" s="7887"/>
      <c r="AP103" s="7887"/>
      <c r="AQ103" s="7887"/>
      <c r="AR103" s="7887"/>
      <c r="AS103" s="7887"/>
      <c r="AT103" s="7887"/>
      <c r="AU103" s="7887"/>
      <c r="AV103" s="7887"/>
      <c r="AW103" s="7887"/>
      <c r="AX103" s="7872"/>
    </row>
    <row r="104" spans="1:50" s="8763" customFormat="1" ht="20.100000000000001" customHeight="1">
      <c r="A104" s="7872"/>
      <c r="B104" s="8536"/>
      <c r="C104" s="8611"/>
      <c r="D104" s="9437" t="s">
        <v>140</v>
      </c>
      <c r="E104" s="9439"/>
      <c r="F104" s="7953" t="s">
        <v>1476</v>
      </c>
      <c r="G104" s="8583"/>
      <c r="H104" s="8611"/>
      <c r="I104" s="9497" t="s">
        <v>141</v>
      </c>
      <c r="J104" s="9498"/>
      <c r="K104" s="7953" t="s">
        <v>559</v>
      </c>
      <c r="L104" s="7935">
        <v>0</v>
      </c>
      <c r="M104" s="7936">
        <v>0</v>
      </c>
      <c r="N104" s="7937">
        <v>0</v>
      </c>
      <c r="O104" s="8958"/>
      <c r="P104" s="7932"/>
      <c r="Q104" s="8703"/>
      <c r="R104" s="7938"/>
      <c r="S104" s="7887"/>
      <c r="T104" s="7887"/>
      <c r="U104" s="7887"/>
      <c r="V104" s="7887"/>
      <c r="W104" s="7887"/>
      <c r="X104" s="7887"/>
      <c r="Y104" s="7887"/>
      <c r="Z104" s="7887"/>
      <c r="AA104" s="7887"/>
      <c r="AB104" s="7887"/>
      <c r="AC104" s="7887"/>
      <c r="AD104" s="7887"/>
      <c r="AE104" s="7887"/>
      <c r="AF104" s="7887"/>
      <c r="AG104" s="7887"/>
      <c r="AH104" s="7887"/>
      <c r="AI104" s="7887"/>
      <c r="AJ104" s="7887"/>
      <c r="AK104" s="7887"/>
      <c r="AL104" s="7887"/>
      <c r="AM104" s="7887"/>
      <c r="AN104" s="7887"/>
      <c r="AO104" s="7887"/>
      <c r="AP104" s="7887"/>
      <c r="AQ104" s="7887"/>
      <c r="AR104" s="7887"/>
      <c r="AS104" s="7887"/>
      <c r="AT104" s="7887"/>
      <c r="AU104" s="7887"/>
      <c r="AV104" s="7887"/>
      <c r="AW104" s="7887"/>
      <c r="AX104" s="7872"/>
    </row>
    <row r="105" spans="1:50" s="8763" customFormat="1" ht="20.100000000000001" customHeight="1">
      <c r="A105" s="7872"/>
      <c r="B105" s="8536"/>
      <c r="C105" s="8645"/>
      <c r="D105" s="9437" t="s">
        <v>143</v>
      </c>
      <c r="E105" s="9439"/>
      <c r="F105" s="7953" t="s">
        <v>1476</v>
      </c>
      <c r="G105" s="8583"/>
      <c r="H105" s="8645"/>
      <c r="I105" s="9497" t="s">
        <v>144</v>
      </c>
      <c r="J105" s="9498"/>
      <c r="K105" s="7953" t="s">
        <v>559</v>
      </c>
      <c r="L105" s="8031">
        <v>0</v>
      </c>
      <c r="M105" s="7936">
        <v>0</v>
      </c>
      <c r="N105" s="8023">
        <v>0</v>
      </c>
      <c r="O105" s="8958"/>
      <c r="P105" s="7932"/>
      <c r="Q105" s="8703"/>
      <c r="R105" s="7938"/>
      <c r="S105" s="7887"/>
      <c r="T105" s="7887"/>
      <c r="U105" s="7887"/>
      <c r="V105" s="7887"/>
      <c r="W105" s="7887"/>
      <c r="X105" s="7887"/>
      <c r="Y105" s="7887"/>
      <c r="Z105" s="7887"/>
      <c r="AA105" s="7887"/>
      <c r="AB105" s="7887"/>
      <c r="AC105" s="7887"/>
      <c r="AD105" s="7887"/>
      <c r="AE105" s="7887"/>
      <c r="AF105" s="7887"/>
      <c r="AG105" s="7887"/>
      <c r="AH105" s="7887"/>
      <c r="AI105" s="7887"/>
      <c r="AJ105" s="7887"/>
      <c r="AK105" s="7887"/>
      <c r="AL105" s="7887"/>
      <c r="AM105" s="7887"/>
      <c r="AN105" s="7887"/>
      <c r="AO105" s="7887"/>
      <c r="AP105" s="7887"/>
      <c r="AQ105" s="7887"/>
      <c r="AR105" s="7887"/>
      <c r="AS105" s="7887"/>
      <c r="AT105" s="7887"/>
      <c r="AU105" s="7887"/>
      <c r="AV105" s="7887"/>
      <c r="AW105" s="7887"/>
      <c r="AX105" s="7872"/>
    </row>
    <row r="106" spans="1:50" s="8763" customFormat="1" ht="20.100000000000001" customHeight="1">
      <c r="A106" s="7872"/>
      <c r="B106" s="8536"/>
      <c r="C106" s="8611"/>
      <c r="D106" s="9437" t="s">
        <v>146</v>
      </c>
      <c r="E106" s="9439"/>
      <c r="F106" s="7953" t="s">
        <v>1476</v>
      </c>
      <c r="G106" s="8583"/>
      <c r="H106" s="8611"/>
      <c r="I106" s="9497" t="s">
        <v>147</v>
      </c>
      <c r="J106" s="9498"/>
      <c r="K106" s="7953" t="s">
        <v>559</v>
      </c>
      <c r="L106" s="8031">
        <v>0</v>
      </c>
      <c r="M106" s="7936">
        <v>0</v>
      </c>
      <c r="N106" s="8023">
        <v>0</v>
      </c>
      <c r="O106" s="8958"/>
      <c r="P106" s="7932"/>
      <c r="Q106" s="8703"/>
      <c r="R106" s="7938"/>
      <c r="S106" s="7887"/>
      <c r="T106" s="7887"/>
      <c r="U106" s="7887"/>
      <c r="V106" s="7887"/>
      <c r="W106" s="7887"/>
      <c r="X106" s="7887"/>
      <c r="Y106" s="7887"/>
      <c r="Z106" s="7887"/>
      <c r="AA106" s="7887"/>
      <c r="AB106" s="7887"/>
      <c r="AC106" s="7887"/>
      <c r="AD106" s="7887"/>
      <c r="AE106" s="7887"/>
      <c r="AF106" s="7887"/>
      <c r="AG106" s="7887"/>
      <c r="AH106" s="7887"/>
      <c r="AI106" s="7887"/>
      <c r="AJ106" s="7887"/>
      <c r="AK106" s="7887"/>
      <c r="AL106" s="7887"/>
      <c r="AM106" s="7887"/>
      <c r="AN106" s="7887"/>
      <c r="AO106" s="7887"/>
      <c r="AP106" s="7887"/>
      <c r="AQ106" s="7887"/>
      <c r="AR106" s="7887"/>
      <c r="AS106" s="7887"/>
      <c r="AT106" s="7887"/>
      <c r="AU106" s="7887"/>
      <c r="AV106" s="7887"/>
      <c r="AW106" s="7887"/>
      <c r="AX106" s="7872"/>
    </row>
    <row r="107" spans="1:50" s="8763" customFormat="1" ht="20.100000000000001" customHeight="1">
      <c r="A107" s="7872"/>
      <c r="B107" s="8536"/>
      <c r="C107" s="8645"/>
      <c r="D107" s="9437" t="s">
        <v>149</v>
      </c>
      <c r="E107" s="9439"/>
      <c r="F107" s="7953" t="s">
        <v>1476</v>
      </c>
      <c r="G107" s="8583"/>
      <c r="H107" s="8645"/>
      <c r="I107" s="9497" t="s">
        <v>150</v>
      </c>
      <c r="J107" s="9498"/>
      <c r="K107" s="7953" t="s">
        <v>559</v>
      </c>
      <c r="L107" s="8031">
        <v>0</v>
      </c>
      <c r="M107" s="7936">
        <v>0</v>
      </c>
      <c r="N107" s="8023">
        <v>0</v>
      </c>
      <c r="O107" s="8958"/>
      <c r="P107" s="7932"/>
      <c r="Q107" s="8703"/>
      <c r="R107" s="7938"/>
      <c r="S107" s="7887"/>
      <c r="T107" s="7887"/>
      <c r="U107" s="7887"/>
      <c r="V107" s="7887"/>
      <c r="W107" s="7887"/>
      <c r="X107" s="7887"/>
      <c r="Y107" s="7887"/>
      <c r="Z107" s="7887"/>
      <c r="AA107" s="7887"/>
      <c r="AB107" s="7887"/>
      <c r="AC107" s="7887"/>
      <c r="AD107" s="7887"/>
      <c r="AE107" s="7887"/>
      <c r="AF107" s="7887"/>
      <c r="AG107" s="7887"/>
      <c r="AH107" s="7887"/>
      <c r="AI107" s="7887"/>
      <c r="AJ107" s="7887"/>
      <c r="AK107" s="7887"/>
      <c r="AL107" s="7887"/>
      <c r="AM107" s="7887"/>
      <c r="AN107" s="7887"/>
      <c r="AO107" s="7887"/>
      <c r="AP107" s="7887"/>
      <c r="AQ107" s="7887"/>
      <c r="AR107" s="7887"/>
      <c r="AS107" s="7887"/>
      <c r="AT107" s="7887"/>
      <c r="AU107" s="7887"/>
      <c r="AV107" s="7887"/>
      <c r="AW107" s="7887"/>
      <c r="AX107" s="7872"/>
    </row>
    <row r="108" spans="1:50" s="8763" customFormat="1" ht="20.100000000000001" customHeight="1">
      <c r="A108" s="7872"/>
      <c r="B108" s="9339"/>
      <c r="C108" s="8645"/>
      <c r="D108" s="8641" t="s">
        <v>1668</v>
      </c>
      <c r="E108" s="8642"/>
      <c r="F108" s="7957" t="s">
        <v>1476</v>
      </c>
      <c r="G108" s="8571"/>
      <c r="H108" s="8643"/>
      <c r="I108" s="8571" t="s">
        <v>1669</v>
      </c>
      <c r="J108" s="8571"/>
      <c r="K108" s="7958" t="s">
        <v>559</v>
      </c>
      <c r="L108" s="8012">
        <f>SUM(L109:L114)</f>
        <v>0</v>
      </c>
      <c r="M108" s="8013">
        <f>SUM(M109:M114)</f>
        <v>0</v>
      </c>
      <c r="N108" s="8014">
        <f>SUM(N109:N114)</f>
        <v>0</v>
      </c>
      <c r="O108" s="9068"/>
      <c r="P108" s="7932"/>
      <c r="Q108" s="7955" t="s">
        <v>1672</v>
      </c>
      <c r="R108" s="7938"/>
      <c r="S108" s="7887"/>
      <c r="T108" s="7887"/>
      <c r="U108" s="7887"/>
      <c r="V108" s="7887"/>
      <c r="W108" s="7887"/>
      <c r="X108" s="7887"/>
      <c r="Y108" s="7887"/>
      <c r="Z108" s="7887"/>
      <c r="AA108" s="7887"/>
      <c r="AB108" s="7887"/>
      <c r="AC108" s="7887"/>
      <c r="AD108" s="7887"/>
      <c r="AE108" s="7887"/>
      <c r="AF108" s="7887"/>
      <c r="AG108" s="7887"/>
      <c r="AH108" s="7887"/>
      <c r="AI108" s="7887"/>
      <c r="AJ108" s="7887"/>
      <c r="AK108" s="7887"/>
      <c r="AL108" s="7887"/>
      <c r="AM108" s="7887"/>
      <c r="AN108" s="7887"/>
      <c r="AO108" s="7887"/>
      <c r="AP108" s="7887"/>
      <c r="AQ108" s="7887"/>
      <c r="AR108" s="7887"/>
      <c r="AS108" s="7887"/>
      <c r="AT108" s="7887"/>
      <c r="AU108" s="7887"/>
      <c r="AV108" s="7887"/>
      <c r="AW108" s="7887"/>
      <c r="AX108" s="7872"/>
    </row>
    <row r="109" spans="1:50" s="8763" customFormat="1" ht="18.75" customHeight="1">
      <c r="A109" s="7872"/>
      <c r="B109" s="8536"/>
      <c r="C109" s="8611"/>
      <c r="D109" s="9437" t="s">
        <v>134</v>
      </c>
      <c r="E109" s="9439"/>
      <c r="F109" s="7953" t="s">
        <v>1476</v>
      </c>
      <c r="G109" s="8583"/>
      <c r="H109" s="8611"/>
      <c r="I109" s="9478" t="s">
        <v>135</v>
      </c>
      <c r="J109" s="9479"/>
      <c r="K109" s="7953" t="s">
        <v>559</v>
      </c>
      <c r="L109" s="7935">
        <v>0</v>
      </c>
      <c r="M109" s="7936">
        <v>0</v>
      </c>
      <c r="N109" s="7937">
        <v>0</v>
      </c>
      <c r="O109" s="8958"/>
      <c r="P109" s="7932"/>
      <c r="Q109" s="7955"/>
      <c r="R109" s="7938"/>
      <c r="S109" s="7887"/>
      <c r="T109" s="7887"/>
      <c r="U109" s="7887"/>
      <c r="V109" s="7887"/>
      <c r="W109" s="7887"/>
      <c r="X109" s="7887"/>
      <c r="Y109" s="7887"/>
      <c r="Z109" s="7887"/>
      <c r="AA109" s="7887"/>
      <c r="AB109" s="7887"/>
      <c r="AC109" s="7887"/>
      <c r="AD109" s="7887"/>
      <c r="AE109" s="7887"/>
      <c r="AF109" s="7887"/>
      <c r="AG109" s="7887"/>
      <c r="AH109" s="7887"/>
      <c r="AI109" s="7887"/>
      <c r="AJ109" s="7887"/>
      <c r="AK109" s="7887"/>
      <c r="AL109" s="7887"/>
      <c r="AM109" s="7887"/>
      <c r="AN109" s="7887"/>
      <c r="AO109" s="7887"/>
      <c r="AP109" s="7887"/>
      <c r="AQ109" s="7887"/>
      <c r="AR109" s="7887"/>
      <c r="AS109" s="7887"/>
      <c r="AT109" s="7887"/>
      <c r="AU109" s="7887"/>
      <c r="AV109" s="7887"/>
      <c r="AW109" s="7887"/>
      <c r="AX109" s="7872"/>
    </row>
    <row r="110" spans="1:50" s="8763" customFormat="1" ht="20.100000000000001" customHeight="1">
      <c r="A110" s="7872"/>
      <c r="B110" s="8536"/>
      <c r="C110" s="8645"/>
      <c r="D110" s="9437" t="s">
        <v>137</v>
      </c>
      <c r="E110" s="9439"/>
      <c r="F110" s="7953" t="s">
        <v>1476</v>
      </c>
      <c r="G110" s="8583"/>
      <c r="H110" s="8645"/>
      <c r="I110" s="9478" t="s">
        <v>138</v>
      </c>
      <c r="J110" s="9479"/>
      <c r="K110" s="7953" t="s">
        <v>559</v>
      </c>
      <c r="L110" s="7935">
        <v>0</v>
      </c>
      <c r="M110" s="7936">
        <v>0</v>
      </c>
      <c r="N110" s="8032">
        <v>0</v>
      </c>
      <c r="O110" s="8958"/>
      <c r="P110" s="7932"/>
      <c r="Q110" s="7955"/>
      <c r="R110" s="7938"/>
      <c r="S110" s="7887"/>
      <c r="T110" s="7887"/>
      <c r="U110" s="7887"/>
      <c r="V110" s="7887"/>
      <c r="W110" s="7887"/>
      <c r="X110" s="7887"/>
      <c r="Y110" s="7887"/>
      <c r="Z110" s="7887"/>
      <c r="AA110" s="7887"/>
      <c r="AB110" s="7887"/>
      <c r="AC110" s="7887"/>
      <c r="AD110" s="7887"/>
      <c r="AE110" s="7887"/>
      <c r="AF110" s="7887"/>
      <c r="AG110" s="7887"/>
      <c r="AH110" s="7887"/>
      <c r="AI110" s="7887"/>
      <c r="AJ110" s="7887"/>
      <c r="AK110" s="7887"/>
      <c r="AL110" s="7887"/>
      <c r="AM110" s="7887"/>
      <c r="AN110" s="7887"/>
      <c r="AO110" s="7887"/>
      <c r="AP110" s="7887"/>
      <c r="AQ110" s="7887"/>
      <c r="AR110" s="7887"/>
      <c r="AS110" s="7887"/>
      <c r="AT110" s="7887"/>
      <c r="AU110" s="7887"/>
      <c r="AV110" s="7887"/>
      <c r="AW110" s="7887"/>
      <c r="AX110" s="7872"/>
    </row>
    <row r="111" spans="1:50" s="8763" customFormat="1" ht="20.100000000000001" customHeight="1">
      <c r="A111" s="7872"/>
      <c r="B111" s="8536"/>
      <c r="C111" s="8611"/>
      <c r="D111" s="9437" t="s">
        <v>140</v>
      </c>
      <c r="E111" s="9439"/>
      <c r="F111" s="7953" t="s">
        <v>1476</v>
      </c>
      <c r="G111" s="8583"/>
      <c r="H111" s="8611"/>
      <c r="I111" s="9497" t="s">
        <v>141</v>
      </c>
      <c r="J111" s="9498"/>
      <c r="K111" s="7953" t="s">
        <v>559</v>
      </c>
      <c r="L111" s="7935">
        <v>0</v>
      </c>
      <c r="M111" s="7936">
        <v>0</v>
      </c>
      <c r="N111" s="7937">
        <v>0</v>
      </c>
      <c r="O111" s="8958"/>
      <c r="P111" s="7932"/>
      <c r="Q111" s="7955"/>
      <c r="R111" s="7938"/>
      <c r="S111" s="7887"/>
      <c r="T111" s="7887"/>
      <c r="U111" s="7887"/>
      <c r="V111" s="7887"/>
      <c r="W111" s="7887"/>
      <c r="X111" s="7887"/>
      <c r="Y111" s="7887"/>
      <c r="Z111" s="7887"/>
      <c r="AA111" s="7887"/>
      <c r="AB111" s="7887"/>
      <c r="AC111" s="7887"/>
      <c r="AD111" s="7887"/>
      <c r="AE111" s="7887"/>
      <c r="AF111" s="7887"/>
      <c r="AG111" s="7887"/>
      <c r="AH111" s="7887"/>
      <c r="AI111" s="7887"/>
      <c r="AJ111" s="7887"/>
      <c r="AK111" s="7887"/>
      <c r="AL111" s="7887"/>
      <c r="AM111" s="7887"/>
      <c r="AN111" s="7887"/>
      <c r="AO111" s="7887"/>
      <c r="AP111" s="7887"/>
      <c r="AQ111" s="7887"/>
      <c r="AR111" s="7887"/>
      <c r="AS111" s="7887"/>
      <c r="AT111" s="7887"/>
      <c r="AU111" s="7887"/>
      <c r="AV111" s="7887"/>
      <c r="AW111" s="7887"/>
      <c r="AX111" s="7872"/>
    </row>
    <row r="112" spans="1:50" s="8763" customFormat="1" ht="20.100000000000001" customHeight="1">
      <c r="A112" s="7872"/>
      <c r="B112" s="8536"/>
      <c r="C112" s="8645"/>
      <c r="D112" s="9437" t="s">
        <v>143</v>
      </c>
      <c r="E112" s="9439"/>
      <c r="F112" s="7953" t="s">
        <v>1476</v>
      </c>
      <c r="G112" s="8583"/>
      <c r="H112" s="8645"/>
      <c r="I112" s="9497" t="s">
        <v>144</v>
      </c>
      <c r="J112" s="9498"/>
      <c r="K112" s="7953" t="s">
        <v>559</v>
      </c>
      <c r="L112" s="8031">
        <v>0</v>
      </c>
      <c r="M112" s="7936">
        <v>0</v>
      </c>
      <c r="N112" s="8023">
        <v>0</v>
      </c>
      <c r="O112" s="8958"/>
      <c r="P112" s="7932"/>
      <c r="Q112" s="7955"/>
      <c r="R112" s="7938"/>
      <c r="S112" s="7887"/>
      <c r="T112" s="7887"/>
      <c r="U112" s="7887"/>
      <c r="V112" s="7887"/>
      <c r="W112" s="7887"/>
      <c r="X112" s="7887"/>
      <c r="Y112" s="7887"/>
      <c r="Z112" s="7887"/>
      <c r="AA112" s="7887"/>
      <c r="AB112" s="7887"/>
      <c r="AC112" s="7887"/>
      <c r="AD112" s="7887"/>
      <c r="AE112" s="7887"/>
      <c r="AF112" s="7887"/>
      <c r="AG112" s="7887"/>
      <c r="AH112" s="7887"/>
      <c r="AI112" s="7887"/>
      <c r="AJ112" s="7887"/>
      <c r="AK112" s="7887"/>
      <c r="AL112" s="7887"/>
      <c r="AM112" s="7887"/>
      <c r="AN112" s="7887"/>
      <c r="AO112" s="7887"/>
      <c r="AP112" s="7887"/>
      <c r="AQ112" s="7887"/>
      <c r="AR112" s="7887"/>
      <c r="AS112" s="7887"/>
      <c r="AT112" s="7887"/>
      <c r="AU112" s="7887"/>
      <c r="AV112" s="7887"/>
      <c r="AW112" s="7887"/>
      <c r="AX112" s="7872"/>
    </row>
    <row r="113" spans="1:50" s="8763" customFormat="1" ht="20.100000000000001" customHeight="1">
      <c r="A113" s="7872"/>
      <c r="B113" s="8536"/>
      <c r="C113" s="8611"/>
      <c r="D113" s="9437" t="s">
        <v>146</v>
      </c>
      <c r="E113" s="9439"/>
      <c r="F113" s="7953" t="s">
        <v>1476</v>
      </c>
      <c r="G113" s="8583"/>
      <c r="H113" s="8611"/>
      <c r="I113" s="9497" t="s">
        <v>147</v>
      </c>
      <c r="J113" s="9498"/>
      <c r="K113" s="7953" t="s">
        <v>559</v>
      </c>
      <c r="L113" s="8031">
        <v>0</v>
      </c>
      <c r="M113" s="7936">
        <v>0</v>
      </c>
      <c r="N113" s="8023">
        <v>0</v>
      </c>
      <c r="O113" s="8958"/>
      <c r="P113" s="7932"/>
      <c r="Q113" s="7955"/>
      <c r="R113" s="7938"/>
      <c r="S113" s="7887"/>
      <c r="T113" s="7887"/>
      <c r="U113" s="7887"/>
      <c r="V113" s="7887"/>
      <c r="W113" s="7887"/>
      <c r="X113" s="7887"/>
      <c r="Y113" s="7887"/>
      <c r="Z113" s="7887"/>
      <c r="AA113" s="7887"/>
      <c r="AB113" s="7887"/>
      <c r="AC113" s="7887"/>
      <c r="AD113" s="7887"/>
      <c r="AE113" s="7887"/>
      <c r="AF113" s="7887"/>
      <c r="AG113" s="7887"/>
      <c r="AH113" s="7887"/>
      <c r="AI113" s="7887"/>
      <c r="AJ113" s="7887"/>
      <c r="AK113" s="7887"/>
      <c r="AL113" s="7887"/>
      <c r="AM113" s="7887"/>
      <c r="AN113" s="7887"/>
      <c r="AO113" s="7887"/>
      <c r="AP113" s="7887"/>
      <c r="AQ113" s="7887"/>
      <c r="AR113" s="7887"/>
      <c r="AS113" s="7887"/>
      <c r="AT113" s="7887"/>
      <c r="AU113" s="7887"/>
      <c r="AV113" s="7887"/>
      <c r="AW113" s="7887"/>
      <c r="AX113" s="7872"/>
    </row>
    <row r="114" spans="1:50" s="8763" customFormat="1" ht="20.100000000000001" customHeight="1">
      <c r="A114" s="7872"/>
      <c r="B114" s="8536"/>
      <c r="C114" s="8645"/>
      <c r="D114" s="9437" t="s">
        <v>149</v>
      </c>
      <c r="E114" s="9439"/>
      <c r="F114" s="7953" t="s">
        <v>1476</v>
      </c>
      <c r="G114" s="8583"/>
      <c r="H114" s="8645"/>
      <c r="I114" s="9497" t="s">
        <v>150</v>
      </c>
      <c r="J114" s="9498"/>
      <c r="K114" s="7953" t="s">
        <v>559</v>
      </c>
      <c r="L114" s="8031">
        <v>0</v>
      </c>
      <c r="M114" s="7936">
        <v>0</v>
      </c>
      <c r="N114" s="8023">
        <v>0</v>
      </c>
      <c r="O114" s="8958"/>
      <c r="P114" s="7932"/>
      <c r="Q114" s="7955"/>
      <c r="R114" s="7938"/>
      <c r="S114" s="7887"/>
      <c r="T114" s="7887"/>
      <c r="U114" s="7887"/>
      <c r="V114" s="7887"/>
      <c r="W114" s="7887"/>
      <c r="X114" s="7887"/>
      <c r="Y114" s="7887"/>
      <c r="Z114" s="7887"/>
      <c r="AA114" s="7887"/>
      <c r="AB114" s="7887"/>
      <c r="AC114" s="7887"/>
      <c r="AD114" s="7887"/>
      <c r="AE114" s="7887"/>
      <c r="AF114" s="7887"/>
      <c r="AG114" s="7887"/>
      <c r="AH114" s="7887"/>
      <c r="AI114" s="7887"/>
      <c r="AJ114" s="7887"/>
      <c r="AK114" s="7887"/>
      <c r="AL114" s="7887"/>
      <c r="AM114" s="7887"/>
      <c r="AN114" s="7887"/>
      <c r="AO114" s="7887"/>
      <c r="AP114" s="7887"/>
      <c r="AQ114" s="7887"/>
      <c r="AR114" s="7887"/>
      <c r="AS114" s="7887"/>
      <c r="AT114" s="7887"/>
      <c r="AU114" s="7887"/>
      <c r="AV114" s="7887"/>
      <c r="AW114" s="7887"/>
      <c r="AX114" s="7872"/>
    </row>
    <row r="115" spans="1:50" s="8763" customFormat="1" ht="20.100000000000001" customHeight="1">
      <c r="A115" s="7872"/>
      <c r="B115" s="9339"/>
      <c r="C115" s="8645"/>
      <c r="D115" s="8867" t="s">
        <v>1688</v>
      </c>
      <c r="E115" s="8642"/>
      <c r="F115" s="7957" t="s">
        <v>557</v>
      </c>
      <c r="G115" s="8571"/>
      <c r="H115" s="8643"/>
      <c r="I115" s="8571" t="s">
        <v>1689</v>
      </c>
      <c r="J115" s="8571"/>
      <c r="K115" s="7958" t="s">
        <v>559</v>
      </c>
      <c r="L115" s="8012">
        <f>SUM(L116:L121)</f>
        <v>0</v>
      </c>
      <c r="M115" s="8013">
        <f>SUM(M116:M121)</f>
        <v>0</v>
      </c>
      <c r="N115" s="8014">
        <f>SUM(N116:N121)</f>
        <v>0</v>
      </c>
      <c r="O115" s="9068"/>
      <c r="P115" s="7932"/>
      <c r="Q115" s="7955" t="s">
        <v>1692</v>
      </c>
      <c r="R115" s="7938"/>
      <c r="S115" s="7887"/>
      <c r="T115" s="7887"/>
      <c r="U115" s="7887"/>
      <c r="V115" s="7887"/>
      <c r="W115" s="7887"/>
      <c r="X115" s="7887"/>
      <c r="Y115" s="7887"/>
      <c r="Z115" s="7887"/>
      <c r="AA115" s="7887"/>
      <c r="AB115" s="7887"/>
      <c r="AC115" s="7887"/>
      <c r="AD115" s="7887"/>
      <c r="AE115" s="7887"/>
      <c r="AF115" s="7887"/>
      <c r="AG115" s="7887"/>
      <c r="AH115" s="7887"/>
      <c r="AI115" s="7887"/>
      <c r="AJ115" s="7887"/>
      <c r="AK115" s="7887"/>
      <c r="AL115" s="7887"/>
      <c r="AM115" s="7887"/>
      <c r="AN115" s="7887"/>
      <c r="AO115" s="7887"/>
      <c r="AP115" s="7887"/>
      <c r="AQ115" s="7887"/>
      <c r="AR115" s="7887"/>
      <c r="AS115" s="7887"/>
      <c r="AT115" s="7887"/>
      <c r="AU115" s="7887"/>
      <c r="AV115" s="7887"/>
      <c r="AW115" s="7887"/>
      <c r="AX115" s="7872"/>
    </row>
    <row r="116" spans="1:50" s="8763" customFormat="1" ht="20.100000000000001" customHeight="1">
      <c r="A116" s="7872"/>
      <c r="B116" s="8536"/>
      <c r="C116" s="8611"/>
      <c r="D116" s="9437" t="s">
        <v>134</v>
      </c>
      <c r="E116" s="9439"/>
      <c r="F116" s="7953" t="s">
        <v>1476</v>
      </c>
      <c r="G116" s="8505"/>
      <c r="H116" s="8611"/>
      <c r="I116" s="9478" t="s">
        <v>135</v>
      </c>
      <c r="J116" s="9479"/>
      <c r="K116" s="7953" t="s">
        <v>559</v>
      </c>
      <c r="L116" s="7935">
        <v>0</v>
      </c>
      <c r="M116" s="7936">
        <v>0</v>
      </c>
      <c r="N116" s="7937">
        <v>0</v>
      </c>
      <c r="O116" s="8958"/>
      <c r="P116" s="7932"/>
      <c r="Q116" s="7955"/>
      <c r="R116" s="7938"/>
      <c r="S116" s="7887"/>
      <c r="T116" s="7887"/>
      <c r="U116" s="7887"/>
      <c r="V116" s="7887"/>
      <c r="W116" s="7887"/>
      <c r="X116" s="7887"/>
      <c r="Y116" s="7887"/>
      <c r="Z116" s="7887"/>
      <c r="AA116" s="7887"/>
      <c r="AB116" s="7887"/>
      <c r="AC116" s="7887"/>
      <c r="AD116" s="7887"/>
      <c r="AE116" s="7887"/>
      <c r="AF116" s="7887"/>
      <c r="AG116" s="7887"/>
      <c r="AH116" s="7887"/>
      <c r="AI116" s="7887"/>
      <c r="AJ116" s="7887"/>
      <c r="AK116" s="7887"/>
      <c r="AL116" s="7887"/>
      <c r="AM116" s="7887"/>
      <c r="AN116" s="7887"/>
      <c r="AO116" s="7887"/>
      <c r="AP116" s="7887"/>
      <c r="AQ116" s="7887"/>
      <c r="AR116" s="7887"/>
      <c r="AS116" s="7887"/>
      <c r="AT116" s="7887"/>
      <c r="AU116" s="7887"/>
      <c r="AV116" s="7887"/>
      <c r="AW116" s="7887"/>
      <c r="AX116" s="7872"/>
    </row>
    <row r="117" spans="1:50" s="8763" customFormat="1" ht="20.100000000000001" customHeight="1">
      <c r="A117" s="7872"/>
      <c r="B117" s="8536"/>
      <c r="C117" s="8645"/>
      <c r="D117" s="9437" t="s">
        <v>137</v>
      </c>
      <c r="E117" s="9439"/>
      <c r="F117" s="7953" t="s">
        <v>1476</v>
      </c>
      <c r="G117" s="8505"/>
      <c r="H117" s="8645"/>
      <c r="I117" s="9478" t="s">
        <v>138</v>
      </c>
      <c r="J117" s="9479"/>
      <c r="K117" s="7953" t="s">
        <v>559</v>
      </c>
      <c r="L117" s="7935">
        <v>0</v>
      </c>
      <c r="M117" s="7936">
        <v>0</v>
      </c>
      <c r="N117" s="8032">
        <v>0</v>
      </c>
      <c r="O117" s="8958"/>
      <c r="P117" s="7932"/>
      <c r="Q117" s="7955"/>
      <c r="R117" s="7938"/>
      <c r="S117" s="7887"/>
      <c r="T117" s="7887"/>
      <c r="U117" s="7887"/>
      <c r="V117" s="7887"/>
      <c r="W117" s="7887"/>
      <c r="X117" s="7887"/>
      <c r="Y117" s="7887"/>
      <c r="Z117" s="7887"/>
      <c r="AA117" s="7887"/>
      <c r="AB117" s="7887"/>
      <c r="AC117" s="7887"/>
      <c r="AD117" s="7887"/>
      <c r="AE117" s="7887"/>
      <c r="AF117" s="7887"/>
      <c r="AG117" s="7887"/>
      <c r="AH117" s="7887"/>
      <c r="AI117" s="7887"/>
      <c r="AJ117" s="7887"/>
      <c r="AK117" s="7887"/>
      <c r="AL117" s="7887"/>
      <c r="AM117" s="7887"/>
      <c r="AN117" s="7887"/>
      <c r="AO117" s="7887"/>
      <c r="AP117" s="7887"/>
      <c r="AQ117" s="7887"/>
      <c r="AR117" s="7887"/>
      <c r="AS117" s="7887"/>
      <c r="AT117" s="7887"/>
      <c r="AU117" s="7887"/>
      <c r="AV117" s="7887"/>
      <c r="AW117" s="7887"/>
      <c r="AX117" s="7872"/>
    </row>
    <row r="118" spans="1:50" s="8763" customFormat="1" ht="20.100000000000001" customHeight="1">
      <c r="A118" s="7872"/>
      <c r="B118" s="8536"/>
      <c r="C118" s="8611"/>
      <c r="D118" s="9437" t="s">
        <v>140</v>
      </c>
      <c r="E118" s="9439"/>
      <c r="F118" s="7953" t="s">
        <v>1476</v>
      </c>
      <c r="G118" s="8505"/>
      <c r="H118" s="8611"/>
      <c r="I118" s="9497" t="s">
        <v>141</v>
      </c>
      <c r="J118" s="9498"/>
      <c r="K118" s="7953" t="s">
        <v>559</v>
      </c>
      <c r="L118" s="7935">
        <v>0</v>
      </c>
      <c r="M118" s="7936">
        <v>0</v>
      </c>
      <c r="N118" s="7937">
        <v>0</v>
      </c>
      <c r="O118" s="8958"/>
      <c r="P118" s="7932"/>
      <c r="Q118" s="7955"/>
      <c r="R118" s="7938"/>
      <c r="S118" s="7887"/>
      <c r="T118" s="7887"/>
      <c r="U118" s="7887"/>
      <c r="V118" s="7887"/>
      <c r="W118" s="7887"/>
      <c r="X118" s="7887"/>
      <c r="Y118" s="7887"/>
      <c r="Z118" s="7887"/>
      <c r="AA118" s="7887"/>
      <c r="AB118" s="7887"/>
      <c r="AC118" s="7887"/>
      <c r="AD118" s="7887"/>
      <c r="AE118" s="7887"/>
      <c r="AF118" s="7887"/>
      <c r="AG118" s="7887"/>
      <c r="AH118" s="7887"/>
      <c r="AI118" s="7887"/>
      <c r="AJ118" s="7887"/>
      <c r="AK118" s="7887"/>
      <c r="AL118" s="7887"/>
      <c r="AM118" s="7887"/>
      <c r="AN118" s="7887"/>
      <c r="AO118" s="7887"/>
      <c r="AP118" s="7887"/>
      <c r="AQ118" s="7887"/>
      <c r="AR118" s="7887"/>
      <c r="AS118" s="7887"/>
      <c r="AT118" s="7887"/>
      <c r="AU118" s="7887"/>
      <c r="AV118" s="7887"/>
      <c r="AW118" s="7887"/>
      <c r="AX118" s="7872"/>
    </row>
    <row r="119" spans="1:50" s="8763" customFormat="1" ht="20.100000000000001" customHeight="1">
      <c r="A119" s="7872"/>
      <c r="B119" s="8536"/>
      <c r="C119" s="8645"/>
      <c r="D119" s="9437" t="s">
        <v>143</v>
      </c>
      <c r="E119" s="9439"/>
      <c r="F119" s="7953" t="s">
        <v>1476</v>
      </c>
      <c r="G119" s="8505"/>
      <c r="H119" s="8645"/>
      <c r="I119" s="9497" t="s">
        <v>144</v>
      </c>
      <c r="J119" s="9498"/>
      <c r="K119" s="7953" t="s">
        <v>559</v>
      </c>
      <c r="L119" s="8031">
        <v>0</v>
      </c>
      <c r="M119" s="7936">
        <v>0</v>
      </c>
      <c r="N119" s="8023">
        <v>0</v>
      </c>
      <c r="O119" s="8958"/>
      <c r="P119" s="7932"/>
      <c r="Q119" s="7955"/>
      <c r="R119" s="7938"/>
      <c r="S119" s="7887"/>
      <c r="T119" s="7887"/>
      <c r="U119" s="7887"/>
      <c r="V119" s="7887"/>
      <c r="W119" s="7887"/>
      <c r="X119" s="7887"/>
      <c r="Y119" s="7887"/>
      <c r="Z119" s="7887"/>
      <c r="AA119" s="7887"/>
      <c r="AB119" s="7887"/>
      <c r="AC119" s="7887"/>
      <c r="AD119" s="7887"/>
      <c r="AE119" s="7887"/>
      <c r="AF119" s="7887"/>
      <c r="AG119" s="7887"/>
      <c r="AH119" s="7887"/>
      <c r="AI119" s="7887"/>
      <c r="AJ119" s="7887"/>
      <c r="AK119" s="7887"/>
      <c r="AL119" s="7887"/>
      <c r="AM119" s="7887"/>
      <c r="AN119" s="7887"/>
      <c r="AO119" s="7887"/>
      <c r="AP119" s="7887"/>
      <c r="AQ119" s="7887"/>
      <c r="AR119" s="7887"/>
      <c r="AS119" s="7887"/>
      <c r="AT119" s="7887"/>
      <c r="AU119" s="7887"/>
      <c r="AV119" s="7887"/>
      <c r="AW119" s="7887"/>
      <c r="AX119" s="7872"/>
    </row>
    <row r="120" spans="1:50" s="8763" customFormat="1" ht="20.100000000000001" customHeight="1">
      <c r="A120" s="7872"/>
      <c r="B120" s="8536"/>
      <c r="C120" s="8611"/>
      <c r="D120" s="9437" t="s">
        <v>146</v>
      </c>
      <c r="E120" s="9439"/>
      <c r="F120" s="7953" t="s">
        <v>1476</v>
      </c>
      <c r="G120" s="8505"/>
      <c r="H120" s="8611"/>
      <c r="I120" s="9497" t="s">
        <v>147</v>
      </c>
      <c r="J120" s="9498"/>
      <c r="K120" s="7953" t="s">
        <v>559</v>
      </c>
      <c r="L120" s="8031">
        <v>0</v>
      </c>
      <c r="M120" s="7936">
        <v>0</v>
      </c>
      <c r="N120" s="8023">
        <v>0</v>
      </c>
      <c r="O120" s="8958"/>
      <c r="P120" s="7932"/>
      <c r="Q120" s="7955"/>
      <c r="R120" s="7938"/>
      <c r="S120" s="7887"/>
      <c r="T120" s="7887"/>
      <c r="U120" s="7887"/>
      <c r="V120" s="7887"/>
      <c r="W120" s="7887"/>
      <c r="X120" s="7887"/>
      <c r="Y120" s="7887"/>
      <c r="Z120" s="7887"/>
      <c r="AA120" s="7887"/>
      <c r="AB120" s="7887"/>
      <c r="AC120" s="7887"/>
      <c r="AD120" s="7887"/>
      <c r="AE120" s="7887"/>
      <c r="AF120" s="7887"/>
      <c r="AG120" s="7887"/>
      <c r="AH120" s="7887"/>
      <c r="AI120" s="7887"/>
      <c r="AJ120" s="7887"/>
      <c r="AK120" s="7887"/>
      <c r="AL120" s="7887"/>
      <c r="AM120" s="7887"/>
      <c r="AN120" s="7887"/>
      <c r="AO120" s="7887"/>
      <c r="AP120" s="7887"/>
      <c r="AQ120" s="7887"/>
      <c r="AR120" s="7887"/>
      <c r="AS120" s="7887"/>
      <c r="AT120" s="7887"/>
      <c r="AU120" s="7887"/>
      <c r="AV120" s="7887"/>
      <c r="AW120" s="7887"/>
      <c r="AX120" s="7872"/>
    </row>
    <row r="121" spans="1:50" s="8763" customFormat="1" ht="20.100000000000001" customHeight="1">
      <c r="A121" s="7872"/>
      <c r="B121" s="8536"/>
      <c r="C121" s="8033"/>
      <c r="D121" s="9437" t="s">
        <v>149</v>
      </c>
      <c r="E121" s="9439"/>
      <c r="F121" s="7953" t="s">
        <v>1476</v>
      </c>
      <c r="G121" s="8505"/>
      <c r="H121" s="8033"/>
      <c r="I121" s="9497" t="s">
        <v>150</v>
      </c>
      <c r="J121" s="9498"/>
      <c r="K121" s="7953" t="s">
        <v>559</v>
      </c>
      <c r="L121" s="8031">
        <v>0</v>
      </c>
      <c r="M121" s="7936">
        <v>0</v>
      </c>
      <c r="N121" s="8023">
        <v>0</v>
      </c>
      <c r="O121" s="8958"/>
      <c r="P121" s="7932"/>
      <c r="Q121" s="7955"/>
      <c r="R121" s="7938"/>
      <c r="S121" s="7887"/>
      <c r="T121" s="7887"/>
      <c r="U121" s="7887"/>
      <c r="V121" s="7887"/>
      <c r="W121" s="7887"/>
      <c r="X121" s="7887"/>
      <c r="Y121" s="7887"/>
      <c r="Z121" s="7887"/>
      <c r="AA121" s="7887"/>
      <c r="AB121" s="7887"/>
      <c r="AC121" s="7887"/>
      <c r="AD121" s="7887"/>
      <c r="AE121" s="7887"/>
      <c r="AF121" s="7887"/>
      <c r="AG121" s="7887"/>
      <c r="AH121" s="7887"/>
      <c r="AI121" s="7887"/>
      <c r="AJ121" s="7887"/>
      <c r="AK121" s="7887"/>
      <c r="AL121" s="7887"/>
      <c r="AM121" s="7887"/>
      <c r="AN121" s="7887"/>
      <c r="AO121" s="7887"/>
      <c r="AP121" s="7887"/>
      <c r="AQ121" s="7887"/>
      <c r="AR121" s="7887"/>
      <c r="AS121" s="7887"/>
      <c r="AT121" s="7887"/>
      <c r="AU121" s="7887"/>
      <c r="AV121" s="7887"/>
      <c r="AW121" s="7887"/>
      <c r="AX121" s="7872"/>
    </row>
    <row r="122" spans="1:50" s="8763" customFormat="1" ht="20.100000000000001" customHeight="1">
      <c r="A122" s="7872"/>
      <c r="B122" s="9339"/>
      <c r="C122" s="8033"/>
      <c r="D122" s="8641" t="s">
        <v>1693</v>
      </c>
      <c r="E122" s="8642"/>
      <c r="F122" s="7957" t="s">
        <v>1476</v>
      </c>
      <c r="G122" s="8571"/>
      <c r="H122" s="8034"/>
      <c r="I122" s="8571" t="s">
        <v>1694</v>
      </c>
      <c r="J122" s="8571"/>
      <c r="K122" s="7958" t="s">
        <v>559</v>
      </c>
      <c r="L122" s="8012">
        <f>SUM(L123:L128)</f>
        <v>0</v>
      </c>
      <c r="M122" s="8013">
        <f>SUM(M123:M128)</f>
        <v>0</v>
      </c>
      <c r="N122" s="8014">
        <f>SUM(N123:N128)</f>
        <v>0</v>
      </c>
      <c r="O122" s="9068"/>
      <c r="P122" s="7932"/>
      <c r="Q122" s="7955" t="s">
        <v>1697</v>
      </c>
      <c r="R122" s="7938"/>
      <c r="S122" s="7887"/>
      <c r="T122" s="7887"/>
      <c r="U122" s="7887"/>
      <c r="V122" s="7887"/>
      <c r="W122" s="7887"/>
      <c r="X122" s="7887"/>
      <c r="Y122" s="7887"/>
      <c r="Z122" s="7887"/>
      <c r="AA122" s="7887"/>
      <c r="AB122" s="7887"/>
      <c r="AC122" s="7887"/>
      <c r="AD122" s="7887"/>
      <c r="AE122" s="7887"/>
      <c r="AF122" s="7887"/>
      <c r="AG122" s="7887"/>
      <c r="AH122" s="7887"/>
      <c r="AI122" s="7887"/>
      <c r="AJ122" s="7887"/>
      <c r="AK122" s="7887"/>
      <c r="AL122" s="7887"/>
      <c r="AM122" s="7887"/>
      <c r="AN122" s="7887"/>
      <c r="AO122" s="7887"/>
      <c r="AP122" s="7887"/>
      <c r="AQ122" s="7887"/>
      <c r="AR122" s="7887"/>
      <c r="AS122" s="7887"/>
      <c r="AT122" s="7887"/>
      <c r="AU122" s="7887"/>
      <c r="AV122" s="7887"/>
      <c r="AW122" s="7887"/>
      <c r="AX122" s="7872"/>
    </row>
    <row r="123" spans="1:50" s="8763" customFormat="1" ht="19.5" customHeight="1">
      <c r="A123" s="7872"/>
      <c r="B123" s="8536"/>
      <c r="C123" s="8033"/>
      <c r="D123" s="9437" t="s">
        <v>134</v>
      </c>
      <c r="E123" s="9439"/>
      <c r="F123" s="8024" t="s">
        <v>1476</v>
      </c>
      <c r="G123" s="8505"/>
      <c r="H123" s="8033"/>
      <c r="I123" s="9478" t="s">
        <v>135</v>
      </c>
      <c r="J123" s="9479"/>
      <c r="K123" s="7953" t="s">
        <v>559</v>
      </c>
      <c r="L123" s="7935">
        <v>0</v>
      </c>
      <c r="M123" s="7936">
        <v>0</v>
      </c>
      <c r="N123" s="7937">
        <v>0</v>
      </c>
      <c r="O123" s="8958"/>
      <c r="P123" s="7932"/>
      <c r="Q123" s="7955"/>
      <c r="R123" s="7938"/>
      <c r="S123" s="7887"/>
      <c r="T123" s="7887"/>
      <c r="U123" s="7887"/>
      <c r="V123" s="7887"/>
      <c r="W123" s="7887"/>
      <c r="X123" s="7887"/>
      <c r="Y123" s="7887"/>
      <c r="Z123" s="7887"/>
      <c r="AA123" s="7887"/>
      <c r="AB123" s="7887"/>
      <c r="AC123" s="7887"/>
      <c r="AD123" s="7887"/>
      <c r="AE123" s="7887"/>
      <c r="AF123" s="7887"/>
      <c r="AG123" s="7887"/>
      <c r="AH123" s="7887"/>
      <c r="AI123" s="7887"/>
      <c r="AJ123" s="7887"/>
      <c r="AK123" s="7887"/>
      <c r="AL123" s="7887"/>
      <c r="AM123" s="7887"/>
      <c r="AN123" s="7887"/>
      <c r="AO123" s="7887"/>
      <c r="AP123" s="7887"/>
      <c r="AQ123" s="7887"/>
      <c r="AR123" s="7887"/>
      <c r="AS123" s="7887"/>
      <c r="AT123" s="7887"/>
      <c r="AU123" s="7887"/>
      <c r="AV123" s="7887"/>
      <c r="AW123" s="7887"/>
      <c r="AX123" s="7872"/>
    </row>
    <row r="124" spans="1:50" s="8763" customFormat="1" ht="20.100000000000001" customHeight="1">
      <c r="A124" s="7872"/>
      <c r="B124" s="8536"/>
      <c r="C124" s="8033"/>
      <c r="D124" s="9437" t="s">
        <v>137</v>
      </c>
      <c r="E124" s="9439"/>
      <c r="F124" s="8024" t="s">
        <v>1476</v>
      </c>
      <c r="G124" s="8505"/>
      <c r="H124" s="8033"/>
      <c r="I124" s="9478" t="s">
        <v>138</v>
      </c>
      <c r="J124" s="9479"/>
      <c r="K124" s="7953" t="s">
        <v>559</v>
      </c>
      <c r="L124" s="8031">
        <v>0</v>
      </c>
      <c r="M124" s="7936">
        <v>0</v>
      </c>
      <c r="N124" s="8023">
        <v>0</v>
      </c>
      <c r="O124" s="8958"/>
      <c r="P124" s="7932"/>
      <c r="Q124" s="7955"/>
      <c r="R124" s="7938"/>
      <c r="S124" s="7887"/>
      <c r="T124" s="7887"/>
      <c r="U124" s="7887"/>
      <c r="V124" s="7887"/>
      <c r="W124" s="7887"/>
      <c r="X124" s="7887"/>
      <c r="Y124" s="7887"/>
      <c r="Z124" s="7887"/>
      <c r="AA124" s="7887"/>
      <c r="AB124" s="7887"/>
      <c r="AC124" s="7887"/>
      <c r="AD124" s="7887"/>
      <c r="AE124" s="7887"/>
      <c r="AF124" s="7887"/>
      <c r="AG124" s="7887"/>
      <c r="AH124" s="7887"/>
      <c r="AI124" s="7887"/>
      <c r="AJ124" s="7887"/>
      <c r="AK124" s="7887"/>
      <c r="AL124" s="7887"/>
      <c r="AM124" s="7887"/>
      <c r="AN124" s="7887"/>
      <c r="AO124" s="7887"/>
      <c r="AP124" s="7887"/>
      <c r="AQ124" s="7887"/>
      <c r="AR124" s="7887"/>
      <c r="AS124" s="7887"/>
      <c r="AT124" s="7887"/>
      <c r="AU124" s="7887"/>
      <c r="AV124" s="7887"/>
      <c r="AW124" s="7887"/>
      <c r="AX124" s="7872"/>
    </row>
    <row r="125" spans="1:50" s="8763" customFormat="1" ht="20.100000000000001" customHeight="1">
      <c r="A125" s="7872"/>
      <c r="B125" s="8536"/>
      <c r="C125" s="8033"/>
      <c r="D125" s="9437" t="s">
        <v>140</v>
      </c>
      <c r="E125" s="9439"/>
      <c r="F125" s="8024" t="s">
        <v>1476</v>
      </c>
      <c r="G125" s="8505"/>
      <c r="H125" s="8033"/>
      <c r="I125" s="9497" t="s">
        <v>141</v>
      </c>
      <c r="J125" s="9498"/>
      <c r="K125" s="7953" t="s">
        <v>559</v>
      </c>
      <c r="L125" s="7935">
        <v>0</v>
      </c>
      <c r="M125" s="7936">
        <v>0</v>
      </c>
      <c r="N125" s="7937">
        <v>0</v>
      </c>
      <c r="O125" s="8958"/>
      <c r="P125" s="7932"/>
      <c r="Q125" s="7955"/>
      <c r="R125" s="7938"/>
      <c r="S125" s="7887"/>
      <c r="T125" s="7887"/>
      <c r="U125" s="7887"/>
      <c r="V125" s="7887"/>
      <c r="W125" s="7887"/>
      <c r="X125" s="7887"/>
      <c r="Y125" s="7887"/>
      <c r="Z125" s="7887"/>
      <c r="AA125" s="7887"/>
      <c r="AB125" s="7887"/>
      <c r="AC125" s="7887"/>
      <c r="AD125" s="7887"/>
      <c r="AE125" s="7887"/>
      <c r="AF125" s="7887"/>
      <c r="AG125" s="7887"/>
      <c r="AH125" s="7887"/>
      <c r="AI125" s="7887"/>
      <c r="AJ125" s="7887"/>
      <c r="AK125" s="7887"/>
      <c r="AL125" s="7887"/>
      <c r="AM125" s="7887"/>
      <c r="AN125" s="7887"/>
      <c r="AO125" s="7887"/>
      <c r="AP125" s="7887"/>
      <c r="AQ125" s="7887"/>
      <c r="AR125" s="7887"/>
      <c r="AS125" s="7887"/>
      <c r="AT125" s="7887"/>
      <c r="AU125" s="7887"/>
      <c r="AV125" s="7887"/>
      <c r="AW125" s="7887"/>
      <c r="AX125" s="7872"/>
    </row>
    <row r="126" spans="1:50" s="7887" customFormat="1" ht="20.100000000000001" customHeight="1">
      <c r="A126" s="7872"/>
      <c r="B126" s="8536"/>
      <c r="C126" s="8033"/>
      <c r="D126" s="9437" t="s">
        <v>143</v>
      </c>
      <c r="E126" s="9439"/>
      <c r="F126" s="8024" t="s">
        <v>1476</v>
      </c>
      <c r="G126" s="8505"/>
      <c r="H126" s="8033"/>
      <c r="I126" s="9497" t="s">
        <v>144</v>
      </c>
      <c r="J126" s="9498"/>
      <c r="K126" s="7953" t="s">
        <v>559</v>
      </c>
      <c r="L126" s="8031">
        <v>0</v>
      </c>
      <c r="M126" s="7936">
        <v>0</v>
      </c>
      <c r="N126" s="8023">
        <v>0</v>
      </c>
      <c r="O126" s="8958"/>
      <c r="P126" s="7932"/>
      <c r="Q126" s="7955"/>
      <c r="R126" s="7938"/>
      <c r="AX126" s="7872"/>
    </row>
    <row r="127" spans="1:50" s="7887" customFormat="1" ht="20.100000000000001" customHeight="1">
      <c r="A127" s="7872"/>
      <c r="B127" s="8536"/>
      <c r="C127" s="8033"/>
      <c r="D127" s="9437" t="s">
        <v>146</v>
      </c>
      <c r="E127" s="9439"/>
      <c r="F127" s="8024" t="s">
        <v>1476</v>
      </c>
      <c r="G127" s="8583"/>
      <c r="H127" s="8033"/>
      <c r="I127" s="9497" t="s">
        <v>147</v>
      </c>
      <c r="J127" s="9498"/>
      <c r="K127" s="7953" t="s">
        <v>559</v>
      </c>
      <c r="L127" s="8031">
        <v>0</v>
      </c>
      <c r="M127" s="7936">
        <v>0</v>
      </c>
      <c r="N127" s="8023">
        <v>0</v>
      </c>
      <c r="O127" s="8958"/>
      <c r="P127" s="7932"/>
      <c r="Q127" s="7955"/>
      <c r="R127" s="7938"/>
      <c r="AX127" s="7872"/>
    </row>
    <row r="128" spans="1:50" s="7887" customFormat="1" ht="20.100000000000001" customHeight="1">
      <c r="A128" s="7872"/>
      <c r="B128" s="8536"/>
      <c r="C128" s="8871"/>
      <c r="D128" s="9493" t="s">
        <v>149</v>
      </c>
      <c r="E128" s="9494"/>
      <c r="F128" s="8024" t="s">
        <v>1476</v>
      </c>
      <c r="G128" s="8583"/>
      <c r="H128" s="8033"/>
      <c r="I128" s="9497" t="s">
        <v>150</v>
      </c>
      <c r="J128" s="9498"/>
      <c r="K128" s="7953" t="s">
        <v>559</v>
      </c>
      <c r="L128" s="8031">
        <v>0</v>
      </c>
      <c r="M128" s="7936">
        <v>0</v>
      </c>
      <c r="N128" s="8023">
        <v>0</v>
      </c>
      <c r="O128" s="8958"/>
      <c r="P128" s="7932"/>
      <c r="Q128" s="7955"/>
      <c r="R128" s="7938"/>
      <c r="AX128" s="7872"/>
    </row>
    <row r="129" spans="1:50" s="8763" customFormat="1" ht="20.100000000000001" customHeight="1">
      <c r="A129" s="7872"/>
      <c r="B129" s="9414"/>
      <c r="C129" s="8862"/>
      <c r="D129" s="8867" t="s">
        <v>1679</v>
      </c>
      <c r="E129" s="8868"/>
      <c r="F129" s="7957" t="s">
        <v>233</v>
      </c>
      <c r="G129" s="8571"/>
      <c r="H129" s="8643"/>
      <c r="I129" s="8856" t="s">
        <v>3720</v>
      </c>
      <c r="J129" s="9199"/>
      <c r="K129" s="8858" t="s">
        <v>295</v>
      </c>
      <c r="L129" s="8012">
        <f>SUM(L130:L135)</f>
        <v>0</v>
      </c>
      <c r="M129" s="8013">
        <f>SUM(M130:M135)</f>
        <v>0</v>
      </c>
      <c r="N129" s="8014">
        <f>SUM(N130:N135)</f>
        <v>0</v>
      </c>
      <c r="O129" s="9068"/>
      <c r="P129" s="7932" t="s">
        <v>1677</v>
      </c>
      <c r="Q129" s="7955"/>
      <c r="R129" s="7938"/>
      <c r="S129" s="7887"/>
      <c r="T129" s="7887"/>
      <c r="U129" s="7887"/>
      <c r="V129" s="7887"/>
      <c r="W129" s="7887"/>
      <c r="X129" s="7887"/>
      <c r="Y129" s="7887"/>
      <c r="Z129" s="7887"/>
      <c r="AA129" s="7887"/>
      <c r="AB129" s="7887"/>
      <c r="AC129" s="7887"/>
      <c r="AD129" s="7887"/>
      <c r="AE129" s="7887"/>
      <c r="AF129" s="7887"/>
      <c r="AG129" s="7887"/>
      <c r="AH129" s="7887"/>
      <c r="AI129" s="7887"/>
      <c r="AJ129" s="7887"/>
      <c r="AK129" s="7887"/>
      <c r="AL129" s="7887"/>
      <c r="AM129" s="7887"/>
      <c r="AN129" s="7887"/>
      <c r="AO129" s="7887"/>
      <c r="AP129" s="7887"/>
      <c r="AQ129" s="7887"/>
      <c r="AR129" s="7887"/>
      <c r="AS129" s="7887"/>
      <c r="AT129" s="7887"/>
      <c r="AU129" s="7887"/>
      <c r="AV129" s="7887"/>
      <c r="AW129" s="7887"/>
      <c r="AX129" s="7872"/>
    </row>
    <row r="130" spans="1:50" s="8763" customFormat="1" ht="20.100000000000001" customHeight="1">
      <c r="A130" s="7872"/>
      <c r="B130" s="8536"/>
      <c r="C130" s="8859"/>
      <c r="D130" s="9493" t="s">
        <v>134</v>
      </c>
      <c r="E130" s="9494"/>
      <c r="F130" s="7953" t="s">
        <v>1682</v>
      </c>
      <c r="G130" s="8583"/>
      <c r="H130" s="8611"/>
      <c r="I130" s="9478" t="s">
        <v>135</v>
      </c>
      <c r="J130" s="9479"/>
      <c r="K130" s="8835" t="s">
        <v>295</v>
      </c>
      <c r="L130" s="7935">
        <v>0</v>
      </c>
      <c r="M130" s="7936">
        <v>0</v>
      </c>
      <c r="N130" s="7937">
        <v>0</v>
      </c>
      <c r="O130" s="8958"/>
      <c r="P130" s="7932"/>
      <c r="Q130" s="7955"/>
      <c r="R130" s="7938"/>
      <c r="S130" s="7887"/>
      <c r="T130" s="7887"/>
      <c r="U130" s="7887"/>
      <c r="V130" s="7887"/>
      <c r="W130" s="7887"/>
      <c r="X130" s="7887"/>
      <c r="Y130" s="7887"/>
      <c r="Z130" s="7887"/>
      <c r="AA130" s="7887"/>
      <c r="AB130" s="7887"/>
      <c r="AC130" s="7887"/>
      <c r="AD130" s="7887"/>
      <c r="AE130" s="7887"/>
      <c r="AF130" s="7887"/>
      <c r="AG130" s="7887"/>
      <c r="AH130" s="7887"/>
      <c r="AI130" s="7887"/>
      <c r="AJ130" s="7887"/>
      <c r="AK130" s="7887"/>
      <c r="AL130" s="7887"/>
      <c r="AM130" s="7887"/>
      <c r="AN130" s="7887"/>
      <c r="AO130" s="7887"/>
      <c r="AP130" s="7887"/>
      <c r="AQ130" s="7887"/>
      <c r="AR130" s="7887"/>
      <c r="AS130" s="7887"/>
      <c r="AT130" s="7887"/>
      <c r="AU130" s="7887"/>
      <c r="AV130" s="7887"/>
      <c r="AW130" s="7887"/>
      <c r="AX130" s="7872"/>
    </row>
    <row r="131" spans="1:50" s="8763" customFormat="1" ht="20.100000000000001" customHeight="1">
      <c r="A131" s="7872"/>
      <c r="B131" s="8536"/>
      <c r="C131" s="8862"/>
      <c r="D131" s="9493" t="s">
        <v>137</v>
      </c>
      <c r="E131" s="9494"/>
      <c r="F131" s="7953" t="s">
        <v>1682</v>
      </c>
      <c r="G131" s="8583"/>
      <c r="H131" s="8645"/>
      <c r="I131" s="9478" t="s">
        <v>138</v>
      </c>
      <c r="J131" s="9479"/>
      <c r="K131" s="8835" t="s">
        <v>295</v>
      </c>
      <c r="L131" s="7935">
        <v>0</v>
      </c>
      <c r="M131" s="7936">
        <v>0</v>
      </c>
      <c r="N131" s="7937">
        <v>0</v>
      </c>
      <c r="O131" s="8958"/>
      <c r="P131" s="7932"/>
      <c r="Q131" s="7955"/>
      <c r="R131" s="7938"/>
      <c r="S131" s="7887"/>
      <c r="T131" s="7887"/>
      <c r="U131" s="7887"/>
      <c r="V131" s="7887"/>
      <c r="W131" s="7887"/>
      <c r="X131" s="7887"/>
      <c r="Y131" s="7887"/>
      <c r="Z131" s="7887"/>
      <c r="AA131" s="7887"/>
      <c r="AB131" s="7887"/>
      <c r="AC131" s="7887"/>
      <c r="AD131" s="7887"/>
      <c r="AE131" s="7887"/>
      <c r="AF131" s="7887"/>
      <c r="AG131" s="7887"/>
      <c r="AH131" s="7887"/>
      <c r="AI131" s="7887"/>
      <c r="AJ131" s="7887"/>
      <c r="AK131" s="7887"/>
      <c r="AL131" s="7887"/>
      <c r="AM131" s="7887"/>
      <c r="AN131" s="7887"/>
      <c r="AO131" s="7887"/>
      <c r="AP131" s="7887"/>
      <c r="AQ131" s="7887"/>
      <c r="AR131" s="7887"/>
      <c r="AS131" s="7887"/>
      <c r="AT131" s="7887"/>
      <c r="AU131" s="7887"/>
      <c r="AV131" s="7887"/>
      <c r="AW131" s="7887"/>
      <c r="AX131" s="7872"/>
    </row>
    <row r="132" spans="1:50" s="8763" customFormat="1" ht="20.100000000000001" customHeight="1">
      <c r="A132" s="7872"/>
      <c r="B132" s="8536"/>
      <c r="C132" s="8859"/>
      <c r="D132" s="9493" t="s">
        <v>140</v>
      </c>
      <c r="E132" s="9494"/>
      <c r="F132" s="7953" t="s">
        <v>1682</v>
      </c>
      <c r="G132" s="8583"/>
      <c r="H132" s="8611"/>
      <c r="I132" s="9497" t="s">
        <v>141</v>
      </c>
      <c r="J132" s="9498"/>
      <c r="K132" s="8835" t="s">
        <v>295</v>
      </c>
      <c r="L132" s="7935">
        <v>0</v>
      </c>
      <c r="M132" s="7936">
        <v>0</v>
      </c>
      <c r="N132" s="7937">
        <v>0</v>
      </c>
      <c r="O132" s="8958"/>
      <c r="P132" s="7932"/>
      <c r="Q132" s="7955"/>
      <c r="R132" s="7938"/>
      <c r="S132" s="7887"/>
      <c r="T132" s="7887"/>
      <c r="U132" s="7887"/>
      <c r="V132" s="7887"/>
      <c r="W132" s="7887"/>
      <c r="X132" s="7887"/>
      <c r="Y132" s="7887"/>
      <c r="Z132" s="7887"/>
      <c r="AA132" s="7887"/>
      <c r="AB132" s="7887"/>
      <c r="AC132" s="7887"/>
      <c r="AD132" s="7887"/>
      <c r="AE132" s="7887"/>
      <c r="AF132" s="7887"/>
      <c r="AG132" s="7887"/>
      <c r="AH132" s="7887"/>
      <c r="AI132" s="7887"/>
      <c r="AJ132" s="7887"/>
      <c r="AK132" s="7887"/>
      <c r="AL132" s="7887"/>
      <c r="AM132" s="7887"/>
      <c r="AN132" s="7887"/>
      <c r="AO132" s="7887"/>
      <c r="AP132" s="7887"/>
      <c r="AQ132" s="7887"/>
      <c r="AR132" s="7887"/>
      <c r="AS132" s="7887"/>
      <c r="AT132" s="7887"/>
      <c r="AU132" s="7887"/>
      <c r="AV132" s="7887"/>
      <c r="AW132" s="7887"/>
      <c r="AX132" s="7872"/>
    </row>
    <row r="133" spans="1:50" s="8763" customFormat="1" ht="20.100000000000001" customHeight="1">
      <c r="A133" s="7872"/>
      <c r="B133" s="8536"/>
      <c r="C133" s="8862"/>
      <c r="D133" s="9493" t="s">
        <v>143</v>
      </c>
      <c r="E133" s="9494"/>
      <c r="F133" s="7953" t="s">
        <v>1682</v>
      </c>
      <c r="G133" s="8583"/>
      <c r="H133" s="8645"/>
      <c r="I133" s="9497" t="s">
        <v>144</v>
      </c>
      <c r="J133" s="9498"/>
      <c r="K133" s="8835" t="s">
        <v>295</v>
      </c>
      <c r="L133" s="8031">
        <v>0</v>
      </c>
      <c r="M133" s="7936">
        <v>0</v>
      </c>
      <c r="N133" s="8023">
        <v>0</v>
      </c>
      <c r="O133" s="8958"/>
      <c r="P133" s="7932"/>
      <c r="Q133" s="7955"/>
      <c r="R133" s="7938"/>
      <c r="S133" s="7887"/>
      <c r="T133" s="7887"/>
      <c r="U133" s="7887"/>
      <c r="V133" s="7887"/>
      <c r="W133" s="7887"/>
      <c r="X133" s="7887"/>
      <c r="Y133" s="7887"/>
      <c r="Z133" s="7887"/>
      <c r="AA133" s="7887"/>
      <c r="AB133" s="7887"/>
      <c r="AC133" s="7887"/>
      <c r="AD133" s="7887"/>
      <c r="AE133" s="7887"/>
      <c r="AF133" s="7887"/>
      <c r="AG133" s="7887"/>
      <c r="AH133" s="7887"/>
      <c r="AI133" s="7887"/>
      <c r="AJ133" s="7887"/>
      <c r="AK133" s="7887"/>
      <c r="AL133" s="7887"/>
      <c r="AM133" s="7887"/>
      <c r="AN133" s="7887"/>
      <c r="AO133" s="7887"/>
      <c r="AP133" s="7887"/>
      <c r="AQ133" s="7887"/>
      <c r="AR133" s="7887"/>
      <c r="AS133" s="7887"/>
      <c r="AT133" s="7887"/>
      <c r="AU133" s="7887"/>
      <c r="AV133" s="7887"/>
      <c r="AW133" s="7887"/>
      <c r="AX133" s="7872"/>
    </row>
    <row r="134" spans="1:50" s="8763" customFormat="1" ht="20.100000000000001" customHeight="1">
      <c r="A134" s="7872"/>
      <c r="B134" s="8536"/>
      <c r="C134" s="8859"/>
      <c r="D134" s="9493" t="s">
        <v>146</v>
      </c>
      <c r="E134" s="9494"/>
      <c r="F134" s="7953" t="s">
        <v>1682</v>
      </c>
      <c r="G134" s="8505"/>
      <c r="H134" s="8611"/>
      <c r="I134" s="9497" t="s">
        <v>147</v>
      </c>
      <c r="J134" s="9498"/>
      <c r="K134" s="8835" t="s">
        <v>295</v>
      </c>
      <c r="L134" s="8031">
        <v>0</v>
      </c>
      <c r="M134" s="7936">
        <v>0</v>
      </c>
      <c r="N134" s="8023">
        <v>0</v>
      </c>
      <c r="O134" s="8958"/>
      <c r="P134" s="7932"/>
      <c r="Q134" s="7955"/>
      <c r="R134" s="7938"/>
      <c r="S134" s="7887"/>
      <c r="T134" s="7887"/>
      <c r="U134" s="7887"/>
      <c r="V134" s="7887"/>
      <c r="W134" s="7887"/>
      <c r="X134" s="7887"/>
      <c r="Y134" s="7887"/>
      <c r="Z134" s="7887"/>
      <c r="AA134" s="7887"/>
      <c r="AB134" s="7887"/>
      <c r="AC134" s="7887"/>
      <c r="AD134" s="7887"/>
      <c r="AE134" s="7887"/>
      <c r="AF134" s="7887"/>
      <c r="AG134" s="7887"/>
      <c r="AH134" s="7887"/>
      <c r="AI134" s="7887"/>
      <c r="AJ134" s="7887"/>
      <c r="AK134" s="7887"/>
      <c r="AL134" s="7887"/>
      <c r="AM134" s="7887"/>
      <c r="AN134" s="7887"/>
      <c r="AO134" s="7887"/>
      <c r="AP134" s="7887"/>
      <c r="AQ134" s="7887"/>
      <c r="AR134" s="7887"/>
      <c r="AS134" s="7887"/>
      <c r="AT134" s="7887"/>
      <c r="AU134" s="7887"/>
      <c r="AV134" s="7887"/>
      <c r="AW134" s="7887"/>
      <c r="AX134" s="7872"/>
    </row>
    <row r="135" spans="1:50" s="8763" customFormat="1" ht="20.100000000000001" customHeight="1">
      <c r="A135" s="7872"/>
      <c r="B135" s="8536"/>
      <c r="C135" s="8862"/>
      <c r="D135" s="9493" t="s">
        <v>149</v>
      </c>
      <c r="E135" s="9494"/>
      <c r="F135" s="7953" t="s">
        <v>1682</v>
      </c>
      <c r="G135" s="8505"/>
      <c r="H135" s="8645"/>
      <c r="I135" s="9497" t="s">
        <v>150</v>
      </c>
      <c r="J135" s="9498"/>
      <c r="K135" s="8835" t="s">
        <v>295</v>
      </c>
      <c r="L135" s="8031">
        <v>0</v>
      </c>
      <c r="M135" s="7936">
        <v>0</v>
      </c>
      <c r="N135" s="8023">
        <v>0</v>
      </c>
      <c r="O135" s="8958"/>
      <c r="P135" s="7932"/>
      <c r="Q135" s="7955"/>
      <c r="R135" s="7938"/>
      <c r="S135" s="7887"/>
      <c r="T135" s="7887"/>
      <c r="U135" s="7887"/>
      <c r="V135" s="7887"/>
      <c r="W135" s="7887"/>
      <c r="X135" s="7887"/>
      <c r="Y135" s="7887"/>
      <c r="Z135" s="7887"/>
      <c r="AA135" s="7887"/>
      <c r="AB135" s="7887"/>
      <c r="AC135" s="7887"/>
      <c r="AD135" s="7887"/>
      <c r="AE135" s="7887"/>
      <c r="AF135" s="7887"/>
      <c r="AG135" s="7887"/>
      <c r="AH135" s="7887"/>
      <c r="AI135" s="7887"/>
      <c r="AJ135" s="7887"/>
      <c r="AK135" s="7887"/>
      <c r="AL135" s="7887"/>
      <c r="AM135" s="7887"/>
      <c r="AN135" s="7887"/>
      <c r="AO135" s="7887"/>
      <c r="AP135" s="7887"/>
      <c r="AQ135" s="7887"/>
      <c r="AR135" s="7887"/>
      <c r="AS135" s="7887"/>
      <c r="AT135" s="7887"/>
      <c r="AU135" s="7887"/>
      <c r="AV135" s="7887"/>
      <c r="AW135" s="7887"/>
      <c r="AX135" s="7872"/>
    </row>
    <row r="136" spans="1:50" s="8763" customFormat="1" ht="20.100000000000001" customHeight="1">
      <c r="A136" s="7872"/>
      <c r="B136" s="9339"/>
      <c r="C136" s="9365" t="s">
        <v>2028</v>
      </c>
      <c r="D136" s="8854"/>
      <c r="E136" s="8854"/>
      <c r="F136" s="8855" t="s">
        <v>156</v>
      </c>
      <c r="G136" s="8856"/>
      <c r="H136" s="8857"/>
      <c r="I136" s="8856" t="s">
        <v>1684</v>
      </c>
      <c r="J136" s="8856"/>
      <c r="K136" s="8858" t="s">
        <v>156</v>
      </c>
      <c r="L136" s="9133"/>
      <c r="M136" s="9132"/>
      <c r="N136" s="7956"/>
      <c r="O136" s="9131" t="s">
        <v>3675</v>
      </c>
      <c r="P136" s="7932"/>
      <c r="Q136" s="7955" t="s">
        <v>1687</v>
      </c>
      <c r="R136" s="7938"/>
      <c r="S136" s="7887"/>
      <c r="T136" s="7887"/>
      <c r="U136" s="7887"/>
      <c r="V136" s="7887"/>
      <c r="W136" s="7887"/>
      <c r="X136" s="7887"/>
      <c r="Y136" s="7887"/>
      <c r="Z136" s="7887"/>
      <c r="AA136" s="7887"/>
      <c r="AB136" s="7887"/>
      <c r="AC136" s="7887"/>
      <c r="AD136" s="7887"/>
      <c r="AE136" s="7887"/>
      <c r="AF136" s="7887"/>
      <c r="AG136" s="7887"/>
      <c r="AH136" s="7887"/>
      <c r="AI136" s="7887"/>
      <c r="AJ136" s="7887"/>
      <c r="AK136" s="7887"/>
      <c r="AL136" s="7887"/>
      <c r="AM136" s="7887"/>
      <c r="AN136" s="7887"/>
      <c r="AO136" s="7887"/>
      <c r="AP136" s="7887"/>
      <c r="AQ136" s="7887"/>
      <c r="AR136" s="7887"/>
      <c r="AS136" s="7887"/>
      <c r="AT136" s="7887"/>
      <c r="AU136" s="7887"/>
      <c r="AV136" s="7887"/>
      <c r="AW136" s="7887"/>
      <c r="AX136" s="7872"/>
    </row>
    <row r="137" spans="1:50" s="8763" customFormat="1" ht="20.100000000000001" customHeight="1">
      <c r="A137" s="7872"/>
      <c r="B137" s="8536"/>
      <c r="C137" s="8859"/>
      <c r="D137" s="9493" t="s">
        <v>134</v>
      </c>
      <c r="E137" s="9494"/>
      <c r="F137" s="8835" t="s">
        <v>154</v>
      </c>
      <c r="G137" s="8860"/>
      <c r="H137" s="8859"/>
      <c r="I137" s="9844" t="s">
        <v>135</v>
      </c>
      <c r="J137" s="9512"/>
      <c r="K137" s="8835" t="s">
        <v>154</v>
      </c>
      <c r="L137" s="8031">
        <v>100</v>
      </c>
      <c r="M137" s="7936">
        <v>100</v>
      </c>
      <c r="N137" s="8023">
        <v>100</v>
      </c>
      <c r="O137" s="8958"/>
      <c r="P137" s="7932"/>
      <c r="Q137" s="7955"/>
      <c r="R137" s="7938"/>
      <c r="S137" s="7887"/>
      <c r="T137" s="7887"/>
      <c r="U137" s="7887"/>
      <c r="V137" s="7887"/>
      <c r="W137" s="7887"/>
      <c r="X137" s="7887"/>
      <c r="Y137" s="7887"/>
      <c r="Z137" s="7887"/>
      <c r="AA137" s="7887"/>
      <c r="AB137" s="7887"/>
      <c r="AC137" s="7887"/>
      <c r="AD137" s="7887"/>
      <c r="AE137" s="7887"/>
      <c r="AF137" s="7887"/>
      <c r="AG137" s="7887"/>
      <c r="AH137" s="7887"/>
      <c r="AI137" s="7887"/>
      <c r="AJ137" s="7887"/>
      <c r="AK137" s="7887"/>
      <c r="AL137" s="7887"/>
      <c r="AM137" s="7887"/>
      <c r="AN137" s="7887"/>
      <c r="AO137" s="7887"/>
      <c r="AP137" s="7887"/>
      <c r="AQ137" s="7887"/>
      <c r="AR137" s="7887"/>
      <c r="AS137" s="7887"/>
      <c r="AT137" s="7887"/>
      <c r="AU137" s="7887"/>
      <c r="AV137" s="7887"/>
      <c r="AW137" s="7887"/>
      <c r="AX137" s="7872"/>
    </row>
    <row r="138" spans="1:50" s="8763" customFormat="1" ht="20.100000000000001" customHeight="1">
      <c r="A138" s="7872"/>
      <c r="B138" s="8536"/>
      <c r="C138" s="8862"/>
      <c r="D138" s="9493" t="s">
        <v>137</v>
      </c>
      <c r="E138" s="9494"/>
      <c r="F138" s="8835" t="s">
        <v>154</v>
      </c>
      <c r="G138" s="8860"/>
      <c r="H138" s="8862"/>
      <c r="I138" s="9844" t="s">
        <v>138</v>
      </c>
      <c r="J138" s="9512"/>
      <c r="K138" s="8835" t="s">
        <v>154</v>
      </c>
      <c r="L138" s="8031">
        <v>100</v>
      </c>
      <c r="M138" s="7936">
        <v>100</v>
      </c>
      <c r="N138" s="8023">
        <v>100</v>
      </c>
      <c r="O138" s="8958"/>
      <c r="P138" s="7932"/>
      <c r="Q138" s="7955"/>
      <c r="R138" s="7938"/>
      <c r="S138" s="7887"/>
      <c r="T138" s="7887"/>
      <c r="U138" s="7887"/>
      <c r="V138" s="7887"/>
      <c r="W138" s="7887"/>
      <c r="X138" s="7887"/>
      <c r="Y138" s="7887"/>
      <c r="Z138" s="7887"/>
      <c r="AA138" s="7887"/>
      <c r="AB138" s="7887"/>
      <c r="AC138" s="7887"/>
      <c r="AD138" s="7887"/>
      <c r="AE138" s="7887"/>
      <c r="AF138" s="7887"/>
      <c r="AG138" s="7887"/>
      <c r="AH138" s="7887"/>
      <c r="AI138" s="7887"/>
      <c r="AJ138" s="7887"/>
      <c r="AK138" s="7887"/>
      <c r="AL138" s="7887"/>
      <c r="AM138" s="7887"/>
      <c r="AN138" s="7887"/>
      <c r="AO138" s="7887"/>
      <c r="AP138" s="7887"/>
      <c r="AQ138" s="7887"/>
      <c r="AR138" s="7887"/>
      <c r="AS138" s="7887"/>
      <c r="AT138" s="7887"/>
      <c r="AU138" s="7887"/>
      <c r="AV138" s="7887"/>
      <c r="AW138" s="7887"/>
      <c r="AX138" s="7872"/>
    </row>
    <row r="139" spans="1:50" s="8763" customFormat="1" ht="20.100000000000001" customHeight="1">
      <c r="A139" s="7872"/>
      <c r="B139" s="8536"/>
      <c r="C139" s="8859"/>
      <c r="D139" s="9493" t="s">
        <v>140</v>
      </c>
      <c r="E139" s="9494"/>
      <c r="F139" s="8835" t="s">
        <v>154</v>
      </c>
      <c r="G139" s="8860"/>
      <c r="H139" s="8859"/>
      <c r="I139" s="9848" t="s">
        <v>141</v>
      </c>
      <c r="J139" s="9514"/>
      <c r="K139" s="8835" t="s">
        <v>154</v>
      </c>
      <c r="L139" s="8031">
        <v>100</v>
      </c>
      <c r="M139" s="7936">
        <v>100</v>
      </c>
      <c r="N139" s="8023">
        <v>100</v>
      </c>
      <c r="O139" s="8958"/>
      <c r="P139" s="7932"/>
      <c r="Q139" s="7955"/>
      <c r="R139" s="7938"/>
      <c r="S139" s="7887"/>
      <c r="T139" s="7887"/>
      <c r="U139" s="7887"/>
      <c r="V139" s="7887"/>
      <c r="W139" s="7887"/>
      <c r="X139" s="7887"/>
      <c r="Y139" s="7887"/>
      <c r="Z139" s="7887"/>
      <c r="AA139" s="7887"/>
      <c r="AB139" s="7887"/>
      <c r="AC139" s="7887"/>
      <c r="AD139" s="7887"/>
      <c r="AE139" s="7887"/>
      <c r="AF139" s="7887"/>
      <c r="AG139" s="7887"/>
      <c r="AH139" s="7887"/>
      <c r="AI139" s="7887"/>
      <c r="AJ139" s="7887"/>
      <c r="AK139" s="7887"/>
      <c r="AL139" s="7887"/>
      <c r="AM139" s="7887"/>
      <c r="AN139" s="7887"/>
      <c r="AO139" s="7887"/>
      <c r="AP139" s="7887"/>
      <c r="AQ139" s="7887"/>
      <c r="AR139" s="7887"/>
      <c r="AS139" s="7887"/>
      <c r="AT139" s="7887"/>
      <c r="AU139" s="7887"/>
      <c r="AV139" s="7887"/>
      <c r="AW139" s="7887"/>
      <c r="AX139" s="7872"/>
    </row>
    <row r="140" spans="1:50" s="8763" customFormat="1" ht="20.100000000000001" customHeight="1">
      <c r="A140" s="7872"/>
      <c r="B140" s="8536"/>
      <c r="C140" s="8862"/>
      <c r="D140" s="9493" t="s">
        <v>143</v>
      </c>
      <c r="E140" s="9494"/>
      <c r="F140" s="8835" t="s">
        <v>154</v>
      </c>
      <c r="G140" s="8860"/>
      <c r="H140" s="8862"/>
      <c r="I140" s="9848" t="s">
        <v>144</v>
      </c>
      <c r="J140" s="9514"/>
      <c r="K140" s="8835" t="s">
        <v>154</v>
      </c>
      <c r="L140" s="8031">
        <v>100</v>
      </c>
      <c r="M140" s="7936">
        <v>100</v>
      </c>
      <c r="N140" s="8023">
        <v>100</v>
      </c>
      <c r="O140" s="8958"/>
      <c r="P140" s="7932"/>
      <c r="Q140" s="7955"/>
      <c r="R140" s="7938"/>
      <c r="S140" s="7887"/>
      <c r="T140" s="7887"/>
      <c r="U140" s="7887"/>
      <c r="V140" s="7887"/>
      <c r="W140" s="7887"/>
      <c r="X140" s="7887"/>
      <c r="Y140" s="7887"/>
      <c r="Z140" s="7887"/>
      <c r="AA140" s="7887"/>
      <c r="AB140" s="7887"/>
      <c r="AC140" s="7887"/>
      <c r="AD140" s="7887"/>
      <c r="AE140" s="7887"/>
      <c r="AF140" s="7887"/>
      <c r="AG140" s="7887"/>
      <c r="AH140" s="7887"/>
      <c r="AI140" s="7887"/>
      <c r="AJ140" s="7887"/>
      <c r="AK140" s="7887"/>
      <c r="AL140" s="7887"/>
      <c r="AM140" s="7887"/>
      <c r="AN140" s="7887"/>
      <c r="AO140" s="7887"/>
      <c r="AP140" s="7887"/>
      <c r="AQ140" s="7887"/>
      <c r="AR140" s="7887"/>
      <c r="AS140" s="7887"/>
      <c r="AT140" s="7887"/>
      <c r="AU140" s="7887"/>
      <c r="AV140" s="7887"/>
      <c r="AW140" s="7887"/>
      <c r="AX140" s="7872"/>
    </row>
    <row r="141" spans="1:50" s="8763" customFormat="1" ht="20.100000000000001" customHeight="1">
      <c r="A141" s="7872"/>
      <c r="B141" s="8536"/>
      <c r="C141" s="8859"/>
      <c r="D141" s="9493" t="s">
        <v>146</v>
      </c>
      <c r="E141" s="9494"/>
      <c r="F141" s="8835" t="s">
        <v>154</v>
      </c>
      <c r="G141" s="8860"/>
      <c r="H141" s="8859"/>
      <c r="I141" s="9848" t="s">
        <v>147</v>
      </c>
      <c r="J141" s="9514"/>
      <c r="K141" s="8835" t="s">
        <v>154</v>
      </c>
      <c r="L141" s="8031">
        <v>100</v>
      </c>
      <c r="M141" s="7936">
        <v>100</v>
      </c>
      <c r="N141" s="8023">
        <v>100</v>
      </c>
      <c r="O141" s="8958"/>
      <c r="P141" s="7932"/>
      <c r="Q141" s="7955"/>
      <c r="R141" s="7938"/>
      <c r="S141" s="7887"/>
      <c r="T141" s="7887"/>
      <c r="U141" s="7887"/>
      <c r="V141" s="7887"/>
      <c r="W141" s="7887"/>
      <c r="X141" s="7887"/>
      <c r="Y141" s="7887"/>
      <c r="Z141" s="7887"/>
      <c r="AA141" s="7887"/>
      <c r="AB141" s="7887"/>
      <c r="AC141" s="7887"/>
      <c r="AD141" s="7887"/>
      <c r="AE141" s="7887"/>
      <c r="AF141" s="7887"/>
      <c r="AG141" s="7887"/>
      <c r="AH141" s="7887"/>
      <c r="AI141" s="7887"/>
      <c r="AJ141" s="7887"/>
      <c r="AK141" s="7887"/>
      <c r="AL141" s="7887"/>
      <c r="AM141" s="7887"/>
      <c r="AN141" s="7887"/>
      <c r="AO141" s="7887"/>
      <c r="AP141" s="7887"/>
      <c r="AQ141" s="7887"/>
      <c r="AR141" s="7887"/>
      <c r="AS141" s="7887"/>
      <c r="AT141" s="7887"/>
      <c r="AU141" s="7887"/>
      <c r="AV141" s="7887"/>
      <c r="AW141" s="7887"/>
      <c r="AX141" s="7872"/>
    </row>
    <row r="142" spans="1:50" s="8763" customFormat="1" ht="20.100000000000001" customHeight="1">
      <c r="A142" s="7872"/>
      <c r="B142" s="8536"/>
      <c r="C142" s="8862"/>
      <c r="D142" s="9493" t="s">
        <v>149</v>
      </c>
      <c r="E142" s="9494"/>
      <c r="F142" s="8835" t="s">
        <v>154</v>
      </c>
      <c r="G142" s="8860"/>
      <c r="H142" s="8862"/>
      <c r="I142" s="9848" t="s">
        <v>150</v>
      </c>
      <c r="J142" s="9514"/>
      <c r="K142" s="8835" t="s">
        <v>154</v>
      </c>
      <c r="L142" s="8031">
        <v>0</v>
      </c>
      <c r="M142" s="7936">
        <v>100</v>
      </c>
      <c r="N142" s="8023">
        <v>100</v>
      </c>
      <c r="O142" s="8958" t="s">
        <v>3607</v>
      </c>
      <c r="P142" s="7932"/>
      <c r="Q142" s="7955"/>
      <c r="R142" s="7938"/>
      <c r="S142" s="7887"/>
      <c r="T142" s="7887"/>
      <c r="U142" s="7887"/>
      <c r="V142" s="7887"/>
      <c r="W142" s="7887"/>
      <c r="X142" s="7887"/>
      <c r="Y142" s="7887"/>
      <c r="Z142" s="7887"/>
      <c r="AA142" s="7887"/>
      <c r="AB142" s="7887"/>
      <c r="AC142" s="7887"/>
      <c r="AD142" s="7887"/>
      <c r="AE142" s="7887"/>
      <c r="AF142" s="7887"/>
      <c r="AG142" s="7887"/>
      <c r="AH142" s="7887"/>
      <c r="AI142" s="7887"/>
      <c r="AJ142" s="7887"/>
      <c r="AK142" s="7887"/>
      <c r="AL142" s="7887"/>
      <c r="AM142" s="7887"/>
      <c r="AN142" s="7887"/>
      <c r="AO142" s="7887"/>
      <c r="AP142" s="7887"/>
      <c r="AQ142" s="7887"/>
      <c r="AR142" s="7887"/>
      <c r="AS142" s="7887"/>
      <c r="AT142" s="7887"/>
      <c r="AU142" s="7887"/>
      <c r="AV142" s="7887"/>
      <c r="AW142" s="7887"/>
      <c r="AX142" s="7872"/>
    </row>
    <row r="143" spans="1:50" s="7887" customFormat="1" ht="19.149999999999999" customHeight="1">
      <c r="A143" s="7872"/>
      <c r="B143" s="8536"/>
      <c r="C143" s="9853" t="s">
        <v>2029</v>
      </c>
      <c r="D143" s="9854"/>
      <c r="E143" s="9854"/>
      <c r="F143" s="8864"/>
      <c r="G143" s="8865"/>
      <c r="H143" s="9855" t="s">
        <v>1699</v>
      </c>
      <c r="I143" s="9856"/>
      <c r="J143" s="9857"/>
      <c r="K143" s="8866"/>
      <c r="L143" s="8038"/>
      <c r="M143" s="8039"/>
      <c r="N143" s="8040"/>
      <c r="O143" s="9131" t="s">
        <v>3581</v>
      </c>
      <c r="P143" s="7932"/>
      <c r="Q143" s="7955"/>
      <c r="R143" s="7938"/>
    </row>
    <row r="144" spans="1:50" s="7887" customFormat="1" ht="20.100000000000001" hidden="1" customHeight="1">
      <c r="A144" s="7872"/>
      <c r="B144" s="8536"/>
      <c r="C144" s="8905" t="s">
        <v>2030</v>
      </c>
      <c r="D144" s="8905"/>
      <c r="E144" s="8906"/>
      <c r="F144" s="8907" t="s">
        <v>156</v>
      </c>
      <c r="G144" s="8908"/>
      <c r="H144" s="8909"/>
      <c r="I144" s="8908" t="s">
        <v>1701</v>
      </c>
      <c r="J144" s="8908"/>
      <c r="K144" s="8910" t="s">
        <v>559</v>
      </c>
      <c r="L144" s="8911">
        <f t="shared" ref="L144:N145" si="0">L151/L158*100</f>
        <v>76.470588235294116</v>
      </c>
      <c r="M144" s="8912">
        <f t="shared" si="0"/>
        <v>65</v>
      </c>
      <c r="N144" s="8913">
        <f t="shared" si="0"/>
        <v>47.619047619047613</v>
      </c>
      <c r="O144" s="9069" t="s">
        <v>3582</v>
      </c>
      <c r="P144" s="7932" t="s">
        <v>1704</v>
      </c>
      <c r="Q144" s="7955"/>
      <c r="R144" s="7938"/>
      <c r="AX144" s="7872"/>
    </row>
    <row r="145" spans="1:50" s="7887" customFormat="1" ht="20.100000000000001" hidden="1" customHeight="1">
      <c r="A145" s="7872"/>
      <c r="B145" s="8536"/>
      <c r="C145" s="8914" t="s">
        <v>134</v>
      </c>
      <c r="D145" s="8914"/>
      <c r="E145" s="8915"/>
      <c r="F145" s="8907" t="s">
        <v>156</v>
      </c>
      <c r="G145" s="8916"/>
      <c r="H145" s="8917"/>
      <c r="I145" s="9851" t="s">
        <v>135</v>
      </c>
      <c r="J145" s="9852"/>
      <c r="K145" s="8907" t="s">
        <v>559</v>
      </c>
      <c r="L145" s="8918">
        <f t="shared" si="0"/>
        <v>76.470588235294116</v>
      </c>
      <c r="M145" s="8919">
        <f t="shared" si="0"/>
        <v>64.705882352941174</v>
      </c>
      <c r="N145" s="8920">
        <f t="shared" si="0"/>
        <v>50</v>
      </c>
      <c r="O145" s="9069"/>
      <c r="P145" s="7932"/>
      <c r="Q145" s="7955"/>
      <c r="R145" s="7938"/>
      <c r="AX145" s="7872"/>
    </row>
    <row r="146" spans="1:50" s="7887" customFormat="1" ht="20.100000000000001" hidden="1" customHeight="1">
      <c r="A146" s="7872"/>
      <c r="B146" s="8536"/>
      <c r="C146" s="8914" t="s">
        <v>137</v>
      </c>
      <c r="D146" s="8914"/>
      <c r="E146" s="8915"/>
      <c r="F146" s="8907" t="s">
        <v>156</v>
      </c>
      <c r="G146" s="8916"/>
      <c r="H146" s="8909"/>
      <c r="I146" s="9851" t="s">
        <v>138</v>
      </c>
      <c r="J146" s="9852"/>
      <c r="K146" s="8907" t="s">
        <v>559</v>
      </c>
      <c r="L146" s="8918">
        <v>0</v>
      </c>
      <c r="M146" s="8919">
        <v>0</v>
      </c>
      <c r="N146" s="8920">
        <f t="shared" ref="N146" si="1">N153/N160*100</f>
        <v>33.333333333333329</v>
      </c>
      <c r="O146" s="9069"/>
      <c r="P146" s="7932"/>
      <c r="Q146" s="7955"/>
      <c r="R146" s="7938"/>
      <c r="AX146" s="7872"/>
    </row>
    <row r="147" spans="1:50" s="7887" customFormat="1" ht="20.100000000000001" hidden="1" customHeight="1">
      <c r="A147" s="7872"/>
      <c r="B147" s="8536"/>
      <c r="C147" s="8914" t="s">
        <v>140</v>
      </c>
      <c r="D147" s="8914"/>
      <c r="E147" s="8915"/>
      <c r="F147" s="8907" t="s">
        <v>156</v>
      </c>
      <c r="G147" s="8916"/>
      <c r="H147" s="8917"/>
      <c r="I147" s="9817" t="s">
        <v>141</v>
      </c>
      <c r="J147" s="9818"/>
      <c r="K147" s="8907" t="s">
        <v>559</v>
      </c>
      <c r="L147" s="8918">
        <v>0</v>
      </c>
      <c r="M147" s="8919">
        <v>0</v>
      </c>
      <c r="N147" s="8920">
        <v>0</v>
      </c>
      <c r="O147" s="9069"/>
      <c r="P147" s="7932"/>
      <c r="Q147" s="7955"/>
      <c r="R147" s="7938"/>
      <c r="AX147" s="7872"/>
    </row>
    <row r="148" spans="1:50" s="7887" customFormat="1" ht="20.100000000000001" hidden="1" customHeight="1">
      <c r="A148" s="7872"/>
      <c r="B148" s="8536"/>
      <c r="C148" s="8914" t="s">
        <v>143</v>
      </c>
      <c r="D148" s="8914"/>
      <c r="E148" s="8915"/>
      <c r="F148" s="8907" t="s">
        <v>156</v>
      </c>
      <c r="G148" s="8916"/>
      <c r="H148" s="8909"/>
      <c r="I148" s="9817" t="s">
        <v>144</v>
      </c>
      <c r="J148" s="9818"/>
      <c r="K148" s="8907" t="s">
        <v>559</v>
      </c>
      <c r="L148" s="8918">
        <v>0</v>
      </c>
      <c r="M148" s="8919">
        <f t="shared" ref="M148:N148" si="2">M155/M162*100</f>
        <v>100</v>
      </c>
      <c r="N148" s="8920">
        <f t="shared" si="2"/>
        <v>100</v>
      </c>
      <c r="O148" s="9069"/>
      <c r="P148" s="7932"/>
      <c r="Q148" s="7955"/>
      <c r="R148" s="7938"/>
      <c r="AX148" s="7872"/>
    </row>
    <row r="149" spans="1:50" s="7887" customFormat="1" ht="20.100000000000001" hidden="1" customHeight="1">
      <c r="A149" s="7872"/>
      <c r="B149" s="8536"/>
      <c r="C149" s="8914" t="s">
        <v>146</v>
      </c>
      <c r="D149" s="8914"/>
      <c r="E149" s="8915"/>
      <c r="F149" s="8907" t="s">
        <v>156</v>
      </c>
      <c r="G149" s="8916"/>
      <c r="H149" s="8917"/>
      <c r="I149" s="9817" t="s">
        <v>147</v>
      </c>
      <c r="J149" s="9818"/>
      <c r="K149" s="8907" t="s">
        <v>559</v>
      </c>
      <c r="L149" s="8918">
        <v>0</v>
      </c>
      <c r="M149" s="8919">
        <v>0</v>
      </c>
      <c r="N149" s="8920">
        <f t="shared" ref="N149" si="3">N156/N163*100</f>
        <v>25</v>
      </c>
      <c r="O149" s="9069"/>
      <c r="P149" s="7932"/>
      <c r="Q149" s="7955"/>
      <c r="R149" s="7938"/>
      <c r="AX149" s="7872"/>
    </row>
    <row r="150" spans="1:50" s="7887" customFormat="1" ht="20.100000000000001" hidden="1" customHeight="1">
      <c r="A150" s="7872"/>
      <c r="B150" s="8536"/>
      <c r="C150" s="8914" t="s">
        <v>149</v>
      </c>
      <c r="D150" s="8914"/>
      <c r="E150" s="8915"/>
      <c r="F150" s="8907" t="s">
        <v>156</v>
      </c>
      <c r="G150" s="8916"/>
      <c r="H150" s="8909"/>
      <c r="I150" s="9817" t="s">
        <v>150</v>
      </c>
      <c r="J150" s="9818"/>
      <c r="K150" s="8907" t="s">
        <v>559</v>
      </c>
      <c r="L150" s="8918">
        <v>0</v>
      </c>
      <c r="M150" s="8919">
        <v>0</v>
      </c>
      <c r="N150" s="8920">
        <v>0</v>
      </c>
      <c r="O150" s="9069"/>
      <c r="P150" s="7932"/>
      <c r="Q150" s="7955"/>
      <c r="R150" s="7938"/>
      <c r="AX150" s="7872"/>
    </row>
    <row r="151" spans="1:50" s="7887" customFormat="1" ht="20.100000000000001" customHeight="1">
      <c r="A151" s="7872"/>
      <c r="B151" s="9343"/>
      <c r="C151" s="8653"/>
      <c r="D151" s="8867" t="s">
        <v>2031</v>
      </c>
      <c r="E151" s="8868"/>
      <c r="F151" s="8841" t="s">
        <v>1476</v>
      </c>
      <c r="G151" s="8856"/>
      <c r="H151" s="8869"/>
      <c r="I151" s="8856" t="s">
        <v>3746</v>
      </c>
      <c r="J151" s="8856"/>
      <c r="K151" s="8858" t="s">
        <v>559</v>
      </c>
      <c r="L151" s="8012">
        <f>SUM(L152:L157)</f>
        <v>13</v>
      </c>
      <c r="M151" s="8013">
        <f>SUM(M152:M157)</f>
        <v>13</v>
      </c>
      <c r="N151" s="8014">
        <f>SUM(N152:N157)</f>
        <v>10</v>
      </c>
      <c r="O151" s="9068"/>
      <c r="P151" s="7932" t="s">
        <v>1710</v>
      </c>
      <c r="Q151" s="7955" t="s">
        <v>1711</v>
      </c>
      <c r="R151" s="7938"/>
      <c r="AX151" s="7872"/>
    </row>
    <row r="152" spans="1:50" s="7887" customFormat="1" ht="30">
      <c r="A152" s="7872"/>
      <c r="B152" s="8536"/>
      <c r="C152" s="8870"/>
      <c r="D152" s="9493" t="s">
        <v>134</v>
      </c>
      <c r="E152" s="9494"/>
      <c r="F152" s="8835" t="s">
        <v>1476</v>
      </c>
      <c r="G152" s="8860"/>
      <c r="H152" s="8871"/>
      <c r="I152" s="9844" t="s">
        <v>135</v>
      </c>
      <c r="J152" s="9512"/>
      <c r="K152" s="8835" t="s">
        <v>559</v>
      </c>
      <c r="L152" s="7935">
        <v>13</v>
      </c>
      <c r="M152" s="7936">
        <v>11</v>
      </c>
      <c r="N152" s="8023">
        <v>6</v>
      </c>
      <c r="O152" s="8958" t="s">
        <v>3787</v>
      </c>
      <c r="P152" s="7932"/>
      <c r="Q152" s="7955"/>
      <c r="R152" s="7938"/>
      <c r="AX152" s="7872"/>
    </row>
    <row r="153" spans="1:50" s="7887" customFormat="1" ht="20.100000000000001" customHeight="1">
      <c r="A153" s="7872"/>
      <c r="B153" s="8536"/>
      <c r="C153" s="8044"/>
      <c r="D153" s="9437" t="s">
        <v>137</v>
      </c>
      <c r="E153" s="9439"/>
      <c r="F153" s="7953" t="s">
        <v>1476</v>
      </c>
      <c r="G153" s="8505"/>
      <c r="H153" s="8033"/>
      <c r="I153" s="9478" t="s">
        <v>138</v>
      </c>
      <c r="J153" s="9479"/>
      <c r="K153" s="7953" t="s">
        <v>559</v>
      </c>
      <c r="L153" s="7935">
        <v>0</v>
      </c>
      <c r="M153" s="7936">
        <v>0</v>
      </c>
      <c r="N153" s="7937">
        <v>1</v>
      </c>
      <c r="O153" s="8958"/>
      <c r="P153" s="7932"/>
      <c r="Q153" s="7955"/>
      <c r="R153" s="7938"/>
      <c r="AX153" s="7872"/>
    </row>
    <row r="154" spans="1:50" s="7887" customFormat="1" ht="20.100000000000001" customHeight="1">
      <c r="A154" s="7872"/>
      <c r="B154" s="8536"/>
      <c r="C154" s="8044"/>
      <c r="D154" s="9437" t="s">
        <v>140</v>
      </c>
      <c r="E154" s="9439"/>
      <c r="F154" s="7953" t="s">
        <v>1476</v>
      </c>
      <c r="G154" s="8505"/>
      <c r="H154" s="8033"/>
      <c r="I154" s="9497" t="s">
        <v>141</v>
      </c>
      <c r="J154" s="9498"/>
      <c r="K154" s="7953" t="s">
        <v>559</v>
      </c>
      <c r="L154" s="8031">
        <v>0</v>
      </c>
      <c r="M154" s="7936">
        <v>0</v>
      </c>
      <c r="N154" s="8023">
        <v>0</v>
      </c>
      <c r="O154" s="8958"/>
      <c r="P154" s="7932"/>
      <c r="Q154" s="7955"/>
      <c r="R154" s="7938"/>
      <c r="AX154" s="7872"/>
    </row>
    <row r="155" spans="1:50" s="7887" customFormat="1" ht="20.100000000000001" customHeight="1">
      <c r="A155" s="7872"/>
      <c r="B155" s="8536"/>
      <c r="C155" s="8044"/>
      <c r="D155" s="9437" t="s">
        <v>143</v>
      </c>
      <c r="E155" s="9439"/>
      <c r="F155" s="7953" t="s">
        <v>1476</v>
      </c>
      <c r="G155" s="8505"/>
      <c r="H155" s="8033"/>
      <c r="I155" s="9497" t="s">
        <v>144</v>
      </c>
      <c r="J155" s="9498"/>
      <c r="K155" s="7953" t="s">
        <v>559</v>
      </c>
      <c r="L155" s="8031">
        <v>0</v>
      </c>
      <c r="M155" s="7936">
        <v>2</v>
      </c>
      <c r="N155" s="8023">
        <v>2</v>
      </c>
      <c r="O155" s="8958"/>
      <c r="P155" s="7932"/>
      <c r="Q155" s="7955"/>
      <c r="R155" s="7938"/>
      <c r="AX155" s="7872"/>
    </row>
    <row r="156" spans="1:50" ht="20.100000000000001" customHeight="1">
      <c r="A156" s="7872"/>
      <c r="B156" s="8536"/>
      <c r="C156" s="8044"/>
      <c r="D156" s="9437" t="s">
        <v>146</v>
      </c>
      <c r="E156" s="9439"/>
      <c r="F156" s="7953" t="s">
        <v>1476</v>
      </c>
      <c r="G156" s="8505"/>
      <c r="H156" s="8033"/>
      <c r="I156" s="9497" t="s">
        <v>147</v>
      </c>
      <c r="J156" s="9498"/>
      <c r="K156" s="7953" t="s">
        <v>559</v>
      </c>
      <c r="L156" s="8031">
        <v>0</v>
      </c>
      <c r="M156" s="7936">
        <v>0</v>
      </c>
      <c r="N156" s="8023">
        <v>1</v>
      </c>
      <c r="O156" s="9053"/>
      <c r="P156" s="7932"/>
      <c r="Q156" s="7955"/>
      <c r="R156" s="7938"/>
    </row>
    <row r="157" spans="1:50" ht="20.100000000000001" customHeight="1">
      <c r="A157" s="7872"/>
      <c r="B157" s="8536"/>
      <c r="C157" s="8044"/>
      <c r="D157" s="9437" t="s">
        <v>149</v>
      </c>
      <c r="E157" s="9439"/>
      <c r="F157" s="7953" t="s">
        <v>1476</v>
      </c>
      <c r="G157" s="8505"/>
      <c r="H157" s="8033"/>
      <c r="I157" s="9497" t="s">
        <v>150</v>
      </c>
      <c r="J157" s="9498"/>
      <c r="K157" s="7953" t="s">
        <v>559</v>
      </c>
      <c r="L157" s="8031">
        <v>0</v>
      </c>
      <c r="M157" s="7936">
        <v>0</v>
      </c>
      <c r="N157" s="8023">
        <v>0</v>
      </c>
      <c r="O157" s="8958"/>
      <c r="P157" s="7932"/>
      <c r="Q157" s="7955"/>
      <c r="R157" s="7938"/>
    </row>
    <row r="158" spans="1:50" s="7887" customFormat="1" ht="20.100000000000001" customHeight="1">
      <c r="A158" s="9359"/>
      <c r="B158" s="9343"/>
      <c r="C158" s="8639"/>
      <c r="D158" s="8641" t="s">
        <v>2032</v>
      </c>
      <c r="E158" s="8642"/>
      <c r="F158" s="7957" t="s">
        <v>1476</v>
      </c>
      <c r="G158" s="8571"/>
      <c r="H158" s="8643"/>
      <c r="I158" s="8571" t="s">
        <v>3745</v>
      </c>
      <c r="J158" s="8571"/>
      <c r="K158" s="7958" t="s">
        <v>559</v>
      </c>
      <c r="L158" s="8012">
        <f>SUM(L159:L164)</f>
        <v>17</v>
      </c>
      <c r="M158" s="8013">
        <f>SUM(M159:M164)</f>
        <v>20</v>
      </c>
      <c r="N158" s="8014">
        <f>SUM(N159:N164)</f>
        <v>21</v>
      </c>
      <c r="O158" s="9068"/>
      <c r="P158" s="7932" t="s">
        <v>1704</v>
      </c>
      <c r="Q158" s="7955"/>
      <c r="R158" s="7938"/>
      <c r="AX158" s="7872"/>
    </row>
    <row r="159" spans="1:50" s="7887" customFormat="1" ht="20.100000000000001" customHeight="1">
      <c r="A159" s="7872"/>
      <c r="B159" s="8536"/>
      <c r="C159" s="8774"/>
      <c r="D159" s="9437" t="s">
        <v>134</v>
      </c>
      <c r="E159" s="9439"/>
      <c r="F159" s="7953" t="s">
        <v>1476</v>
      </c>
      <c r="G159" s="8583"/>
      <c r="H159" s="8611"/>
      <c r="I159" s="9478" t="s">
        <v>135</v>
      </c>
      <c r="J159" s="9479"/>
      <c r="K159" s="7953" t="s">
        <v>559</v>
      </c>
      <c r="L159" s="7935">
        <v>17</v>
      </c>
      <c r="M159" s="7936">
        <v>17</v>
      </c>
      <c r="N159" s="8023">
        <v>12</v>
      </c>
      <c r="O159" s="8958"/>
      <c r="P159" s="7932"/>
      <c r="Q159" s="7955"/>
      <c r="R159" s="7938"/>
      <c r="AX159" s="7872"/>
    </row>
    <row r="160" spans="1:50" s="7887" customFormat="1" ht="20.100000000000001" customHeight="1">
      <c r="A160" s="7872"/>
      <c r="B160" s="8536"/>
      <c r="C160" s="8639"/>
      <c r="D160" s="9437" t="s">
        <v>137</v>
      </c>
      <c r="E160" s="9439"/>
      <c r="F160" s="7953" t="s">
        <v>1476</v>
      </c>
      <c r="G160" s="8583"/>
      <c r="H160" s="8645"/>
      <c r="I160" s="9478" t="s">
        <v>138</v>
      </c>
      <c r="J160" s="9479"/>
      <c r="K160" s="7953" t="s">
        <v>559</v>
      </c>
      <c r="L160" s="7935">
        <v>0</v>
      </c>
      <c r="M160" s="7936">
        <v>1</v>
      </c>
      <c r="N160" s="7937">
        <v>3</v>
      </c>
      <c r="O160" s="8958"/>
      <c r="P160" s="7932"/>
      <c r="Q160" s="7955"/>
      <c r="R160" s="7938"/>
      <c r="AX160" s="7872"/>
    </row>
    <row r="161" spans="1:50" s="7887" customFormat="1" ht="20.100000000000001" customHeight="1">
      <c r="A161" s="7872"/>
      <c r="B161" s="8536"/>
      <c r="C161" s="8774"/>
      <c r="D161" s="9437" t="s">
        <v>140</v>
      </c>
      <c r="E161" s="9439"/>
      <c r="F161" s="7953" t="s">
        <v>1476</v>
      </c>
      <c r="G161" s="8583"/>
      <c r="H161" s="8611"/>
      <c r="I161" s="9497" t="s">
        <v>141</v>
      </c>
      <c r="J161" s="9498"/>
      <c r="K161" s="7953" t="s">
        <v>559</v>
      </c>
      <c r="L161" s="8031">
        <v>0</v>
      </c>
      <c r="M161" s="7936">
        <v>0</v>
      </c>
      <c r="N161" s="8023">
        <v>0</v>
      </c>
      <c r="O161" s="8958"/>
      <c r="P161" s="7932"/>
      <c r="Q161" s="7955"/>
      <c r="R161" s="7938"/>
      <c r="AX161" s="7872"/>
    </row>
    <row r="162" spans="1:50" s="7887" customFormat="1" ht="20.100000000000001" customHeight="1">
      <c r="A162" s="7872"/>
      <c r="B162" s="8536"/>
      <c r="C162" s="8639"/>
      <c r="D162" s="9437" t="s">
        <v>143</v>
      </c>
      <c r="E162" s="9439"/>
      <c r="F162" s="7953" t="s">
        <v>1476</v>
      </c>
      <c r="G162" s="8583"/>
      <c r="H162" s="8645"/>
      <c r="I162" s="9497" t="s">
        <v>144</v>
      </c>
      <c r="J162" s="9498"/>
      <c r="K162" s="7953" t="s">
        <v>559</v>
      </c>
      <c r="L162" s="8031">
        <v>0</v>
      </c>
      <c r="M162" s="7936">
        <v>2</v>
      </c>
      <c r="N162" s="8023">
        <v>2</v>
      </c>
      <c r="O162" s="8958"/>
      <c r="P162" s="7932"/>
      <c r="Q162" s="7955"/>
      <c r="R162" s="7938"/>
      <c r="AX162" s="7872"/>
    </row>
    <row r="163" spans="1:50" s="7887" customFormat="1" ht="20.100000000000001" customHeight="1">
      <c r="A163" s="7872"/>
      <c r="B163" s="8536"/>
      <c r="C163" s="8774"/>
      <c r="D163" s="9437" t="s">
        <v>146</v>
      </c>
      <c r="E163" s="9439"/>
      <c r="F163" s="7953" t="s">
        <v>1476</v>
      </c>
      <c r="G163" s="8505"/>
      <c r="H163" s="8611"/>
      <c r="I163" s="9497" t="s">
        <v>147</v>
      </c>
      <c r="J163" s="9498"/>
      <c r="K163" s="7953" t="s">
        <v>559</v>
      </c>
      <c r="L163" s="8031">
        <v>0</v>
      </c>
      <c r="M163" s="7936">
        <v>0</v>
      </c>
      <c r="N163" s="8023">
        <v>4</v>
      </c>
      <c r="O163" s="8958"/>
      <c r="P163" s="7932"/>
      <c r="Q163" s="7955"/>
      <c r="R163" s="7938"/>
      <c r="AX163" s="7872"/>
    </row>
    <row r="164" spans="1:50" s="7887" customFormat="1" ht="20.100000000000001" customHeight="1" thickBot="1">
      <c r="A164" s="7872"/>
      <c r="B164" s="9345"/>
      <c r="C164" s="9135"/>
      <c r="D164" s="8875" t="s">
        <v>149</v>
      </c>
      <c r="E164" s="8876"/>
      <c r="F164" s="8877" t="s">
        <v>1476</v>
      </c>
      <c r="G164" s="8878"/>
      <c r="H164" s="8879"/>
      <c r="I164" s="8880" t="s">
        <v>150</v>
      </c>
      <c r="J164" s="8881"/>
      <c r="K164" s="8882" t="s">
        <v>559</v>
      </c>
      <c r="L164" s="8046">
        <v>0</v>
      </c>
      <c r="M164" s="8047">
        <v>0</v>
      </c>
      <c r="N164" s="8048">
        <v>0</v>
      </c>
      <c r="O164" s="9047"/>
      <c r="P164" s="8221"/>
      <c r="Q164" s="8049"/>
      <c r="R164" s="8050"/>
      <c r="AX164" s="7872"/>
    </row>
    <row r="165" spans="1:50" ht="20.100000000000001" hidden="1" customHeight="1" thickTop="1">
      <c r="A165" s="7872"/>
      <c r="B165" s="8536"/>
      <c r="C165" s="9134" t="s">
        <v>2033</v>
      </c>
      <c r="D165" s="8868"/>
      <c r="E165" s="8868"/>
      <c r="F165" s="8841" t="s">
        <v>1476</v>
      </c>
      <c r="G165" s="8856"/>
      <c r="H165" s="8872" t="s">
        <v>1713</v>
      </c>
      <c r="I165" s="8856"/>
      <c r="J165" s="8856"/>
      <c r="K165" s="8858" t="s">
        <v>559</v>
      </c>
      <c r="L165" s="8012">
        <f>SUM(L166:L171)</f>
        <v>0</v>
      </c>
      <c r="M165" s="8013">
        <f>SUM(M166:M171)</f>
        <v>4</v>
      </c>
      <c r="N165" s="8014">
        <f>SUM(N166:N171)</f>
        <v>1</v>
      </c>
      <c r="O165" s="9202"/>
      <c r="P165" s="8801"/>
      <c r="Q165" s="7955" t="s">
        <v>1711</v>
      </c>
      <c r="R165" s="7938"/>
    </row>
    <row r="166" spans="1:50" ht="30" hidden="1">
      <c r="A166" s="7872"/>
      <c r="B166" s="8536"/>
      <c r="C166" s="8873" t="s">
        <v>1716</v>
      </c>
      <c r="D166" s="8873"/>
      <c r="E166" s="8874"/>
      <c r="F166" s="8835" t="s">
        <v>1476</v>
      </c>
      <c r="G166" s="8860"/>
      <c r="H166" s="8861" t="s">
        <v>135</v>
      </c>
      <c r="I166" s="8845"/>
      <c r="J166" s="8846"/>
      <c r="K166" s="8151" t="s">
        <v>559</v>
      </c>
      <c r="L166" s="8031" t="s">
        <v>168</v>
      </c>
      <c r="M166" s="8904">
        <v>4</v>
      </c>
      <c r="N166" s="8032">
        <v>1</v>
      </c>
      <c r="O166" s="7954" t="s">
        <v>3583</v>
      </c>
      <c r="P166" s="8801"/>
      <c r="Q166" s="7955"/>
      <c r="R166" s="7938"/>
    </row>
    <row r="167" spans="1:50" ht="20.100000000000001" hidden="1" customHeight="1">
      <c r="A167" s="7872"/>
      <c r="B167" s="8536"/>
      <c r="C167" s="8873" t="s">
        <v>1717</v>
      </c>
      <c r="D167" s="8873"/>
      <c r="E167" s="8874"/>
      <c r="F167" s="8835" t="s">
        <v>1476</v>
      </c>
      <c r="G167" s="8860"/>
      <c r="H167" s="8861" t="s">
        <v>138</v>
      </c>
      <c r="I167" s="8845"/>
      <c r="J167" s="8846"/>
      <c r="K167" s="8151" t="s">
        <v>559</v>
      </c>
      <c r="L167" s="8031" t="s">
        <v>168</v>
      </c>
      <c r="M167" s="7936" t="s">
        <v>168</v>
      </c>
      <c r="N167" s="8023" t="s">
        <v>168</v>
      </c>
      <c r="O167" s="7954"/>
      <c r="P167" s="8801"/>
      <c r="Q167" s="7955"/>
      <c r="R167" s="7938"/>
    </row>
    <row r="168" spans="1:50" ht="20.100000000000001" hidden="1" customHeight="1">
      <c r="A168" s="7872"/>
      <c r="B168" s="8536"/>
      <c r="C168" s="8873" t="s">
        <v>1718</v>
      </c>
      <c r="D168" s="8873"/>
      <c r="E168" s="8874"/>
      <c r="F168" s="8835" t="s">
        <v>1476</v>
      </c>
      <c r="G168" s="8860"/>
      <c r="H168" s="8863" t="s">
        <v>141</v>
      </c>
      <c r="I168" s="8783"/>
      <c r="J168" s="8849"/>
      <c r="K168" s="8151" t="s">
        <v>559</v>
      </c>
      <c r="L168" s="8031" t="s">
        <v>168</v>
      </c>
      <c r="M168" s="7936" t="s">
        <v>168</v>
      </c>
      <c r="N168" s="8023" t="s">
        <v>168</v>
      </c>
      <c r="O168" s="7954"/>
      <c r="P168" s="8801"/>
      <c r="Q168" s="7955"/>
      <c r="R168" s="7938"/>
    </row>
    <row r="169" spans="1:50" ht="20.100000000000001" hidden="1" customHeight="1">
      <c r="A169" s="7872"/>
      <c r="B169" s="8536"/>
      <c r="C169" s="8873" t="s">
        <v>1719</v>
      </c>
      <c r="D169" s="8873"/>
      <c r="E169" s="8874"/>
      <c r="F169" s="8835" t="s">
        <v>1476</v>
      </c>
      <c r="G169" s="8860"/>
      <c r="H169" s="8863" t="s">
        <v>144</v>
      </c>
      <c r="I169" s="8783"/>
      <c r="J169" s="8849"/>
      <c r="K169" s="8151" t="s">
        <v>559</v>
      </c>
      <c r="L169" s="8031" t="s">
        <v>168</v>
      </c>
      <c r="M169" s="7936" t="s">
        <v>168</v>
      </c>
      <c r="N169" s="8023" t="s">
        <v>168</v>
      </c>
      <c r="O169" s="7954"/>
      <c r="P169" s="8801"/>
      <c r="Q169" s="7955"/>
      <c r="R169" s="7938"/>
    </row>
    <row r="170" spans="1:50" ht="20.100000000000001" hidden="1" customHeight="1">
      <c r="A170" s="7872"/>
      <c r="B170" s="8536"/>
      <c r="C170" s="8873" t="s">
        <v>146</v>
      </c>
      <c r="D170" s="8873"/>
      <c r="E170" s="8874"/>
      <c r="F170" s="8835" t="s">
        <v>1476</v>
      </c>
      <c r="G170" s="8860"/>
      <c r="H170" s="8863" t="s">
        <v>147</v>
      </c>
      <c r="I170" s="8783"/>
      <c r="J170" s="8849"/>
      <c r="K170" s="8151" t="s">
        <v>559</v>
      </c>
      <c r="L170" s="8031" t="s">
        <v>168</v>
      </c>
      <c r="M170" s="7936" t="s">
        <v>168</v>
      </c>
      <c r="N170" s="8023" t="s">
        <v>168</v>
      </c>
      <c r="O170" s="7954"/>
      <c r="P170" s="8801"/>
      <c r="Q170" s="7955"/>
      <c r="R170" s="7938"/>
    </row>
    <row r="171" spans="1:50" ht="20.100000000000001" hidden="1" customHeight="1" thickBot="1">
      <c r="A171" s="7872"/>
      <c r="B171" s="9345"/>
      <c r="C171" s="8875" t="s">
        <v>149</v>
      </c>
      <c r="D171" s="8875"/>
      <c r="E171" s="8876"/>
      <c r="F171" s="8877" t="s">
        <v>1476</v>
      </c>
      <c r="G171" s="8878"/>
      <c r="H171" s="8879" t="s">
        <v>150</v>
      </c>
      <c r="I171" s="8880"/>
      <c r="J171" s="8881"/>
      <c r="K171" s="8882" t="s">
        <v>559</v>
      </c>
      <c r="L171" s="8046" t="s">
        <v>168</v>
      </c>
      <c r="M171" s="8047" t="s">
        <v>168</v>
      </c>
      <c r="N171" s="8048" t="s">
        <v>168</v>
      </c>
      <c r="O171" s="8826"/>
      <c r="P171" s="8802"/>
      <c r="Q171" s="8049"/>
      <c r="R171" s="8050"/>
    </row>
    <row r="172" spans="1:50" ht="15.75" thickTop="1">
      <c r="C172" s="8051"/>
      <c r="D172" s="8051"/>
      <c r="G172" s="8051"/>
      <c r="H172" s="8051"/>
      <c r="I172" s="8051"/>
      <c r="J172" s="8051"/>
      <c r="L172" s="8053"/>
      <c r="M172" s="8053"/>
      <c r="N172" s="8053"/>
    </row>
    <row r="173" spans="1:50">
      <c r="L173" s="8053"/>
      <c r="M173" s="8053"/>
      <c r="N173" s="8053"/>
    </row>
    <row r="174" spans="1:50" s="7906" customFormat="1">
      <c r="A174" s="7887"/>
      <c r="B174" s="8057"/>
      <c r="C174" s="7887"/>
      <c r="D174" s="7887"/>
      <c r="E174" s="7887"/>
      <c r="F174" s="7887"/>
      <c r="G174" s="7887"/>
      <c r="H174" s="7887"/>
      <c r="I174" s="7887"/>
      <c r="J174" s="7887"/>
      <c r="K174" s="7887"/>
      <c r="L174" s="8053"/>
      <c r="M174" s="8053"/>
      <c r="N174" s="8053"/>
      <c r="O174" s="8054"/>
      <c r="P174" s="8055"/>
      <c r="Q174" s="8055"/>
      <c r="R174" s="8055"/>
      <c r="S174" s="8057"/>
      <c r="T174" s="8057"/>
      <c r="U174" s="8057"/>
      <c r="V174" s="8057"/>
      <c r="W174" s="8057"/>
      <c r="X174" s="8057"/>
      <c r="Y174" s="8057"/>
      <c r="Z174" s="8057"/>
      <c r="AA174" s="8057"/>
      <c r="AB174" s="8057"/>
      <c r="AC174" s="8057"/>
      <c r="AD174" s="8057"/>
      <c r="AE174" s="8057"/>
      <c r="AF174" s="8057"/>
      <c r="AG174" s="8057"/>
      <c r="AH174" s="8057"/>
      <c r="AI174" s="8057"/>
      <c r="AJ174" s="8057"/>
      <c r="AK174" s="8057"/>
      <c r="AL174" s="8057"/>
      <c r="AM174" s="8057"/>
      <c r="AN174" s="8057"/>
      <c r="AO174" s="8057"/>
      <c r="AP174" s="8057"/>
      <c r="AQ174" s="8057"/>
      <c r="AR174" s="8057"/>
      <c r="AS174" s="8057"/>
      <c r="AT174" s="8057"/>
      <c r="AU174" s="8057"/>
      <c r="AV174" s="8057"/>
      <c r="AW174" s="8057"/>
    </row>
    <row r="175" spans="1:50" s="7906" customFormat="1">
      <c r="A175" s="7887"/>
      <c r="B175" s="8057"/>
      <c r="C175" s="7887"/>
      <c r="D175" s="7887"/>
      <c r="E175" s="7887"/>
      <c r="F175" s="7887"/>
      <c r="G175" s="7887"/>
      <c r="H175" s="7887"/>
      <c r="I175" s="7887"/>
      <c r="J175" s="7887"/>
      <c r="K175" s="7887"/>
      <c r="L175" s="8053"/>
      <c r="M175" s="8053"/>
      <c r="N175" s="8053"/>
      <c r="O175" s="8054"/>
      <c r="P175" s="8055"/>
      <c r="Q175" s="8055"/>
      <c r="R175" s="8055"/>
      <c r="S175" s="8057"/>
      <c r="T175" s="8057"/>
      <c r="U175" s="8057"/>
      <c r="V175" s="8057"/>
      <c r="W175" s="8057"/>
      <c r="X175" s="8057"/>
      <c r="Y175" s="8057"/>
      <c r="Z175" s="8057"/>
      <c r="AA175" s="8057"/>
      <c r="AB175" s="8057"/>
      <c r="AC175" s="8057"/>
      <c r="AD175" s="8057"/>
      <c r="AE175" s="8057"/>
      <c r="AF175" s="8057"/>
      <c r="AG175" s="8057"/>
      <c r="AH175" s="8057"/>
      <c r="AI175" s="8057"/>
      <c r="AJ175" s="8057"/>
      <c r="AK175" s="8057"/>
      <c r="AL175" s="8057"/>
      <c r="AM175" s="8057"/>
      <c r="AN175" s="8057"/>
      <c r="AO175" s="8057"/>
      <c r="AP175" s="8057"/>
      <c r="AQ175" s="8057"/>
      <c r="AR175" s="8057"/>
      <c r="AS175" s="8057"/>
      <c r="AT175" s="8057"/>
      <c r="AU175" s="8057"/>
      <c r="AV175" s="8057"/>
      <c r="AW175" s="8057"/>
    </row>
    <row r="176" spans="1:50" s="7906" customFormat="1">
      <c r="A176" s="7887"/>
      <c r="B176" s="8057"/>
      <c r="C176" s="7887"/>
      <c r="D176" s="7887"/>
      <c r="E176" s="7887"/>
      <c r="F176" s="7887"/>
      <c r="G176" s="7887"/>
      <c r="H176" s="7887"/>
      <c r="I176" s="7887"/>
      <c r="J176" s="7887"/>
      <c r="K176" s="7887"/>
      <c r="L176" s="8053"/>
      <c r="M176" s="8053"/>
      <c r="N176" s="8053"/>
      <c r="O176" s="8054"/>
      <c r="P176" s="8055"/>
      <c r="Q176" s="8055"/>
      <c r="R176" s="8055"/>
      <c r="S176" s="8057"/>
      <c r="T176" s="8057"/>
      <c r="U176" s="8057"/>
      <c r="V176" s="8057"/>
      <c r="W176" s="8057"/>
      <c r="X176" s="8057"/>
      <c r="Y176" s="8057"/>
      <c r="Z176" s="8057"/>
      <c r="AA176" s="8057"/>
      <c r="AB176" s="8057"/>
      <c r="AC176" s="8057"/>
      <c r="AD176" s="8057"/>
      <c r="AE176" s="8057"/>
      <c r="AF176" s="8057"/>
      <c r="AG176" s="8057"/>
      <c r="AH176" s="8057"/>
      <c r="AI176" s="8057"/>
      <c r="AJ176" s="8057"/>
      <c r="AK176" s="8057"/>
      <c r="AL176" s="8057"/>
      <c r="AM176" s="8057"/>
      <c r="AN176" s="8057"/>
      <c r="AO176" s="8057"/>
      <c r="AP176" s="8057"/>
      <c r="AQ176" s="8057"/>
      <c r="AR176" s="8057"/>
      <c r="AS176" s="8057"/>
      <c r="AT176" s="8057"/>
      <c r="AU176" s="8057"/>
      <c r="AV176" s="8057"/>
      <c r="AW176" s="8057"/>
    </row>
    <row r="183" spans="1:50" s="8055" customFormat="1">
      <c r="A183" s="7887"/>
      <c r="B183" s="8057"/>
      <c r="C183" s="7887"/>
      <c r="D183" s="7887"/>
      <c r="E183" s="7887"/>
      <c r="F183" s="7887"/>
      <c r="G183" s="7887"/>
      <c r="H183" s="7887"/>
      <c r="I183" s="7887"/>
      <c r="J183" s="7887"/>
      <c r="K183" s="7887"/>
      <c r="L183" s="8058"/>
      <c r="M183" s="8058"/>
      <c r="N183" s="8058"/>
      <c r="O183" s="8054"/>
      <c r="S183" s="7887"/>
      <c r="T183" s="7887"/>
      <c r="U183" s="7887"/>
      <c r="V183" s="7887"/>
      <c r="W183" s="7887"/>
      <c r="X183" s="7887"/>
      <c r="Y183" s="7887"/>
      <c r="Z183" s="7887"/>
      <c r="AA183" s="7887"/>
      <c r="AB183" s="7887"/>
      <c r="AC183" s="7887"/>
      <c r="AD183" s="7887"/>
      <c r="AE183" s="7887"/>
      <c r="AF183" s="7887"/>
      <c r="AG183" s="7887"/>
      <c r="AH183" s="7887"/>
      <c r="AI183" s="7887"/>
      <c r="AJ183" s="7887"/>
      <c r="AK183" s="7887"/>
      <c r="AL183" s="7887"/>
      <c r="AM183" s="7887"/>
      <c r="AN183" s="7887"/>
      <c r="AO183" s="7887"/>
      <c r="AP183" s="7887"/>
      <c r="AQ183" s="7887"/>
      <c r="AR183" s="7887"/>
      <c r="AS183" s="7887"/>
      <c r="AT183" s="7887"/>
      <c r="AU183" s="7887"/>
      <c r="AV183" s="7887"/>
      <c r="AW183" s="7887"/>
      <c r="AX183" s="7872"/>
    </row>
  </sheetData>
  <sheetProtection algorithmName="SHA-512" hashValue="ExEn2fKVWwixmC0TceRS2R2/eKmHeNz5kwIKA01AoLuEZoGQ8Cys/pqBWe5fh1U+9ire4GRfhHtD98ngBPyRqA==" saltValue="0CYtl+qfdObC7p+wzgrmIQ==" spinCount="100000" sheet="1" objects="1" scenarios="1"/>
  <autoFilter ref="B13:R171" xr:uid="{84B1DD60-0C92-4670-BF3F-2EF620B35AC7}"/>
  <mergeCells count="175">
    <mergeCell ref="O12:O13"/>
    <mergeCell ref="I145:J145"/>
    <mergeCell ref="I146:J146"/>
    <mergeCell ref="D153:E153"/>
    <mergeCell ref="I153:J153"/>
    <mergeCell ref="D154:E154"/>
    <mergeCell ref="I154:J154"/>
    <mergeCell ref="D155:E155"/>
    <mergeCell ref="I155:J155"/>
    <mergeCell ref="D128:E128"/>
    <mergeCell ref="I128:J128"/>
    <mergeCell ref="C143:E143"/>
    <mergeCell ref="H143:J143"/>
    <mergeCell ref="I147:J147"/>
    <mergeCell ref="I148:J148"/>
    <mergeCell ref="D125:E125"/>
    <mergeCell ref="I125:J125"/>
    <mergeCell ref="D126:E126"/>
    <mergeCell ref="I126:J126"/>
    <mergeCell ref="D127:E127"/>
    <mergeCell ref="I120:J120"/>
    <mergeCell ref="D142:E142"/>
    <mergeCell ref="I142:J142"/>
    <mergeCell ref="D116:E116"/>
    <mergeCell ref="D163:E163"/>
    <mergeCell ref="I163:J163"/>
    <mergeCell ref="D152:E152"/>
    <mergeCell ref="I152:J152"/>
    <mergeCell ref="D160:E160"/>
    <mergeCell ref="I160:J160"/>
    <mergeCell ref="D161:E161"/>
    <mergeCell ref="I161:J161"/>
    <mergeCell ref="D162:E162"/>
    <mergeCell ref="I162:J162"/>
    <mergeCell ref="D159:E159"/>
    <mergeCell ref="I159:J159"/>
    <mergeCell ref="D156:E156"/>
    <mergeCell ref="I156:J156"/>
    <mergeCell ref="D157:E157"/>
    <mergeCell ref="I157:J157"/>
    <mergeCell ref="I116:J116"/>
    <mergeCell ref="D117:E117"/>
    <mergeCell ref="I117:J117"/>
    <mergeCell ref="D139:E139"/>
    <mergeCell ref="I139:J139"/>
    <mergeCell ref="D140:E140"/>
    <mergeCell ref="I140:J140"/>
    <mergeCell ref="D141:E141"/>
    <mergeCell ref="I141:J141"/>
    <mergeCell ref="D135:E135"/>
    <mergeCell ref="I135:J135"/>
    <mergeCell ref="D137:E137"/>
    <mergeCell ref="I137:J137"/>
    <mergeCell ref="D138:E138"/>
    <mergeCell ref="I138:J138"/>
    <mergeCell ref="D132:E132"/>
    <mergeCell ref="I132:J132"/>
    <mergeCell ref="D133:E133"/>
    <mergeCell ref="I133:J133"/>
    <mergeCell ref="D134:E134"/>
    <mergeCell ref="I134:J134"/>
    <mergeCell ref="D114:E114"/>
    <mergeCell ref="I114:J114"/>
    <mergeCell ref="D130:E130"/>
    <mergeCell ref="I130:J130"/>
    <mergeCell ref="D131:E131"/>
    <mergeCell ref="I131:J131"/>
    <mergeCell ref="D111:E111"/>
    <mergeCell ref="I111:J111"/>
    <mergeCell ref="D112:E112"/>
    <mergeCell ref="I112:J112"/>
    <mergeCell ref="D113:E113"/>
    <mergeCell ref="I113:J113"/>
    <mergeCell ref="I127:J127"/>
    <mergeCell ref="D121:E121"/>
    <mergeCell ref="I121:J121"/>
    <mergeCell ref="D123:E123"/>
    <mergeCell ref="I123:J123"/>
    <mergeCell ref="D124:E124"/>
    <mergeCell ref="I124:J124"/>
    <mergeCell ref="D118:E118"/>
    <mergeCell ref="I118:J118"/>
    <mergeCell ref="D119:E119"/>
    <mergeCell ref="I119:J119"/>
    <mergeCell ref="D120:E120"/>
    <mergeCell ref="D107:E107"/>
    <mergeCell ref="I107:J107"/>
    <mergeCell ref="D109:E109"/>
    <mergeCell ref="I109:J109"/>
    <mergeCell ref="D110:E110"/>
    <mergeCell ref="I110:J110"/>
    <mergeCell ref="D104:E104"/>
    <mergeCell ref="I104:J104"/>
    <mergeCell ref="D105:E105"/>
    <mergeCell ref="I105:J105"/>
    <mergeCell ref="D106:E106"/>
    <mergeCell ref="I106:J106"/>
    <mergeCell ref="D100:E100"/>
    <mergeCell ref="I100:J100"/>
    <mergeCell ref="D102:E102"/>
    <mergeCell ref="I102:J102"/>
    <mergeCell ref="D103:E103"/>
    <mergeCell ref="I103:J103"/>
    <mergeCell ref="D97:E97"/>
    <mergeCell ref="I97:J97"/>
    <mergeCell ref="D98:E98"/>
    <mergeCell ref="I98:J98"/>
    <mergeCell ref="D99:E99"/>
    <mergeCell ref="I99:J99"/>
    <mergeCell ref="D93:E93"/>
    <mergeCell ref="I93:J93"/>
    <mergeCell ref="D95:E95"/>
    <mergeCell ref="I95:J95"/>
    <mergeCell ref="D96:E96"/>
    <mergeCell ref="I96:J96"/>
    <mergeCell ref="D90:E90"/>
    <mergeCell ref="I90:J90"/>
    <mergeCell ref="D91:E91"/>
    <mergeCell ref="I91:J91"/>
    <mergeCell ref="D92:E92"/>
    <mergeCell ref="I92:J92"/>
    <mergeCell ref="D88:E88"/>
    <mergeCell ref="I88:J88"/>
    <mergeCell ref="D89:E89"/>
    <mergeCell ref="I89:J89"/>
    <mergeCell ref="D82:E82"/>
    <mergeCell ref="I82:J82"/>
    <mergeCell ref="D83:E83"/>
    <mergeCell ref="I83:J83"/>
    <mergeCell ref="D84:E84"/>
    <mergeCell ref="I84:J84"/>
    <mergeCell ref="D81:E81"/>
    <mergeCell ref="I81:J81"/>
    <mergeCell ref="D75:E75"/>
    <mergeCell ref="I75:J75"/>
    <mergeCell ref="D76:E76"/>
    <mergeCell ref="I76:J76"/>
    <mergeCell ref="D77:E77"/>
    <mergeCell ref="I77:J77"/>
    <mergeCell ref="D85:E85"/>
    <mergeCell ref="I85:J85"/>
    <mergeCell ref="C56:E56"/>
    <mergeCell ref="H56:J56"/>
    <mergeCell ref="C61:E61"/>
    <mergeCell ref="H61:J61"/>
    <mergeCell ref="C64:E64"/>
    <mergeCell ref="H64:J64"/>
    <mergeCell ref="D78:E78"/>
    <mergeCell ref="I78:J78"/>
    <mergeCell ref="D80:E80"/>
    <mergeCell ref="I80:J80"/>
    <mergeCell ref="I149:J149"/>
    <mergeCell ref="I150:J150"/>
    <mergeCell ref="P12:R12"/>
    <mergeCell ref="B12:F12"/>
    <mergeCell ref="G12:J12"/>
    <mergeCell ref="L12:N12"/>
    <mergeCell ref="C46:E46"/>
    <mergeCell ref="H46:J46"/>
    <mergeCell ref="C49:E49"/>
    <mergeCell ref="H49:J49"/>
    <mergeCell ref="C52:E52"/>
    <mergeCell ref="H52:J52"/>
    <mergeCell ref="C39:F39"/>
    <mergeCell ref="H39:K39"/>
    <mergeCell ref="C42:E42"/>
    <mergeCell ref="H42:J42"/>
    <mergeCell ref="C67:E67"/>
    <mergeCell ref="H67:J67"/>
    <mergeCell ref="C71:F71"/>
    <mergeCell ref="D73:E73"/>
    <mergeCell ref="I73:J73"/>
    <mergeCell ref="D74:E74"/>
    <mergeCell ref="I74:J74"/>
    <mergeCell ref="C55:E55"/>
  </mergeCells>
  <phoneticPr fontId="3" type="noConversion"/>
  <conditionalFormatting sqref="L72:N72">
    <cfRule type="cellIs" dxfId="102" priority="11" operator="equal">
      <formula>"미취합법인有"</formula>
    </cfRule>
  </conditionalFormatting>
  <conditionalFormatting sqref="L79:N79">
    <cfRule type="cellIs" dxfId="101" priority="102" operator="equal">
      <formula>"미취합법인有"</formula>
    </cfRule>
  </conditionalFormatting>
  <conditionalFormatting sqref="L87:N87">
    <cfRule type="cellIs" dxfId="100" priority="13" operator="equal">
      <formula>"미취합법인有"</formula>
    </cfRule>
  </conditionalFormatting>
  <conditionalFormatting sqref="L94:N94">
    <cfRule type="cellIs" dxfId="99" priority="12" operator="equal">
      <formula>"미취합법인有"</formula>
    </cfRule>
  </conditionalFormatting>
  <conditionalFormatting sqref="L101:N101">
    <cfRule type="cellIs" dxfId="98" priority="10" operator="equal">
      <formula>"미취합법인有"</formula>
    </cfRule>
  </conditionalFormatting>
  <conditionalFormatting sqref="L108:N108">
    <cfRule type="cellIs" dxfId="97" priority="9" operator="equal">
      <formula>"미취합법인有"</formula>
    </cfRule>
  </conditionalFormatting>
  <conditionalFormatting sqref="L115:N115">
    <cfRule type="cellIs" dxfId="96" priority="2" operator="equal">
      <formula>"미취합법인有"</formula>
    </cfRule>
  </conditionalFormatting>
  <conditionalFormatting sqref="L122:N122">
    <cfRule type="cellIs" dxfId="95" priority="1" operator="equal">
      <formula>"미취합법인有"</formula>
    </cfRule>
  </conditionalFormatting>
  <conditionalFormatting sqref="L129:N129">
    <cfRule type="cellIs" dxfId="94" priority="8" operator="equal">
      <formula>"미취합법인有"</formula>
    </cfRule>
  </conditionalFormatting>
  <conditionalFormatting sqref="L144:N144">
    <cfRule type="cellIs" dxfId="93" priority="3" operator="equal">
      <formula>"미취합법인有"</formula>
    </cfRule>
  </conditionalFormatting>
  <conditionalFormatting sqref="L151:N151">
    <cfRule type="cellIs" dxfId="92" priority="6" operator="equal">
      <formula>"미취합법인有"</formula>
    </cfRule>
  </conditionalFormatting>
  <conditionalFormatting sqref="L158:N158">
    <cfRule type="cellIs" dxfId="91" priority="5" operator="equal">
      <formula>"미취합법인有"</formula>
    </cfRule>
  </conditionalFormatting>
  <conditionalFormatting sqref="L165:N165">
    <cfRule type="cellIs" dxfId="90" priority="7" operator="equal">
      <formula>"미취합법인有"</formula>
    </cfRule>
  </conditionalFormatting>
  <pageMargins left="0.25" right="0.25" top="0.75" bottom="0.75" header="0" footer="0"/>
  <pageSetup paperSize="8" scale="20" fitToHeight="0" orientation="portrait" r:id="rId1"/>
</worksheet>
</file>

<file path=docProps/app.xml><?xml version="1.0" encoding="utf-8"?>
<Properties xmlns="http://schemas.openxmlformats.org/officeDocument/2006/extended-properties" xmlns:vt="http://schemas.openxmlformats.org/officeDocument/2006/docPropsVTypes">
  <LinksUpToDate>false</LinksUpToDate>
  <ScaleCrop>false</ScaleCrop>
  <SharedDoc>false</SharedDoc>
  <HyperlinksChanged>false</HyperlinksChanged>
  <AppVersion>16.0000</AppVersion>
  <DocSecurity>0</DocSecurity>
  <Application>Microsoft Excel</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Sohyun Yun (KR - ASR);; ; cj:mCR5HcvmEWmBgreQ/6VWOvaom7M=∥iykkyun@cj.net</dc:creator>
  <dcterms:modified xsi:type="dcterms:W3CDTF">2024-08-19T01:52:57Z</dcterms:modified>
  <dc:description/>
  <cp:keywords/>
  <dc:subject/>
  <dc:title/>
  <cp:lastPrinted>2024-06-26T01:38:20Z</cp:lastPrinted>
  <cp:lastModifiedBy>임용균님</cp:lastModifiedBy>
  <dcterms:created xsi:type="dcterms:W3CDTF">2024-03-18T07:32:03Z</dcterms:created>
  <cp:revi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0x010100EDD8210B73B86E4DB3F47D022D0FF3E3</vt:lpwstr>
  </property>
  <property fmtid="{D5CDD505-2E9C-101B-9397-08002B2CF9AE}" pid="3" name="MediaServiceImageTags">
    <vt:lpwstr/>
  </property>
</Properties>
</file>